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128"/>
  <workbookPr codeName="ThisWorkbook"/>
  <mc:AlternateContent xmlns:mc="http://schemas.openxmlformats.org/markup-compatibility/2006">
    <mc:Choice Requires="x15">
      <x15ac:absPath xmlns:x15ac="http://schemas.microsoft.com/office/spreadsheetml/2010/11/ac" url="https://cepalondon.sharepoint.com/projectslive/4259/Shared Documents/Deliverables/Final Deliverables/"/>
    </mc:Choice>
  </mc:AlternateContent>
  <xr:revisionPtr revIDLastSave="0" documentId="13_ncr:1_{1AAD61FC-D893-40CC-BF06-D4FD7BD4D170}" xr6:coauthVersionLast="47" xr6:coauthVersionMax="47" xr10:uidLastSave="{00000000-0000-0000-0000-000000000000}"/>
  <bookViews>
    <workbookView xWindow="-90" yWindow="-90" windowWidth="19380" windowHeight="10380" tabRatio="914" xr2:uid="{E283218E-8BCE-46DA-9C03-BFCAB4C8EFB5}"/>
  </bookViews>
  <sheets>
    <sheet name="Cover" sheetId="46" r:id="rId1"/>
    <sheet name="Summary" sheetId="12" r:id="rId2"/>
    <sheet name="Calculations &gt;&gt;&gt;" sheetId="10" r:id="rId3"/>
    <sheet name="Regulatory Asset Base" sheetId="3" r:id="rId4"/>
    <sheet name="Enterprise Value" sheetId="9" r:id="rId5"/>
    <sheet name="Market Value of Non-Regulated" sheetId="16" r:id="rId6"/>
    <sheet name="Trailing average adjustment" sheetId="40" r:id="rId7"/>
    <sheet name="Trailing average adjustment bnd" sheetId="41" r:id="rId8"/>
    <sheet name="Value of Debt (unlisted bonds)" sheetId="37" r:id="rId9"/>
    <sheet name="Value of Debt (listed bonds)" sheetId="13" r:id="rId10"/>
    <sheet name="Yield Curve" sheetId="24" r:id="rId11"/>
    <sheet name="Input data &gt;&gt;&gt;" sheetId="6" r:id="rId12"/>
    <sheet name="Bond data &gt;&gt;&gt;" sheetId="47" r:id="rId13"/>
    <sheet name="DUET Bonds" sheetId="43" r:id="rId14"/>
    <sheet name="DUET bond prices" sheetId="44" r:id="rId15"/>
    <sheet name="SKI Bonds" sheetId="39" r:id="rId16"/>
    <sheet name="AST Bonds" sheetId="28" r:id="rId17"/>
    <sheet name="AST Bond Prices" sheetId="29" r:id="rId18"/>
    <sheet name="Transgrid Bonds" sheetId="33" r:id="rId19"/>
    <sheet name="Transgrid Bonds Prices" sheetId="34" r:id="rId20"/>
    <sheet name="SA Power Bonds" sheetId="30" r:id="rId21"/>
    <sheet name="SA Power Bond Prices" sheetId="31" r:id="rId22"/>
    <sheet name="VPN Bonds" sheetId="26" r:id="rId23"/>
    <sheet name="VPN Bond Prices" sheetId="27" r:id="rId24"/>
    <sheet name="Bloomberg Bond Prices" sheetId="45" r:id="rId25"/>
    <sheet name="Accounting data &gt;&gt;&gt;" sheetId="48" r:id="rId26"/>
    <sheet name="Annual Report" sheetId="36" r:id="rId27"/>
    <sheet name="SKI - BalanceSheet" sheetId="5" r:id="rId28"/>
    <sheet name="AST - IncomeStatement" sheetId="19" r:id="rId29"/>
    <sheet name="AST - BalanceSheet" sheetId="8" r:id="rId30"/>
    <sheet name="AST - Segments" sheetId="35" r:id="rId31"/>
    <sheet name="Regulatory data &gt;&gt;&gt;" sheetId="49" r:id="rId32"/>
    <sheet name="AER Regulatory determination" sheetId="22" r:id="rId33"/>
    <sheet name="Tax Asset Base" sheetId="38" r:id="rId34"/>
    <sheet name="SKI - RIN" sheetId="1" r:id="rId35"/>
    <sheet name="AST - RIN" sheetId="2" r:id="rId36"/>
    <sheet name="Financial Markets Data &gt;&gt;&gt;" sheetId="50" r:id="rId37"/>
    <sheet name="SKI - Historical Equity" sheetId="14" r:id="rId38"/>
    <sheet name="AST - Historical Equity" sheetId="15" r:id="rId39"/>
    <sheet name="Money Market" sheetId="25" r:id="rId40"/>
    <sheet name="Corporate Bond yields" sheetId="20" r:id="rId41"/>
    <sheet name="Inflation" sheetId="23" r:id="rId42"/>
    <sheet name="Valuation multiples" sheetId="18" r:id="rId43"/>
  </sheets>
  <externalReferences>
    <externalReference r:id="rId44"/>
  </externalReferences>
  <definedNames>
    <definedName name="_xlnm._FilterDatabase" localSheetId="41" hidden="1">Inflation!$A$9:$U$384</definedName>
    <definedName name="FIRMMBAB180">'Money Market'!$F$12:$F$588</definedName>
    <definedName name="FIRMMBAB30">'Money Market'!$D$12:$D$588</definedName>
    <definedName name="FIRMMBAB90">'Money Market'!$E$12:$E$588</definedName>
    <definedName name="FIRMMCRI">'Money Market'!$C$12:$C$588</definedName>
    <definedName name="FIRMMCRT">'Money Market'!$B$12:$B$588</definedName>
    <definedName name="FIRMMOIS1">'Money Market'!$G$12:$G$588</definedName>
    <definedName name="FIRMMOIS3">'Money Market'!$H$12:$H$588</definedName>
    <definedName name="FIRMMOIS6">'Money Market'!$I$12:$I$588</definedName>
    <definedName name="FIRMMTN1">'Money Market'!$J$12:$J$588</definedName>
    <definedName name="FIRMMTN3">'Money Market'!$K$12:$K$588</definedName>
    <definedName name="FIRMMTN6">'Money Market'!$L$12:$L$588</definedName>
    <definedName name="GCPIAG">Inflation!$B$12:$B$414</definedName>
    <definedName name="GCPIAGQP">Inflation!$L$12:$L$414</definedName>
    <definedName name="GCPIAGSAQP">Inflation!$M$12:$M$414</definedName>
    <definedName name="GCPIAGYP">Inflation!$C$12:$C$414</definedName>
    <definedName name="GCPIEITCQP">Inflation!$N$12:$N$414</definedName>
    <definedName name="GCPIEITCYP">Inflation!$D$12:$D$414</definedName>
    <definedName name="GCPINTIQP">Inflation!$R$12:$R$414</definedName>
    <definedName name="GCPINTIYP">Inflation!$H$12:$H$414</definedName>
    <definedName name="GCPINTXDLQP">Inflation!$S$12:$S$414</definedName>
    <definedName name="GCPINTXDLYP">Inflation!$I$12:$I$414</definedName>
    <definedName name="GCPIOCPMTMQP">Inflation!$U$12:$U$414</definedName>
    <definedName name="GCPIOCPMTMYP">Inflation!$K$12:$K$414</definedName>
    <definedName name="GCPIOCPMWMQP">Inflation!$T$12:$T$414</definedName>
    <definedName name="GCPIOCPMWMYP">Inflation!$J$12:$J$414</definedName>
    <definedName name="GCPITIQP">Inflation!$P$12:$P$414</definedName>
    <definedName name="GCPITIYP">Inflation!$F$12:$F$414</definedName>
    <definedName name="GCPITXVIQP">Inflation!$Q$12:$Q$414</definedName>
    <definedName name="GCPITXVIYP">Inflation!$G$12:$G$414</definedName>
    <definedName name="GCPIXVIQP">Inflation!$O$12:$O$414</definedName>
    <definedName name="GCPIXVIYP">Inflation!$E$12:$E$414</definedName>
    <definedName name="ModelDate">[1]Intro!$B$4</definedName>
    <definedName name="ModelName">[1]Intro!$B$3</definedName>
    <definedName name="ModelStatus">[1]Intro!$E$4</definedName>
    <definedName name="ModelVersion">[1]Intro!$D$4</definedName>
    <definedName name="OrganisationName">[1]Intro!$B$2</definedName>
    <definedName name="_xlnm.Print_Area" localSheetId="41">Inflation!$B$12:$U$414</definedName>
    <definedName name="_xlnm.Print_Area" localSheetId="39">'Money Market'!$B$12:$L$588</definedName>
    <definedName name="_xlnm.Print_Titles" localSheetId="41">Inflation!$1:$10,Inflation!$A:$A</definedName>
    <definedName name="_xlnm.Print_Titles" localSheetId="39">'Money Market'!$A:$A,'Money Market'!$1:$11</definedName>
  </definedNames>
  <calcPr calcId="191028" calcCompleted="0" calcOnSave="0"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23" i="16" l="1"/>
  <c r="I20" i="16"/>
  <c r="I19" i="16"/>
  <c r="Q185" i="13"/>
  <c r="P185" i="13"/>
  <c r="Q184" i="13"/>
  <c r="P184" i="13"/>
  <c r="Q183" i="13"/>
  <c r="P183" i="13"/>
  <c r="Q182" i="13"/>
  <c r="P182" i="13"/>
  <c r="O182" i="13"/>
  <c r="Q181" i="13"/>
  <c r="P181" i="13"/>
  <c r="O181" i="13"/>
  <c r="Q180" i="13"/>
  <c r="P180" i="13"/>
  <c r="O180" i="13"/>
  <c r="O185" i="13"/>
  <c r="O184" i="13"/>
  <c r="O183" i="13"/>
  <c r="N182" i="13"/>
  <c r="N181" i="13"/>
  <c r="N180" i="13"/>
  <c r="Q105" i="13"/>
  <c r="P105" i="13"/>
  <c r="O105" i="13"/>
  <c r="Q104" i="13"/>
  <c r="P104" i="13"/>
  <c r="O104" i="13"/>
  <c r="N105" i="13"/>
  <c r="N104" i="13"/>
  <c r="Q68" i="13"/>
  <c r="P68" i="13"/>
  <c r="O68" i="13"/>
  <c r="N68" i="13"/>
  <c r="Q67" i="13"/>
  <c r="P67" i="13"/>
  <c r="O67" i="13"/>
  <c r="N67" i="13"/>
  <c r="Q66" i="13"/>
  <c r="P66" i="13"/>
  <c r="O66" i="13"/>
  <c r="N66" i="13"/>
  <c r="Q65" i="13"/>
  <c r="P65" i="13"/>
  <c r="O65" i="13"/>
  <c r="N65" i="13"/>
  <c r="M68" i="13"/>
  <c r="M67" i="13"/>
  <c r="M66" i="13"/>
  <c r="M65" i="13"/>
  <c r="Q64" i="13"/>
  <c r="P64" i="13"/>
  <c r="Q63" i="13"/>
  <c r="P63" i="13"/>
  <c r="Q62" i="13"/>
  <c r="P62" i="13"/>
  <c r="Q61" i="13"/>
  <c r="P61" i="13"/>
  <c r="E716" i="37"/>
  <c r="E688" i="37"/>
  <c r="E660" i="37"/>
  <c r="E632" i="37"/>
  <c r="E604" i="37"/>
  <c r="E580" i="37"/>
  <c r="E556" i="37"/>
  <c r="E532" i="37"/>
  <c r="E508" i="37"/>
  <c r="E492" i="37"/>
  <c r="E480" i="37"/>
  <c r="E468" i="37"/>
  <c r="E456" i="37"/>
  <c r="E448" i="37"/>
  <c r="E440" i="37"/>
  <c r="E432" i="37"/>
  <c r="E396" i="37"/>
  <c r="E361" i="37"/>
  <c r="E360" i="37"/>
  <c r="E334" i="37"/>
  <c r="E298" i="37"/>
  <c r="E266" i="37"/>
  <c r="E234" i="37"/>
  <c r="E202" i="37"/>
  <c r="E170" i="37"/>
  <c r="E146" i="37"/>
  <c r="E116" i="37"/>
  <c r="E88" i="37"/>
  <c r="E60" i="37"/>
  <c r="E32" i="37"/>
  <c r="D32" i="37"/>
  <c r="E8" i="37"/>
  <c r="B4" i="46"/>
  <c r="O828" i="37"/>
  <c r="Q98" i="9"/>
  <c r="P98" i="9"/>
  <c r="O98" i="9"/>
  <c r="I167" i="13" a="1"/>
  <c r="I167" i="13"/>
  <c r="J167" i="13" a="1"/>
  <c r="J167" i="13"/>
  <c r="K167" i="13" a="1"/>
  <c r="K167" i="13"/>
  <c r="L167" i="13" a="1"/>
  <c r="L167" i="13"/>
  <c r="M167" i="13" a="1"/>
  <c r="M167" i="13"/>
  <c r="N167" i="13" a="1"/>
  <c r="N167" i="13"/>
  <c r="P173" i="13"/>
  <c r="O173" i="13"/>
  <c r="P167" i="13" a="1"/>
  <c r="P167" i="13"/>
  <c r="O167" i="13" a="1"/>
  <c r="O167" i="13"/>
  <c r="F818" i="37"/>
  <c r="E818" i="37"/>
  <c r="D818" i="37"/>
  <c r="Q95" i="9"/>
  <c r="P95" i="9"/>
  <c r="O95" i="9"/>
  <c r="N95" i="9"/>
  <c r="M95" i="9"/>
  <c r="L95" i="9"/>
  <c r="K95" i="9"/>
  <c r="J95" i="9"/>
  <c r="I95" i="9"/>
  <c r="H95" i="9"/>
  <c r="G95" i="9"/>
  <c r="F95" i="9"/>
  <c r="O226" i="40"/>
  <c r="N226" i="40"/>
  <c r="M226" i="40"/>
  <c r="L226" i="40"/>
  <c r="K226" i="40"/>
  <c r="J226" i="40"/>
  <c r="I226" i="40"/>
  <c r="H226" i="40"/>
  <c r="G226" i="40"/>
  <c r="F226" i="40"/>
  <c r="E226" i="40"/>
  <c r="O189" i="40"/>
  <c r="O152" i="40"/>
  <c r="O115" i="40"/>
  <c r="F40" i="9"/>
  <c r="F61" i="9"/>
  <c r="F39" i="9"/>
  <c r="F60" i="9"/>
  <c r="F38" i="9"/>
  <c r="F59" i="9"/>
  <c r="P40" i="9"/>
  <c r="Q40" i="9"/>
  <c r="Q61" i="9"/>
  <c r="P39" i="9"/>
  <c r="Q39" i="9"/>
  <c r="Q60" i="9"/>
  <c r="P38" i="9"/>
  <c r="Q38" i="9"/>
  <c r="Q59" i="9"/>
  <c r="O40" i="9"/>
  <c r="O61" i="9"/>
  <c r="N40" i="9"/>
  <c r="N61" i="9"/>
  <c r="M40" i="9"/>
  <c r="M61" i="9"/>
  <c r="L40" i="9"/>
  <c r="L61" i="9"/>
  <c r="K40" i="9"/>
  <c r="K61" i="9"/>
  <c r="J40" i="9"/>
  <c r="J61" i="9"/>
  <c r="I40" i="9"/>
  <c r="I61" i="9"/>
  <c r="H40" i="9"/>
  <c r="H61" i="9"/>
  <c r="G40" i="9"/>
  <c r="G61" i="9"/>
  <c r="O39" i="9"/>
  <c r="O60" i="9"/>
  <c r="N39" i="9"/>
  <c r="N60" i="9"/>
  <c r="M39" i="9"/>
  <c r="M60" i="9"/>
  <c r="L39" i="9"/>
  <c r="L60" i="9"/>
  <c r="K39" i="9"/>
  <c r="K60" i="9"/>
  <c r="J39" i="9"/>
  <c r="J60" i="9"/>
  <c r="I39" i="9"/>
  <c r="I60" i="9"/>
  <c r="H39" i="9"/>
  <c r="H60" i="9"/>
  <c r="G39" i="9"/>
  <c r="G60" i="9"/>
  <c r="O38" i="9"/>
  <c r="O59" i="9"/>
  <c r="N38" i="9"/>
  <c r="N59" i="9"/>
  <c r="M38" i="9"/>
  <c r="M59" i="9"/>
  <c r="L38" i="9"/>
  <c r="L59" i="9"/>
  <c r="K38" i="9"/>
  <c r="K59" i="9"/>
  <c r="J38" i="9"/>
  <c r="J59" i="9"/>
  <c r="I38" i="9"/>
  <c r="I59" i="9"/>
  <c r="H38" i="9"/>
  <c r="H59" i="9"/>
  <c r="G38" i="9"/>
  <c r="G59" i="9"/>
  <c r="F77" i="36"/>
  <c r="F76" i="36"/>
  <c r="G77" i="36"/>
  <c r="G76" i="36"/>
  <c r="H77" i="36"/>
  <c r="H76" i="36"/>
  <c r="J77" i="36"/>
  <c r="I77" i="36"/>
  <c r="J76" i="36"/>
  <c r="I76" i="36"/>
  <c r="P78" i="36"/>
  <c r="P77" i="36"/>
  <c r="P76" i="36"/>
  <c r="R30" i="41"/>
  <c r="Q29" i="41"/>
  <c r="R27" i="41"/>
  <c r="Q26" i="41"/>
  <c r="R25" i="41"/>
  <c r="Q24" i="41"/>
  <c r="J87" i="36"/>
  <c r="I87" i="36"/>
  <c r="J86" i="36"/>
  <c r="I86" i="36"/>
  <c r="Q99" i="9"/>
  <c r="O99" i="9"/>
  <c r="L820" i="37"/>
  <c r="N99" i="9"/>
  <c r="E811" i="37"/>
  <c r="K820" i="37"/>
  <c r="M99" i="9"/>
  <c r="D811" i="37"/>
  <c r="E810" i="37"/>
  <c r="E820" i="37"/>
  <c r="D810" i="37"/>
  <c r="E809" i="37"/>
  <c r="D820" i="37"/>
  <c r="F99" i="9"/>
  <c r="D809" i="37"/>
  <c r="C809" i="37"/>
  <c r="C811" i="37"/>
  <c r="C810" i="37"/>
  <c r="E808" i="37"/>
  <c r="D808" i="37"/>
  <c r="C808" i="37"/>
  <c r="E807" i="37"/>
  <c r="G819" i="37"/>
  <c r="D807" i="37"/>
  <c r="C807" i="37"/>
  <c r="C806" i="37"/>
  <c r="E806" i="37"/>
  <c r="D806" i="37"/>
  <c r="E805" i="37"/>
  <c r="D805" i="37"/>
  <c r="C805" i="37"/>
  <c r="P527" i="44"/>
  <c r="P266" i="44"/>
  <c r="P4" i="44"/>
  <c r="R84" i="29"/>
  <c r="R72" i="29"/>
  <c r="R60" i="29"/>
  <c r="Z5" i="29"/>
  <c r="Z6" i="29"/>
  <c r="Z12" i="29"/>
  <c r="AB6" i="29"/>
  <c r="AB5" i="29"/>
  <c r="AB12" i="29"/>
  <c r="N48" i="27"/>
  <c r="N6" i="27"/>
  <c r="N12" i="27"/>
  <c r="Q98" i="13"/>
  <c r="P98" i="13"/>
  <c r="O98" i="13"/>
  <c r="N98" i="13"/>
  <c r="M98" i="13"/>
  <c r="N95" i="13" a="1"/>
  <c r="N95" i="13"/>
  <c r="M95" i="13" a="1"/>
  <c r="M95" i="13"/>
  <c r="L95" i="13"/>
  <c r="K95" i="13"/>
  <c r="J95" i="13"/>
  <c r="I95" i="13"/>
  <c r="H95" i="13"/>
  <c r="G95" i="13"/>
  <c r="F95" i="13"/>
  <c r="Q56" i="9"/>
  <c r="P56" i="9"/>
  <c r="O56" i="9"/>
  <c r="N56" i="9"/>
  <c r="M56" i="9"/>
  <c r="L56" i="9"/>
  <c r="K56" i="9"/>
  <c r="H56" i="9"/>
  <c r="G56" i="9"/>
  <c r="F56" i="9"/>
  <c r="H833" i="37"/>
  <c r="G833" i="37"/>
  <c r="F833" i="37"/>
  <c r="F66" i="43"/>
  <c r="E66" i="43"/>
  <c r="D66" i="43"/>
  <c r="F64" i="43"/>
  <c r="E64" i="43"/>
  <c r="D64" i="43"/>
  <c r="F63" i="43"/>
  <c r="E63" i="43"/>
  <c r="D63" i="43"/>
  <c r="F62" i="43"/>
  <c r="E62" i="43"/>
  <c r="D62" i="43"/>
  <c r="F61" i="43"/>
  <c r="E61" i="43"/>
  <c r="D61" i="43"/>
  <c r="F60" i="43"/>
  <c r="E60" i="43"/>
  <c r="D60" i="43"/>
  <c r="F59" i="43"/>
  <c r="E59" i="43"/>
  <c r="D59" i="43"/>
  <c r="F58" i="43"/>
  <c r="E58" i="43"/>
  <c r="D58" i="43"/>
  <c r="F57" i="43"/>
  <c r="E57" i="43"/>
  <c r="D57" i="43"/>
  <c r="F56" i="43"/>
  <c r="E56" i="43"/>
  <c r="D56" i="43"/>
  <c r="F55" i="43"/>
  <c r="E55" i="43"/>
  <c r="D55" i="43"/>
  <c r="F54" i="43"/>
  <c r="E54" i="43"/>
  <c r="D54" i="43"/>
  <c r="F53" i="43"/>
  <c r="E53" i="43"/>
  <c r="D53" i="43"/>
  <c r="F52" i="43"/>
  <c r="E52" i="43"/>
  <c r="D52" i="43"/>
  <c r="F51" i="43"/>
  <c r="E51" i="43"/>
  <c r="D51" i="43"/>
  <c r="F50" i="43"/>
  <c r="E50" i="43"/>
  <c r="D50" i="43"/>
  <c r="F49" i="43"/>
  <c r="E49" i="43"/>
  <c r="D49" i="43"/>
  <c r="F48" i="43"/>
  <c r="E48" i="43"/>
  <c r="D48" i="43"/>
  <c r="F47" i="43"/>
  <c r="E47" i="43"/>
  <c r="D47" i="43"/>
  <c r="F46" i="43"/>
  <c r="E46" i="43"/>
  <c r="D46" i="43"/>
  <c r="H124" i="36"/>
  <c r="H123" i="36"/>
  <c r="H122" i="36"/>
  <c r="H121" i="36"/>
  <c r="I124" i="36"/>
  <c r="I123" i="36"/>
  <c r="I122" i="36"/>
  <c r="I121" i="36"/>
  <c r="K124" i="36"/>
  <c r="I832" i="37"/>
  <c r="J124" i="36"/>
  <c r="H832" i="37"/>
  <c r="H835" i="37"/>
  <c r="J33" i="9"/>
  <c r="G832" i="37"/>
  <c r="G835" i="37"/>
  <c r="I33" i="9"/>
  <c r="F832" i="37"/>
  <c r="F835" i="37"/>
  <c r="K123" i="36"/>
  <c r="J123" i="36"/>
  <c r="K122" i="36"/>
  <c r="J122" i="36"/>
  <c r="K121" i="36"/>
  <c r="J121" i="36"/>
  <c r="Q212" i="13"/>
  <c r="P212" i="13"/>
  <c r="O212" i="13"/>
  <c r="N212" i="13"/>
  <c r="M212" i="13"/>
  <c r="L212" i="13"/>
  <c r="K212" i="13"/>
  <c r="J212" i="13"/>
  <c r="I212" i="13"/>
  <c r="H212" i="13"/>
  <c r="G212" i="13"/>
  <c r="F212" i="13"/>
  <c r="Q211" i="13"/>
  <c r="P211" i="13"/>
  <c r="O211" i="13"/>
  <c r="N211" i="13"/>
  <c r="M211" i="13"/>
  <c r="L211" i="13"/>
  <c r="K211" i="13"/>
  <c r="J211" i="13"/>
  <c r="I211" i="13"/>
  <c r="H211" i="13"/>
  <c r="G211" i="13"/>
  <c r="F211" i="13"/>
  <c r="Q210" i="13"/>
  <c r="P210" i="13"/>
  <c r="O210" i="13"/>
  <c r="N210" i="13"/>
  <c r="M210" i="13"/>
  <c r="L210" i="13"/>
  <c r="K210" i="13"/>
  <c r="J210" i="13"/>
  <c r="I210" i="13"/>
  <c r="H210" i="13"/>
  <c r="G210" i="13"/>
  <c r="F210" i="13"/>
  <c r="Q209" i="13"/>
  <c r="P209" i="13"/>
  <c r="O209" i="13"/>
  <c r="N209" i="13"/>
  <c r="M209" i="13"/>
  <c r="L209" i="13"/>
  <c r="K209" i="13"/>
  <c r="J209" i="13"/>
  <c r="I209" i="13"/>
  <c r="H209" i="13"/>
  <c r="G209" i="13"/>
  <c r="F209" i="13"/>
  <c r="Q208" i="13"/>
  <c r="P208" i="13"/>
  <c r="O208" i="13"/>
  <c r="N208" i="13"/>
  <c r="M208" i="13"/>
  <c r="L208" i="13"/>
  <c r="K208" i="13"/>
  <c r="J208" i="13"/>
  <c r="I208" i="13"/>
  <c r="H208" i="13"/>
  <c r="G208" i="13"/>
  <c r="F208" i="13"/>
  <c r="Q207" i="13"/>
  <c r="P207" i="13"/>
  <c r="O207" i="13"/>
  <c r="N207" i="13"/>
  <c r="M207" i="13"/>
  <c r="L207" i="13"/>
  <c r="K207" i="13"/>
  <c r="J207" i="13"/>
  <c r="I207" i="13"/>
  <c r="H207" i="13"/>
  <c r="G207" i="13"/>
  <c r="F207" i="13"/>
  <c r="Q206" i="13"/>
  <c r="P206" i="13"/>
  <c r="O206" i="13"/>
  <c r="N206" i="13"/>
  <c r="M206" i="13"/>
  <c r="L206" i="13"/>
  <c r="K206" i="13"/>
  <c r="J206" i="13"/>
  <c r="I206" i="13"/>
  <c r="H206" i="13"/>
  <c r="G206" i="13"/>
  <c r="F206" i="13"/>
  <c r="Q205" i="13"/>
  <c r="P205" i="13"/>
  <c r="O205" i="13"/>
  <c r="N205" i="13"/>
  <c r="M205" i="13"/>
  <c r="L205" i="13"/>
  <c r="K205" i="13"/>
  <c r="J205" i="13"/>
  <c r="I205" i="13"/>
  <c r="H205" i="13"/>
  <c r="G205" i="13"/>
  <c r="F205" i="13"/>
  <c r="Q204" i="13"/>
  <c r="P204" i="13"/>
  <c r="O204" i="13"/>
  <c r="N204" i="13"/>
  <c r="M204" i="13"/>
  <c r="L204" i="13"/>
  <c r="K204" i="13"/>
  <c r="J204" i="13"/>
  <c r="I204" i="13"/>
  <c r="H204" i="13"/>
  <c r="G204" i="13"/>
  <c r="F204" i="13"/>
  <c r="Q203" i="13"/>
  <c r="P203" i="13"/>
  <c r="O203" i="13"/>
  <c r="N203" i="13"/>
  <c r="M203" i="13"/>
  <c r="L203" i="13"/>
  <c r="K203" i="13"/>
  <c r="J203" i="13"/>
  <c r="I203" i="13"/>
  <c r="H203" i="13"/>
  <c r="G203" i="13"/>
  <c r="F203" i="13"/>
  <c r="Q202" i="13"/>
  <c r="P202" i="13"/>
  <c r="O202" i="13"/>
  <c r="N202" i="13"/>
  <c r="M202" i="13"/>
  <c r="L202" i="13"/>
  <c r="K202" i="13"/>
  <c r="J202" i="13"/>
  <c r="I202" i="13"/>
  <c r="H202" i="13"/>
  <c r="G202" i="13"/>
  <c r="F202" i="13"/>
  <c r="Q201" i="13"/>
  <c r="P201" i="13"/>
  <c r="O201" i="13"/>
  <c r="N201" i="13"/>
  <c r="M201" i="13"/>
  <c r="L201" i="13"/>
  <c r="K201" i="13"/>
  <c r="J201" i="13"/>
  <c r="I201" i="13"/>
  <c r="H201" i="13"/>
  <c r="G201" i="13"/>
  <c r="F201" i="13"/>
  <c r="Q200" i="13"/>
  <c r="P200" i="13"/>
  <c r="O200" i="13"/>
  <c r="N200" i="13"/>
  <c r="M200" i="13"/>
  <c r="L200" i="13"/>
  <c r="K200" i="13"/>
  <c r="J200" i="13"/>
  <c r="I200" i="13"/>
  <c r="H200" i="13"/>
  <c r="G200" i="13"/>
  <c r="F200" i="13"/>
  <c r="Q199" i="13"/>
  <c r="P199" i="13"/>
  <c r="O199" i="13"/>
  <c r="N199" i="13"/>
  <c r="M199" i="13"/>
  <c r="L199" i="13"/>
  <c r="K199" i="13"/>
  <c r="J199" i="13"/>
  <c r="I199" i="13"/>
  <c r="H199" i="13"/>
  <c r="G199" i="13"/>
  <c r="F199" i="13"/>
  <c r="Q198" i="13"/>
  <c r="P198" i="13"/>
  <c r="O198" i="13"/>
  <c r="N198" i="13"/>
  <c r="M198" i="13"/>
  <c r="L198" i="13"/>
  <c r="K198" i="13"/>
  <c r="J198" i="13"/>
  <c r="I198" i="13"/>
  <c r="H198" i="13"/>
  <c r="G198" i="13"/>
  <c r="F198" i="13"/>
  <c r="Q197" i="13"/>
  <c r="P197" i="13"/>
  <c r="O197" i="13"/>
  <c r="N197" i="13"/>
  <c r="M197" i="13"/>
  <c r="L197" i="13"/>
  <c r="K197" i="13"/>
  <c r="J197" i="13"/>
  <c r="I197" i="13"/>
  <c r="H197" i="13"/>
  <c r="G197" i="13"/>
  <c r="F197" i="13"/>
  <c r="Q196" i="13"/>
  <c r="P196" i="13"/>
  <c r="O196" i="13"/>
  <c r="N196" i="13"/>
  <c r="M196" i="13"/>
  <c r="L196" i="13"/>
  <c r="K196" i="13"/>
  <c r="J196" i="13"/>
  <c r="I196" i="13"/>
  <c r="H196" i="13"/>
  <c r="G196" i="13"/>
  <c r="F196" i="13"/>
  <c r="Q195" i="13"/>
  <c r="P195" i="13"/>
  <c r="O195" i="13"/>
  <c r="N195" i="13"/>
  <c r="M195" i="13"/>
  <c r="L195" i="13"/>
  <c r="K195" i="13"/>
  <c r="J195" i="13"/>
  <c r="I195" i="13"/>
  <c r="H195" i="13"/>
  <c r="G195" i="13"/>
  <c r="F195" i="13"/>
  <c r="Q194" i="13"/>
  <c r="Q214" i="13"/>
  <c r="P194" i="13"/>
  <c r="P214" i="13"/>
  <c r="O194" i="13"/>
  <c r="O214" i="13"/>
  <c r="N194" i="13"/>
  <c r="N214" i="13"/>
  <c r="M194" i="13"/>
  <c r="M214" i="13"/>
  <c r="L194" i="13"/>
  <c r="L214" i="13"/>
  <c r="K194" i="13"/>
  <c r="J194" i="13"/>
  <c r="I194" i="13"/>
  <c r="H194" i="13"/>
  <c r="H214" i="13"/>
  <c r="G194" i="13"/>
  <c r="G214" i="13"/>
  <c r="F194" i="13"/>
  <c r="F214" i="13"/>
  <c r="C19" i="43"/>
  <c r="C17" i="43"/>
  <c r="O83" i="16"/>
  <c r="E82" i="16"/>
  <c r="E84" i="16"/>
  <c r="E81" i="16"/>
  <c r="E83" i="16"/>
  <c r="F82" i="16"/>
  <c r="F84" i="16"/>
  <c r="F81" i="16"/>
  <c r="F83" i="16"/>
  <c r="O82" i="16"/>
  <c r="O84" i="16"/>
  <c r="O81" i="16"/>
  <c r="N82" i="16"/>
  <c r="N84" i="16"/>
  <c r="N81" i="16"/>
  <c r="N83" i="16"/>
  <c r="M82" i="16"/>
  <c r="M84" i="16"/>
  <c r="M81" i="16"/>
  <c r="M83" i="16"/>
  <c r="L82" i="16"/>
  <c r="L84" i="16"/>
  <c r="L81" i="16"/>
  <c r="L83" i="16"/>
  <c r="K82" i="16"/>
  <c r="K84" i="16"/>
  <c r="K81" i="16"/>
  <c r="K83" i="16"/>
  <c r="J82" i="16"/>
  <c r="J84" i="16"/>
  <c r="J81" i="16"/>
  <c r="J83" i="16"/>
  <c r="I82" i="16"/>
  <c r="I81" i="16"/>
  <c r="H82" i="16"/>
  <c r="H81" i="16"/>
  <c r="G82" i="16"/>
  <c r="G81" i="16"/>
  <c r="I80" i="16"/>
  <c r="H80" i="16"/>
  <c r="G80" i="16"/>
  <c r="G84" i="16"/>
  <c r="H77" i="9"/>
  <c r="L23" i="3"/>
  <c r="K23" i="3"/>
  <c r="I23" i="3"/>
  <c r="H23" i="3"/>
  <c r="J23" i="3"/>
  <c r="I40" i="3"/>
  <c r="H40" i="3"/>
  <c r="R40" i="3"/>
  <c r="Q40" i="3"/>
  <c r="P40" i="3"/>
  <c r="O40" i="3"/>
  <c r="N40" i="3"/>
  <c r="M40" i="3"/>
  <c r="L14" i="3"/>
  <c r="L40" i="3"/>
  <c r="K14" i="3"/>
  <c r="K40" i="3"/>
  <c r="J14" i="3"/>
  <c r="J40" i="3"/>
  <c r="Q41" i="13"/>
  <c r="Q40" i="13"/>
  <c r="Q39" i="13"/>
  <c r="Q38" i="13"/>
  <c r="Q37" i="13"/>
  <c r="Q36" i="13"/>
  <c r="Q35" i="13"/>
  <c r="O98" i="16"/>
  <c r="N98" i="16"/>
  <c r="M98" i="16"/>
  <c r="L98" i="16"/>
  <c r="K98" i="16"/>
  <c r="J98" i="16"/>
  <c r="I98" i="16"/>
  <c r="H98" i="16"/>
  <c r="G98" i="16"/>
  <c r="F98" i="16"/>
  <c r="O97" i="16"/>
  <c r="N97" i="16"/>
  <c r="M97" i="16"/>
  <c r="L97" i="16"/>
  <c r="K97" i="16"/>
  <c r="J97" i="16"/>
  <c r="I97" i="16"/>
  <c r="H97" i="16"/>
  <c r="G97" i="16"/>
  <c r="F97" i="16"/>
  <c r="E98" i="16"/>
  <c r="E97" i="16"/>
  <c r="O73" i="16"/>
  <c r="N73" i="16"/>
  <c r="M73" i="16"/>
  <c r="L73" i="16"/>
  <c r="K73" i="16"/>
  <c r="J73" i="16"/>
  <c r="O66" i="16"/>
  <c r="N66" i="16"/>
  <c r="M66" i="16"/>
  <c r="L66" i="16"/>
  <c r="K66" i="16"/>
  <c r="O59" i="16"/>
  <c r="N59" i="16"/>
  <c r="M59" i="16"/>
  <c r="L59" i="16"/>
  <c r="K59" i="16"/>
  <c r="D54" i="16"/>
  <c r="D53" i="16"/>
  <c r="E61" i="16"/>
  <c r="E60" i="16"/>
  <c r="N826" i="37"/>
  <c r="N828" i="37"/>
  <c r="P99" i="9"/>
  <c r="M826" i="37"/>
  <c r="M828" i="37"/>
  <c r="L826" i="37"/>
  <c r="L828" i="37"/>
  <c r="K826" i="37"/>
  <c r="K828" i="37"/>
  <c r="J826" i="37"/>
  <c r="J828" i="37"/>
  <c r="I826" i="37"/>
  <c r="I828" i="37"/>
  <c r="H826" i="37"/>
  <c r="H828" i="37"/>
  <c r="G826" i="37"/>
  <c r="G828" i="37"/>
  <c r="F826" i="37"/>
  <c r="F828" i="37"/>
  <c r="E826" i="37"/>
  <c r="E828" i="37"/>
  <c r="G99" i="9"/>
  <c r="D826" i="37"/>
  <c r="D828" i="37"/>
  <c r="M185" i="28"/>
  <c r="L185" i="28"/>
  <c r="K185" i="28"/>
  <c r="J185" i="28"/>
  <c r="I185" i="28"/>
  <c r="H185" i="28"/>
  <c r="G185" i="28"/>
  <c r="F185" i="28"/>
  <c r="E185" i="28"/>
  <c r="D185" i="28"/>
  <c r="C185" i="28"/>
  <c r="M157" i="28"/>
  <c r="L157" i="28"/>
  <c r="K157" i="28"/>
  <c r="J157" i="28"/>
  <c r="I157" i="28"/>
  <c r="H157" i="28"/>
  <c r="G157" i="28"/>
  <c r="F157" i="28"/>
  <c r="E157" i="28"/>
  <c r="D157" i="28"/>
  <c r="C157" i="28"/>
  <c r="M156" i="28"/>
  <c r="L156" i="28"/>
  <c r="K156" i="28"/>
  <c r="J156" i="28"/>
  <c r="I156" i="28"/>
  <c r="H156" i="28"/>
  <c r="G156" i="28"/>
  <c r="F156" i="28"/>
  <c r="E156" i="28"/>
  <c r="D156" i="28"/>
  <c r="C156" i="28"/>
  <c r="M155" i="28"/>
  <c r="L155" i="28"/>
  <c r="K155" i="28"/>
  <c r="J155" i="28"/>
  <c r="I155" i="28"/>
  <c r="H155" i="28"/>
  <c r="G155" i="28"/>
  <c r="F155" i="28"/>
  <c r="E155" i="28"/>
  <c r="D155" i="28"/>
  <c r="C155" i="28"/>
  <c r="M154" i="28"/>
  <c r="L154" i="28"/>
  <c r="K154" i="28"/>
  <c r="J154" i="28"/>
  <c r="I154" i="28"/>
  <c r="H154" i="28"/>
  <c r="G154" i="28"/>
  <c r="F154" i="28"/>
  <c r="E154" i="28"/>
  <c r="D154" i="28"/>
  <c r="C154" i="28"/>
  <c r="M153" i="28"/>
  <c r="L153" i="28"/>
  <c r="K153" i="28"/>
  <c r="J153" i="28"/>
  <c r="I153" i="28"/>
  <c r="H153" i="28"/>
  <c r="G153" i="28"/>
  <c r="F153" i="28"/>
  <c r="E153" i="28"/>
  <c r="D153" i="28"/>
  <c r="C153" i="28"/>
  <c r="M152" i="28"/>
  <c r="L152" i="28"/>
  <c r="K152" i="28"/>
  <c r="J152" i="28"/>
  <c r="I152" i="28"/>
  <c r="H152" i="28"/>
  <c r="G152" i="28"/>
  <c r="F152" i="28"/>
  <c r="E152" i="28"/>
  <c r="D152" i="28"/>
  <c r="C152" i="28"/>
  <c r="M151" i="28"/>
  <c r="L151" i="28"/>
  <c r="K151" i="28"/>
  <c r="J151" i="28"/>
  <c r="I151" i="28"/>
  <c r="H151" i="28"/>
  <c r="G151" i="28"/>
  <c r="F151" i="28"/>
  <c r="E151" i="28"/>
  <c r="D151" i="28"/>
  <c r="C151" i="28"/>
  <c r="M150" i="28"/>
  <c r="L150" i="28"/>
  <c r="K150" i="28"/>
  <c r="J150" i="28"/>
  <c r="I150" i="28"/>
  <c r="H150" i="28"/>
  <c r="G150" i="28"/>
  <c r="F150" i="28"/>
  <c r="E150" i="28"/>
  <c r="D150" i="28"/>
  <c r="C150" i="28"/>
  <c r="M149" i="28"/>
  <c r="L149" i="28"/>
  <c r="K149" i="28"/>
  <c r="J149" i="28"/>
  <c r="I149" i="28"/>
  <c r="H149" i="28"/>
  <c r="G149" i="28"/>
  <c r="F149" i="28"/>
  <c r="E149" i="28"/>
  <c r="D149" i="28"/>
  <c r="C149" i="28"/>
  <c r="M148" i="28"/>
  <c r="L148" i="28"/>
  <c r="K148" i="28"/>
  <c r="J148" i="28"/>
  <c r="I148" i="28"/>
  <c r="H148" i="28"/>
  <c r="G148" i="28"/>
  <c r="F148" i="28"/>
  <c r="E148" i="28"/>
  <c r="D148" i="28"/>
  <c r="C148" i="28"/>
  <c r="M147" i="28"/>
  <c r="L147" i="28"/>
  <c r="K147" i="28"/>
  <c r="J147" i="28"/>
  <c r="I147" i="28"/>
  <c r="H147" i="28"/>
  <c r="G147" i="28"/>
  <c r="F147" i="28"/>
  <c r="E147" i="28"/>
  <c r="D147" i="28"/>
  <c r="C147" i="28"/>
  <c r="M146" i="28"/>
  <c r="L146" i="28"/>
  <c r="K146" i="28"/>
  <c r="J146" i="28"/>
  <c r="I146" i="28"/>
  <c r="H146" i="28"/>
  <c r="G146" i="28"/>
  <c r="F146" i="28"/>
  <c r="E146" i="28"/>
  <c r="D146" i="28"/>
  <c r="C146" i="28"/>
  <c r="M145" i="28"/>
  <c r="L145" i="28"/>
  <c r="K145" i="28"/>
  <c r="J145" i="28"/>
  <c r="I145" i="28"/>
  <c r="H145" i="28"/>
  <c r="G145" i="28"/>
  <c r="F145" i="28"/>
  <c r="E145" i="28"/>
  <c r="D145" i="28"/>
  <c r="C145" i="28"/>
  <c r="M144" i="28"/>
  <c r="L144" i="28"/>
  <c r="K144" i="28"/>
  <c r="J144" i="28"/>
  <c r="I144" i="28"/>
  <c r="H144" i="28"/>
  <c r="G144" i="28"/>
  <c r="F144" i="28"/>
  <c r="E144" i="28"/>
  <c r="D144" i="28"/>
  <c r="C144" i="28"/>
  <c r="M143" i="28"/>
  <c r="L143" i="28"/>
  <c r="K143" i="28"/>
  <c r="J143" i="28"/>
  <c r="I143" i="28"/>
  <c r="H143" i="28"/>
  <c r="G143" i="28"/>
  <c r="F143" i="28"/>
  <c r="E143" i="28"/>
  <c r="D143" i="28"/>
  <c r="C143" i="28"/>
  <c r="M142" i="28"/>
  <c r="L142" i="28"/>
  <c r="K142" i="28"/>
  <c r="J142" i="28"/>
  <c r="I142" i="28"/>
  <c r="H142" i="28"/>
  <c r="G142" i="28"/>
  <c r="F142" i="28"/>
  <c r="E142" i="28"/>
  <c r="D142" i="28"/>
  <c r="C142" i="28"/>
  <c r="M141" i="28"/>
  <c r="L141" i="28"/>
  <c r="K141" i="28"/>
  <c r="J141" i="28"/>
  <c r="I141" i="28"/>
  <c r="H141" i="28"/>
  <c r="G141" i="28"/>
  <c r="F141" i="28"/>
  <c r="E141" i="28"/>
  <c r="D141" i="28"/>
  <c r="C141" i="28"/>
  <c r="M140" i="28"/>
  <c r="L140" i="28"/>
  <c r="K140" i="28"/>
  <c r="J140" i="28"/>
  <c r="I140" i="28"/>
  <c r="H140" i="28"/>
  <c r="G140" i="28"/>
  <c r="F140" i="28"/>
  <c r="E140" i="28"/>
  <c r="D140" i="28"/>
  <c r="C140" i="28"/>
  <c r="M139" i="28"/>
  <c r="L139" i="28"/>
  <c r="K139" i="28"/>
  <c r="J139" i="28"/>
  <c r="I139" i="28"/>
  <c r="H139" i="28"/>
  <c r="G139" i="28"/>
  <c r="F139" i="28"/>
  <c r="E139" i="28"/>
  <c r="D139" i="28"/>
  <c r="C139" i="28"/>
  <c r="M138" i="28"/>
  <c r="L138" i="28"/>
  <c r="K138" i="28"/>
  <c r="J138" i="28"/>
  <c r="I138" i="28"/>
  <c r="H138" i="28"/>
  <c r="G138" i="28"/>
  <c r="F138" i="28"/>
  <c r="E138" i="28"/>
  <c r="D138" i="28"/>
  <c r="C138" i="28"/>
  <c r="M137" i="28"/>
  <c r="L137" i="28"/>
  <c r="K137" i="28"/>
  <c r="J137" i="28"/>
  <c r="I137" i="28"/>
  <c r="H137" i="28"/>
  <c r="G137" i="28"/>
  <c r="F137" i="28"/>
  <c r="E137" i="28"/>
  <c r="D137" i="28"/>
  <c r="C137" i="28"/>
  <c r="M136" i="28"/>
  <c r="L136" i="28"/>
  <c r="K136" i="28"/>
  <c r="J136" i="28"/>
  <c r="I136" i="28"/>
  <c r="H136" i="28"/>
  <c r="G136" i="28"/>
  <c r="F136" i="28"/>
  <c r="E136" i="28"/>
  <c r="D136" i="28"/>
  <c r="C136" i="28"/>
  <c r="M135" i="28"/>
  <c r="L135" i="28"/>
  <c r="K135" i="28"/>
  <c r="J135" i="28"/>
  <c r="I135" i="28"/>
  <c r="H135" i="28"/>
  <c r="G135" i="28"/>
  <c r="F135" i="28"/>
  <c r="E135" i="28"/>
  <c r="D135" i="28"/>
  <c r="C135" i="28"/>
  <c r="M134" i="28"/>
  <c r="L134" i="28"/>
  <c r="K134" i="28"/>
  <c r="J134" i="28"/>
  <c r="I134" i="28"/>
  <c r="H134" i="28"/>
  <c r="G134" i="28"/>
  <c r="F134" i="28"/>
  <c r="E134" i="28"/>
  <c r="D134" i="28"/>
  <c r="C134" i="28"/>
  <c r="M133" i="28"/>
  <c r="L133" i="28"/>
  <c r="K133" i="28"/>
  <c r="J133" i="28"/>
  <c r="I133" i="28"/>
  <c r="H133" i="28"/>
  <c r="G133" i="28"/>
  <c r="F133" i="28"/>
  <c r="E133" i="28"/>
  <c r="D133" i="28"/>
  <c r="C133" i="28"/>
  <c r="M132" i="28"/>
  <c r="L132" i="28"/>
  <c r="K132" i="28"/>
  <c r="J132" i="28"/>
  <c r="I132" i="28"/>
  <c r="H132" i="28"/>
  <c r="G132" i="28"/>
  <c r="F132" i="28"/>
  <c r="E132" i="28"/>
  <c r="D132" i="28"/>
  <c r="C132" i="28"/>
  <c r="M131" i="28"/>
  <c r="L131" i="28"/>
  <c r="K131" i="28"/>
  <c r="J131" i="28"/>
  <c r="I131" i="28"/>
  <c r="H131" i="28"/>
  <c r="G131" i="28"/>
  <c r="F131" i="28"/>
  <c r="E131" i="28"/>
  <c r="D131" i="28"/>
  <c r="C131" i="28"/>
  <c r="M130" i="28"/>
  <c r="L130" i="28"/>
  <c r="K130" i="28"/>
  <c r="J130" i="28"/>
  <c r="I130" i="28"/>
  <c r="H130" i="28"/>
  <c r="G130" i="28"/>
  <c r="F130" i="28"/>
  <c r="E130" i="28"/>
  <c r="D130" i="28"/>
  <c r="C130" i="28"/>
  <c r="M129" i="28"/>
  <c r="L129" i="28"/>
  <c r="K129" i="28"/>
  <c r="J129" i="28"/>
  <c r="I129" i="28"/>
  <c r="H129" i="28"/>
  <c r="G129" i="28"/>
  <c r="F129" i="28"/>
  <c r="E129" i="28"/>
  <c r="D129" i="28"/>
  <c r="C129" i="28"/>
  <c r="M128" i="28"/>
  <c r="L128" i="28"/>
  <c r="K128" i="28"/>
  <c r="J128" i="28"/>
  <c r="I128" i="28"/>
  <c r="H128" i="28"/>
  <c r="G128" i="28"/>
  <c r="F128" i="28"/>
  <c r="E128" i="28"/>
  <c r="D128" i="28"/>
  <c r="C128" i="28"/>
  <c r="M183" i="28"/>
  <c r="L183" i="28"/>
  <c r="K183" i="28"/>
  <c r="J183" i="28"/>
  <c r="I183" i="28"/>
  <c r="H183" i="28"/>
  <c r="G183" i="28"/>
  <c r="F183" i="28"/>
  <c r="E183" i="28"/>
  <c r="D183" i="28"/>
  <c r="C183" i="28"/>
  <c r="M182" i="28"/>
  <c r="L182" i="28"/>
  <c r="K182" i="28"/>
  <c r="J182" i="28"/>
  <c r="I182" i="28"/>
  <c r="H182" i="28"/>
  <c r="G182" i="28"/>
  <c r="F182" i="28"/>
  <c r="E182" i="28"/>
  <c r="D182" i="28"/>
  <c r="C182" i="28"/>
  <c r="M181" i="28"/>
  <c r="L181" i="28"/>
  <c r="K181" i="28"/>
  <c r="J181" i="28"/>
  <c r="I181" i="28"/>
  <c r="H181" i="28"/>
  <c r="G181" i="28"/>
  <c r="F181" i="28"/>
  <c r="E181" i="28"/>
  <c r="D181" i="28"/>
  <c r="C181" i="28"/>
  <c r="M180" i="28"/>
  <c r="L180" i="28"/>
  <c r="K180" i="28"/>
  <c r="J180" i="28"/>
  <c r="I180" i="28"/>
  <c r="H180" i="28"/>
  <c r="G180" i="28"/>
  <c r="F180" i="28"/>
  <c r="E180" i="28"/>
  <c r="D180" i="28"/>
  <c r="C180" i="28"/>
  <c r="M179" i="28"/>
  <c r="L179" i="28"/>
  <c r="K179" i="28"/>
  <c r="J179" i="28"/>
  <c r="I179" i="28"/>
  <c r="H179" i="28"/>
  <c r="G179" i="28"/>
  <c r="F179" i="28"/>
  <c r="E179" i="28"/>
  <c r="D179" i="28"/>
  <c r="C179" i="28"/>
  <c r="M178" i="28"/>
  <c r="L178" i="28"/>
  <c r="K178" i="28"/>
  <c r="J178" i="28"/>
  <c r="I178" i="28"/>
  <c r="H178" i="28"/>
  <c r="G178" i="28"/>
  <c r="F178" i="28"/>
  <c r="E178" i="28"/>
  <c r="D178" i="28"/>
  <c r="C178" i="28"/>
  <c r="M177" i="28"/>
  <c r="L177" i="28"/>
  <c r="K177" i="28"/>
  <c r="J177" i="28"/>
  <c r="I177" i="28"/>
  <c r="H177" i="28"/>
  <c r="G177" i="28"/>
  <c r="F177" i="28"/>
  <c r="E177" i="28"/>
  <c r="D177" i="28"/>
  <c r="C177" i="28"/>
  <c r="M176" i="28"/>
  <c r="L176" i="28"/>
  <c r="K176" i="28"/>
  <c r="J176" i="28"/>
  <c r="I176" i="28"/>
  <c r="H176" i="28"/>
  <c r="G176" i="28"/>
  <c r="F176" i="28"/>
  <c r="E176" i="28"/>
  <c r="D176" i="28"/>
  <c r="C176" i="28"/>
  <c r="M175" i="28"/>
  <c r="L175" i="28"/>
  <c r="K175" i="28"/>
  <c r="J175" i="28"/>
  <c r="I175" i="28"/>
  <c r="H175" i="28"/>
  <c r="G175" i="28"/>
  <c r="F175" i="28"/>
  <c r="E175" i="28"/>
  <c r="D175" i="28"/>
  <c r="C175" i="28"/>
  <c r="M174" i="28"/>
  <c r="L174" i="28"/>
  <c r="K174" i="28"/>
  <c r="J174" i="28"/>
  <c r="I174" i="28"/>
  <c r="H174" i="28"/>
  <c r="G174" i="28"/>
  <c r="F174" i="28"/>
  <c r="E174" i="28"/>
  <c r="D174" i="28"/>
  <c r="C174" i="28"/>
  <c r="M173" i="28"/>
  <c r="L173" i="28"/>
  <c r="K173" i="28"/>
  <c r="J173" i="28"/>
  <c r="I173" i="28"/>
  <c r="H173" i="28"/>
  <c r="G173" i="28"/>
  <c r="F173" i="28"/>
  <c r="E173" i="28"/>
  <c r="D173" i="28"/>
  <c r="C173" i="28"/>
  <c r="M172" i="28"/>
  <c r="L172" i="28"/>
  <c r="K172" i="28"/>
  <c r="J172" i="28"/>
  <c r="I172" i="28"/>
  <c r="H172" i="28"/>
  <c r="G172" i="28"/>
  <c r="F172" i="28"/>
  <c r="E172" i="28"/>
  <c r="D172" i="28"/>
  <c r="C172" i="28"/>
  <c r="M171" i="28"/>
  <c r="L171" i="28"/>
  <c r="K171" i="28"/>
  <c r="J171" i="28"/>
  <c r="I171" i="28"/>
  <c r="H171" i="28"/>
  <c r="G171" i="28"/>
  <c r="F171" i="28"/>
  <c r="E171" i="28"/>
  <c r="D171" i="28"/>
  <c r="C171" i="28"/>
  <c r="M170" i="28"/>
  <c r="L170" i="28"/>
  <c r="K170" i="28"/>
  <c r="J170" i="28"/>
  <c r="I170" i="28"/>
  <c r="H170" i="28"/>
  <c r="G170" i="28"/>
  <c r="F170" i="28"/>
  <c r="E170" i="28"/>
  <c r="D170" i="28"/>
  <c r="C170" i="28"/>
  <c r="M169" i="28"/>
  <c r="L169" i="28"/>
  <c r="K169" i="28"/>
  <c r="J169" i="28"/>
  <c r="I169" i="28"/>
  <c r="H169" i="28"/>
  <c r="G169" i="28"/>
  <c r="F169" i="28"/>
  <c r="E169" i="28"/>
  <c r="D169" i="28"/>
  <c r="C169" i="28"/>
  <c r="M168" i="28"/>
  <c r="L168" i="28"/>
  <c r="K168" i="28"/>
  <c r="J168" i="28"/>
  <c r="I168" i="28"/>
  <c r="H168" i="28"/>
  <c r="G168" i="28"/>
  <c r="F168" i="28"/>
  <c r="E168" i="28"/>
  <c r="D168" i="28"/>
  <c r="C168" i="28"/>
  <c r="M167" i="28"/>
  <c r="L167" i="28"/>
  <c r="K167" i="28"/>
  <c r="J167" i="28"/>
  <c r="I167" i="28"/>
  <c r="H167" i="28"/>
  <c r="G167" i="28"/>
  <c r="F167" i="28"/>
  <c r="E167" i="28"/>
  <c r="D167" i="28"/>
  <c r="C167" i="28"/>
  <c r="M166" i="28"/>
  <c r="L166" i="28"/>
  <c r="K166" i="28"/>
  <c r="J166" i="28"/>
  <c r="I166" i="28"/>
  <c r="H166" i="28"/>
  <c r="G166" i="28"/>
  <c r="F166" i="28"/>
  <c r="E166" i="28"/>
  <c r="D166" i="28"/>
  <c r="C166" i="28"/>
  <c r="M165" i="28"/>
  <c r="L165" i="28"/>
  <c r="K165" i="28"/>
  <c r="J165" i="28"/>
  <c r="I165" i="28"/>
  <c r="H165" i="28"/>
  <c r="G165" i="28"/>
  <c r="F165" i="28"/>
  <c r="E165" i="28"/>
  <c r="D165" i="28"/>
  <c r="C165" i="28"/>
  <c r="M164" i="28"/>
  <c r="L164" i="28"/>
  <c r="K164" i="28"/>
  <c r="J164" i="28"/>
  <c r="I164" i="28"/>
  <c r="H164" i="28"/>
  <c r="G164" i="28"/>
  <c r="F164" i="28"/>
  <c r="E164" i="28"/>
  <c r="D164" i="28"/>
  <c r="C164" i="28"/>
  <c r="M163" i="28"/>
  <c r="L163" i="28"/>
  <c r="K163" i="28"/>
  <c r="J163" i="28"/>
  <c r="I163" i="28"/>
  <c r="H163" i="28"/>
  <c r="G163" i="28"/>
  <c r="F163" i="28"/>
  <c r="E163" i="28"/>
  <c r="D163" i="28"/>
  <c r="C163" i="28"/>
  <c r="M162" i="28"/>
  <c r="L162" i="28"/>
  <c r="K162" i="28"/>
  <c r="J162" i="28"/>
  <c r="I162" i="28"/>
  <c r="H162" i="28"/>
  <c r="G162" i="28"/>
  <c r="F162" i="28"/>
  <c r="E162" i="28"/>
  <c r="D162" i="28"/>
  <c r="C162" i="28"/>
  <c r="M161" i="28"/>
  <c r="L161" i="28"/>
  <c r="K161" i="28"/>
  <c r="J161" i="28"/>
  <c r="I161" i="28"/>
  <c r="H161" i="28"/>
  <c r="G161" i="28"/>
  <c r="F161" i="28"/>
  <c r="E161" i="28"/>
  <c r="D161" i="28"/>
  <c r="C161" i="28"/>
  <c r="M160" i="28"/>
  <c r="L160" i="28"/>
  <c r="K160" i="28"/>
  <c r="J160" i="28"/>
  <c r="I160" i="28"/>
  <c r="H160" i="28"/>
  <c r="G160" i="28"/>
  <c r="F160" i="28"/>
  <c r="E160" i="28"/>
  <c r="D160" i="28"/>
  <c r="C160" i="28"/>
  <c r="M159" i="28"/>
  <c r="L159" i="28"/>
  <c r="K159" i="28"/>
  <c r="J159" i="28"/>
  <c r="I159" i="28"/>
  <c r="H159" i="28"/>
  <c r="G159" i="28"/>
  <c r="F159" i="28"/>
  <c r="E159" i="28"/>
  <c r="D159" i="28"/>
  <c r="C159" i="28"/>
  <c r="Q80" i="13"/>
  <c r="H84" i="16"/>
  <c r="I77" i="9"/>
  <c r="I84" i="16"/>
  <c r="J77" i="9"/>
  <c r="I83" i="16"/>
  <c r="J76" i="9"/>
  <c r="G62" i="9"/>
  <c r="H99" i="9"/>
  <c r="F820" i="37"/>
  <c r="G820" i="37"/>
  <c r="I99" i="9"/>
  <c r="J820" i="37"/>
  <c r="L99" i="9"/>
  <c r="H820" i="37"/>
  <c r="J99" i="9"/>
  <c r="I820" i="37"/>
  <c r="K99" i="9"/>
  <c r="F819" i="37"/>
  <c r="L62" i="9"/>
  <c r="M62" i="9"/>
  <c r="H62" i="9"/>
  <c r="I62" i="9"/>
  <c r="N62" i="9"/>
  <c r="J62" i="9"/>
  <c r="O62" i="9"/>
  <c r="K62" i="9"/>
  <c r="Q62" i="9"/>
  <c r="F62" i="9"/>
  <c r="P61" i="9"/>
  <c r="P59" i="9"/>
  <c r="P60" i="9"/>
  <c r="D819" i="37"/>
  <c r="E819" i="37"/>
  <c r="J214" i="13"/>
  <c r="J32" i="9"/>
  <c r="J35" i="9"/>
  <c r="J56" i="9"/>
  <c r="I214" i="13"/>
  <c r="I32" i="9"/>
  <c r="I35" i="9"/>
  <c r="I56" i="9"/>
  <c r="K214" i="13"/>
  <c r="H83" i="16"/>
  <c r="I76" i="9"/>
  <c r="G83" i="16"/>
  <c r="H76" i="9"/>
  <c r="O112" i="16"/>
  <c r="N112" i="16"/>
  <c r="M112" i="16"/>
  <c r="L112" i="16"/>
  <c r="K112" i="16"/>
  <c r="J112" i="16"/>
  <c r="I112" i="16"/>
  <c r="H112" i="16"/>
  <c r="G112" i="16"/>
  <c r="F112" i="16"/>
  <c r="E112" i="16"/>
  <c r="O111" i="16"/>
  <c r="N111" i="16"/>
  <c r="M111" i="16"/>
  <c r="L111" i="16"/>
  <c r="K111" i="16"/>
  <c r="J111" i="16"/>
  <c r="I111" i="16"/>
  <c r="H111" i="16"/>
  <c r="G111" i="16"/>
  <c r="F111" i="16"/>
  <c r="E111" i="16"/>
  <c r="O96" i="16"/>
  <c r="N96" i="16"/>
  <c r="M96" i="16"/>
  <c r="L96" i="16"/>
  <c r="K96" i="16"/>
  <c r="J96" i="16"/>
  <c r="I96" i="16"/>
  <c r="H96" i="16"/>
  <c r="G96" i="16"/>
  <c r="F96" i="16"/>
  <c r="E96" i="16"/>
  <c r="O95" i="16"/>
  <c r="N95" i="16"/>
  <c r="M95" i="16"/>
  <c r="L95" i="16"/>
  <c r="K95" i="16"/>
  <c r="J95" i="16"/>
  <c r="I95" i="16"/>
  <c r="H95" i="16"/>
  <c r="G95" i="16"/>
  <c r="F95" i="16"/>
  <c r="E95" i="16"/>
  <c r="O75" i="16"/>
  <c r="O77" i="16"/>
  <c r="P73" i="9"/>
  <c r="N75" i="16"/>
  <c r="N77" i="16"/>
  <c r="M75" i="16"/>
  <c r="M77" i="16"/>
  <c r="L75" i="16"/>
  <c r="L77" i="16"/>
  <c r="K75" i="16"/>
  <c r="K77" i="16"/>
  <c r="J75" i="16"/>
  <c r="J77" i="16"/>
  <c r="O74" i="16"/>
  <c r="O76" i="16"/>
  <c r="P72" i="9"/>
  <c r="N74" i="16"/>
  <c r="N76" i="16"/>
  <c r="M74" i="16"/>
  <c r="M76" i="16"/>
  <c r="L74" i="16"/>
  <c r="L76" i="16"/>
  <c r="K74" i="16"/>
  <c r="K76" i="16"/>
  <c r="J74" i="16"/>
  <c r="J76" i="16"/>
  <c r="O68" i="16"/>
  <c r="O70" i="16"/>
  <c r="P71" i="9"/>
  <c r="N68" i="16"/>
  <c r="N70" i="16"/>
  <c r="M68" i="16"/>
  <c r="M70" i="16"/>
  <c r="L68" i="16"/>
  <c r="L70" i="16"/>
  <c r="K68" i="16"/>
  <c r="K70" i="16"/>
  <c r="J68" i="16"/>
  <c r="I68" i="16"/>
  <c r="H68" i="16"/>
  <c r="G68" i="16"/>
  <c r="F68" i="16"/>
  <c r="E68" i="16"/>
  <c r="O67" i="16"/>
  <c r="O69" i="16"/>
  <c r="P70" i="9"/>
  <c r="N67" i="16"/>
  <c r="N69" i="16"/>
  <c r="M67" i="16"/>
  <c r="M69" i="16"/>
  <c r="L67" i="16"/>
  <c r="L69" i="16"/>
  <c r="K67" i="16"/>
  <c r="K69" i="16"/>
  <c r="J67" i="16"/>
  <c r="I67" i="16"/>
  <c r="H67" i="16"/>
  <c r="G67" i="16"/>
  <c r="F67" i="16"/>
  <c r="E67" i="16"/>
  <c r="O61" i="16"/>
  <c r="O63" i="16"/>
  <c r="P69" i="9"/>
  <c r="N61" i="16"/>
  <c r="N63" i="16"/>
  <c r="M61" i="16"/>
  <c r="M63" i="16"/>
  <c r="L61" i="16"/>
  <c r="L63" i="16"/>
  <c r="K61" i="16"/>
  <c r="K63" i="16"/>
  <c r="J61" i="16"/>
  <c r="I61" i="16"/>
  <c r="H61" i="16"/>
  <c r="G61" i="16"/>
  <c r="F61" i="16"/>
  <c r="O60" i="16"/>
  <c r="O62" i="16"/>
  <c r="P68" i="9"/>
  <c r="N60" i="16"/>
  <c r="N62" i="16"/>
  <c r="M60" i="16"/>
  <c r="M62" i="16"/>
  <c r="L60" i="16"/>
  <c r="L62" i="16"/>
  <c r="K60" i="16"/>
  <c r="K62" i="16"/>
  <c r="J60" i="16"/>
  <c r="I60" i="16"/>
  <c r="H60" i="16"/>
  <c r="G60" i="16"/>
  <c r="F60" i="16"/>
  <c r="P62" i="9"/>
  <c r="M100" i="9"/>
  <c r="L100" i="9"/>
  <c r="K100" i="9"/>
  <c r="J100" i="9"/>
  <c r="I100" i="9"/>
  <c r="H100" i="9"/>
  <c r="G100" i="9"/>
  <c r="F100" i="9"/>
  <c r="P94" i="9"/>
  <c r="O94" i="9"/>
  <c r="N94" i="9"/>
  <c r="M94" i="9"/>
  <c r="L94" i="9"/>
  <c r="K94" i="9"/>
  <c r="J94" i="9"/>
  <c r="I94" i="9"/>
  <c r="H94" i="9"/>
  <c r="G94" i="9"/>
  <c r="F94" i="9"/>
  <c r="F57" i="36"/>
  <c r="F56" i="36"/>
  <c r="F55" i="36"/>
  <c r="F59" i="36"/>
  <c r="G57" i="36"/>
  <c r="G55" i="36"/>
  <c r="G56" i="36"/>
  <c r="H57" i="36"/>
  <c r="H56" i="36"/>
  <c r="H55" i="36"/>
  <c r="I57" i="36"/>
  <c r="I56" i="36"/>
  <c r="I55" i="36"/>
  <c r="I59" i="36"/>
  <c r="J57" i="36"/>
  <c r="J56" i="36"/>
  <c r="J55" i="36"/>
  <c r="K57" i="36"/>
  <c r="K56" i="36"/>
  <c r="K55" i="36"/>
  <c r="L57" i="36"/>
  <c r="L56" i="36"/>
  <c r="L55" i="36"/>
  <c r="M57" i="36"/>
  <c r="M56" i="36"/>
  <c r="M55" i="36"/>
  <c r="N57" i="36"/>
  <c r="N56" i="36"/>
  <c r="N55" i="36"/>
  <c r="O57" i="36"/>
  <c r="O56" i="36"/>
  <c r="O55" i="36"/>
  <c r="P57" i="36"/>
  <c r="P56" i="36"/>
  <c r="P55" i="36"/>
  <c r="P15" i="36"/>
  <c r="E8" i="40"/>
  <c r="F8" i="40"/>
  <c r="H50" i="3"/>
  <c r="G8" i="40"/>
  <c r="H8" i="40"/>
  <c r="I189" i="40"/>
  <c r="H189" i="40"/>
  <c r="G189" i="40"/>
  <c r="K11" i="3"/>
  <c r="F189" i="40"/>
  <c r="J11" i="3"/>
  <c r="E189" i="40"/>
  <c r="E221" i="40"/>
  <c r="E261" i="40"/>
  <c r="H21" i="3"/>
  <c r="F261" i="40"/>
  <c r="I21" i="3"/>
  <c r="G261" i="40"/>
  <c r="J21" i="3"/>
  <c r="K12" i="3"/>
  <c r="K38" i="3"/>
  <c r="L12" i="3"/>
  <c r="L38" i="3"/>
  <c r="E115" i="40"/>
  <c r="E147" i="40"/>
  <c r="H22" i="3"/>
  <c r="F115" i="40"/>
  <c r="F147" i="40"/>
  <c r="I22" i="3"/>
  <c r="G115" i="40"/>
  <c r="G147" i="40"/>
  <c r="J22" i="3"/>
  <c r="H115" i="40"/>
  <c r="H147" i="40"/>
  <c r="K22" i="3"/>
  <c r="E152" i="40"/>
  <c r="E184" i="40"/>
  <c r="F152" i="40"/>
  <c r="F184" i="40"/>
  <c r="G152" i="40"/>
  <c r="G184" i="40"/>
  <c r="H152" i="40"/>
  <c r="H184" i="40"/>
  <c r="Q122" i="41"/>
  <c r="P121" i="41"/>
  <c r="O120" i="41"/>
  <c r="Q119" i="41"/>
  <c r="N119" i="41"/>
  <c r="P118" i="41"/>
  <c r="M118" i="41"/>
  <c r="Q117" i="41"/>
  <c r="O117" i="41"/>
  <c r="L117" i="41"/>
  <c r="P116" i="41"/>
  <c r="N116" i="41"/>
  <c r="K116" i="41"/>
  <c r="O229" i="40"/>
  <c r="D131" i="41"/>
  <c r="N229" i="40"/>
  <c r="D130" i="41"/>
  <c r="M229" i="40"/>
  <c r="D129" i="41"/>
  <c r="L229" i="40"/>
  <c r="D128" i="41"/>
  <c r="Q128" i="41"/>
  <c r="K229" i="40"/>
  <c r="D127" i="41"/>
  <c r="J229" i="40"/>
  <c r="D126" i="41"/>
  <c r="I229" i="40"/>
  <c r="D125" i="41"/>
  <c r="O228" i="40"/>
  <c r="Q12" i="3"/>
  <c r="P12" i="3"/>
  <c r="O12" i="3"/>
  <c r="O38" i="3"/>
  <c r="N12" i="3"/>
  <c r="N38" i="3"/>
  <c r="M12" i="3"/>
  <c r="M38" i="3"/>
  <c r="J232" i="40"/>
  <c r="K232" i="40"/>
  <c r="L232" i="40"/>
  <c r="M232" i="40"/>
  <c r="N232" i="40"/>
  <c r="O232" i="40"/>
  <c r="O192" i="40"/>
  <c r="D111" i="41"/>
  <c r="Q103" i="41"/>
  <c r="Q100" i="41"/>
  <c r="Q98" i="41"/>
  <c r="O103" i="41"/>
  <c r="P102" i="41"/>
  <c r="O101" i="41"/>
  <c r="N100" i="41"/>
  <c r="P99" i="41"/>
  <c r="M99" i="41"/>
  <c r="O98" i="41"/>
  <c r="L102" i="41"/>
  <c r="L98" i="41"/>
  <c r="N192" i="40"/>
  <c r="D110" i="41"/>
  <c r="M192" i="40"/>
  <c r="D109" i="41"/>
  <c r="L192" i="40"/>
  <c r="D108" i="41"/>
  <c r="K192" i="40"/>
  <c r="D107" i="41"/>
  <c r="J192" i="40"/>
  <c r="D106" i="41"/>
  <c r="N189" i="40"/>
  <c r="O191" i="40"/>
  <c r="M189" i="40"/>
  <c r="M191" i="40"/>
  <c r="L189" i="40"/>
  <c r="L191" i="40"/>
  <c r="K189" i="40"/>
  <c r="K191" i="40"/>
  <c r="J189" i="40"/>
  <c r="J191" i="40"/>
  <c r="H221" i="40"/>
  <c r="G221" i="40"/>
  <c r="Q85" i="41"/>
  <c r="Q82" i="41"/>
  <c r="Q80" i="41"/>
  <c r="P84" i="41"/>
  <c r="O83" i="41"/>
  <c r="N82" i="41"/>
  <c r="P81" i="41"/>
  <c r="M81" i="41"/>
  <c r="O80" i="41"/>
  <c r="L81" i="41"/>
  <c r="L80" i="41"/>
  <c r="O155" i="40"/>
  <c r="D93" i="41"/>
  <c r="N155" i="40"/>
  <c r="D92" i="41"/>
  <c r="M155" i="40"/>
  <c r="D91" i="41"/>
  <c r="L155" i="40"/>
  <c r="D90" i="41"/>
  <c r="K155" i="40"/>
  <c r="D89" i="41"/>
  <c r="J155" i="40"/>
  <c r="D88" i="41"/>
  <c r="N152" i="40"/>
  <c r="O154" i="40"/>
  <c r="M152" i="40"/>
  <c r="M154" i="40"/>
  <c r="L152" i="40"/>
  <c r="L154" i="40"/>
  <c r="K152" i="40"/>
  <c r="K154" i="40"/>
  <c r="K167" i="40"/>
  <c r="J152" i="40"/>
  <c r="J154" i="40"/>
  <c r="I152" i="40"/>
  <c r="I184" i="40"/>
  <c r="Q67" i="41"/>
  <c r="P66" i="41"/>
  <c r="O65" i="41"/>
  <c r="Q64" i="41"/>
  <c r="N64" i="41"/>
  <c r="P63" i="41"/>
  <c r="M63" i="41"/>
  <c r="Q62" i="41"/>
  <c r="O62" i="41"/>
  <c r="L62" i="41"/>
  <c r="O118" i="40"/>
  <c r="D75" i="41"/>
  <c r="N118" i="40"/>
  <c r="D74" i="41"/>
  <c r="M118" i="40"/>
  <c r="D73" i="41"/>
  <c r="L118" i="40"/>
  <c r="D72" i="41"/>
  <c r="Q72" i="41"/>
  <c r="K118" i="40"/>
  <c r="D71" i="41"/>
  <c r="J118" i="40"/>
  <c r="D70" i="41"/>
  <c r="Q70" i="41"/>
  <c r="N115" i="40"/>
  <c r="N117" i="40"/>
  <c r="M115" i="40"/>
  <c r="M117" i="40"/>
  <c r="L115" i="40"/>
  <c r="L117" i="40"/>
  <c r="L130" i="40"/>
  <c r="K115" i="40"/>
  <c r="K117" i="40"/>
  <c r="J115" i="40"/>
  <c r="J117" i="40"/>
  <c r="I115" i="40"/>
  <c r="I147" i="40"/>
  <c r="L22" i="3"/>
  <c r="N8" i="41"/>
  <c r="O48" i="41"/>
  <c r="Q47" i="41"/>
  <c r="P46" i="41"/>
  <c r="O46" i="41"/>
  <c r="O45" i="41"/>
  <c r="Q44" i="41"/>
  <c r="N44" i="41"/>
  <c r="P89" i="40"/>
  <c r="P88" i="40"/>
  <c r="O88" i="40"/>
  <c r="P87" i="40"/>
  <c r="O87" i="40"/>
  <c r="N87" i="40"/>
  <c r="P86" i="40"/>
  <c r="O86" i="40"/>
  <c r="N86" i="40"/>
  <c r="M86" i="40"/>
  <c r="P83" i="40"/>
  <c r="D55" i="41"/>
  <c r="O83" i="40"/>
  <c r="D54" i="41"/>
  <c r="N83" i="40"/>
  <c r="D53" i="41"/>
  <c r="M83" i="40"/>
  <c r="D52" i="41"/>
  <c r="L83" i="40"/>
  <c r="D51" i="41"/>
  <c r="N80" i="40"/>
  <c r="O80" i="40"/>
  <c r="M80" i="40"/>
  <c r="M82" i="40"/>
  <c r="L80" i="40"/>
  <c r="L82" i="40"/>
  <c r="K80" i="40"/>
  <c r="K108" i="40"/>
  <c r="J80" i="40"/>
  <c r="J108" i="40"/>
  <c r="I80" i="40"/>
  <c r="I108" i="40"/>
  <c r="H80" i="40"/>
  <c r="H108" i="40"/>
  <c r="G80" i="40"/>
  <c r="G108" i="40"/>
  <c r="F80" i="40"/>
  <c r="F108" i="40"/>
  <c r="E80" i="40"/>
  <c r="E108" i="40"/>
  <c r="P44" i="40"/>
  <c r="D39" i="41"/>
  <c r="O44" i="40"/>
  <c r="D38" i="41"/>
  <c r="N44" i="40"/>
  <c r="D37" i="41"/>
  <c r="M44" i="40"/>
  <c r="D36" i="41"/>
  <c r="L44" i="40"/>
  <c r="D35" i="41"/>
  <c r="K44" i="40"/>
  <c r="D34" i="41"/>
  <c r="J44" i="40"/>
  <c r="D33" i="41"/>
  <c r="N30" i="41"/>
  <c r="P28" i="41"/>
  <c r="O27" i="41"/>
  <c r="M27" i="41"/>
  <c r="N26" i="41"/>
  <c r="P25" i="41"/>
  <c r="M25" i="41"/>
  <c r="O24" i="41"/>
  <c r="L24" i="41"/>
  <c r="O154" i="24"/>
  <c r="P154" i="24"/>
  <c r="R48" i="41"/>
  <c r="N154" i="24"/>
  <c r="N155" i="24"/>
  <c r="N156" i="24"/>
  <c r="N157" i="24"/>
  <c r="N158" i="24"/>
  <c r="N159" i="24"/>
  <c r="N160" i="24"/>
  <c r="N161" i="24"/>
  <c r="N162" i="24"/>
  <c r="N163" i="24"/>
  <c r="N164" i="24"/>
  <c r="N165" i="24"/>
  <c r="N166" i="24"/>
  <c r="N167" i="24"/>
  <c r="N168" i="24"/>
  <c r="N169" i="24"/>
  <c r="N170" i="24"/>
  <c r="N171" i="24"/>
  <c r="N172" i="24"/>
  <c r="N173" i="24"/>
  <c r="N174" i="24"/>
  <c r="N175" i="24"/>
  <c r="N176" i="24"/>
  <c r="N177" i="24"/>
  <c r="N178" i="24"/>
  <c r="N179" i="24"/>
  <c r="N180" i="24"/>
  <c r="N181" i="24"/>
  <c r="N182" i="24"/>
  <c r="N183" i="24"/>
  <c r="N184" i="24"/>
  <c r="M154" i="24"/>
  <c r="M155" i="24"/>
  <c r="M156" i="24"/>
  <c r="M157" i="24"/>
  <c r="M158" i="24"/>
  <c r="M159" i="24"/>
  <c r="M160" i="24"/>
  <c r="M161" i="24"/>
  <c r="M162" i="24"/>
  <c r="M163" i="24"/>
  <c r="M164" i="24"/>
  <c r="M165" i="24"/>
  <c r="M166" i="24"/>
  <c r="M167" i="24"/>
  <c r="M168" i="24"/>
  <c r="M169" i="24"/>
  <c r="M170" i="24"/>
  <c r="M171" i="24"/>
  <c r="M172" i="24"/>
  <c r="M173" i="24"/>
  <c r="M174" i="24"/>
  <c r="M175" i="24"/>
  <c r="M176" i="24"/>
  <c r="M177" i="24"/>
  <c r="M178" i="24"/>
  <c r="M179" i="24"/>
  <c r="M180" i="24"/>
  <c r="M181" i="24"/>
  <c r="M182" i="24"/>
  <c r="M183" i="24"/>
  <c r="M184" i="24"/>
  <c r="L154" i="24"/>
  <c r="L155" i="24"/>
  <c r="L156" i="24"/>
  <c r="L157" i="24"/>
  <c r="L158" i="24"/>
  <c r="L159" i="24"/>
  <c r="L160" i="24"/>
  <c r="L161" i="24"/>
  <c r="L162" i="24"/>
  <c r="L163" i="24"/>
  <c r="L164" i="24"/>
  <c r="L165" i="24"/>
  <c r="L166" i="24"/>
  <c r="L167" i="24"/>
  <c r="L168" i="24"/>
  <c r="L169" i="24"/>
  <c r="L170" i="24"/>
  <c r="L171" i="24"/>
  <c r="L172" i="24"/>
  <c r="L173" i="24"/>
  <c r="L174" i="24"/>
  <c r="L175" i="24"/>
  <c r="L176" i="24"/>
  <c r="L177" i="24"/>
  <c r="L178" i="24"/>
  <c r="L179" i="24"/>
  <c r="L180" i="24"/>
  <c r="L181" i="24"/>
  <c r="L182" i="24"/>
  <c r="L183" i="24"/>
  <c r="L184" i="24"/>
  <c r="K154" i="24"/>
  <c r="K155" i="24"/>
  <c r="K156" i="24"/>
  <c r="K157" i="24"/>
  <c r="K158" i="24"/>
  <c r="K159" i="24"/>
  <c r="K160" i="24"/>
  <c r="K161" i="24"/>
  <c r="K162" i="24"/>
  <c r="K163" i="24"/>
  <c r="K164" i="24"/>
  <c r="K165" i="24"/>
  <c r="K166" i="24"/>
  <c r="K167" i="24"/>
  <c r="K168" i="24"/>
  <c r="K169" i="24"/>
  <c r="K170" i="24"/>
  <c r="K171" i="24"/>
  <c r="K172" i="24"/>
  <c r="K173" i="24"/>
  <c r="K174" i="24"/>
  <c r="K175" i="24"/>
  <c r="K176" i="24"/>
  <c r="K177" i="24"/>
  <c r="K178" i="24"/>
  <c r="K179" i="24"/>
  <c r="K180" i="24"/>
  <c r="K181" i="24"/>
  <c r="K182" i="24"/>
  <c r="K183" i="24"/>
  <c r="K184" i="24"/>
  <c r="J154" i="24"/>
  <c r="J155" i="24"/>
  <c r="J156" i="24"/>
  <c r="J157" i="24"/>
  <c r="J158" i="24"/>
  <c r="J159" i="24"/>
  <c r="J160" i="24"/>
  <c r="J161" i="24"/>
  <c r="J162" i="24"/>
  <c r="J163" i="24"/>
  <c r="J164" i="24"/>
  <c r="J165" i="24"/>
  <c r="J166" i="24"/>
  <c r="J167" i="24"/>
  <c r="J168" i="24"/>
  <c r="J169" i="24"/>
  <c r="J170" i="24"/>
  <c r="J171" i="24"/>
  <c r="J172" i="24"/>
  <c r="J173" i="24"/>
  <c r="J174" i="24"/>
  <c r="J175" i="24"/>
  <c r="J176" i="24"/>
  <c r="J177" i="24"/>
  <c r="J178" i="24"/>
  <c r="J179" i="24"/>
  <c r="J180" i="24"/>
  <c r="J181" i="24"/>
  <c r="J182" i="24"/>
  <c r="J183" i="24"/>
  <c r="J184" i="24"/>
  <c r="I154" i="24"/>
  <c r="I155" i="24"/>
  <c r="I156" i="24"/>
  <c r="I157" i="24"/>
  <c r="I158" i="24"/>
  <c r="I159" i="24"/>
  <c r="I160" i="24"/>
  <c r="I161" i="24"/>
  <c r="I162" i="24"/>
  <c r="I163" i="24"/>
  <c r="I164" i="24"/>
  <c r="I165" i="24"/>
  <c r="I166" i="24"/>
  <c r="I167" i="24"/>
  <c r="I168" i="24"/>
  <c r="I169" i="24"/>
  <c r="I170" i="24"/>
  <c r="I171" i="24"/>
  <c r="I172" i="24"/>
  <c r="I173" i="24"/>
  <c r="I174" i="24"/>
  <c r="I175" i="24"/>
  <c r="I176" i="24"/>
  <c r="I177" i="24"/>
  <c r="I178" i="24"/>
  <c r="I179" i="24"/>
  <c r="I180" i="24"/>
  <c r="I181" i="24"/>
  <c r="I182" i="24"/>
  <c r="I183" i="24"/>
  <c r="I184" i="24"/>
  <c r="H154" i="24"/>
  <c r="H155" i="24"/>
  <c r="H156" i="24"/>
  <c r="H157" i="24"/>
  <c r="H158" i="24"/>
  <c r="H159" i="24"/>
  <c r="H160" i="24"/>
  <c r="H161" i="24"/>
  <c r="H162" i="24"/>
  <c r="H163" i="24"/>
  <c r="H164" i="24"/>
  <c r="H165" i="24"/>
  <c r="H166" i="24"/>
  <c r="H167" i="24"/>
  <c r="H168" i="24"/>
  <c r="H169" i="24"/>
  <c r="H170" i="24"/>
  <c r="H171" i="24"/>
  <c r="H172" i="24"/>
  <c r="H173" i="24"/>
  <c r="H174" i="24"/>
  <c r="H175" i="24"/>
  <c r="H176" i="24"/>
  <c r="H177" i="24"/>
  <c r="H178" i="24"/>
  <c r="H179" i="24"/>
  <c r="H180" i="24"/>
  <c r="H181" i="24"/>
  <c r="H182" i="24"/>
  <c r="H183" i="24"/>
  <c r="H184" i="24"/>
  <c r="G154" i="24"/>
  <c r="G155" i="24"/>
  <c r="G156" i="24"/>
  <c r="G157" i="24"/>
  <c r="G158" i="24"/>
  <c r="G159" i="24"/>
  <c r="G160" i="24"/>
  <c r="G161" i="24"/>
  <c r="G162" i="24"/>
  <c r="G163" i="24"/>
  <c r="G164" i="24"/>
  <c r="G165" i="24"/>
  <c r="G166" i="24"/>
  <c r="G167" i="24"/>
  <c r="G168" i="24"/>
  <c r="G169" i="24"/>
  <c r="G170" i="24"/>
  <c r="G171" i="24"/>
  <c r="G172" i="24"/>
  <c r="G173" i="24"/>
  <c r="G174" i="24"/>
  <c r="G175" i="24"/>
  <c r="G176" i="24"/>
  <c r="G177" i="24"/>
  <c r="G178" i="24"/>
  <c r="G179" i="24"/>
  <c r="G180" i="24"/>
  <c r="G181" i="24"/>
  <c r="G182" i="24"/>
  <c r="G183" i="24"/>
  <c r="G184" i="24"/>
  <c r="F154" i="24"/>
  <c r="F155" i="24"/>
  <c r="F156" i="24"/>
  <c r="F157" i="24"/>
  <c r="F158" i="24"/>
  <c r="F159" i="24"/>
  <c r="F160" i="24"/>
  <c r="F161" i="24"/>
  <c r="F162" i="24"/>
  <c r="F163" i="24"/>
  <c r="F164" i="24"/>
  <c r="F165" i="24"/>
  <c r="F166" i="24"/>
  <c r="F167" i="24"/>
  <c r="F168" i="24"/>
  <c r="F169" i="24"/>
  <c r="F170" i="24"/>
  <c r="F171" i="24"/>
  <c r="F172" i="24"/>
  <c r="F173" i="24"/>
  <c r="F174" i="24"/>
  <c r="F175" i="24"/>
  <c r="F176" i="24"/>
  <c r="F177" i="24"/>
  <c r="F178" i="24"/>
  <c r="F179" i="24"/>
  <c r="F180" i="24"/>
  <c r="F181" i="24"/>
  <c r="F182" i="24"/>
  <c r="F183" i="24"/>
  <c r="F184" i="24"/>
  <c r="E154" i="24"/>
  <c r="E152" i="24"/>
  <c r="O151" i="24"/>
  <c r="P151" i="24"/>
  <c r="R45" i="41"/>
  <c r="N151" i="24"/>
  <c r="M151" i="24"/>
  <c r="L151" i="24"/>
  <c r="L153" i="24"/>
  <c r="N81" i="41"/>
  <c r="K151" i="24"/>
  <c r="J151" i="24"/>
  <c r="J150" i="24"/>
  <c r="I151" i="24"/>
  <c r="H151" i="24"/>
  <c r="G151" i="24"/>
  <c r="F151" i="24"/>
  <c r="F152" i="24"/>
  <c r="E151" i="24"/>
  <c r="O147" i="24"/>
  <c r="P147" i="24"/>
  <c r="N147" i="24"/>
  <c r="N146" i="24"/>
  <c r="N145" i="24"/>
  <c r="N144" i="24"/>
  <c r="M147" i="24"/>
  <c r="L147" i="24"/>
  <c r="L146" i="24"/>
  <c r="L145" i="24"/>
  <c r="L144" i="24"/>
  <c r="K147" i="24"/>
  <c r="K146" i="24"/>
  <c r="K145" i="24"/>
  <c r="K144" i="24"/>
  <c r="J147" i="24"/>
  <c r="J146" i="24"/>
  <c r="J145" i="24"/>
  <c r="J144" i="24"/>
  <c r="I147" i="24"/>
  <c r="I148" i="24"/>
  <c r="H147" i="24"/>
  <c r="H146" i="24"/>
  <c r="H145" i="24"/>
  <c r="H144" i="24"/>
  <c r="G147" i="24"/>
  <c r="G146" i="24"/>
  <c r="G145" i="24"/>
  <c r="G144" i="24"/>
  <c r="F147" i="24"/>
  <c r="F146" i="24"/>
  <c r="F145" i="24"/>
  <c r="F144" i="24"/>
  <c r="E147" i="24"/>
  <c r="E148" i="24"/>
  <c r="P149" i="24"/>
  <c r="O149" i="24"/>
  <c r="N149" i="24"/>
  <c r="M149" i="24"/>
  <c r="M148" i="24"/>
  <c r="L149" i="24"/>
  <c r="K149" i="24"/>
  <c r="J149" i="24"/>
  <c r="I149" i="24"/>
  <c r="H149" i="24"/>
  <c r="G149" i="24"/>
  <c r="F149" i="24"/>
  <c r="E149" i="24"/>
  <c r="O155" i="24"/>
  <c r="O156" i="24"/>
  <c r="O157" i="24"/>
  <c r="O158" i="24"/>
  <c r="O159" i="24"/>
  <c r="O160" i="24"/>
  <c r="O161" i="24"/>
  <c r="O162" i="24"/>
  <c r="O163" i="24"/>
  <c r="O164" i="24"/>
  <c r="O165" i="24"/>
  <c r="O166" i="24"/>
  <c r="O167" i="24"/>
  <c r="O168" i="24"/>
  <c r="O169" i="24"/>
  <c r="O170" i="24"/>
  <c r="O171" i="24"/>
  <c r="O172" i="24"/>
  <c r="O173" i="24"/>
  <c r="O174" i="24"/>
  <c r="O175" i="24"/>
  <c r="O176" i="24"/>
  <c r="O177" i="24"/>
  <c r="O178" i="24"/>
  <c r="O179" i="24"/>
  <c r="O180" i="24"/>
  <c r="O181" i="24"/>
  <c r="O182" i="24"/>
  <c r="O183" i="24"/>
  <c r="O184" i="24"/>
  <c r="P184" i="24"/>
  <c r="L150" i="24"/>
  <c r="I150" i="24"/>
  <c r="O146" i="24"/>
  <c r="O145" i="24"/>
  <c r="M146" i="24"/>
  <c r="M145" i="24"/>
  <c r="M144" i="24"/>
  <c r="P52" i="40"/>
  <c r="P51" i="40"/>
  <c r="O51" i="40"/>
  <c r="P50" i="40"/>
  <c r="O50" i="40"/>
  <c r="N50" i="40"/>
  <c r="P49" i="40"/>
  <c r="O49" i="40"/>
  <c r="N49" i="40"/>
  <c r="M49" i="40"/>
  <c r="P48" i="40"/>
  <c r="O48" i="40"/>
  <c r="N48" i="40"/>
  <c r="M48" i="40"/>
  <c r="L48" i="40"/>
  <c r="P47" i="40"/>
  <c r="O47" i="40"/>
  <c r="N47" i="40"/>
  <c r="M47" i="40"/>
  <c r="L47" i="40"/>
  <c r="K47" i="40"/>
  <c r="K46" i="40"/>
  <c r="L46" i="40"/>
  <c r="N41" i="40"/>
  <c r="N43" i="40"/>
  <c r="M41" i="40"/>
  <c r="M43" i="40"/>
  <c r="M59" i="40"/>
  <c r="M68" i="40"/>
  <c r="L41" i="40"/>
  <c r="L43" i="40"/>
  <c r="K41" i="40"/>
  <c r="K43" i="40"/>
  <c r="J41" i="40"/>
  <c r="J43" i="40"/>
  <c r="I41" i="40"/>
  <c r="I75" i="40"/>
  <c r="H41" i="40"/>
  <c r="H75" i="40"/>
  <c r="G41" i="40"/>
  <c r="G75" i="40"/>
  <c r="F41" i="40"/>
  <c r="F75" i="40"/>
  <c r="E41" i="40"/>
  <c r="E75" i="40"/>
  <c r="R8" i="41"/>
  <c r="Q8" i="41"/>
  <c r="R12" i="41"/>
  <c r="Q12" i="41"/>
  <c r="O12" i="41"/>
  <c r="Q11" i="41"/>
  <c r="P10" i="41"/>
  <c r="O10" i="41"/>
  <c r="R9" i="41"/>
  <c r="O9" i="41"/>
  <c r="P11" i="40"/>
  <c r="D19" i="41"/>
  <c r="O11" i="40"/>
  <c r="D18" i="41"/>
  <c r="N11" i="40"/>
  <c r="D17" i="41"/>
  <c r="L11" i="40"/>
  <c r="D15" i="41"/>
  <c r="M11" i="40"/>
  <c r="D16" i="41"/>
  <c r="P107" i="24"/>
  <c r="P105" i="24"/>
  <c r="R10" i="41"/>
  <c r="O107" i="24"/>
  <c r="N107" i="24"/>
  <c r="N108" i="24"/>
  <c r="N109" i="24"/>
  <c r="N110" i="24"/>
  <c r="N111" i="24"/>
  <c r="N112" i="24"/>
  <c r="N113" i="24"/>
  <c r="N114" i="24"/>
  <c r="N115" i="24"/>
  <c r="N116" i="24"/>
  <c r="N117" i="24"/>
  <c r="N118" i="24"/>
  <c r="N119" i="24"/>
  <c r="N120" i="24"/>
  <c r="N121" i="24"/>
  <c r="N122" i="24"/>
  <c r="N123" i="24"/>
  <c r="N124" i="24"/>
  <c r="N125" i="24"/>
  <c r="N126" i="24"/>
  <c r="N127" i="24"/>
  <c r="N128" i="24"/>
  <c r="N129" i="24"/>
  <c r="N130" i="24"/>
  <c r="N131" i="24"/>
  <c r="N132" i="24"/>
  <c r="N133" i="24"/>
  <c r="N134" i="24"/>
  <c r="N135" i="24"/>
  <c r="N136" i="24"/>
  <c r="N137" i="24"/>
  <c r="M107" i="24"/>
  <c r="M108" i="24"/>
  <c r="M109" i="24"/>
  <c r="M110" i="24"/>
  <c r="M111" i="24"/>
  <c r="M112" i="24"/>
  <c r="M113" i="24"/>
  <c r="M114" i="24"/>
  <c r="M115" i="24"/>
  <c r="M116" i="24"/>
  <c r="M117" i="24"/>
  <c r="M118" i="24"/>
  <c r="M119" i="24"/>
  <c r="M120" i="24"/>
  <c r="M121" i="24"/>
  <c r="M122" i="24"/>
  <c r="M123" i="24"/>
  <c r="M124" i="24"/>
  <c r="M125" i="24"/>
  <c r="M126" i="24"/>
  <c r="M127" i="24"/>
  <c r="M128" i="24"/>
  <c r="M129" i="24"/>
  <c r="M130" i="24"/>
  <c r="M131" i="24"/>
  <c r="M132" i="24"/>
  <c r="M133" i="24"/>
  <c r="M134" i="24"/>
  <c r="M135" i="24"/>
  <c r="M136" i="24"/>
  <c r="M137" i="24"/>
  <c r="L107" i="24"/>
  <c r="K107" i="24"/>
  <c r="J107" i="24"/>
  <c r="J108" i="24"/>
  <c r="J109" i="24"/>
  <c r="J110" i="24"/>
  <c r="J111" i="24"/>
  <c r="J112" i="24"/>
  <c r="J113" i="24"/>
  <c r="J114" i="24"/>
  <c r="J115" i="24"/>
  <c r="J116" i="24"/>
  <c r="J117" i="24"/>
  <c r="J118" i="24"/>
  <c r="J119" i="24"/>
  <c r="J120" i="24"/>
  <c r="J121" i="24"/>
  <c r="J122" i="24"/>
  <c r="J123" i="24"/>
  <c r="J124" i="24"/>
  <c r="J125" i="24"/>
  <c r="J126" i="24"/>
  <c r="J127" i="24"/>
  <c r="J128" i="24"/>
  <c r="J129" i="24"/>
  <c r="J130" i="24"/>
  <c r="J131" i="24"/>
  <c r="J132" i="24"/>
  <c r="J133" i="24"/>
  <c r="J134" i="24"/>
  <c r="J135" i="24"/>
  <c r="J136" i="24"/>
  <c r="J137" i="24"/>
  <c r="I107" i="24"/>
  <c r="I108" i="24"/>
  <c r="I109" i="24"/>
  <c r="I110" i="24"/>
  <c r="I111" i="24"/>
  <c r="I112" i="24"/>
  <c r="I113" i="24"/>
  <c r="I114" i="24"/>
  <c r="I115" i="24"/>
  <c r="I116" i="24"/>
  <c r="I117" i="24"/>
  <c r="I118" i="24"/>
  <c r="I119" i="24"/>
  <c r="I120" i="24"/>
  <c r="I121" i="24"/>
  <c r="I122" i="24"/>
  <c r="I123" i="24"/>
  <c r="I124" i="24"/>
  <c r="I125" i="24"/>
  <c r="I126" i="24"/>
  <c r="I127" i="24"/>
  <c r="I128" i="24"/>
  <c r="I129" i="24"/>
  <c r="I130" i="24"/>
  <c r="I131" i="24"/>
  <c r="I132" i="24"/>
  <c r="I133" i="24"/>
  <c r="I134" i="24"/>
  <c r="I135" i="24"/>
  <c r="I136" i="24"/>
  <c r="I137" i="24"/>
  <c r="H107" i="24"/>
  <c r="H108" i="24"/>
  <c r="H109" i="24"/>
  <c r="H110" i="24"/>
  <c r="H111" i="24"/>
  <c r="H112" i="24"/>
  <c r="H113" i="24"/>
  <c r="H114" i="24"/>
  <c r="H115" i="24"/>
  <c r="H116" i="24"/>
  <c r="H117" i="24"/>
  <c r="H118" i="24"/>
  <c r="H119" i="24"/>
  <c r="H120" i="24"/>
  <c r="H121" i="24"/>
  <c r="H122" i="24"/>
  <c r="H123" i="24"/>
  <c r="H124" i="24"/>
  <c r="H125" i="24"/>
  <c r="H126" i="24"/>
  <c r="H127" i="24"/>
  <c r="H128" i="24"/>
  <c r="H129" i="24"/>
  <c r="H130" i="24"/>
  <c r="H131" i="24"/>
  <c r="H132" i="24"/>
  <c r="H133" i="24"/>
  <c r="H134" i="24"/>
  <c r="H135" i="24"/>
  <c r="H136" i="24"/>
  <c r="H137" i="24"/>
  <c r="G107" i="24"/>
  <c r="G105" i="24"/>
  <c r="F107" i="24"/>
  <c r="E107" i="24"/>
  <c r="P104" i="24"/>
  <c r="P103" i="24"/>
  <c r="O104" i="24"/>
  <c r="O105" i="24"/>
  <c r="Q9" i="41"/>
  <c r="N104" i="24"/>
  <c r="M104" i="24"/>
  <c r="M105" i="24"/>
  <c r="L104" i="24"/>
  <c r="K104" i="24"/>
  <c r="K103" i="24"/>
  <c r="J104" i="24"/>
  <c r="I104" i="24"/>
  <c r="H104" i="24"/>
  <c r="H103" i="24"/>
  <c r="G104" i="24"/>
  <c r="F104" i="24"/>
  <c r="E104" i="24"/>
  <c r="E105" i="24"/>
  <c r="P102" i="24"/>
  <c r="O102" i="24"/>
  <c r="N102" i="24"/>
  <c r="M102" i="24"/>
  <c r="M103" i="24"/>
  <c r="L102" i="24"/>
  <c r="L103" i="24"/>
  <c r="K102" i="24"/>
  <c r="J102" i="24"/>
  <c r="J101" i="24"/>
  <c r="I102" i="24"/>
  <c r="H102" i="24"/>
  <c r="H101" i="24"/>
  <c r="G102" i="24"/>
  <c r="G101" i="24"/>
  <c r="F102" i="24"/>
  <c r="F101" i="24"/>
  <c r="E102" i="24"/>
  <c r="P100" i="24"/>
  <c r="O100" i="24"/>
  <c r="N100" i="24"/>
  <c r="N99" i="24"/>
  <c r="N98" i="24"/>
  <c r="N97" i="24"/>
  <c r="M100" i="24"/>
  <c r="M99" i="24"/>
  <c r="M98" i="24"/>
  <c r="M97" i="24"/>
  <c r="L100" i="24"/>
  <c r="L99" i="24"/>
  <c r="L98" i="24"/>
  <c r="L97" i="24"/>
  <c r="K100" i="24"/>
  <c r="J100" i="24"/>
  <c r="J99" i="24"/>
  <c r="J98" i="24"/>
  <c r="J97" i="24"/>
  <c r="I100" i="24"/>
  <c r="I99" i="24"/>
  <c r="I98" i="24"/>
  <c r="I97" i="24"/>
  <c r="H100" i="24"/>
  <c r="H99" i="24"/>
  <c r="H98" i="24"/>
  <c r="H97" i="24"/>
  <c r="G100" i="24"/>
  <c r="G99" i="24"/>
  <c r="G98" i="24"/>
  <c r="G97" i="24"/>
  <c r="F100" i="24"/>
  <c r="F99" i="24"/>
  <c r="F98" i="24"/>
  <c r="F97" i="24"/>
  <c r="E100" i="24"/>
  <c r="E99" i="24"/>
  <c r="E98" i="24"/>
  <c r="E97" i="24"/>
  <c r="P108" i="24"/>
  <c r="P109" i="24"/>
  <c r="P110" i="24"/>
  <c r="P111" i="24"/>
  <c r="P112" i="24"/>
  <c r="P113" i="24"/>
  <c r="P114" i="24"/>
  <c r="P115" i="24"/>
  <c r="P116" i="24"/>
  <c r="P117" i="24"/>
  <c r="P118" i="24"/>
  <c r="P119" i="24"/>
  <c r="P120" i="24"/>
  <c r="P121" i="24"/>
  <c r="P122" i="24"/>
  <c r="P123" i="24"/>
  <c r="P124" i="24"/>
  <c r="P125" i="24"/>
  <c r="P126" i="24"/>
  <c r="P127" i="24"/>
  <c r="P128" i="24"/>
  <c r="P129" i="24"/>
  <c r="P130" i="24"/>
  <c r="P131" i="24"/>
  <c r="P132" i="24"/>
  <c r="P133" i="24"/>
  <c r="P134" i="24"/>
  <c r="P135" i="24"/>
  <c r="P136" i="24"/>
  <c r="P137" i="24"/>
  <c r="O108" i="24"/>
  <c r="O109" i="24"/>
  <c r="O110" i="24"/>
  <c r="O111" i="24"/>
  <c r="O112" i="24"/>
  <c r="O113" i="24"/>
  <c r="O114" i="24"/>
  <c r="O115" i="24"/>
  <c r="O116" i="24"/>
  <c r="O117" i="24"/>
  <c r="O118" i="24"/>
  <c r="O119" i="24"/>
  <c r="O120" i="24"/>
  <c r="O121" i="24"/>
  <c r="O122" i="24"/>
  <c r="O123" i="24"/>
  <c r="O124" i="24"/>
  <c r="O125" i="24"/>
  <c r="O126" i="24"/>
  <c r="O127" i="24"/>
  <c r="O128" i="24"/>
  <c r="O129" i="24"/>
  <c r="O130" i="24"/>
  <c r="O131" i="24"/>
  <c r="O132" i="24"/>
  <c r="O133" i="24"/>
  <c r="O134" i="24"/>
  <c r="O135" i="24"/>
  <c r="O136" i="24"/>
  <c r="O137" i="24"/>
  <c r="L108" i="24"/>
  <c r="L109" i="24"/>
  <c r="L110" i="24"/>
  <c r="L111" i="24"/>
  <c r="L112" i="24"/>
  <c r="L113" i="24"/>
  <c r="L114" i="24"/>
  <c r="L115" i="24"/>
  <c r="L116" i="24"/>
  <c r="L117" i="24"/>
  <c r="L118" i="24"/>
  <c r="L119" i="24"/>
  <c r="L120" i="24"/>
  <c r="L121" i="24"/>
  <c r="L122" i="24"/>
  <c r="L123" i="24"/>
  <c r="L124" i="24"/>
  <c r="L125" i="24"/>
  <c r="L126" i="24"/>
  <c r="L127" i="24"/>
  <c r="L128" i="24"/>
  <c r="L129" i="24"/>
  <c r="L130" i="24"/>
  <c r="L131" i="24"/>
  <c r="L132" i="24"/>
  <c r="L133" i="24"/>
  <c r="L134" i="24"/>
  <c r="L135" i="24"/>
  <c r="L136" i="24"/>
  <c r="L137" i="24"/>
  <c r="K108" i="24"/>
  <c r="K109" i="24"/>
  <c r="K110" i="24"/>
  <c r="K111" i="24"/>
  <c r="K112" i="24"/>
  <c r="K113" i="24"/>
  <c r="K114" i="24"/>
  <c r="K115" i="24"/>
  <c r="K116" i="24"/>
  <c r="K117" i="24"/>
  <c r="K118" i="24"/>
  <c r="K119" i="24"/>
  <c r="K120" i="24"/>
  <c r="K121" i="24"/>
  <c r="K122" i="24"/>
  <c r="K123" i="24"/>
  <c r="K124" i="24"/>
  <c r="K125" i="24"/>
  <c r="K126" i="24"/>
  <c r="K127" i="24"/>
  <c r="K128" i="24"/>
  <c r="K129" i="24"/>
  <c r="K130" i="24"/>
  <c r="K131" i="24"/>
  <c r="K132" i="24"/>
  <c r="K133" i="24"/>
  <c r="K134" i="24"/>
  <c r="K135" i="24"/>
  <c r="K136" i="24"/>
  <c r="K137" i="24"/>
  <c r="G108" i="24"/>
  <c r="G109" i="24"/>
  <c r="G110" i="24"/>
  <c r="G111" i="24"/>
  <c r="G112" i="24"/>
  <c r="G113" i="24"/>
  <c r="G114" i="24"/>
  <c r="G115" i="24"/>
  <c r="G116" i="24"/>
  <c r="G117" i="24"/>
  <c r="G118" i="24"/>
  <c r="G119" i="24"/>
  <c r="G120" i="24"/>
  <c r="G121" i="24"/>
  <c r="G122" i="24"/>
  <c r="G123" i="24"/>
  <c r="G124" i="24"/>
  <c r="G125" i="24"/>
  <c r="G126" i="24"/>
  <c r="G127" i="24"/>
  <c r="G128" i="24"/>
  <c r="G129" i="24"/>
  <c r="G130" i="24"/>
  <c r="G131" i="24"/>
  <c r="G132" i="24"/>
  <c r="G133" i="24"/>
  <c r="G134" i="24"/>
  <c r="G135" i="24"/>
  <c r="G136" i="24"/>
  <c r="G137" i="24"/>
  <c r="F108" i="24"/>
  <c r="F109" i="24"/>
  <c r="F110" i="24"/>
  <c r="F111" i="24"/>
  <c r="F112" i="24"/>
  <c r="F113" i="24"/>
  <c r="F114" i="24"/>
  <c r="F115" i="24"/>
  <c r="F116" i="24"/>
  <c r="F117" i="24"/>
  <c r="F118" i="24"/>
  <c r="F119" i="24"/>
  <c r="F120" i="24"/>
  <c r="F121" i="24"/>
  <c r="F122" i="24"/>
  <c r="F123" i="24"/>
  <c r="F124" i="24"/>
  <c r="F125" i="24"/>
  <c r="F126" i="24"/>
  <c r="F127" i="24"/>
  <c r="F128" i="24"/>
  <c r="F129" i="24"/>
  <c r="F130" i="24"/>
  <c r="F131" i="24"/>
  <c r="F132" i="24"/>
  <c r="F133" i="24"/>
  <c r="F134" i="24"/>
  <c r="F135" i="24"/>
  <c r="F136" i="24"/>
  <c r="F137" i="24"/>
  <c r="E108" i="24"/>
  <c r="E109" i="24"/>
  <c r="E110" i="24"/>
  <c r="E111" i="24"/>
  <c r="E112" i="24"/>
  <c r="E113" i="24"/>
  <c r="E114" i="24"/>
  <c r="E115" i="24"/>
  <c r="E116" i="24"/>
  <c r="E117" i="24"/>
  <c r="E118" i="24"/>
  <c r="E119" i="24"/>
  <c r="E120" i="24"/>
  <c r="E121" i="24"/>
  <c r="E122" i="24"/>
  <c r="E123" i="24"/>
  <c r="E124" i="24"/>
  <c r="E125" i="24"/>
  <c r="E126" i="24"/>
  <c r="E127" i="24"/>
  <c r="E128" i="24"/>
  <c r="E129" i="24"/>
  <c r="E130" i="24"/>
  <c r="E131" i="24"/>
  <c r="E132" i="24"/>
  <c r="E133" i="24"/>
  <c r="E134" i="24"/>
  <c r="E135" i="24"/>
  <c r="E136" i="24"/>
  <c r="E137" i="24"/>
  <c r="G103" i="24"/>
  <c r="F103" i="24"/>
  <c r="P101" i="24"/>
  <c r="O101" i="24"/>
  <c r="K101" i="24"/>
  <c r="I101" i="24"/>
  <c r="P99" i="24"/>
  <c r="P98" i="24"/>
  <c r="P97" i="24"/>
  <c r="O99" i="24"/>
  <c r="K99" i="24"/>
  <c r="K98" i="24"/>
  <c r="K97" i="24"/>
  <c r="O98" i="24"/>
  <c r="O97" i="24"/>
  <c r="P61" i="24"/>
  <c r="O61" i="24"/>
  <c r="N61" i="24"/>
  <c r="M61" i="24"/>
  <c r="L61" i="24"/>
  <c r="K61" i="24"/>
  <c r="J61" i="24"/>
  <c r="I61" i="24"/>
  <c r="H61" i="24"/>
  <c r="G61" i="24"/>
  <c r="F61" i="24"/>
  <c r="E61" i="24"/>
  <c r="P58" i="24"/>
  <c r="O58" i="24"/>
  <c r="N58" i="24"/>
  <c r="M58" i="24"/>
  <c r="L58" i="24"/>
  <c r="K58" i="24"/>
  <c r="J58" i="24"/>
  <c r="I58" i="24"/>
  <c r="H58" i="24"/>
  <c r="G58" i="24"/>
  <c r="F58" i="24"/>
  <c r="E58" i="24"/>
  <c r="P56" i="24"/>
  <c r="O56" i="24"/>
  <c r="N56" i="24"/>
  <c r="M56" i="24"/>
  <c r="L56" i="24"/>
  <c r="K56" i="24"/>
  <c r="J56" i="24"/>
  <c r="I56" i="24"/>
  <c r="H56" i="24"/>
  <c r="G56" i="24"/>
  <c r="F56" i="24"/>
  <c r="E56" i="24"/>
  <c r="P54" i="24"/>
  <c r="O54" i="24"/>
  <c r="N54" i="24"/>
  <c r="M54" i="24"/>
  <c r="L54" i="24"/>
  <c r="K54" i="24"/>
  <c r="J54" i="24"/>
  <c r="I54" i="24"/>
  <c r="H54" i="24"/>
  <c r="G54" i="24"/>
  <c r="F54" i="24"/>
  <c r="E54" i="24"/>
  <c r="O16" i="24"/>
  <c r="N16" i="24"/>
  <c r="M16" i="24"/>
  <c r="L16" i="24"/>
  <c r="K16" i="24"/>
  <c r="J16" i="24"/>
  <c r="I16" i="24"/>
  <c r="H16" i="24"/>
  <c r="G16" i="24"/>
  <c r="F16" i="24"/>
  <c r="E16" i="24"/>
  <c r="O13" i="24"/>
  <c r="N13" i="24"/>
  <c r="M13" i="24"/>
  <c r="L13" i="24"/>
  <c r="K13" i="24"/>
  <c r="J13" i="24"/>
  <c r="I13" i="24"/>
  <c r="H13" i="24"/>
  <c r="G13" i="24"/>
  <c r="F13" i="24"/>
  <c r="E13" i="24"/>
  <c r="O11" i="24"/>
  <c r="N11" i="24"/>
  <c r="M11" i="24"/>
  <c r="L11" i="24"/>
  <c r="K11" i="24"/>
  <c r="J11" i="24"/>
  <c r="I11" i="24"/>
  <c r="H11" i="24"/>
  <c r="G11" i="24"/>
  <c r="F11" i="24"/>
  <c r="E11" i="24"/>
  <c r="O9" i="24"/>
  <c r="N9" i="24"/>
  <c r="M9" i="24"/>
  <c r="L9" i="24"/>
  <c r="K9" i="24"/>
  <c r="J9" i="24"/>
  <c r="I9" i="24"/>
  <c r="H9" i="24"/>
  <c r="G9" i="24"/>
  <c r="F9" i="24"/>
  <c r="E9" i="24"/>
  <c r="N25" i="41"/>
  <c r="L27" i="41"/>
  <c r="O28" i="41"/>
  <c r="M30" i="41"/>
  <c r="N48" i="41"/>
  <c r="O84" i="41"/>
  <c r="L101" i="41"/>
  <c r="N99" i="41"/>
  <c r="N101" i="41"/>
  <c r="N103" i="41"/>
  <c r="N27" i="41"/>
  <c r="L29" i="41"/>
  <c r="O30" i="41"/>
  <c r="P48" i="41"/>
  <c r="L82" i="41"/>
  <c r="M83" i="41"/>
  <c r="M85" i="41"/>
  <c r="L103" i="41"/>
  <c r="P103" i="41"/>
  <c r="R55" i="41"/>
  <c r="L26" i="41"/>
  <c r="M29" i="41"/>
  <c r="P30" i="41"/>
  <c r="Q48" i="41"/>
  <c r="L83" i="41"/>
  <c r="N83" i="41"/>
  <c r="N85" i="41"/>
  <c r="M100" i="41"/>
  <c r="M102" i="41"/>
  <c r="M26" i="41"/>
  <c r="N29" i="41"/>
  <c r="L84" i="41"/>
  <c r="O85" i="41"/>
  <c r="N102" i="41"/>
  <c r="L28" i="41"/>
  <c r="O29" i="41"/>
  <c r="N45" i="41"/>
  <c r="O47" i="41"/>
  <c r="L85" i="41"/>
  <c r="P85" i="41"/>
  <c r="O102" i="41"/>
  <c r="L25" i="41"/>
  <c r="M28" i="41"/>
  <c r="P29" i="41"/>
  <c r="N46" i="41"/>
  <c r="P47" i="41"/>
  <c r="M82" i="41"/>
  <c r="M84" i="41"/>
  <c r="L99" i="41"/>
  <c r="N28" i="41"/>
  <c r="L30" i="41"/>
  <c r="N47" i="41"/>
  <c r="N84" i="41"/>
  <c r="L100" i="41"/>
  <c r="M101" i="41"/>
  <c r="M103" i="41"/>
  <c r="P12" i="41"/>
  <c r="N9" i="41"/>
  <c r="N10" i="41"/>
  <c r="N11" i="41"/>
  <c r="O11" i="41"/>
  <c r="N12" i="41"/>
  <c r="P11" i="41"/>
  <c r="Q131" i="41"/>
  <c r="O59" i="36"/>
  <c r="H59" i="36"/>
  <c r="J59" i="36"/>
  <c r="H110" i="16"/>
  <c r="L59" i="36"/>
  <c r="G59" i="36"/>
  <c r="F110" i="16"/>
  <c r="F114" i="16"/>
  <c r="N59" i="36"/>
  <c r="K59" i="36"/>
  <c r="J110" i="16"/>
  <c r="J115" i="16"/>
  <c r="P59" i="36"/>
  <c r="O110" i="16"/>
  <c r="O114" i="16"/>
  <c r="M59" i="36"/>
  <c r="L110" i="16"/>
  <c r="G110" i="16"/>
  <c r="G114" i="16"/>
  <c r="J228" i="40"/>
  <c r="J245" i="40"/>
  <c r="J254" i="40"/>
  <c r="F221" i="40"/>
  <c r="I20" i="3"/>
  <c r="H261" i="40"/>
  <c r="K21" i="3"/>
  <c r="L228" i="40"/>
  <c r="L246" i="40"/>
  <c r="L255" i="40"/>
  <c r="K58" i="3"/>
  <c r="J10" i="3"/>
  <c r="J36" i="3"/>
  <c r="P13" i="3"/>
  <c r="L58" i="3"/>
  <c r="J57" i="3"/>
  <c r="J19" i="3"/>
  <c r="K20" i="3"/>
  <c r="H12" i="3"/>
  <c r="H38" i="3"/>
  <c r="Q11" i="3"/>
  <c r="Q37" i="3"/>
  <c r="J13" i="3"/>
  <c r="I58" i="3"/>
  <c r="I228" i="40"/>
  <c r="I247" i="40"/>
  <c r="I256" i="40"/>
  <c r="H11" i="3"/>
  <c r="H20" i="3"/>
  <c r="M13" i="3"/>
  <c r="M39" i="3"/>
  <c r="J51" i="3"/>
  <c r="I12" i="3"/>
  <c r="K51" i="3"/>
  <c r="M228" i="40"/>
  <c r="M243" i="40"/>
  <c r="I57" i="3"/>
  <c r="N58" i="3"/>
  <c r="N228" i="40"/>
  <c r="N245" i="40"/>
  <c r="I19" i="3"/>
  <c r="I44" i="3"/>
  <c r="P11" i="3"/>
  <c r="P37" i="3"/>
  <c r="J50" i="3"/>
  <c r="L57" i="3"/>
  <c r="K57" i="3"/>
  <c r="O247" i="40"/>
  <c r="O256" i="40"/>
  <c r="O243" i="40"/>
  <c r="O245" i="40"/>
  <c r="O241" i="40"/>
  <c r="O244" i="40"/>
  <c r="O253" i="40"/>
  <c r="O246" i="40"/>
  <c r="O242" i="40"/>
  <c r="L19" i="3"/>
  <c r="K19" i="3"/>
  <c r="R10" i="3"/>
  <c r="R36" i="3"/>
  <c r="K10" i="3"/>
  <c r="K36" i="3"/>
  <c r="N11" i="3"/>
  <c r="J12" i="3"/>
  <c r="R12" i="3"/>
  <c r="O13" i="3"/>
  <c r="O52" i="3"/>
  <c r="J58" i="3"/>
  <c r="K228" i="40"/>
  <c r="L10" i="3"/>
  <c r="O11" i="3"/>
  <c r="O37" i="3"/>
  <c r="H13" i="3"/>
  <c r="Q13" i="3"/>
  <c r="Q39" i="3"/>
  <c r="I50" i="3"/>
  <c r="L51" i="3"/>
  <c r="H52" i="3"/>
  <c r="P52" i="3"/>
  <c r="M10" i="3"/>
  <c r="I13" i="3"/>
  <c r="I39" i="3"/>
  <c r="I52" i="3"/>
  <c r="Q52" i="3"/>
  <c r="N51" i="3"/>
  <c r="R52" i="3"/>
  <c r="M58" i="3"/>
  <c r="O10" i="3"/>
  <c r="O36" i="3"/>
  <c r="R11" i="3"/>
  <c r="K13" i="3"/>
  <c r="K39" i="3"/>
  <c r="O51" i="3"/>
  <c r="K52" i="3"/>
  <c r="M51" i="3"/>
  <c r="J246" i="40"/>
  <c r="J255" i="40"/>
  <c r="N10" i="3"/>
  <c r="J52" i="3"/>
  <c r="H10" i="3"/>
  <c r="H19" i="3"/>
  <c r="H44" i="3"/>
  <c r="P10" i="3"/>
  <c r="I11" i="3"/>
  <c r="I37" i="3"/>
  <c r="M11" i="3"/>
  <c r="M37" i="3"/>
  <c r="L13" i="3"/>
  <c r="L39" i="3"/>
  <c r="H51" i="3"/>
  <c r="H57" i="3"/>
  <c r="P51" i="3"/>
  <c r="L52" i="3"/>
  <c r="I10" i="3"/>
  <c r="I36" i="3"/>
  <c r="Q10" i="3"/>
  <c r="Q36" i="3"/>
  <c r="I51" i="3"/>
  <c r="Q51" i="3"/>
  <c r="M52" i="3"/>
  <c r="N13" i="3"/>
  <c r="N52" i="3"/>
  <c r="P130" i="41"/>
  <c r="Q75" i="41"/>
  <c r="R52" i="41"/>
  <c r="O126" i="41"/>
  <c r="N128" i="41"/>
  <c r="N125" i="41"/>
  <c r="Q126" i="41"/>
  <c r="P125" i="41"/>
  <c r="M127" i="41"/>
  <c r="O129" i="41"/>
  <c r="L126" i="41"/>
  <c r="K125" i="41"/>
  <c r="P127" i="41"/>
  <c r="K37" i="3"/>
  <c r="Q38" i="3"/>
  <c r="J37" i="3"/>
  <c r="P38" i="3"/>
  <c r="I221" i="40"/>
  <c r="L20" i="3"/>
  <c r="L11" i="3"/>
  <c r="O88" i="41"/>
  <c r="R39" i="41"/>
  <c r="P92" i="41"/>
  <c r="Q93" i="41"/>
  <c r="Q111" i="41"/>
  <c r="J169" i="40"/>
  <c r="J177" i="40"/>
  <c r="J171" i="40"/>
  <c r="J179" i="40"/>
  <c r="K132" i="40"/>
  <c r="K140" i="40"/>
  <c r="K134" i="40"/>
  <c r="K142" i="40"/>
  <c r="N191" i="40"/>
  <c r="R19" i="41"/>
  <c r="Q88" i="41"/>
  <c r="J132" i="40"/>
  <c r="J140" i="40"/>
  <c r="M203" i="40"/>
  <c r="M206" i="40"/>
  <c r="M205" i="40"/>
  <c r="M204" i="40"/>
  <c r="M207" i="40"/>
  <c r="M215" i="40"/>
  <c r="M208" i="40"/>
  <c r="M216" i="40"/>
  <c r="O73" i="41"/>
  <c r="N90" i="41"/>
  <c r="Q90" i="41"/>
  <c r="M133" i="40"/>
  <c r="M141" i="40"/>
  <c r="M131" i="40"/>
  <c r="M129" i="40"/>
  <c r="M134" i="40"/>
  <c r="M142" i="40"/>
  <c r="M130" i="40"/>
  <c r="M132" i="40"/>
  <c r="L170" i="40"/>
  <c r="L178" i="40"/>
  <c r="L168" i="40"/>
  <c r="L171" i="40"/>
  <c r="L179" i="40"/>
  <c r="L166" i="40"/>
  <c r="L169" i="40"/>
  <c r="L177" i="40"/>
  <c r="L167" i="40"/>
  <c r="O91" i="41"/>
  <c r="L106" i="41"/>
  <c r="Q106" i="41"/>
  <c r="O106" i="41"/>
  <c r="N132" i="40"/>
  <c r="N130" i="40"/>
  <c r="N133" i="40"/>
  <c r="N131" i="40"/>
  <c r="N134" i="40"/>
  <c r="N142" i="40"/>
  <c r="M168" i="40"/>
  <c r="M171" i="40"/>
  <c r="M179" i="40"/>
  <c r="M166" i="40"/>
  <c r="M169" i="40"/>
  <c r="M170" i="40"/>
  <c r="M178" i="40"/>
  <c r="M167" i="40"/>
  <c r="P107" i="41"/>
  <c r="N107" i="41"/>
  <c r="M107" i="41"/>
  <c r="O204" i="40"/>
  <c r="O207" i="40"/>
  <c r="O205" i="40"/>
  <c r="O208" i="40"/>
  <c r="O203" i="40"/>
  <c r="O206" i="40"/>
  <c r="O171" i="40"/>
  <c r="O166" i="40"/>
  <c r="O169" i="40"/>
  <c r="O167" i="40"/>
  <c r="O170" i="40"/>
  <c r="O168" i="40"/>
  <c r="J203" i="40"/>
  <c r="J208" i="40"/>
  <c r="J216" i="40"/>
  <c r="J207" i="40"/>
  <c r="J215" i="40"/>
  <c r="J206" i="40"/>
  <c r="J214" i="40"/>
  <c r="J205" i="40"/>
  <c r="J213" i="40"/>
  <c r="J204" i="40"/>
  <c r="J212" i="40"/>
  <c r="Q108" i="41"/>
  <c r="N108" i="41"/>
  <c r="K205" i="40"/>
  <c r="K213" i="40"/>
  <c r="K208" i="40"/>
  <c r="K216" i="40"/>
  <c r="K203" i="40"/>
  <c r="K206" i="40"/>
  <c r="K214" i="40"/>
  <c r="K204" i="40"/>
  <c r="K207" i="40"/>
  <c r="K215" i="40"/>
  <c r="O109" i="41"/>
  <c r="L208" i="40"/>
  <c r="L216" i="40"/>
  <c r="L203" i="40"/>
  <c r="L206" i="40"/>
  <c r="L214" i="40"/>
  <c r="L204" i="40"/>
  <c r="L207" i="40"/>
  <c r="L215" i="40"/>
  <c r="L205" i="40"/>
  <c r="P110" i="41"/>
  <c r="L132" i="40"/>
  <c r="L140" i="40"/>
  <c r="J170" i="40"/>
  <c r="J178" i="40"/>
  <c r="K169" i="40"/>
  <c r="K177" i="40"/>
  <c r="P74" i="41"/>
  <c r="K166" i="40"/>
  <c r="M89" i="41"/>
  <c r="K175" i="40"/>
  <c r="L134" i="40"/>
  <c r="L142" i="40"/>
  <c r="L129" i="40"/>
  <c r="K131" i="40"/>
  <c r="K139" i="40"/>
  <c r="K133" i="40"/>
  <c r="K141" i="40"/>
  <c r="K171" i="40"/>
  <c r="K179" i="40"/>
  <c r="N89" i="41"/>
  <c r="L131" i="40"/>
  <c r="L133" i="40"/>
  <c r="L141" i="40"/>
  <c r="N154" i="40"/>
  <c r="J166" i="40"/>
  <c r="K168" i="40"/>
  <c r="K176" i="40"/>
  <c r="L88" i="41"/>
  <c r="J167" i="40"/>
  <c r="J175" i="40"/>
  <c r="P89" i="41"/>
  <c r="K130" i="40"/>
  <c r="J168" i="40"/>
  <c r="J176" i="40"/>
  <c r="K170" i="40"/>
  <c r="K178" i="40"/>
  <c r="N129" i="40"/>
  <c r="K129" i="40"/>
  <c r="J131" i="40"/>
  <c r="J139" i="40"/>
  <c r="J130" i="40"/>
  <c r="J138" i="40"/>
  <c r="J134" i="40"/>
  <c r="J142" i="40"/>
  <c r="J129" i="40"/>
  <c r="J133" i="40"/>
  <c r="J141" i="40"/>
  <c r="L70" i="41"/>
  <c r="P71" i="41"/>
  <c r="O70" i="41"/>
  <c r="N72" i="41"/>
  <c r="M71" i="41"/>
  <c r="N82" i="40"/>
  <c r="N95" i="40"/>
  <c r="N102" i="40"/>
  <c r="L94" i="40"/>
  <c r="L101" i="40"/>
  <c r="L93" i="40"/>
  <c r="L100" i="40"/>
  <c r="L92" i="40"/>
  <c r="L96" i="40"/>
  <c r="L103" i="40"/>
  <c r="L95" i="40"/>
  <c r="L102" i="40"/>
  <c r="L33" i="41"/>
  <c r="Q33" i="41"/>
  <c r="O33" i="41"/>
  <c r="M95" i="40"/>
  <c r="M102" i="40"/>
  <c r="M93" i="40"/>
  <c r="M96" i="40"/>
  <c r="M103" i="40"/>
  <c r="M94" i="40"/>
  <c r="M101" i="40"/>
  <c r="M92" i="40"/>
  <c r="P80" i="40"/>
  <c r="P82" i="40"/>
  <c r="P93" i="40"/>
  <c r="O82" i="40"/>
  <c r="N51" i="41"/>
  <c r="Q51" i="41"/>
  <c r="R15" i="41"/>
  <c r="Q15" i="41"/>
  <c r="P15" i="41"/>
  <c r="N15" i="41"/>
  <c r="Q54" i="41"/>
  <c r="O52" i="41"/>
  <c r="M58" i="40"/>
  <c r="P53" i="41"/>
  <c r="M56" i="40"/>
  <c r="O41" i="40"/>
  <c r="R51" i="3"/>
  <c r="M57" i="40"/>
  <c r="N60" i="40"/>
  <c r="N69" i="40"/>
  <c r="N59" i="40"/>
  <c r="N61" i="40"/>
  <c r="N70" i="40"/>
  <c r="N58" i="40"/>
  <c r="P37" i="41"/>
  <c r="M46" i="40"/>
  <c r="L55" i="40"/>
  <c r="J56" i="40"/>
  <c r="J65" i="40"/>
  <c r="J57" i="40"/>
  <c r="J66" i="40"/>
  <c r="J58" i="40"/>
  <c r="J67" i="40"/>
  <c r="J59" i="40"/>
  <c r="J68" i="40"/>
  <c r="J60" i="40"/>
  <c r="J69" i="40"/>
  <c r="J61" i="40"/>
  <c r="J70" i="40"/>
  <c r="J55" i="40"/>
  <c r="N57" i="40"/>
  <c r="K57" i="40"/>
  <c r="K66" i="40"/>
  <c r="K58" i="40"/>
  <c r="K67" i="40"/>
  <c r="K56" i="40"/>
  <c r="K59" i="40"/>
  <c r="K68" i="40"/>
  <c r="K60" i="40"/>
  <c r="K69" i="40"/>
  <c r="K61" i="40"/>
  <c r="K70" i="40"/>
  <c r="L56" i="40"/>
  <c r="L58" i="40"/>
  <c r="L67" i="40"/>
  <c r="L59" i="40"/>
  <c r="L68" i="40"/>
  <c r="L60" i="40"/>
  <c r="L69" i="40"/>
  <c r="L57" i="40"/>
  <c r="L61" i="40"/>
  <c r="L70" i="40"/>
  <c r="P34" i="41"/>
  <c r="N34" i="41"/>
  <c r="M34" i="41"/>
  <c r="R34" i="41"/>
  <c r="N56" i="40"/>
  <c r="N35" i="41"/>
  <c r="R36" i="41"/>
  <c r="K55" i="40"/>
  <c r="Q35" i="41"/>
  <c r="Q38" i="41"/>
  <c r="M61" i="40"/>
  <c r="M70" i="40"/>
  <c r="O36" i="41"/>
  <c r="M60" i="40"/>
  <c r="M69" i="40"/>
  <c r="P175" i="24"/>
  <c r="N152" i="24"/>
  <c r="G152" i="24"/>
  <c r="P180" i="24"/>
  <c r="E155" i="24"/>
  <c r="E156" i="24"/>
  <c r="E157" i="24"/>
  <c r="E158" i="24"/>
  <c r="E159" i="24"/>
  <c r="E160" i="24"/>
  <c r="E161" i="24"/>
  <c r="E162" i="24"/>
  <c r="E163" i="24"/>
  <c r="E164" i="24"/>
  <c r="E165" i="24"/>
  <c r="E166" i="24"/>
  <c r="E167" i="24"/>
  <c r="E168" i="24"/>
  <c r="E169" i="24"/>
  <c r="E170" i="24"/>
  <c r="E171" i="24"/>
  <c r="E172" i="24"/>
  <c r="E173" i="24"/>
  <c r="E174" i="24"/>
  <c r="E175" i="24"/>
  <c r="E176" i="24"/>
  <c r="E177" i="24"/>
  <c r="E178" i="24"/>
  <c r="E179" i="24"/>
  <c r="E180" i="24"/>
  <c r="E181" i="24"/>
  <c r="E182" i="24"/>
  <c r="E183" i="24"/>
  <c r="E184" i="24"/>
  <c r="P156" i="24"/>
  <c r="H152" i="24"/>
  <c r="P183" i="24"/>
  <c r="K153" i="24"/>
  <c r="P172" i="24"/>
  <c r="P167" i="24"/>
  <c r="P164" i="24"/>
  <c r="P159" i="24"/>
  <c r="P182" i="24"/>
  <c r="P174" i="24"/>
  <c r="P166" i="24"/>
  <c r="P158" i="24"/>
  <c r="P181" i="24"/>
  <c r="P173" i="24"/>
  <c r="P165" i="24"/>
  <c r="P157" i="24"/>
  <c r="P179" i="24"/>
  <c r="P171" i="24"/>
  <c r="P163" i="24"/>
  <c r="P155" i="24"/>
  <c r="P178" i="24"/>
  <c r="P170" i="24"/>
  <c r="P162" i="24"/>
  <c r="I153" i="24"/>
  <c r="P177" i="24"/>
  <c r="P169" i="24"/>
  <c r="P161" i="24"/>
  <c r="M152" i="24"/>
  <c r="P176" i="24"/>
  <c r="P168" i="24"/>
  <c r="P160" i="24"/>
  <c r="O152" i="24"/>
  <c r="O150" i="24"/>
  <c r="P150" i="24"/>
  <c r="R44" i="41"/>
  <c r="R51" i="41"/>
  <c r="N150" i="24"/>
  <c r="K150" i="24"/>
  <c r="J153" i="24"/>
  <c r="E150" i="24"/>
  <c r="F150" i="24"/>
  <c r="G150" i="24"/>
  <c r="H150" i="24"/>
  <c r="H148" i="24"/>
  <c r="E146" i="24"/>
  <c r="E145" i="24"/>
  <c r="E144" i="24"/>
  <c r="O144" i="24"/>
  <c r="P144" i="24"/>
  <c r="P145" i="24"/>
  <c r="P146" i="24"/>
  <c r="K148" i="24"/>
  <c r="O148" i="24"/>
  <c r="P148" i="24"/>
  <c r="N148" i="24"/>
  <c r="M150" i="24"/>
  <c r="L148" i="24"/>
  <c r="J148" i="24"/>
  <c r="G148" i="24"/>
  <c r="F148" i="24"/>
  <c r="I146" i="24"/>
  <c r="I145" i="24"/>
  <c r="I144" i="24"/>
  <c r="I152" i="24"/>
  <c r="E153" i="24"/>
  <c r="M153" i="24"/>
  <c r="J152" i="24"/>
  <c r="F153" i="24"/>
  <c r="N153" i="24"/>
  <c r="K152" i="24"/>
  <c r="G153" i="24"/>
  <c r="O153" i="24"/>
  <c r="L152" i="24"/>
  <c r="H153" i="24"/>
  <c r="O16" i="41"/>
  <c r="Q16" i="41"/>
  <c r="R17" i="41"/>
  <c r="R16" i="41"/>
  <c r="P17" i="41"/>
  <c r="Q18" i="41"/>
  <c r="N105" i="24"/>
  <c r="P8" i="41"/>
  <c r="F105" i="24"/>
  <c r="J106" i="24"/>
  <c r="I106" i="24"/>
  <c r="L106" i="24"/>
  <c r="O103" i="24"/>
  <c r="N103" i="24"/>
  <c r="K106" i="24"/>
  <c r="H105" i="24"/>
  <c r="E103" i="24"/>
  <c r="I103" i="24"/>
  <c r="N101" i="24"/>
  <c r="M101" i="24"/>
  <c r="L101" i="24"/>
  <c r="E101" i="24"/>
  <c r="J103" i="24"/>
  <c r="I105" i="24"/>
  <c r="E106" i="24"/>
  <c r="M106" i="24"/>
  <c r="O8" i="41"/>
  <c r="O15" i="41"/>
  <c r="J105" i="24"/>
  <c r="F106" i="24"/>
  <c r="N106" i="24"/>
  <c r="P9" i="41"/>
  <c r="P16" i="41"/>
  <c r="K105" i="24"/>
  <c r="G106" i="24"/>
  <c r="O106" i="24"/>
  <c r="Q10" i="41"/>
  <c r="Q17" i="41"/>
  <c r="L105" i="24"/>
  <c r="H106" i="24"/>
  <c r="P106" i="24"/>
  <c r="R11" i="41"/>
  <c r="R18" i="41"/>
  <c r="K43" i="3"/>
  <c r="K44" i="3"/>
  <c r="Q43" i="3"/>
  <c r="O81" i="41"/>
  <c r="O89" i="41"/>
  <c r="O25" i="41"/>
  <c r="O34" i="41"/>
  <c r="O99" i="41"/>
  <c r="O107" i="41"/>
  <c r="P26" i="41"/>
  <c r="P35" i="41"/>
  <c r="P100" i="41"/>
  <c r="P108" i="41"/>
  <c r="P82" i="41"/>
  <c r="P90" i="41"/>
  <c r="P44" i="41"/>
  <c r="P51" i="41"/>
  <c r="P80" i="41"/>
  <c r="P88" i="41"/>
  <c r="P98" i="41"/>
  <c r="P106" i="41"/>
  <c r="P24" i="41"/>
  <c r="P33" i="41"/>
  <c r="O26" i="41"/>
  <c r="O35" i="41"/>
  <c r="O100" i="41"/>
  <c r="O108" i="41"/>
  <c r="O44" i="41"/>
  <c r="O51" i="41"/>
  <c r="O82" i="41"/>
  <c r="O90" i="41"/>
  <c r="M176" i="40"/>
  <c r="P45" i="41"/>
  <c r="P52" i="41"/>
  <c r="P83" i="41"/>
  <c r="P91" i="41"/>
  <c r="P27" i="41"/>
  <c r="P36" i="41"/>
  <c r="N67" i="40"/>
  <c r="P101" i="41"/>
  <c r="P109" i="41"/>
  <c r="M80" i="41"/>
  <c r="M88" i="41"/>
  <c r="M98" i="41"/>
  <c r="M106" i="41"/>
  <c r="M24" i="41"/>
  <c r="M33" i="41"/>
  <c r="K64" i="40"/>
  <c r="N80" i="41"/>
  <c r="N88" i="41"/>
  <c r="L174" i="40"/>
  <c r="N98" i="41"/>
  <c r="N106" i="41"/>
  <c r="N24" i="41"/>
  <c r="N33" i="41"/>
  <c r="P152" i="24"/>
  <c r="R46" i="41"/>
  <c r="R53" i="41"/>
  <c r="Q45" i="41"/>
  <c r="Q52" i="41"/>
  <c r="P153" i="24"/>
  <c r="R47" i="41"/>
  <c r="R54" i="41"/>
  <c r="Q46" i="41"/>
  <c r="Q53" i="41"/>
  <c r="M174" i="40"/>
  <c r="L242" i="40"/>
  <c r="J242" i="40"/>
  <c r="J251" i="40"/>
  <c r="J244" i="40"/>
  <c r="J253" i="40"/>
  <c r="J247" i="40"/>
  <c r="J256" i="40"/>
  <c r="L243" i="40"/>
  <c r="J243" i="40"/>
  <c r="J252" i="40"/>
  <c r="L241" i="40"/>
  <c r="L247" i="40"/>
  <c r="L256" i="40"/>
  <c r="J241" i="40"/>
  <c r="O115" i="16"/>
  <c r="G115" i="16"/>
  <c r="H114" i="16"/>
  <c r="H115" i="16"/>
  <c r="L115" i="16"/>
  <c r="L114" i="16"/>
  <c r="M110" i="16"/>
  <c r="M115" i="16"/>
  <c r="F115" i="16"/>
  <c r="E110" i="16"/>
  <c r="K110" i="16"/>
  <c r="I110" i="16"/>
  <c r="N110" i="16"/>
  <c r="J114" i="16"/>
  <c r="J20" i="3"/>
  <c r="J44" i="3"/>
  <c r="F15" i="12"/>
  <c r="L244" i="40"/>
  <c r="L253" i="40"/>
  <c r="R37" i="3"/>
  <c r="N37" i="3"/>
  <c r="G15" i="12"/>
  <c r="H37" i="3"/>
  <c r="N36" i="3"/>
  <c r="D15" i="12"/>
  <c r="O39" i="3"/>
  <c r="O43" i="3"/>
  <c r="J39" i="3"/>
  <c r="P39" i="3"/>
  <c r="I245" i="40"/>
  <c r="I254" i="40"/>
  <c r="I241" i="40"/>
  <c r="I250" i="40"/>
  <c r="M241" i="40"/>
  <c r="O251" i="40"/>
  <c r="J38" i="3"/>
  <c r="I38" i="3"/>
  <c r="I43" i="3"/>
  <c r="H58" i="3"/>
  <c r="N243" i="40"/>
  <c r="N252" i="40"/>
  <c r="E15" i="12"/>
  <c r="L245" i="40"/>
  <c r="L254" i="40"/>
  <c r="I63" i="3"/>
  <c r="N247" i="40"/>
  <c r="N256" i="40"/>
  <c r="N242" i="40"/>
  <c r="N246" i="40"/>
  <c r="N255" i="40"/>
  <c r="N244" i="40"/>
  <c r="I246" i="40"/>
  <c r="I255" i="40"/>
  <c r="R38" i="3"/>
  <c r="L36" i="3"/>
  <c r="H39" i="3"/>
  <c r="M247" i="40"/>
  <c r="M256" i="40"/>
  <c r="M242" i="40"/>
  <c r="M251" i="40"/>
  <c r="M246" i="40"/>
  <c r="M255" i="40"/>
  <c r="M245" i="40"/>
  <c r="M254" i="40"/>
  <c r="M244" i="40"/>
  <c r="I243" i="40"/>
  <c r="I252" i="40"/>
  <c r="M36" i="3"/>
  <c r="M43" i="3"/>
  <c r="L250" i="40"/>
  <c r="I244" i="40"/>
  <c r="I253" i="40"/>
  <c r="I242" i="40"/>
  <c r="I251" i="40"/>
  <c r="N241" i="40"/>
  <c r="N250" i="40"/>
  <c r="H36" i="3"/>
  <c r="P41" i="40"/>
  <c r="S51" i="3"/>
  <c r="P36" i="3"/>
  <c r="N39" i="3"/>
  <c r="J63" i="3"/>
  <c r="H63" i="3"/>
  <c r="K245" i="40"/>
  <c r="K254" i="40"/>
  <c r="K241" i="40"/>
  <c r="K247" i="40"/>
  <c r="K256" i="40"/>
  <c r="K243" i="40"/>
  <c r="K252" i="40"/>
  <c r="K246" i="40"/>
  <c r="K255" i="40"/>
  <c r="K242" i="40"/>
  <c r="K244" i="40"/>
  <c r="K253" i="40"/>
  <c r="S52" i="3"/>
  <c r="P100" i="40"/>
  <c r="O176" i="40"/>
  <c r="L37" i="3"/>
  <c r="O179" i="40"/>
  <c r="O216" i="40"/>
  <c r="L212" i="40"/>
  <c r="L64" i="40"/>
  <c r="M177" i="40"/>
  <c r="M65" i="40"/>
  <c r="J64" i="40"/>
  <c r="J72" i="40"/>
  <c r="J74" i="40"/>
  <c r="J75" i="40"/>
  <c r="M137" i="40"/>
  <c r="M67" i="40"/>
  <c r="O43" i="40"/>
  <c r="O56" i="40"/>
  <c r="K212" i="40"/>
  <c r="L176" i="40"/>
  <c r="M140" i="40"/>
  <c r="O211" i="40"/>
  <c r="N206" i="40"/>
  <c r="N208" i="40"/>
  <c r="N216" i="40"/>
  <c r="N94" i="40"/>
  <c r="N101" i="40"/>
  <c r="N204" i="40"/>
  <c r="N212" i="40"/>
  <c r="N203" i="40"/>
  <c r="N211" i="40"/>
  <c r="O213" i="40"/>
  <c r="M175" i="40"/>
  <c r="N141" i="40"/>
  <c r="M212" i="40"/>
  <c r="L213" i="40"/>
  <c r="J174" i="40"/>
  <c r="J181" i="40"/>
  <c r="J183" i="40"/>
  <c r="J184" i="40"/>
  <c r="M19" i="3"/>
  <c r="J211" i="40"/>
  <c r="J218" i="40"/>
  <c r="J220" i="40"/>
  <c r="J221" i="40"/>
  <c r="M20" i="3"/>
  <c r="K211" i="40"/>
  <c r="N92" i="40"/>
  <c r="N205" i="40"/>
  <c r="N213" i="40"/>
  <c r="O174" i="40"/>
  <c r="N207" i="40"/>
  <c r="N215" i="40"/>
  <c r="L139" i="40"/>
  <c r="N96" i="40"/>
  <c r="N103" i="40"/>
  <c r="P95" i="40"/>
  <c r="P102" i="40"/>
  <c r="N168" i="40"/>
  <c r="N171" i="40"/>
  <c r="N179" i="40"/>
  <c r="N166" i="40"/>
  <c r="N174" i="40"/>
  <c r="N169" i="40"/>
  <c r="N177" i="40"/>
  <c r="N170" i="40"/>
  <c r="N178" i="40"/>
  <c r="N167" i="40"/>
  <c r="N175" i="40"/>
  <c r="L211" i="40"/>
  <c r="N138" i="40"/>
  <c r="M213" i="40"/>
  <c r="J137" i="40"/>
  <c r="J144" i="40"/>
  <c r="K174" i="40"/>
  <c r="K181" i="40"/>
  <c r="K183" i="40"/>
  <c r="K184" i="40"/>
  <c r="L175" i="40"/>
  <c r="M214" i="40"/>
  <c r="M211" i="40"/>
  <c r="P96" i="40"/>
  <c r="P103" i="40"/>
  <c r="K138" i="40"/>
  <c r="M99" i="40"/>
  <c r="N93" i="40"/>
  <c r="N100" i="40"/>
  <c r="M100" i="40"/>
  <c r="O95" i="40"/>
  <c r="O102" i="40"/>
  <c r="O96" i="40"/>
  <c r="O103" i="40"/>
  <c r="O92" i="40"/>
  <c r="O99" i="40"/>
  <c r="O93" i="40"/>
  <c r="P94" i="40"/>
  <c r="P101" i="40"/>
  <c r="P92" i="40"/>
  <c r="P99" i="40"/>
  <c r="L99" i="40"/>
  <c r="L105" i="40"/>
  <c r="L107" i="40"/>
  <c r="L108" i="40"/>
  <c r="O94" i="40"/>
  <c r="O101" i="40"/>
  <c r="L65" i="40"/>
  <c r="N66" i="40"/>
  <c r="N68" i="40"/>
  <c r="K65" i="40"/>
  <c r="M66" i="40"/>
  <c r="N65" i="40"/>
  <c r="N46" i="40"/>
  <c r="M55" i="40"/>
  <c r="M64" i="40"/>
  <c r="L66" i="40"/>
  <c r="P43" i="3"/>
  <c r="H43" i="3"/>
  <c r="J43" i="3"/>
  <c r="D46" i="12"/>
  <c r="E46" i="12"/>
  <c r="F46" i="12"/>
  <c r="L43" i="3"/>
  <c r="N43" i="3"/>
  <c r="O100" i="40"/>
  <c r="N99" i="40"/>
  <c r="N176" i="40"/>
  <c r="N214" i="40"/>
  <c r="M114" i="16"/>
  <c r="N114" i="16"/>
  <c r="N115" i="16"/>
  <c r="I115" i="16"/>
  <c r="I114" i="16"/>
  <c r="E115" i="16"/>
  <c r="E114" i="16"/>
  <c r="K115" i="16"/>
  <c r="K114" i="16"/>
  <c r="N19" i="3"/>
  <c r="I258" i="40"/>
  <c r="I260" i="40"/>
  <c r="I261" i="40"/>
  <c r="L21" i="3"/>
  <c r="O59" i="40"/>
  <c r="P43" i="40"/>
  <c r="L218" i="40"/>
  <c r="L220" i="40"/>
  <c r="L221" i="40"/>
  <c r="M57" i="3"/>
  <c r="O58" i="3"/>
  <c r="O60" i="40"/>
  <c r="O69" i="40"/>
  <c r="K218" i="40"/>
  <c r="K220" i="40"/>
  <c r="K221" i="40"/>
  <c r="N20" i="3"/>
  <c r="O58" i="40"/>
  <c r="O57" i="40"/>
  <c r="O66" i="40"/>
  <c r="O61" i="40"/>
  <c r="O70" i="40"/>
  <c r="M72" i="40"/>
  <c r="M74" i="40"/>
  <c r="M75" i="40"/>
  <c r="M181" i="40"/>
  <c r="M183" i="40"/>
  <c r="M184" i="40"/>
  <c r="L181" i="40"/>
  <c r="L183" i="40"/>
  <c r="L184" i="40"/>
  <c r="O19" i="3"/>
  <c r="N218" i="40"/>
  <c r="N220" i="40"/>
  <c r="N221" i="40"/>
  <c r="J146" i="40"/>
  <c r="J147" i="40"/>
  <c r="M22" i="3"/>
  <c r="M218" i="40"/>
  <c r="M220" i="40"/>
  <c r="M221" i="40"/>
  <c r="P20" i="3"/>
  <c r="N181" i="40"/>
  <c r="N183" i="40"/>
  <c r="N184" i="40"/>
  <c r="K72" i="40"/>
  <c r="K74" i="40"/>
  <c r="K75" i="40"/>
  <c r="P105" i="40"/>
  <c r="P107" i="40"/>
  <c r="P108" i="40"/>
  <c r="N105" i="40"/>
  <c r="N107" i="40"/>
  <c r="N108" i="40"/>
  <c r="O105" i="40"/>
  <c r="O107" i="40"/>
  <c r="O108" i="40"/>
  <c r="M105" i="40"/>
  <c r="M107" i="40"/>
  <c r="M108" i="40"/>
  <c r="P58" i="3"/>
  <c r="L72" i="40"/>
  <c r="L74" i="40"/>
  <c r="L75" i="40"/>
  <c r="O46" i="40"/>
  <c r="N55" i="40"/>
  <c r="N64" i="40"/>
  <c r="N72" i="40"/>
  <c r="N74" i="40"/>
  <c r="N75" i="40"/>
  <c r="L44" i="3"/>
  <c r="H15" i="12"/>
  <c r="P57" i="3"/>
  <c r="P61" i="40"/>
  <c r="P70" i="40"/>
  <c r="P59" i="40"/>
  <c r="P58" i="40"/>
  <c r="P67" i="40"/>
  <c r="P56" i="40"/>
  <c r="P65" i="40"/>
  <c r="P57" i="40"/>
  <c r="P60" i="40"/>
  <c r="R58" i="3"/>
  <c r="P19" i="3"/>
  <c r="O57" i="3"/>
  <c r="N57" i="3"/>
  <c r="O20" i="3"/>
  <c r="Q58" i="3"/>
  <c r="Q20" i="3"/>
  <c r="Q19" i="3"/>
  <c r="Q57" i="3"/>
  <c r="S58" i="3"/>
  <c r="P46" i="40"/>
  <c r="P55" i="40"/>
  <c r="O55" i="40"/>
  <c r="O64" i="40"/>
  <c r="N8" i="40"/>
  <c r="M8" i="40"/>
  <c r="L8" i="40"/>
  <c r="K8" i="40"/>
  <c r="J8" i="40"/>
  <c r="I8" i="40"/>
  <c r="H36" i="40"/>
  <c r="G36" i="40"/>
  <c r="J56" i="3"/>
  <c r="J64" i="3"/>
  <c r="F47" i="12"/>
  <c r="F36" i="40"/>
  <c r="E36" i="40"/>
  <c r="P7" i="9"/>
  <c r="Q7" i="9"/>
  <c r="O7" i="9"/>
  <c r="N7" i="9"/>
  <c r="M7" i="9"/>
  <c r="L7" i="9"/>
  <c r="K7" i="9"/>
  <c r="J7" i="9"/>
  <c r="I7" i="9"/>
  <c r="H7" i="9"/>
  <c r="G7" i="9"/>
  <c r="F7" i="9"/>
  <c r="P6" i="9"/>
  <c r="O6" i="9"/>
  <c r="N6" i="9"/>
  <c r="M6" i="9"/>
  <c r="L6" i="9"/>
  <c r="K6" i="9"/>
  <c r="J6" i="9"/>
  <c r="I6" i="9"/>
  <c r="H6" i="9"/>
  <c r="G6" i="9"/>
  <c r="F6" i="9"/>
  <c r="O71" i="9"/>
  <c r="Q71" i="9"/>
  <c r="N71" i="9"/>
  <c r="O73" i="9"/>
  <c r="Q73" i="9"/>
  <c r="N73" i="9"/>
  <c r="M73" i="9"/>
  <c r="L73" i="9"/>
  <c r="K73" i="9"/>
  <c r="J73" i="9"/>
  <c r="I73" i="9"/>
  <c r="H73" i="9"/>
  <c r="G73" i="9"/>
  <c r="F73" i="9"/>
  <c r="O78" i="36"/>
  <c r="N78" i="36"/>
  <c r="M78" i="36"/>
  <c r="L78" i="36"/>
  <c r="K78" i="36"/>
  <c r="O77" i="36"/>
  <c r="N77" i="36"/>
  <c r="M77" i="36"/>
  <c r="L77" i="36"/>
  <c r="K77" i="36"/>
  <c r="O76" i="36"/>
  <c r="N76" i="36"/>
  <c r="M76" i="36"/>
  <c r="L76" i="36"/>
  <c r="K76" i="36"/>
  <c r="B455" i="37"/>
  <c r="D456" i="37"/>
  <c r="P11" i="9"/>
  <c r="O11" i="9"/>
  <c r="O52" i="9"/>
  <c r="N11" i="9"/>
  <c r="N52" i="9"/>
  <c r="M11" i="9"/>
  <c r="M52" i="9"/>
  <c r="L11" i="9"/>
  <c r="L52" i="9"/>
  <c r="K11" i="9"/>
  <c r="K52" i="9"/>
  <c r="J11" i="9"/>
  <c r="J52" i="9"/>
  <c r="I11" i="9"/>
  <c r="I52" i="9"/>
  <c r="H11" i="9"/>
  <c r="H52" i="9"/>
  <c r="G11" i="9"/>
  <c r="G52" i="9"/>
  <c r="F11" i="9"/>
  <c r="F52" i="9"/>
  <c r="H56" i="3"/>
  <c r="H64" i="3"/>
  <c r="D47" i="12"/>
  <c r="I36" i="40"/>
  <c r="K56" i="3"/>
  <c r="K64" i="3"/>
  <c r="G47" i="12"/>
  <c r="L50" i="3"/>
  <c r="K50" i="3"/>
  <c r="J36" i="40"/>
  <c r="M50" i="3"/>
  <c r="K36" i="40"/>
  <c r="N50" i="3"/>
  <c r="L10" i="40"/>
  <c r="L24" i="40"/>
  <c r="L31" i="40"/>
  <c r="O50" i="3"/>
  <c r="M10" i="40"/>
  <c r="M21" i="40"/>
  <c r="M28" i="40"/>
  <c r="P50" i="3"/>
  <c r="I56" i="3"/>
  <c r="I64" i="3"/>
  <c r="E47" i="12"/>
  <c r="N10" i="40"/>
  <c r="N21" i="40"/>
  <c r="N28" i="40"/>
  <c r="Q11" i="9"/>
  <c r="Q52" i="9"/>
  <c r="P52" i="9"/>
  <c r="L72" i="9"/>
  <c r="M72" i="9"/>
  <c r="O72" i="9"/>
  <c r="Q72" i="9"/>
  <c r="N72" i="9"/>
  <c r="N70" i="9"/>
  <c r="O70" i="9"/>
  <c r="Q70" i="9"/>
  <c r="F72" i="9"/>
  <c r="G72" i="9"/>
  <c r="H72" i="9"/>
  <c r="I72" i="9"/>
  <c r="J72" i="9"/>
  <c r="O8" i="40"/>
  <c r="Q50" i="3"/>
  <c r="K72" i="9"/>
  <c r="E463" i="37"/>
  <c r="F456" i="37"/>
  <c r="E459" i="37"/>
  <c r="E457" i="37"/>
  <c r="M23" i="40"/>
  <c r="M30" i="40"/>
  <c r="N24" i="40"/>
  <c r="N31" i="40"/>
  <c r="N23" i="40"/>
  <c r="N30" i="40"/>
  <c r="M22" i="40"/>
  <c r="M29" i="40"/>
  <c r="M24" i="40"/>
  <c r="M31" i="40"/>
  <c r="L20" i="40"/>
  <c r="L27" i="40"/>
  <c r="L23" i="40"/>
  <c r="L30" i="40"/>
  <c r="L21" i="40"/>
  <c r="L28" i="40"/>
  <c r="M20" i="40"/>
  <c r="M27" i="40"/>
  <c r="L22" i="40"/>
  <c r="L29" i="40"/>
  <c r="N63" i="3"/>
  <c r="Q63" i="3"/>
  <c r="M63" i="3"/>
  <c r="P63" i="3"/>
  <c r="M56" i="3"/>
  <c r="M64" i="3"/>
  <c r="I47" i="12"/>
  <c r="N22" i="40"/>
  <c r="N29" i="40"/>
  <c r="K63" i="3"/>
  <c r="O63" i="3"/>
  <c r="L63" i="3"/>
  <c r="N20" i="40"/>
  <c r="N27" i="40"/>
  <c r="L56" i="3"/>
  <c r="L64" i="3"/>
  <c r="H47" i="12"/>
  <c r="P8" i="40"/>
  <c r="O10" i="40"/>
  <c r="F457" i="37"/>
  <c r="F463" i="37"/>
  <c r="G456" i="37"/>
  <c r="F459" i="37"/>
  <c r="K46" i="12"/>
  <c r="I46" i="12"/>
  <c r="G46" i="12"/>
  <c r="M46" i="12"/>
  <c r="J46" i="12"/>
  <c r="H46" i="12"/>
  <c r="L46" i="12"/>
  <c r="N33" i="40"/>
  <c r="N35" i="40"/>
  <c r="N36" i="40"/>
  <c r="M33" i="40"/>
  <c r="M35" i="40"/>
  <c r="M36" i="40"/>
  <c r="L33" i="40"/>
  <c r="L35" i="40"/>
  <c r="L36" i="40"/>
  <c r="R50" i="3"/>
  <c r="O21" i="40"/>
  <c r="O28" i="40"/>
  <c r="O20" i="40"/>
  <c r="O27" i="40"/>
  <c r="O23" i="40"/>
  <c r="O30" i="40"/>
  <c r="O22" i="40"/>
  <c r="O29" i="40"/>
  <c r="O24" i="40"/>
  <c r="O31" i="40"/>
  <c r="P10" i="40"/>
  <c r="Q8" i="40"/>
  <c r="S50" i="3"/>
  <c r="G457" i="37"/>
  <c r="G463" i="37"/>
  <c r="H456" i="37"/>
  <c r="G459" i="37"/>
  <c r="G460" i="37"/>
  <c r="P56" i="3"/>
  <c r="P64" i="3"/>
  <c r="L47" i="12"/>
  <c r="O33" i="40"/>
  <c r="O35" i="40"/>
  <c r="O36" i="40"/>
  <c r="O56" i="3"/>
  <c r="O64" i="3"/>
  <c r="K47" i="12"/>
  <c r="N56" i="3"/>
  <c r="N64" i="3"/>
  <c r="J47" i="12"/>
  <c r="S63" i="3"/>
  <c r="O46" i="12"/>
  <c r="R63" i="3"/>
  <c r="P21" i="40"/>
  <c r="P28" i="40"/>
  <c r="P24" i="40"/>
  <c r="P31" i="40"/>
  <c r="P22" i="40"/>
  <c r="P29" i="40"/>
  <c r="P20" i="40"/>
  <c r="P27" i="40"/>
  <c r="P23" i="40"/>
  <c r="P30" i="40"/>
  <c r="G461" i="37"/>
  <c r="H459" i="37"/>
  <c r="H457" i="37"/>
  <c r="H463" i="37"/>
  <c r="H464" i="37"/>
  <c r="I456" i="37"/>
  <c r="N46" i="12"/>
  <c r="P33" i="40"/>
  <c r="P35" i="40"/>
  <c r="Q56" i="3"/>
  <c r="Q64" i="3"/>
  <c r="M47" i="12"/>
  <c r="H465" i="37"/>
  <c r="I459" i="37"/>
  <c r="I460" i="37"/>
  <c r="I457" i="37"/>
  <c r="I463" i="37"/>
  <c r="J456" i="37"/>
  <c r="Q35" i="40"/>
  <c r="Q36" i="40"/>
  <c r="P36" i="40"/>
  <c r="J459" i="37"/>
  <c r="J460" i="37"/>
  <c r="J463" i="37"/>
  <c r="J457" i="37"/>
  <c r="I461" i="37"/>
  <c r="S56" i="3"/>
  <c r="R56" i="3"/>
  <c r="J461" i="37"/>
  <c r="L28" i="9"/>
  <c r="K28" i="9"/>
  <c r="J28" i="9"/>
  <c r="I28" i="9"/>
  <c r="H28" i="9"/>
  <c r="G28" i="9"/>
  <c r="F28" i="9"/>
  <c r="K27" i="9"/>
  <c r="J27" i="9"/>
  <c r="I27" i="9"/>
  <c r="H27" i="9"/>
  <c r="G27" i="9"/>
  <c r="F27" i="9"/>
  <c r="O26" i="9"/>
  <c r="N26" i="9"/>
  <c r="M26" i="9"/>
  <c r="L26" i="9"/>
  <c r="K26" i="9"/>
  <c r="J26" i="9"/>
  <c r="I26" i="9"/>
  <c r="H26" i="9"/>
  <c r="G26" i="9"/>
  <c r="F26" i="9"/>
  <c r="M22" i="9"/>
  <c r="L22" i="9"/>
  <c r="K22" i="9"/>
  <c r="J22" i="9"/>
  <c r="I22" i="9"/>
  <c r="H22" i="9"/>
  <c r="G22" i="9"/>
  <c r="F22" i="9"/>
  <c r="G21" i="9"/>
  <c r="F21" i="9"/>
  <c r="Q16" i="9"/>
  <c r="P16" i="9"/>
  <c r="O16" i="9"/>
  <c r="N16" i="9"/>
  <c r="M16" i="9"/>
  <c r="L16" i="9"/>
  <c r="K16" i="9"/>
  <c r="J16" i="9"/>
  <c r="I16" i="9"/>
  <c r="H16" i="9"/>
  <c r="G16" i="9"/>
  <c r="F16" i="9"/>
  <c r="I15" i="9"/>
  <c r="H15" i="9"/>
  <c r="G15" i="9"/>
  <c r="F15" i="9"/>
  <c r="N23" i="39"/>
  <c r="M23" i="39"/>
  <c r="L23" i="39"/>
  <c r="K23" i="39"/>
  <c r="J23" i="39"/>
  <c r="I23" i="39"/>
  <c r="H23" i="39"/>
  <c r="G23" i="39"/>
  <c r="F23" i="39"/>
  <c r="E23" i="39"/>
  <c r="D23" i="39"/>
  <c r="F19" i="39"/>
  <c r="F18" i="39"/>
  <c r="F17" i="39"/>
  <c r="F16" i="39"/>
  <c r="F15" i="39"/>
  <c r="F14" i="39"/>
  <c r="F13" i="39"/>
  <c r="F12" i="39"/>
  <c r="F11" i="39"/>
  <c r="F10" i="39"/>
  <c r="F9" i="39"/>
  <c r="F8" i="39"/>
  <c r="F7" i="39"/>
  <c r="F6" i="39"/>
  <c r="F5" i="39"/>
  <c r="M78" i="33"/>
  <c r="L78" i="33"/>
  <c r="M158" i="26"/>
  <c r="L158" i="26"/>
  <c r="K158" i="26"/>
  <c r="J159" i="26"/>
  <c r="J158" i="26"/>
  <c r="I158" i="26"/>
  <c r="I159" i="26"/>
  <c r="H159" i="26"/>
  <c r="H158" i="26"/>
  <c r="G159" i="26"/>
  <c r="G158" i="26"/>
  <c r="F159" i="26"/>
  <c r="F158" i="26"/>
  <c r="E159" i="26"/>
  <c r="E158" i="26"/>
  <c r="D158" i="26"/>
  <c r="C158" i="26"/>
  <c r="H110" i="26"/>
  <c r="H111" i="26"/>
  <c r="H112" i="26"/>
  <c r="H113" i="26"/>
  <c r="H114" i="26"/>
  <c r="H115" i="26"/>
  <c r="H116" i="26"/>
  <c r="H117" i="26"/>
  <c r="H118" i="26"/>
  <c r="H119" i="26"/>
  <c r="H120" i="26"/>
  <c r="H121" i="26"/>
  <c r="H122" i="26"/>
  <c r="H123" i="26"/>
  <c r="H124" i="26"/>
  <c r="H125" i="26"/>
  <c r="H126" i="26"/>
  <c r="H127" i="26"/>
  <c r="H128" i="26"/>
  <c r="H129" i="26"/>
  <c r="H130" i="26"/>
  <c r="H131" i="26"/>
  <c r="H132" i="26"/>
  <c r="H133" i="26"/>
  <c r="H134" i="26"/>
  <c r="H135" i="26"/>
  <c r="H136" i="26"/>
  <c r="H137" i="26"/>
  <c r="H138" i="26"/>
  <c r="H139" i="26"/>
  <c r="H140" i="26"/>
  <c r="H141" i="26"/>
  <c r="H142" i="26"/>
  <c r="H143" i="26"/>
  <c r="H144" i="26"/>
  <c r="H145" i="26"/>
  <c r="H146" i="26"/>
  <c r="H147" i="26"/>
  <c r="H148" i="26"/>
  <c r="H149" i="26"/>
  <c r="H150" i="26"/>
  <c r="H151" i="26"/>
  <c r="H109" i="26"/>
  <c r="M104" i="30"/>
  <c r="L104" i="30"/>
  <c r="B75" i="30"/>
  <c r="K104" i="30"/>
  <c r="J104" i="30"/>
  <c r="I104" i="30"/>
  <c r="H104" i="30"/>
  <c r="G104" i="30"/>
  <c r="F104" i="30"/>
  <c r="D105" i="30"/>
  <c r="E104" i="30"/>
  <c r="D104" i="30"/>
  <c r="C105" i="30"/>
  <c r="C104" i="30"/>
  <c r="G98" i="30"/>
  <c r="G97" i="30"/>
  <c r="G96" i="30"/>
  <c r="G95" i="30"/>
  <c r="G94" i="30"/>
  <c r="G93" i="30"/>
  <c r="G92" i="30"/>
  <c r="G91" i="30"/>
  <c r="G90" i="30"/>
  <c r="G89" i="30"/>
  <c r="G88" i="30"/>
  <c r="G87" i="30"/>
  <c r="G86" i="30"/>
  <c r="G85" i="30"/>
  <c r="G84" i="30"/>
  <c r="G83" i="30"/>
  <c r="G82" i="30"/>
  <c r="G81" i="30"/>
  <c r="G80" i="30"/>
  <c r="G79" i="30"/>
  <c r="G78" i="30"/>
  <c r="G77" i="30"/>
  <c r="G76" i="30"/>
  <c r="G75" i="30"/>
  <c r="G74" i="30"/>
  <c r="B98" i="30"/>
  <c r="B97" i="30"/>
  <c r="B96" i="30"/>
  <c r="B151" i="26"/>
  <c r="B150" i="26"/>
  <c r="B149" i="26"/>
  <c r="B148" i="26"/>
  <c r="B147" i="26"/>
  <c r="B144" i="26"/>
  <c r="B89" i="30"/>
  <c r="B88" i="30"/>
  <c r="F29" i="9"/>
  <c r="G29" i="9"/>
  <c r="G55" i="9"/>
  <c r="K29" i="9"/>
  <c r="K55" i="9"/>
  <c r="J29" i="9"/>
  <c r="J55" i="9"/>
  <c r="H29" i="9"/>
  <c r="H55" i="9"/>
  <c r="I29" i="9"/>
  <c r="I55" i="9"/>
  <c r="F55" i="9"/>
  <c r="D14" i="38"/>
  <c r="D13" i="38"/>
  <c r="D12" i="38"/>
  <c r="D8" i="38"/>
  <c r="D7" i="38"/>
  <c r="N106" i="38"/>
  <c r="M106" i="38"/>
  <c r="L106" i="38"/>
  <c r="L109" i="38"/>
  <c r="L110" i="38"/>
  <c r="P97" i="38"/>
  <c r="P98" i="38"/>
  <c r="W82" i="38"/>
  <c r="W79" i="38"/>
  <c r="W78" i="38"/>
  <c r="W84" i="38"/>
  <c r="M69" i="38"/>
  <c r="N65" i="38"/>
  <c r="M65" i="38"/>
  <c r="M68" i="38"/>
  <c r="J27" i="38"/>
  <c r="O27" i="38"/>
  <c r="O28" i="38"/>
  <c r="D6" i="38"/>
  <c r="N23" i="38"/>
  <c r="M23" i="38"/>
  <c r="L23" i="38"/>
  <c r="K23" i="38"/>
  <c r="J23" i="38"/>
  <c r="J26" i="38"/>
  <c r="L111" i="38"/>
  <c r="M104" i="38"/>
  <c r="M110" i="38"/>
  <c r="M70" i="38"/>
  <c r="N63" i="38"/>
  <c r="N69" i="38"/>
  <c r="W83" i="38"/>
  <c r="W85" i="38"/>
  <c r="M109" i="38"/>
  <c r="J28" i="38"/>
  <c r="K21" i="38"/>
  <c r="K27" i="38"/>
  <c r="N68" i="38"/>
  <c r="N70" i="38"/>
  <c r="O63" i="38"/>
  <c r="O68" i="38"/>
  <c r="M111" i="38"/>
  <c r="N104" i="38"/>
  <c r="N109" i="38"/>
  <c r="K26" i="38"/>
  <c r="N110" i="38"/>
  <c r="N111" i="38"/>
  <c r="O104" i="38"/>
  <c r="O110" i="38"/>
  <c r="O69" i="38"/>
  <c r="O70" i="38"/>
  <c r="P63" i="38"/>
  <c r="K28" i="38"/>
  <c r="L21" i="38"/>
  <c r="P69" i="38"/>
  <c r="P70" i="38"/>
  <c r="D9" i="38"/>
  <c r="O109" i="38"/>
  <c r="O111" i="38"/>
  <c r="P104" i="38"/>
  <c r="L26" i="38"/>
  <c r="L27" i="38"/>
  <c r="P109" i="38"/>
  <c r="W109" i="38"/>
  <c r="L28" i="38"/>
  <c r="M21" i="38"/>
  <c r="M27" i="38"/>
  <c r="M26" i="38"/>
  <c r="M28" i="38"/>
  <c r="N21" i="38"/>
  <c r="N27" i="38"/>
  <c r="N26" i="38"/>
  <c r="N28" i="38"/>
  <c r="M71" i="9"/>
  <c r="L71" i="9"/>
  <c r="M70" i="9"/>
  <c r="L70" i="9"/>
  <c r="O69" i="9"/>
  <c r="N69" i="9"/>
  <c r="N82" i="9"/>
  <c r="N89" i="9"/>
  <c r="L10" i="12"/>
  <c r="M68" i="9"/>
  <c r="L68" i="9"/>
  <c r="L81" i="9"/>
  <c r="L90" i="9"/>
  <c r="J11" i="12"/>
  <c r="M81" i="9"/>
  <c r="M90" i="9"/>
  <c r="K11" i="12"/>
  <c r="O68" i="9"/>
  <c r="N68" i="9"/>
  <c r="N81" i="9"/>
  <c r="N90" i="9"/>
  <c r="L11" i="12"/>
  <c r="L69" i="9"/>
  <c r="L82" i="9"/>
  <c r="L89" i="9"/>
  <c r="J10" i="12"/>
  <c r="M69" i="9"/>
  <c r="M82" i="9"/>
  <c r="M89" i="9"/>
  <c r="K10" i="12"/>
  <c r="Q69" i="9"/>
  <c r="E748" i="37"/>
  <c r="B747" i="37"/>
  <c r="D748" i="37"/>
  <c r="R145" i="13"/>
  <c r="R144" i="13"/>
  <c r="R143" i="13"/>
  <c r="R142" i="13"/>
  <c r="R141" i="13"/>
  <c r="R140" i="13"/>
  <c r="R139" i="13"/>
  <c r="R138" i="13"/>
  <c r="R137" i="13"/>
  <c r="R136" i="13"/>
  <c r="R135" i="13"/>
  <c r="R134" i="13"/>
  <c r="R133" i="13"/>
  <c r="R132" i="13"/>
  <c r="R131" i="13"/>
  <c r="R130" i="13"/>
  <c r="R129" i="13"/>
  <c r="R128" i="13"/>
  <c r="R127" i="13"/>
  <c r="R126" i="13"/>
  <c r="R125" i="13"/>
  <c r="R124" i="13"/>
  <c r="R123" i="13"/>
  <c r="R122" i="13"/>
  <c r="R121" i="13"/>
  <c r="R120" i="13"/>
  <c r="R119" i="13"/>
  <c r="R118" i="13"/>
  <c r="R117" i="13"/>
  <c r="R116" i="13"/>
  <c r="Q187" i="13"/>
  <c r="Q100" i="9"/>
  <c r="Q145" i="13"/>
  <c r="Q144" i="13"/>
  <c r="Q143" i="13"/>
  <c r="Q142" i="13"/>
  <c r="Q141" i="13"/>
  <c r="Q140" i="13"/>
  <c r="Q139" i="13"/>
  <c r="Q138" i="13"/>
  <c r="Q137" i="13"/>
  <c r="Q136" i="13"/>
  <c r="Q135" i="13"/>
  <c r="Q134" i="13"/>
  <c r="Q133" i="13"/>
  <c r="Q132" i="13"/>
  <c r="Q131" i="13"/>
  <c r="Q130" i="13"/>
  <c r="Q129" i="13"/>
  <c r="Q128" i="13"/>
  <c r="Q127" i="13"/>
  <c r="Q126" i="13"/>
  <c r="Q125" i="13"/>
  <c r="Q124" i="13"/>
  <c r="Q123" i="13"/>
  <c r="Q122" i="13"/>
  <c r="Q121" i="13"/>
  <c r="Q120" i="13"/>
  <c r="Q119" i="13"/>
  <c r="Q118" i="13"/>
  <c r="Q117" i="13"/>
  <c r="Q116" i="13"/>
  <c r="Q107" i="13"/>
  <c r="Q22" i="9"/>
  <c r="Q70" i="13"/>
  <c r="Q28" i="9"/>
  <c r="Q94" i="13"/>
  <c r="Q93" i="13"/>
  <c r="Q92" i="13"/>
  <c r="Q91" i="13"/>
  <c r="Q90" i="13"/>
  <c r="Q89" i="13"/>
  <c r="Q88" i="13"/>
  <c r="Q87" i="13"/>
  <c r="Q86" i="13"/>
  <c r="Q85" i="13"/>
  <c r="Q84" i="13"/>
  <c r="Q83" i="13"/>
  <c r="Q79" i="13"/>
  <c r="Q81" i="13"/>
  <c r="Q55" i="13"/>
  <c r="Q54" i="13"/>
  <c r="Q57" i="13"/>
  <c r="Q26" i="9"/>
  <c r="Q16" i="13"/>
  <c r="Q33" i="13"/>
  <c r="Q32" i="13"/>
  <c r="Q31" i="13"/>
  <c r="Q30" i="13"/>
  <c r="Q29" i="13"/>
  <c r="Q28" i="13"/>
  <c r="Q27" i="13"/>
  <c r="Q26" i="13"/>
  <c r="Q25" i="13"/>
  <c r="Q24" i="13"/>
  <c r="Q23" i="13"/>
  <c r="Q21" i="13"/>
  <c r="Q20" i="13"/>
  <c r="Q19" i="13"/>
  <c r="Q18" i="13"/>
  <c r="Q17" i="13"/>
  <c r="Q15" i="13"/>
  <c r="Q14" i="13"/>
  <c r="Q13" i="13"/>
  <c r="Q12" i="13"/>
  <c r="Q11" i="13"/>
  <c r="Q10" i="13"/>
  <c r="Q9" i="13"/>
  <c r="Q8" i="13"/>
  <c r="B603" i="37"/>
  <c r="A104" i="26"/>
  <c r="B715" i="37"/>
  <c r="A103" i="26"/>
  <c r="B687" i="37"/>
  <c r="A102" i="26"/>
  <c r="B659" i="37"/>
  <c r="A101" i="26"/>
  <c r="B631" i="37"/>
  <c r="A100" i="26"/>
  <c r="A99" i="26"/>
  <c r="B579" i="37"/>
  <c r="A98" i="26"/>
  <c r="B531" i="37"/>
  <c r="A97" i="26"/>
  <c r="B507" i="37"/>
  <c r="A96" i="26"/>
  <c r="B491" i="37"/>
  <c r="A95" i="26"/>
  <c r="B479" i="37"/>
  <c r="A94" i="26"/>
  <c r="B467" i="37"/>
  <c r="A93" i="26"/>
  <c r="A92" i="26"/>
  <c r="A91" i="26"/>
  <c r="B447" i="37"/>
  <c r="A90" i="26"/>
  <c r="A89" i="26"/>
  <c r="B439" i="37"/>
  <c r="A88" i="26"/>
  <c r="B431" i="37"/>
  <c r="A87" i="26"/>
  <c r="B395" i="37"/>
  <c r="A86" i="26"/>
  <c r="B359" i="37"/>
  <c r="D360" i="37"/>
  <c r="F360" i="37"/>
  <c r="A64" i="30"/>
  <c r="A63" i="30"/>
  <c r="B333" i="37"/>
  <c r="D334" i="37"/>
  <c r="A62" i="30"/>
  <c r="B297" i="37"/>
  <c r="A61" i="30"/>
  <c r="B265" i="37"/>
  <c r="A60" i="30"/>
  <c r="B233" i="37"/>
  <c r="A59" i="30"/>
  <c r="B201" i="37"/>
  <c r="A58" i="30"/>
  <c r="B169" i="37"/>
  <c r="D170" i="37"/>
  <c r="E173" i="37"/>
  <c r="A57" i="30"/>
  <c r="B145" i="37"/>
  <c r="A56" i="30"/>
  <c r="A55" i="30"/>
  <c r="B115" i="37"/>
  <c r="D116" i="37"/>
  <c r="B87" i="37"/>
  <c r="D88" i="37"/>
  <c r="B59" i="37"/>
  <c r="D60" i="37"/>
  <c r="F60" i="37"/>
  <c r="G60" i="37"/>
  <c r="H60" i="37"/>
  <c r="B31" i="37"/>
  <c r="F32" i="37"/>
  <c r="G32" i="37"/>
  <c r="H32" i="37"/>
  <c r="I32" i="37"/>
  <c r="J32" i="37"/>
  <c r="K32" i="37"/>
  <c r="L32" i="37"/>
  <c r="M32" i="37"/>
  <c r="N32" i="37"/>
  <c r="O32" i="37"/>
  <c r="P32" i="37"/>
  <c r="Q32" i="37"/>
  <c r="R32" i="37"/>
  <c r="S32" i="37"/>
  <c r="T32" i="37"/>
  <c r="U32" i="37"/>
  <c r="V32" i="37"/>
  <c r="V35" i="37"/>
  <c r="P55" i="24"/>
  <c r="R24" i="41"/>
  <c r="R33" i="41"/>
  <c r="P64" i="40"/>
  <c r="P53" i="24"/>
  <c r="B7" i="37"/>
  <c r="D8" i="37"/>
  <c r="E11" i="37"/>
  <c r="O62" i="24"/>
  <c r="N62" i="24"/>
  <c r="M62" i="24"/>
  <c r="L62" i="24"/>
  <c r="K62" i="24"/>
  <c r="J62" i="24"/>
  <c r="I62" i="24"/>
  <c r="H62" i="24"/>
  <c r="H63" i="24"/>
  <c r="H64" i="24"/>
  <c r="H65" i="24"/>
  <c r="H66" i="24"/>
  <c r="H67" i="24"/>
  <c r="H68" i="24"/>
  <c r="H69" i="24"/>
  <c r="H70" i="24"/>
  <c r="H71" i="24"/>
  <c r="H72" i="24"/>
  <c r="H73" i="24"/>
  <c r="H74" i="24"/>
  <c r="H75" i="24"/>
  <c r="H76" i="24"/>
  <c r="H77" i="24"/>
  <c r="H78" i="24"/>
  <c r="H79" i="24"/>
  <c r="H80" i="24"/>
  <c r="H81" i="24"/>
  <c r="H82" i="24"/>
  <c r="H83" i="24"/>
  <c r="H84" i="24"/>
  <c r="H85" i="24"/>
  <c r="H86" i="24"/>
  <c r="H87" i="24"/>
  <c r="H88" i="24"/>
  <c r="H89" i="24"/>
  <c r="H90" i="24"/>
  <c r="H91" i="24"/>
  <c r="G62" i="24"/>
  <c r="G63" i="24"/>
  <c r="G64" i="24"/>
  <c r="G65" i="24"/>
  <c r="G66" i="24"/>
  <c r="G67" i="24"/>
  <c r="G68" i="24"/>
  <c r="G69" i="24"/>
  <c r="G70" i="24"/>
  <c r="G71" i="24"/>
  <c r="G72" i="24"/>
  <c r="G73" i="24"/>
  <c r="G74" i="24"/>
  <c r="G75" i="24"/>
  <c r="G76" i="24"/>
  <c r="G77" i="24"/>
  <c r="G78" i="24"/>
  <c r="G79" i="24"/>
  <c r="G80" i="24"/>
  <c r="G81" i="24"/>
  <c r="G82" i="24"/>
  <c r="G83" i="24"/>
  <c r="G84" i="24"/>
  <c r="G85" i="24"/>
  <c r="G86" i="24"/>
  <c r="G87" i="24"/>
  <c r="G88" i="24"/>
  <c r="G89" i="24"/>
  <c r="G90" i="24"/>
  <c r="G91" i="24"/>
  <c r="F62" i="24"/>
  <c r="F63" i="24"/>
  <c r="F64" i="24"/>
  <c r="F65" i="24"/>
  <c r="F66" i="24"/>
  <c r="F67" i="24"/>
  <c r="F68" i="24"/>
  <c r="F69" i="24"/>
  <c r="F70" i="24"/>
  <c r="F71" i="24"/>
  <c r="F72" i="24"/>
  <c r="F73" i="24"/>
  <c r="F74" i="24"/>
  <c r="F75" i="24"/>
  <c r="F76" i="24"/>
  <c r="F77" i="24"/>
  <c r="F78" i="24"/>
  <c r="F79" i="24"/>
  <c r="F80" i="24"/>
  <c r="F81" i="24"/>
  <c r="F82" i="24"/>
  <c r="F83" i="24"/>
  <c r="F84" i="24"/>
  <c r="F85" i="24"/>
  <c r="F86" i="24"/>
  <c r="F87" i="24"/>
  <c r="F88" i="24"/>
  <c r="F89" i="24"/>
  <c r="F90" i="24"/>
  <c r="F91" i="24"/>
  <c r="E62" i="24"/>
  <c r="E63" i="24"/>
  <c r="E64" i="24"/>
  <c r="E65" i="24"/>
  <c r="E66" i="24"/>
  <c r="E67" i="24"/>
  <c r="E68" i="24"/>
  <c r="E69" i="24"/>
  <c r="E70" i="24"/>
  <c r="E71" i="24"/>
  <c r="E72" i="24"/>
  <c r="E73" i="24"/>
  <c r="E74" i="24"/>
  <c r="E75" i="24"/>
  <c r="E76" i="24"/>
  <c r="E77" i="24"/>
  <c r="E78" i="24"/>
  <c r="E79" i="24"/>
  <c r="E80" i="24"/>
  <c r="E81" i="24"/>
  <c r="E82" i="24"/>
  <c r="E83" i="24"/>
  <c r="E84" i="24"/>
  <c r="E85" i="24"/>
  <c r="E86" i="24"/>
  <c r="E87" i="24"/>
  <c r="E88" i="24"/>
  <c r="E89" i="24"/>
  <c r="E90" i="24"/>
  <c r="E91" i="24"/>
  <c r="O53" i="24"/>
  <c r="F460" i="37"/>
  <c r="F461" i="37"/>
  <c r="N53" i="24"/>
  <c r="N52" i="24"/>
  <c r="N51" i="24"/>
  <c r="M53" i="24"/>
  <c r="M52" i="24"/>
  <c r="M51" i="24"/>
  <c r="L53" i="24"/>
  <c r="L52" i="24"/>
  <c r="L51" i="24"/>
  <c r="K53" i="24"/>
  <c r="K52" i="24"/>
  <c r="K51" i="24"/>
  <c r="J53" i="24"/>
  <c r="J52" i="24"/>
  <c r="J51" i="24"/>
  <c r="I53" i="24"/>
  <c r="I52" i="24"/>
  <c r="I51" i="24"/>
  <c r="H53" i="24"/>
  <c r="H52" i="24"/>
  <c r="H51" i="24"/>
  <c r="G53" i="24"/>
  <c r="G52" i="24"/>
  <c r="G51" i="24"/>
  <c r="F53" i="24"/>
  <c r="F52" i="24"/>
  <c r="F51" i="24"/>
  <c r="E53" i="24"/>
  <c r="E52" i="24"/>
  <c r="E51" i="24"/>
  <c r="O17" i="24"/>
  <c r="O18" i="24"/>
  <c r="O19" i="24"/>
  <c r="O20" i="24"/>
  <c r="O21" i="24"/>
  <c r="O22" i="24"/>
  <c r="O23" i="24"/>
  <c r="O24" i="24"/>
  <c r="O25" i="24"/>
  <c r="O26" i="24"/>
  <c r="O27" i="24"/>
  <c r="O28" i="24"/>
  <c r="O29" i="24"/>
  <c r="O30" i="24"/>
  <c r="O31" i="24"/>
  <c r="O32" i="24"/>
  <c r="O33" i="24"/>
  <c r="O34" i="24"/>
  <c r="O35" i="24"/>
  <c r="O36" i="24"/>
  <c r="O37" i="24"/>
  <c r="O38" i="24"/>
  <c r="O39" i="24"/>
  <c r="O40" i="24"/>
  <c r="O41" i="24"/>
  <c r="O42" i="24"/>
  <c r="O43" i="24"/>
  <c r="O44" i="24"/>
  <c r="O45" i="24"/>
  <c r="O46" i="24"/>
  <c r="N17" i="24"/>
  <c r="N18" i="24"/>
  <c r="N19" i="24"/>
  <c r="N20" i="24"/>
  <c r="N21" i="24"/>
  <c r="N22" i="24"/>
  <c r="N23" i="24"/>
  <c r="N24" i="24"/>
  <c r="N25" i="24"/>
  <c r="N26" i="24"/>
  <c r="N27" i="24"/>
  <c r="N28" i="24"/>
  <c r="N29" i="24"/>
  <c r="N30" i="24"/>
  <c r="N31" i="24"/>
  <c r="N32" i="24"/>
  <c r="N33" i="24"/>
  <c r="N34" i="24"/>
  <c r="N35" i="24"/>
  <c r="N36" i="24"/>
  <c r="N37" i="24"/>
  <c r="N38" i="24"/>
  <c r="N39" i="24"/>
  <c r="N40" i="24"/>
  <c r="N41" i="24"/>
  <c r="N42" i="24"/>
  <c r="N43" i="24"/>
  <c r="N44" i="24"/>
  <c r="N45" i="24"/>
  <c r="N46" i="24"/>
  <c r="M17" i="24"/>
  <c r="M18" i="24"/>
  <c r="M19" i="24"/>
  <c r="M20" i="24"/>
  <c r="M21" i="24"/>
  <c r="M22" i="24"/>
  <c r="M23" i="24"/>
  <c r="M24" i="24"/>
  <c r="M25" i="24"/>
  <c r="M26" i="24"/>
  <c r="M27" i="24"/>
  <c r="M28" i="24"/>
  <c r="M29" i="24"/>
  <c r="M30" i="24"/>
  <c r="M31" i="24"/>
  <c r="M32" i="24"/>
  <c r="M33" i="24"/>
  <c r="M34" i="24"/>
  <c r="M35" i="24"/>
  <c r="M36" i="24"/>
  <c r="M37" i="24"/>
  <c r="M38" i="24"/>
  <c r="M39" i="24"/>
  <c r="M40" i="24"/>
  <c r="M41" i="24"/>
  <c r="M42" i="24"/>
  <c r="M43" i="24"/>
  <c r="M44" i="24"/>
  <c r="M45" i="24"/>
  <c r="M46" i="24"/>
  <c r="L17" i="24"/>
  <c r="L18" i="24"/>
  <c r="L19" i="24"/>
  <c r="L20" i="24"/>
  <c r="L21" i="24"/>
  <c r="L22" i="24"/>
  <c r="L23" i="24"/>
  <c r="L24" i="24"/>
  <c r="L25" i="24"/>
  <c r="L26" i="24"/>
  <c r="L27" i="24"/>
  <c r="L28" i="24"/>
  <c r="L29" i="24"/>
  <c r="L30" i="24"/>
  <c r="L31" i="24"/>
  <c r="L32" i="24"/>
  <c r="L33" i="24"/>
  <c r="L34" i="24"/>
  <c r="L35" i="24"/>
  <c r="L36" i="24"/>
  <c r="L37" i="24"/>
  <c r="L38" i="24"/>
  <c r="L39" i="24"/>
  <c r="L40" i="24"/>
  <c r="L41" i="24"/>
  <c r="L42" i="24"/>
  <c r="L43" i="24"/>
  <c r="L44" i="24"/>
  <c r="L45" i="24"/>
  <c r="L46" i="24"/>
  <c r="K17" i="24"/>
  <c r="K18" i="24"/>
  <c r="K19" i="24"/>
  <c r="K20" i="24"/>
  <c r="K21" i="24"/>
  <c r="K22" i="24"/>
  <c r="K23" i="24"/>
  <c r="K24" i="24"/>
  <c r="K25" i="24"/>
  <c r="K26" i="24"/>
  <c r="K27" i="24"/>
  <c r="K28" i="24"/>
  <c r="K29" i="24"/>
  <c r="K30" i="24"/>
  <c r="K31" i="24"/>
  <c r="K32" i="24"/>
  <c r="K33" i="24"/>
  <c r="K34" i="24"/>
  <c r="K35" i="24"/>
  <c r="K36" i="24"/>
  <c r="K37" i="24"/>
  <c r="K38" i="24"/>
  <c r="K39" i="24"/>
  <c r="K40" i="24"/>
  <c r="K41" i="24"/>
  <c r="K42" i="24"/>
  <c r="K43" i="24"/>
  <c r="K44" i="24"/>
  <c r="K45" i="24"/>
  <c r="K46" i="24"/>
  <c r="J17" i="24"/>
  <c r="J18" i="24"/>
  <c r="J19" i="24"/>
  <c r="J20" i="24"/>
  <c r="J21" i="24"/>
  <c r="J22" i="24"/>
  <c r="J23" i="24"/>
  <c r="J24" i="24"/>
  <c r="J25" i="24"/>
  <c r="J26" i="24"/>
  <c r="J27" i="24"/>
  <c r="J28" i="24"/>
  <c r="J29" i="24"/>
  <c r="J30" i="24"/>
  <c r="J31" i="24"/>
  <c r="J32" i="24"/>
  <c r="J33" i="24"/>
  <c r="J34" i="24"/>
  <c r="J35" i="24"/>
  <c r="J36" i="24"/>
  <c r="J37" i="24"/>
  <c r="J38" i="24"/>
  <c r="J39" i="24"/>
  <c r="J40" i="24"/>
  <c r="J41" i="24"/>
  <c r="J42" i="24"/>
  <c r="J43" i="24"/>
  <c r="J44" i="24"/>
  <c r="J45" i="24"/>
  <c r="J46" i="24"/>
  <c r="I17" i="24"/>
  <c r="I18" i="24"/>
  <c r="I19" i="24"/>
  <c r="I20" i="24"/>
  <c r="I21" i="24"/>
  <c r="I22" i="24"/>
  <c r="I23" i="24"/>
  <c r="I24" i="24"/>
  <c r="I25" i="24"/>
  <c r="I26" i="24"/>
  <c r="I27" i="24"/>
  <c r="I28" i="24"/>
  <c r="I29" i="24"/>
  <c r="I30" i="24"/>
  <c r="I31" i="24"/>
  <c r="I32" i="24"/>
  <c r="I33" i="24"/>
  <c r="I34" i="24"/>
  <c r="I35" i="24"/>
  <c r="I36" i="24"/>
  <c r="I37" i="24"/>
  <c r="I38" i="24"/>
  <c r="I39" i="24"/>
  <c r="I40" i="24"/>
  <c r="I41" i="24"/>
  <c r="I42" i="24"/>
  <c r="I43" i="24"/>
  <c r="I44" i="24"/>
  <c r="I45" i="24"/>
  <c r="I46" i="24"/>
  <c r="H17" i="24"/>
  <c r="H18" i="24"/>
  <c r="H19" i="24"/>
  <c r="H20" i="24"/>
  <c r="H21" i="24"/>
  <c r="H22" i="24"/>
  <c r="H23" i="24"/>
  <c r="H24" i="24"/>
  <c r="H25" i="24"/>
  <c r="H26" i="24"/>
  <c r="H27" i="24"/>
  <c r="H28" i="24"/>
  <c r="H29" i="24"/>
  <c r="H30" i="24"/>
  <c r="H31" i="24"/>
  <c r="H32" i="24"/>
  <c r="H33" i="24"/>
  <c r="H34" i="24"/>
  <c r="H35" i="24"/>
  <c r="H36" i="24"/>
  <c r="H37" i="24"/>
  <c r="H38" i="24"/>
  <c r="H39" i="24"/>
  <c r="H40" i="24"/>
  <c r="H41" i="24"/>
  <c r="H42" i="24"/>
  <c r="H43" i="24"/>
  <c r="H44" i="24"/>
  <c r="H45" i="24"/>
  <c r="H46" i="24"/>
  <c r="G17" i="24"/>
  <c r="G18" i="24"/>
  <c r="G19" i="24"/>
  <c r="G20" i="24"/>
  <c r="G21" i="24"/>
  <c r="G22" i="24"/>
  <c r="G23" i="24"/>
  <c r="G24" i="24"/>
  <c r="G25" i="24"/>
  <c r="G26" i="24"/>
  <c r="G27" i="24"/>
  <c r="G28" i="24"/>
  <c r="G29" i="24"/>
  <c r="G30" i="24"/>
  <c r="G31" i="24"/>
  <c r="G32" i="24"/>
  <c r="G33" i="24"/>
  <c r="G34" i="24"/>
  <c r="G35" i="24"/>
  <c r="G36" i="24"/>
  <c r="G37" i="24"/>
  <c r="G38" i="24"/>
  <c r="G39" i="24"/>
  <c r="G40" i="24"/>
  <c r="G41" i="24"/>
  <c r="G42" i="24"/>
  <c r="G43" i="24"/>
  <c r="G44" i="24"/>
  <c r="G45" i="24"/>
  <c r="G46" i="24"/>
  <c r="F17" i="24"/>
  <c r="F18" i="24"/>
  <c r="F19" i="24"/>
  <c r="F20" i="24"/>
  <c r="F21" i="24"/>
  <c r="F22" i="24"/>
  <c r="F23" i="24"/>
  <c r="F24" i="24"/>
  <c r="F25" i="24"/>
  <c r="F26" i="24"/>
  <c r="F27" i="24"/>
  <c r="F28" i="24"/>
  <c r="F29" i="24"/>
  <c r="F30" i="24"/>
  <c r="F31" i="24"/>
  <c r="F32" i="24"/>
  <c r="F33" i="24"/>
  <c r="F34" i="24"/>
  <c r="F35" i="24"/>
  <c r="F36" i="24"/>
  <c r="F37" i="24"/>
  <c r="F38" i="24"/>
  <c r="F39" i="24"/>
  <c r="F40" i="24"/>
  <c r="F41" i="24"/>
  <c r="F42" i="24"/>
  <c r="F43" i="24"/>
  <c r="F44" i="24"/>
  <c r="F45" i="24"/>
  <c r="F46" i="24"/>
  <c r="E17" i="24"/>
  <c r="E18" i="24"/>
  <c r="E19" i="24"/>
  <c r="E20" i="24"/>
  <c r="E21" i="24"/>
  <c r="E22" i="24"/>
  <c r="E23" i="24"/>
  <c r="E24" i="24"/>
  <c r="E25" i="24"/>
  <c r="E26" i="24"/>
  <c r="E27" i="24"/>
  <c r="E28" i="24"/>
  <c r="E29" i="24"/>
  <c r="E30" i="24"/>
  <c r="E31" i="24"/>
  <c r="E32" i="24"/>
  <c r="E33" i="24"/>
  <c r="E34" i="24"/>
  <c r="E35" i="24"/>
  <c r="E36" i="24"/>
  <c r="E37" i="24"/>
  <c r="E38" i="24"/>
  <c r="E39" i="24"/>
  <c r="E40" i="24"/>
  <c r="E41" i="24"/>
  <c r="E42" i="24"/>
  <c r="E43" i="24"/>
  <c r="E44" i="24"/>
  <c r="E45" i="24"/>
  <c r="E46" i="24"/>
  <c r="O8" i="24"/>
  <c r="O7" i="24"/>
  <c r="O6" i="24"/>
  <c r="N8" i="24"/>
  <c r="N7" i="24"/>
  <c r="N6" i="24"/>
  <c r="M8" i="24"/>
  <c r="M7" i="24"/>
  <c r="M6" i="24"/>
  <c r="L8" i="24"/>
  <c r="K8" i="24"/>
  <c r="K7" i="24"/>
  <c r="K6" i="24"/>
  <c r="J8" i="24"/>
  <c r="J7" i="24"/>
  <c r="J6" i="24"/>
  <c r="I8" i="24"/>
  <c r="I7" i="24"/>
  <c r="I6" i="24"/>
  <c r="H8" i="24"/>
  <c r="H7" i="24"/>
  <c r="H6" i="24"/>
  <c r="G8" i="24"/>
  <c r="G7" i="24"/>
  <c r="G6" i="24"/>
  <c r="F8" i="24"/>
  <c r="F7" i="24"/>
  <c r="F6" i="24"/>
  <c r="E8" i="24"/>
  <c r="E7" i="24"/>
  <c r="E6" i="24"/>
  <c r="A54" i="33"/>
  <c r="A53" i="33"/>
  <c r="A52" i="33"/>
  <c r="A51" i="33"/>
  <c r="A50" i="33"/>
  <c r="A49" i="33"/>
  <c r="L63" i="24"/>
  <c r="N120" i="41"/>
  <c r="N65" i="41"/>
  <c r="M63" i="24"/>
  <c r="O66" i="41"/>
  <c r="O121" i="41"/>
  <c r="N63" i="24"/>
  <c r="N64" i="24"/>
  <c r="N65" i="24"/>
  <c r="N66" i="24"/>
  <c r="N67" i="24"/>
  <c r="N68" i="24"/>
  <c r="N69" i="24"/>
  <c r="N70" i="24"/>
  <c r="N71" i="24"/>
  <c r="N72" i="24"/>
  <c r="N73" i="24"/>
  <c r="N74" i="24"/>
  <c r="N75" i="24"/>
  <c r="N76" i="24"/>
  <c r="N77" i="24"/>
  <c r="N78" i="24"/>
  <c r="N79" i="24"/>
  <c r="N80" i="24"/>
  <c r="N81" i="24"/>
  <c r="N82" i="24"/>
  <c r="N83" i="24"/>
  <c r="N84" i="24"/>
  <c r="N85" i="24"/>
  <c r="N86" i="24"/>
  <c r="N87" i="24"/>
  <c r="N88" i="24"/>
  <c r="N89" i="24"/>
  <c r="N90" i="24"/>
  <c r="N91" i="24"/>
  <c r="P122" i="41"/>
  <c r="P67" i="41"/>
  <c r="O63" i="24"/>
  <c r="O64" i="24"/>
  <c r="O65" i="24"/>
  <c r="O66" i="24"/>
  <c r="O67" i="24"/>
  <c r="O68" i="24"/>
  <c r="O69" i="24"/>
  <c r="O70" i="24"/>
  <c r="O71" i="24"/>
  <c r="O72" i="24"/>
  <c r="O73" i="24"/>
  <c r="O74" i="24"/>
  <c r="O75" i="24"/>
  <c r="O76" i="24"/>
  <c r="O77" i="24"/>
  <c r="O78" i="24"/>
  <c r="O79" i="24"/>
  <c r="O80" i="24"/>
  <c r="O81" i="24"/>
  <c r="O82" i="24"/>
  <c r="O83" i="24"/>
  <c r="O84" i="24"/>
  <c r="O85" i="24"/>
  <c r="O86" i="24"/>
  <c r="O87" i="24"/>
  <c r="O88" i="24"/>
  <c r="O89" i="24"/>
  <c r="O90" i="24"/>
  <c r="O91" i="24"/>
  <c r="Q30" i="41"/>
  <c r="I63" i="24"/>
  <c r="K117" i="41"/>
  <c r="J63" i="24"/>
  <c r="L63" i="41"/>
  <c r="L118" i="41"/>
  <c r="K63" i="24"/>
  <c r="M64" i="41"/>
  <c r="M119" i="41"/>
  <c r="R173" i="13"/>
  <c r="Q173" i="13"/>
  <c r="Q189" i="13"/>
  <c r="Q101" i="9"/>
  <c r="Q68" i="9"/>
  <c r="I464" i="37"/>
  <c r="I465" i="37"/>
  <c r="J464" i="37"/>
  <c r="J465" i="37"/>
  <c r="P52" i="24"/>
  <c r="G464" i="37"/>
  <c r="G465" i="37"/>
  <c r="O52" i="24"/>
  <c r="E174" i="37"/>
  <c r="D396" i="37"/>
  <c r="F396" i="37"/>
  <c r="F399" i="37"/>
  <c r="F400" i="37"/>
  <c r="D480" i="37"/>
  <c r="E483" i="37"/>
  <c r="D688" i="37"/>
  <c r="E689" i="37"/>
  <c r="D432" i="37"/>
  <c r="E435" i="37"/>
  <c r="E436" i="37"/>
  <c r="D492" i="37"/>
  <c r="F492" i="37"/>
  <c r="F495" i="37"/>
  <c r="F496" i="37"/>
  <c r="D716" i="37"/>
  <c r="E717" i="37"/>
  <c r="D440" i="37"/>
  <c r="E443" i="37"/>
  <c r="E444" i="37"/>
  <c r="D508" i="37"/>
  <c r="E511" i="37"/>
  <c r="E512" i="37"/>
  <c r="D532" i="37"/>
  <c r="E535" i="37"/>
  <c r="E536" i="37"/>
  <c r="D448" i="37"/>
  <c r="E451" i="37"/>
  <c r="D580" i="37"/>
  <c r="F580" i="37"/>
  <c r="F583" i="37"/>
  <c r="F584" i="37"/>
  <c r="D468" i="37"/>
  <c r="E475" i="37"/>
  <c r="D660" i="37"/>
  <c r="E661" i="37"/>
  <c r="D632" i="37"/>
  <c r="E633" i="37"/>
  <c r="D604" i="37"/>
  <c r="E607" i="37"/>
  <c r="E608" i="37"/>
  <c r="B555" i="37"/>
  <c r="D556" i="37"/>
  <c r="F556" i="37"/>
  <c r="F559" i="37"/>
  <c r="F560" i="37"/>
  <c r="D146" i="37"/>
  <c r="E147" i="37"/>
  <c r="D202" i="37"/>
  <c r="E205" i="37"/>
  <c r="E206" i="37"/>
  <c r="D234" i="37"/>
  <c r="E237" i="37"/>
  <c r="E238" i="37"/>
  <c r="D266" i="37"/>
  <c r="E269" i="37"/>
  <c r="E270" i="37"/>
  <c r="D298" i="37"/>
  <c r="E301" i="37"/>
  <c r="E302" i="37"/>
  <c r="Q72" i="13"/>
  <c r="I60" i="37"/>
  <c r="I61" i="37"/>
  <c r="H67" i="37"/>
  <c r="H68" i="37"/>
  <c r="I33" i="37"/>
  <c r="Q33" i="37"/>
  <c r="I35" i="37"/>
  <c r="I36" i="37"/>
  <c r="Q35" i="37"/>
  <c r="K39" i="37"/>
  <c r="K40" i="37"/>
  <c r="S39" i="37"/>
  <c r="J43" i="37"/>
  <c r="J44" i="37"/>
  <c r="R43" i="37"/>
  <c r="R47" i="37"/>
  <c r="R48" i="37"/>
  <c r="U51" i="37"/>
  <c r="T55" i="37"/>
  <c r="T56" i="37"/>
  <c r="J33" i="37"/>
  <c r="R33" i="37"/>
  <c r="J35" i="37"/>
  <c r="J36" i="37"/>
  <c r="R35" i="37"/>
  <c r="L39" i="37"/>
  <c r="L40" i="37"/>
  <c r="T39" i="37"/>
  <c r="K43" i="37"/>
  <c r="K44" i="37"/>
  <c r="S43" i="37"/>
  <c r="S44" i="37"/>
  <c r="S47" i="37"/>
  <c r="N51" i="37"/>
  <c r="V51" i="37"/>
  <c r="U55" i="37"/>
  <c r="W32" i="37"/>
  <c r="K33" i="37"/>
  <c r="S33" i="37"/>
  <c r="K35" i="37"/>
  <c r="K36" i="37"/>
  <c r="S35" i="37"/>
  <c r="S36" i="37"/>
  <c r="M39" i="37"/>
  <c r="M40" i="37"/>
  <c r="U39" i="37"/>
  <c r="U40" i="37"/>
  <c r="L43" i="37"/>
  <c r="L44" i="37"/>
  <c r="T43" i="37"/>
  <c r="T44" i="37"/>
  <c r="L47" i="37"/>
  <c r="L48" i="37"/>
  <c r="T47" i="37"/>
  <c r="O51" i="37"/>
  <c r="O52" i="37"/>
  <c r="V55" i="37"/>
  <c r="L33" i="37"/>
  <c r="T33" i="37"/>
  <c r="L35" i="37"/>
  <c r="L36" i="37"/>
  <c r="T35" i="37"/>
  <c r="T36" i="37"/>
  <c r="N39" i="37"/>
  <c r="N40" i="37"/>
  <c r="V39" i="37"/>
  <c r="V40" i="37"/>
  <c r="M43" i="37"/>
  <c r="M44" i="37"/>
  <c r="U43" i="37"/>
  <c r="M47" i="37"/>
  <c r="M48" i="37"/>
  <c r="U47" i="37"/>
  <c r="U48" i="37"/>
  <c r="P51" i="37"/>
  <c r="P52" i="37"/>
  <c r="O55" i="37"/>
  <c r="E33" i="37"/>
  <c r="M33" i="37"/>
  <c r="U33" i="37"/>
  <c r="M35" i="37"/>
  <c r="U35" i="37"/>
  <c r="O39" i="37"/>
  <c r="N43" i="37"/>
  <c r="N44" i="37"/>
  <c r="V43" i="37"/>
  <c r="N47" i="37"/>
  <c r="N48" i="37"/>
  <c r="V47" i="37"/>
  <c r="V48" i="37"/>
  <c r="Q51" i="37"/>
  <c r="Q52" i="37"/>
  <c r="P55" i="37"/>
  <c r="P56" i="37"/>
  <c r="F33" i="37"/>
  <c r="N33" i="37"/>
  <c r="V33" i="37"/>
  <c r="F35" i="37"/>
  <c r="F36" i="37"/>
  <c r="N35" i="37"/>
  <c r="H39" i="37"/>
  <c r="H40" i="37"/>
  <c r="P39" i="37"/>
  <c r="O43" i="37"/>
  <c r="O44" i="37"/>
  <c r="O47" i="37"/>
  <c r="O48" i="37"/>
  <c r="R51" i="37"/>
  <c r="R52" i="37"/>
  <c r="Q55" i="37"/>
  <c r="Q56" i="37"/>
  <c r="G33" i="37"/>
  <c r="O33" i="37"/>
  <c r="G35" i="37"/>
  <c r="G36" i="37"/>
  <c r="O35" i="37"/>
  <c r="O36" i="37"/>
  <c r="I39" i="37"/>
  <c r="I40" i="37"/>
  <c r="Q39" i="37"/>
  <c r="Q40" i="37"/>
  <c r="P43" i="37"/>
  <c r="P44" i="37"/>
  <c r="P47" i="37"/>
  <c r="P48" i="37"/>
  <c r="S51" i="37"/>
  <c r="S52" i="37"/>
  <c r="R55" i="37"/>
  <c r="R56" i="37"/>
  <c r="H33" i="37"/>
  <c r="P33" i="37"/>
  <c r="H35" i="37"/>
  <c r="H36" i="37"/>
  <c r="P35" i="37"/>
  <c r="P36" i="37"/>
  <c r="J39" i="37"/>
  <c r="J40" i="37"/>
  <c r="R39" i="37"/>
  <c r="R40" i="37"/>
  <c r="Q43" i="37"/>
  <c r="Q47" i="37"/>
  <c r="Q48" i="37"/>
  <c r="T51" i="37"/>
  <c r="T52" i="37"/>
  <c r="S55" i="37"/>
  <c r="F361" i="37"/>
  <c r="F363" i="37"/>
  <c r="F364" i="37"/>
  <c r="G360" i="37"/>
  <c r="H360" i="37"/>
  <c r="E767" i="37"/>
  <c r="E763" i="37"/>
  <c r="E759" i="37"/>
  <c r="E760" i="37"/>
  <c r="E755" i="37"/>
  <c r="E751" i="37"/>
  <c r="E749" i="37"/>
  <c r="Q43" i="13"/>
  <c r="Q14" i="9"/>
  <c r="E335" i="37"/>
  <c r="F334" i="37"/>
  <c r="F337" i="37"/>
  <c r="F338" i="37"/>
  <c r="E171" i="37"/>
  <c r="F170" i="37"/>
  <c r="F173" i="37"/>
  <c r="F174" i="37"/>
  <c r="F116" i="37"/>
  <c r="F119" i="37"/>
  <c r="F120" i="37"/>
  <c r="E117" i="37"/>
  <c r="F88" i="37"/>
  <c r="F91" i="37"/>
  <c r="F92" i="37"/>
  <c r="E89" i="37"/>
  <c r="H63" i="37"/>
  <c r="H64" i="37"/>
  <c r="F63" i="37"/>
  <c r="F64" i="37"/>
  <c r="E61" i="37"/>
  <c r="F61" i="37"/>
  <c r="G61" i="37"/>
  <c r="H61" i="37"/>
  <c r="G63" i="37"/>
  <c r="G64" i="37"/>
  <c r="P59" i="24"/>
  <c r="R28" i="41"/>
  <c r="R37" i="41"/>
  <c r="P68" i="40"/>
  <c r="P57" i="24"/>
  <c r="R26" i="41"/>
  <c r="R35" i="41"/>
  <c r="P66" i="40"/>
  <c r="P60" i="24"/>
  <c r="R29" i="41"/>
  <c r="R38" i="41"/>
  <c r="P69" i="40"/>
  <c r="P62" i="24"/>
  <c r="P63" i="24"/>
  <c r="P64" i="24"/>
  <c r="P65" i="24"/>
  <c r="P66" i="24"/>
  <c r="P67" i="24"/>
  <c r="P68" i="24"/>
  <c r="P69" i="24"/>
  <c r="P70" i="24"/>
  <c r="P71" i="24"/>
  <c r="P72" i="24"/>
  <c r="P73" i="24"/>
  <c r="P74" i="24"/>
  <c r="P75" i="24"/>
  <c r="P76" i="24"/>
  <c r="P77" i="24"/>
  <c r="P78" i="24"/>
  <c r="P79" i="24"/>
  <c r="P80" i="24"/>
  <c r="P81" i="24"/>
  <c r="P82" i="24"/>
  <c r="P83" i="24"/>
  <c r="P84" i="24"/>
  <c r="P85" i="24"/>
  <c r="P86" i="24"/>
  <c r="P87" i="24"/>
  <c r="P88" i="24"/>
  <c r="P89" i="24"/>
  <c r="P90" i="24"/>
  <c r="P91" i="24"/>
  <c r="E12" i="37"/>
  <c r="E9" i="37"/>
  <c r="F8" i="37"/>
  <c r="L7" i="24"/>
  <c r="L6" i="24"/>
  <c r="P72" i="40"/>
  <c r="P74" i="40"/>
  <c r="P75" i="40"/>
  <c r="S57" i="3"/>
  <c r="S64" i="3"/>
  <c r="O47" i="12"/>
  <c r="J64" i="24"/>
  <c r="L119" i="41"/>
  <c r="L64" i="41"/>
  <c r="I64" i="24"/>
  <c r="K118" i="41"/>
  <c r="M64" i="24"/>
  <c r="M65" i="24"/>
  <c r="M66" i="24"/>
  <c r="M67" i="24"/>
  <c r="M68" i="24"/>
  <c r="M69" i="24"/>
  <c r="M70" i="24"/>
  <c r="M71" i="24"/>
  <c r="M72" i="24"/>
  <c r="M73" i="24"/>
  <c r="M74" i="24"/>
  <c r="M75" i="24"/>
  <c r="M76" i="24"/>
  <c r="M77" i="24"/>
  <c r="M78" i="24"/>
  <c r="M79" i="24"/>
  <c r="M80" i="24"/>
  <c r="M81" i="24"/>
  <c r="M82" i="24"/>
  <c r="M83" i="24"/>
  <c r="M84" i="24"/>
  <c r="M85" i="24"/>
  <c r="M86" i="24"/>
  <c r="M87" i="24"/>
  <c r="M88" i="24"/>
  <c r="M89" i="24"/>
  <c r="M90" i="24"/>
  <c r="M91" i="24"/>
  <c r="O122" i="41"/>
  <c r="O67" i="41"/>
  <c r="K64" i="24"/>
  <c r="M120" i="41"/>
  <c r="M65" i="41"/>
  <c r="L64" i="24"/>
  <c r="N66" i="41"/>
  <c r="N121" i="41"/>
  <c r="Q49" i="37"/>
  <c r="T53" i="37"/>
  <c r="Q53" i="37"/>
  <c r="S53" i="37"/>
  <c r="Q57" i="37"/>
  <c r="Q41" i="37"/>
  <c r="I41" i="37"/>
  <c r="F688" i="37"/>
  <c r="F691" i="37"/>
  <c r="F692" i="37"/>
  <c r="F660" i="37"/>
  <c r="F663" i="37"/>
  <c r="F664" i="37"/>
  <c r="F632" i="37"/>
  <c r="F635" i="37"/>
  <c r="F636" i="37"/>
  <c r="F604" i="37"/>
  <c r="F605" i="37"/>
  <c r="E605" i="37"/>
  <c r="E609" i="37"/>
  <c r="E581" i="37"/>
  <c r="E557" i="37"/>
  <c r="F532" i="37"/>
  <c r="F535" i="37"/>
  <c r="F536" i="37"/>
  <c r="F508" i="37"/>
  <c r="G508" i="37"/>
  <c r="E509" i="37"/>
  <c r="E513" i="37"/>
  <c r="E493" i="37"/>
  <c r="F480" i="37"/>
  <c r="G480" i="37"/>
  <c r="E481" i="37"/>
  <c r="E469" i="37"/>
  <c r="F448" i="37"/>
  <c r="F451" i="37"/>
  <c r="F452" i="37"/>
  <c r="E449" i="37"/>
  <c r="F440" i="37"/>
  <c r="F443" i="37"/>
  <c r="F444" i="37"/>
  <c r="E441" i="37"/>
  <c r="E445" i="37"/>
  <c r="E433" i="37"/>
  <c r="E437" i="37"/>
  <c r="E397" i="37"/>
  <c r="F298" i="37"/>
  <c r="F301" i="37"/>
  <c r="F302" i="37"/>
  <c r="E299" i="37"/>
  <c r="E303" i="37"/>
  <c r="E267" i="37"/>
  <c r="E271" i="37"/>
  <c r="F266" i="37"/>
  <c r="F269" i="37"/>
  <c r="F270" i="37"/>
  <c r="F234" i="37"/>
  <c r="F237" i="37"/>
  <c r="F238" i="37"/>
  <c r="E235" i="37"/>
  <c r="E239" i="37"/>
  <c r="J41" i="37"/>
  <c r="T57" i="37"/>
  <c r="Q109" i="13"/>
  <c r="Q20" i="9"/>
  <c r="E175" i="37"/>
  <c r="E768" i="37"/>
  <c r="E769" i="37"/>
  <c r="C769" i="37"/>
  <c r="P51" i="24"/>
  <c r="F464" i="37"/>
  <c r="F465" i="37"/>
  <c r="O56" i="37"/>
  <c r="O57" i="37"/>
  <c r="E484" i="37"/>
  <c r="O51" i="24"/>
  <c r="N52" i="37"/>
  <c r="N53" i="37"/>
  <c r="E460" i="37"/>
  <c r="E461" i="37"/>
  <c r="F716" i="37"/>
  <c r="F719" i="37"/>
  <c r="F720" i="37"/>
  <c r="E471" i="37"/>
  <c r="E472" i="37"/>
  <c r="F432" i="37"/>
  <c r="F435" i="37"/>
  <c r="F436" i="37"/>
  <c r="F468" i="37"/>
  <c r="F471" i="37"/>
  <c r="F472" i="37"/>
  <c r="E533" i="37"/>
  <c r="E537" i="37"/>
  <c r="F202" i="37"/>
  <c r="F205" i="37"/>
  <c r="F206" i="37"/>
  <c r="E203" i="37"/>
  <c r="E207" i="37"/>
  <c r="F146" i="37"/>
  <c r="G146" i="37"/>
  <c r="P37" i="37"/>
  <c r="I63" i="37"/>
  <c r="I64" i="37"/>
  <c r="I65" i="37"/>
  <c r="M45" i="37"/>
  <c r="T37" i="37"/>
  <c r="O45" i="37"/>
  <c r="P57" i="37"/>
  <c r="U41" i="37"/>
  <c r="R57" i="37"/>
  <c r="G37" i="37"/>
  <c r="R41" i="37"/>
  <c r="R53" i="37"/>
  <c r="L49" i="37"/>
  <c r="E761" i="37"/>
  <c r="C761" i="37"/>
  <c r="S56" i="37"/>
  <c r="S57" i="37"/>
  <c r="M41" i="37"/>
  <c r="K41" i="37"/>
  <c r="H367" i="37"/>
  <c r="H368" i="37"/>
  <c r="H363" i="37"/>
  <c r="H364" i="37"/>
  <c r="H37" i="37"/>
  <c r="H41" i="37"/>
  <c r="V49" i="37"/>
  <c r="V41" i="37"/>
  <c r="V56" i="37"/>
  <c r="V57" i="37"/>
  <c r="J37" i="37"/>
  <c r="H65" i="37"/>
  <c r="G361" i="37"/>
  <c r="G363" i="37"/>
  <c r="G364" i="37"/>
  <c r="O37" i="37"/>
  <c r="N49" i="37"/>
  <c r="N41" i="37"/>
  <c r="O53" i="37"/>
  <c r="S45" i="37"/>
  <c r="F365" i="37"/>
  <c r="S37" i="37"/>
  <c r="K45" i="37"/>
  <c r="P49" i="37"/>
  <c r="N45" i="37"/>
  <c r="P53" i="37"/>
  <c r="K37" i="37"/>
  <c r="R49" i="37"/>
  <c r="I37" i="37"/>
  <c r="P45" i="37"/>
  <c r="U49" i="37"/>
  <c r="T45" i="37"/>
  <c r="W35" i="37"/>
  <c r="W33" i="37"/>
  <c r="W47" i="37"/>
  <c r="W43" i="37"/>
  <c r="W44" i="37"/>
  <c r="W39" i="37"/>
  <c r="W55" i="37"/>
  <c r="X32" i="37"/>
  <c r="W51" i="37"/>
  <c r="W52" i="37"/>
  <c r="L41" i="37"/>
  <c r="H69" i="37"/>
  <c r="O49" i="37"/>
  <c r="F37" i="37"/>
  <c r="M49" i="37"/>
  <c r="L37" i="37"/>
  <c r="L45" i="37"/>
  <c r="U56" i="37"/>
  <c r="U57" i="37"/>
  <c r="J45" i="37"/>
  <c r="J60" i="37"/>
  <c r="I67" i="37"/>
  <c r="I68" i="37"/>
  <c r="I69" i="37"/>
  <c r="F581" i="37"/>
  <c r="G580" i="37"/>
  <c r="G583" i="37"/>
  <c r="G584" i="37"/>
  <c r="F557" i="37"/>
  <c r="F585" i="37"/>
  <c r="G556" i="37"/>
  <c r="G559" i="37"/>
  <c r="G560" i="37"/>
  <c r="G492" i="37"/>
  <c r="G495" i="37"/>
  <c r="G496" i="37"/>
  <c r="F493" i="37"/>
  <c r="F497" i="37"/>
  <c r="G396" i="37"/>
  <c r="G399" i="37"/>
  <c r="G400" i="37"/>
  <c r="F397" i="37"/>
  <c r="F401" i="37"/>
  <c r="H361" i="37"/>
  <c r="I360" i="37"/>
  <c r="F335" i="37"/>
  <c r="F339" i="37"/>
  <c r="G334" i="37"/>
  <c r="G337" i="37"/>
  <c r="G338" i="37"/>
  <c r="F171" i="37"/>
  <c r="F175" i="37"/>
  <c r="G170" i="37"/>
  <c r="G116" i="37"/>
  <c r="G119" i="37"/>
  <c r="G120" i="37"/>
  <c r="F117" i="37"/>
  <c r="F121" i="37"/>
  <c r="F89" i="37"/>
  <c r="F93" i="37"/>
  <c r="G88" i="37"/>
  <c r="G91" i="37"/>
  <c r="G92" i="37"/>
  <c r="G65" i="37"/>
  <c r="F65" i="37"/>
  <c r="E13" i="37"/>
  <c r="G8" i="37"/>
  <c r="F15" i="37"/>
  <c r="F16" i="37"/>
  <c r="F9" i="37"/>
  <c r="F11" i="37"/>
  <c r="F12" i="37"/>
  <c r="F481" i="37"/>
  <c r="L65" i="24"/>
  <c r="L66" i="24"/>
  <c r="L67" i="24"/>
  <c r="L68" i="24"/>
  <c r="L69" i="24"/>
  <c r="L70" i="24"/>
  <c r="L71" i="24"/>
  <c r="L72" i="24"/>
  <c r="L73" i="24"/>
  <c r="L74" i="24"/>
  <c r="L75" i="24"/>
  <c r="L76" i="24"/>
  <c r="L77" i="24"/>
  <c r="L78" i="24"/>
  <c r="L79" i="24"/>
  <c r="L80" i="24"/>
  <c r="L81" i="24"/>
  <c r="L82" i="24"/>
  <c r="L83" i="24"/>
  <c r="L84" i="24"/>
  <c r="L85" i="24"/>
  <c r="L86" i="24"/>
  <c r="L87" i="24"/>
  <c r="L88" i="24"/>
  <c r="L89" i="24"/>
  <c r="L90" i="24"/>
  <c r="L91" i="24"/>
  <c r="N122" i="41"/>
  <c r="N67" i="41"/>
  <c r="I65" i="24"/>
  <c r="K119" i="41"/>
  <c r="K65" i="24"/>
  <c r="M121" i="41"/>
  <c r="M66" i="41"/>
  <c r="J65" i="24"/>
  <c r="L120" i="41"/>
  <c r="L65" i="41"/>
  <c r="E473" i="37"/>
  <c r="E485" i="37"/>
  <c r="F515" i="37"/>
  <c r="F516" i="37"/>
  <c r="F509" i="37"/>
  <c r="F661" i="37"/>
  <c r="F665" i="37"/>
  <c r="F483" i="37"/>
  <c r="F484" i="37"/>
  <c r="F485" i="37"/>
  <c r="F689" i="37"/>
  <c r="F693" i="37"/>
  <c r="G688" i="37"/>
  <c r="G691" i="37"/>
  <c r="G692" i="37"/>
  <c r="G660" i="37"/>
  <c r="G663" i="37"/>
  <c r="G664" i="37"/>
  <c r="G632" i="37"/>
  <c r="G635" i="37"/>
  <c r="G636" i="37"/>
  <c r="F633" i="37"/>
  <c r="F637" i="37"/>
  <c r="F607" i="37"/>
  <c r="F608" i="37"/>
  <c r="F609" i="37"/>
  <c r="G604" i="37"/>
  <c r="G611" i="37"/>
  <c r="G612" i="37"/>
  <c r="F611" i="37"/>
  <c r="F612" i="37"/>
  <c r="F613" i="37"/>
  <c r="G532" i="37"/>
  <c r="G535" i="37"/>
  <c r="G536" i="37"/>
  <c r="F533" i="37"/>
  <c r="F537" i="37"/>
  <c r="F511" i="37"/>
  <c r="F512" i="37"/>
  <c r="F487" i="37"/>
  <c r="F488" i="37"/>
  <c r="F469" i="37"/>
  <c r="F473" i="37"/>
  <c r="G468" i="37"/>
  <c r="G469" i="37"/>
  <c r="G448" i="37"/>
  <c r="G451" i="37"/>
  <c r="G452" i="37"/>
  <c r="F449" i="37"/>
  <c r="F453" i="37"/>
  <c r="F441" i="37"/>
  <c r="F445" i="37"/>
  <c r="G440" i="37"/>
  <c r="G443" i="37"/>
  <c r="G444" i="37"/>
  <c r="F433" i="37"/>
  <c r="F437" i="37"/>
  <c r="G432" i="37"/>
  <c r="G435" i="37"/>
  <c r="G436" i="37"/>
  <c r="G298" i="37"/>
  <c r="G301" i="37"/>
  <c r="G302" i="37"/>
  <c r="F299" i="37"/>
  <c r="F303" i="37"/>
  <c r="F267" i="37"/>
  <c r="F271" i="37"/>
  <c r="G266" i="37"/>
  <c r="H266" i="37"/>
  <c r="F235" i="37"/>
  <c r="F239" i="37"/>
  <c r="G234" i="37"/>
  <c r="H234" i="37"/>
  <c r="G202" i="37"/>
  <c r="G205" i="37"/>
  <c r="G206" i="37"/>
  <c r="F203" i="37"/>
  <c r="F207" i="37"/>
  <c r="E464" i="37"/>
  <c r="E465" i="37"/>
  <c r="E476" i="37"/>
  <c r="E477" i="37"/>
  <c r="E452" i="37"/>
  <c r="E453" i="37"/>
  <c r="G716" i="37"/>
  <c r="G719" i="37"/>
  <c r="G720" i="37"/>
  <c r="F475" i="37"/>
  <c r="F476" i="37"/>
  <c r="F717" i="37"/>
  <c r="F721" i="37"/>
  <c r="F149" i="37"/>
  <c r="F150" i="37"/>
  <c r="F147" i="37"/>
  <c r="W53" i="37"/>
  <c r="W45" i="37"/>
  <c r="I367" i="37"/>
  <c r="I368" i="37"/>
  <c r="I363" i="37"/>
  <c r="I364" i="37"/>
  <c r="Y32" i="37"/>
  <c r="X35" i="37"/>
  <c r="X33" i="37"/>
  <c r="X47" i="37"/>
  <c r="X43" i="37"/>
  <c r="X44" i="37"/>
  <c r="X39" i="37"/>
  <c r="X55" i="37"/>
  <c r="X56" i="37"/>
  <c r="X51" i="37"/>
  <c r="X52" i="37"/>
  <c r="H146" i="37"/>
  <c r="G147" i="37"/>
  <c r="G149" i="37"/>
  <c r="G150" i="37"/>
  <c r="G365" i="37"/>
  <c r="F561" i="37"/>
  <c r="G511" i="37"/>
  <c r="G512" i="37"/>
  <c r="G519" i="37"/>
  <c r="G520" i="37"/>
  <c r="G515" i="37"/>
  <c r="G516" i="37"/>
  <c r="W56" i="37"/>
  <c r="W57" i="37"/>
  <c r="H365" i="37"/>
  <c r="G483" i="37"/>
  <c r="G484" i="37"/>
  <c r="G487" i="37"/>
  <c r="H369" i="37"/>
  <c r="G173" i="37"/>
  <c r="G174" i="37"/>
  <c r="G177" i="37"/>
  <c r="G178" i="37"/>
  <c r="K60" i="37"/>
  <c r="J71" i="37"/>
  <c r="J72" i="37"/>
  <c r="J67" i="37"/>
  <c r="J68" i="37"/>
  <c r="J61" i="37"/>
  <c r="J63" i="37"/>
  <c r="J64" i="37"/>
  <c r="H580" i="37"/>
  <c r="G581" i="37"/>
  <c r="G557" i="37"/>
  <c r="G561" i="37"/>
  <c r="H556" i="37"/>
  <c r="H508" i="37"/>
  <c r="G509" i="37"/>
  <c r="H492" i="37"/>
  <c r="H499" i="37"/>
  <c r="G493" i="37"/>
  <c r="G497" i="37"/>
  <c r="G481" i="37"/>
  <c r="H480" i="37"/>
  <c r="G397" i="37"/>
  <c r="G401" i="37"/>
  <c r="H396" i="37"/>
  <c r="J360" i="37"/>
  <c r="I361" i="37"/>
  <c r="G335" i="37"/>
  <c r="G339" i="37"/>
  <c r="H334" i="37"/>
  <c r="H170" i="37"/>
  <c r="G171" i="37"/>
  <c r="H116" i="37"/>
  <c r="G117" i="37"/>
  <c r="G121" i="37"/>
  <c r="G89" i="37"/>
  <c r="G93" i="37"/>
  <c r="H88" i="37"/>
  <c r="F17" i="37"/>
  <c r="F13" i="37"/>
  <c r="H8" i="37"/>
  <c r="G15" i="37"/>
  <c r="G16" i="37"/>
  <c r="G9" i="37"/>
  <c r="G19" i="37"/>
  <c r="G11" i="37"/>
  <c r="G12" i="37"/>
  <c r="F489" i="37"/>
  <c r="K66" i="24"/>
  <c r="K67" i="24"/>
  <c r="K68" i="24"/>
  <c r="K69" i="24"/>
  <c r="K70" i="24"/>
  <c r="K71" i="24"/>
  <c r="K72" i="24"/>
  <c r="K73" i="24"/>
  <c r="K74" i="24"/>
  <c r="K75" i="24"/>
  <c r="K76" i="24"/>
  <c r="K77" i="24"/>
  <c r="K78" i="24"/>
  <c r="K79" i="24"/>
  <c r="K80" i="24"/>
  <c r="K81" i="24"/>
  <c r="K82" i="24"/>
  <c r="K83" i="24"/>
  <c r="K84" i="24"/>
  <c r="K85" i="24"/>
  <c r="K86" i="24"/>
  <c r="K87" i="24"/>
  <c r="K88" i="24"/>
  <c r="K89" i="24"/>
  <c r="K90" i="24"/>
  <c r="K91" i="24"/>
  <c r="M122" i="41"/>
  <c r="M67" i="41"/>
  <c r="I66" i="24"/>
  <c r="K120" i="41"/>
  <c r="J66" i="24"/>
  <c r="L121" i="41"/>
  <c r="L66" i="41"/>
  <c r="H532" i="37"/>
  <c r="H533" i="37"/>
  <c r="F517" i="37"/>
  <c r="G539" i="37"/>
  <c r="G540" i="37"/>
  <c r="G533" i="37"/>
  <c r="G605" i="37"/>
  <c r="G613" i="37"/>
  <c r="H604" i="37"/>
  <c r="H607" i="37"/>
  <c r="G449" i="37"/>
  <c r="G453" i="37"/>
  <c r="G615" i="37"/>
  <c r="G616" i="37"/>
  <c r="H448" i="37"/>
  <c r="H451" i="37"/>
  <c r="H452" i="37"/>
  <c r="G607" i="37"/>
  <c r="G608" i="37"/>
  <c r="H468" i="37"/>
  <c r="H471" i="37"/>
  <c r="F513" i="37"/>
  <c r="H440" i="37"/>
  <c r="H443" i="37"/>
  <c r="H444" i="37"/>
  <c r="G661" i="37"/>
  <c r="G665" i="37"/>
  <c r="H298" i="37"/>
  <c r="I298" i="37"/>
  <c r="G305" i="37"/>
  <c r="G306" i="37"/>
  <c r="G299" i="37"/>
  <c r="G303" i="37"/>
  <c r="H632" i="37"/>
  <c r="H639" i="37"/>
  <c r="H640" i="37"/>
  <c r="G475" i="37"/>
  <c r="G476" i="37"/>
  <c r="G477" i="37"/>
  <c r="H716" i="37"/>
  <c r="H723" i="37"/>
  <c r="H724" i="37"/>
  <c r="G717" i="37"/>
  <c r="G721" i="37"/>
  <c r="G689" i="37"/>
  <c r="G693" i="37"/>
  <c r="H688" i="37"/>
  <c r="H695" i="37"/>
  <c r="H696" i="37"/>
  <c r="H660" i="37"/>
  <c r="I660" i="37"/>
  <c r="G633" i="37"/>
  <c r="G637" i="37"/>
  <c r="F477" i="37"/>
  <c r="G471" i="37"/>
  <c r="G472" i="37"/>
  <c r="G473" i="37"/>
  <c r="G441" i="37"/>
  <c r="G445" i="37"/>
  <c r="G433" i="37"/>
  <c r="G437" i="37"/>
  <c r="H432" i="37"/>
  <c r="H435" i="37"/>
  <c r="H436" i="37"/>
  <c r="G269" i="37"/>
  <c r="G270" i="37"/>
  <c r="G267" i="37"/>
  <c r="G273" i="37"/>
  <c r="G274" i="37"/>
  <c r="G235" i="37"/>
  <c r="G237" i="37"/>
  <c r="G238" i="37"/>
  <c r="G241" i="37"/>
  <c r="G242" i="37"/>
  <c r="G203" i="37"/>
  <c r="G207" i="37"/>
  <c r="G209" i="37"/>
  <c r="G210" i="37"/>
  <c r="H202" i="37"/>
  <c r="H203" i="37"/>
  <c r="F151" i="37"/>
  <c r="G513" i="37"/>
  <c r="J65" i="37"/>
  <c r="X53" i="37"/>
  <c r="X45" i="37"/>
  <c r="H341" i="37"/>
  <c r="H342" i="37"/>
  <c r="H337" i="37"/>
  <c r="H338" i="37"/>
  <c r="G488" i="37"/>
  <c r="G489" i="37"/>
  <c r="I146" i="37"/>
  <c r="H147" i="37"/>
  <c r="H149" i="37"/>
  <c r="H150" i="37"/>
  <c r="H153" i="37"/>
  <c r="H154" i="37"/>
  <c r="Y47" i="37"/>
  <c r="Y43" i="37"/>
  <c r="Y44" i="37"/>
  <c r="Y39" i="37"/>
  <c r="Y55" i="37"/>
  <c r="Y51" i="37"/>
  <c r="Y52" i="37"/>
  <c r="Y35" i="37"/>
  <c r="Y33" i="37"/>
  <c r="H273" i="37"/>
  <c r="H274" i="37"/>
  <c r="H269" i="37"/>
  <c r="H270" i="37"/>
  <c r="J69" i="37"/>
  <c r="G485" i="37"/>
  <c r="H95" i="37"/>
  <c r="H96" i="37"/>
  <c r="H91" i="37"/>
  <c r="H92" i="37"/>
  <c r="G585" i="37"/>
  <c r="J73" i="37"/>
  <c r="G179" i="37"/>
  <c r="H173" i="37"/>
  <c r="H174" i="37"/>
  <c r="H177" i="37"/>
  <c r="H178" i="37"/>
  <c r="J363" i="37"/>
  <c r="J364" i="37"/>
  <c r="J371" i="37"/>
  <c r="J372" i="37"/>
  <c r="J367" i="37"/>
  <c r="J368" i="37"/>
  <c r="L60" i="37"/>
  <c r="K71" i="37"/>
  <c r="K72" i="37"/>
  <c r="K67" i="37"/>
  <c r="K68" i="37"/>
  <c r="K63" i="37"/>
  <c r="K64" i="37"/>
  <c r="K61" i="37"/>
  <c r="G175" i="37"/>
  <c r="H487" i="37"/>
  <c r="H483" i="37"/>
  <c r="H484" i="37"/>
  <c r="H563" i="37"/>
  <c r="H564" i="37"/>
  <c r="H559" i="37"/>
  <c r="H560" i="37"/>
  <c r="I365" i="37"/>
  <c r="G20" i="37"/>
  <c r="G21" i="37"/>
  <c r="H123" i="37"/>
  <c r="H124" i="37"/>
  <c r="H119" i="37"/>
  <c r="H120" i="37"/>
  <c r="H241" i="37"/>
  <c r="H242" i="37"/>
  <c r="H237" i="37"/>
  <c r="H238" i="37"/>
  <c r="H511" i="37"/>
  <c r="H519" i="37"/>
  <c r="H520" i="37"/>
  <c r="H527" i="37"/>
  <c r="H523" i="37"/>
  <c r="H524" i="37"/>
  <c r="H515" i="37"/>
  <c r="H516" i="37"/>
  <c r="G517" i="37"/>
  <c r="I369" i="37"/>
  <c r="H399" i="37"/>
  <c r="H400" i="37"/>
  <c r="H403" i="37"/>
  <c r="H404" i="37"/>
  <c r="G521" i="37"/>
  <c r="G151" i="37"/>
  <c r="X57" i="37"/>
  <c r="H500" i="37"/>
  <c r="H495" i="37"/>
  <c r="H496" i="37"/>
  <c r="H587" i="37"/>
  <c r="H588" i="37"/>
  <c r="H583" i="37"/>
  <c r="H584" i="37"/>
  <c r="I580" i="37"/>
  <c r="H581" i="37"/>
  <c r="H557" i="37"/>
  <c r="I556" i="37"/>
  <c r="I508" i="37"/>
  <c r="H509" i="37"/>
  <c r="I492" i="37"/>
  <c r="H493" i="37"/>
  <c r="I480" i="37"/>
  <c r="H481" i="37"/>
  <c r="H397" i="37"/>
  <c r="I396" i="37"/>
  <c r="K360" i="37"/>
  <c r="J361" i="37"/>
  <c r="H335" i="37"/>
  <c r="I334" i="37"/>
  <c r="H267" i="37"/>
  <c r="I266" i="37"/>
  <c r="I234" i="37"/>
  <c r="H235" i="37"/>
  <c r="I170" i="37"/>
  <c r="H171" i="37"/>
  <c r="H117" i="37"/>
  <c r="I116" i="37"/>
  <c r="H89" i="37"/>
  <c r="I88" i="37"/>
  <c r="G13" i="37"/>
  <c r="G17" i="37"/>
  <c r="I8" i="37"/>
  <c r="I27" i="37"/>
  <c r="I28" i="37"/>
  <c r="H19" i="37"/>
  <c r="H20" i="37"/>
  <c r="H11" i="37"/>
  <c r="H12" i="37"/>
  <c r="H23" i="37"/>
  <c r="H24" i="37"/>
  <c r="H15" i="37"/>
  <c r="H16" i="37"/>
  <c r="H9" i="37"/>
  <c r="H619" i="37"/>
  <c r="H620" i="37"/>
  <c r="H539" i="37"/>
  <c r="H540" i="37"/>
  <c r="H541" i="37"/>
  <c r="H535" i="37"/>
  <c r="H536" i="37"/>
  <c r="H537" i="37"/>
  <c r="I532" i="37"/>
  <c r="J532" i="37"/>
  <c r="G617" i="37"/>
  <c r="G541" i="37"/>
  <c r="I468" i="37"/>
  <c r="I475" i="37"/>
  <c r="H475" i="37"/>
  <c r="H476" i="37"/>
  <c r="H469" i="37"/>
  <c r="G537" i="37"/>
  <c r="H299" i="37"/>
  <c r="J67" i="24"/>
  <c r="J68" i="24"/>
  <c r="J69" i="24"/>
  <c r="J70" i="24"/>
  <c r="J71" i="24"/>
  <c r="J72" i="24"/>
  <c r="J73" i="24"/>
  <c r="J74" i="24"/>
  <c r="J75" i="24"/>
  <c r="J76" i="24"/>
  <c r="J77" i="24"/>
  <c r="J78" i="24"/>
  <c r="J79" i="24"/>
  <c r="J80" i="24"/>
  <c r="J81" i="24"/>
  <c r="J82" i="24"/>
  <c r="J83" i="24"/>
  <c r="J84" i="24"/>
  <c r="J85" i="24"/>
  <c r="J86" i="24"/>
  <c r="J87" i="24"/>
  <c r="J88" i="24"/>
  <c r="J89" i="24"/>
  <c r="J90" i="24"/>
  <c r="J91" i="24"/>
  <c r="L122" i="41"/>
  <c r="L67" i="41"/>
  <c r="I67" i="24"/>
  <c r="K121" i="41"/>
  <c r="H717" i="37"/>
  <c r="H725" i="37"/>
  <c r="I716" i="37"/>
  <c r="I723" i="37"/>
  <c r="I724" i="37"/>
  <c r="H611" i="37"/>
  <c r="H612" i="37"/>
  <c r="H605" i="37"/>
  <c r="H615" i="37"/>
  <c r="H616" i="37"/>
  <c r="I604" i="37"/>
  <c r="I627" i="37"/>
  <c r="I448" i="37"/>
  <c r="I451" i="37"/>
  <c r="I452" i="37"/>
  <c r="H301" i="37"/>
  <c r="H302" i="37"/>
  <c r="H305" i="37"/>
  <c r="H306" i="37"/>
  <c r="G609" i="37"/>
  <c r="H449" i="37"/>
  <c r="H453" i="37"/>
  <c r="I440" i="37"/>
  <c r="I441" i="37"/>
  <c r="H433" i="37"/>
  <c r="H437" i="37"/>
  <c r="H441" i="37"/>
  <c r="H445" i="37"/>
  <c r="H633" i="37"/>
  <c r="H641" i="37"/>
  <c r="G243" i="37"/>
  <c r="G239" i="37"/>
  <c r="G307" i="37"/>
  <c r="H635" i="37"/>
  <c r="H636" i="37"/>
  <c r="I632" i="37"/>
  <c r="I639" i="37"/>
  <c r="I640" i="37"/>
  <c r="H719" i="37"/>
  <c r="H720" i="37"/>
  <c r="I688" i="37"/>
  <c r="I691" i="37"/>
  <c r="I692" i="37"/>
  <c r="H689" i="37"/>
  <c r="H697" i="37"/>
  <c r="H691" i="37"/>
  <c r="H692" i="37"/>
  <c r="H661" i="37"/>
  <c r="H667" i="37"/>
  <c r="H668" i="37"/>
  <c r="H663" i="37"/>
  <c r="H664" i="37"/>
  <c r="I432" i="37"/>
  <c r="I435" i="37"/>
  <c r="I436" i="37"/>
  <c r="G275" i="37"/>
  <c r="G271" i="37"/>
  <c r="I202" i="37"/>
  <c r="I203" i="37"/>
  <c r="H209" i="37"/>
  <c r="H210" i="37"/>
  <c r="H211" i="37"/>
  <c r="H205" i="37"/>
  <c r="H206" i="37"/>
  <c r="H207" i="37"/>
  <c r="G211" i="37"/>
  <c r="H239" i="37"/>
  <c r="Y53" i="37"/>
  <c r="K65" i="37"/>
  <c r="H155" i="37"/>
  <c r="H151" i="37"/>
  <c r="I123" i="37"/>
  <c r="I124" i="37"/>
  <c r="I119" i="37"/>
  <c r="I120" i="37"/>
  <c r="K363" i="37"/>
  <c r="K364" i="37"/>
  <c r="K371" i="37"/>
  <c r="K372" i="37"/>
  <c r="K367" i="37"/>
  <c r="K368" i="37"/>
  <c r="I499" i="37"/>
  <c r="I500" i="37"/>
  <c r="I495" i="37"/>
  <c r="I496" i="37"/>
  <c r="I503" i="37"/>
  <c r="I504" i="37"/>
  <c r="I663" i="37"/>
  <c r="I664" i="37"/>
  <c r="I667" i="37"/>
  <c r="I668" i="37"/>
  <c r="H243" i="37"/>
  <c r="H175" i="37"/>
  <c r="H271" i="37"/>
  <c r="Y45" i="37"/>
  <c r="H517" i="37"/>
  <c r="H121" i="37"/>
  <c r="H275" i="37"/>
  <c r="H525" i="37"/>
  <c r="H125" i="37"/>
  <c r="J369" i="37"/>
  <c r="H405" i="37"/>
  <c r="H528" i="37"/>
  <c r="H529" i="37"/>
  <c r="H561" i="37"/>
  <c r="K69" i="37"/>
  <c r="J373" i="37"/>
  <c r="I563" i="37"/>
  <c r="I564" i="37"/>
  <c r="I559" i="37"/>
  <c r="I560" i="37"/>
  <c r="H585" i="37"/>
  <c r="H401" i="37"/>
  <c r="H521" i="37"/>
  <c r="H565" i="37"/>
  <c r="K73" i="37"/>
  <c r="J365" i="37"/>
  <c r="H93" i="37"/>
  <c r="I305" i="37"/>
  <c r="I306" i="37"/>
  <c r="I309" i="37"/>
  <c r="I310" i="37"/>
  <c r="I301" i="37"/>
  <c r="I302" i="37"/>
  <c r="H589" i="37"/>
  <c r="H485" i="37"/>
  <c r="M60" i="37"/>
  <c r="L71" i="37"/>
  <c r="L72" i="37"/>
  <c r="L67" i="37"/>
  <c r="L68" i="37"/>
  <c r="L75" i="37"/>
  <c r="L76" i="37"/>
  <c r="L63" i="37"/>
  <c r="L64" i="37"/>
  <c r="L61" i="37"/>
  <c r="H97" i="37"/>
  <c r="J146" i="37"/>
  <c r="I147" i="37"/>
  <c r="I149" i="37"/>
  <c r="I150" i="37"/>
  <c r="I153" i="37"/>
  <c r="I154" i="37"/>
  <c r="H339" i="37"/>
  <c r="I399" i="37"/>
  <c r="I400" i="37"/>
  <c r="I403" i="37"/>
  <c r="I404" i="37"/>
  <c r="I241" i="37"/>
  <c r="I242" i="37"/>
  <c r="I237" i="37"/>
  <c r="I238" i="37"/>
  <c r="I245" i="37"/>
  <c r="I246" i="37"/>
  <c r="I341" i="37"/>
  <c r="I342" i="37"/>
  <c r="I337" i="37"/>
  <c r="I338" i="37"/>
  <c r="I273" i="37"/>
  <c r="I274" i="37"/>
  <c r="I277" i="37"/>
  <c r="I278" i="37"/>
  <c r="I269" i="37"/>
  <c r="I270" i="37"/>
  <c r="I487" i="37"/>
  <c r="I488" i="37"/>
  <c r="I483" i="37"/>
  <c r="I511" i="37"/>
  <c r="I512" i="37"/>
  <c r="I527" i="37"/>
  <c r="I528" i="37"/>
  <c r="I515" i="37"/>
  <c r="I519" i="37"/>
  <c r="I520" i="37"/>
  <c r="I523" i="37"/>
  <c r="I524" i="37"/>
  <c r="H497" i="37"/>
  <c r="H488" i="37"/>
  <c r="H489" i="37"/>
  <c r="Y56" i="37"/>
  <c r="Y57" i="37"/>
  <c r="C57" i="37"/>
  <c r="H343" i="37"/>
  <c r="I95" i="37"/>
  <c r="I96" i="37"/>
  <c r="I91" i="37"/>
  <c r="I92" i="37"/>
  <c r="I173" i="37"/>
  <c r="I174" i="37"/>
  <c r="I177" i="37"/>
  <c r="I178" i="37"/>
  <c r="I181" i="37"/>
  <c r="I182" i="37"/>
  <c r="I539" i="37"/>
  <c r="I540" i="37"/>
  <c r="I587" i="37"/>
  <c r="I588" i="37"/>
  <c r="I583" i="37"/>
  <c r="I584" i="37"/>
  <c r="H501" i="37"/>
  <c r="H179" i="37"/>
  <c r="J660" i="37"/>
  <c r="I661" i="37"/>
  <c r="J580" i="37"/>
  <c r="I581" i="37"/>
  <c r="I557" i="37"/>
  <c r="J556" i="37"/>
  <c r="I533" i="37"/>
  <c r="J508" i="37"/>
  <c r="I509" i="37"/>
  <c r="J492" i="37"/>
  <c r="I493" i="37"/>
  <c r="J480" i="37"/>
  <c r="I481" i="37"/>
  <c r="I397" i="37"/>
  <c r="J396" i="37"/>
  <c r="L360" i="37"/>
  <c r="K361" i="37"/>
  <c r="I335" i="37"/>
  <c r="J334" i="37"/>
  <c r="I299" i="37"/>
  <c r="J298" i="37"/>
  <c r="I267" i="37"/>
  <c r="J266" i="37"/>
  <c r="J234" i="37"/>
  <c r="I235" i="37"/>
  <c r="I171" i="37"/>
  <c r="J170" i="37"/>
  <c r="I117" i="37"/>
  <c r="J116" i="37"/>
  <c r="I89" i="37"/>
  <c r="J88" i="37"/>
  <c r="H17" i="37"/>
  <c r="H13" i="37"/>
  <c r="H21" i="37"/>
  <c r="J8" i="37"/>
  <c r="J27" i="37"/>
  <c r="J28" i="37"/>
  <c r="I19" i="37"/>
  <c r="I20" i="37"/>
  <c r="I11" i="37"/>
  <c r="I23" i="37"/>
  <c r="I24" i="37"/>
  <c r="I15" i="37"/>
  <c r="I16" i="37"/>
  <c r="I9" i="37"/>
  <c r="I29" i="37"/>
  <c r="H25" i="37"/>
  <c r="I543" i="37"/>
  <c r="I544" i="37"/>
  <c r="I545" i="37"/>
  <c r="I535" i="37"/>
  <c r="I536" i="37"/>
  <c r="I537" i="37"/>
  <c r="J448" i="37"/>
  <c r="J468" i="37"/>
  <c r="J471" i="37"/>
  <c r="I469" i="37"/>
  <c r="I473" i="37"/>
  <c r="I471" i="37"/>
  <c r="I472" i="37"/>
  <c r="I443" i="37"/>
  <c r="I444" i="37"/>
  <c r="I445" i="37"/>
  <c r="C445" i="37"/>
  <c r="H477" i="37"/>
  <c r="I605" i="37"/>
  <c r="I449" i="37"/>
  <c r="I453" i="37"/>
  <c r="I611" i="37"/>
  <c r="I619" i="37"/>
  <c r="I620" i="37"/>
  <c r="H721" i="37"/>
  <c r="H617" i="37"/>
  <c r="H307" i="37"/>
  <c r="H303" i="37"/>
  <c r="I68" i="24"/>
  <c r="I69" i="24"/>
  <c r="I70" i="24"/>
  <c r="I71" i="24"/>
  <c r="I72" i="24"/>
  <c r="I73" i="24"/>
  <c r="I74" i="24"/>
  <c r="I75" i="24"/>
  <c r="I76" i="24"/>
  <c r="I77" i="24"/>
  <c r="I78" i="24"/>
  <c r="I79" i="24"/>
  <c r="I80" i="24"/>
  <c r="I81" i="24"/>
  <c r="I82" i="24"/>
  <c r="I83" i="24"/>
  <c r="I84" i="24"/>
  <c r="I85" i="24"/>
  <c r="I86" i="24"/>
  <c r="I87" i="24"/>
  <c r="I88" i="24"/>
  <c r="I89" i="24"/>
  <c r="I90" i="24"/>
  <c r="I91" i="24"/>
  <c r="K122" i="41"/>
  <c r="H613" i="37"/>
  <c r="J604" i="37"/>
  <c r="J623" i="37"/>
  <c r="J624" i="37"/>
  <c r="I623" i="37"/>
  <c r="I624" i="37"/>
  <c r="I607" i="37"/>
  <c r="I608" i="37"/>
  <c r="I615" i="37"/>
  <c r="I616" i="37"/>
  <c r="J632" i="37"/>
  <c r="J639" i="37"/>
  <c r="J640" i="37"/>
  <c r="I633" i="37"/>
  <c r="I641" i="37"/>
  <c r="I635" i="37"/>
  <c r="I636" i="37"/>
  <c r="H621" i="37"/>
  <c r="I717" i="37"/>
  <c r="I725" i="37"/>
  <c r="J716" i="37"/>
  <c r="J719" i="37"/>
  <c r="J720" i="37"/>
  <c r="I719" i="37"/>
  <c r="I720" i="37"/>
  <c r="H637" i="37"/>
  <c r="I689" i="37"/>
  <c r="I693" i="37"/>
  <c r="J688" i="37"/>
  <c r="J695" i="37"/>
  <c r="J696" i="37"/>
  <c r="I695" i="37"/>
  <c r="I696" i="37"/>
  <c r="I433" i="37"/>
  <c r="I437" i="37"/>
  <c r="C437" i="37"/>
  <c r="H693" i="37"/>
  <c r="H669" i="37"/>
  <c r="H665" i="37"/>
  <c r="I213" i="37"/>
  <c r="I214" i="37"/>
  <c r="I215" i="37"/>
  <c r="I209" i="37"/>
  <c r="I210" i="37"/>
  <c r="I211" i="37"/>
  <c r="I205" i="37"/>
  <c r="I206" i="37"/>
  <c r="I207" i="37"/>
  <c r="J202" i="37"/>
  <c r="J205" i="37"/>
  <c r="J206" i="37"/>
  <c r="I505" i="37"/>
  <c r="I239" i="37"/>
  <c r="I155" i="37"/>
  <c r="I501" i="37"/>
  <c r="I561" i="37"/>
  <c r="I339" i="37"/>
  <c r="I151" i="37"/>
  <c r="L363" i="37"/>
  <c r="L364" i="37"/>
  <c r="L371" i="37"/>
  <c r="L372" i="37"/>
  <c r="L367" i="37"/>
  <c r="L368" i="37"/>
  <c r="L375" i="37"/>
  <c r="L376" i="37"/>
  <c r="J177" i="37"/>
  <c r="J178" i="37"/>
  <c r="J181" i="37"/>
  <c r="J182" i="37"/>
  <c r="J173" i="37"/>
  <c r="J174" i="37"/>
  <c r="J273" i="37"/>
  <c r="J274" i="37"/>
  <c r="J277" i="37"/>
  <c r="J278" i="37"/>
  <c r="J269" i="37"/>
  <c r="J270" i="37"/>
  <c r="I513" i="37"/>
  <c r="I529" i="37"/>
  <c r="I183" i="37"/>
  <c r="I521" i="37"/>
  <c r="I275" i="37"/>
  <c r="I497" i="37"/>
  <c r="I125" i="37"/>
  <c r="J483" i="37"/>
  <c r="J487" i="37"/>
  <c r="J539" i="37"/>
  <c r="J540" i="37"/>
  <c r="J543" i="37"/>
  <c r="J544" i="37"/>
  <c r="J535" i="37"/>
  <c r="J536" i="37"/>
  <c r="J587" i="37"/>
  <c r="J588" i="37"/>
  <c r="J591" i="37"/>
  <c r="J592" i="37"/>
  <c r="J583" i="37"/>
  <c r="J584" i="37"/>
  <c r="I175" i="37"/>
  <c r="I343" i="37"/>
  <c r="L65" i="37"/>
  <c r="I303" i="37"/>
  <c r="I565" i="37"/>
  <c r="J493" i="37"/>
  <c r="J499" i="37"/>
  <c r="J500" i="37"/>
  <c r="J495" i="37"/>
  <c r="J496" i="37"/>
  <c r="J503" i="37"/>
  <c r="K492" i="37"/>
  <c r="J667" i="37"/>
  <c r="J668" i="37"/>
  <c r="J663" i="37"/>
  <c r="J664" i="37"/>
  <c r="J671" i="37"/>
  <c r="J672" i="37"/>
  <c r="I585" i="37"/>
  <c r="I93" i="37"/>
  <c r="I247" i="37"/>
  <c r="L77" i="37"/>
  <c r="I311" i="37"/>
  <c r="J511" i="37"/>
  <c r="J515" i="37"/>
  <c r="J516" i="37"/>
  <c r="J523" i="37"/>
  <c r="J524" i="37"/>
  <c r="J519" i="37"/>
  <c r="J527" i="37"/>
  <c r="I476" i="37"/>
  <c r="J305" i="37"/>
  <c r="J306" i="37"/>
  <c r="J309" i="37"/>
  <c r="J310" i="37"/>
  <c r="J301" i="37"/>
  <c r="J302" i="37"/>
  <c r="J399" i="37"/>
  <c r="J400" i="37"/>
  <c r="J403" i="37"/>
  <c r="J404" i="37"/>
  <c r="J407" i="37"/>
  <c r="J408" i="37"/>
  <c r="I589" i="37"/>
  <c r="I97" i="37"/>
  <c r="K146" i="37"/>
  <c r="J157" i="37"/>
  <c r="J158" i="37"/>
  <c r="J149" i="37"/>
  <c r="J150" i="37"/>
  <c r="J153" i="37"/>
  <c r="J154" i="37"/>
  <c r="J147" i="37"/>
  <c r="L69" i="37"/>
  <c r="I307" i="37"/>
  <c r="J449" i="37"/>
  <c r="K448" i="37"/>
  <c r="J451" i="37"/>
  <c r="J452" i="37"/>
  <c r="K369" i="37"/>
  <c r="I628" i="37"/>
  <c r="I629" i="37"/>
  <c r="J95" i="37"/>
  <c r="J96" i="37"/>
  <c r="J91" i="37"/>
  <c r="J92" i="37"/>
  <c r="J99" i="37"/>
  <c r="J100" i="37"/>
  <c r="I489" i="37"/>
  <c r="I243" i="37"/>
  <c r="L73" i="37"/>
  <c r="I669" i="37"/>
  <c r="K373" i="37"/>
  <c r="I179" i="37"/>
  <c r="J341" i="37"/>
  <c r="J342" i="37"/>
  <c r="J337" i="37"/>
  <c r="J338" i="37"/>
  <c r="J345" i="37"/>
  <c r="J346" i="37"/>
  <c r="J469" i="37"/>
  <c r="I271" i="37"/>
  <c r="I405" i="37"/>
  <c r="N60" i="37"/>
  <c r="M75" i="37"/>
  <c r="M76" i="37"/>
  <c r="M71" i="37"/>
  <c r="M72" i="37"/>
  <c r="M67" i="37"/>
  <c r="M68" i="37"/>
  <c r="M63" i="37"/>
  <c r="M61" i="37"/>
  <c r="I665" i="37"/>
  <c r="K365" i="37"/>
  <c r="J127" i="37"/>
  <c r="J128" i="37"/>
  <c r="J123" i="37"/>
  <c r="J124" i="37"/>
  <c r="J119" i="37"/>
  <c r="J120" i="37"/>
  <c r="J241" i="37"/>
  <c r="J242" i="37"/>
  <c r="J237" i="37"/>
  <c r="J238" i="37"/>
  <c r="J245" i="37"/>
  <c r="J246" i="37"/>
  <c r="J567" i="37"/>
  <c r="J568" i="37"/>
  <c r="J559" i="37"/>
  <c r="J560" i="37"/>
  <c r="J563" i="37"/>
  <c r="J564" i="37"/>
  <c r="I541" i="37"/>
  <c r="I525" i="37"/>
  <c r="I279" i="37"/>
  <c r="I401" i="37"/>
  <c r="I121" i="37"/>
  <c r="K660" i="37"/>
  <c r="J661" i="37"/>
  <c r="K580" i="37"/>
  <c r="J581" i="37"/>
  <c r="K556" i="37"/>
  <c r="J557" i="37"/>
  <c r="K532" i="37"/>
  <c r="J533" i="37"/>
  <c r="K508" i="37"/>
  <c r="J509" i="37"/>
  <c r="J481" i="37"/>
  <c r="J397" i="37"/>
  <c r="K396" i="37"/>
  <c r="M360" i="37"/>
  <c r="L361" i="37"/>
  <c r="J335" i="37"/>
  <c r="K334" i="37"/>
  <c r="K298" i="37"/>
  <c r="J299" i="37"/>
  <c r="J267" i="37"/>
  <c r="K266" i="37"/>
  <c r="K234" i="37"/>
  <c r="J235" i="37"/>
  <c r="K170" i="37"/>
  <c r="J171" i="37"/>
  <c r="J117" i="37"/>
  <c r="K116" i="37"/>
  <c r="J89" i="37"/>
  <c r="K88" i="37"/>
  <c r="I25" i="37"/>
  <c r="I21" i="37"/>
  <c r="K8" i="37"/>
  <c r="K27" i="37"/>
  <c r="J19" i="37"/>
  <c r="J20" i="37"/>
  <c r="J11" i="37"/>
  <c r="J12" i="37"/>
  <c r="J23" i="37"/>
  <c r="J24" i="37"/>
  <c r="J15" i="37"/>
  <c r="J9" i="37"/>
  <c r="J29" i="37"/>
  <c r="I17" i="37"/>
  <c r="K468" i="37"/>
  <c r="K469" i="37"/>
  <c r="J475" i="37"/>
  <c r="J476" i="37"/>
  <c r="J477" i="37"/>
  <c r="I477" i="37"/>
  <c r="J717" i="37"/>
  <c r="J721" i="37"/>
  <c r="K688" i="37"/>
  <c r="K691" i="37"/>
  <c r="K692" i="37"/>
  <c r="I617" i="37"/>
  <c r="I621" i="37"/>
  <c r="I609" i="37"/>
  <c r="J643" i="37"/>
  <c r="J644" i="37"/>
  <c r="J633" i="37"/>
  <c r="J641" i="37"/>
  <c r="K632" i="37"/>
  <c r="K635" i="37"/>
  <c r="K636" i="37"/>
  <c r="I625" i="37"/>
  <c r="J635" i="37"/>
  <c r="J636" i="37"/>
  <c r="J637" i="37"/>
  <c r="I637" i="37"/>
  <c r="I697" i="37"/>
  <c r="J691" i="37"/>
  <c r="J692" i="37"/>
  <c r="J689" i="37"/>
  <c r="J727" i="37"/>
  <c r="J728" i="37"/>
  <c r="J699" i="37"/>
  <c r="J700" i="37"/>
  <c r="J605" i="37"/>
  <c r="K604" i="37"/>
  <c r="K607" i="37"/>
  <c r="K608" i="37"/>
  <c r="J619" i="37"/>
  <c r="J620" i="37"/>
  <c r="J611" i="37"/>
  <c r="J612" i="37"/>
  <c r="K716" i="37"/>
  <c r="K723" i="37"/>
  <c r="K724" i="37"/>
  <c r="J723" i="37"/>
  <c r="J724" i="37"/>
  <c r="J607" i="37"/>
  <c r="J627" i="37"/>
  <c r="J628" i="37"/>
  <c r="J615" i="37"/>
  <c r="I721" i="37"/>
  <c r="J537" i="37"/>
  <c r="J203" i="37"/>
  <c r="J207" i="37"/>
  <c r="K202" i="37"/>
  <c r="K217" i="37"/>
  <c r="K218" i="37"/>
  <c r="J213" i="37"/>
  <c r="J214" i="37"/>
  <c r="J209" i="37"/>
  <c r="J210" i="37"/>
  <c r="J453" i="37"/>
  <c r="J239" i="37"/>
  <c r="J151" i="37"/>
  <c r="M69" i="37"/>
  <c r="M77" i="37"/>
  <c r="K281" i="37"/>
  <c r="K282" i="37"/>
  <c r="K277" i="37"/>
  <c r="K278" i="37"/>
  <c r="K269" i="37"/>
  <c r="K270" i="37"/>
  <c r="K273" i="37"/>
  <c r="K274" i="37"/>
  <c r="J247" i="37"/>
  <c r="K471" i="37"/>
  <c r="K472" i="37"/>
  <c r="J665" i="37"/>
  <c r="J589" i="37"/>
  <c r="J175" i="37"/>
  <c r="K28" i="37"/>
  <c r="M73" i="37"/>
  <c r="J155" i="37"/>
  <c r="J409" i="37"/>
  <c r="J528" i="37"/>
  <c r="J529" i="37"/>
  <c r="J669" i="37"/>
  <c r="J183" i="37"/>
  <c r="K399" i="37"/>
  <c r="K400" i="37"/>
  <c r="K403" i="37"/>
  <c r="K404" i="37"/>
  <c r="K407" i="37"/>
  <c r="K408" i="37"/>
  <c r="K639" i="37"/>
  <c r="K640" i="37"/>
  <c r="J243" i="37"/>
  <c r="J101" i="37"/>
  <c r="J405" i="37"/>
  <c r="L492" i="37"/>
  <c r="K495" i="37"/>
  <c r="K496" i="37"/>
  <c r="K503" i="37"/>
  <c r="K504" i="37"/>
  <c r="K499" i="37"/>
  <c r="K500" i="37"/>
  <c r="K493" i="37"/>
  <c r="J545" i="37"/>
  <c r="J179" i="37"/>
  <c r="K309" i="37"/>
  <c r="K310" i="37"/>
  <c r="K313" i="37"/>
  <c r="K314" i="37"/>
  <c r="K301" i="37"/>
  <c r="K302" i="37"/>
  <c r="K305" i="37"/>
  <c r="K306" i="37"/>
  <c r="J121" i="37"/>
  <c r="O60" i="37"/>
  <c r="N79" i="37"/>
  <c r="N80" i="37"/>
  <c r="N75" i="37"/>
  <c r="N76" i="37"/>
  <c r="N71" i="37"/>
  <c r="N72" i="37"/>
  <c r="N67" i="37"/>
  <c r="N68" i="37"/>
  <c r="N63" i="37"/>
  <c r="N61" i="37"/>
  <c r="J93" i="37"/>
  <c r="J159" i="37"/>
  <c r="J401" i="37"/>
  <c r="J525" i="37"/>
  <c r="J504" i="37"/>
  <c r="J505" i="37"/>
  <c r="J541" i="37"/>
  <c r="K345" i="37"/>
  <c r="K346" i="37"/>
  <c r="K341" i="37"/>
  <c r="K342" i="37"/>
  <c r="K337" i="37"/>
  <c r="K338" i="37"/>
  <c r="K567" i="37"/>
  <c r="K568" i="37"/>
  <c r="K559" i="37"/>
  <c r="K560" i="37"/>
  <c r="K563" i="37"/>
  <c r="K564" i="37"/>
  <c r="J125" i="37"/>
  <c r="J347" i="37"/>
  <c r="J97" i="37"/>
  <c r="L448" i="37"/>
  <c r="K451" i="37"/>
  <c r="K452" i="37"/>
  <c r="K449" i="37"/>
  <c r="L146" i="37"/>
  <c r="K149" i="37"/>
  <c r="K150" i="37"/>
  <c r="K153" i="37"/>
  <c r="K154" i="37"/>
  <c r="K147" i="37"/>
  <c r="K157" i="37"/>
  <c r="K158" i="37"/>
  <c r="J303" i="37"/>
  <c r="J517" i="37"/>
  <c r="J497" i="37"/>
  <c r="L377" i="37"/>
  <c r="K185" i="37"/>
  <c r="K186" i="37"/>
  <c r="K181" i="37"/>
  <c r="K182" i="37"/>
  <c r="K173" i="37"/>
  <c r="K174" i="37"/>
  <c r="K177" i="37"/>
  <c r="K178" i="37"/>
  <c r="K99" i="37"/>
  <c r="K100" i="37"/>
  <c r="K95" i="37"/>
  <c r="K96" i="37"/>
  <c r="K91" i="37"/>
  <c r="K92" i="37"/>
  <c r="K511" i="37"/>
  <c r="K512" i="37"/>
  <c r="K519" i="37"/>
  <c r="K520" i="37"/>
  <c r="K515" i="37"/>
  <c r="K527" i="37"/>
  <c r="K528" i="37"/>
  <c r="K523" i="37"/>
  <c r="J565" i="37"/>
  <c r="J129" i="37"/>
  <c r="J339" i="37"/>
  <c r="J311" i="37"/>
  <c r="J501" i="37"/>
  <c r="J271" i="37"/>
  <c r="L369" i="37"/>
  <c r="K591" i="37"/>
  <c r="K592" i="37"/>
  <c r="K583" i="37"/>
  <c r="K584" i="37"/>
  <c r="K587" i="37"/>
  <c r="K588" i="37"/>
  <c r="J561" i="37"/>
  <c r="J343" i="37"/>
  <c r="J307" i="37"/>
  <c r="J585" i="37"/>
  <c r="J488" i="37"/>
  <c r="J489" i="37"/>
  <c r="J279" i="37"/>
  <c r="L373" i="37"/>
  <c r="K127" i="37"/>
  <c r="K128" i="37"/>
  <c r="K123" i="37"/>
  <c r="K124" i="37"/>
  <c r="K119" i="37"/>
  <c r="K120" i="37"/>
  <c r="K245" i="37"/>
  <c r="K246" i="37"/>
  <c r="K249" i="37"/>
  <c r="K250" i="37"/>
  <c r="K241" i="37"/>
  <c r="K242" i="37"/>
  <c r="K237" i="37"/>
  <c r="K238" i="37"/>
  <c r="M363" i="37"/>
  <c r="M371" i="37"/>
  <c r="M372" i="37"/>
  <c r="M367" i="37"/>
  <c r="M368" i="37"/>
  <c r="M375" i="37"/>
  <c r="M376" i="37"/>
  <c r="K543" i="37"/>
  <c r="K544" i="37"/>
  <c r="K547" i="37"/>
  <c r="K548" i="37"/>
  <c r="K535" i="37"/>
  <c r="K536" i="37"/>
  <c r="K539" i="37"/>
  <c r="K540" i="37"/>
  <c r="K667" i="37"/>
  <c r="K668" i="37"/>
  <c r="K663" i="37"/>
  <c r="K664" i="37"/>
  <c r="K671" i="37"/>
  <c r="K672" i="37"/>
  <c r="J569" i="37"/>
  <c r="J673" i="37"/>
  <c r="J593" i="37"/>
  <c r="J275" i="37"/>
  <c r="L365" i="37"/>
  <c r="K661" i="37"/>
  <c r="L660" i="37"/>
  <c r="K581" i="37"/>
  <c r="L580" i="37"/>
  <c r="L556" i="37"/>
  <c r="K557" i="37"/>
  <c r="L532" i="37"/>
  <c r="K533" i="37"/>
  <c r="K509" i="37"/>
  <c r="L508" i="37"/>
  <c r="L396" i="37"/>
  <c r="K397" i="37"/>
  <c r="N360" i="37"/>
  <c r="M361" i="37"/>
  <c r="L334" i="37"/>
  <c r="K335" i="37"/>
  <c r="L298" i="37"/>
  <c r="K299" i="37"/>
  <c r="K267" i="37"/>
  <c r="L266" i="37"/>
  <c r="K235" i="37"/>
  <c r="L234" i="37"/>
  <c r="L170" i="37"/>
  <c r="K171" i="37"/>
  <c r="L116" i="37"/>
  <c r="K117" i="37"/>
  <c r="L88" i="37"/>
  <c r="K89" i="37"/>
  <c r="J25" i="37"/>
  <c r="J13" i="37"/>
  <c r="J21" i="37"/>
  <c r="L8" i="37"/>
  <c r="L27" i="37"/>
  <c r="K19" i="37"/>
  <c r="K11" i="37"/>
  <c r="K23" i="37"/>
  <c r="K15" i="37"/>
  <c r="K16" i="37"/>
  <c r="K9" i="37"/>
  <c r="J729" i="37"/>
  <c r="J725" i="37"/>
  <c r="K695" i="37"/>
  <c r="K696" i="37"/>
  <c r="K699" i="37"/>
  <c r="K700" i="37"/>
  <c r="K633" i="37"/>
  <c r="K643" i="37"/>
  <c r="K644" i="37"/>
  <c r="L604" i="37"/>
  <c r="L615" i="37"/>
  <c r="L468" i="37"/>
  <c r="L469" i="37"/>
  <c r="K475" i="37"/>
  <c r="K476" i="37"/>
  <c r="K689" i="37"/>
  <c r="K701" i="37"/>
  <c r="L688" i="37"/>
  <c r="L703" i="37"/>
  <c r="L704" i="37"/>
  <c r="J621" i="37"/>
  <c r="J625" i="37"/>
  <c r="K605" i="37"/>
  <c r="K609" i="37"/>
  <c r="J645" i="37"/>
  <c r="K627" i="37"/>
  <c r="K628" i="37"/>
  <c r="K629" i="37"/>
  <c r="L632" i="37"/>
  <c r="L647" i="37"/>
  <c r="L648" i="37"/>
  <c r="J693" i="37"/>
  <c r="J701" i="37"/>
  <c r="J697" i="37"/>
  <c r="K611" i="37"/>
  <c r="J629" i="37"/>
  <c r="J613" i="37"/>
  <c r="K619" i="37"/>
  <c r="K717" i="37"/>
  <c r="K729" i="37"/>
  <c r="K727" i="37"/>
  <c r="K728" i="37"/>
  <c r="K615" i="37"/>
  <c r="K616" i="37"/>
  <c r="L716" i="37"/>
  <c r="L727" i="37"/>
  <c r="L728" i="37"/>
  <c r="K623" i="37"/>
  <c r="K624" i="37"/>
  <c r="K719" i="37"/>
  <c r="K720" i="37"/>
  <c r="J211" i="37"/>
  <c r="K205" i="37"/>
  <c r="K206" i="37"/>
  <c r="L202" i="37"/>
  <c r="L213" i="37"/>
  <c r="L214" i="37"/>
  <c r="K213" i="37"/>
  <c r="K214" i="37"/>
  <c r="K203" i="37"/>
  <c r="K219" i="37"/>
  <c r="K209" i="37"/>
  <c r="K210" i="37"/>
  <c r="J215" i="37"/>
  <c r="N77" i="37"/>
  <c r="K29" i="37"/>
  <c r="K239" i="37"/>
  <c r="K453" i="37"/>
  <c r="K585" i="37"/>
  <c r="N69" i="37"/>
  <c r="N73" i="37"/>
  <c r="K537" i="37"/>
  <c r="K159" i="37"/>
  <c r="K501" i="37"/>
  <c r="N81" i="37"/>
  <c r="K497" i="37"/>
  <c r="K151" i="37"/>
  <c r="L281" i="37"/>
  <c r="L282" i="37"/>
  <c r="L277" i="37"/>
  <c r="L278" i="37"/>
  <c r="L269" i="37"/>
  <c r="L273" i="37"/>
  <c r="L274" i="37"/>
  <c r="K545" i="37"/>
  <c r="K247" i="37"/>
  <c r="K521" i="37"/>
  <c r="K101" i="37"/>
  <c r="K565" i="37"/>
  <c r="K307" i="37"/>
  <c r="K409" i="37"/>
  <c r="K279" i="37"/>
  <c r="L28" i="37"/>
  <c r="L123" i="37"/>
  <c r="L124" i="37"/>
  <c r="L119" i="37"/>
  <c r="L120" i="37"/>
  <c r="L131" i="37"/>
  <c r="L132" i="37"/>
  <c r="L127" i="37"/>
  <c r="L128" i="37"/>
  <c r="M377" i="37"/>
  <c r="K121" i="37"/>
  <c r="K179" i="37"/>
  <c r="K561" i="37"/>
  <c r="K303" i="37"/>
  <c r="K405" i="37"/>
  <c r="K283" i="37"/>
  <c r="L511" i="37"/>
  <c r="L515" i="37"/>
  <c r="L516" i="37"/>
  <c r="L519" i="37"/>
  <c r="L527" i="37"/>
  <c r="L528" i="37"/>
  <c r="L523" i="37"/>
  <c r="L524" i="37"/>
  <c r="L571" i="37"/>
  <c r="L572" i="37"/>
  <c r="L563" i="37"/>
  <c r="L564" i="37"/>
  <c r="L567" i="37"/>
  <c r="L568" i="37"/>
  <c r="L559" i="37"/>
  <c r="L560" i="37"/>
  <c r="K673" i="37"/>
  <c r="M369" i="37"/>
  <c r="K125" i="37"/>
  <c r="K589" i="37"/>
  <c r="K175" i="37"/>
  <c r="L451" i="37"/>
  <c r="L452" i="37"/>
  <c r="M448" i="37"/>
  <c r="L449" i="37"/>
  <c r="K569" i="37"/>
  <c r="P60" i="37"/>
  <c r="O83" i="37"/>
  <c r="O84" i="37"/>
  <c r="O75" i="37"/>
  <c r="O76" i="37"/>
  <c r="O71" i="37"/>
  <c r="O72" i="37"/>
  <c r="O67" i="37"/>
  <c r="O79" i="37"/>
  <c r="O80" i="37"/>
  <c r="O61" i="37"/>
  <c r="O63" i="37"/>
  <c r="O64" i="37"/>
  <c r="K315" i="37"/>
  <c r="K401" i="37"/>
  <c r="L185" i="37"/>
  <c r="L186" i="37"/>
  <c r="L181" i="37"/>
  <c r="L182" i="37"/>
  <c r="L173" i="37"/>
  <c r="L177" i="37"/>
  <c r="L178" i="37"/>
  <c r="L313" i="37"/>
  <c r="L314" i="37"/>
  <c r="L301" i="37"/>
  <c r="L305" i="37"/>
  <c r="L306" i="37"/>
  <c r="L309" i="37"/>
  <c r="L310" i="37"/>
  <c r="L399" i="37"/>
  <c r="L400" i="37"/>
  <c r="L411" i="37"/>
  <c r="L412" i="37"/>
  <c r="L403" i="37"/>
  <c r="L404" i="37"/>
  <c r="L407" i="37"/>
  <c r="L408" i="37"/>
  <c r="K513" i="37"/>
  <c r="K529" i="37"/>
  <c r="L595" i="37"/>
  <c r="L596" i="37"/>
  <c r="L591" i="37"/>
  <c r="L592" i="37"/>
  <c r="L583" i="37"/>
  <c r="L584" i="37"/>
  <c r="L587" i="37"/>
  <c r="L588" i="37"/>
  <c r="K665" i="37"/>
  <c r="M373" i="37"/>
  <c r="K129" i="37"/>
  <c r="K183" i="37"/>
  <c r="K339" i="37"/>
  <c r="K311" i="37"/>
  <c r="L499" i="37"/>
  <c r="L500" i="37"/>
  <c r="L495" i="37"/>
  <c r="L496" i="37"/>
  <c r="L503" i="37"/>
  <c r="M492" i="37"/>
  <c r="L493" i="37"/>
  <c r="K477" i="37"/>
  <c r="K473" i="37"/>
  <c r="L675" i="37"/>
  <c r="L676" i="37"/>
  <c r="L671" i="37"/>
  <c r="L672" i="37"/>
  <c r="L663" i="37"/>
  <c r="L664" i="37"/>
  <c r="L667" i="37"/>
  <c r="L668" i="37"/>
  <c r="K669" i="37"/>
  <c r="K593" i="37"/>
  <c r="K187" i="37"/>
  <c r="K343" i="37"/>
  <c r="L349" i="37"/>
  <c r="L350" i="37"/>
  <c r="L341" i="37"/>
  <c r="L342" i="37"/>
  <c r="L337" i="37"/>
  <c r="L338" i="37"/>
  <c r="L345" i="37"/>
  <c r="L346" i="37"/>
  <c r="L551" i="37"/>
  <c r="L552" i="37"/>
  <c r="L547" i="37"/>
  <c r="L548" i="37"/>
  <c r="L535" i="37"/>
  <c r="L539" i="37"/>
  <c r="L540" i="37"/>
  <c r="L543" i="37"/>
  <c r="L544" i="37"/>
  <c r="L627" i="37"/>
  <c r="L611" i="37"/>
  <c r="L612" i="37"/>
  <c r="L623" i="37"/>
  <c r="K541" i="37"/>
  <c r="K155" i="37"/>
  <c r="K347" i="37"/>
  <c r="K645" i="37"/>
  <c r="K24" i="37"/>
  <c r="K25" i="37"/>
  <c r="L245" i="37"/>
  <c r="L246" i="37"/>
  <c r="L249" i="37"/>
  <c r="L250" i="37"/>
  <c r="L241" i="37"/>
  <c r="L242" i="37"/>
  <c r="L237" i="37"/>
  <c r="L699" i="37"/>
  <c r="L700" i="37"/>
  <c r="L695" i="37"/>
  <c r="L696" i="37"/>
  <c r="K243" i="37"/>
  <c r="K93" i="37"/>
  <c r="K641" i="37"/>
  <c r="K275" i="37"/>
  <c r="L103" i="37"/>
  <c r="L104" i="37"/>
  <c r="L99" i="37"/>
  <c r="L100" i="37"/>
  <c r="L95" i="37"/>
  <c r="L96" i="37"/>
  <c r="L91" i="37"/>
  <c r="L92" i="37"/>
  <c r="N361" i="37"/>
  <c r="N363" i="37"/>
  <c r="N379" i="37"/>
  <c r="N380" i="37"/>
  <c r="N371" i="37"/>
  <c r="N372" i="37"/>
  <c r="N367" i="37"/>
  <c r="N368" i="37"/>
  <c r="O360" i="37"/>
  <c r="N375" i="37"/>
  <c r="N376" i="37"/>
  <c r="K549" i="37"/>
  <c r="K251" i="37"/>
  <c r="K97" i="37"/>
  <c r="M146" i="37"/>
  <c r="L153" i="37"/>
  <c r="L154" i="37"/>
  <c r="L161" i="37"/>
  <c r="L162" i="37"/>
  <c r="L147" i="37"/>
  <c r="L157" i="37"/>
  <c r="L158" i="37"/>
  <c r="L149" i="37"/>
  <c r="L150" i="37"/>
  <c r="K505" i="37"/>
  <c r="K637" i="37"/>
  <c r="K271" i="37"/>
  <c r="L689" i="37"/>
  <c r="M688" i="37"/>
  <c r="L661" i="37"/>
  <c r="M660" i="37"/>
  <c r="L605" i="37"/>
  <c r="M604" i="37"/>
  <c r="L581" i="37"/>
  <c r="M580" i="37"/>
  <c r="M556" i="37"/>
  <c r="L557" i="37"/>
  <c r="M532" i="37"/>
  <c r="L533" i="37"/>
  <c r="L509" i="37"/>
  <c r="M508" i="37"/>
  <c r="M396" i="37"/>
  <c r="L397" i="37"/>
  <c r="L335" i="37"/>
  <c r="M334" i="37"/>
  <c r="M298" i="37"/>
  <c r="L299" i="37"/>
  <c r="L267" i="37"/>
  <c r="M266" i="37"/>
  <c r="L235" i="37"/>
  <c r="M234" i="37"/>
  <c r="M170" i="37"/>
  <c r="L171" i="37"/>
  <c r="M116" i="37"/>
  <c r="L117" i="37"/>
  <c r="L89" i="37"/>
  <c r="M88" i="37"/>
  <c r="M8" i="37"/>
  <c r="M27" i="37"/>
  <c r="M28" i="37"/>
  <c r="L19" i="37"/>
  <c r="L20" i="37"/>
  <c r="L11" i="37"/>
  <c r="L12" i="37"/>
  <c r="L23" i="37"/>
  <c r="L15" i="37"/>
  <c r="L9" i="37"/>
  <c r="K17" i="37"/>
  <c r="K693" i="37"/>
  <c r="K697" i="37"/>
  <c r="L633" i="37"/>
  <c r="L637" i="37"/>
  <c r="L635" i="37"/>
  <c r="L636" i="37"/>
  <c r="L639" i="37"/>
  <c r="L640" i="37"/>
  <c r="L607" i="37"/>
  <c r="L619" i="37"/>
  <c r="L620" i="37"/>
  <c r="L621" i="37"/>
  <c r="L471" i="37"/>
  <c r="L472" i="37"/>
  <c r="L473" i="37"/>
  <c r="L475" i="37"/>
  <c r="L476" i="37"/>
  <c r="L477" i="37"/>
  <c r="L691" i="37"/>
  <c r="L692" i="37"/>
  <c r="L693" i="37"/>
  <c r="L643" i="37"/>
  <c r="L644" i="37"/>
  <c r="M632" i="37"/>
  <c r="M647" i="37"/>
  <c r="M648" i="37"/>
  <c r="K617" i="37"/>
  <c r="K625" i="37"/>
  <c r="M716" i="37"/>
  <c r="M723" i="37"/>
  <c r="M724" i="37"/>
  <c r="K721" i="37"/>
  <c r="L723" i="37"/>
  <c r="L724" i="37"/>
  <c r="L731" i="37"/>
  <c r="L732" i="37"/>
  <c r="L717" i="37"/>
  <c r="L729" i="37"/>
  <c r="K725" i="37"/>
  <c r="L719" i="37"/>
  <c r="L720" i="37"/>
  <c r="L217" i="37"/>
  <c r="L218" i="37"/>
  <c r="L203" i="37"/>
  <c r="L219" i="37"/>
  <c r="M202" i="37"/>
  <c r="M209" i="37"/>
  <c r="M210" i="37"/>
  <c r="L209" i="37"/>
  <c r="L210" i="37"/>
  <c r="L205" i="37"/>
  <c r="K207" i="37"/>
  <c r="K211" i="37"/>
  <c r="K215" i="37"/>
  <c r="L29" i="37"/>
  <c r="N381" i="37"/>
  <c r="N377" i="37"/>
  <c r="N369" i="37"/>
  <c r="N373" i="37"/>
  <c r="L155" i="37"/>
  <c r="L665" i="37"/>
  <c r="L573" i="37"/>
  <c r="L315" i="37"/>
  <c r="L151" i="37"/>
  <c r="L641" i="37"/>
  <c r="L159" i="37"/>
  <c r="L163" i="37"/>
  <c r="M611" i="37"/>
  <c r="M623" i="37"/>
  <c r="M624" i="37"/>
  <c r="M619" i="37"/>
  <c r="M627" i="37"/>
  <c r="M628" i="37"/>
  <c r="M607" i="37"/>
  <c r="M615" i="37"/>
  <c r="M616" i="37"/>
  <c r="L529" i="37"/>
  <c r="O361" i="37"/>
  <c r="O379" i="37"/>
  <c r="O380" i="37"/>
  <c r="O371" i="37"/>
  <c r="O372" i="37"/>
  <c r="O367" i="37"/>
  <c r="O375" i="37"/>
  <c r="O376" i="37"/>
  <c r="O363" i="37"/>
  <c r="O364" i="37"/>
  <c r="P360" i="37"/>
  <c r="L101" i="37"/>
  <c r="L251" i="37"/>
  <c r="L613" i="37"/>
  <c r="L549" i="37"/>
  <c r="L673" i="37"/>
  <c r="L409" i="37"/>
  <c r="L179" i="37"/>
  <c r="Q60" i="37"/>
  <c r="P83" i="37"/>
  <c r="P75" i="37"/>
  <c r="P76" i="37"/>
  <c r="P71" i="37"/>
  <c r="P72" i="37"/>
  <c r="P67" i="37"/>
  <c r="P79" i="37"/>
  <c r="P80" i="37"/>
  <c r="P63" i="37"/>
  <c r="P64" i="37"/>
  <c r="P61" i="37"/>
  <c r="L525" i="37"/>
  <c r="M411" i="37"/>
  <c r="M412" i="37"/>
  <c r="M403" i="37"/>
  <c r="M404" i="37"/>
  <c r="M407" i="37"/>
  <c r="M408" i="37"/>
  <c r="M399" i="37"/>
  <c r="M635" i="37"/>
  <c r="M643" i="37"/>
  <c r="M644" i="37"/>
  <c r="M703" i="37"/>
  <c r="M704" i="37"/>
  <c r="M699" i="37"/>
  <c r="M700" i="37"/>
  <c r="M695" i="37"/>
  <c r="M696" i="37"/>
  <c r="M691" i="37"/>
  <c r="N146" i="37"/>
  <c r="M161" i="37"/>
  <c r="M162" i="37"/>
  <c r="M165" i="37"/>
  <c r="M147" i="37"/>
  <c r="M157" i="37"/>
  <c r="M158" i="37"/>
  <c r="M149" i="37"/>
  <c r="M153" i="37"/>
  <c r="M154" i="37"/>
  <c r="L105" i="37"/>
  <c r="L247" i="37"/>
  <c r="L553" i="37"/>
  <c r="L677" i="37"/>
  <c r="L405" i="37"/>
  <c r="O65" i="37"/>
  <c r="M667" i="37"/>
  <c r="M668" i="37"/>
  <c r="M671" i="37"/>
  <c r="M672" i="37"/>
  <c r="M663" i="37"/>
  <c r="M675" i="37"/>
  <c r="M676" i="37"/>
  <c r="L705" i="37"/>
  <c r="L628" i="37"/>
  <c r="L629" i="37"/>
  <c r="L347" i="37"/>
  <c r="L589" i="37"/>
  <c r="L413" i="37"/>
  <c r="L183" i="37"/>
  <c r="O85" i="37"/>
  <c r="L453" i="37"/>
  <c r="L129" i="37"/>
  <c r="L649" i="37"/>
  <c r="L243" i="37"/>
  <c r="M185" i="37"/>
  <c r="M186" i="37"/>
  <c r="M181" i="37"/>
  <c r="M182" i="37"/>
  <c r="M189" i="37"/>
  <c r="M190" i="37"/>
  <c r="M173" i="37"/>
  <c r="M177" i="37"/>
  <c r="M178" i="37"/>
  <c r="M313" i="37"/>
  <c r="M314" i="37"/>
  <c r="M301" i="37"/>
  <c r="M317" i="37"/>
  <c r="M318" i="37"/>
  <c r="M305" i="37"/>
  <c r="M306" i="37"/>
  <c r="M309" i="37"/>
  <c r="M310" i="37"/>
  <c r="M727" i="37"/>
  <c r="M728" i="37"/>
  <c r="L339" i="37"/>
  <c r="M495" i="37"/>
  <c r="M503" i="37"/>
  <c r="M504" i="37"/>
  <c r="M499" i="37"/>
  <c r="M500" i="37"/>
  <c r="N492" i="37"/>
  <c r="M493" i="37"/>
  <c r="L585" i="37"/>
  <c r="L401" i="37"/>
  <c r="L187" i="37"/>
  <c r="O81" i="37"/>
  <c r="M451" i="37"/>
  <c r="M452" i="37"/>
  <c r="M449" i="37"/>
  <c r="N448" i="37"/>
  <c r="L517" i="37"/>
  <c r="L133" i="37"/>
  <c r="L275" i="37"/>
  <c r="M571" i="37"/>
  <c r="M572" i="37"/>
  <c r="M567" i="37"/>
  <c r="M568" i="37"/>
  <c r="M559" i="37"/>
  <c r="M563" i="37"/>
  <c r="M564" i="37"/>
  <c r="M575" i="37"/>
  <c r="M576" i="37"/>
  <c r="L697" i="37"/>
  <c r="L343" i="37"/>
  <c r="L504" i="37"/>
  <c r="L505" i="37"/>
  <c r="L593" i="37"/>
  <c r="L311" i="37"/>
  <c r="L561" i="37"/>
  <c r="L121" i="37"/>
  <c r="L97" i="37"/>
  <c r="M281" i="37"/>
  <c r="M282" i="37"/>
  <c r="M285" i="37"/>
  <c r="M286" i="37"/>
  <c r="M277" i="37"/>
  <c r="M278" i="37"/>
  <c r="M269" i="37"/>
  <c r="M273" i="37"/>
  <c r="M274" i="37"/>
  <c r="M599" i="37"/>
  <c r="M600" i="37"/>
  <c r="M595" i="37"/>
  <c r="M596" i="37"/>
  <c r="M587" i="37"/>
  <c r="M588" i="37"/>
  <c r="M591" i="37"/>
  <c r="M592" i="37"/>
  <c r="M583" i="37"/>
  <c r="L701" i="37"/>
  <c r="L545" i="37"/>
  <c r="L351" i="37"/>
  <c r="L497" i="37"/>
  <c r="L597" i="37"/>
  <c r="L307" i="37"/>
  <c r="O73" i="37"/>
  <c r="L569" i="37"/>
  <c r="L125" i="37"/>
  <c r="L279" i="37"/>
  <c r="M511" i="37"/>
  <c r="M527" i="37"/>
  <c r="M528" i="37"/>
  <c r="M515" i="37"/>
  <c r="M519" i="37"/>
  <c r="M520" i="37"/>
  <c r="M523" i="37"/>
  <c r="M123" i="37"/>
  <c r="M124" i="37"/>
  <c r="M119" i="37"/>
  <c r="M131" i="37"/>
  <c r="M132" i="37"/>
  <c r="M127" i="37"/>
  <c r="M128" i="37"/>
  <c r="M551" i="37"/>
  <c r="M543" i="37"/>
  <c r="M544" i="37"/>
  <c r="M539" i="37"/>
  <c r="M540" i="37"/>
  <c r="M547" i="37"/>
  <c r="M548" i="37"/>
  <c r="M535" i="37"/>
  <c r="M341" i="37"/>
  <c r="M342" i="37"/>
  <c r="M337" i="37"/>
  <c r="M345" i="37"/>
  <c r="M346" i="37"/>
  <c r="M349" i="37"/>
  <c r="M350" i="37"/>
  <c r="M103" i="37"/>
  <c r="M104" i="37"/>
  <c r="M99" i="37"/>
  <c r="M100" i="37"/>
  <c r="M95" i="37"/>
  <c r="M96" i="37"/>
  <c r="M91" i="37"/>
  <c r="M107" i="37"/>
  <c r="M108" i="37"/>
  <c r="M253" i="37"/>
  <c r="M254" i="37"/>
  <c r="M249" i="37"/>
  <c r="M250" i="37"/>
  <c r="M241" i="37"/>
  <c r="M242" i="37"/>
  <c r="M237" i="37"/>
  <c r="M245" i="37"/>
  <c r="M246" i="37"/>
  <c r="L93" i="37"/>
  <c r="L541" i="37"/>
  <c r="L669" i="37"/>
  <c r="L501" i="37"/>
  <c r="O77" i="37"/>
  <c r="L565" i="37"/>
  <c r="L283" i="37"/>
  <c r="M689" i="37"/>
  <c r="N688" i="37"/>
  <c r="M661" i="37"/>
  <c r="N660" i="37"/>
  <c r="M633" i="37"/>
  <c r="N632" i="37"/>
  <c r="M605" i="37"/>
  <c r="N604" i="37"/>
  <c r="M581" i="37"/>
  <c r="N580" i="37"/>
  <c r="N556" i="37"/>
  <c r="M557" i="37"/>
  <c r="M533" i="37"/>
  <c r="N532" i="37"/>
  <c r="M509" i="37"/>
  <c r="N508" i="37"/>
  <c r="N396" i="37"/>
  <c r="M397" i="37"/>
  <c r="M335" i="37"/>
  <c r="N334" i="37"/>
  <c r="N298" i="37"/>
  <c r="M299" i="37"/>
  <c r="M267" i="37"/>
  <c r="N266" i="37"/>
  <c r="M235" i="37"/>
  <c r="N234" i="37"/>
  <c r="M171" i="37"/>
  <c r="N170" i="37"/>
  <c r="N116" i="37"/>
  <c r="M117" i="37"/>
  <c r="N88" i="37"/>
  <c r="M89" i="37"/>
  <c r="L13" i="37"/>
  <c r="L21" i="37"/>
  <c r="N8" i="37"/>
  <c r="N27" i="37"/>
  <c r="M19" i="37"/>
  <c r="M11" i="37"/>
  <c r="M23" i="37"/>
  <c r="M15" i="37"/>
  <c r="M16" i="37"/>
  <c r="M9" i="37"/>
  <c r="M29" i="37"/>
  <c r="N716" i="37"/>
  <c r="N735" i="37"/>
  <c r="N736" i="37"/>
  <c r="L645" i="37"/>
  <c r="M719" i="37"/>
  <c r="M639" i="37"/>
  <c r="M640" i="37"/>
  <c r="M641" i="37"/>
  <c r="M717" i="37"/>
  <c r="M729" i="37"/>
  <c r="M731" i="37"/>
  <c r="M732" i="37"/>
  <c r="M733" i="37"/>
  <c r="L733" i="37"/>
  <c r="L721" i="37"/>
  <c r="L725" i="37"/>
  <c r="L215" i="37"/>
  <c r="M203" i="37"/>
  <c r="M211" i="37"/>
  <c r="N202" i="37"/>
  <c r="N221" i="37"/>
  <c r="N222" i="37"/>
  <c r="L211" i="37"/>
  <c r="M217" i="37"/>
  <c r="M218" i="37"/>
  <c r="M221" i="37"/>
  <c r="M222" i="37"/>
  <c r="M205" i="37"/>
  <c r="M213" i="37"/>
  <c r="M214" i="37"/>
  <c r="M629" i="37"/>
  <c r="P73" i="37"/>
  <c r="P77" i="37"/>
  <c r="M601" i="37"/>
  <c r="M453" i="37"/>
  <c r="O381" i="37"/>
  <c r="M163" i="37"/>
  <c r="M501" i="37"/>
  <c r="M155" i="37"/>
  <c r="P81" i="37"/>
  <c r="N341" i="37"/>
  <c r="N342" i="37"/>
  <c r="N337" i="37"/>
  <c r="N345" i="37"/>
  <c r="N346" i="37"/>
  <c r="N353" i="37"/>
  <c r="N354" i="37"/>
  <c r="N349" i="37"/>
  <c r="N350" i="37"/>
  <c r="N511" i="37"/>
  <c r="N512" i="37"/>
  <c r="N519" i="37"/>
  <c r="N515" i="37"/>
  <c r="N523" i="37"/>
  <c r="N524" i="37"/>
  <c r="N527" i="37"/>
  <c r="N611" i="37"/>
  <c r="N623" i="37"/>
  <c r="N619" i="37"/>
  <c r="N620" i="37"/>
  <c r="N627" i="37"/>
  <c r="N607" i="37"/>
  <c r="N608" i="37"/>
  <c r="N615" i="37"/>
  <c r="N667" i="37"/>
  <c r="N668" i="37"/>
  <c r="N679" i="37"/>
  <c r="N680" i="37"/>
  <c r="N675" i="37"/>
  <c r="N676" i="37"/>
  <c r="N671" i="37"/>
  <c r="N672" i="37"/>
  <c r="N663" i="37"/>
  <c r="M97" i="37"/>
  <c r="M549" i="37"/>
  <c r="M283" i="37"/>
  <c r="M565" i="37"/>
  <c r="N451" i="37"/>
  <c r="N449" i="37"/>
  <c r="O448" i="37"/>
  <c r="M505" i="37"/>
  <c r="M319" i="37"/>
  <c r="O373" i="37"/>
  <c r="M247" i="37"/>
  <c r="M101" i="37"/>
  <c r="M541" i="37"/>
  <c r="M521" i="37"/>
  <c r="N495" i="37"/>
  <c r="N503" i="37"/>
  <c r="N499" i="37"/>
  <c r="N500" i="37"/>
  <c r="O492" i="37"/>
  <c r="N493" i="37"/>
  <c r="M677" i="37"/>
  <c r="M697" i="37"/>
  <c r="P84" i="37"/>
  <c r="P85" i="37"/>
  <c r="M625" i="37"/>
  <c r="M24" i="37"/>
  <c r="M25" i="37"/>
  <c r="N703" i="37"/>
  <c r="N704" i="37"/>
  <c r="N695" i="37"/>
  <c r="N696" i="37"/>
  <c r="N707" i="37"/>
  <c r="N708" i="37"/>
  <c r="N691" i="37"/>
  <c r="N699" i="37"/>
  <c r="N700" i="37"/>
  <c r="M105" i="37"/>
  <c r="M545" i="37"/>
  <c r="M569" i="37"/>
  <c r="M315" i="37"/>
  <c r="M701" i="37"/>
  <c r="M409" i="37"/>
  <c r="R60" i="37"/>
  <c r="Q83" i="37"/>
  <c r="Q71" i="37"/>
  <c r="Q67" i="37"/>
  <c r="Q68" i="37"/>
  <c r="Q79" i="37"/>
  <c r="Q80" i="37"/>
  <c r="Q75" i="37"/>
  <c r="Q76" i="37"/>
  <c r="Q63" i="37"/>
  <c r="Q61" i="37"/>
  <c r="M529" i="37"/>
  <c r="M243" i="37"/>
  <c r="M351" i="37"/>
  <c r="M552" i="37"/>
  <c r="M553" i="37"/>
  <c r="M593" i="37"/>
  <c r="M573" i="37"/>
  <c r="M179" i="37"/>
  <c r="M673" i="37"/>
  <c r="M159" i="37"/>
  <c r="M705" i="37"/>
  <c r="M405" i="37"/>
  <c r="P65" i="37"/>
  <c r="N253" i="37"/>
  <c r="N254" i="37"/>
  <c r="N249" i="37"/>
  <c r="N250" i="37"/>
  <c r="N241" i="37"/>
  <c r="N237" i="37"/>
  <c r="N238" i="37"/>
  <c r="N245" i="37"/>
  <c r="N246" i="37"/>
  <c r="N285" i="37"/>
  <c r="N286" i="37"/>
  <c r="N277" i="37"/>
  <c r="N278" i="37"/>
  <c r="N269" i="37"/>
  <c r="N270" i="37"/>
  <c r="N273" i="37"/>
  <c r="N281" i="37"/>
  <c r="N282" i="37"/>
  <c r="N723" i="37"/>
  <c r="N724" i="37"/>
  <c r="N719" i="37"/>
  <c r="N727" i="37"/>
  <c r="N728" i="37"/>
  <c r="M251" i="37"/>
  <c r="M347" i="37"/>
  <c r="M129" i="37"/>
  <c r="M589" i="37"/>
  <c r="M275" i="37"/>
  <c r="M669" i="37"/>
  <c r="M413" i="37"/>
  <c r="P379" i="37"/>
  <c r="P380" i="37"/>
  <c r="P371" i="37"/>
  <c r="P372" i="37"/>
  <c r="P367" i="37"/>
  <c r="P375" i="37"/>
  <c r="P376" i="37"/>
  <c r="P383" i="37"/>
  <c r="P384" i="37"/>
  <c r="P363" i="37"/>
  <c r="P364" i="37"/>
  <c r="P361" i="37"/>
  <c r="Q360" i="37"/>
  <c r="N539" i="37"/>
  <c r="N551" i="37"/>
  <c r="N543" i="37"/>
  <c r="N544" i="37"/>
  <c r="N547" i="37"/>
  <c r="N548" i="37"/>
  <c r="N535" i="37"/>
  <c r="N536" i="37"/>
  <c r="N123" i="37"/>
  <c r="N124" i="37"/>
  <c r="N119" i="37"/>
  <c r="N131" i="37"/>
  <c r="N132" i="37"/>
  <c r="N127" i="37"/>
  <c r="N128" i="37"/>
  <c r="N135" i="37"/>
  <c r="N136" i="37"/>
  <c r="N185" i="37"/>
  <c r="N186" i="37"/>
  <c r="N181" i="37"/>
  <c r="N182" i="37"/>
  <c r="N189" i="37"/>
  <c r="N190" i="37"/>
  <c r="N173" i="37"/>
  <c r="N174" i="37"/>
  <c r="N177" i="37"/>
  <c r="N403" i="37"/>
  <c r="N404" i="37"/>
  <c r="N407" i="37"/>
  <c r="N408" i="37"/>
  <c r="N415" i="37"/>
  <c r="N416" i="37"/>
  <c r="N399" i="37"/>
  <c r="N411" i="37"/>
  <c r="N412" i="37"/>
  <c r="N571" i="37"/>
  <c r="N572" i="37"/>
  <c r="N567" i="37"/>
  <c r="N568" i="37"/>
  <c r="N559" i="37"/>
  <c r="N563" i="37"/>
  <c r="N564" i="37"/>
  <c r="N575" i="37"/>
  <c r="N576" i="37"/>
  <c r="M255" i="37"/>
  <c r="M133" i="37"/>
  <c r="M597" i="37"/>
  <c r="M191" i="37"/>
  <c r="M166" i="37"/>
  <c r="M167" i="37"/>
  <c r="M645" i="37"/>
  <c r="O365" i="37"/>
  <c r="M617" i="37"/>
  <c r="N635" i="37"/>
  <c r="N651" i="37"/>
  <c r="N652" i="37"/>
  <c r="N639" i="37"/>
  <c r="N640" i="37"/>
  <c r="N647" i="37"/>
  <c r="N648" i="37"/>
  <c r="N643" i="37"/>
  <c r="N644" i="37"/>
  <c r="N28" i="37"/>
  <c r="N599" i="37"/>
  <c r="N600" i="37"/>
  <c r="N587" i="37"/>
  <c r="N588" i="37"/>
  <c r="N591" i="37"/>
  <c r="N592" i="37"/>
  <c r="N583" i="37"/>
  <c r="N595" i="37"/>
  <c r="N596" i="37"/>
  <c r="M109" i="37"/>
  <c r="M343" i="37"/>
  <c r="M279" i="37"/>
  <c r="M311" i="37"/>
  <c r="M183" i="37"/>
  <c r="M649" i="37"/>
  <c r="O377" i="37"/>
  <c r="N99" i="37"/>
  <c r="N100" i="37"/>
  <c r="N95" i="37"/>
  <c r="N96" i="37"/>
  <c r="N91" i="37"/>
  <c r="N107" i="37"/>
  <c r="N108" i="37"/>
  <c r="N103" i="37"/>
  <c r="N104" i="37"/>
  <c r="N301" i="37"/>
  <c r="N302" i="37"/>
  <c r="N317" i="37"/>
  <c r="N318" i="37"/>
  <c r="N305" i="37"/>
  <c r="N309" i="37"/>
  <c r="N310" i="37"/>
  <c r="N313" i="37"/>
  <c r="N314" i="37"/>
  <c r="M125" i="37"/>
  <c r="M287" i="37"/>
  <c r="M577" i="37"/>
  <c r="M307" i="37"/>
  <c r="M187" i="37"/>
  <c r="O146" i="37"/>
  <c r="N161" i="37"/>
  <c r="N162" i="37"/>
  <c r="N165" i="37"/>
  <c r="N166" i="37"/>
  <c r="N147" i="37"/>
  <c r="N157" i="37"/>
  <c r="N158" i="37"/>
  <c r="N149" i="37"/>
  <c r="N153" i="37"/>
  <c r="N154" i="37"/>
  <c r="N717" i="37"/>
  <c r="O716" i="37"/>
  <c r="N689" i="37"/>
  <c r="O688" i="37"/>
  <c r="N661" i="37"/>
  <c r="O660" i="37"/>
  <c r="N633" i="37"/>
  <c r="O632" i="37"/>
  <c r="N605" i="37"/>
  <c r="O604" i="37"/>
  <c r="N581" i="37"/>
  <c r="O580" i="37"/>
  <c r="N557" i="37"/>
  <c r="O556" i="37"/>
  <c r="N533" i="37"/>
  <c r="O532" i="37"/>
  <c r="N509" i="37"/>
  <c r="O508" i="37"/>
  <c r="O396" i="37"/>
  <c r="N397" i="37"/>
  <c r="N335" i="37"/>
  <c r="O298" i="37"/>
  <c r="N299" i="37"/>
  <c r="N267" i="37"/>
  <c r="O266" i="37"/>
  <c r="N235" i="37"/>
  <c r="O234" i="37"/>
  <c r="N171" i="37"/>
  <c r="O170" i="37"/>
  <c r="O116" i="37"/>
  <c r="N117" i="37"/>
  <c r="N89" i="37"/>
  <c r="O88" i="37"/>
  <c r="O8" i="37"/>
  <c r="O27" i="37"/>
  <c r="O28" i="37"/>
  <c r="N23" i="37"/>
  <c r="N15" i="37"/>
  <c r="N9" i="37"/>
  <c r="N19" i="37"/>
  <c r="N20" i="37"/>
  <c r="N11" i="37"/>
  <c r="M17" i="37"/>
  <c r="M725" i="37"/>
  <c r="N731" i="37"/>
  <c r="N732" i="37"/>
  <c r="N733" i="37"/>
  <c r="N203" i="37"/>
  <c r="N205" i="37"/>
  <c r="N206" i="37"/>
  <c r="N213" i="37"/>
  <c r="N214" i="37"/>
  <c r="N215" i="37"/>
  <c r="N217" i="37"/>
  <c r="N218" i="37"/>
  <c r="N219" i="37"/>
  <c r="M215" i="37"/>
  <c r="M223" i="37"/>
  <c r="N209" i="37"/>
  <c r="M219" i="37"/>
  <c r="O202" i="37"/>
  <c r="O225" i="37"/>
  <c r="O226" i="37"/>
  <c r="N239" i="37"/>
  <c r="N537" i="37"/>
  <c r="N513" i="37"/>
  <c r="N29" i="37"/>
  <c r="P373" i="37"/>
  <c r="N155" i="37"/>
  <c r="P381" i="37"/>
  <c r="N109" i="37"/>
  <c r="N159" i="37"/>
  <c r="O289" i="37"/>
  <c r="O290" i="37"/>
  <c r="O273" i="37"/>
  <c r="O281" i="37"/>
  <c r="O282" i="37"/>
  <c r="O285" i="37"/>
  <c r="O286" i="37"/>
  <c r="O277" i="37"/>
  <c r="O278" i="37"/>
  <c r="O269" i="37"/>
  <c r="O270" i="37"/>
  <c r="O679" i="37"/>
  <c r="O680" i="37"/>
  <c r="O675" i="37"/>
  <c r="O676" i="37"/>
  <c r="O683" i="37"/>
  <c r="O684" i="37"/>
  <c r="O671" i="37"/>
  <c r="O672" i="37"/>
  <c r="O667" i="37"/>
  <c r="O663" i="37"/>
  <c r="O664" i="37"/>
  <c r="N311" i="37"/>
  <c r="N645" i="37"/>
  <c r="N187" i="37"/>
  <c r="N545" i="37"/>
  <c r="N725" i="37"/>
  <c r="N287" i="37"/>
  <c r="Q84" i="37"/>
  <c r="Q85" i="37"/>
  <c r="N701" i="37"/>
  <c r="N669" i="37"/>
  <c r="N525" i="37"/>
  <c r="N343" i="37"/>
  <c r="C343" i="37"/>
  <c r="G818" i="37"/>
  <c r="O511" i="37"/>
  <c r="O512" i="37"/>
  <c r="O523" i="37"/>
  <c r="O524" i="37"/>
  <c r="O519" i="37"/>
  <c r="O515" i="37"/>
  <c r="O527" i="37"/>
  <c r="O627" i="37"/>
  <c r="O607" i="37"/>
  <c r="O608" i="37"/>
  <c r="O611" i="37"/>
  <c r="O623" i="37"/>
  <c r="O615" i="37"/>
  <c r="O619" i="37"/>
  <c r="O620" i="37"/>
  <c r="N105" i="37"/>
  <c r="N597" i="37"/>
  <c r="N649" i="37"/>
  <c r="N417" i="37"/>
  <c r="N137" i="37"/>
  <c r="N552" i="37"/>
  <c r="N553" i="37"/>
  <c r="N247" i="37"/>
  <c r="S60" i="37"/>
  <c r="R83" i="37"/>
  <c r="R84" i="37"/>
  <c r="R79" i="37"/>
  <c r="R80" i="37"/>
  <c r="R71" i="37"/>
  <c r="R67" i="37"/>
  <c r="R68" i="37"/>
  <c r="R75" i="37"/>
  <c r="R76" i="37"/>
  <c r="R61" i="37"/>
  <c r="R63" i="37"/>
  <c r="O699" i="37"/>
  <c r="O700" i="37"/>
  <c r="O707" i="37"/>
  <c r="O708" i="37"/>
  <c r="O691" i="37"/>
  <c r="O692" i="37"/>
  <c r="O711" i="37"/>
  <c r="O712" i="37"/>
  <c r="O703" i="37"/>
  <c r="O704" i="37"/>
  <c r="O695" i="37"/>
  <c r="N319" i="37"/>
  <c r="N641" i="37"/>
  <c r="N409" i="37"/>
  <c r="N129" i="37"/>
  <c r="N737" i="37"/>
  <c r="N709" i="37"/>
  <c r="O503" i="37"/>
  <c r="O504" i="37"/>
  <c r="O495" i="37"/>
  <c r="O496" i="37"/>
  <c r="O499" i="37"/>
  <c r="P492" i="37"/>
  <c r="O493" i="37"/>
  <c r="N609" i="37"/>
  <c r="O123" i="37"/>
  <c r="O119" i="37"/>
  <c r="O120" i="37"/>
  <c r="O139" i="37"/>
  <c r="O140" i="37"/>
  <c r="O131" i="37"/>
  <c r="O132" i="37"/>
  <c r="O127" i="37"/>
  <c r="O128" i="37"/>
  <c r="O135" i="37"/>
  <c r="O136" i="37"/>
  <c r="O533" i="37"/>
  <c r="O551" i="37"/>
  <c r="O543" i="37"/>
  <c r="O544" i="37"/>
  <c r="P532" i="37"/>
  <c r="O547" i="37"/>
  <c r="O548" i="37"/>
  <c r="O535" i="37"/>
  <c r="O536" i="37"/>
  <c r="O539" i="37"/>
  <c r="O633" i="37"/>
  <c r="O647" i="37"/>
  <c r="O648" i="37"/>
  <c r="O643" i="37"/>
  <c r="O644" i="37"/>
  <c r="P632" i="37"/>
  <c r="O635" i="37"/>
  <c r="O636" i="37"/>
  <c r="O651" i="37"/>
  <c r="O652" i="37"/>
  <c r="O639" i="37"/>
  <c r="O655" i="37"/>
  <c r="O656" i="37"/>
  <c r="N167" i="37"/>
  <c r="N303" i="37"/>
  <c r="N593" i="37"/>
  <c r="N653" i="37"/>
  <c r="N565" i="37"/>
  <c r="N405" i="37"/>
  <c r="N133" i="37"/>
  <c r="Q375" i="37"/>
  <c r="Q376" i="37"/>
  <c r="Q383" i="37"/>
  <c r="Q384" i="37"/>
  <c r="Q379" i="37"/>
  <c r="Q380" i="37"/>
  <c r="Q371" i="37"/>
  <c r="Q367" i="37"/>
  <c r="Q368" i="37"/>
  <c r="Q363" i="37"/>
  <c r="Q361" i="37"/>
  <c r="R360" i="37"/>
  <c r="N697" i="37"/>
  <c r="N501" i="37"/>
  <c r="O449" i="37"/>
  <c r="O451" i="37"/>
  <c r="O452" i="37"/>
  <c r="P448" i="37"/>
  <c r="N628" i="37"/>
  <c r="N629" i="37"/>
  <c r="O185" i="37"/>
  <c r="O186" i="37"/>
  <c r="O181" i="37"/>
  <c r="O182" i="37"/>
  <c r="O189" i="37"/>
  <c r="O190" i="37"/>
  <c r="O173" i="37"/>
  <c r="O174" i="37"/>
  <c r="O177" i="37"/>
  <c r="O193" i="37"/>
  <c r="O194" i="37"/>
  <c r="O739" i="37"/>
  <c r="O735" i="37"/>
  <c r="O736" i="37"/>
  <c r="O731" i="37"/>
  <c r="O732" i="37"/>
  <c r="O723" i="37"/>
  <c r="O719" i="37"/>
  <c r="O720" i="37"/>
  <c r="O727" i="37"/>
  <c r="O728" i="37"/>
  <c r="N97" i="37"/>
  <c r="N589" i="37"/>
  <c r="N283" i="37"/>
  <c r="N251" i="37"/>
  <c r="Q77" i="37"/>
  <c r="N705" i="37"/>
  <c r="N504" i="37"/>
  <c r="N505" i="37"/>
  <c r="N621" i="37"/>
  <c r="N351" i="37"/>
  <c r="C351" i="37"/>
  <c r="O301" i="37"/>
  <c r="O302" i="37"/>
  <c r="O321" i="37"/>
  <c r="O322" i="37"/>
  <c r="O317" i="37"/>
  <c r="O318" i="37"/>
  <c r="O305" i="37"/>
  <c r="O309" i="37"/>
  <c r="O310" i="37"/>
  <c r="O313" i="37"/>
  <c r="O314" i="37"/>
  <c r="O567" i="37"/>
  <c r="O568" i="37"/>
  <c r="O575" i="37"/>
  <c r="O576" i="37"/>
  <c r="O571" i="37"/>
  <c r="O572" i="37"/>
  <c r="O559" i="37"/>
  <c r="O560" i="37"/>
  <c r="O563" i="37"/>
  <c r="N163" i="37"/>
  <c r="N223" i="37"/>
  <c r="N101" i="37"/>
  <c r="N569" i="37"/>
  <c r="N175" i="37"/>
  <c r="N125" i="37"/>
  <c r="P365" i="37"/>
  <c r="N255" i="37"/>
  <c r="Q81" i="37"/>
  <c r="N452" i="37"/>
  <c r="N453" i="37"/>
  <c r="N673" i="37"/>
  <c r="N355" i="37"/>
  <c r="C355" i="37"/>
  <c r="O253" i="37"/>
  <c r="O254" i="37"/>
  <c r="O257" i="37"/>
  <c r="O258" i="37"/>
  <c r="O249" i="37"/>
  <c r="O250" i="37"/>
  <c r="O241" i="37"/>
  <c r="O237" i="37"/>
  <c r="O238" i="37"/>
  <c r="O245" i="37"/>
  <c r="O246" i="37"/>
  <c r="N601" i="37"/>
  <c r="N577" i="37"/>
  <c r="P146" i="37"/>
  <c r="O161" i="37"/>
  <c r="O162" i="37"/>
  <c r="O165" i="37"/>
  <c r="O166" i="37"/>
  <c r="O147" i="37"/>
  <c r="O157" i="37"/>
  <c r="O158" i="37"/>
  <c r="O149" i="37"/>
  <c r="O150" i="37"/>
  <c r="O153" i="37"/>
  <c r="N207" i="37"/>
  <c r="N573" i="37"/>
  <c r="N191" i="37"/>
  <c r="P385" i="37"/>
  <c r="N729" i="37"/>
  <c r="N271" i="37"/>
  <c r="Q69" i="37"/>
  <c r="N677" i="37"/>
  <c r="N347" i="37"/>
  <c r="C347" i="37"/>
  <c r="O111" i="37"/>
  <c r="O112" i="37"/>
  <c r="O95" i="37"/>
  <c r="O91" i="37"/>
  <c r="O92" i="37"/>
  <c r="O107" i="37"/>
  <c r="O108" i="37"/>
  <c r="O103" i="37"/>
  <c r="O104" i="37"/>
  <c r="O99" i="37"/>
  <c r="O100" i="37"/>
  <c r="O407" i="37"/>
  <c r="O408" i="37"/>
  <c r="O415" i="37"/>
  <c r="O416" i="37"/>
  <c r="O399" i="37"/>
  <c r="O400" i="37"/>
  <c r="O411" i="37"/>
  <c r="O412" i="37"/>
  <c r="O403" i="37"/>
  <c r="O599" i="37"/>
  <c r="O587" i="37"/>
  <c r="O591" i="37"/>
  <c r="O592" i="37"/>
  <c r="O583" i="37"/>
  <c r="O584" i="37"/>
  <c r="O595" i="37"/>
  <c r="O596" i="37"/>
  <c r="N315" i="37"/>
  <c r="N413" i="37"/>
  <c r="N183" i="37"/>
  <c r="N549" i="37"/>
  <c r="P377" i="37"/>
  <c r="N279" i="37"/>
  <c r="N681" i="37"/>
  <c r="N528" i="37"/>
  <c r="N529" i="37"/>
  <c r="P716" i="37"/>
  <c r="O717" i="37"/>
  <c r="P688" i="37"/>
  <c r="O689" i="37"/>
  <c r="P660" i="37"/>
  <c r="O661" i="37"/>
  <c r="O605" i="37"/>
  <c r="P580" i="37"/>
  <c r="O581" i="37"/>
  <c r="O557" i="37"/>
  <c r="P556" i="37"/>
  <c r="O509" i="37"/>
  <c r="O397" i="37"/>
  <c r="P396" i="37"/>
  <c r="P298" i="37"/>
  <c r="O299" i="37"/>
  <c r="O267" i="37"/>
  <c r="P266" i="37"/>
  <c r="P234" i="37"/>
  <c r="O235" i="37"/>
  <c r="P202" i="37"/>
  <c r="P229" i="37"/>
  <c r="P170" i="37"/>
  <c r="O171" i="37"/>
  <c r="P116" i="37"/>
  <c r="O117" i="37"/>
  <c r="O89" i="37"/>
  <c r="P88" i="37"/>
  <c r="N21" i="37"/>
  <c r="P8" i="37"/>
  <c r="P27" i="37"/>
  <c r="P28" i="37"/>
  <c r="O23" i="37"/>
  <c r="O24" i="37"/>
  <c r="O15" i="37"/>
  <c r="O9" i="37"/>
  <c r="O29" i="37"/>
  <c r="O19" i="37"/>
  <c r="O11" i="37"/>
  <c r="O12" i="37"/>
  <c r="O217" i="37"/>
  <c r="O218" i="37"/>
  <c r="O209" i="37"/>
  <c r="O205" i="37"/>
  <c r="O206" i="37"/>
  <c r="O203" i="37"/>
  <c r="O227" i="37"/>
  <c r="O221" i="37"/>
  <c r="O222" i="37"/>
  <c r="O213" i="37"/>
  <c r="O214" i="37"/>
  <c r="I21" i="9"/>
  <c r="O577" i="37"/>
  <c r="O505" i="37"/>
  <c r="O239" i="37"/>
  <c r="O685" i="37"/>
  <c r="O453" i="37"/>
  <c r="O113" i="37"/>
  <c r="O141" i="37"/>
  <c r="O513" i="37"/>
  <c r="O549" i="37"/>
  <c r="R81" i="37"/>
  <c r="O713" i="37"/>
  <c r="O653" i="37"/>
  <c r="Q369" i="37"/>
  <c r="O167" i="37"/>
  <c r="O649" i="37"/>
  <c r="P95" i="37"/>
  <c r="P91" i="37"/>
  <c r="P92" i="37"/>
  <c r="P107" i="37"/>
  <c r="P108" i="37"/>
  <c r="P103" i="37"/>
  <c r="P104" i="37"/>
  <c r="P99" i="37"/>
  <c r="P100" i="37"/>
  <c r="P111" i="37"/>
  <c r="O600" i="37"/>
  <c r="O601" i="37"/>
  <c r="O109" i="37"/>
  <c r="O159" i="37"/>
  <c r="O637" i="37"/>
  <c r="O657" i="37"/>
  <c r="O137" i="37"/>
  <c r="O705" i="37"/>
  <c r="T60" i="37"/>
  <c r="S83" i="37"/>
  <c r="S79" i="37"/>
  <c r="S80" i="37"/>
  <c r="S71" i="37"/>
  <c r="S72" i="37"/>
  <c r="S67" i="37"/>
  <c r="S75" i="37"/>
  <c r="S63" i="37"/>
  <c r="S64" i="37"/>
  <c r="S61" i="37"/>
  <c r="O271" i="37"/>
  <c r="P575" i="37"/>
  <c r="P576" i="37"/>
  <c r="P563" i="37"/>
  <c r="P571" i="37"/>
  <c r="P572" i="37"/>
  <c r="P567" i="37"/>
  <c r="P568" i="37"/>
  <c r="P559" i="37"/>
  <c r="P560" i="37"/>
  <c r="P699" i="37"/>
  <c r="P700" i="37"/>
  <c r="P695" i="37"/>
  <c r="P691" i="37"/>
  <c r="P692" i="37"/>
  <c r="P711" i="37"/>
  <c r="P712" i="37"/>
  <c r="P703" i="37"/>
  <c r="P704" i="37"/>
  <c r="P707" i="37"/>
  <c r="P708" i="37"/>
  <c r="O93" i="37"/>
  <c r="O569" i="37"/>
  <c r="O729" i="37"/>
  <c r="O175" i="37"/>
  <c r="O129" i="37"/>
  <c r="O279" i="37"/>
  <c r="P257" i="37"/>
  <c r="P258" i="37"/>
  <c r="P249" i="37"/>
  <c r="P250" i="37"/>
  <c r="P261" i="37"/>
  <c r="P241" i="37"/>
  <c r="P242" i="37"/>
  <c r="P237" i="37"/>
  <c r="P245" i="37"/>
  <c r="P253" i="37"/>
  <c r="P254" i="37"/>
  <c r="O413" i="37"/>
  <c r="O251" i="37"/>
  <c r="O315" i="37"/>
  <c r="O721" i="37"/>
  <c r="O191" i="37"/>
  <c r="O133" i="37"/>
  <c r="P503" i="37"/>
  <c r="P504" i="37"/>
  <c r="P499" i="37"/>
  <c r="P495" i="37"/>
  <c r="P496" i="37"/>
  <c r="P493" i="37"/>
  <c r="Q492" i="37"/>
  <c r="O693" i="37"/>
  <c r="R85" i="37"/>
  <c r="O609" i="37"/>
  <c r="O665" i="37"/>
  <c r="O287" i="37"/>
  <c r="P289" i="37"/>
  <c r="P290" i="37"/>
  <c r="P273" i="37"/>
  <c r="P274" i="37"/>
  <c r="P293" i="37"/>
  <c r="P281" i="37"/>
  <c r="P282" i="37"/>
  <c r="P285" i="37"/>
  <c r="P286" i="37"/>
  <c r="P277" i="37"/>
  <c r="P269" i="37"/>
  <c r="P731" i="37"/>
  <c r="P732" i="37"/>
  <c r="P723" i="37"/>
  <c r="P719" i="37"/>
  <c r="P720" i="37"/>
  <c r="P727" i="37"/>
  <c r="P728" i="37"/>
  <c r="P735" i="37"/>
  <c r="P736" i="37"/>
  <c r="P739" i="37"/>
  <c r="O401" i="37"/>
  <c r="O163" i="37"/>
  <c r="O259" i="37"/>
  <c r="O311" i="37"/>
  <c r="O183" i="37"/>
  <c r="O709" i="37"/>
  <c r="R77" i="37"/>
  <c r="O628" i="37"/>
  <c r="O629" i="37"/>
  <c r="O283" i="37"/>
  <c r="P123" i="37"/>
  <c r="P119" i="37"/>
  <c r="P120" i="37"/>
  <c r="P139" i="37"/>
  <c r="P140" i="37"/>
  <c r="P131" i="37"/>
  <c r="P132" i="37"/>
  <c r="P127" i="37"/>
  <c r="P128" i="37"/>
  <c r="P135" i="37"/>
  <c r="P136" i="37"/>
  <c r="P595" i="37"/>
  <c r="P596" i="37"/>
  <c r="P599" i="37"/>
  <c r="P600" i="37"/>
  <c r="P587" i="37"/>
  <c r="P591" i="37"/>
  <c r="P592" i="37"/>
  <c r="P583" i="37"/>
  <c r="P584" i="37"/>
  <c r="O597" i="37"/>
  <c r="O417" i="37"/>
  <c r="Q146" i="37"/>
  <c r="P165" i="37"/>
  <c r="P147" i="37"/>
  <c r="P157" i="37"/>
  <c r="P158" i="37"/>
  <c r="P149" i="37"/>
  <c r="P150" i="37"/>
  <c r="P153" i="37"/>
  <c r="P161" i="37"/>
  <c r="P162" i="37"/>
  <c r="O255" i="37"/>
  <c r="O733" i="37"/>
  <c r="O187" i="37"/>
  <c r="Q381" i="37"/>
  <c r="P535" i="37"/>
  <c r="P547" i="37"/>
  <c r="P548" i="37"/>
  <c r="P539" i="37"/>
  <c r="P540" i="37"/>
  <c r="P533" i="37"/>
  <c r="P543" i="37"/>
  <c r="Q532" i="37"/>
  <c r="P551" i="37"/>
  <c r="O121" i="37"/>
  <c r="O497" i="37"/>
  <c r="O701" i="37"/>
  <c r="R69" i="37"/>
  <c r="O528" i="37"/>
  <c r="O529" i="37"/>
  <c r="C529" i="37"/>
  <c r="O673" i="37"/>
  <c r="P189" i="37"/>
  <c r="P190" i="37"/>
  <c r="P173" i="37"/>
  <c r="P177" i="37"/>
  <c r="P178" i="37"/>
  <c r="P193" i="37"/>
  <c r="P194" i="37"/>
  <c r="P197" i="37"/>
  <c r="P198" i="37"/>
  <c r="P185" i="37"/>
  <c r="P186" i="37"/>
  <c r="P181" i="37"/>
  <c r="P321" i="37"/>
  <c r="P322" i="37"/>
  <c r="P317" i="37"/>
  <c r="P318" i="37"/>
  <c r="P305" i="37"/>
  <c r="P306" i="37"/>
  <c r="P309" i="37"/>
  <c r="P313" i="37"/>
  <c r="P314" i="37"/>
  <c r="P301" i="37"/>
  <c r="O585" i="37"/>
  <c r="O409" i="37"/>
  <c r="O319" i="37"/>
  <c r="O737" i="37"/>
  <c r="Q385" i="37"/>
  <c r="P635" i="37"/>
  <c r="P636" i="37"/>
  <c r="P647" i="37"/>
  <c r="P648" i="37"/>
  <c r="P643" i="37"/>
  <c r="P644" i="37"/>
  <c r="P651" i="37"/>
  <c r="P652" i="37"/>
  <c r="P639" i="37"/>
  <c r="P655" i="37"/>
  <c r="P656" i="37"/>
  <c r="P633" i="37"/>
  <c r="Q632" i="37"/>
  <c r="O545" i="37"/>
  <c r="O291" i="37"/>
  <c r="P407" i="37"/>
  <c r="P408" i="37"/>
  <c r="P415" i="37"/>
  <c r="P416" i="37"/>
  <c r="P399" i="37"/>
  <c r="P400" i="37"/>
  <c r="P419" i="37"/>
  <c r="P420" i="37"/>
  <c r="P411" i="37"/>
  <c r="P412" i="37"/>
  <c r="P403" i="37"/>
  <c r="O593" i="37"/>
  <c r="O101" i="37"/>
  <c r="O561" i="37"/>
  <c r="O323" i="37"/>
  <c r="O740" i="37"/>
  <c r="O741" i="37"/>
  <c r="Q377" i="37"/>
  <c r="O645" i="37"/>
  <c r="O552" i="37"/>
  <c r="O553" i="37"/>
  <c r="O621" i="37"/>
  <c r="O677" i="37"/>
  <c r="P217" i="37"/>
  <c r="P218" i="37"/>
  <c r="P213" i="37"/>
  <c r="P205" i="37"/>
  <c r="P230" i="37"/>
  <c r="P221" i="37"/>
  <c r="P222" i="37"/>
  <c r="P209" i="37"/>
  <c r="P210" i="37"/>
  <c r="P225" i="37"/>
  <c r="P226" i="37"/>
  <c r="P683" i="37"/>
  <c r="P684" i="37"/>
  <c r="P671" i="37"/>
  <c r="P672" i="37"/>
  <c r="P663" i="37"/>
  <c r="P664" i="37"/>
  <c r="P679" i="37"/>
  <c r="P680" i="37"/>
  <c r="P667" i="37"/>
  <c r="P675" i="37"/>
  <c r="P676" i="37"/>
  <c r="O105" i="37"/>
  <c r="O151" i="37"/>
  <c r="O247" i="37"/>
  <c r="O573" i="37"/>
  <c r="O303" i="37"/>
  <c r="O195" i="37"/>
  <c r="P451" i="37"/>
  <c r="P452" i="37"/>
  <c r="Q448" i="37"/>
  <c r="P449" i="37"/>
  <c r="R375" i="37"/>
  <c r="R376" i="37"/>
  <c r="R387" i="37"/>
  <c r="R388" i="37"/>
  <c r="R383" i="37"/>
  <c r="R384" i="37"/>
  <c r="R363" i="37"/>
  <c r="R379" i="37"/>
  <c r="R380" i="37"/>
  <c r="R371" i="37"/>
  <c r="R367" i="37"/>
  <c r="R368" i="37"/>
  <c r="S360" i="37"/>
  <c r="R361" i="37"/>
  <c r="O537" i="37"/>
  <c r="O525" i="37"/>
  <c r="O681" i="37"/>
  <c r="Q716" i="37"/>
  <c r="P717" i="37"/>
  <c r="P689" i="37"/>
  <c r="Q688" i="37"/>
  <c r="Q660" i="37"/>
  <c r="P661" i="37"/>
  <c r="Q580" i="37"/>
  <c r="P581" i="37"/>
  <c r="P557" i="37"/>
  <c r="Q556" i="37"/>
  <c r="P397" i="37"/>
  <c r="Q396" i="37"/>
  <c r="P299" i="37"/>
  <c r="Q298" i="37"/>
  <c r="P267" i="37"/>
  <c r="Q266" i="37"/>
  <c r="Q234" i="37"/>
  <c r="P235" i="37"/>
  <c r="Q202" i="37"/>
  <c r="P203" i="37"/>
  <c r="P171" i="37"/>
  <c r="Q170" i="37"/>
  <c r="P117" i="37"/>
  <c r="Q116" i="37"/>
  <c r="P89" i="37"/>
  <c r="Q88" i="37"/>
  <c r="O13" i="37"/>
  <c r="O25" i="37"/>
  <c r="Q8" i="37"/>
  <c r="Q27" i="37"/>
  <c r="Q28" i="37"/>
  <c r="P19" i="37"/>
  <c r="P11" i="37"/>
  <c r="P12" i="37"/>
  <c r="P23" i="37"/>
  <c r="P15" i="37"/>
  <c r="P16" i="37"/>
  <c r="P9" i="37"/>
  <c r="P29" i="37"/>
  <c r="O223" i="37"/>
  <c r="O215" i="37"/>
  <c r="O219" i="37"/>
  <c r="O207" i="37"/>
  <c r="P199" i="37"/>
  <c r="P141" i="37"/>
  <c r="P685" i="37"/>
  <c r="P505" i="37"/>
  <c r="P713" i="37"/>
  <c r="P231" i="37"/>
  <c r="P657" i="37"/>
  <c r="P159" i="37"/>
  <c r="P453" i="37"/>
  <c r="P163" i="37"/>
  <c r="P151" i="37"/>
  <c r="P653" i="37"/>
  <c r="Q599" i="37"/>
  <c r="Q587" i="37"/>
  <c r="Q588" i="37"/>
  <c r="Q591" i="37"/>
  <c r="Q595" i="37"/>
  <c r="Q596" i="37"/>
  <c r="Q583" i="37"/>
  <c r="R377" i="37"/>
  <c r="P665" i="37"/>
  <c r="P421" i="37"/>
  <c r="R146" i="37"/>
  <c r="Q147" i="37"/>
  <c r="Q157" i="37"/>
  <c r="Q149" i="37"/>
  <c r="Q153" i="37"/>
  <c r="Q154" i="37"/>
  <c r="Q161" i="37"/>
  <c r="Q162" i="37"/>
  <c r="Q165" i="37"/>
  <c r="P740" i="37"/>
  <c r="P741" i="37"/>
  <c r="P287" i="37"/>
  <c r="P259" i="37"/>
  <c r="P701" i="37"/>
  <c r="S65" i="37"/>
  <c r="P93" i="37"/>
  <c r="Q173" i="37"/>
  <c r="Q177" i="37"/>
  <c r="Q178" i="37"/>
  <c r="Q193" i="37"/>
  <c r="Q194" i="37"/>
  <c r="Q197" i="37"/>
  <c r="Q198" i="37"/>
  <c r="Q185" i="37"/>
  <c r="Q186" i="37"/>
  <c r="Q181" i="37"/>
  <c r="Q189" i="37"/>
  <c r="Q190" i="37"/>
  <c r="Q325" i="37"/>
  <c r="Q326" i="37"/>
  <c r="Q317" i="37"/>
  <c r="Q318" i="37"/>
  <c r="Q321" i="37"/>
  <c r="Q322" i="37"/>
  <c r="Q305" i="37"/>
  <c r="Q306" i="37"/>
  <c r="Q309" i="37"/>
  <c r="Q313" i="37"/>
  <c r="Q314" i="37"/>
  <c r="Q301" i="37"/>
  <c r="S375" i="37"/>
  <c r="S387" i="37"/>
  <c r="S388" i="37"/>
  <c r="S383" i="37"/>
  <c r="S384" i="37"/>
  <c r="S391" i="37"/>
  <c r="S392" i="37"/>
  <c r="S363" i="37"/>
  <c r="S364" i="37"/>
  <c r="S379" i="37"/>
  <c r="S380" i="37"/>
  <c r="S371" i="37"/>
  <c r="S372" i="37"/>
  <c r="S367" i="37"/>
  <c r="S361" i="37"/>
  <c r="T360" i="37"/>
  <c r="P673" i="37"/>
  <c r="P219" i="37"/>
  <c r="P401" i="37"/>
  <c r="Q651" i="37"/>
  <c r="Q652" i="37"/>
  <c r="Q639" i="37"/>
  <c r="Q640" i="37"/>
  <c r="Q655" i="37"/>
  <c r="Q647" i="37"/>
  <c r="Q648" i="37"/>
  <c r="Q643" i="37"/>
  <c r="Q633" i="37"/>
  <c r="R632" i="37"/>
  <c r="Q635" i="37"/>
  <c r="P315" i="37"/>
  <c r="P195" i="37"/>
  <c r="P541" i="37"/>
  <c r="P597" i="37"/>
  <c r="P737" i="37"/>
  <c r="P283" i="37"/>
  <c r="P561" i="37"/>
  <c r="R369" i="37"/>
  <c r="Q451" i="37"/>
  <c r="Q452" i="37"/>
  <c r="Q449" i="37"/>
  <c r="R448" i="37"/>
  <c r="P417" i="37"/>
  <c r="P637" i="37"/>
  <c r="P179" i="37"/>
  <c r="P549" i="37"/>
  <c r="P137" i="37"/>
  <c r="P729" i="37"/>
  <c r="P294" i="37"/>
  <c r="P295" i="37"/>
  <c r="P255" i="37"/>
  <c r="P569" i="37"/>
  <c r="Q407" i="37"/>
  <c r="Q415" i="37"/>
  <c r="Q416" i="37"/>
  <c r="Q399" i="37"/>
  <c r="Q419" i="37"/>
  <c r="Q420" i="37"/>
  <c r="Q411" i="37"/>
  <c r="Q412" i="37"/>
  <c r="Q403" i="37"/>
  <c r="Q404" i="37"/>
  <c r="Q671" i="37"/>
  <c r="Q663" i="37"/>
  <c r="Q667" i="37"/>
  <c r="Q668" i="37"/>
  <c r="Q683" i="37"/>
  <c r="Q684" i="37"/>
  <c r="Q675" i="37"/>
  <c r="Q676" i="37"/>
  <c r="Q679" i="37"/>
  <c r="Q680" i="37"/>
  <c r="P227" i="37"/>
  <c r="P409" i="37"/>
  <c r="P307" i="37"/>
  <c r="P129" i="37"/>
  <c r="P721" i="37"/>
  <c r="P275" i="37"/>
  <c r="P709" i="37"/>
  <c r="P573" i="37"/>
  <c r="Q205" i="37"/>
  <c r="Q229" i="37"/>
  <c r="Q221" i="37"/>
  <c r="Q222" i="37"/>
  <c r="Q209" i="37"/>
  <c r="Q210" i="37"/>
  <c r="Q225" i="37"/>
  <c r="Q226" i="37"/>
  <c r="Q217" i="37"/>
  <c r="Q218" i="37"/>
  <c r="Q213" i="37"/>
  <c r="Q695" i="37"/>
  <c r="Q696" i="37"/>
  <c r="Q707" i="37"/>
  <c r="Q708" i="37"/>
  <c r="Q711" i="37"/>
  <c r="Q712" i="37"/>
  <c r="Q703" i="37"/>
  <c r="Q704" i="37"/>
  <c r="Q699" i="37"/>
  <c r="Q691" i="37"/>
  <c r="R381" i="37"/>
  <c r="P211" i="37"/>
  <c r="P319" i="37"/>
  <c r="P191" i="37"/>
  <c r="P133" i="37"/>
  <c r="P291" i="37"/>
  <c r="Q493" i="37"/>
  <c r="Q503" i="37"/>
  <c r="Q504" i="37"/>
  <c r="Q499" i="37"/>
  <c r="Q500" i="37"/>
  <c r="R492" i="37"/>
  <c r="Q495" i="37"/>
  <c r="P705" i="37"/>
  <c r="S73" i="37"/>
  <c r="P112" i="37"/>
  <c r="P113" i="37"/>
  <c r="Q95" i="37"/>
  <c r="Q96" i="37"/>
  <c r="Q91" i="37"/>
  <c r="Q107" i="37"/>
  <c r="Q108" i="37"/>
  <c r="Q103" i="37"/>
  <c r="Q104" i="37"/>
  <c r="Q99" i="37"/>
  <c r="Q111" i="37"/>
  <c r="Q575" i="37"/>
  <c r="Q576" i="37"/>
  <c r="Q563" i="37"/>
  <c r="Q564" i="37"/>
  <c r="Q571" i="37"/>
  <c r="Q572" i="37"/>
  <c r="Q567" i="37"/>
  <c r="Q559" i="37"/>
  <c r="P677" i="37"/>
  <c r="P223" i="37"/>
  <c r="P323" i="37"/>
  <c r="P552" i="37"/>
  <c r="P553" i="37"/>
  <c r="P585" i="37"/>
  <c r="P733" i="37"/>
  <c r="P243" i="37"/>
  <c r="S81" i="37"/>
  <c r="P101" i="37"/>
  <c r="Q261" i="37"/>
  <c r="Q241" i="37"/>
  <c r="Q242" i="37"/>
  <c r="Q237" i="37"/>
  <c r="Q245" i="37"/>
  <c r="Q253" i="37"/>
  <c r="Q254" i="37"/>
  <c r="Q257" i="37"/>
  <c r="Q258" i="37"/>
  <c r="Q249" i="37"/>
  <c r="Q250" i="37"/>
  <c r="P601" i="37"/>
  <c r="P577" i="37"/>
  <c r="R385" i="37"/>
  <c r="P645" i="37"/>
  <c r="Q535" i="37"/>
  <c r="Q533" i="37"/>
  <c r="Q539" i="37"/>
  <c r="Q540" i="37"/>
  <c r="Q547" i="37"/>
  <c r="Q548" i="37"/>
  <c r="Q543" i="37"/>
  <c r="R532" i="37"/>
  <c r="Q551" i="37"/>
  <c r="P593" i="37"/>
  <c r="P121" i="37"/>
  <c r="P497" i="37"/>
  <c r="P262" i="37"/>
  <c r="P263" i="37"/>
  <c r="P693" i="37"/>
  <c r="S84" i="37"/>
  <c r="S85" i="37"/>
  <c r="P105" i="37"/>
  <c r="Q123" i="37"/>
  <c r="Q124" i="37"/>
  <c r="Q119" i="37"/>
  <c r="Q139" i="37"/>
  <c r="Q131" i="37"/>
  <c r="Q132" i="37"/>
  <c r="Q127" i="37"/>
  <c r="Q135" i="37"/>
  <c r="Q136" i="37"/>
  <c r="Q273" i="37"/>
  <c r="Q274" i="37"/>
  <c r="Q293" i="37"/>
  <c r="Q281" i="37"/>
  <c r="Q282" i="37"/>
  <c r="Q285" i="37"/>
  <c r="Q286" i="37"/>
  <c r="Q277" i="37"/>
  <c r="Q269" i="37"/>
  <c r="Q289" i="37"/>
  <c r="Q290" i="37"/>
  <c r="Q731" i="37"/>
  <c r="Q732" i="37"/>
  <c r="Q727" i="37"/>
  <c r="Q735" i="37"/>
  <c r="Q736" i="37"/>
  <c r="Q739" i="37"/>
  <c r="Q719" i="37"/>
  <c r="Q723" i="37"/>
  <c r="Q724" i="37"/>
  <c r="R389" i="37"/>
  <c r="P681" i="37"/>
  <c r="P413" i="37"/>
  <c r="P649" i="37"/>
  <c r="P187" i="37"/>
  <c r="P166" i="37"/>
  <c r="P167" i="37"/>
  <c r="P251" i="37"/>
  <c r="U60" i="37"/>
  <c r="T83" i="37"/>
  <c r="T71" i="37"/>
  <c r="T72" i="37"/>
  <c r="T67" i="37"/>
  <c r="T79" i="37"/>
  <c r="T80" i="37"/>
  <c r="T75" i="37"/>
  <c r="T63" i="37"/>
  <c r="T64" i="37"/>
  <c r="T61" i="37"/>
  <c r="P109" i="37"/>
  <c r="R716" i="37"/>
  <c r="Q717" i="37"/>
  <c r="Q689" i="37"/>
  <c r="R688" i="37"/>
  <c r="R660" i="37"/>
  <c r="Q661" i="37"/>
  <c r="R580" i="37"/>
  <c r="Q581" i="37"/>
  <c r="Q557" i="37"/>
  <c r="R556" i="37"/>
  <c r="Q397" i="37"/>
  <c r="R396" i="37"/>
  <c r="Q299" i="37"/>
  <c r="R298" i="37"/>
  <c r="Q267" i="37"/>
  <c r="R266" i="37"/>
  <c r="R234" i="37"/>
  <c r="Q235" i="37"/>
  <c r="R202" i="37"/>
  <c r="Q203" i="37"/>
  <c r="R170" i="37"/>
  <c r="Q171" i="37"/>
  <c r="Q117" i="37"/>
  <c r="R116" i="37"/>
  <c r="Q89" i="37"/>
  <c r="R88" i="37"/>
  <c r="R8" i="37"/>
  <c r="R27" i="37"/>
  <c r="R28" i="37"/>
  <c r="Q19" i="37"/>
  <c r="Q20" i="37"/>
  <c r="Q11" i="37"/>
  <c r="Q12" i="37"/>
  <c r="Q23" i="37"/>
  <c r="Q15" i="37"/>
  <c r="Q16" i="37"/>
  <c r="Q9" i="37"/>
  <c r="Q29" i="37"/>
  <c r="P17" i="37"/>
  <c r="P13" i="37"/>
  <c r="S381" i="37"/>
  <c r="Q577" i="37"/>
  <c r="S373" i="37"/>
  <c r="S365" i="37"/>
  <c r="Q199" i="37"/>
  <c r="Q685" i="37"/>
  <c r="Q501" i="37"/>
  <c r="T81" i="37"/>
  <c r="Q713" i="37"/>
  <c r="S385" i="37"/>
  <c r="T73" i="37"/>
  <c r="Q453" i="37"/>
  <c r="R723" i="37"/>
  <c r="R724" i="37"/>
  <c r="R719" i="37"/>
  <c r="R727" i="37"/>
  <c r="R739" i="37"/>
  <c r="R740" i="37"/>
  <c r="R735" i="37"/>
  <c r="R736" i="37"/>
  <c r="R731" i="37"/>
  <c r="R732" i="37"/>
  <c r="Q133" i="37"/>
  <c r="S532" i="37"/>
  <c r="R551" i="37"/>
  <c r="R552" i="37"/>
  <c r="R539" i="37"/>
  <c r="R547" i="37"/>
  <c r="R543" i="37"/>
  <c r="R544" i="37"/>
  <c r="R533" i="37"/>
  <c r="R535" i="37"/>
  <c r="R536" i="37"/>
  <c r="Q251" i="37"/>
  <c r="Q565" i="37"/>
  <c r="Q709" i="37"/>
  <c r="Q669" i="37"/>
  <c r="T387" i="37"/>
  <c r="T388" i="37"/>
  <c r="T383" i="37"/>
  <c r="T384" i="37"/>
  <c r="T391" i="37"/>
  <c r="T363" i="37"/>
  <c r="T364" i="37"/>
  <c r="T379" i="37"/>
  <c r="T380" i="37"/>
  <c r="T371" i="37"/>
  <c r="T372" i="37"/>
  <c r="T367" i="37"/>
  <c r="T375" i="37"/>
  <c r="T361" i="37"/>
  <c r="U360" i="37"/>
  <c r="S389" i="37"/>
  <c r="Q327" i="37"/>
  <c r="Q589" i="37"/>
  <c r="R599" i="37"/>
  <c r="R600" i="37"/>
  <c r="R587" i="37"/>
  <c r="R588" i="37"/>
  <c r="R591" i="37"/>
  <c r="R583" i="37"/>
  <c r="R595" i="37"/>
  <c r="R596" i="37"/>
  <c r="V60" i="37"/>
  <c r="U83" i="37"/>
  <c r="U79" i="37"/>
  <c r="U75" i="37"/>
  <c r="U76" i="37"/>
  <c r="U71" i="37"/>
  <c r="U67" i="37"/>
  <c r="U68" i="37"/>
  <c r="U61" i="37"/>
  <c r="U63" i="37"/>
  <c r="Q725" i="37"/>
  <c r="Q140" i="37"/>
  <c r="Q141" i="37"/>
  <c r="Q259" i="37"/>
  <c r="Q505" i="37"/>
  <c r="Q697" i="37"/>
  <c r="Q649" i="37"/>
  <c r="S393" i="37"/>
  <c r="Q191" i="37"/>
  <c r="Q166" i="37"/>
  <c r="Q167" i="37"/>
  <c r="Q600" i="37"/>
  <c r="Q601" i="37"/>
  <c r="R139" i="37"/>
  <c r="R131" i="37"/>
  <c r="R132" i="37"/>
  <c r="R127" i="37"/>
  <c r="R135" i="37"/>
  <c r="R136" i="37"/>
  <c r="R123" i="37"/>
  <c r="R124" i="37"/>
  <c r="R119" i="37"/>
  <c r="R321" i="37"/>
  <c r="R322" i="37"/>
  <c r="R325" i="37"/>
  <c r="R326" i="37"/>
  <c r="R305" i="37"/>
  <c r="R309" i="37"/>
  <c r="R310" i="37"/>
  <c r="R329" i="37"/>
  <c r="R330" i="37"/>
  <c r="R313" i="37"/>
  <c r="R301" i="37"/>
  <c r="R302" i="37"/>
  <c r="R317" i="37"/>
  <c r="R318" i="37"/>
  <c r="T65" i="37"/>
  <c r="Q287" i="37"/>
  <c r="Q549" i="37"/>
  <c r="Q255" i="37"/>
  <c r="Q112" i="37"/>
  <c r="Q113" i="37"/>
  <c r="Q656" i="37"/>
  <c r="Q657" i="37"/>
  <c r="Q163" i="37"/>
  <c r="R241" i="37"/>
  <c r="R237" i="37"/>
  <c r="R238" i="37"/>
  <c r="R245" i="37"/>
  <c r="R246" i="37"/>
  <c r="R253" i="37"/>
  <c r="R254" i="37"/>
  <c r="R257" i="37"/>
  <c r="R258" i="37"/>
  <c r="R249" i="37"/>
  <c r="R261" i="37"/>
  <c r="R177" i="37"/>
  <c r="R193" i="37"/>
  <c r="R194" i="37"/>
  <c r="R197" i="37"/>
  <c r="R198" i="37"/>
  <c r="R185" i="37"/>
  <c r="R181" i="37"/>
  <c r="R182" i="37"/>
  <c r="R189" i="37"/>
  <c r="R190" i="37"/>
  <c r="R173" i="37"/>
  <c r="R174" i="37"/>
  <c r="Q740" i="37"/>
  <c r="Q741" i="37"/>
  <c r="Q283" i="37"/>
  <c r="Q125" i="37"/>
  <c r="Q541" i="37"/>
  <c r="Q219" i="37"/>
  <c r="Q405" i="37"/>
  <c r="Q641" i="37"/>
  <c r="Q315" i="37"/>
  <c r="Q187" i="37"/>
  <c r="Q155" i="37"/>
  <c r="R273" i="37"/>
  <c r="R293" i="37"/>
  <c r="R294" i="37"/>
  <c r="R281" i="37"/>
  <c r="R285" i="37"/>
  <c r="R286" i="37"/>
  <c r="R277" i="37"/>
  <c r="R278" i="37"/>
  <c r="R269" i="37"/>
  <c r="R270" i="37"/>
  <c r="R289" i="37"/>
  <c r="R290" i="37"/>
  <c r="T84" i="37"/>
  <c r="T85" i="37"/>
  <c r="R415" i="37"/>
  <c r="R416" i="37"/>
  <c r="R399" i="37"/>
  <c r="R419" i="37"/>
  <c r="R420" i="37"/>
  <c r="R411" i="37"/>
  <c r="R412" i="37"/>
  <c r="R403" i="37"/>
  <c r="R404" i="37"/>
  <c r="R423" i="37"/>
  <c r="R424" i="37"/>
  <c r="R407" i="37"/>
  <c r="R667" i="37"/>
  <c r="R668" i="37"/>
  <c r="R679" i="37"/>
  <c r="R680" i="37"/>
  <c r="R675" i="37"/>
  <c r="R676" i="37"/>
  <c r="R683" i="37"/>
  <c r="R684" i="37"/>
  <c r="R671" i="37"/>
  <c r="R663" i="37"/>
  <c r="Q737" i="37"/>
  <c r="Q294" i="37"/>
  <c r="Q295" i="37"/>
  <c r="Q105" i="37"/>
  <c r="Q227" i="37"/>
  <c r="Q413" i="37"/>
  <c r="Q653" i="37"/>
  <c r="R205" i="37"/>
  <c r="R206" i="37"/>
  <c r="R229" i="37"/>
  <c r="R230" i="37"/>
  <c r="R221" i="37"/>
  <c r="R222" i="37"/>
  <c r="R209" i="37"/>
  <c r="R225" i="37"/>
  <c r="R226" i="37"/>
  <c r="R217" i="37"/>
  <c r="R213" i="37"/>
  <c r="R214" i="37"/>
  <c r="R707" i="37"/>
  <c r="R708" i="37"/>
  <c r="R691" i="37"/>
  <c r="R703" i="37"/>
  <c r="R704" i="37"/>
  <c r="R695" i="37"/>
  <c r="R696" i="37"/>
  <c r="R711" i="37"/>
  <c r="R699" i="37"/>
  <c r="Q275" i="37"/>
  <c r="Q243" i="37"/>
  <c r="Q109" i="37"/>
  <c r="Q211" i="37"/>
  <c r="Q681" i="37"/>
  <c r="Q421" i="37"/>
  <c r="Q307" i="37"/>
  <c r="Q195" i="37"/>
  <c r="R95" i="37"/>
  <c r="R96" i="37"/>
  <c r="R91" i="37"/>
  <c r="R107" i="37"/>
  <c r="R108" i="37"/>
  <c r="R103" i="37"/>
  <c r="R104" i="37"/>
  <c r="R99" i="37"/>
  <c r="R111" i="37"/>
  <c r="R112" i="37"/>
  <c r="R571" i="37"/>
  <c r="R572" i="37"/>
  <c r="R567" i="37"/>
  <c r="R559" i="37"/>
  <c r="R575" i="37"/>
  <c r="R576" i="37"/>
  <c r="R563" i="37"/>
  <c r="R564" i="37"/>
  <c r="Q733" i="37"/>
  <c r="Q137" i="37"/>
  <c r="Q262" i="37"/>
  <c r="Q263" i="37"/>
  <c r="R493" i="37"/>
  <c r="R499" i="37"/>
  <c r="R500" i="37"/>
  <c r="R495" i="37"/>
  <c r="R503" i="37"/>
  <c r="S492" i="37"/>
  <c r="Q705" i="37"/>
  <c r="Q223" i="37"/>
  <c r="Q677" i="37"/>
  <c r="R647" i="37"/>
  <c r="R648" i="37"/>
  <c r="R643" i="37"/>
  <c r="R651" i="37"/>
  <c r="R652" i="37"/>
  <c r="R639" i="37"/>
  <c r="R640" i="37"/>
  <c r="R655" i="37"/>
  <c r="R656" i="37"/>
  <c r="R633" i="37"/>
  <c r="S632" i="37"/>
  <c r="R635" i="37"/>
  <c r="Q323" i="37"/>
  <c r="Q179" i="37"/>
  <c r="Q597" i="37"/>
  <c r="Q291" i="37"/>
  <c r="Q552" i="37"/>
  <c r="Q553" i="37"/>
  <c r="Q573" i="37"/>
  <c r="Q97" i="37"/>
  <c r="Q230" i="37"/>
  <c r="Q231" i="37"/>
  <c r="Q417" i="37"/>
  <c r="R451" i="37"/>
  <c r="R452" i="37"/>
  <c r="R449" i="37"/>
  <c r="S448" i="37"/>
  <c r="Q319" i="37"/>
  <c r="S146" i="37"/>
  <c r="R157" i="37"/>
  <c r="R149" i="37"/>
  <c r="R153" i="37"/>
  <c r="R154" i="37"/>
  <c r="R161" i="37"/>
  <c r="R162" i="37"/>
  <c r="R165" i="37"/>
  <c r="R166" i="37"/>
  <c r="R147" i="37"/>
  <c r="S716" i="37"/>
  <c r="R717" i="37"/>
  <c r="R689" i="37"/>
  <c r="S688" i="37"/>
  <c r="S660" i="37"/>
  <c r="R661" i="37"/>
  <c r="S580" i="37"/>
  <c r="R581" i="37"/>
  <c r="S556" i="37"/>
  <c r="R557" i="37"/>
  <c r="R397" i="37"/>
  <c r="S396" i="37"/>
  <c r="R299" i="37"/>
  <c r="S298" i="37"/>
  <c r="R267" i="37"/>
  <c r="S266" i="37"/>
  <c r="S234" i="37"/>
  <c r="R235" i="37"/>
  <c r="S202" i="37"/>
  <c r="R203" i="37"/>
  <c r="S170" i="37"/>
  <c r="R171" i="37"/>
  <c r="R117" i="37"/>
  <c r="S116" i="37"/>
  <c r="R89" i="37"/>
  <c r="S88" i="37"/>
  <c r="Q17" i="37"/>
  <c r="Q13" i="37"/>
  <c r="Q21" i="37"/>
  <c r="S8" i="37"/>
  <c r="S27" i="37"/>
  <c r="R19" i="37"/>
  <c r="R20" i="37"/>
  <c r="R11" i="37"/>
  <c r="R12" i="37"/>
  <c r="R23" i="37"/>
  <c r="R24" i="37"/>
  <c r="R15" i="37"/>
  <c r="R16" i="37"/>
  <c r="R9" i="37"/>
  <c r="R29" i="37"/>
  <c r="R331" i="37"/>
  <c r="R685" i="37"/>
  <c r="R113" i="37"/>
  <c r="R199" i="37"/>
  <c r="R239" i="37"/>
  <c r="R577" i="37"/>
  <c r="R295" i="37"/>
  <c r="R453" i="37"/>
  <c r="T365" i="37"/>
  <c r="T381" i="37"/>
  <c r="R163" i="37"/>
  <c r="R641" i="37"/>
  <c r="R653" i="37"/>
  <c r="T385" i="37"/>
  <c r="T448" i="37"/>
  <c r="S451" i="37"/>
  <c r="S452" i="37"/>
  <c r="S449" i="37"/>
  <c r="S655" i="37"/>
  <c r="S656" i="37"/>
  <c r="S647" i="37"/>
  <c r="S643" i="37"/>
  <c r="S644" i="37"/>
  <c r="S651" i="37"/>
  <c r="S652" i="37"/>
  <c r="S639" i="37"/>
  <c r="S633" i="37"/>
  <c r="S635" i="37"/>
  <c r="S636" i="37"/>
  <c r="T632" i="37"/>
  <c r="R565" i="37"/>
  <c r="R109" i="37"/>
  <c r="R183" i="37"/>
  <c r="R255" i="37"/>
  <c r="R140" i="37"/>
  <c r="R141" i="37"/>
  <c r="R737" i="37"/>
  <c r="S667" i="37"/>
  <c r="S679" i="37"/>
  <c r="S680" i="37"/>
  <c r="S675" i="37"/>
  <c r="S683" i="37"/>
  <c r="S684" i="37"/>
  <c r="S671" i="37"/>
  <c r="S672" i="37"/>
  <c r="S663" i="37"/>
  <c r="S664" i="37"/>
  <c r="R657" i="37"/>
  <c r="R227" i="37"/>
  <c r="R425" i="37"/>
  <c r="R291" i="37"/>
  <c r="R247" i="37"/>
  <c r="R327" i="37"/>
  <c r="U84" i="37"/>
  <c r="U85" i="37"/>
  <c r="R741" i="37"/>
  <c r="S329" i="37"/>
  <c r="S325" i="37"/>
  <c r="S326" i="37"/>
  <c r="S321" i="37"/>
  <c r="S322" i="37"/>
  <c r="S309" i="37"/>
  <c r="S310" i="37"/>
  <c r="S313" i="37"/>
  <c r="S301" i="37"/>
  <c r="S302" i="37"/>
  <c r="S317" i="37"/>
  <c r="S318" i="37"/>
  <c r="S305" i="37"/>
  <c r="S171" i="37"/>
  <c r="S197" i="37"/>
  <c r="S193" i="37"/>
  <c r="S194" i="37"/>
  <c r="S185" i="37"/>
  <c r="S181" i="37"/>
  <c r="S182" i="37"/>
  <c r="T170" i="37"/>
  <c r="S189" i="37"/>
  <c r="S190" i="37"/>
  <c r="S173" i="37"/>
  <c r="S174" i="37"/>
  <c r="S177" i="37"/>
  <c r="S415" i="37"/>
  <c r="S416" i="37"/>
  <c r="S399" i="37"/>
  <c r="S400" i="37"/>
  <c r="S419" i="37"/>
  <c r="S420" i="37"/>
  <c r="S411" i="37"/>
  <c r="S403" i="37"/>
  <c r="S427" i="37"/>
  <c r="S428" i="37"/>
  <c r="S423" i="37"/>
  <c r="S424" i="37"/>
  <c r="S407" i="37"/>
  <c r="S408" i="37"/>
  <c r="S691" i="37"/>
  <c r="S692" i="37"/>
  <c r="S711" i="37"/>
  <c r="S712" i="37"/>
  <c r="S703" i="37"/>
  <c r="S699" i="37"/>
  <c r="S700" i="37"/>
  <c r="S707" i="37"/>
  <c r="S708" i="37"/>
  <c r="S695" i="37"/>
  <c r="R155" i="37"/>
  <c r="R97" i="37"/>
  <c r="R712" i="37"/>
  <c r="R713" i="37"/>
  <c r="R405" i="37"/>
  <c r="R271" i="37"/>
  <c r="R323" i="37"/>
  <c r="W60" i="37"/>
  <c r="V83" i="37"/>
  <c r="V79" i="37"/>
  <c r="V75" i="37"/>
  <c r="V76" i="37"/>
  <c r="V71" i="37"/>
  <c r="V67" i="37"/>
  <c r="V68" i="37"/>
  <c r="V63" i="37"/>
  <c r="V61" i="37"/>
  <c r="T392" i="37"/>
  <c r="T393" i="37"/>
  <c r="S229" i="37"/>
  <c r="S230" i="37"/>
  <c r="S221" i="37"/>
  <c r="S222" i="37"/>
  <c r="S209" i="37"/>
  <c r="S225" i="37"/>
  <c r="S226" i="37"/>
  <c r="S217" i="37"/>
  <c r="S213" i="37"/>
  <c r="S214" i="37"/>
  <c r="S205" i="37"/>
  <c r="S206" i="37"/>
  <c r="R697" i="37"/>
  <c r="R223" i="37"/>
  <c r="R413" i="37"/>
  <c r="R279" i="37"/>
  <c r="R195" i="37"/>
  <c r="R319" i="37"/>
  <c r="R597" i="37"/>
  <c r="U391" i="37"/>
  <c r="U363" i="37"/>
  <c r="U379" i="37"/>
  <c r="U371" i="37"/>
  <c r="U367" i="37"/>
  <c r="U368" i="37"/>
  <c r="U375" i="37"/>
  <c r="U376" i="37"/>
  <c r="U387" i="37"/>
  <c r="U388" i="37"/>
  <c r="U383" i="37"/>
  <c r="U384" i="37"/>
  <c r="U361" i="37"/>
  <c r="V360" i="37"/>
  <c r="S543" i="37"/>
  <c r="S544" i="37"/>
  <c r="S547" i="37"/>
  <c r="S551" i="37"/>
  <c r="S539" i="37"/>
  <c r="S535" i="37"/>
  <c r="S536" i="37"/>
  <c r="S533" i="37"/>
  <c r="T532" i="37"/>
  <c r="S107" i="37"/>
  <c r="S108" i="37"/>
  <c r="S103" i="37"/>
  <c r="S99" i="37"/>
  <c r="S100" i="37"/>
  <c r="S111" i="37"/>
  <c r="S112" i="37"/>
  <c r="S95" i="37"/>
  <c r="S91" i="37"/>
  <c r="S92" i="37"/>
  <c r="S499" i="37"/>
  <c r="S495" i="37"/>
  <c r="S496" i="37"/>
  <c r="S503" i="37"/>
  <c r="S504" i="37"/>
  <c r="T492" i="37"/>
  <c r="S493" i="37"/>
  <c r="R573" i="37"/>
  <c r="R705" i="37"/>
  <c r="R231" i="37"/>
  <c r="R421" i="37"/>
  <c r="R287" i="37"/>
  <c r="R303" i="37"/>
  <c r="R125" i="37"/>
  <c r="T389" i="37"/>
  <c r="R725" i="37"/>
  <c r="S245" i="37"/>
  <c r="S246" i="37"/>
  <c r="S253" i="37"/>
  <c r="S254" i="37"/>
  <c r="S257" i="37"/>
  <c r="S258" i="37"/>
  <c r="S249" i="37"/>
  <c r="S261" i="37"/>
  <c r="S241" i="37"/>
  <c r="S237" i="37"/>
  <c r="S238" i="37"/>
  <c r="S567" i="37"/>
  <c r="S568" i="37"/>
  <c r="S559" i="37"/>
  <c r="S560" i="37"/>
  <c r="S575" i="37"/>
  <c r="S563" i="37"/>
  <c r="S571" i="37"/>
  <c r="S723" i="37"/>
  <c r="S719" i="37"/>
  <c r="S720" i="37"/>
  <c r="S727" i="37"/>
  <c r="S728" i="37"/>
  <c r="S739" i="37"/>
  <c r="S735" i="37"/>
  <c r="S736" i="37"/>
  <c r="S731" i="37"/>
  <c r="S149" i="37"/>
  <c r="S153" i="37"/>
  <c r="S154" i="37"/>
  <c r="S161" i="37"/>
  <c r="S162" i="37"/>
  <c r="S165" i="37"/>
  <c r="S147" i="37"/>
  <c r="S157" i="37"/>
  <c r="R504" i="37"/>
  <c r="R505" i="37"/>
  <c r="R207" i="37"/>
  <c r="R677" i="37"/>
  <c r="R262" i="37"/>
  <c r="R263" i="37"/>
  <c r="R137" i="37"/>
  <c r="U69" i="37"/>
  <c r="S139" i="37"/>
  <c r="S140" i="37"/>
  <c r="S131" i="37"/>
  <c r="S127" i="37"/>
  <c r="S128" i="37"/>
  <c r="S135" i="37"/>
  <c r="S136" i="37"/>
  <c r="S123" i="37"/>
  <c r="S119" i="37"/>
  <c r="S120" i="37"/>
  <c r="S293" i="37"/>
  <c r="S294" i="37"/>
  <c r="S281" i="37"/>
  <c r="S285" i="37"/>
  <c r="S286" i="37"/>
  <c r="S277" i="37"/>
  <c r="S278" i="37"/>
  <c r="S269" i="37"/>
  <c r="S270" i="37"/>
  <c r="S289" i="37"/>
  <c r="S290" i="37"/>
  <c r="S273" i="37"/>
  <c r="R649" i="37"/>
  <c r="R709" i="37"/>
  <c r="R681" i="37"/>
  <c r="R417" i="37"/>
  <c r="R175" i="37"/>
  <c r="R589" i="37"/>
  <c r="R553" i="37"/>
  <c r="R537" i="37"/>
  <c r="S28" i="37"/>
  <c r="S599" i="37"/>
  <c r="S591" i="37"/>
  <c r="S592" i="37"/>
  <c r="S583" i="37"/>
  <c r="S584" i="37"/>
  <c r="S595" i="37"/>
  <c r="S587" i="37"/>
  <c r="R167" i="37"/>
  <c r="R501" i="37"/>
  <c r="R105" i="37"/>
  <c r="R215" i="37"/>
  <c r="R669" i="37"/>
  <c r="R191" i="37"/>
  <c r="R259" i="37"/>
  <c r="R311" i="37"/>
  <c r="R133" i="37"/>
  <c r="U77" i="37"/>
  <c r="R601" i="37"/>
  <c r="T373" i="37"/>
  <c r="R545" i="37"/>
  <c r="R733" i="37"/>
  <c r="S717" i="37"/>
  <c r="T716" i="37"/>
  <c r="S689" i="37"/>
  <c r="T688" i="37"/>
  <c r="S661" i="37"/>
  <c r="T660" i="37"/>
  <c r="S581" i="37"/>
  <c r="T580" i="37"/>
  <c r="T556" i="37"/>
  <c r="S557" i="37"/>
  <c r="S397" i="37"/>
  <c r="T396" i="37"/>
  <c r="T298" i="37"/>
  <c r="S299" i="37"/>
  <c r="S267" i="37"/>
  <c r="T266" i="37"/>
  <c r="S235" i="37"/>
  <c r="T234" i="37"/>
  <c r="S203" i="37"/>
  <c r="T202" i="37"/>
  <c r="T116" i="37"/>
  <c r="S117" i="37"/>
  <c r="T88" i="37"/>
  <c r="S89" i="37"/>
  <c r="R21" i="37"/>
  <c r="R25" i="37"/>
  <c r="T8" i="37"/>
  <c r="T27" i="37"/>
  <c r="S19" i="37"/>
  <c r="S20" i="37"/>
  <c r="S11" i="37"/>
  <c r="S12" i="37"/>
  <c r="S23" i="37"/>
  <c r="S24" i="37"/>
  <c r="S15" i="37"/>
  <c r="S16" i="37"/>
  <c r="S9" i="37"/>
  <c r="R17" i="37"/>
  <c r="R13" i="37"/>
  <c r="S685" i="37"/>
  <c r="S429" i="37"/>
  <c r="S113" i="37"/>
  <c r="S721" i="37"/>
  <c r="S295" i="37"/>
  <c r="S29" i="37"/>
  <c r="S239" i="37"/>
  <c r="S195" i="37"/>
  <c r="U389" i="37"/>
  <c r="S191" i="37"/>
  <c r="S231" i="37"/>
  <c r="S585" i="37"/>
  <c r="S537" i="37"/>
  <c r="S453" i="37"/>
  <c r="S141" i="37"/>
  <c r="S155" i="37"/>
  <c r="S505" i="37"/>
  <c r="U369" i="37"/>
  <c r="S593" i="37"/>
  <c r="S175" i="37"/>
  <c r="V69" i="37"/>
  <c r="T329" i="37"/>
  <c r="T330" i="37"/>
  <c r="T321" i="37"/>
  <c r="T322" i="37"/>
  <c r="T313" i="37"/>
  <c r="T314" i="37"/>
  <c r="T301" i="37"/>
  <c r="T325" i="37"/>
  <c r="T326" i="37"/>
  <c r="T317" i="37"/>
  <c r="T305" i="37"/>
  <c r="T306" i="37"/>
  <c r="T309" i="37"/>
  <c r="T679" i="37"/>
  <c r="T680" i="37"/>
  <c r="T675" i="37"/>
  <c r="T683" i="37"/>
  <c r="T684" i="37"/>
  <c r="T671" i="37"/>
  <c r="T672" i="37"/>
  <c r="T663" i="37"/>
  <c r="T664" i="37"/>
  <c r="T667" i="37"/>
  <c r="S271" i="37"/>
  <c r="S129" i="37"/>
  <c r="S101" i="37"/>
  <c r="S552" i="37"/>
  <c r="S553" i="37"/>
  <c r="S421" i="37"/>
  <c r="S311" i="37"/>
  <c r="T655" i="37"/>
  <c r="T656" i="37"/>
  <c r="T647" i="37"/>
  <c r="T643" i="37"/>
  <c r="T644" i="37"/>
  <c r="T651" i="37"/>
  <c r="T652" i="37"/>
  <c r="T639" i="37"/>
  <c r="T633" i="37"/>
  <c r="U632" i="37"/>
  <c r="T635" i="37"/>
  <c r="T636" i="37"/>
  <c r="T135" i="37"/>
  <c r="T136" i="37"/>
  <c r="T123" i="37"/>
  <c r="T119" i="37"/>
  <c r="T120" i="37"/>
  <c r="T139" i="37"/>
  <c r="T131" i="37"/>
  <c r="T127" i="37"/>
  <c r="T128" i="37"/>
  <c r="S600" i="37"/>
  <c r="S601" i="37"/>
  <c r="S279" i="37"/>
  <c r="S259" i="37"/>
  <c r="T499" i="37"/>
  <c r="T495" i="37"/>
  <c r="T496" i="37"/>
  <c r="T503" i="37"/>
  <c r="T493" i="37"/>
  <c r="U492" i="37"/>
  <c r="S207" i="37"/>
  <c r="V84" i="37"/>
  <c r="V85" i="37"/>
  <c r="S401" i="37"/>
  <c r="S323" i="37"/>
  <c r="T415" i="37"/>
  <c r="T416" i="37"/>
  <c r="T399" i="37"/>
  <c r="T400" i="37"/>
  <c r="T419" i="37"/>
  <c r="T420" i="37"/>
  <c r="T411" i="37"/>
  <c r="T403" i="37"/>
  <c r="T427" i="37"/>
  <c r="T428" i="37"/>
  <c r="T423" i="37"/>
  <c r="T424" i="37"/>
  <c r="T407" i="37"/>
  <c r="T408" i="37"/>
  <c r="T28" i="37"/>
  <c r="T711" i="37"/>
  <c r="T699" i="37"/>
  <c r="T700" i="37"/>
  <c r="T695" i="37"/>
  <c r="T707" i="37"/>
  <c r="T708" i="37"/>
  <c r="T691" i="37"/>
  <c r="T692" i="37"/>
  <c r="T703" i="37"/>
  <c r="S287" i="37"/>
  <c r="S576" i="37"/>
  <c r="S577" i="37"/>
  <c r="S255" i="37"/>
  <c r="S109" i="37"/>
  <c r="S545" i="37"/>
  <c r="S215" i="37"/>
  <c r="X60" i="37"/>
  <c r="W83" i="37"/>
  <c r="W84" i="37"/>
  <c r="W75" i="37"/>
  <c r="W79" i="37"/>
  <c r="W80" i="37"/>
  <c r="W71" i="37"/>
  <c r="W72" i="37"/>
  <c r="W67" i="37"/>
  <c r="W61" i="37"/>
  <c r="W63" i="37"/>
  <c r="S417" i="37"/>
  <c r="S198" i="37"/>
  <c r="S199" i="37"/>
  <c r="S327" i="37"/>
  <c r="S665" i="37"/>
  <c r="S637" i="37"/>
  <c r="S657" i="37"/>
  <c r="T451" i="37"/>
  <c r="T452" i="37"/>
  <c r="T449" i="37"/>
  <c r="U448" i="37"/>
  <c r="T225" i="37"/>
  <c r="T226" i="37"/>
  <c r="T217" i="37"/>
  <c r="T218" i="37"/>
  <c r="T213" i="37"/>
  <c r="T205" i="37"/>
  <c r="T229" i="37"/>
  <c r="T230" i="37"/>
  <c r="T221" i="37"/>
  <c r="T209" i="37"/>
  <c r="T210" i="37"/>
  <c r="T245" i="37"/>
  <c r="T253" i="37"/>
  <c r="T257" i="37"/>
  <c r="T258" i="37"/>
  <c r="T249" i="37"/>
  <c r="T250" i="37"/>
  <c r="T261" i="37"/>
  <c r="T262" i="37"/>
  <c r="T241" i="37"/>
  <c r="T242" i="37"/>
  <c r="T237" i="37"/>
  <c r="S693" i="37"/>
  <c r="S713" i="37"/>
  <c r="S737" i="37"/>
  <c r="S561" i="37"/>
  <c r="S247" i="37"/>
  <c r="S497" i="37"/>
  <c r="V391" i="37"/>
  <c r="V363" i="37"/>
  <c r="V379" i="37"/>
  <c r="V371" i="37"/>
  <c r="V367" i="37"/>
  <c r="V368" i="37"/>
  <c r="V375" i="37"/>
  <c r="V376" i="37"/>
  <c r="V387" i="37"/>
  <c r="V388" i="37"/>
  <c r="V383" i="37"/>
  <c r="V384" i="37"/>
  <c r="W360" i="37"/>
  <c r="V361" i="37"/>
  <c r="S409" i="37"/>
  <c r="S330" i="37"/>
  <c r="S331" i="37"/>
  <c r="S673" i="37"/>
  <c r="T727" i="37"/>
  <c r="T728" i="37"/>
  <c r="T739" i="37"/>
  <c r="T735" i="37"/>
  <c r="T736" i="37"/>
  <c r="T731" i="37"/>
  <c r="T719" i="37"/>
  <c r="T720" i="37"/>
  <c r="T723" i="37"/>
  <c r="S740" i="37"/>
  <c r="S741" i="37"/>
  <c r="S569" i="37"/>
  <c r="T547" i="37"/>
  <c r="T548" i="37"/>
  <c r="T551" i="37"/>
  <c r="T543" i="37"/>
  <c r="T539" i="37"/>
  <c r="T540" i="37"/>
  <c r="T533" i="37"/>
  <c r="U532" i="37"/>
  <c r="T535" i="37"/>
  <c r="U392" i="37"/>
  <c r="U393" i="37"/>
  <c r="S227" i="37"/>
  <c r="S425" i="37"/>
  <c r="S653" i="37"/>
  <c r="T293" i="37"/>
  <c r="T294" i="37"/>
  <c r="T281" i="37"/>
  <c r="T282" i="37"/>
  <c r="T285" i="37"/>
  <c r="T277" i="37"/>
  <c r="T269" i="37"/>
  <c r="T289" i="37"/>
  <c r="T290" i="37"/>
  <c r="T273" i="37"/>
  <c r="T274" i="37"/>
  <c r="T571" i="37"/>
  <c r="T575" i="37"/>
  <c r="T563" i="37"/>
  <c r="T567" i="37"/>
  <c r="T568" i="37"/>
  <c r="T559" i="37"/>
  <c r="T560" i="37"/>
  <c r="S121" i="37"/>
  <c r="S729" i="37"/>
  <c r="S93" i="37"/>
  <c r="U385" i="37"/>
  <c r="S319" i="37"/>
  <c r="S645" i="37"/>
  <c r="T107" i="37"/>
  <c r="T108" i="37"/>
  <c r="T103" i="37"/>
  <c r="T99" i="37"/>
  <c r="T100" i="37"/>
  <c r="T111" i="37"/>
  <c r="T95" i="37"/>
  <c r="T91" i="37"/>
  <c r="T92" i="37"/>
  <c r="T595" i="37"/>
  <c r="T591" i="37"/>
  <c r="T592" i="37"/>
  <c r="T583" i="37"/>
  <c r="T584" i="37"/>
  <c r="T587" i="37"/>
  <c r="T599" i="37"/>
  <c r="T600" i="37"/>
  <c r="S166" i="37"/>
  <c r="S167" i="37"/>
  <c r="C167" i="37"/>
  <c r="S223" i="37"/>
  <c r="S709" i="37"/>
  <c r="T171" i="37"/>
  <c r="T185" i="37"/>
  <c r="T186" i="37"/>
  <c r="T181" i="37"/>
  <c r="T197" i="37"/>
  <c r="T189" i="37"/>
  <c r="T173" i="37"/>
  <c r="T177" i="37"/>
  <c r="T178" i="37"/>
  <c r="T193" i="37"/>
  <c r="T194" i="37"/>
  <c r="U170" i="37"/>
  <c r="S303" i="37"/>
  <c r="S681" i="37"/>
  <c r="S291" i="37"/>
  <c r="S137" i="37"/>
  <c r="S163" i="37"/>
  <c r="C163" i="37"/>
  <c r="S262" i="37"/>
  <c r="S263" i="37"/>
  <c r="U377" i="37"/>
  <c r="V77" i="37"/>
  <c r="S701" i="37"/>
  <c r="S183" i="37"/>
  <c r="T717" i="37"/>
  <c r="U716" i="37"/>
  <c r="T689" i="37"/>
  <c r="U688" i="37"/>
  <c r="T661" i="37"/>
  <c r="U660" i="37"/>
  <c r="T581" i="37"/>
  <c r="U580" i="37"/>
  <c r="U556" i="37"/>
  <c r="T557" i="37"/>
  <c r="U396" i="37"/>
  <c r="T397" i="37"/>
  <c r="U298" i="37"/>
  <c r="T299" i="37"/>
  <c r="T267" i="37"/>
  <c r="U266" i="37"/>
  <c r="T235" i="37"/>
  <c r="U234" i="37"/>
  <c r="T203" i="37"/>
  <c r="U202" i="37"/>
  <c r="U116" i="37"/>
  <c r="T117" i="37"/>
  <c r="T89" i="37"/>
  <c r="U88" i="37"/>
  <c r="S17" i="37"/>
  <c r="S13" i="37"/>
  <c r="S25" i="37"/>
  <c r="S21" i="37"/>
  <c r="U8" i="37"/>
  <c r="U27" i="37"/>
  <c r="U28" i="37"/>
  <c r="T19" i="37"/>
  <c r="T11" i="37"/>
  <c r="T12" i="37"/>
  <c r="T23" i="37"/>
  <c r="T15" i="37"/>
  <c r="T16" i="37"/>
  <c r="T9" i="37"/>
  <c r="T231" i="37"/>
  <c r="T295" i="37"/>
  <c r="T331" i="37"/>
  <c r="T29" i="37"/>
  <c r="T685" i="37"/>
  <c r="T429" i="37"/>
  <c r="T195" i="37"/>
  <c r="T179" i="37"/>
  <c r="W73" i="37"/>
  <c r="T453" i="37"/>
  <c r="T601" i="37"/>
  <c r="U727" i="37"/>
  <c r="U739" i="37"/>
  <c r="U735" i="37"/>
  <c r="U731" i="37"/>
  <c r="U732" i="37"/>
  <c r="U719" i="37"/>
  <c r="U723" i="37"/>
  <c r="U724" i="37"/>
  <c r="T198" i="37"/>
  <c r="T199" i="37"/>
  <c r="U547" i="37"/>
  <c r="U548" i="37"/>
  <c r="U551" i="37"/>
  <c r="U543" i="37"/>
  <c r="U539" i="37"/>
  <c r="U540" i="37"/>
  <c r="U535" i="37"/>
  <c r="U533" i="37"/>
  <c r="V532" i="37"/>
  <c r="T729" i="37"/>
  <c r="V448" i="37"/>
  <c r="U451" i="37"/>
  <c r="U452" i="37"/>
  <c r="U449" i="37"/>
  <c r="T421" i="37"/>
  <c r="T129" i="37"/>
  <c r="T637" i="37"/>
  <c r="T657" i="37"/>
  <c r="U571" i="37"/>
  <c r="U572" i="37"/>
  <c r="U567" i="37"/>
  <c r="U559" i="37"/>
  <c r="U575" i="37"/>
  <c r="U563" i="37"/>
  <c r="U564" i="37"/>
  <c r="T585" i="37"/>
  <c r="T109" i="37"/>
  <c r="T275" i="37"/>
  <c r="T211" i="37"/>
  <c r="Y60" i="37"/>
  <c r="X83" i="37"/>
  <c r="X84" i="37"/>
  <c r="X75" i="37"/>
  <c r="X79" i="37"/>
  <c r="X80" i="37"/>
  <c r="X71" i="37"/>
  <c r="X72" i="37"/>
  <c r="X67" i="37"/>
  <c r="X63" i="37"/>
  <c r="X61" i="37"/>
  <c r="T401" i="37"/>
  <c r="T665" i="37"/>
  <c r="T327" i="37"/>
  <c r="T24" i="37"/>
  <c r="T25" i="37"/>
  <c r="U103" i="37"/>
  <c r="U104" i="37"/>
  <c r="U99" i="37"/>
  <c r="U111" i="37"/>
  <c r="U112" i="37"/>
  <c r="U95" i="37"/>
  <c r="U96" i="37"/>
  <c r="U91" i="37"/>
  <c r="U107" i="37"/>
  <c r="U281" i="37"/>
  <c r="U282" i="37"/>
  <c r="U285" i="37"/>
  <c r="U277" i="37"/>
  <c r="U269" i="37"/>
  <c r="U289" i="37"/>
  <c r="U290" i="37"/>
  <c r="U273" i="37"/>
  <c r="U274" i="37"/>
  <c r="U293" i="37"/>
  <c r="U599" i="37"/>
  <c r="U595" i="37"/>
  <c r="U596" i="37"/>
  <c r="U587" i="37"/>
  <c r="U588" i="37"/>
  <c r="U591" i="37"/>
  <c r="U583" i="37"/>
  <c r="T187" i="37"/>
  <c r="T593" i="37"/>
  <c r="T291" i="37"/>
  <c r="T541" i="37"/>
  <c r="W379" i="37"/>
  <c r="W380" i="37"/>
  <c r="W371" i="37"/>
  <c r="W372" i="37"/>
  <c r="W367" i="37"/>
  <c r="W375" i="37"/>
  <c r="W387" i="37"/>
  <c r="W388" i="37"/>
  <c r="W383" i="37"/>
  <c r="W391" i="37"/>
  <c r="W392" i="37"/>
  <c r="W363" i="37"/>
  <c r="X360" i="37"/>
  <c r="W361" i="37"/>
  <c r="V392" i="37"/>
  <c r="V393" i="37"/>
  <c r="T417" i="37"/>
  <c r="T140" i="37"/>
  <c r="T141" i="37"/>
  <c r="T653" i="37"/>
  <c r="T673" i="37"/>
  <c r="T263" i="37"/>
  <c r="U197" i="37"/>
  <c r="U198" i="37"/>
  <c r="U185" i="37"/>
  <c r="U186" i="37"/>
  <c r="U181" i="37"/>
  <c r="U189" i="37"/>
  <c r="U173" i="37"/>
  <c r="U177" i="37"/>
  <c r="U178" i="37"/>
  <c r="U193" i="37"/>
  <c r="U194" i="37"/>
  <c r="U171" i="37"/>
  <c r="V170" i="37"/>
  <c r="V385" i="37"/>
  <c r="T243" i="37"/>
  <c r="W85" i="37"/>
  <c r="T693" i="37"/>
  <c r="T409" i="37"/>
  <c r="T121" i="37"/>
  <c r="T645" i="37"/>
  <c r="T315" i="37"/>
  <c r="T20" i="37"/>
  <c r="T21" i="37"/>
  <c r="U667" i="37"/>
  <c r="U668" i="37"/>
  <c r="U683" i="37"/>
  <c r="U684" i="37"/>
  <c r="U671" i="37"/>
  <c r="U663" i="37"/>
  <c r="U675" i="37"/>
  <c r="U676" i="37"/>
  <c r="U679" i="37"/>
  <c r="T93" i="37"/>
  <c r="T561" i="37"/>
  <c r="T552" i="37"/>
  <c r="T553" i="37"/>
  <c r="T721" i="37"/>
  <c r="V389" i="37"/>
  <c r="T709" i="37"/>
  <c r="T425" i="37"/>
  <c r="U495" i="37"/>
  <c r="U503" i="37"/>
  <c r="U499" i="37"/>
  <c r="U500" i="37"/>
  <c r="V492" i="37"/>
  <c r="U493" i="37"/>
  <c r="T323" i="37"/>
  <c r="T569" i="37"/>
  <c r="T549" i="37"/>
  <c r="V377" i="37"/>
  <c r="T251" i="37"/>
  <c r="T137" i="37"/>
  <c r="T681" i="37"/>
  <c r="U329" i="37"/>
  <c r="U330" i="37"/>
  <c r="U321" i="37"/>
  <c r="U322" i="37"/>
  <c r="U325" i="37"/>
  <c r="U326" i="37"/>
  <c r="U313" i="37"/>
  <c r="U314" i="37"/>
  <c r="U301" i="37"/>
  <c r="U317" i="37"/>
  <c r="U305" i="37"/>
  <c r="U306" i="37"/>
  <c r="U309" i="37"/>
  <c r="U225" i="37"/>
  <c r="U226" i="37"/>
  <c r="U217" i="37"/>
  <c r="U218" i="37"/>
  <c r="U213" i="37"/>
  <c r="U205" i="37"/>
  <c r="U229" i="37"/>
  <c r="U230" i="37"/>
  <c r="U221" i="37"/>
  <c r="U209" i="37"/>
  <c r="U210" i="37"/>
  <c r="U703" i="37"/>
  <c r="U704" i="37"/>
  <c r="U699" i="37"/>
  <c r="U695" i="37"/>
  <c r="U696" i="37"/>
  <c r="U707" i="37"/>
  <c r="U711" i="37"/>
  <c r="U691" i="37"/>
  <c r="T112" i="37"/>
  <c r="T113" i="37"/>
  <c r="T283" i="37"/>
  <c r="T737" i="37"/>
  <c r="V369" i="37"/>
  <c r="T259" i="37"/>
  <c r="T219" i="37"/>
  <c r="W81" i="37"/>
  <c r="T701" i="37"/>
  <c r="T504" i="37"/>
  <c r="T505" i="37"/>
  <c r="U253" i="37"/>
  <c r="U257" i="37"/>
  <c r="U258" i="37"/>
  <c r="U249" i="37"/>
  <c r="U250" i="37"/>
  <c r="U261" i="37"/>
  <c r="U241" i="37"/>
  <c r="U242" i="37"/>
  <c r="U237" i="37"/>
  <c r="U245" i="37"/>
  <c r="U135" i="37"/>
  <c r="U123" i="37"/>
  <c r="U124" i="37"/>
  <c r="U119" i="37"/>
  <c r="U139" i="37"/>
  <c r="U131" i="37"/>
  <c r="U132" i="37"/>
  <c r="U127" i="37"/>
  <c r="U419" i="37"/>
  <c r="U420" i="37"/>
  <c r="U411" i="37"/>
  <c r="U412" i="37"/>
  <c r="U403" i="37"/>
  <c r="U404" i="37"/>
  <c r="U427" i="37"/>
  <c r="U428" i="37"/>
  <c r="U423" i="37"/>
  <c r="U424" i="37"/>
  <c r="U407" i="37"/>
  <c r="U415" i="37"/>
  <c r="U399" i="37"/>
  <c r="T101" i="37"/>
  <c r="T576" i="37"/>
  <c r="T577" i="37"/>
  <c r="T740" i="37"/>
  <c r="T741" i="37"/>
  <c r="T227" i="37"/>
  <c r="T712" i="37"/>
  <c r="T713" i="37"/>
  <c r="T497" i="37"/>
  <c r="U647" i="37"/>
  <c r="U648" i="37"/>
  <c r="U643" i="37"/>
  <c r="U651" i="37"/>
  <c r="U639" i="37"/>
  <c r="U640" i="37"/>
  <c r="U655" i="37"/>
  <c r="V632" i="37"/>
  <c r="U633" i="37"/>
  <c r="U635" i="37"/>
  <c r="T307" i="37"/>
  <c r="U717" i="37"/>
  <c r="V716" i="37"/>
  <c r="U689" i="37"/>
  <c r="V688" i="37"/>
  <c r="U661" i="37"/>
  <c r="V660" i="37"/>
  <c r="U581" i="37"/>
  <c r="V580" i="37"/>
  <c r="V556" i="37"/>
  <c r="U557" i="37"/>
  <c r="V396" i="37"/>
  <c r="U397" i="37"/>
  <c r="V298" i="37"/>
  <c r="U299" i="37"/>
  <c r="U267" i="37"/>
  <c r="V266" i="37"/>
  <c r="U235" i="37"/>
  <c r="V234" i="37"/>
  <c r="U203" i="37"/>
  <c r="V202" i="37"/>
  <c r="V116" i="37"/>
  <c r="U117" i="37"/>
  <c r="V88" i="37"/>
  <c r="U89" i="37"/>
  <c r="V8" i="37"/>
  <c r="V27" i="37"/>
  <c r="U19" i="37"/>
  <c r="U20" i="37"/>
  <c r="U11" i="37"/>
  <c r="U12" i="37"/>
  <c r="U23" i="37"/>
  <c r="U24" i="37"/>
  <c r="U15" i="37"/>
  <c r="U16" i="37"/>
  <c r="U9" i="37"/>
  <c r="U29" i="37"/>
  <c r="T17" i="37"/>
  <c r="T13" i="37"/>
  <c r="U331" i="37"/>
  <c r="U113" i="37"/>
  <c r="U199" i="37"/>
  <c r="U685" i="37"/>
  <c r="U429" i="37"/>
  <c r="U453" i="37"/>
  <c r="W393" i="37"/>
  <c r="U501" i="37"/>
  <c r="X73" i="37"/>
  <c r="X81" i="37"/>
  <c r="U231" i="37"/>
  <c r="U641" i="37"/>
  <c r="U187" i="37"/>
  <c r="V123" i="37"/>
  <c r="V124" i="37"/>
  <c r="V119" i="37"/>
  <c r="V139" i="37"/>
  <c r="V131" i="37"/>
  <c r="V132" i="37"/>
  <c r="V127" i="37"/>
  <c r="V135" i="37"/>
  <c r="V321" i="37"/>
  <c r="V329" i="37"/>
  <c r="V301" i="37"/>
  <c r="V317" i="37"/>
  <c r="V318" i="37"/>
  <c r="V325" i="37"/>
  <c r="V326" i="37"/>
  <c r="V305" i="37"/>
  <c r="V309" i="37"/>
  <c r="V310" i="37"/>
  <c r="V313" i="37"/>
  <c r="V651" i="37"/>
  <c r="V639" i="37"/>
  <c r="V640" i="37"/>
  <c r="V647" i="37"/>
  <c r="V648" i="37"/>
  <c r="V643" i="37"/>
  <c r="V655" i="37"/>
  <c r="V635" i="37"/>
  <c r="V633" i="37"/>
  <c r="W632" i="37"/>
  <c r="U425" i="37"/>
  <c r="U259" i="37"/>
  <c r="U504" i="37"/>
  <c r="U505" i="37"/>
  <c r="U677" i="37"/>
  <c r="U105" i="37"/>
  <c r="X85" i="37"/>
  <c r="U576" i="37"/>
  <c r="U577" i="37"/>
  <c r="V539" i="37"/>
  <c r="V551" i="37"/>
  <c r="V543" i="37"/>
  <c r="V544" i="37"/>
  <c r="V547" i="37"/>
  <c r="V533" i="37"/>
  <c r="W532" i="37"/>
  <c r="V535" i="37"/>
  <c r="U740" i="37"/>
  <c r="U741" i="37"/>
  <c r="V703" i="37"/>
  <c r="V704" i="37"/>
  <c r="V695" i="37"/>
  <c r="V696" i="37"/>
  <c r="V707" i="37"/>
  <c r="V691" i="37"/>
  <c r="V711" i="37"/>
  <c r="V699" i="37"/>
  <c r="U656" i="37"/>
  <c r="U657" i="37"/>
  <c r="U125" i="37"/>
  <c r="W373" i="37"/>
  <c r="U589" i="37"/>
  <c r="V403" i="37"/>
  <c r="V404" i="37"/>
  <c r="V427" i="37"/>
  <c r="V428" i="37"/>
  <c r="V423" i="37"/>
  <c r="V424" i="37"/>
  <c r="V407" i="37"/>
  <c r="V415" i="37"/>
  <c r="V399" i="37"/>
  <c r="V419" i="37"/>
  <c r="V420" i="37"/>
  <c r="V411" i="37"/>
  <c r="V412" i="37"/>
  <c r="U405" i="37"/>
  <c r="U712" i="37"/>
  <c r="U713" i="37"/>
  <c r="U315" i="37"/>
  <c r="X379" i="37"/>
  <c r="X380" i="37"/>
  <c r="X371" i="37"/>
  <c r="X372" i="37"/>
  <c r="X367" i="37"/>
  <c r="X375" i="37"/>
  <c r="X387" i="37"/>
  <c r="X388" i="37"/>
  <c r="X383" i="37"/>
  <c r="X391" i="37"/>
  <c r="X363" i="37"/>
  <c r="X361" i="37"/>
  <c r="W381" i="37"/>
  <c r="U597" i="37"/>
  <c r="U283" i="37"/>
  <c r="V253" i="37"/>
  <c r="V254" i="37"/>
  <c r="V257" i="37"/>
  <c r="V249" i="37"/>
  <c r="V261" i="37"/>
  <c r="V241" i="37"/>
  <c r="V237" i="37"/>
  <c r="V245" i="37"/>
  <c r="V246" i="37"/>
  <c r="V739" i="37"/>
  <c r="V735" i="37"/>
  <c r="V731" i="37"/>
  <c r="V732" i="37"/>
  <c r="V723" i="37"/>
  <c r="V724" i="37"/>
  <c r="V719" i="37"/>
  <c r="V727" i="37"/>
  <c r="U413" i="37"/>
  <c r="U327" i="37"/>
  <c r="V197" i="37"/>
  <c r="V185" i="37"/>
  <c r="V181" i="37"/>
  <c r="V182" i="37"/>
  <c r="V189" i="37"/>
  <c r="V190" i="37"/>
  <c r="V173" i="37"/>
  <c r="V177" i="37"/>
  <c r="V193" i="37"/>
  <c r="V171" i="37"/>
  <c r="W170" i="37"/>
  <c r="U600" i="37"/>
  <c r="U601" i="37"/>
  <c r="U573" i="37"/>
  <c r="U541" i="37"/>
  <c r="V571" i="37"/>
  <c r="V572" i="37"/>
  <c r="V567" i="37"/>
  <c r="V559" i="37"/>
  <c r="V563" i="37"/>
  <c r="V564" i="37"/>
  <c r="V575" i="37"/>
  <c r="U421" i="37"/>
  <c r="U697" i="37"/>
  <c r="U219" i="37"/>
  <c r="U323" i="37"/>
  <c r="U669" i="37"/>
  <c r="U294" i="37"/>
  <c r="U295" i="37"/>
  <c r="W448" i="37"/>
  <c r="V449" i="37"/>
  <c r="V451" i="37"/>
  <c r="V452" i="37"/>
  <c r="U725" i="37"/>
  <c r="V28" i="37"/>
  <c r="V285" i="37"/>
  <c r="V286" i="37"/>
  <c r="V277" i="37"/>
  <c r="V278" i="37"/>
  <c r="V269" i="37"/>
  <c r="V289" i="37"/>
  <c r="V273" i="37"/>
  <c r="V293" i="37"/>
  <c r="V281" i="37"/>
  <c r="V595" i="37"/>
  <c r="V596" i="37"/>
  <c r="V587" i="37"/>
  <c r="V588" i="37"/>
  <c r="V599" i="37"/>
  <c r="V600" i="37"/>
  <c r="V591" i="37"/>
  <c r="V583" i="37"/>
  <c r="U649" i="37"/>
  <c r="U243" i="37"/>
  <c r="U227" i="37"/>
  <c r="U195" i="37"/>
  <c r="U275" i="37"/>
  <c r="U97" i="37"/>
  <c r="U552" i="37"/>
  <c r="U553" i="37"/>
  <c r="V225" i="37"/>
  <c r="V217" i="37"/>
  <c r="V213" i="37"/>
  <c r="V214" i="37"/>
  <c r="V205" i="37"/>
  <c r="V229" i="37"/>
  <c r="V230" i="37"/>
  <c r="V221" i="37"/>
  <c r="V222" i="37"/>
  <c r="V209" i="37"/>
  <c r="V99" i="37"/>
  <c r="V111" i="37"/>
  <c r="V112" i="37"/>
  <c r="V95" i="37"/>
  <c r="V96" i="37"/>
  <c r="V91" i="37"/>
  <c r="V107" i="37"/>
  <c r="V103" i="37"/>
  <c r="V104" i="37"/>
  <c r="U133" i="37"/>
  <c r="U262" i="37"/>
  <c r="U263" i="37"/>
  <c r="U705" i="37"/>
  <c r="V495" i="37"/>
  <c r="V503" i="37"/>
  <c r="V499" i="37"/>
  <c r="V500" i="37"/>
  <c r="W492" i="37"/>
  <c r="V493" i="37"/>
  <c r="U179" i="37"/>
  <c r="W389" i="37"/>
  <c r="U291" i="37"/>
  <c r="U549" i="37"/>
  <c r="U733" i="37"/>
  <c r="V667" i="37"/>
  <c r="V668" i="37"/>
  <c r="V679" i="37"/>
  <c r="V675" i="37"/>
  <c r="V676" i="37"/>
  <c r="V671" i="37"/>
  <c r="V663" i="37"/>
  <c r="V683" i="37"/>
  <c r="V684" i="37"/>
  <c r="U140" i="37"/>
  <c r="U141" i="37"/>
  <c r="U251" i="37"/>
  <c r="U211" i="37"/>
  <c r="U307" i="37"/>
  <c r="Z60" i="37"/>
  <c r="Y79" i="37"/>
  <c r="Y83" i="37"/>
  <c r="Y71" i="37"/>
  <c r="Y67" i="37"/>
  <c r="Y75" i="37"/>
  <c r="Y76" i="37"/>
  <c r="Y63" i="37"/>
  <c r="Y64" i="37"/>
  <c r="Y61" i="37"/>
  <c r="U565" i="37"/>
  <c r="V717" i="37"/>
  <c r="W716" i="37"/>
  <c r="V689" i="37"/>
  <c r="W688" i="37"/>
  <c r="V661" i="37"/>
  <c r="W660" i="37"/>
  <c r="V581" i="37"/>
  <c r="W580" i="37"/>
  <c r="V557" i="37"/>
  <c r="W556" i="37"/>
  <c r="W396" i="37"/>
  <c r="V397" i="37"/>
  <c r="W298" i="37"/>
  <c r="V299" i="37"/>
  <c r="V267" i="37"/>
  <c r="W266" i="37"/>
  <c r="V235" i="37"/>
  <c r="W234" i="37"/>
  <c r="V203" i="37"/>
  <c r="W202" i="37"/>
  <c r="W116" i="37"/>
  <c r="V117" i="37"/>
  <c r="V89" i="37"/>
  <c r="W88" i="37"/>
  <c r="U17" i="37"/>
  <c r="U13" i="37"/>
  <c r="U25" i="37"/>
  <c r="U21" i="37"/>
  <c r="V23" i="37"/>
  <c r="V24" i="37"/>
  <c r="V15" i="37"/>
  <c r="V16" i="37"/>
  <c r="V9" i="37"/>
  <c r="V19" i="37"/>
  <c r="V20" i="37"/>
  <c r="V11" i="37"/>
  <c r="V12" i="37"/>
  <c r="V429" i="37"/>
  <c r="V685" i="37"/>
  <c r="V601" i="37"/>
  <c r="V29" i="37"/>
  <c r="C29" i="37"/>
  <c r="V113" i="37"/>
  <c r="V669" i="37"/>
  <c r="V501" i="37"/>
  <c r="Y65" i="37"/>
  <c r="V231" i="37"/>
  <c r="X389" i="37"/>
  <c r="C389" i="37"/>
  <c r="V545" i="37"/>
  <c r="W123" i="37"/>
  <c r="W119" i="37"/>
  <c r="W139" i="37"/>
  <c r="W140" i="37"/>
  <c r="W131" i="37"/>
  <c r="W127" i="37"/>
  <c r="W128" i="37"/>
  <c r="W135" i="37"/>
  <c r="W136" i="37"/>
  <c r="W325" i="37"/>
  <c r="W326" i="37"/>
  <c r="W329" i="37"/>
  <c r="W330" i="37"/>
  <c r="W321" i="37"/>
  <c r="W301" i="37"/>
  <c r="W317" i="37"/>
  <c r="W318" i="37"/>
  <c r="W305" i="37"/>
  <c r="W309" i="37"/>
  <c r="W310" i="37"/>
  <c r="W313" i="37"/>
  <c r="V504" i="37"/>
  <c r="V505" i="37"/>
  <c r="V105" i="37"/>
  <c r="V565" i="37"/>
  <c r="V183" i="37"/>
  <c r="V247" i="37"/>
  <c r="V425" i="37"/>
  <c r="V712" i="37"/>
  <c r="V713" i="37"/>
  <c r="W551" i="37"/>
  <c r="W543" i="37"/>
  <c r="W544" i="37"/>
  <c r="W547" i="37"/>
  <c r="W539" i="37"/>
  <c r="W533" i="37"/>
  <c r="X532" i="37"/>
  <c r="W535" i="37"/>
  <c r="V133" i="37"/>
  <c r="W679" i="37"/>
  <c r="W680" i="37"/>
  <c r="W675" i="37"/>
  <c r="W683" i="37"/>
  <c r="W684" i="37"/>
  <c r="W671" i="37"/>
  <c r="W672" i="37"/>
  <c r="W667" i="37"/>
  <c r="W663" i="37"/>
  <c r="W225" i="37"/>
  <c r="W217" i="37"/>
  <c r="W213" i="37"/>
  <c r="W214" i="37"/>
  <c r="W205" i="37"/>
  <c r="W229" i="37"/>
  <c r="W221" i="37"/>
  <c r="W222" i="37"/>
  <c r="W209" i="37"/>
  <c r="W699" i="37"/>
  <c r="W700" i="37"/>
  <c r="W707" i="37"/>
  <c r="W708" i="37"/>
  <c r="W691" i="37"/>
  <c r="W711" i="37"/>
  <c r="W712" i="37"/>
  <c r="W695" i="37"/>
  <c r="W703" i="37"/>
  <c r="Y77" i="37"/>
  <c r="V294" i="37"/>
  <c r="V295" i="37"/>
  <c r="V656" i="37"/>
  <c r="V657" i="37"/>
  <c r="V327" i="37"/>
  <c r="V140" i="37"/>
  <c r="V141" i="37"/>
  <c r="W427" i="37"/>
  <c r="W423" i="37"/>
  <c r="W424" i="37"/>
  <c r="W407" i="37"/>
  <c r="W408" i="37"/>
  <c r="W415" i="37"/>
  <c r="W416" i="37"/>
  <c r="W399" i="37"/>
  <c r="W419" i="37"/>
  <c r="W411" i="37"/>
  <c r="W403" i="37"/>
  <c r="V215" i="37"/>
  <c r="W197" i="37"/>
  <c r="W185" i="37"/>
  <c r="W181" i="37"/>
  <c r="W182" i="37"/>
  <c r="W189" i="37"/>
  <c r="W190" i="37"/>
  <c r="W173" i="37"/>
  <c r="W177" i="37"/>
  <c r="W193" i="37"/>
  <c r="X170" i="37"/>
  <c r="W171" i="37"/>
  <c r="V198" i="37"/>
  <c r="V199" i="37"/>
  <c r="X373" i="37"/>
  <c r="V405" i="37"/>
  <c r="V319" i="37"/>
  <c r="W567" i="37"/>
  <c r="W568" i="37"/>
  <c r="W575" i="37"/>
  <c r="W571" i="37"/>
  <c r="W559" i="37"/>
  <c r="W563" i="37"/>
  <c r="W739" i="37"/>
  <c r="W735" i="37"/>
  <c r="W736" i="37"/>
  <c r="W731" i="37"/>
  <c r="W723" i="37"/>
  <c r="W719" i="37"/>
  <c r="W727" i="37"/>
  <c r="W728" i="37"/>
  <c r="V97" i="37"/>
  <c r="V573" i="37"/>
  <c r="V262" i="37"/>
  <c r="V263" i="37"/>
  <c r="X381" i="37"/>
  <c r="V413" i="37"/>
  <c r="V697" i="37"/>
  <c r="V649" i="37"/>
  <c r="V125" i="37"/>
  <c r="Y84" i="37"/>
  <c r="Y85" i="37"/>
  <c r="V453" i="37"/>
  <c r="V725" i="37"/>
  <c r="V421" i="37"/>
  <c r="V705" i="37"/>
  <c r="V552" i="37"/>
  <c r="V553" i="37"/>
  <c r="V641" i="37"/>
  <c r="V330" i="37"/>
  <c r="V331" i="37"/>
  <c r="W111" i="37"/>
  <c r="W95" i="37"/>
  <c r="W91" i="37"/>
  <c r="W107" i="37"/>
  <c r="W108" i="37"/>
  <c r="W103" i="37"/>
  <c r="W99" i="37"/>
  <c r="W100" i="37"/>
  <c r="W289" i="37"/>
  <c r="W273" i="37"/>
  <c r="W293" i="37"/>
  <c r="W281" i="37"/>
  <c r="W285" i="37"/>
  <c r="W286" i="37"/>
  <c r="W277" i="37"/>
  <c r="W278" i="37"/>
  <c r="W269" i="37"/>
  <c r="W595" i="37"/>
  <c r="W587" i="37"/>
  <c r="W599" i="37"/>
  <c r="W591" i="37"/>
  <c r="W592" i="37"/>
  <c r="W583" i="37"/>
  <c r="V677" i="37"/>
  <c r="V279" i="37"/>
  <c r="W451" i="37"/>
  <c r="W452" i="37"/>
  <c r="W449" i="37"/>
  <c r="X448" i="37"/>
  <c r="V733" i="37"/>
  <c r="X392" i="37"/>
  <c r="X393" i="37"/>
  <c r="C393" i="37"/>
  <c r="Z83" i="37"/>
  <c r="Z84" i="37"/>
  <c r="Z79" i="37"/>
  <c r="Z71" i="37"/>
  <c r="Z67" i="37"/>
  <c r="Z75" i="37"/>
  <c r="Z76" i="37"/>
  <c r="AA60" i="37"/>
  <c r="Z63" i="37"/>
  <c r="Z64" i="37"/>
  <c r="Z61" i="37"/>
  <c r="W503" i="37"/>
  <c r="W495" i="37"/>
  <c r="W499" i="37"/>
  <c r="X492" i="37"/>
  <c r="W493" i="37"/>
  <c r="V589" i="37"/>
  <c r="V287" i="37"/>
  <c r="V255" i="37"/>
  <c r="W647" i="37"/>
  <c r="W643" i="37"/>
  <c r="W644" i="37"/>
  <c r="W651" i="37"/>
  <c r="W652" i="37"/>
  <c r="W639" i="37"/>
  <c r="W655" i="37"/>
  <c r="W635" i="37"/>
  <c r="W633" i="37"/>
  <c r="X632" i="37"/>
  <c r="W253" i="37"/>
  <c r="W254" i="37"/>
  <c r="W257" i="37"/>
  <c r="W249" i="37"/>
  <c r="W261" i="37"/>
  <c r="W262" i="37"/>
  <c r="W241" i="37"/>
  <c r="W237" i="37"/>
  <c r="W245" i="37"/>
  <c r="W246" i="37"/>
  <c r="V223" i="37"/>
  <c r="V597" i="37"/>
  <c r="V576" i="37"/>
  <c r="V577" i="37"/>
  <c r="V191" i="37"/>
  <c r="V740" i="37"/>
  <c r="V741" i="37"/>
  <c r="V311" i="37"/>
  <c r="X716" i="37"/>
  <c r="W717" i="37"/>
  <c r="W689" i="37"/>
  <c r="X688" i="37"/>
  <c r="X660" i="37"/>
  <c r="W661" i="37"/>
  <c r="X580" i="37"/>
  <c r="W581" i="37"/>
  <c r="W557" i="37"/>
  <c r="X556" i="37"/>
  <c r="W397" i="37"/>
  <c r="X396" i="37"/>
  <c r="X298" i="37"/>
  <c r="W299" i="37"/>
  <c r="W267" i="37"/>
  <c r="X266" i="37"/>
  <c r="X234" i="37"/>
  <c r="W235" i="37"/>
  <c r="X202" i="37"/>
  <c r="W203" i="37"/>
  <c r="X116" i="37"/>
  <c r="W117" i="37"/>
  <c r="W89" i="37"/>
  <c r="X88" i="37"/>
  <c r="V21" i="37"/>
  <c r="V17" i="37"/>
  <c r="V13" i="37"/>
  <c r="V25" i="37"/>
  <c r="W331" i="37"/>
  <c r="W713" i="37"/>
  <c r="W141" i="37"/>
  <c r="W685" i="37"/>
  <c r="Z85" i="37"/>
  <c r="Z77" i="37"/>
  <c r="X503" i="37"/>
  <c r="X504" i="37"/>
  <c r="X499" i="37"/>
  <c r="X495" i="37"/>
  <c r="X493" i="37"/>
  <c r="Y492" i="37"/>
  <c r="W729" i="37"/>
  <c r="W409" i="37"/>
  <c r="W701" i="37"/>
  <c r="X217" i="37"/>
  <c r="X218" i="37"/>
  <c r="X213" i="37"/>
  <c r="X205" i="37"/>
  <c r="X206" i="37"/>
  <c r="X229" i="37"/>
  <c r="X221" i="37"/>
  <c r="X209" i="37"/>
  <c r="X225" i="37"/>
  <c r="X226" i="37"/>
  <c r="X257" i="37"/>
  <c r="X258" i="37"/>
  <c r="X249" i="37"/>
  <c r="X250" i="37"/>
  <c r="X261" i="37"/>
  <c r="X241" i="37"/>
  <c r="X237" i="37"/>
  <c r="X238" i="37"/>
  <c r="X245" i="37"/>
  <c r="X253" i="37"/>
  <c r="X731" i="37"/>
  <c r="X723" i="37"/>
  <c r="X719" i="37"/>
  <c r="X727" i="37"/>
  <c r="X728" i="37"/>
  <c r="X739" i="37"/>
  <c r="X735" i="37"/>
  <c r="X736" i="37"/>
  <c r="W101" i="37"/>
  <c r="W576" i="37"/>
  <c r="W577" i="37"/>
  <c r="W425" i="37"/>
  <c r="X547" i="37"/>
  <c r="X548" i="37"/>
  <c r="X539" i="37"/>
  <c r="X543" i="37"/>
  <c r="X551" i="37"/>
  <c r="Y532" i="37"/>
  <c r="X533" i="37"/>
  <c r="X535" i="37"/>
  <c r="X536" i="37"/>
  <c r="W327" i="37"/>
  <c r="W263" i="37"/>
  <c r="W656" i="37"/>
  <c r="W657" i="37"/>
  <c r="W569" i="37"/>
  <c r="W191" i="37"/>
  <c r="W428" i="37"/>
  <c r="W429" i="37"/>
  <c r="W223" i="37"/>
  <c r="W673" i="37"/>
  <c r="W137" i="37"/>
  <c r="X575" i="37"/>
  <c r="X576" i="37"/>
  <c r="X563" i="37"/>
  <c r="X571" i="37"/>
  <c r="X567" i="37"/>
  <c r="X568" i="37"/>
  <c r="X559" i="37"/>
  <c r="X595" i="37"/>
  <c r="X587" i="37"/>
  <c r="X599" i="37"/>
  <c r="X600" i="37"/>
  <c r="X591" i="37"/>
  <c r="X592" i="37"/>
  <c r="X583" i="37"/>
  <c r="W504" i="37"/>
  <c r="W505" i="37"/>
  <c r="W279" i="37"/>
  <c r="W109" i="37"/>
  <c r="W183" i="37"/>
  <c r="W230" i="37"/>
  <c r="W231" i="37"/>
  <c r="W311" i="37"/>
  <c r="W129" i="37"/>
  <c r="X289" i="37"/>
  <c r="X290" i="37"/>
  <c r="X273" i="37"/>
  <c r="X293" i="37"/>
  <c r="X281" i="37"/>
  <c r="X282" i="37"/>
  <c r="X285" i="37"/>
  <c r="X277" i="37"/>
  <c r="X269" i="37"/>
  <c r="X270" i="37"/>
  <c r="W255" i="37"/>
  <c r="W653" i="37"/>
  <c r="W287" i="37"/>
  <c r="W737" i="37"/>
  <c r="X95" i="37"/>
  <c r="X91" i="37"/>
  <c r="X107" i="37"/>
  <c r="X108" i="37"/>
  <c r="X103" i="37"/>
  <c r="X99" i="37"/>
  <c r="X100" i="37"/>
  <c r="X111" i="37"/>
  <c r="X325" i="37"/>
  <c r="X321" i="37"/>
  <c r="X322" i="37"/>
  <c r="X329" i="37"/>
  <c r="X317" i="37"/>
  <c r="X305" i="37"/>
  <c r="X309" i="37"/>
  <c r="X313" i="37"/>
  <c r="X314" i="37"/>
  <c r="X301" i="37"/>
  <c r="X302" i="37"/>
  <c r="X683" i="37"/>
  <c r="X684" i="37"/>
  <c r="X671" i="37"/>
  <c r="X672" i="37"/>
  <c r="X663" i="37"/>
  <c r="X667" i="37"/>
  <c r="X675" i="37"/>
  <c r="X679" i="37"/>
  <c r="X680" i="37"/>
  <c r="W645" i="37"/>
  <c r="W740" i="37"/>
  <c r="W741" i="37"/>
  <c r="W198" i="37"/>
  <c r="W199" i="37"/>
  <c r="W215" i="37"/>
  <c r="W681" i="37"/>
  <c r="W545" i="37"/>
  <c r="W319" i="37"/>
  <c r="X123" i="37"/>
  <c r="X119" i="37"/>
  <c r="X139" i="37"/>
  <c r="X140" i="37"/>
  <c r="X131" i="37"/>
  <c r="X127" i="37"/>
  <c r="X128" i="37"/>
  <c r="X135" i="37"/>
  <c r="X136" i="37"/>
  <c r="X397" i="37"/>
  <c r="X423" i="37"/>
  <c r="X424" i="37"/>
  <c r="X407" i="37"/>
  <c r="X408" i="37"/>
  <c r="X415" i="37"/>
  <c r="X416" i="37"/>
  <c r="X399" i="37"/>
  <c r="X419" i="37"/>
  <c r="X411" i="37"/>
  <c r="X403" i="37"/>
  <c r="X427" i="37"/>
  <c r="Y396" i="37"/>
  <c r="X699" i="37"/>
  <c r="X700" i="37"/>
  <c r="X695" i="37"/>
  <c r="X691" i="37"/>
  <c r="X711" i="37"/>
  <c r="X712" i="37"/>
  <c r="X707" i="37"/>
  <c r="X708" i="37"/>
  <c r="X703" i="37"/>
  <c r="W247" i="37"/>
  <c r="Z65" i="37"/>
  <c r="Y448" i="37"/>
  <c r="X451" i="37"/>
  <c r="X452" i="37"/>
  <c r="X449" i="37"/>
  <c r="W593" i="37"/>
  <c r="W294" i="37"/>
  <c r="W295" i="37"/>
  <c r="W112" i="37"/>
  <c r="W113" i="37"/>
  <c r="X197" i="37"/>
  <c r="X198" i="37"/>
  <c r="X189" i="37"/>
  <c r="X173" i="37"/>
  <c r="X174" i="37"/>
  <c r="X177" i="37"/>
  <c r="X193" i="37"/>
  <c r="X194" i="37"/>
  <c r="X185" i="37"/>
  <c r="X186" i="37"/>
  <c r="X181" i="37"/>
  <c r="Y170" i="37"/>
  <c r="X171" i="37"/>
  <c r="W552" i="37"/>
  <c r="W553" i="37"/>
  <c r="X647" i="37"/>
  <c r="X643" i="37"/>
  <c r="X644" i="37"/>
  <c r="X651" i="37"/>
  <c r="X652" i="37"/>
  <c r="X639" i="37"/>
  <c r="X655" i="37"/>
  <c r="X656" i="37"/>
  <c r="X635" i="37"/>
  <c r="X633" i="37"/>
  <c r="Y632" i="37"/>
  <c r="AA83" i="37"/>
  <c r="AA79" i="37"/>
  <c r="AA80" i="37"/>
  <c r="AA71" i="37"/>
  <c r="AA67" i="37"/>
  <c r="AA68" i="37"/>
  <c r="AA75" i="37"/>
  <c r="AB60" i="37"/>
  <c r="AA63" i="37"/>
  <c r="AA64" i="37"/>
  <c r="AA61" i="37"/>
  <c r="W453" i="37"/>
  <c r="W600" i="37"/>
  <c r="W601" i="37"/>
  <c r="W417" i="37"/>
  <c r="W709" i="37"/>
  <c r="Y716" i="37"/>
  <c r="X717" i="37"/>
  <c r="X689" i="37"/>
  <c r="Y688" i="37"/>
  <c r="Y660" i="37"/>
  <c r="X661" i="37"/>
  <c r="Y580" i="37"/>
  <c r="X581" i="37"/>
  <c r="X557" i="37"/>
  <c r="Y556" i="37"/>
  <c r="X299" i="37"/>
  <c r="Y298" i="37"/>
  <c r="X267" i="37"/>
  <c r="Y266" i="37"/>
  <c r="Y234" i="37"/>
  <c r="X235" i="37"/>
  <c r="Y202" i="37"/>
  <c r="X203" i="37"/>
  <c r="X117" i="37"/>
  <c r="Y116" i="37"/>
  <c r="X89" i="37"/>
  <c r="Y88" i="37"/>
  <c r="X239" i="37"/>
  <c r="X199" i="37"/>
  <c r="X141" i="37"/>
  <c r="X645" i="37"/>
  <c r="X537" i="37"/>
  <c r="AA81" i="37"/>
  <c r="X453" i="37"/>
  <c r="X417" i="37"/>
  <c r="X409" i="37"/>
  <c r="X685" i="37"/>
  <c r="X505" i="37"/>
  <c r="X315" i="37"/>
  <c r="X101" i="37"/>
  <c r="Y661" i="37"/>
  <c r="Y671" i="37"/>
  <c r="Y663" i="37"/>
  <c r="Y664" i="37"/>
  <c r="Z660" i="37"/>
  <c r="Y667" i="37"/>
  <c r="Y675" i="37"/>
  <c r="Y676" i="37"/>
  <c r="Y679" i="37"/>
  <c r="Y683" i="37"/>
  <c r="Y684" i="37"/>
  <c r="AA65" i="37"/>
  <c r="Y651" i="37"/>
  <c r="Y652" i="37"/>
  <c r="Y639" i="37"/>
  <c r="Y655" i="37"/>
  <c r="Y647" i="37"/>
  <c r="Y643" i="37"/>
  <c r="Y644" i="37"/>
  <c r="Y633" i="37"/>
  <c r="Y635" i="37"/>
  <c r="Y197" i="37"/>
  <c r="Y198" i="37"/>
  <c r="Y173" i="37"/>
  <c r="Y174" i="37"/>
  <c r="Y177" i="37"/>
  <c r="Y193" i="37"/>
  <c r="Y194" i="37"/>
  <c r="Y185" i="37"/>
  <c r="Y186" i="37"/>
  <c r="Y181" i="37"/>
  <c r="Y189" i="37"/>
  <c r="Y171" i="37"/>
  <c r="Y451" i="37"/>
  <c r="Y452" i="37"/>
  <c r="Y449" i="37"/>
  <c r="X109" i="37"/>
  <c r="X271" i="37"/>
  <c r="X593" i="37"/>
  <c r="X729" i="37"/>
  <c r="X262" i="37"/>
  <c r="X263" i="37"/>
  <c r="Y695" i="37"/>
  <c r="Y707" i="37"/>
  <c r="Y708" i="37"/>
  <c r="Y711" i="37"/>
  <c r="Y712" i="37"/>
  <c r="Y703" i="37"/>
  <c r="Y699" i="37"/>
  <c r="Y700" i="37"/>
  <c r="Y691" i="37"/>
  <c r="X657" i="37"/>
  <c r="X701" i="37"/>
  <c r="X251" i="37"/>
  <c r="X219" i="37"/>
  <c r="Y325" i="37"/>
  <c r="Y329" i="37"/>
  <c r="Y317" i="37"/>
  <c r="Y305" i="37"/>
  <c r="Y309" i="37"/>
  <c r="Y313" i="37"/>
  <c r="Y314" i="37"/>
  <c r="Y301" i="37"/>
  <c r="Y302" i="37"/>
  <c r="Y321" i="37"/>
  <c r="Y322" i="37"/>
  <c r="X713" i="37"/>
  <c r="AB83" i="37"/>
  <c r="AB79" i="37"/>
  <c r="AB80" i="37"/>
  <c r="AB71" i="37"/>
  <c r="AB67" i="37"/>
  <c r="AB68" i="37"/>
  <c r="AB75" i="37"/>
  <c r="AB61" i="37"/>
  <c r="AC60" i="37"/>
  <c r="AB63" i="37"/>
  <c r="AB64" i="37"/>
  <c r="X187" i="37"/>
  <c r="Y399" i="37"/>
  <c r="Y400" i="37"/>
  <c r="Y423" i="37"/>
  <c r="Y407" i="37"/>
  <c r="Y415" i="37"/>
  <c r="Y419" i="37"/>
  <c r="Y420" i="37"/>
  <c r="Y411" i="37"/>
  <c r="Y412" i="37"/>
  <c r="Y403" i="37"/>
  <c r="Y427" i="37"/>
  <c r="Y428" i="37"/>
  <c r="Z396" i="37"/>
  <c r="Y397" i="37"/>
  <c r="X425" i="37"/>
  <c r="X330" i="37"/>
  <c r="X331" i="37"/>
  <c r="X549" i="37"/>
  <c r="X259" i="37"/>
  <c r="Y503" i="37"/>
  <c r="Y504" i="37"/>
  <c r="Y499" i="37"/>
  <c r="Y495" i="37"/>
  <c r="Y493" i="37"/>
  <c r="Y123" i="37"/>
  <c r="Y119" i="37"/>
  <c r="Y120" i="37"/>
  <c r="Y139" i="37"/>
  <c r="Y131" i="37"/>
  <c r="Y132" i="37"/>
  <c r="Y127" i="37"/>
  <c r="Y135" i="37"/>
  <c r="Y557" i="37"/>
  <c r="Y575" i="37"/>
  <c r="Y576" i="37"/>
  <c r="Y563" i="37"/>
  <c r="Y571" i="37"/>
  <c r="Y567" i="37"/>
  <c r="Y568" i="37"/>
  <c r="Y559" i="37"/>
  <c r="X195" i="37"/>
  <c r="X428" i="37"/>
  <c r="X429" i="37"/>
  <c r="X673" i="37"/>
  <c r="X323" i="37"/>
  <c r="X283" i="37"/>
  <c r="X227" i="37"/>
  <c r="Y581" i="37"/>
  <c r="Y599" i="37"/>
  <c r="Y595" i="37"/>
  <c r="Y587" i="37"/>
  <c r="Y591" i="37"/>
  <c r="Y592" i="37"/>
  <c r="Y583" i="37"/>
  <c r="Y203" i="37"/>
  <c r="Y205" i="37"/>
  <c r="Y206" i="37"/>
  <c r="Y229" i="37"/>
  <c r="Y221" i="37"/>
  <c r="Y209" i="37"/>
  <c r="Y225" i="37"/>
  <c r="Y226" i="37"/>
  <c r="Y217" i="37"/>
  <c r="Y218" i="37"/>
  <c r="Y213" i="37"/>
  <c r="X601" i="37"/>
  <c r="X577" i="37"/>
  <c r="Y717" i="37"/>
  <c r="Y731" i="37"/>
  <c r="Y732" i="37"/>
  <c r="Y723" i="37"/>
  <c r="Y727" i="37"/>
  <c r="Y739" i="37"/>
  <c r="Z716" i="37"/>
  <c r="Y735" i="37"/>
  <c r="Y719" i="37"/>
  <c r="Y720" i="37"/>
  <c r="AA69" i="37"/>
  <c r="X137" i="37"/>
  <c r="X294" i="37"/>
  <c r="X295" i="37"/>
  <c r="X653" i="37"/>
  <c r="X175" i="37"/>
  <c r="X709" i="37"/>
  <c r="X129" i="37"/>
  <c r="X303" i="37"/>
  <c r="X112" i="37"/>
  <c r="X113" i="37"/>
  <c r="X569" i="37"/>
  <c r="Y235" i="37"/>
  <c r="Y261" i="37"/>
  <c r="Y241" i="37"/>
  <c r="Y237" i="37"/>
  <c r="Y238" i="37"/>
  <c r="Y245" i="37"/>
  <c r="Y253" i="37"/>
  <c r="Z234" i="37"/>
  <c r="Y257" i="37"/>
  <c r="Y258" i="37"/>
  <c r="Y249" i="37"/>
  <c r="Y250" i="37"/>
  <c r="X291" i="37"/>
  <c r="Y539" i="37"/>
  <c r="Y547" i="37"/>
  <c r="Y548" i="37"/>
  <c r="Y543" i="37"/>
  <c r="Y551" i="37"/>
  <c r="Y533" i="37"/>
  <c r="Y535" i="37"/>
  <c r="Y536" i="37"/>
  <c r="X737" i="37"/>
  <c r="X230" i="37"/>
  <c r="X231" i="37"/>
  <c r="Y95" i="37"/>
  <c r="Y91" i="37"/>
  <c r="Y92" i="37"/>
  <c r="Y107" i="37"/>
  <c r="Y103" i="37"/>
  <c r="Y104" i="37"/>
  <c r="Y99" i="37"/>
  <c r="Y111" i="37"/>
  <c r="Y273" i="37"/>
  <c r="Y293" i="37"/>
  <c r="Y281" i="37"/>
  <c r="Y282" i="37"/>
  <c r="Y285" i="37"/>
  <c r="Y277" i="37"/>
  <c r="Y269" i="37"/>
  <c r="Y270" i="37"/>
  <c r="Y289" i="37"/>
  <c r="Y290" i="37"/>
  <c r="AA84" i="37"/>
  <c r="AA85" i="37"/>
  <c r="X681" i="37"/>
  <c r="X552" i="37"/>
  <c r="X553" i="37"/>
  <c r="X740" i="37"/>
  <c r="X741" i="37"/>
  <c r="X207" i="37"/>
  <c r="Y689" i="37"/>
  <c r="Y299" i="37"/>
  <c r="Z298" i="37"/>
  <c r="Y267" i="37"/>
  <c r="Z266" i="37"/>
  <c r="Y117" i="37"/>
  <c r="Z116" i="37"/>
  <c r="Y89" i="37"/>
  <c r="Z88" i="37"/>
  <c r="Y713" i="37"/>
  <c r="C713" i="37"/>
  <c r="Y505" i="37"/>
  <c r="C505" i="37"/>
  <c r="Y199" i="37"/>
  <c r="C199" i="37"/>
  <c r="Y251" i="37"/>
  <c r="Y239" i="37"/>
  <c r="Y577" i="37"/>
  <c r="Y413" i="37"/>
  <c r="Y323" i="37"/>
  <c r="Y709" i="37"/>
  <c r="Y537" i="37"/>
  <c r="Y645" i="37"/>
  <c r="Y271" i="37"/>
  <c r="Y207" i="37"/>
  <c r="AB69" i="37"/>
  <c r="Y93" i="37"/>
  <c r="Y653" i="37"/>
  <c r="AC83" i="37"/>
  <c r="AC79" i="37"/>
  <c r="AC75" i="37"/>
  <c r="AC71" i="37"/>
  <c r="AC72" i="37"/>
  <c r="AC67" i="37"/>
  <c r="AC68" i="37"/>
  <c r="AC63" i="37"/>
  <c r="AC64" i="37"/>
  <c r="AC61" i="37"/>
  <c r="AD60" i="37"/>
  <c r="Y283" i="37"/>
  <c r="Y549" i="37"/>
  <c r="Z719" i="37"/>
  <c r="Z720" i="37"/>
  <c r="Z723" i="37"/>
  <c r="Z727" i="37"/>
  <c r="Z717" i="37"/>
  <c r="Z739" i="37"/>
  <c r="Z740" i="37"/>
  <c r="Z735" i="37"/>
  <c r="AA716" i="37"/>
  <c r="Z731" i="37"/>
  <c r="Z732" i="37"/>
  <c r="Y421" i="37"/>
  <c r="AB65" i="37"/>
  <c r="Y303" i="37"/>
  <c r="Y294" i="37"/>
  <c r="Y295" i="37"/>
  <c r="Y740" i="37"/>
  <c r="Y741" i="37"/>
  <c r="Y219" i="37"/>
  <c r="Y593" i="37"/>
  <c r="Y133" i="37"/>
  <c r="Y315" i="37"/>
  <c r="Y677" i="37"/>
  <c r="Z321" i="37"/>
  <c r="Z325" i="37"/>
  <c r="Z326" i="37"/>
  <c r="Z329" i="37"/>
  <c r="Z305" i="37"/>
  <c r="Z306" i="37"/>
  <c r="Z309" i="37"/>
  <c r="Z313" i="37"/>
  <c r="Z301" i="37"/>
  <c r="Z302" i="37"/>
  <c r="Z317" i="37"/>
  <c r="Z318" i="37"/>
  <c r="Y262" i="37"/>
  <c r="Y263" i="37"/>
  <c r="Y227" i="37"/>
  <c r="Y569" i="37"/>
  <c r="Y140" i="37"/>
  <c r="Y141" i="37"/>
  <c r="Y187" i="37"/>
  <c r="Z273" i="37"/>
  <c r="Z274" i="37"/>
  <c r="Z293" i="37"/>
  <c r="Z281" i="37"/>
  <c r="Z285" i="37"/>
  <c r="Z286" i="37"/>
  <c r="Z277" i="37"/>
  <c r="Z269" i="37"/>
  <c r="Z270" i="37"/>
  <c r="Z289" i="37"/>
  <c r="Z95" i="37"/>
  <c r="Z91" i="37"/>
  <c r="Z92" i="37"/>
  <c r="Z107" i="37"/>
  <c r="Z103" i="37"/>
  <c r="Z104" i="37"/>
  <c r="Z99" i="37"/>
  <c r="Z111" i="37"/>
  <c r="Z112" i="37"/>
  <c r="Y112" i="37"/>
  <c r="Y113" i="37"/>
  <c r="Y121" i="37"/>
  <c r="Y401" i="37"/>
  <c r="Y429" i="37"/>
  <c r="Y195" i="37"/>
  <c r="Y656" i="37"/>
  <c r="Y657" i="37"/>
  <c r="C657" i="37"/>
  <c r="Z661" i="37"/>
  <c r="AA660" i="37"/>
  <c r="Z667" i="37"/>
  <c r="Z679" i="37"/>
  <c r="Z675" i="37"/>
  <c r="Z676" i="37"/>
  <c r="Z663" i="37"/>
  <c r="Z664" i="37"/>
  <c r="Z671" i="37"/>
  <c r="Z683" i="37"/>
  <c r="Z684" i="37"/>
  <c r="Y291" i="37"/>
  <c r="Y259" i="37"/>
  <c r="Y733" i="37"/>
  <c r="Y600" i="37"/>
  <c r="Y601" i="37"/>
  <c r="Z415" i="37"/>
  <c r="Z419" i="37"/>
  <c r="Z420" i="37"/>
  <c r="Z411" i="37"/>
  <c r="Z412" i="37"/>
  <c r="Z403" i="37"/>
  <c r="Z427" i="37"/>
  <c r="Z428" i="37"/>
  <c r="Z423" i="37"/>
  <c r="Z407" i="37"/>
  <c r="AA396" i="37"/>
  <c r="Z399" i="37"/>
  <c r="Z400" i="37"/>
  <c r="Z397" i="37"/>
  <c r="AB81" i="37"/>
  <c r="Y701" i="37"/>
  <c r="Y105" i="37"/>
  <c r="AA234" i="37"/>
  <c r="Z241" i="37"/>
  <c r="Z242" i="37"/>
  <c r="Z245" i="37"/>
  <c r="Z237" i="37"/>
  <c r="Z238" i="37"/>
  <c r="Z253" i="37"/>
  <c r="Z254" i="37"/>
  <c r="Z235" i="37"/>
  <c r="Z257" i="37"/>
  <c r="Z249" i="37"/>
  <c r="Z261" i="37"/>
  <c r="Y721" i="37"/>
  <c r="Y230" i="37"/>
  <c r="Y231" i="37"/>
  <c r="C231" i="37"/>
  <c r="AB84" i="37"/>
  <c r="AB85" i="37"/>
  <c r="Y330" i="37"/>
  <c r="Y331" i="37"/>
  <c r="Y453" i="37"/>
  <c r="C453" i="37"/>
  <c r="Y175" i="37"/>
  <c r="Z139" i="37"/>
  <c r="Z131" i="37"/>
  <c r="Z132" i="37"/>
  <c r="Z127" i="37"/>
  <c r="Z135" i="37"/>
  <c r="Z123" i="37"/>
  <c r="Z119" i="37"/>
  <c r="Z120" i="37"/>
  <c r="Y552" i="37"/>
  <c r="Y553" i="37"/>
  <c r="Y665" i="37"/>
  <c r="Y685" i="37"/>
  <c r="AA298" i="37"/>
  <c r="Z299" i="37"/>
  <c r="Z267" i="37"/>
  <c r="AA266" i="37"/>
  <c r="Z117" i="37"/>
  <c r="AA116" i="37"/>
  <c r="Z89" i="37"/>
  <c r="AA88" i="37"/>
  <c r="Z413" i="37"/>
  <c r="Z113" i="37"/>
  <c r="AC65" i="37"/>
  <c r="Z677" i="37"/>
  <c r="Z121" i="37"/>
  <c r="Z271" i="37"/>
  <c r="Z307" i="37"/>
  <c r="Z741" i="37"/>
  <c r="Z721" i="37"/>
  <c r="AA293" i="37"/>
  <c r="AA281" i="37"/>
  <c r="AA285" i="37"/>
  <c r="AA286" i="37"/>
  <c r="AA277" i="37"/>
  <c r="AA269" i="37"/>
  <c r="AA270" i="37"/>
  <c r="AA289" i="37"/>
  <c r="AA273" i="37"/>
  <c r="AA274" i="37"/>
  <c r="Z243" i="37"/>
  <c r="Z429" i="37"/>
  <c r="Z401" i="37"/>
  <c r="Z421" i="37"/>
  <c r="Z330" i="37"/>
  <c r="Z331" i="37"/>
  <c r="Z262" i="37"/>
  <c r="Z263" i="37"/>
  <c r="AA245" i="37"/>
  <c r="AA253" i="37"/>
  <c r="AA254" i="37"/>
  <c r="AA257" i="37"/>
  <c r="AA249" i="37"/>
  <c r="AA261" i="37"/>
  <c r="AA241" i="37"/>
  <c r="AA242" i="37"/>
  <c r="AB234" i="37"/>
  <c r="AA237" i="37"/>
  <c r="AA238" i="37"/>
  <c r="AA235" i="37"/>
  <c r="AB660" i="37"/>
  <c r="AA667" i="37"/>
  <c r="AA668" i="37"/>
  <c r="AA679" i="37"/>
  <c r="AA680" i="37"/>
  <c r="AA675" i="37"/>
  <c r="AA683" i="37"/>
  <c r="AA684" i="37"/>
  <c r="AA671" i="37"/>
  <c r="AA661" i="37"/>
  <c r="AA663" i="37"/>
  <c r="AA664" i="37"/>
  <c r="Z287" i="37"/>
  <c r="Z327" i="37"/>
  <c r="AC69" i="37"/>
  <c r="AA415" i="37"/>
  <c r="AA416" i="37"/>
  <c r="AA419" i="37"/>
  <c r="AA411" i="37"/>
  <c r="AA403" i="37"/>
  <c r="AA404" i="37"/>
  <c r="AA427" i="37"/>
  <c r="AA423" i="37"/>
  <c r="AA424" i="37"/>
  <c r="AA407" i="37"/>
  <c r="AA397" i="37"/>
  <c r="AB396" i="37"/>
  <c r="AA399" i="37"/>
  <c r="AA400" i="37"/>
  <c r="Z665" i="37"/>
  <c r="Z685" i="37"/>
  <c r="Z105" i="37"/>
  <c r="AC73" i="37"/>
  <c r="Z133" i="37"/>
  <c r="Z294" i="37"/>
  <c r="Z295" i="37"/>
  <c r="Z319" i="37"/>
  <c r="Z733" i="37"/>
  <c r="AA139" i="37"/>
  <c r="AA140" i="37"/>
  <c r="AA131" i="37"/>
  <c r="AA127" i="37"/>
  <c r="AA135" i="37"/>
  <c r="AA136" i="37"/>
  <c r="AA123" i="37"/>
  <c r="AA124" i="37"/>
  <c r="AA119" i="37"/>
  <c r="AA120" i="37"/>
  <c r="AA329" i="37"/>
  <c r="AA325" i="37"/>
  <c r="AA326" i="37"/>
  <c r="AA309" i="37"/>
  <c r="AA313" i="37"/>
  <c r="AA301" i="37"/>
  <c r="AA302" i="37"/>
  <c r="AA321" i="37"/>
  <c r="AA317" i="37"/>
  <c r="AA318" i="37"/>
  <c r="AA305" i="37"/>
  <c r="AA306" i="37"/>
  <c r="Z239" i="37"/>
  <c r="Z93" i="37"/>
  <c r="Z275" i="37"/>
  <c r="Z303" i="37"/>
  <c r="AA719" i="37"/>
  <c r="AA720" i="37"/>
  <c r="AA723" i="37"/>
  <c r="AA724" i="37"/>
  <c r="AA727" i="37"/>
  <c r="AA739" i="37"/>
  <c r="AA735" i="37"/>
  <c r="AA736" i="37"/>
  <c r="AB716" i="37"/>
  <c r="AA731" i="37"/>
  <c r="AA717" i="37"/>
  <c r="AD83" i="37"/>
  <c r="AD84" i="37"/>
  <c r="AD79" i="37"/>
  <c r="AD75" i="37"/>
  <c r="AD71" i="37"/>
  <c r="AD72" i="37"/>
  <c r="AD67" i="37"/>
  <c r="AD68" i="37"/>
  <c r="AD61" i="37"/>
  <c r="AD63" i="37"/>
  <c r="AD64" i="37"/>
  <c r="AA107" i="37"/>
  <c r="AA108" i="37"/>
  <c r="AA103" i="37"/>
  <c r="AA99" i="37"/>
  <c r="AA111" i="37"/>
  <c r="AA112" i="37"/>
  <c r="AA95" i="37"/>
  <c r="AA96" i="37"/>
  <c r="AA91" i="37"/>
  <c r="AA92" i="37"/>
  <c r="Z140" i="37"/>
  <c r="Z141" i="37"/>
  <c r="Z255" i="37"/>
  <c r="AC84" i="37"/>
  <c r="AC85" i="37"/>
  <c r="AB298" i="37"/>
  <c r="AA299" i="37"/>
  <c r="AA267" i="37"/>
  <c r="AB266" i="37"/>
  <c r="AB116" i="37"/>
  <c r="AA117" i="37"/>
  <c r="AB88" i="37"/>
  <c r="AA89" i="37"/>
  <c r="AA141" i="37"/>
  <c r="AA113" i="37"/>
  <c r="AA721" i="37"/>
  <c r="AD85" i="37"/>
  <c r="C85" i="37"/>
  <c r="AA401" i="37"/>
  <c r="AA239" i="37"/>
  <c r="AA725" i="37"/>
  <c r="AA405" i="37"/>
  <c r="AA681" i="37"/>
  <c r="AA93" i="37"/>
  <c r="AD69" i="37"/>
  <c r="AB719" i="37"/>
  <c r="AB720" i="37"/>
  <c r="AB727" i="37"/>
  <c r="AB739" i="37"/>
  <c r="AB735" i="37"/>
  <c r="AB736" i="37"/>
  <c r="AB731" i="37"/>
  <c r="AB723" i="37"/>
  <c r="AB724" i="37"/>
  <c r="AB717" i="37"/>
  <c r="AC716" i="37"/>
  <c r="AA669" i="37"/>
  <c r="AA294" i="37"/>
  <c r="AA295" i="37"/>
  <c r="AB107" i="37"/>
  <c r="AB108" i="37"/>
  <c r="AB103" i="37"/>
  <c r="AB99" i="37"/>
  <c r="AB111" i="37"/>
  <c r="AB95" i="37"/>
  <c r="AB96" i="37"/>
  <c r="AB91" i="37"/>
  <c r="AB92" i="37"/>
  <c r="AA97" i="37"/>
  <c r="AD73" i="37"/>
  <c r="AA737" i="37"/>
  <c r="AA327" i="37"/>
  <c r="AB679" i="37"/>
  <c r="AB680" i="37"/>
  <c r="AB675" i="37"/>
  <c r="AB683" i="37"/>
  <c r="AB684" i="37"/>
  <c r="AB671" i="37"/>
  <c r="AB667" i="37"/>
  <c r="AB668" i="37"/>
  <c r="AB661" i="37"/>
  <c r="AB663" i="37"/>
  <c r="AB664" i="37"/>
  <c r="AC660" i="37"/>
  <c r="AB135" i="37"/>
  <c r="AB136" i="37"/>
  <c r="AB123" i="37"/>
  <c r="AB124" i="37"/>
  <c r="AB119" i="37"/>
  <c r="AB120" i="37"/>
  <c r="AB139" i="37"/>
  <c r="AB131" i="37"/>
  <c r="AB127" i="37"/>
  <c r="AA740" i="37"/>
  <c r="AA741" i="37"/>
  <c r="AA330" i="37"/>
  <c r="AA331" i="37"/>
  <c r="AB415" i="37"/>
  <c r="AB416" i="37"/>
  <c r="AB419" i="37"/>
  <c r="AB411" i="37"/>
  <c r="AB403" i="37"/>
  <c r="AB404" i="37"/>
  <c r="AB427" i="37"/>
  <c r="AB423" i="37"/>
  <c r="AB424" i="37"/>
  <c r="AB407" i="37"/>
  <c r="AB397" i="37"/>
  <c r="AB399" i="37"/>
  <c r="AB400" i="37"/>
  <c r="AA417" i="37"/>
  <c r="AA255" i="37"/>
  <c r="AA275" i="37"/>
  <c r="AA307" i="37"/>
  <c r="AA121" i="37"/>
  <c r="AA665" i="37"/>
  <c r="AA685" i="37"/>
  <c r="AB293" i="37"/>
  <c r="AB294" i="37"/>
  <c r="AB281" i="37"/>
  <c r="AB285" i="37"/>
  <c r="AB277" i="37"/>
  <c r="AB278" i="37"/>
  <c r="AB269" i="37"/>
  <c r="AB270" i="37"/>
  <c r="AB289" i="37"/>
  <c r="AB290" i="37"/>
  <c r="AB273" i="37"/>
  <c r="AB274" i="37"/>
  <c r="AA319" i="37"/>
  <c r="AA125" i="37"/>
  <c r="AA271" i="37"/>
  <c r="AA109" i="37"/>
  <c r="AA137" i="37"/>
  <c r="AA425" i="37"/>
  <c r="AB245" i="37"/>
  <c r="AB246" i="37"/>
  <c r="AB253" i="37"/>
  <c r="AB257" i="37"/>
  <c r="AB258" i="37"/>
  <c r="AB249" i="37"/>
  <c r="AB261" i="37"/>
  <c r="AB241" i="37"/>
  <c r="AB242" i="37"/>
  <c r="AB235" i="37"/>
  <c r="AC234" i="37"/>
  <c r="AB237" i="37"/>
  <c r="AB238" i="37"/>
  <c r="AA262" i="37"/>
  <c r="AA263" i="37"/>
  <c r="AB329" i="37"/>
  <c r="AB330" i="37"/>
  <c r="AB321" i="37"/>
  <c r="AB322" i="37"/>
  <c r="AB317" i="37"/>
  <c r="AB313" i="37"/>
  <c r="AB325" i="37"/>
  <c r="AB301" i="37"/>
  <c r="AB302" i="37"/>
  <c r="AB305" i="37"/>
  <c r="AB306" i="37"/>
  <c r="AB309" i="37"/>
  <c r="AB310" i="37"/>
  <c r="AD65" i="37"/>
  <c r="AA303" i="37"/>
  <c r="AA428" i="37"/>
  <c r="AA429" i="37"/>
  <c r="AA243" i="37"/>
  <c r="AA287" i="37"/>
  <c r="AC298" i="37"/>
  <c r="AB299" i="37"/>
  <c r="AB267" i="37"/>
  <c r="AC266" i="37"/>
  <c r="AC116" i="37"/>
  <c r="AB117" i="37"/>
  <c r="AB89" i="37"/>
  <c r="AC88" i="37"/>
  <c r="AB331" i="37"/>
  <c r="AB405" i="37"/>
  <c r="AB721" i="37"/>
  <c r="AB401" i="37"/>
  <c r="AB295" i="37"/>
  <c r="AB243" i="37"/>
  <c r="AB137" i="37"/>
  <c r="AB247" i="37"/>
  <c r="AB425" i="37"/>
  <c r="AB97" i="37"/>
  <c r="AB740" i="37"/>
  <c r="AB741" i="37"/>
  <c r="AC267" i="37"/>
  <c r="AC281" i="37"/>
  <c r="AC285" i="37"/>
  <c r="AC277" i="37"/>
  <c r="AC278" i="37"/>
  <c r="AC269" i="37"/>
  <c r="AC270" i="37"/>
  <c r="AC289" i="37"/>
  <c r="AC290" i="37"/>
  <c r="AC273" i="37"/>
  <c r="AC274" i="37"/>
  <c r="AD266" i="37"/>
  <c r="AC293" i="37"/>
  <c r="AC253" i="37"/>
  <c r="AC257" i="37"/>
  <c r="AC258" i="37"/>
  <c r="AC249" i="37"/>
  <c r="AC261" i="37"/>
  <c r="AC241" i="37"/>
  <c r="AC242" i="37"/>
  <c r="AC245" i="37"/>
  <c r="AC246" i="37"/>
  <c r="AC237" i="37"/>
  <c r="AC238" i="37"/>
  <c r="AC235" i="37"/>
  <c r="AB428" i="37"/>
  <c r="AB429" i="37"/>
  <c r="C429" i="37"/>
  <c r="AB681" i="37"/>
  <c r="AB112" i="37"/>
  <c r="AB113" i="37"/>
  <c r="AB239" i="37"/>
  <c r="AC667" i="37"/>
  <c r="AC668" i="37"/>
  <c r="AC683" i="37"/>
  <c r="AC684" i="37"/>
  <c r="AC671" i="37"/>
  <c r="AC675" i="37"/>
  <c r="AC679" i="37"/>
  <c r="AC680" i="37"/>
  <c r="AC661" i="37"/>
  <c r="AC663" i="37"/>
  <c r="AC664" i="37"/>
  <c r="AB323" i="37"/>
  <c r="AB275" i="37"/>
  <c r="AC727" i="37"/>
  <c r="AC728" i="37"/>
  <c r="AC739" i="37"/>
  <c r="AC740" i="37"/>
  <c r="AC735" i="37"/>
  <c r="AC731" i="37"/>
  <c r="AC723" i="37"/>
  <c r="AC724" i="37"/>
  <c r="AD716" i="37"/>
  <c r="AC719" i="37"/>
  <c r="AC720" i="37"/>
  <c r="AC717" i="37"/>
  <c r="AB262" i="37"/>
  <c r="AB263" i="37"/>
  <c r="AB291" i="37"/>
  <c r="AB665" i="37"/>
  <c r="AB685" i="37"/>
  <c r="AB109" i="37"/>
  <c r="AC135" i="37"/>
  <c r="AC123" i="37"/>
  <c r="AC124" i="37"/>
  <c r="AC119" i="37"/>
  <c r="AC120" i="37"/>
  <c r="AC139" i="37"/>
  <c r="AC131" i="37"/>
  <c r="AC127" i="37"/>
  <c r="AC128" i="37"/>
  <c r="AC103" i="37"/>
  <c r="AC99" i="37"/>
  <c r="AC100" i="37"/>
  <c r="AC111" i="37"/>
  <c r="AC112" i="37"/>
  <c r="AC95" i="37"/>
  <c r="AC96" i="37"/>
  <c r="AC91" i="37"/>
  <c r="AC92" i="37"/>
  <c r="AC107" i="37"/>
  <c r="AB311" i="37"/>
  <c r="AB271" i="37"/>
  <c r="AB417" i="37"/>
  <c r="AB140" i="37"/>
  <c r="AB141" i="37"/>
  <c r="AB669" i="37"/>
  <c r="AB725" i="37"/>
  <c r="AC329" i="37"/>
  <c r="AC330" i="37"/>
  <c r="AC321" i="37"/>
  <c r="AC322" i="37"/>
  <c r="AC325" i="37"/>
  <c r="AC313" i="37"/>
  <c r="AC301" i="37"/>
  <c r="AC302" i="37"/>
  <c r="AC317" i="37"/>
  <c r="AC305" i="37"/>
  <c r="AC306" i="37"/>
  <c r="AC309" i="37"/>
  <c r="AC310" i="37"/>
  <c r="AB307" i="37"/>
  <c r="AB259" i="37"/>
  <c r="AB279" i="37"/>
  <c r="AB121" i="37"/>
  <c r="AB303" i="37"/>
  <c r="AB125" i="37"/>
  <c r="AB93" i="37"/>
  <c r="AB737" i="37"/>
  <c r="AC299" i="37"/>
  <c r="AD116" i="37"/>
  <c r="AC117" i="37"/>
  <c r="AD88" i="37"/>
  <c r="AC89" i="37"/>
  <c r="AC113" i="37"/>
  <c r="AC725" i="37"/>
  <c r="AC729" i="37"/>
  <c r="AC271" i="37"/>
  <c r="AC331" i="37"/>
  <c r="C331" i="37"/>
  <c r="AC247" i="37"/>
  <c r="AC323" i="37"/>
  <c r="AC259" i="37"/>
  <c r="AC279" i="37"/>
  <c r="AC129" i="37"/>
  <c r="AC669" i="37"/>
  <c r="AD89" i="37"/>
  <c r="AD99" i="37"/>
  <c r="AD100" i="37"/>
  <c r="AD111" i="37"/>
  <c r="AD95" i="37"/>
  <c r="AD96" i="37"/>
  <c r="AD91" i="37"/>
  <c r="AD92" i="37"/>
  <c r="AE88" i="37"/>
  <c r="AD107" i="37"/>
  <c r="AD103" i="37"/>
  <c r="AC311" i="37"/>
  <c r="AC239" i="37"/>
  <c r="AC307" i="37"/>
  <c r="AC140" i="37"/>
  <c r="AC141" i="37"/>
  <c r="AC294" i="37"/>
  <c r="AC295" i="37"/>
  <c r="AD739" i="37"/>
  <c r="AD735" i="37"/>
  <c r="AD731" i="37"/>
  <c r="AD723" i="37"/>
  <c r="AD724" i="37"/>
  <c r="AD727" i="37"/>
  <c r="AD728" i="37"/>
  <c r="AD717" i="37"/>
  <c r="AE716" i="37"/>
  <c r="AD719" i="37"/>
  <c r="AD720" i="37"/>
  <c r="AC93" i="37"/>
  <c r="AC121" i="37"/>
  <c r="AC665" i="37"/>
  <c r="AC685" i="37"/>
  <c r="C685" i="37"/>
  <c r="AE266" i="37"/>
  <c r="AD285" i="37"/>
  <c r="AD277" i="37"/>
  <c r="AD278" i="37"/>
  <c r="AD289" i="37"/>
  <c r="AD273" i="37"/>
  <c r="AD274" i="37"/>
  <c r="AD267" i="37"/>
  <c r="AD293" i="37"/>
  <c r="AD281" i="37"/>
  <c r="AD282" i="37"/>
  <c r="AD269" i="37"/>
  <c r="AD270" i="37"/>
  <c r="AD123" i="37"/>
  <c r="AD124" i="37"/>
  <c r="AD119" i="37"/>
  <c r="AD120" i="37"/>
  <c r="AD139" i="37"/>
  <c r="AD131" i="37"/>
  <c r="AD127" i="37"/>
  <c r="AD128" i="37"/>
  <c r="AD135" i="37"/>
  <c r="AC303" i="37"/>
  <c r="AC97" i="37"/>
  <c r="AC125" i="37"/>
  <c r="AC681" i="37"/>
  <c r="AC243" i="37"/>
  <c r="AC275" i="37"/>
  <c r="AC741" i="37"/>
  <c r="AC721" i="37"/>
  <c r="AC262" i="37"/>
  <c r="AC263" i="37"/>
  <c r="C263" i="37"/>
  <c r="AC291" i="37"/>
  <c r="AC101" i="37"/>
  <c r="AE116" i="37"/>
  <c r="AD117" i="37"/>
  <c r="AD97" i="37"/>
  <c r="AD729" i="37"/>
  <c r="AD279" i="37"/>
  <c r="AD121" i="37"/>
  <c r="AE739" i="37"/>
  <c r="AE735" i="37"/>
  <c r="AE731" i="37"/>
  <c r="AE732" i="37"/>
  <c r="AE723" i="37"/>
  <c r="AE724" i="37"/>
  <c r="AE727" i="37"/>
  <c r="AE728" i="37"/>
  <c r="AE717" i="37"/>
  <c r="AF716" i="37"/>
  <c r="AE719" i="37"/>
  <c r="AE720" i="37"/>
  <c r="AD112" i="37"/>
  <c r="AD113" i="37"/>
  <c r="AE123" i="37"/>
  <c r="AE124" i="37"/>
  <c r="AE119" i="37"/>
  <c r="AE120" i="37"/>
  <c r="AE139" i="37"/>
  <c r="AE140" i="37"/>
  <c r="AE131" i="37"/>
  <c r="AE132" i="37"/>
  <c r="AE127" i="37"/>
  <c r="AE128" i="37"/>
  <c r="AE135" i="37"/>
  <c r="AD721" i="37"/>
  <c r="AD101" i="37"/>
  <c r="AE289" i="37"/>
  <c r="AE273" i="37"/>
  <c r="AE274" i="37"/>
  <c r="AE293" i="37"/>
  <c r="AE281" i="37"/>
  <c r="AE282" i="37"/>
  <c r="AE285" i="37"/>
  <c r="AE277" i="37"/>
  <c r="AE278" i="37"/>
  <c r="AE267" i="37"/>
  <c r="AF266" i="37"/>
  <c r="AE269" i="37"/>
  <c r="AE270" i="37"/>
  <c r="AD140" i="37"/>
  <c r="AD141" i="37"/>
  <c r="AD125" i="37"/>
  <c r="AD283" i="37"/>
  <c r="AD725" i="37"/>
  <c r="AD294" i="37"/>
  <c r="AD295" i="37"/>
  <c r="AD271" i="37"/>
  <c r="AE111" i="37"/>
  <c r="AE89" i="37"/>
  <c r="AE95" i="37"/>
  <c r="AE96" i="37"/>
  <c r="AE91" i="37"/>
  <c r="AE92" i="37"/>
  <c r="AF88" i="37"/>
  <c r="AE107" i="37"/>
  <c r="AE103" i="37"/>
  <c r="AE104" i="37"/>
  <c r="AE99" i="37"/>
  <c r="AE100" i="37"/>
  <c r="AD129" i="37"/>
  <c r="AD275" i="37"/>
  <c r="AD740" i="37"/>
  <c r="AD741" i="37"/>
  <c r="AD93" i="37"/>
  <c r="AF116" i="37"/>
  <c r="AE117" i="37"/>
  <c r="AE141" i="37"/>
  <c r="AE279" i="37"/>
  <c r="AE721" i="37"/>
  <c r="AE101" i="37"/>
  <c r="AE283" i="37"/>
  <c r="AE133" i="37"/>
  <c r="AE275" i="37"/>
  <c r="AE93" i="37"/>
  <c r="AE97" i="37"/>
  <c r="AE105" i="37"/>
  <c r="AE129" i="37"/>
  <c r="AF731" i="37"/>
  <c r="AF732" i="37"/>
  <c r="AF723" i="37"/>
  <c r="AF724" i="37"/>
  <c r="AF727" i="37"/>
  <c r="AF728" i="37"/>
  <c r="AF735" i="37"/>
  <c r="AF739" i="37"/>
  <c r="AF719" i="37"/>
  <c r="AF720" i="37"/>
  <c r="AF717" i="37"/>
  <c r="AG716" i="37"/>
  <c r="AF95" i="37"/>
  <c r="AF96" i="37"/>
  <c r="AF91" i="37"/>
  <c r="AF92" i="37"/>
  <c r="AG88" i="37"/>
  <c r="AF107" i="37"/>
  <c r="AF103" i="37"/>
  <c r="AF104" i="37"/>
  <c r="AF99" i="37"/>
  <c r="AF100" i="37"/>
  <c r="AF111" i="37"/>
  <c r="AF89" i="37"/>
  <c r="AE294" i="37"/>
  <c r="AE295" i="37"/>
  <c r="AE729" i="37"/>
  <c r="AE121" i="37"/>
  <c r="AE725" i="37"/>
  <c r="AE125" i="37"/>
  <c r="AE733" i="37"/>
  <c r="AF289" i="37"/>
  <c r="AF273" i="37"/>
  <c r="AF274" i="37"/>
  <c r="AF293" i="37"/>
  <c r="AF281" i="37"/>
  <c r="AF282" i="37"/>
  <c r="AF285" i="37"/>
  <c r="AF286" i="37"/>
  <c r="AF277" i="37"/>
  <c r="AF278" i="37"/>
  <c r="AF269" i="37"/>
  <c r="AF270" i="37"/>
  <c r="AF267" i="37"/>
  <c r="AG266" i="37"/>
  <c r="AE112" i="37"/>
  <c r="AE113" i="37"/>
  <c r="AE271" i="37"/>
  <c r="AE740" i="37"/>
  <c r="AE741" i="37"/>
  <c r="AF123" i="37"/>
  <c r="AF124" i="37"/>
  <c r="AF119" i="37"/>
  <c r="AF120" i="37"/>
  <c r="AF139" i="37"/>
  <c r="AF140" i="37"/>
  <c r="AF131" i="37"/>
  <c r="AF132" i="37"/>
  <c r="AF127" i="37"/>
  <c r="AF128" i="37"/>
  <c r="AF135" i="37"/>
  <c r="AF117" i="37"/>
  <c r="AG116" i="37"/>
  <c r="AF141" i="37"/>
  <c r="AF283" i="37"/>
  <c r="AF101" i="37"/>
  <c r="AF279" i="37"/>
  <c r="AF105" i="37"/>
  <c r="AF740" i="37"/>
  <c r="AF741" i="37"/>
  <c r="AF287" i="37"/>
  <c r="AG95" i="37"/>
  <c r="AG96" i="37"/>
  <c r="AG91" i="37"/>
  <c r="AG92" i="37"/>
  <c r="AH88" i="37"/>
  <c r="AG107" i="37"/>
  <c r="AG108" i="37"/>
  <c r="AG103" i="37"/>
  <c r="AG104" i="37"/>
  <c r="AG99" i="37"/>
  <c r="AG100" i="37"/>
  <c r="AG111" i="37"/>
  <c r="AG89" i="37"/>
  <c r="AF729" i="37"/>
  <c r="AF133" i="37"/>
  <c r="AF294" i="37"/>
  <c r="AF295" i="37"/>
  <c r="AF93" i="37"/>
  <c r="AF725" i="37"/>
  <c r="AF129" i="37"/>
  <c r="AF275" i="37"/>
  <c r="AF97" i="37"/>
  <c r="AF733" i="37"/>
  <c r="AF121" i="37"/>
  <c r="AG273" i="37"/>
  <c r="AG274" i="37"/>
  <c r="AG293" i="37"/>
  <c r="AG281" i="37"/>
  <c r="AG282" i="37"/>
  <c r="AG285" i="37"/>
  <c r="AG286" i="37"/>
  <c r="AG277" i="37"/>
  <c r="AG278" i="37"/>
  <c r="AG289" i="37"/>
  <c r="AG269" i="37"/>
  <c r="AG270" i="37"/>
  <c r="AG267" i="37"/>
  <c r="AH266" i="37"/>
  <c r="AG731" i="37"/>
  <c r="AG732" i="37"/>
  <c r="AG723" i="37"/>
  <c r="AG724" i="37"/>
  <c r="AG727" i="37"/>
  <c r="AG728" i="37"/>
  <c r="AG735" i="37"/>
  <c r="AG736" i="37"/>
  <c r="AG739" i="37"/>
  <c r="AG717" i="37"/>
  <c r="AH716" i="37"/>
  <c r="AG719" i="37"/>
  <c r="AG720" i="37"/>
  <c r="AG123" i="37"/>
  <c r="AG124" i="37"/>
  <c r="AG119" i="37"/>
  <c r="AG120" i="37"/>
  <c r="AG139" i="37"/>
  <c r="AG131" i="37"/>
  <c r="AG132" i="37"/>
  <c r="AG127" i="37"/>
  <c r="AG128" i="37"/>
  <c r="AG135" i="37"/>
  <c r="AG136" i="37"/>
  <c r="AF125" i="37"/>
  <c r="AF271" i="37"/>
  <c r="AF112" i="37"/>
  <c r="AF113" i="37"/>
  <c r="AF721" i="37"/>
  <c r="AG117" i="37"/>
  <c r="AH116" i="37"/>
  <c r="AG271" i="37"/>
  <c r="AG101" i="37"/>
  <c r="AG137" i="37"/>
  <c r="AG105" i="37"/>
  <c r="AG109" i="37"/>
  <c r="AG275" i="37"/>
  <c r="AG125" i="37"/>
  <c r="AG733" i="37"/>
  <c r="AG283" i="37"/>
  <c r="AG121" i="37"/>
  <c r="AG725" i="37"/>
  <c r="AG287" i="37"/>
  <c r="AG112" i="37"/>
  <c r="AG113" i="37"/>
  <c r="AH273" i="37"/>
  <c r="AH274" i="37"/>
  <c r="AH293" i="37"/>
  <c r="AH281" i="37"/>
  <c r="AH282" i="37"/>
  <c r="AH285" i="37"/>
  <c r="AH286" i="37"/>
  <c r="AH277" i="37"/>
  <c r="AH278" i="37"/>
  <c r="AH289" i="37"/>
  <c r="AH290" i="37"/>
  <c r="AH269" i="37"/>
  <c r="AH270" i="37"/>
  <c r="AH267" i="37"/>
  <c r="AI266" i="37"/>
  <c r="AG294" i="37"/>
  <c r="AG295" i="37"/>
  <c r="AG721" i="37"/>
  <c r="AH95" i="37"/>
  <c r="AH96" i="37"/>
  <c r="AH91" i="37"/>
  <c r="AH92" i="37"/>
  <c r="AH107" i="37"/>
  <c r="AH108" i="37"/>
  <c r="AH103" i="37"/>
  <c r="AH104" i="37"/>
  <c r="AH99" i="37"/>
  <c r="AH100" i="37"/>
  <c r="AH111" i="37"/>
  <c r="AH112" i="37"/>
  <c r="AH89" i="37"/>
  <c r="AH723" i="37"/>
  <c r="AH724" i="37"/>
  <c r="AH727" i="37"/>
  <c r="AH728" i="37"/>
  <c r="AH739" i="37"/>
  <c r="AH740" i="37"/>
  <c r="AH735" i="37"/>
  <c r="AH736" i="37"/>
  <c r="AH731" i="37"/>
  <c r="AH732" i="37"/>
  <c r="AI716" i="37"/>
  <c r="AH719" i="37"/>
  <c r="AH720" i="37"/>
  <c r="AH717" i="37"/>
  <c r="AH117" i="37"/>
  <c r="AI116" i="37"/>
  <c r="AH139" i="37"/>
  <c r="AH131" i="37"/>
  <c r="AH132" i="37"/>
  <c r="AH127" i="37"/>
  <c r="AH128" i="37"/>
  <c r="AH135" i="37"/>
  <c r="AH136" i="37"/>
  <c r="AH123" i="37"/>
  <c r="AH124" i="37"/>
  <c r="AH119" i="37"/>
  <c r="AH120" i="37"/>
  <c r="AG129" i="37"/>
  <c r="AG740" i="37"/>
  <c r="AG741" i="37"/>
  <c r="AG93" i="37"/>
  <c r="AG737" i="37"/>
  <c r="AG97" i="37"/>
  <c r="AG133" i="37"/>
  <c r="AG140" i="37"/>
  <c r="AG141" i="37"/>
  <c r="AG729" i="37"/>
  <c r="AG279" i="37"/>
  <c r="P55" i="13"/>
  <c r="O55" i="13"/>
  <c r="N55" i="13"/>
  <c r="M55" i="13"/>
  <c r="L55" i="13"/>
  <c r="K55" i="13"/>
  <c r="J55" i="13"/>
  <c r="I55" i="13"/>
  <c r="H55" i="13"/>
  <c r="G55" i="13"/>
  <c r="P54" i="13"/>
  <c r="O54" i="13"/>
  <c r="N54" i="13"/>
  <c r="M54" i="13"/>
  <c r="L54" i="13"/>
  <c r="K54" i="13"/>
  <c r="J54" i="13"/>
  <c r="I54" i="13"/>
  <c r="H54" i="13"/>
  <c r="G54" i="13"/>
  <c r="F55" i="13"/>
  <c r="F54" i="13"/>
  <c r="P41" i="13"/>
  <c r="O41" i="13"/>
  <c r="N41" i="13"/>
  <c r="M41" i="13"/>
  <c r="L41" i="13"/>
  <c r="K41" i="13"/>
  <c r="J41" i="13"/>
  <c r="I41" i="13"/>
  <c r="H41" i="13"/>
  <c r="G41" i="13"/>
  <c r="F41" i="13"/>
  <c r="P40" i="13"/>
  <c r="O40" i="13"/>
  <c r="N40" i="13"/>
  <c r="M40" i="13"/>
  <c r="L40" i="13"/>
  <c r="K40" i="13"/>
  <c r="J40" i="13"/>
  <c r="I40" i="13"/>
  <c r="H40" i="13"/>
  <c r="G40" i="13"/>
  <c r="F40" i="13"/>
  <c r="P39" i="13"/>
  <c r="O39" i="13"/>
  <c r="N39" i="13"/>
  <c r="M39" i="13"/>
  <c r="L39" i="13"/>
  <c r="K39" i="13"/>
  <c r="J39" i="13"/>
  <c r="I39" i="13"/>
  <c r="H39" i="13"/>
  <c r="G39" i="13"/>
  <c r="F39" i="13"/>
  <c r="P38" i="13"/>
  <c r="O38" i="13"/>
  <c r="N38" i="13"/>
  <c r="M38" i="13"/>
  <c r="L38" i="13"/>
  <c r="K38" i="13"/>
  <c r="J38" i="13"/>
  <c r="I38" i="13"/>
  <c r="H38" i="13"/>
  <c r="G38" i="13"/>
  <c r="F38" i="13"/>
  <c r="P37" i="13"/>
  <c r="O37" i="13"/>
  <c r="N37" i="13"/>
  <c r="M37" i="13"/>
  <c r="L37" i="13"/>
  <c r="K37" i="13"/>
  <c r="J37" i="13"/>
  <c r="I37" i="13"/>
  <c r="H37" i="13"/>
  <c r="G37" i="13"/>
  <c r="F37" i="13"/>
  <c r="P36" i="13"/>
  <c r="O36" i="13"/>
  <c r="N36" i="13"/>
  <c r="M36" i="13"/>
  <c r="L36" i="13"/>
  <c r="K36" i="13"/>
  <c r="J36" i="13"/>
  <c r="I36" i="13"/>
  <c r="H36" i="13"/>
  <c r="G36" i="13"/>
  <c r="F36" i="13"/>
  <c r="P35" i="13"/>
  <c r="O35" i="13"/>
  <c r="N35" i="13"/>
  <c r="M35" i="13"/>
  <c r="L35" i="13"/>
  <c r="K35" i="13"/>
  <c r="J35" i="13"/>
  <c r="I35" i="13"/>
  <c r="H35" i="13"/>
  <c r="G35" i="13"/>
  <c r="F35" i="13"/>
  <c r="P81" i="13"/>
  <c r="O81" i="13"/>
  <c r="N81" i="13"/>
  <c r="M81" i="13"/>
  <c r="L81" i="13"/>
  <c r="K81" i="13"/>
  <c r="J81" i="13"/>
  <c r="I81" i="13"/>
  <c r="H81" i="13"/>
  <c r="G81" i="13"/>
  <c r="P80" i="13"/>
  <c r="O80" i="13"/>
  <c r="N80" i="13"/>
  <c r="M80" i="13"/>
  <c r="L80" i="13"/>
  <c r="K80" i="13"/>
  <c r="J80" i="13"/>
  <c r="I80" i="13"/>
  <c r="H80" i="13"/>
  <c r="G80" i="13"/>
  <c r="P79" i="13"/>
  <c r="O79" i="13"/>
  <c r="N79" i="13"/>
  <c r="M79" i="13"/>
  <c r="L79" i="13"/>
  <c r="K79" i="13"/>
  <c r="J79" i="13"/>
  <c r="I79" i="13"/>
  <c r="H79" i="13"/>
  <c r="G79" i="13"/>
  <c r="F81" i="13"/>
  <c r="F80" i="13"/>
  <c r="F79" i="13"/>
  <c r="O47" i="36"/>
  <c r="N47" i="36"/>
  <c r="P44" i="36"/>
  <c r="P45" i="36"/>
  <c r="O44" i="36"/>
  <c r="O45" i="36"/>
  <c r="N44" i="36"/>
  <c r="N45" i="36"/>
  <c r="M44" i="36"/>
  <c r="M45" i="36"/>
  <c r="L44" i="36"/>
  <c r="L45" i="36"/>
  <c r="K44" i="36"/>
  <c r="K45" i="36"/>
  <c r="J44" i="36"/>
  <c r="I44" i="36"/>
  <c r="H44" i="36"/>
  <c r="G44" i="36"/>
  <c r="G45" i="36"/>
  <c r="F44" i="36"/>
  <c r="F42" i="36"/>
  <c r="F41" i="36"/>
  <c r="G42" i="36"/>
  <c r="G41" i="36"/>
  <c r="H42" i="36"/>
  <c r="H41" i="36"/>
  <c r="I41" i="36"/>
  <c r="J41" i="36"/>
  <c r="J45" i="36"/>
  <c r="AH125" i="37"/>
  <c r="I45" i="36"/>
  <c r="O50" i="36"/>
  <c r="P50" i="36"/>
  <c r="L50" i="36"/>
  <c r="F45" i="36"/>
  <c r="K50" i="36"/>
  <c r="J50" i="36"/>
  <c r="H45" i="36"/>
  <c r="M50" i="36"/>
  <c r="G50" i="36"/>
  <c r="N50" i="36"/>
  <c r="I50" i="36"/>
  <c r="P47" i="36"/>
  <c r="AH137" i="37"/>
  <c r="AH271" i="37"/>
  <c r="AH133" i="37"/>
  <c r="AH129" i="37"/>
  <c r="AH283" i="37"/>
  <c r="AH721" i="37"/>
  <c r="AH113" i="37"/>
  <c r="C113" i="37"/>
  <c r="AH294" i="37"/>
  <c r="AH295" i="37"/>
  <c r="AI723" i="37"/>
  <c r="AI724" i="37"/>
  <c r="AI727" i="37"/>
  <c r="AI728" i="37"/>
  <c r="AI739" i="37"/>
  <c r="AI735" i="37"/>
  <c r="AI736" i="37"/>
  <c r="AI731" i="37"/>
  <c r="AI732" i="37"/>
  <c r="AI719" i="37"/>
  <c r="AI720" i="37"/>
  <c r="AI717" i="37"/>
  <c r="AH101" i="37"/>
  <c r="AI293" i="37"/>
  <c r="AI281" i="37"/>
  <c r="AI282" i="37"/>
  <c r="AI285" i="37"/>
  <c r="AI286" i="37"/>
  <c r="AI277" i="37"/>
  <c r="AI278" i="37"/>
  <c r="AI289" i="37"/>
  <c r="AI290" i="37"/>
  <c r="AI273" i="37"/>
  <c r="AI274" i="37"/>
  <c r="AI269" i="37"/>
  <c r="AI270" i="37"/>
  <c r="AI267" i="37"/>
  <c r="AH275" i="37"/>
  <c r="AH733" i="37"/>
  <c r="AH105" i="37"/>
  <c r="AH737" i="37"/>
  <c r="AH109" i="37"/>
  <c r="AH140" i="37"/>
  <c r="AH141" i="37"/>
  <c r="AH741" i="37"/>
  <c r="AH93" i="37"/>
  <c r="AH291" i="37"/>
  <c r="AJ116" i="37"/>
  <c r="AI139" i="37"/>
  <c r="AI140" i="37"/>
  <c r="AI131" i="37"/>
  <c r="AI132" i="37"/>
  <c r="AI127" i="37"/>
  <c r="AI128" i="37"/>
  <c r="AI135" i="37"/>
  <c r="AI136" i="37"/>
  <c r="AI119" i="37"/>
  <c r="AI120" i="37"/>
  <c r="AI123" i="37"/>
  <c r="AI124" i="37"/>
  <c r="AI117" i="37"/>
  <c r="AH729" i="37"/>
  <c r="AH97" i="37"/>
  <c r="AH279" i="37"/>
  <c r="AH121" i="37"/>
  <c r="AH725" i="37"/>
  <c r="AH287" i="37"/>
  <c r="F30" i="36"/>
  <c r="E66" i="16"/>
  <c r="F29" i="36"/>
  <c r="E59" i="16"/>
  <c r="G29" i="36"/>
  <c r="F59" i="16"/>
  <c r="G22" i="36"/>
  <c r="F22" i="36"/>
  <c r="G30" i="36"/>
  <c r="F66" i="16"/>
  <c r="H30" i="36"/>
  <c r="G66" i="16"/>
  <c r="H29" i="36"/>
  <c r="G59" i="16"/>
  <c r="N15" i="36"/>
  <c r="M15" i="36"/>
  <c r="L15" i="36"/>
  <c r="K15" i="36"/>
  <c r="J15" i="36"/>
  <c r="O15" i="36"/>
  <c r="I30" i="36"/>
  <c r="H66" i="16"/>
  <c r="I29" i="36"/>
  <c r="H59" i="16"/>
  <c r="J30" i="36"/>
  <c r="I66" i="16"/>
  <c r="J29" i="36"/>
  <c r="I59" i="16"/>
  <c r="K30" i="36"/>
  <c r="J66" i="16"/>
  <c r="K29" i="36"/>
  <c r="J59" i="16"/>
  <c r="O91" i="16"/>
  <c r="O103" i="16"/>
  <c r="N91" i="16"/>
  <c r="N103" i="16"/>
  <c r="M91" i="16"/>
  <c r="M103" i="16"/>
  <c r="L91" i="16"/>
  <c r="L103" i="16"/>
  <c r="K91" i="16"/>
  <c r="K103" i="16"/>
  <c r="J91" i="16"/>
  <c r="J103" i="16"/>
  <c r="I91" i="16"/>
  <c r="I103" i="16"/>
  <c r="H91" i="16"/>
  <c r="H102" i="16"/>
  <c r="G91" i="16"/>
  <c r="G103" i="16"/>
  <c r="F91" i="16"/>
  <c r="E91" i="16"/>
  <c r="O93" i="16"/>
  <c r="O100" i="16"/>
  <c r="N93" i="16"/>
  <c r="N100" i="16"/>
  <c r="M93" i="16"/>
  <c r="M101" i="16"/>
  <c r="L93" i="16"/>
  <c r="L101" i="16"/>
  <c r="K93" i="16"/>
  <c r="K101" i="16"/>
  <c r="J93" i="16"/>
  <c r="J100" i="16"/>
  <c r="I93" i="16"/>
  <c r="I101" i="16"/>
  <c r="H93" i="16"/>
  <c r="H101" i="16"/>
  <c r="G93" i="16"/>
  <c r="G100" i="16"/>
  <c r="F93" i="16"/>
  <c r="F100" i="16"/>
  <c r="E93" i="16"/>
  <c r="E100" i="16"/>
  <c r="I62" i="16"/>
  <c r="J68" i="9"/>
  <c r="I63" i="16"/>
  <c r="E63" i="16"/>
  <c r="F69" i="9"/>
  <c r="E62" i="16"/>
  <c r="F68" i="9"/>
  <c r="I69" i="16"/>
  <c r="J70" i="9"/>
  <c r="I70" i="16"/>
  <c r="J71" i="9"/>
  <c r="H63" i="16"/>
  <c r="I69" i="9"/>
  <c r="I82" i="9"/>
  <c r="I89" i="9"/>
  <c r="G10" i="12"/>
  <c r="G29" i="12"/>
  <c r="H62" i="16"/>
  <c r="I68" i="9"/>
  <c r="G62" i="16"/>
  <c r="H68" i="9"/>
  <c r="G63" i="16"/>
  <c r="H69" i="9"/>
  <c r="E69" i="16"/>
  <c r="E70" i="16"/>
  <c r="F71" i="9"/>
  <c r="G69" i="16"/>
  <c r="H70" i="9"/>
  <c r="G70" i="16"/>
  <c r="H71" i="9"/>
  <c r="J70" i="16"/>
  <c r="K71" i="9"/>
  <c r="J69" i="16"/>
  <c r="K70" i="9"/>
  <c r="F70" i="16"/>
  <c r="G71" i="9"/>
  <c r="F69" i="16"/>
  <c r="G70" i="9"/>
  <c r="H70" i="16"/>
  <c r="I71" i="9"/>
  <c r="H69" i="16"/>
  <c r="I70" i="9"/>
  <c r="F62" i="16"/>
  <c r="G68" i="9"/>
  <c r="F63" i="16"/>
  <c r="G69" i="9"/>
  <c r="J62" i="16"/>
  <c r="K68" i="9"/>
  <c r="J63" i="16"/>
  <c r="K69" i="9"/>
  <c r="F50" i="36"/>
  <c r="H50" i="36"/>
  <c r="F70" i="9"/>
  <c r="J69" i="9"/>
  <c r="AI271" i="37"/>
  <c r="AI725" i="37"/>
  <c r="I102" i="16"/>
  <c r="H103" i="16"/>
  <c r="J102" i="16"/>
  <c r="K102" i="16"/>
  <c r="L102" i="16"/>
  <c r="M102" i="16"/>
  <c r="N102" i="16"/>
  <c r="G102" i="16"/>
  <c r="O102" i="16"/>
  <c r="AI737" i="37"/>
  <c r="AI729" i="37"/>
  <c r="AI279" i="37"/>
  <c r="AI287" i="37"/>
  <c r="AI283" i="37"/>
  <c r="AI125" i="37"/>
  <c r="AI275" i="37"/>
  <c r="AI133" i="37"/>
  <c r="AI291" i="37"/>
  <c r="AI733" i="37"/>
  <c r="AK116" i="37"/>
  <c r="AJ135" i="37"/>
  <c r="AJ136" i="37"/>
  <c r="AJ119" i="37"/>
  <c r="AJ120" i="37"/>
  <c r="AJ123" i="37"/>
  <c r="AJ124" i="37"/>
  <c r="AJ117" i="37"/>
  <c r="AJ139" i="37"/>
  <c r="AJ131" i="37"/>
  <c r="AJ132" i="37"/>
  <c r="AJ127" i="37"/>
  <c r="AJ128" i="37"/>
  <c r="AI141" i="37"/>
  <c r="AI740" i="37"/>
  <c r="AI741" i="37"/>
  <c r="C741" i="37"/>
  <c r="O819" i="37"/>
  <c r="AI121" i="37"/>
  <c r="AI294" i="37"/>
  <c r="AI295" i="37"/>
  <c r="C295" i="37"/>
  <c r="O818" i="37"/>
  <c r="AI137" i="37"/>
  <c r="AI129" i="37"/>
  <c r="AI721" i="37"/>
  <c r="E101" i="16"/>
  <c r="E105" i="16"/>
  <c r="H100" i="16"/>
  <c r="I100" i="16"/>
  <c r="J101" i="16"/>
  <c r="K100" i="16"/>
  <c r="L100" i="16"/>
  <c r="M100" i="16"/>
  <c r="N101" i="16"/>
  <c r="O101" i="16"/>
  <c r="G101" i="16"/>
  <c r="F101" i="16"/>
  <c r="F105" i="16"/>
  <c r="O106" i="16"/>
  <c r="P104" i="9"/>
  <c r="Q104" i="9"/>
  <c r="G82" i="9"/>
  <c r="G89" i="9"/>
  <c r="E10" i="12"/>
  <c r="E29" i="12"/>
  <c r="K81" i="9"/>
  <c r="K90" i="9"/>
  <c r="I11" i="12"/>
  <c r="H82" i="9"/>
  <c r="H89" i="9"/>
  <c r="F10" i="12"/>
  <c r="F29" i="12"/>
  <c r="K82" i="9"/>
  <c r="K89" i="9"/>
  <c r="I10" i="12"/>
  <c r="I81" i="9"/>
  <c r="I90" i="9"/>
  <c r="G11" i="12"/>
  <c r="G30" i="12"/>
  <c r="G81" i="9"/>
  <c r="G90" i="9"/>
  <c r="E11" i="12"/>
  <c r="E30" i="12"/>
  <c r="J82" i="9"/>
  <c r="J89" i="9"/>
  <c r="H10" i="12"/>
  <c r="H29" i="12"/>
  <c r="F81" i="9"/>
  <c r="F90" i="9"/>
  <c r="D11" i="12"/>
  <c r="D30" i="12"/>
  <c r="F82" i="9"/>
  <c r="F89" i="9"/>
  <c r="D10" i="12"/>
  <c r="D29" i="12"/>
  <c r="H81" i="9"/>
  <c r="H90" i="9"/>
  <c r="F11" i="12"/>
  <c r="F30" i="12"/>
  <c r="J81" i="9"/>
  <c r="J90" i="9"/>
  <c r="H11" i="12"/>
  <c r="H30" i="12"/>
  <c r="J106" i="16"/>
  <c r="J119" i="16"/>
  <c r="K110" i="9"/>
  <c r="G106" i="16"/>
  <c r="G103" i="9"/>
  <c r="F118" i="16"/>
  <c r="G109" i="9"/>
  <c r="F103" i="9"/>
  <c r="E118" i="16"/>
  <c r="F109" i="9"/>
  <c r="O119" i="16"/>
  <c r="P110" i="9"/>
  <c r="N106" i="16"/>
  <c r="Q21" i="9"/>
  <c r="Q23" i="9"/>
  <c r="Q54" i="9"/>
  <c r="Q15" i="9"/>
  <c r="Q17" i="9"/>
  <c r="Q53" i="9"/>
  <c r="AJ121" i="37"/>
  <c r="N105" i="16"/>
  <c r="O105" i="16"/>
  <c r="L105" i="16"/>
  <c r="L106" i="16"/>
  <c r="K105" i="16"/>
  <c r="K106" i="16"/>
  <c r="G105" i="16"/>
  <c r="F106" i="16"/>
  <c r="I106" i="16"/>
  <c r="I105" i="16"/>
  <c r="J105" i="16"/>
  <c r="E106" i="16"/>
  <c r="H106" i="16"/>
  <c r="H105" i="16"/>
  <c r="M106" i="16"/>
  <c r="M105" i="16"/>
  <c r="AJ129" i="37"/>
  <c r="AJ133" i="37"/>
  <c r="AJ140" i="37"/>
  <c r="AJ141" i="37"/>
  <c r="AJ125" i="37"/>
  <c r="AJ137" i="37"/>
  <c r="AL116" i="37"/>
  <c r="AK135" i="37"/>
  <c r="AK136" i="37"/>
  <c r="AK119" i="37"/>
  <c r="AK120" i="37"/>
  <c r="AK123" i="37"/>
  <c r="AK124" i="37"/>
  <c r="AK117" i="37"/>
  <c r="AK139" i="37"/>
  <c r="AK131" i="37"/>
  <c r="AK132" i="37"/>
  <c r="AK127" i="37"/>
  <c r="AK128" i="37"/>
  <c r="L72" i="13"/>
  <c r="K72" i="13"/>
  <c r="J72" i="13"/>
  <c r="I72" i="13"/>
  <c r="H72" i="13"/>
  <c r="G72" i="13"/>
  <c r="F72" i="13"/>
  <c r="P70" i="13"/>
  <c r="P28" i="9"/>
  <c r="O70" i="13"/>
  <c r="O28" i="9"/>
  <c r="N70" i="13"/>
  <c r="N28" i="9"/>
  <c r="M70" i="13"/>
  <c r="M28" i="9"/>
  <c r="L70" i="13"/>
  <c r="K70" i="13"/>
  <c r="J70" i="13"/>
  <c r="I70" i="13"/>
  <c r="H70" i="13"/>
  <c r="G70" i="13"/>
  <c r="F70" i="13"/>
  <c r="P107" i="13"/>
  <c r="P22" i="9"/>
  <c r="O107" i="13"/>
  <c r="O22" i="9"/>
  <c r="N107" i="13"/>
  <c r="N22" i="9"/>
  <c r="M107" i="13"/>
  <c r="L107" i="13"/>
  <c r="K107" i="13"/>
  <c r="J107" i="13"/>
  <c r="I107" i="13"/>
  <c r="H107" i="13"/>
  <c r="G107" i="13"/>
  <c r="F107" i="13"/>
  <c r="P187" i="13"/>
  <c r="P100" i="9"/>
  <c r="O187" i="13"/>
  <c r="O100" i="9"/>
  <c r="N187" i="13"/>
  <c r="N100" i="9"/>
  <c r="M187" i="13"/>
  <c r="L187" i="13"/>
  <c r="K187" i="13"/>
  <c r="J187" i="13"/>
  <c r="I187" i="13"/>
  <c r="H187" i="13"/>
  <c r="G187" i="13"/>
  <c r="F187" i="13"/>
  <c r="AF1" i="27"/>
  <c r="M72" i="13"/>
  <c r="N72" i="13"/>
  <c r="O72" i="13"/>
  <c r="K104" i="9"/>
  <c r="K113" i="9"/>
  <c r="F112" i="9"/>
  <c r="G112" i="9"/>
  <c r="L104" i="9"/>
  <c r="K119" i="16"/>
  <c r="L110" i="9"/>
  <c r="M104" i="9"/>
  <c r="L119" i="16"/>
  <c r="M110" i="9"/>
  <c r="K103" i="9"/>
  <c r="J118" i="16"/>
  <c r="K109" i="9"/>
  <c r="P103" i="9"/>
  <c r="O118" i="16"/>
  <c r="P109" i="9"/>
  <c r="M103" i="9"/>
  <c r="L118" i="16"/>
  <c r="M109" i="9"/>
  <c r="J103" i="9"/>
  <c r="I118" i="16"/>
  <c r="J109" i="9"/>
  <c r="I119" i="16"/>
  <c r="J110" i="9"/>
  <c r="J104" i="9"/>
  <c r="O103" i="9"/>
  <c r="N118" i="16"/>
  <c r="O109" i="9"/>
  <c r="I103" i="9"/>
  <c r="H118" i="16"/>
  <c r="I109" i="9"/>
  <c r="Q110" i="9"/>
  <c r="Q118" i="9"/>
  <c r="O43" i="12"/>
  <c r="P113" i="9"/>
  <c r="H119" i="16"/>
  <c r="I110" i="9"/>
  <c r="I104" i="9"/>
  <c r="L103" i="9"/>
  <c r="K118" i="16"/>
  <c r="L109" i="9"/>
  <c r="F104" i="9"/>
  <c r="E119" i="16"/>
  <c r="F110" i="9"/>
  <c r="N103" i="9"/>
  <c r="M118" i="16"/>
  <c r="N109" i="9"/>
  <c r="G104" i="9"/>
  <c r="F119" i="16"/>
  <c r="G110" i="9"/>
  <c r="N104" i="9"/>
  <c r="M119" i="16"/>
  <c r="N110" i="9"/>
  <c r="H103" i="9"/>
  <c r="G118" i="16"/>
  <c r="H109" i="9"/>
  <c r="O104" i="9"/>
  <c r="N119" i="16"/>
  <c r="O110" i="9"/>
  <c r="H104" i="9"/>
  <c r="G119" i="16"/>
  <c r="H110" i="9"/>
  <c r="AK137" i="37"/>
  <c r="AK133" i="37"/>
  <c r="AM116" i="37"/>
  <c r="AL123" i="37"/>
  <c r="AL124" i="37"/>
  <c r="AL117" i="37"/>
  <c r="AL139" i="37"/>
  <c r="AL131" i="37"/>
  <c r="AL132" i="37"/>
  <c r="AL127" i="37"/>
  <c r="AL128" i="37"/>
  <c r="AL135" i="37"/>
  <c r="AL136" i="37"/>
  <c r="AL119" i="37"/>
  <c r="AL120" i="37"/>
  <c r="AK129" i="37"/>
  <c r="AK140" i="37"/>
  <c r="AK141" i="37"/>
  <c r="AK121" i="37"/>
  <c r="AK125" i="37"/>
  <c r="P57" i="13"/>
  <c r="P26" i="9"/>
  <c r="O58" i="12"/>
  <c r="O61" i="12"/>
  <c r="L113" i="9"/>
  <c r="O112" i="9"/>
  <c r="J112" i="9"/>
  <c r="O113" i="9"/>
  <c r="N112" i="9"/>
  <c r="H112" i="9"/>
  <c r="F113" i="9"/>
  <c r="K112" i="9"/>
  <c r="Q115" i="9"/>
  <c r="I113" i="9"/>
  <c r="Q103" i="9"/>
  <c r="J113" i="9"/>
  <c r="Q113" i="9"/>
  <c r="P112" i="9"/>
  <c r="Q109" i="9"/>
  <c r="Q119" i="9"/>
  <c r="O44" i="12"/>
  <c r="N113" i="9"/>
  <c r="I112" i="9"/>
  <c r="M113" i="9"/>
  <c r="H113" i="9"/>
  <c r="G113" i="9"/>
  <c r="L112" i="9"/>
  <c r="M112" i="9"/>
  <c r="P72" i="13"/>
  <c r="AL133" i="37"/>
  <c r="AL137" i="37"/>
  <c r="AL129" i="37"/>
  <c r="AL140" i="37"/>
  <c r="AL141" i="37"/>
  <c r="AL121" i="37"/>
  <c r="AL125" i="37"/>
  <c r="AM123" i="37"/>
  <c r="AM124" i="37"/>
  <c r="AM117" i="37"/>
  <c r="AM139" i="37"/>
  <c r="AM140" i="37"/>
  <c r="AM131" i="37"/>
  <c r="AM132" i="37"/>
  <c r="AM127" i="37"/>
  <c r="AM128" i="37"/>
  <c r="AM135" i="37"/>
  <c r="AM136" i="37"/>
  <c r="AM119" i="37"/>
  <c r="AM120" i="37"/>
  <c r="P171" i="13"/>
  <c r="O171" i="13"/>
  <c r="N171" i="13"/>
  <c r="M171" i="13"/>
  <c r="L171" i="13"/>
  <c r="K171" i="13"/>
  <c r="J171" i="13"/>
  <c r="I171" i="13"/>
  <c r="H171" i="13"/>
  <c r="G171" i="13"/>
  <c r="F171" i="13"/>
  <c r="P170" i="13"/>
  <c r="O170" i="13"/>
  <c r="N170" i="13"/>
  <c r="M170" i="13"/>
  <c r="L170" i="13"/>
  <c r="K170" i="13"/>
  <c r="J170" i="13"/>
  <c r="I170" i="13"/>
  <c r="H170" i="13"/>
  <c r="G170" i="13"/>
  <c r="F170" i="13"/>
  <c r="P169" i="13"/>
  <c r="O169" i="13"/>
  <c r="N169" i="13"/>
  <c r="M169" i="13"/>
  <c r="L169" i="13"/>
  <c r="K169" i="13"/>
  <c r="J169" i="13"/>
  <c r="I169" i="13"/>
  <c r="H169" i="13"/>
  <c r="G169" i="13"/>
  <c r="F169" i="13"/>
  <c r="P168" i="13"/>
  <c r="O168" i="13"/>
  <c r="N168" i="13"/>
  <c r="M168" i="13"/>
  <c r="L168" i="13"/>
  <c r="K168" i="13"/>
  <c r="J168" i="13"/>
  <c r="I168" i="13"/>
  <c r="H168" i="13"/>
  <c r="G168" i="13"/>
  <c r="F168" i="13"/>
  <c r="P166" i="13"/>
  <c r="O166" i="13"/>
  <c r="N166" i="13"/>
  <c r="M166" i="13"/>
  <c r="L166" i="13"/>
  <c r="K166" i="13"/>
  <c r="J166" i="13"/>
  <c r="I166" i="13"/>
  <c r="H166" i="13"/>
  <c r="G166" i="13"/>
  <c r="F166" i="13"/>
  <c r="P165" i="13"/>
  <c r="O165" i="13"/>
  <c r="N165" i="13"/>
  <c r="M165" i="13"/>
  <c r="L165" i="13"/>
  <c r="K165" i="13"/>
  <c r="J165" i="13"/>
  <c r="I165" i="13"/>
  <c r="H165" i="13"/>
  <c r="G165" i="13"/>
  <c r="F165" i="13"/>
  <c r="P164" i="13"/>
  <c r="O164" i="13"/>
  <c r="N164" i="13"/>
  <c r="M164" i="13"/>
  <c r="L164" i="13"/>
  <c r="K164" i="13"/>
  <c r="J164" i="13"/>
  <c r="I164" i="13"/>
  <c r="H164" i="13"/>
  <c r="G164" i="13"/>
  <c r="F164" i="13"/>
  <c r="P163" i="13"/>
  <c r="O163" i="13"/>
  <c r="N163" i="13"/>
  <c r="M163" i="13"/>
  <c r="L163" i="13"/>
  <c r="K163" i="13"/>
  <c r="J163" i="13"/>
  <c r="I163" i="13"/>
  <c r="H163" i="13"/>
  <c r="G163" i="13"/>
  <c r="F163" i="13"/>
  <c r="P162" i="13"/>
  <c r="O162" i="13"/>
  <c r="N162" i="13"/>
  <c r="M162" i="13"/>
  <c r="L162" i="13"/>
  <c r="K162" i="13"/>
  <c r="J162" i="13"/>
  <c r="I162" i="13"/>
  <c r="H162" i="13"/>
  <c r="G162" i="13"/>
  <c r="F162" i="13"/>
  <c r="P161" i="13"/>
  <c r="O161" i="13"/>
  <c r="N161" i="13"/>
  <c r="M161" i="13"/>
  <c r="L161" i="13"/>
  <c r="K161" i="13"/>
  <c r="J161" i="13"/>
  <c r="I161" i="13"/>
  <c r="H161" i="13"/>
  <c r="G161" i="13"/>
  <c r="F161" i="13"/>
  <c r="P160" i="13"/>
  <c r="O160" i="13"/>
  <c r="N160" i="13"/>
  <c r="M160" i="13"/>
  <c r="L160" i="13"/>
  <c r="K160" i="13"/>
  <c r="J160" i="13"/>
  <c r="I160" i="13"/>
  <c r="H160" i="13"/>
  <c r="G160" i="13"/>
  <c r="F160" i="13"/>
  <c r="P159" i="13"/>
  <c r="O159" i="13"/>
  <c r="N159" i="13"/>
  <c r="M159" i="13"/>
  <c r="L159" i="13"/>
  <c r="K159" i="13"/>
  <c r="J159" i="13"/>
  <c r="I159" i="13"/>
  <c r="H159" i="13"/>
  <c r="G159" i="13"/>
  <c r="F159" i="13"/>
  <c r="P158" i="13"/>
  <c r="O158" i="13"/>
  <c r="N158" i="13"/>
  <c r="M158" i="13"/>
  <c r="L158" i="13"/>
  <c r="K158" i="13"/>
  <c r="J158" i="13"/>
  <c r="I158" i="13"/>
  <c r="H158" i="13"/>
  <c r="G158" i="13"/>
  <c r="F158" i="13"/>
  <c r="P157" i="13"/>
  <c r="O157" i="13"/>
  <c r="N157" i="13"/>
  <c r="M157" i="13"/>
  <c r="L157" i="13"/>
  <c r="K157" i="13"/>
  <c r="J157" i="13"/>
  <c r="I157" i="13"/>
  <c r="H157" i="13"/>
  <c r="G157" i="13"/>
  <c r="F157" i="13"/>
  <c r="P156" i="13"/>
  <c r="O156" i="13"/>
  <c r="N156" i="13"/>
  <c r="M156" i="13"/>
  <c r="L156" i="13"/>
  <c r="K156" i="13"/>
  <c r="J156" i="13"/>
  <c r="I156" i="13"/>
  <c r="H156" i="13"/>
  <c r="G156" i="13"/>
  <c r="F156" i="13"/>
  <c r="P155" i="13"/>
  <c r="O155" i="13"/>
  <c r="N155" i="13"/>
  <c r="M155" i="13"/>
  <c r="L155" i="13"/>
  <c r="K155" i="13"/>
  <c r="J155" i="13"/>
  <c r="I155" i="13"/>
  <c r="H155" i="13"/>
  <c r="G155" i="13"/>
  <c r="F155" i="13"/>
  <c r="P154" i="13"/>
  <c r="O154" i="13"/>
  <c r="N154" i="13"/>
  <c r="M154" i="13"/>
  <c r="L154" i="13"/>
  <c r="K154" i="13"/>
  <c r="J154" i="13"/>
  <c r="I154" i="13"/>
  <c r="H154" i="13"/>
  <c r="G154" i="13"/>
  <c r="F154" i="13"/>
  <c r="P153" i="13"/>
  <c r="O153" i="13"/>
  <c r="N153" i="13"/>
  <c r="M153" i="13"/>
  <c r="L153" i="13"/>
  <c r="K153" i="13"/>
  <c r="J153" i="13"/>
  <c r="I153" i="13"/>
  <c r="H153" i="13"/>
  <c r="G153" i="13"/>
  <c r="F153" i="13"/>
  <c r="P152" i="13"/>
  <c r="O152" i="13"/>
  <c r="N152" i="13"/>
  <c r="M152" i="13"/>
  <c r="L152" i="13"/>
  <c r="K152" i="13"/>
  <c r="J152" i="13"/>
  <c r="I152" i="13"/>
  <c r="H152" i="13"/>
  <c r="G152" i="13"/>
  <c r="F152" i="13"/>
  <c r="P151" i="13"/>
  <c r="O151" i="13"/>
  <c r="N151" i="13"/>
  <c r="M151" i="13"/>
  <c r="L151" i="13"/>
  <c r="K151" i="13"/>
  <c r="J151" i="13"/>
  <c r="I151" i="13"/>
  <c r="H151" i="13"/>
  <c r="G151" i="13"/>
  <c r="F151" i="13"/>
  <c r="P150" i="13"/>
  <c r="O150" i="13"/>
  <c r="N150" i="13"/>
  <c r="M150" i="13"/>
  <c r="L150" i="13"/>
  <c r="K150" i="13"/>
  <c r="J150" i="13"/>
  <c r="I150" i="13"/>
  <c r="H150" i="13"/>
  <c r="G150" i="13"/>
  <c r="F150" i="13"/>
  <c r="P149" i="13"/>
  <c r="O149" i="13"/>
  <c r="N149" i="13"/>
  <c r="M149" i="13"/>
  <c r="L149" i="13"/>
  <c r="K149" i="13"/>
  <c r="J149" i="13"/>
  <c r="I149" i="13"/>
  <c r="H149" i="13"/>
  <c r="G149" i="13"/>
  <c r="F149" i="13"/>
  <c r="P148" i="13"/>
  <c r="O148" i="13"/>
  <c r="N148" i="13"/>
  <c r="M148" i="13"/>
  <c r="L148" i="13"/>
  <c r="K148" i="13"/>
  <c r="J148" i="13"/>
  <c r="I148" i="13"/>
  <c r="H148" i="13"/>
  <c r="G148" i="13"/>
  <c r="F148" i="13"/>
  <c r="P147" i="13"/>
  <c r="O147" i="13"/>
  <c r="N147" i="13"/>
  <c r="M147" i="13"/>
  <c r="L147" i="13"/>
  <c r="K147" i="13"/>
  <c r="J147" i="13"/>
  <c r="I147" i="13"/>
  <c r="H147" i="13"/>
  <c r="G147" i="13"/>
  <c r="F147" i="13"/>
  <c r="P145" i="13"/>
  <c r="O145" i="13"/>
  <c r="N145" i="13"/>
  <c r="M145" i="13"/>
  <c r="L145" i="13"/>
  <c r="K145" i="13"/>
  <c r="J145" i="13"/>
  <c r="I145" i="13"/>
  <c r="H145" i="13"/>
  <c r="G145" i="13"/>
  <c r="F145" i="13"/>
  <c r="P144" i="13"/>
  <c r="O144" i="13"/>
  <c r="N144" i="13"/>
  <c r="M144" i="13"/>
  <c r="L144" i="13"/>
  <c r="K144" i="13"/>
  <c r="J144" i="13"/>
  <c r="I144" i="13"/>
  <c r="H144" i="13"/>
  <c r="G144" i="13"/>
  <c r="F144" i="13"/>
  <c r="P143" i="13"/>
  <c r="O143" i="13"/>
  <c r="N143" i="13"/>
  <c r="M143" i="13"/>
  <c r="L143" i="13"/>
  <c r="K143" i="13"/>
  <c r="J143" i="13"/>
  <c r="I143" i="13"/>
  <c r="H143" i="13"/>
  <c r="G143" i="13"/>
  <c r="F143" i="13"/>
  <c r="P142" i="13"/>
  <c r="O142" i="13"/>
  <c r="N142" i="13"/>
  <c r="M142" i="13"/>
  <c r="L142" i="13"/>
  <c r="K142" i="13"/>
  <c r="J142" i="13"/>
  <c r="I142" i="13"/>
  <c r="H142" i="13"/>
  <c r="G142" i="13"/>
  <c r="F142" i="13"/>
  <c r="P141" i="13"/>
  <c r="O141" i="13"/>
  <c r="N141" i="13"/>
  <c r="M141" i="13"/>
  <c r="L141" i="13"/>
  <c r="K141" i="13"/>
  <c r="J141" i="13"/>
  <c r="I141" i="13"/>
  <c r="H141" i="13"/>
  <c r="G141" i="13"/>
  <c r="F141" i="13"/>
  <c r="P140" i="13"/>
  <c r="O140" i="13"/>
  <c r="N140" i="13"/>
  <c r="M140" i="13"/>
  <c r="L140" i="13"/>
  <c r="K140" i="13"/>
  <c r="J140" i="13"/>
  <c r="I140" i="13"/>
  <c r="H140" i="13"/>
  <c r="G140" i="13"/>
  <c r="F140" i="13"/>
  <c r="P139" i="13"/>
  <c r="O139" i="13"/>
  <c r="N139" i="13"/>
  <c r="M139" i="13"/>
  <c r="L139" i="13"/>
  <c r="K139" i="13"/>
  <c r="J139" i="13"/>
  <c r="I139" i="13"/>
  <c r="H139" i="13"/>
  <c r="G139" i="13"/>
  <c r="F139" i="13"/>
  <c r="P138" i="13"/>
  <c r="O138" i="13"/>
  <c r="N138" i="13"/>
  <c r="M138" i="13"/>
  <c r="L138" i="13"/>
  <c r="K138" i="13"/>
  <c r="J138" i="13"/>
  <c r="I138" i="13"/>
  <c r="H138" i="13"/>
  <c r="G138" i="13"/>
  <c r="F138" i="13"/>
  <c r="P137" i="13"/>
  <c r="O137" i="13"/>
  <c r="N137" i="13"/>
  <c r="M137" i="13"/>
  <c r="L137" i="13"/>
  <c r="K137" i="13"/>
  <c r="J137" i="13"/>
  <c r="I137" i="13"/>
  <c r="H137" i="13"/>
  <c r="G137" i="13"/>
  <c r="F137" i="13"/>
  <c r="P136" i="13"/>
  <c r="O136" i="13"/>
  <c r="N136" i="13"/>
  <c r="M136" i="13"/>
  <c r="L136" i="13"/>
  <c r="K136" i="13"/>
  <c r="J136" i="13"/>
  <c r="I136" i="13"/>
  <c r="H136" i="13"/>
  <c r="G136" i="13"/>
  <c r="F136" i="13"/>
  <c r="P135" i="13"/>
  <c r="O135" i="13"/>
  <c r="N135" i="13"/>
  <c r="M135" i="13"/>
  <c r="L135" i="13"/>
  <c r="K135" i="13"/>
  <c r="J135" i="13"/>
  <c r="I135" i="13"/>
  <c r="H135" i="13"/>
  <c r="G135" i="13"/>
  <c r="F135" i="13"/>
  <c r="P134" i="13"/>
  <c r="O134" i="13"/>
  <c r="N134" i="13"/>
  <c r="M134" i="13"/>
  <c r="L134" i="13"/>
  <c r="K134" i="13"/>
  <c r="J134" i="13"/>
  <c r="I134" i="13"/>
  <c r="H134" i="13"/>
  <c r="G134" i="13"/>
  <c r="F134" i="13"/>
  <c r="P133" i="13"/>
  <c r="O133" i="13"/>
  <c r="N133" i="13"/>
  <c r="M133" i="13"/>
  <c r="L133" i="13"/>
  <c r="K133" i="13"/>
  <c r="J133" i="13"/>
  <c r="I133" i="13"/>
  <c r="H133" i="13"/>
  <c r="G133" i="13"/>
  <c r="F133" i="13"/>
  <c r="P132" i="13"/>
  <c r="O132" i="13"/>
  <c r="N132" i="13"/>
  <c r="M132" i="13"/>
  <c r="L132" i="13"/>
  <c r="K132" i="13"/>
  <c r="J132" i="13"/>
  <c r="I132" i="13"/>
  <c r="H132" i="13"/>
  <c r="G132" i="13"/>
  <c r="F132" i="13"/>
  <c r="P131" i="13"/>
  <c r="O131" i="13"/>
  <c r="N131" i="13"/>
  <c r="M131" i="13"/>
  <c r="L131" i="13"/>
  <c r="K131" i="13"/>
  <c r="J131" i="13"/>
  <c r="I131" i="13"/>
  <c r="H131" i="13"/>
  <c r="G131" i="13"/>
  <c r="F131" i="13"/>
  <c r="P130" i="13"/>
  <c r="O130" i="13"/>
  <c r="N130" i="13"/>
  <c r="M130" i="13"/>
  <c r="L130" i="13"/>
  <c r="K130" i="13"/>
  <c r="J130" i="13"/>
  <c r="I130" i="13"/>
  <c r="H130" i="13"/>
  <c r="G130" i="13"/>
  <c r="F130" i="13"/>
  <c r="P129" i="13"/>
  <c r="O129" i="13"/>
  <c r="N129" i="13"/>
  <c r="M129" i="13"/>
  <c r="L129" i="13"/>
  <c r="K129" i="13"/>
  <c r="J129" i="13"/>
  <c r="I129" i="13"/>
  <c r="H129" i="13"/>
  <c r="G129" i="13"/>
  <c r="F129" i="13"/>
  <c r="P128" i="13"/>
  <c r="O128" i="13"/>
  <c r="N128" i="13"/>
  <c r="M128" i="13"/>
  <c r="L128" i="13"/>
  <c r="K128" i="13"/>
  <c r="J128" i="13"/>
  <c r="I128" i="13"/>
  <c r="H128" i="13"/>
  <c r="G128" i="13"/>
  <c r="F128" i="13"/>
  <c r="P127" i="13"/>
  <c r="O127" i="13"/>
  <c r="N127" i="13"/>
  <c r="M127" i="13"/>
  <c r="L127" i="13"/>
  <c r="K127" i="13"/>
  <c r="J127" i="13"/>
  <c r="I127" i="13"/>
  <c r="H127" i="13"/>
  <c r="G127" i="13"/>
  <c r="F127" i="13"/>
  <c r="P126" i="13"/>
  <c r="O126" i="13"/>
  <c r="N126" i="13"/>
  <c r="M126" i="13"/>
  <c r="L126" i="13"/>
  <c r="K126" i="13"/>
  <c r="J126" i="13"/>
  <c r="I126" i="13"/>
  <c r="H126" i="13"/>
  <c r="G126" i="13"/>
  <c r="F126" i="13"/>
  <c r="P125" i="13"/>
  <c r="O125" i="13"/>
  <c r="N125" i="13"/>
  <c r="M125" i="13"/>
  <c r="L125" i="13"/>
  <c r="K125" i="13"/>
  <c r="J125" i="13"/>
  <c r="I125" i="13"/>
  <c r="H125" i="13"/>
  <c r="G125" i="13"/>
  <c r="F125" i="13"/>
  <c r="P124" i="13"/>
  <c r="O124" i="13"/>
  <c r="N124" i="13"/>
  <c r="M124" i="13"/>
  <c r="L124" i="13"/>
  <c r="K124" i="13"/>
  <c r="J124" i="13"/>
  <c r="I124" i="13"/>
  <c r="H124" i="13"/>
  <c r="G124" i="13"/>
  <c r="F124" i="13"/>
  <c r="P123" i="13"/>
  <c r="O123" i="13"/>
  <c r="N123" i="13"/>
  <c r="M123" i="13"/>
  <c r="L123" i="13"/>
  <c r="K123" i="13"/>
  <c r="J123" i="13"/>
  <c r="I123" i="13"/>
  <c r="H123" i="13"/>
  <c r="G123" i="13"/>
  <c r="F123" i="13"/>
  <c r="P122" i="13"/>
  <c r="O122" i="13"/>
  <c r="N122" i="13"/>
  <c r="M122" i="13"/>
  <c r="L122" i="13"/>
  <c r="K122" i="13"/>
  <c r="J122" i="13"/>
  <c r="I122" i="13"/>
  <c r="H122" i="13"/>
  <c r="G122" i="13"/>
  <c r="F122" i="13"/>
  <c r="P121" i="13"/>
  <c r="O121" i="13"/>
  <c r="N121" i="13"/>
  <c r="M121" i="13"/>
  <c r="L121" i="13"/>
  <c r="K121" i="13"/>
  <c r="J121" i="13"/>
  <c r="I121" i="13"/>
  <c r="H121" i="13"/>
  <c r="G121" i="13"/>
  <c r="F121" i="13"/>
  <c r="P120" i="13"/>
  <c r="O120" i="13"/>
  <c r="N120" i="13"/>
  <c r="M120" i="13"/>
  <c r="L120" i="13"/>
  <c r="K120" i="13"/>
  <c r="J120" i="13"/>
  <c r="I120" i="13"/>
  <c r="H120" i="13"/>
  <c r="G120" i="13"/>
  <c r="F120" i="13"/>
  <c r="P119" i="13"/>
  <c r="O119" i="13"/>
  <c r="N119" i="13"/>
  <c r="M119" i="13"/>
  <c r="L119" i="13"/>
  <c r="K119" i="13"/>
  <c r="J119" i="13"/>
  <c r="I119" i="13"/>
  <c r="H119" i="13"/>
  <c r="G119" i="13"/>
  <c r="F119" i="13"/>
  <c r="P118" i="13"/>
  <c r="O118" i="13"/>
  <c r="N118" i="13"/>
  <c r="M118" i="13"/>
  <c r="L118" i="13"/>
  <c r="K118" i="13"/>
  <c r="J118" i="13"/>
  <c r="I118" i="13"/>
  <c r="H118" i="13"/>
  <c r="G118" i="13"/>
  <c r="F118" i="13"/>
  <c r="P117" i="13"/>
  <c r="O117" i="13"/>
  <c r="N117" i="13"/>
  <c r="M117" i="13"/>
  <c r="L117" i="13"/>
  <c r="K117" i="13"/>
  <c r="J117" i="13"/>
  <c r="I117" i="13"/>
  <c r="H117" i="13"/>
  <c r="G117" i="13"/>
  <c r="F117" i="13"/>
  <c r="P116" i="13"/>
  <c r="O116" i="13"/>
  <c r="N116" i="13"/>
  <c r="M116" i="13"/>
  <c r="L116" i="13"/>
  <c r="K116" i="13"/>
  <c r="J116" i="13"/>
  <c r="I116" i="13"/>
  <c r="H116" i="13"/>
  <c r="G116" i="13"/>
  <c r="F116" i="13"/>
  <c r="P94" i="13"/>
  <c r="O94" i="13"/>
  <c r="N94" i="13"/>
  <c r="M94" i="13"/>
  <c r="L94" i="13"/>
  <c r="K94" i="13"/>
  <c r="J94" i="13"/>
  <c r="I94" i="13"/>
  <c r="H94" i="13"/>
  <c r="G94" i="13"/>
  <c r="F94" i="13"/>
  <c r="P93" i="13"/>
  <c r="O93" i="13"/>
  <c r="N93" i="13"/>
  <c r="M93" i="13"/>
  <c r="L93" i="13"/>
  <c r="K93" i="13"/>
  <c r="J93" i="13"/>
  <c r="I93" i="13"/>
  <c r="H93" i="13"/>
  <c r="G93" i="13"/>
  <c r="F93" i="13"/>
  <c r="P92" i="13"/>
  <c r="O92" i="13"/>
  <c r="N92" i="13"/>
  <c r="M92" i="13"/>
  <c r="L92" i="13"/>
  <c r="K92" i="13"/>
  <c r="J92" i="13"/>
  <c r="I92" i="13"/>
  <c r="H92" i="13"/>
  <c r="G92" i="13"/>
  <c r="F92" i="13"/>
  <c r="P91" i="13"/>
  <c r="O91" i="13"/>
  <c r="N91" i="13"/>
  <c r="M91" i="13"/>
  <c r="L91" i="13"/>
  <c r="K91" i="13"/>
  <c r="J91" i="13"/>
  <c r="I91" i="13"/>
  <c r="H91" i="13"/>
  <c r="G91" i="13"/>
  <c r="F91" i="13"/>
  <c r="P90" i="13"/>
  <c r="O90" i="13"/>
  <c r="N90" i="13"/>
  <c r="M90" i="13"/>
  <c r="L90" i="13"/>
  <c r="K90" i="13"/>
  <c r="J90" i="13"/>
  <c r="I90" i="13"/>
  <c r="H90" i="13"/>
  <c r="G90" i="13"/>
  <c r="F90" i="13"/>
  <c r="P89" i="13"/>
  <c r="O89" i="13"/>
  <c r="N89" i="13"/>
  <c r="M89" i="13"/>
  <c r="L89" i="13"/>
  <c r="K89" i="13"/>
  <c r="J89" i="13"/>
  <c r="I89" i="13"/>
  <c r="H89" i="13"/>
  <c r="G89" i="13"/>
  <c r="F89" i="13"/>
  <c r="P88" i="13"/>
  <c r="O88" i="13"/>
  <c r="N88" i="13"/>
  <c r="M88" i="13"/>
  <c r="L88" i="13"/>
  <c r="K88" i="13"/>
  <c r="J88" i="13"/>
  <c r="I88" i="13"/>
  <c r="H88" i="13"/>
  <c r="G88" i="13"/>
  <c r="F88" i="13"/>
  <c r="P87" i="13"/>
  <c r="O87" i="13"/>
  <c r="N87" i="13"/>
  <c r="M87" i="13"/>
  <c r="L87" i="13"/>
  <c r="K87" i="13"/>
  <c r="J87" i="13"/>
  <c r="I87" i="13"/>
  <c r="H87" i="13"/>
  <c r="G87" i="13"/>
  <c r="F87" i="13"/>
  <c r="P86" i="13"/>
  <c r="O86" i="13"/>
  <c r="N86" i="13"/>
  <c r="M86" i="13"/>
  <c r="L86" i="13"/>
  <c r="K86" i="13"/>
  <c r="J86" i="13"/>
  <c r="I86" i="13"/>
  <c r="H86" i="13"/>
  <c r="G86" i="13"/>
  <c r="F86" i="13"/>
  <c r="P85" i="13"/>
  <c r="O85" i="13"/>
  <c r="N85" i="13"/>
  <c r="M85" i="13"/>
  <c r="L85" i="13"/>
  <c r="K85" i="13"/>
  <c r="J85" i="13"/>
  <c r="I85" i="13"/>
  <c r="H85" i="13"/>
  <c r="G85" i="13"/>
  <c r="F85" i="13"/>
  <c r="P84" i="13"/>
  <c r="O84" i="13"/>
  <c r="N84" i="13"/>
  <c r="M84" i="13"/>
  <c r="L84" i="13"/>
  <c r="K84" i="13"/>
  <c r="J84" i="13"/>
  <c r="I84" i="13"/>
  <c r="H84" i="13"/>
  <c r="G84" i="13"/>
  <c r="F84" i="13"/>
  <c r="P83" i="13"/>
  <c r="O83" i="13"/>
  <c r="N83" i="13"/>
  <c r="M83" i="13"/>
  <c r="L83" i="13"/>
  <c r="K83" i="13"/>
  <c r="J83" i="13"/>
  <c r="I83" i="13"/>
  <c r="H83" i="13"/>
  <c r="G83" i="13"/>
  <c r="F83" i="13"/>
  <c r="F28" i="13"/>
  <c r="G28" i="13"/>
  <c r="H28" i="13"/>
  <c r="P33" i="13"/>
  <c r="O33" i="13"/>
  <c r="N33" i="13"/>
  <c r="M33" i="13"/>
  <c r="L33" i="13"/>
  <c r="K33" i="13"/>
  <c r="J33" i="13"/>
  <c r="I33" i="13"/>
  <c r="H33" i="13"/>
  <c r="G33" i="13"/>
  <c r="F33" i="13"/>
  <c r="P32" i="13"/>
  <c r="O32" i="13"/>
  <c r="N32" i="13"/>
  <c r="M32" i="13"/>
  <c r="L32" i="13"/>
  <c r="K32" i="13"/>
  <c r="J32" i="13"/>
  <c r="I32" i="13"/>
  <c r="H32" i="13"/>
  <c r="G32" i="13"/>
  <c r="F32" i="13"/>
  <c r="P31" i="13"/>
  <c r="O31" i="13"/>
  <c r="N31" i="13"/>
  <c r="M31" i="13"/>
  <c r="L31" i="13"/>
  <c r="K31" i="13"/>
  <c r="J31" i="13"/>
  <c r="I31" i="13"/>
  <c r="H31" i="13"/>
  <c r="G31" i="13"/>
  <c r="F31" i="13"/>
  <c r="P30" i="13"/>
  <c r="O30" i="13"/>
  <c r="N30" i="13"/>
  <c r="M30" i="13"/>
  <c r="L30" i="13"/>
  <c r="K30" i="13"/>
  <c r="J30" i="13"/>
  <c r="I30" i="13"/>
  <c r="H30" i="13"/>
  <c r="G30" i="13"/>
  <c r="F30" i="13"/>
  <c r="P29" i="13"/>
  <c r="O29" i="13"/>
  <c r="N29" i="13"/>
  <c r="M29" i="13"/>
  <c r="L29" i="13"/>
  <c r="K29" i="13"/>
  <c r="J29" i="13"/>
  <c r="I29" i="13"/>
  <c r="H29" i="13"/>
  <c r="G29" i="13"/>
  <c r="F29" i="13"/>
  <c r="P28" i="13"/>
  <c r="O28" i="13"/>
  <c r="N28" i="13"/>
  <c r="M28" i="13"/>
  <c r="L28" i="13"/>
  <c r="K28" i="13"/>
  <c r="J28" i="13"/>
  <c r="I28" i="13"/>
  <c r="P27" i="13"/>
  <c r="O27" i="13"/>
  <c r="N27" i="13"/>
  <c r="M27" i="13"/>
  <c r="L27" i="13"/>
  <c r="K27" i="13"/>
  <c r="J27" i="13"/>
  <c r="I27" i="13"/>
  <c r="H27" i="13"/>
  <c r="G27" i="13"/>
  <c r="F27" i="13"/>
  <c r="P26" i="13"/>
  <c r="O26" i="13"/>
  <c r="N26" i="13"/>
  <c r="M26" i="13"/>
  <c r="L26" i="13"/>
  <c r="K26" i="13"/>
  <c r="J26" i="13"/>
  <c r="I26" i="13"/>
  <c r="H26" i="13"/>
  <c r="G26" i="13"/>
  <c r="F26" i="13"/>
  <c r="P25" i="13"/>
  <c r="O25" i="13"/>
  <c r="N25" i="13"/>
  <c r="M25" i="13"/>
  <c r="L25" i="13"/>
  <c r="K25" i="13"/>
  <c r="J25" i="13"/>
  <c r="I25" i="13"/>
  <c r="H25" i="13"/>
  <c r="G25" i="13"/>
  <c r="F25" i="13"/>
  <c r="P24" i="13"/>
  <c r="O24" i="13"/>
  <c r="N24" i="13"/>
  <c r="L24" i="13"/>
  <c r="K24" i="13"/>
  <c r="J24" i="13"/>
  <c r="I24" i="13"/>
  <c r="H24" i="13"/>
  <c r="G24" i="13"/>
  <c r="F24" i="13"/>
  <c r="P23" i="13"/>
  <c r="O23" i="13"/>
  <c r="N23" i="13"/>
  <c r="M23" i="13"/>
  <c r="L23" i="13"/>
  <c r="K23" i="13"/>
  <c r="J23" i="13"/>
  <c r="I23" i="13"/>
  <c r="H23" i="13"/>
  <c r="G23" i="13"/>
  <c r="F23" i="13"/>
  <c r="M24" i="13"/>
  <c r="P21" i="13"/>
  <c r="O21" i="13"/>
  <c r="N21" i="13"/>
  <c r="M21" i="13"/>
  <c r="L21" i="13"/>
  <c r="K21" i="13"/>
  <c r="J21" i="13"/>
  <c r="I21" i="13"/>
  <c r="H21" i="13"/>
  <c r="G21" i="13"/>
  <c r="F21" i="13"/>
  <c r="P20" i="13"/>
  <c r="O20" i="13"/>
  <c r="N20" i="13"/>
  <c r="M20" i="13"/>
  <c r="L20" i="13"/>
  <c r="K20" i="13"/>
  <c r="J20" i="13"/>
  <c r="I20" i="13"/>
  <c r="H20" i="13"/>
  <c r="G20" i="13"/>
  <c r="F20" i="13"/>
  <c r="O19" i="13"/>
  <c r="P19" i="13"/>
  <c r="N19" i="13"/>
  <c r="M19" i="13"/>
  <c r="L19" i="13"/>
  <c r="K19" i="13"/>
  <c r="J19" i="13"/>
  <c r="I19" i="13"/>
  <c r="H19" i="13"/>
  <c r="G19" i="13"/>
  <c r="F19" i="13"/>
  <c r="P18" i="13"/>
  <c r="O18" i="13"/>
  <c r="N18" i="13"/>
  <c r="M18" i="13"/>
  <c r="L18" i="13"/>
  <c r="K18" i="13"/>
  <c r="J18" i="13"/>
  <c r="I18" i="13"/>
  <c r="H18" i="13"/>
  <c r="G18" i="13"/>
  <c r="F18" i="13"/>
  <c r="P17" i="13"/>
  <c r="O17" i="13"/>
  <c r="N17" i="13"/>
  <c r="M17" i="13"/>
  <c r="L17" i="13"/>
  <c r="K17" i="13"/>
  <c r="J17" i="13"/>
  <c r="I17" i="13"/>
  <c r="H17" i="13"/>
  <c r="G17" i="13"/>
  <c r="F17" i="13"/>
  <c r="O16" i="13"/>
  <c r="P16" i="13"/>
  <c r="N16" i="13"/>
  <c r="M16" i="13"/>
  <c r="L16" i="13"/>
  <c r="K16" i="13"/>
  <c r="J16" i="13"/>
  <c r="I16" i="13"/>
  <c r="H16" i="13"/>
  <c r="G16" i="13"/>
  <c r="F16" i="13"/>
  <c r="P15" i="13"/>
  <c r="O15" i="13"/>
  <c r="N15" i="13"/>
  <c r="M15" i="13"/>
  <c r="L15" i="13"/>
  <c r="K15" i="13"/>
  <c r="J15" i="13"/>
  <c r="I15" i="13"/>
  <c r="H15" i="13"/>
  <c r="G15" i="13"/>
  <c r="F15" i="13"/>
  <c r="P14" i="13"/>
  <c r="O14" i="13"/>
  <c r="N14" i="13"/>
  <c r="M14" i="13"/>
  <c r="L14" i="13"/>
  <c r="K14" i="13"/>
  <c r="J14" i="13"/>
  <c r="I14" i="13"/>
  <c r="H14" i="13"/>
  <c r="G14" i="13"/>
  <c r="F14" i="13"/>
  <c r="P13" i="13"/>
  <c r="O13" i="13"/>
  <c r="N13" i="13"/>
  <c r="M13" i="13"/>
  <c r="L13" i="13"/>
  <c r="K13" i="13"/>
  <c r="J13" i="13"/>
  <c r="I13" i="13"/>
  <c r="H13" i="13"/>
  <c r="G13" i="13"/>
  <c r="F13" i="13"/>
  <c r="P12" i="13"/>
  <c r="O12" i="13"/>
  <c r="N12" i="13"/>
  <c r="M12" i="13"/>
  <c r="L12" i="13"/>
  <c r="K12" i="13"/>
  <c r="J12" i="13"/>
  <c r="I12" i="13"/>
  <c r="H12" i="13"/>
  <c r="G12" i="13"/>
  <c r="F12" i="13"/>
  <c r="P11" i="13"/>
  <c r="O11" i="13"/>
  <c r="N11" i="13"/>
  <c r="M11" i="13"/>
  <c r="L11" i="13"/>
  <c r="K11" i="13"/>
  <c r="J11" i="13"/>
  <c r="I11" i="13"/>
  <c r="H11" i="13"/>
  <c r="G11" i="13"/>
  <c r="F11" i="13"/>
  <c r="P10" i="13"/>
  <c r="O10" i="13"/>
  <c r="N10" i="13"/>
  <c r="M10" i="13"/>
  <c r="L10" i="13"/>
  <c r="K10" i="13"/>
  <c r="J10" i="13"/>
  <c r="I10" i="13"/>
  <c r="H10" i="13"/>
  <c r="G10" i="13"/>
  <c r="F10" i="13"/>
  <c r="P9" i="13"/>
  <c r="O9" i="13"/>
  <c r="N9" i="13"/>
  <c r="M9" i="13"/>
  <c r="L9" i="13"/>
  <c r="K9" i="13"/>
  <c r="J9" i="13"/>
  <c r="I9" i="13"/>
  <c r="H9" i="13"/>
  <c r="G9" i="13"/>
  <c r="F9" i="13"/>
  <c r="P8" i="13"/>
  <c r="O8" i="13"/>
  <c r="N8" i="13"/>
  <c r="M8" i="13"/>
  <c r="L8" i="13"/>
  <c r="K8" i="13"/>
  <c r="J8" i="13"/>
  <c r="I8" i="13"/>
  <c r="H8" i="13"/>
  <c r="G8" i="13"/>
  <c r="F8" i="13"/>
  <c r="C19" i="30"/>
  <c r="C17" i="30"/>
  <c r="O60" i="24"/>
  <c r="N60" i="24"/>
  <c r="M60" i="24"/>
  <c r="L60" i="24"/>
  <c r="K60" i="24"/>
  <c r="J60" i="24"/>
  <c r="L116" i="41"/>
  <c r="L125" i="41"/>
  <c r="J250" i="40"/>
  <c r="J258" i="40"/>
  <c r="J260" i="40"/>
  <c r="J261" i="40"/>
  <c r="M21" i="3"/>
  <c r="M44" i="3"/>
  <c r="I15" i="12"/>
  <c r="I60" i="24"/>
  <c r="H60" i="24"/>
  <c r="G60" i="24"/>
  <c r="F60" i="24"/>
  <c r="E60" i="24"/>
  <c r="O59" i="24"/>
  <c r="N59" i="24"/>
  <c r="M59" i="24"/>
  <c r="L59" i="24"/>
  <c r="K59" i="24"/>
  <c r="M116" i="41"/>
  <c r="M125" i="41"/>
  <c r="K250" i="40"/>
  <c r="J59" i="24"/>
  <c r="I59" i="24"/>
  <c r="H59" i="24"/>
  <c r="G59" i="24"/>
  <c r="F59" i="24"/>
  <c r="E59" i="24"/>
  <c r="O57" i="24"/>
  <c r="N57" i="24"/>
  <c r="M57" i="24"/>
  <c r="O116" i="41"/>
  <c r="O125" i="41"/>
  <c r="M250" i="40"/>
  <c r="L57" i="24"/>
  <c r="K57" i="24"/>
  <c r="J57" i="24"/>
  <c r="I57" i="24"/>
  <c r="H57" i="24"/>
  <c r="G57" i="24"/>
  <c r="F57" i="24"/>
  <c r="E57" i="24"/>
  <c r="O55" i="24"/>
  <c r="Q116" i="41"/>
  <c r="Q125" i="41"/>
  <c r="O250" i="40"/>
  <c r="N55" i="24"/>
  <c r="M55" i="24"/>
  <c r="L55" i="24"/>
  <c r="K55" i="24"/>
  <c r="J55" i="24"/>
  <c r="I55" i="24"/>
  <c r="H55" i="24"/>
  <c r="G55" i="24"/>
  <c r="F55" i="24"/>
  <c r="E55" i="24"/>
  <c r="O15" i="24"/>
  <c r="N15" i="24"/>
  <c r="M15" i="24"/>
  <c r="L15" i="24"/>
  <c r="K15" i="24"/>
  <c r="J15" i="24"/>
  <c r="I15" i="24"/>
  <c r="H15" i="24"/>
  <c r="G15" i="24"/>
  <c r="F15" i="24"/>
  <c r="E15" i="24"/>
  <c r="O14" i="24"/>
  <c r="N14" i="24"/>
  <c r="M14" i="24"/>
  <c r="L14" i="24"/>
  <c r="K14" i="24"/>
  <c r="J14" i="24"/>
  <c r="I14" i="24"/>
  <c r="H14" i="24"/>
  <c r="G14" i="24"/>
  <c r="F14" i="24"/>
  <c r="E14" i="24"/>
  <c r="O12" i="24"/>
  <c r="N12" i="24"/>
  <c r="M12" i="24"/>
  <c r="L12" i="24"/>
  <c r="K12" i="24"/>
  <c r="J12" i="24"/>
  <c r="I12" i="24"/>
  <c r="H12" i="24"/>
  <c r="G12" i="24"/>
  <c r="F12" i="24"/>
  <c r="E12" i="24"/>
  <c r="O10" i="24"/>
  <c r="N10" i="24"/>
  <c r="M10" i="24"/>
  <c r="L10" i="24"/>
  <c r="K10" i="24"/>
  <c r="J10" i="24"/>
  <c r="I10" i="24"/>
  <c r="H10" i="24"/>
  <c r="G10" i="24"/>
  <c r="F10" i="24"/>
  <c r="E10" i="24"/>
  <c r="R1" i="27"/>
  <c r="O59" i="12"/>
  <c r="O64" i="12"/>
  <c r="O62" i="12"/>
  <c r="O65" i="12"/>
  <c r="O119" i="41"/>
  <c r="O128" i="41"/>
  <c r="M253" i="40"/>
  <c r="O64" i="41"/>
  <c r="O72" i="41"/>
  <c r="M139" i="40"/>
  <c r="P65" i="41"/>
  <c r="P73" i="41"/>
  <c r="N140" i="40"/>
  <c r="P120" i="41"/>
  <c r="P129" i="41"/>
  <c r="N254" i="40"/>
  <c r="Q28" i="41"/>
  <c r="Q37" i="41"/>
  <c r="O68" i="40"/>
  <c r="Q66" i="41"/>
  <c r="Q74" i="41"/>
  <c r="Q121" i="41"/>
  <c r="Q130" i="41"/>
  <c r="O255" i="40"/>
  <c r="Q102" i="41"/>
  <c r="Q110" i="41"/>
  <c r="O215" i="40"/>
  <c r="Q84" i="41"/>
  <c r="Q92" i="41"/>
  <c r="O178" i="40"/>
  <c r="P62" i="41"/>
  <c r="P70" i="41"/>
  <c r="N137" i="40"/>
  <c r="P117" i="41"/>
  <c r="P126" i="41"/>
  <c r="N251" i="40"/>
  <c r="Q25" i="41"/>
  <c r="Q34" i="41"/>
  <c r="O65" i="40"/>
  <c r="Q99" i="41"/>
  <c r="Q107" i="41"/>
  <c r="O212" i="40"/>
  <c r="Q81" i="41"/>
  <c r="Q89" i="41"/>
  <c r="O175" i="40"/>
  <c r="Q63" i="41"/>
  <c r="Q71" i="41"/>
  <c r="Q118" i="41"/>
  <c r="Q127" i="41"/>
  <c r="O252" i="40"/>
  <c r="O258" i="40"/>
  <c r="O260" i="40"/>
  <c r="O261" i="40"/>
  <c r="R21" i="3"/>
  <c r="N62" i="41"/>
  <c r="N70" i="41"/>
  <c r="L137" i="40"/>
  <c r="N117" i="41"/>
  <c r="N126" i="41"/>
  <c r="L251" i="40"/>
  <c r="I29" i="12"/>
  <c r="I30" i="12"/>
  <c r="O118" i="41"/>
  <c r="O127" i="41"/>
  <c r="M252" i="40"/>
  <c r="M258" i="40"/>
  <c r="M260" i="40"/>
  <c r="M261" i="40"/>
  <c r="P21" i="3"/>
  <c r="O63" i="41"/>
  <c r="O71" i="41"/>
  <c r="M138" i="40"/>
  <c r="M144" i="40"/>
  <c r="M146" i="40"/>
  <c r="M147" i="40"/>
  <c r="P22" i="3"/>
  <c r="P64" i="41"/>
  <c r="P72" i="41"/>
  <c r="N139" i="40"/>
  <c r="P119" i="41"/>
  <c r="P128" i="41"/>
  <c r="N253" i="40"/>
  <c r="M117" i="41"/>
  <c r="M126" i="41"/>
  <c r="K251" i="40"/>
  <c r="K258" i="40"/>
  <c r="K260" i="40"/>
  <c r="K261" i="40"/>
  <c r="N21" i="3"/>
  <c r="M62" i="41"/>
  <c r="M70" i="41"/>
  <c r="K137" i="40"/>
  <c r="K144" i="40"/>
  <c r="K146" i="40"/>
  <c r="K147" i="40"/>
  <c r="N22" i="3"/>
  <c r="Q27" i="41"/>
  <c r="Q36" i="41"/>
  <c r="O67" i="40"/>
  <c r="Q101" i="41"/>
  <c r="Q109" i="41"/>
  <c r="O214" i="40"/>
  <c r="Q83" i="41"/>
  <c r="Q91" i="41"/>
  <c r="O177" i="40"/>
  <c r="Q65" i="41"/>
  <c r="Q73" i="41"/>
  <c r="Q120" i="41"/>
  <c r="Q129" i="41"/>
  <c r="O254" i="40"/>
  <c r="N118" i="41"/>
  <c r="N127" i="41"/>
  <c r="L252" i="40"/>
  <c r="N63" i="41"/>
  <c r="N71" i="41"/>
  <c r="L138" i="40"/>
  <c r="AM137" i="37"/>
  <c r="P189" i="13"/>
  <c r="P101" i="9"/>
  <c r="O40" i="12"/>
  <c r="Q116" i="9"/>
  <c r="O41" i="12"/>
  <c r="Q112" i="9"/>
  <c r="N516" i="37"/>
  <c r="N517" i="37"/>
  <c r="O16" i="37"/>
  <c r="O17" i="37"/>
  <c r="O516" i="37"/>
  <c r="O517" i="37"/>
  <c r="X540" i="37"/>
  <c r="X541" i="37"/>
  <c r="AA72" i="37"/>
  <c r="AA73" i="37"/>
  <c r="Y540" i="37"/>
  <c r="Y541" i="37"/>
  <c r="AB72" i="37"/>
  <c r="AB73" i="37"/>
  <c r="AA672" i="37"/>
  <c r="AA673" i="37"/>
  <c r="AA128" i="37"/>
  <c r="AA129" i="37"/>
  <c r="AA100" i="37"/>
  <c r="AA101" i="37"/>
  <c r="AA728" i="37"/>
  <c r="AA729" i="37"/>
  <c r="AB728" i="37"/>
  <c r="AB729" i="37"/>
  <c r="AB282" i="37"/>
  <c r="AB283" i="37"/>
  <c r="AB128" i="37"/>
  <c r="AB129" i="37"/>
  <c r="AB100" i="37"/>
  <c r="AB101" i="37"/>
  <c r="AB250" i="37"/>
  <c r="AB251" i="37"/>
  <c r="AB672" i="37"/>
  <c r="AB673" i="37"/>
  <c r="AC282" i="37"/>
  <c r="AC283" i="37"/>
  <c r="AC250" i="37"/>
  <c r="AC251" i="37"/>
  <c r="AC672" i="37"/>
  <c r="AC673" i="37"/>
  <c r="U364" i="37"/>
  <c r="U365" i="37"/>
  <c r="T302" i="37"/>
  <c r="T303" i="37"/>
  <c r="V364" i="37"/>
  <c r="V365" i="37"/>
  <c r="U400" i="37"/>
  <c r="U401" i="37"/>
  <c r="U302" i="37"/>
  <c r="U303" i="37"/>
  <c r="V400" i="37"/>
  <c r="V401" i="37"/>
  <c r="P20" i="37"/>
  <c r="P21" i="37"/>
  <c r="W496" i="37"/>
  <c r="W497" i="37"/>
  <c r="X496" i="37"/>
  <c r="X497" i="37"/>
  <c r="Y496" i="37"/>
  <c r="Y497" i="37"/>
  <c r="AC76" i="37"/>
  <c r="AC77" i="37"/>
  <c r="AD76" i="37"/>
  <c r="AD77" i="37"/>
  <c r="AC732" i="37"/>
  <c r="AC733" i="37"/>
  <c r="AC132" i="37"/>
  <c r="AC133" i="37"/>
  <c r="AC104" i="37"/>
  <c r="AC105" i="37"/>
  <c r="AD132" i="37"/>
  <c r="AD133" i="37"/>
  <c r="AD104" i="37"/>
  <c r="AD105" i="37"/>
  <c r="AD286" i="37"/>
  <c r="AD287" i="37"/>
  <c r="AD732" i="37"/>
  <c r="AD733" i="37"/>
  <c r="AE286" i="37"/>
  <c r="AE287" i="37"/>
  <c r="T238" i="37"/>
  <c r="T239" i="37"/>
  <c r="T174" i="37"/>
  <c r="T175" i="37"/>
  <c r="T206" i="37"/>
  <c r="T207" i="37"/>
  <c r="T270" i="37"/>
  <c r="T271" i="37"/>
  <c r="U174" i="37"/>
  <c r="U175" i="37"/>
  <c r="U206" i="37"/>
  <c r="U207" i="37"/>
  <c r="W368" i="37"/>
  <c r="W369" i="37"/>
  <c r="U238" i="37"/>
  <c r="U239" i="37"/>
  <c r="U270" i="37"/>
  <c r="U271" i="37"/>
  <c r="V306" i="37"/>
  <c r="V307" i="37"/>
  <c r="X368" i="37"/>
  <c r="X369" i="37"/>
  <c r="W404" i="37"/>
  <c r="W405" i="37"/>
  <c r="W306" i="37"/>
  <c r="W307" i="37"/>
  <c r="X404" i="37"/>
  <c r="X405" i="37"/>
  <c r="Q24" i="37"/>
  <c r="Q25" i="37"/>
  <c r="AE736" i="37"/>
  <c r="AE737" i="37"/>
  <c r="AE136" i="37"/>
  <c r="AE137" i="37"/>
  <c r="AE108" i="37"/>
  <c r="AE109" i="37"/>
  <c r="AF108" i="37"/>
  <c r="AF109" i="37"/>
  <c r="AF736" i="37"/>
  <c r="AF737" i="37"/>
  <c r="AF136" i="37"/>
  <c r="AF137" i="37"/>
  <c r="AF290" i="37"/>
  <c r="AF291" i="37"/>
  <c r="AG290" i="37"/>
  <c r="AG291" i="37"/>
  <c r="W40" i="37"/>
  <c r="W41" i="37"/>
  <c r="X40" i="37"/>
  <c r="X41" i="37"/>
  <c r="Y40" i="37"/>
  <c r="Y41" i="37"/>
  <c r="L512" i="37"/>
  <c r="L513" i="37"/>
  <c r="M12" i="37"/>
  <c r="M13" i="37"/>
  <c r="M612" i="37"/>
  <c r="M613" i="37"/>
  <c r="T536" i="37"/>
  <c r="T537" i="37"/>
  <c r="W68" i="37"/>
  <c r="W69" i="37"/>
  <c r="U536" i="37"/>
  <c r="U537" i="37"/>
  <c r="U560" i="37"/>
  <c r="U561" i="37"/>
  <c r="U584" i="37"/>
  <c r="U585" i="37"/>
  <c r="X68" i="37"/>
  <c r="X69" i="37"/>
  <c r="V560" i="37"/>
  <c r="V561" i="37"/>
  <c r="V584" i="37"/>
  <c r="V585" i="37"/>
  <c r="W124" i="37"/>
  <c r="W125" i="37"/>
  <c r="W668" i="37"/>
  <c r="W669" i="37"/>
  <c r="W640" i="37"/>
  <c r="W641" i="37"/>
  <c r="W724" i="37"/>
  <c r="W725" i="37"/>
  <c r="W696" i="37"/>
  <c r="W697" i="37"/>
  <c r="W96" i="37"/>
  <c r="W97" i="37"/>
  <c r="X640" i="37"/>
  <c r="X641" i="37"/>
  <c r="X668" i="37"/>
  <c r="X669" i="37"/>
  <c r="X124" i="37"/>
  <c r="X125" i="37"/>
  <c r="X214" i="37"/>
  <c r="X215" i="37"/>
  <c r="X182" i="37"/>
  <c r="X183" i="37"/>
  <c r="X246" i="37"/>
  <c r="X247" i="37"/>
  <c r="X724" i="37"/>
  <c r="X725" i="37"/>
  <c r="X696" i="37"/>
  <c r="X697" i="37"/>
  <c r="X96" i="37"/>
  <c r="X97" i="37"/>
  <c r="X278" i="37"/>
  <c r="X279" i="37"/>
  <c r="Y182" i="37"/>
  <c r="Y183" i="37"/>
  <c r="Y696" i="37"/>
  <c r="Y697" i="37"/>
  <c r="Y214" i="37"/>
  <c r="Y215" i="37"/>
  <c r="Y278" i="37"/>
  <c r="Y279" i="37"/>
  <c r="Y640" i="37"/>
  <c r="Y641" i="37"/>
  <c r="Y246" i="37"/>
  <c r="Y247" i="37"/>
  <c r="Z314" i="37"/>
  <c r="Z315" i="37"/>
  <c r="AA314" i="37"/>
  <c r="AA315" i="37"/>
  <c r="AA412" i="37"/>
  <c r="AA413" i="37"/>
  <c r="AB412" i="37"/>
  <c r="AB413" i="37"/>
  <c r="W364" i="37"/>
  <c r="W365" i="37"/>
  <c r="V302" i="37"/>
  <c r="V303" i="37"/>
  <c r="X364" i="37"/>
  <c r="X365" i="37"/>
  <c r="W302" i="37"/>
  <c r="W303" i="37"/>
  <c r="W400" i="37"/>
  <c r="W401" i="37"/>
  <c r="X400" i="37"/>
  <c r="X401" i="37"/>
  <c r="V36" i="37"/>
  <c r="V37" i="37"/>
  <c r="U36" i="37"/>
  <c r="U37" i="37"/>
  <c r="L608" i="37"/>
  <c r="L609" i="37"/>
  <c r="U64" i="37"/>
  <c r="U65" i="37"/>
  <c r="V64" i="37"/>
  <c r="V65" i="37"/>
  <c r="U720" i="37"/>
  <c r="U721" i="37"/>
  <c r="U692" i="37"/>
  <c r="U693" i="37"/>
  <c r="U636" i="37"/>
  <c r="U637" i="37"/>
  <c r="U120" i="37"/>
  <c r="U121" i="37"/>
  <c r="U664" i="37"/>
  <c r="U665" i="37"/>
  <c r="U92" i="37"/>
  <c r="U93" i="37"/>
  <c r="V120" i="37"/>
  <c r="V121" i="37"/>
  <c r="V664" i="37"/>
  <c r="V665" i="37"/>
  <c r="V178" i="37"/>
  <c r="V179" i="37"/>
  <c r="V210" i="37"/>
  <c r="V211" i="37"/>
  <c r="V242" i="37"/>
  <c r="V243" i="37"/>
  <c r="V692" i="37"/>
  <c r="V693" i="37"/>
  <c r="V720" i="37"/>
  <c r="V721" i="37"/>
  <c r="V636" i="37"/>
  <c r="V637" i="37"/>
  <c r="V274" i="37"/>
  <c r="V275" i="37"/>
  <c r="V92" i="37"/>
  <c r="V93" i="37"/>
  <c r="W242" i="37"/>
  <c r="W243" i="37"/>
  <c r="W210" i="37"/>
  <c r="W211" i="37"/>
  <c r="W178" i="37"/>
  <c r="W179" i="37"/>
  <c r="W274" i="37"/>
  <c r="W275" i="37"/>
  <c r="X310" i="37"/>
  <c r="X311" i="37"/>
  <c r="Y310" i="37"/>
  <c r="Y311" i="37"/>
  <c r="Y408" i="37"/>
  <c r="Y409" i="37"/>
  <c r="Z408" i="37"/>
  <c r="Z409" i="37"/>
  <c r="E756" i="37"/>
  <c r="E757" i="37"/>
  <c r="C757" i="37"/>
  <c r="M516" i="37"/>
  <c r="M517" i="37"/>
  <c r="N616" i="37"/>
  <c r="N617" i="37"/>
  <c r="N16" i="37"/>
  <c r="N17" i="37"/>
  <c r="O616" i="37"/>
  <c r="O617" i="37"/>
  <c r="V540" i="37"/>
  <c r="V541" i="37"/>
  <c r="Y72" i="37"/>
  <c r="Y73" i="37"/>
  <c r="W540" i="37"/>
  <c r="W541" i="37"/>
  <c r="Z72" i="37"/>
  <c r="Z73" i="37"/>
  <c r="W564" i="37"/>
  <c r="W565" i="37"/>
  <c r="W588" i="37"/>
  <c r="W589" i="37"/>
  <c r="X564" i="37"/>
  <c r="X565" i="37"/>
  <c r="X588" i="37"/>
  <c r="X589" i="37"/>
  <c r="Y672" i="37"/>
  <c r="Y673" i="37"/>
  <c r="Y728" i="37"/>
  <c r="Y729" i="37"/>
  <c r="Y564" i="37"/>
  <c r="Y565" i="37"/>
  <c r="Y588" i="37"/>
  <c r="Y589" i="37"/>
  <c r="Y128" i="37"/>
  <c r="Y129" i="37"/>
  <c r="Y100" i="37"/>
  <c r="Y101" i="37"/>
  <c r="Z128" i="37"/>
  <c r="Z129" i="37"/>
  <c r="Z250" i="37"/>
  <c r="Z251" i="37"/>
  <c r="Z282" i="37"/>
  <c r="Z283" i="37"/>
  <c r="Z672" i="37"/>
  <c r="Z673" i="37"/>
  <c r="Z728" i="37"/>
  <c r="Z729" i="37"/>
  <c r="Z100" i="37"/>
  <c r="Z101" i="37"/>
  <c r="AA282" i="37"/>
  <c r="AA283" i="37"/>
  <c r="AA250" i="37"/>
  <c r="AA251" i="37"/>
  <c r="AB318" i="37"/>
  <c r="AB319" i="37"/>
  <c r="AC318" i="37"/>
  <c r="AC319" i="37"/>
  <c r="V238" i="37"/>
  <c r="V239" i="37"/>
  <c r="V270" i="37"/>
  <c r="V271" i="37"/>
  <c r="V174" i="37"/>
  <c r="V175" i="37"/>
  <c r="V206" i="37"/>
  <c r="V207" i="37"/>
  <c r="W206" i="37"/>
  <c r="W207" i="37"/>
  <c r="W174" i="37"/>
  <c r="W175" i="37"/>
  <c r="W238" i="37"/>
  <c r="W239" i="37"/>
  <c r="W270" i="37"/>
  <c r="W271" i="37"/>
  <c r="X306" i="37"/>
  <c r="X307" i="37"/>
  <c r="Y306" i="37"/>
  <c r="Y307" i="37"/>
  <c r="Y404" i="37"/>
  <c r="Y405" i="37"/>
  <c r="Z404" i="37"/>
  <c r="Z405" i="37"/>
  <c r="N520" i="37"/>
  <c r="N521" i="37"/>
  <c r="O520" i="37"/>
  <c r="O521" i="37"/>
  <c r="O20" i="37"/>
  <c r="O21" i="37"/>
  <c r="U496" i="37"/>
  <c r="U497" i="37"/>
  <c r="V496" i="37"/>
  <c r="V497" i="37"/>
  <c r="X544" i="37"/>
  <c r="X545" i="37"/>
  <c r="AA76" i="37"/>
  <c r="AA77" i="37"/>
  <c r="AB76" i="37"/>
  <c r="AB77" i="37"/>
  <c r="Y544" i="37"/>
  <c r="Y545" i="37"/>
  <c r="AA104" i="37"/>
  <c r="AA105" i="37"/>
  <c r="AA676" i="37"/>
  <c r="AA677" i="37"/>
  <c r="AA732" i="37"/>
  <c r="AA733" i="37"/>
  <c r="AA132" i="37"/>
  <c r="AA133" i="37"/>
  <c r="AB286" i="37"/>
  <c r="AB287" i="37"/>
  <c r="AB254" i="37"/>
  <c r="AB255" i="37"/>
  <c r="AB676" i="37"/>
  <c r="AB677" i="37"/>
  <c r="AB732" i="37"/>
  <c r="AB733" i="37"/>
  <c r="AB132" i="37"/>
  <c r="AB133" i="37"/>
  <c r="AB104" i="37"/>
  <c r="AB105" i="37"/>
  <c r="AC286" i="37"/>
  <c r="AC287" i="37"/>
  <c r="AC676" i="37"/>
  <c r="AC677" i="37"/>
  <c r="AC254" i="37"/>
  <c r="AC255" i="37"/>
  <c r="W36" i="37"/>
  <c r="W37" i="37"/>
  <c r="X36" i="37"/>
  <c r="X37" i="37"/>
  <c r="Y36" i="37"/>
  <c r="Y37" i="37"/>
  <c r="M608" i="37"/>
  <c r="M609" i="37"/>
  <c r="W64" i="37"/>
  <c r="W65" i="37"/>
  <c r="X64" i="37"/>
  <c r="X65" i="37"/>
  <c r="W720" i="37"/>
  <c r="W721" i="37"/>
  <c r="W92" i="37"/>
  <c r="W93" i="37"/>
  <c r="W120" i="37"/>
  <c r="W121" i="37"/>
  <c r="W664" i="37"/>
  <c r="W665" i="37"/>
  <c r="W692" i="37"/>
  <c r="W693" i="37"/>
  <c r="W636" i="37"/>
  <c r="W637" i="37"/>
  <c r="X692" i="37"/>
  <c r="X693" i="37"/>
  <c r="X92" i="37"/>
  <c r="X93" i="37"/>
  <c r="X720" i="37"/>
  <c r="X721" i="37"/>
  <c r="X242" i="37"/>
  <c r="X243" i="37"/>
  <c r="X664" i="37"/>
  <c r="X665" i="37"/>
  <c r="X120" i="37"/>
  <c r="X121" i="37"/>
  <c r="X274" i="37"/>
  <c r="X275" i="37"/>
  <c r="X636" i="37"/>
  <c r="X637" i="37"/>
  <c r="X210" i="37"/>
  <c r="X211" i="37"/>
  <c r="X178" i="37"/>
  <c r="X179" i="37"/>
  <c r="Y274" i="37"/>
  <c r="Y275" i="37"/>
  <c r="Y210" i="37"/>
  <c r="Y211" i="37"/>
  <c r="Y692" i="37"/>
  <c r="Y693" i="37"/>
  <c r="Y636" i="37"/>
  <c r="Y637" i="37"/>
  <c r="Y242" i="37"/>
  <c r="Y243" i="37"/>
  <c r="Y178" i="37"/>
  <c r="Y179" i="37"/>
  <c r="Z310" i="37"/>
  <c r="Z311" i="37"/>
  <c r="AA310" i="37"/>
  <c r="AA311" i="37"/>
  <c r="AA408" i="37"/>
  <c r="AA409" i="37"/>
  <c r="AB408" i="37"/>
  <c r="AB409" i="37"/>
  <c r="P24" i="37"/>
  <c r="P25" i="37"/>
  <c r="W500" i="37"/>
  <c r="W501" i="37"/>
  <c r="X500" i="37"/>
  <c r="X501" i="37"/>
  <c r="Y500" i="37"/>
  <c r="Y501" i="37"/>
  <c r="AC80" i="37"/>
  <c r="AC81" i="37"/>
  <c r="AD80" i="37"/>
  <c r="AD81" i="37"/>
  <c r="AC736" i="37"/>
  <c r="AC737" i="37"/>
  <c r="AC136" i="37"/>
  <c r="AC137" i="37"/>
  <c r="AC108" i="37"/>
  <c r="AC109" i="37"/>
  <c r="AD290" i="37"/>
  <c r="AD291" i="37"/>
  <c r="AD108" i="37"/>
  <c r="AD109" i="37"/>
  <c r="AD136" i="37"/>
  <c r="AD137" i="37"/>
  <c r="AD736" i="37"/>
  <c r="AD737" i="37"/>
  <c r="AE290" i="37"/>
  <c r="AE291" i="37"/>
  <c r="E752" i="37"/>
  <c r="E753" i="37"/>
  <c r="C753" i="37"/>
  <c r="M512" i="37"/>
  <c r="M513" i="37"/>
  <c r="N12" i="37"/>
  <c r="N13" i="37"/>
  <c r="N612" i="37"/>
  <c r="N613" i="37"/>
  <c r="O612" i="37"/>
  <c r="O613" i="37"/>
  <c r="V536" i="37"/>
  <c r="V537" i="37"/>
  <c r="Y68" i="37"/>
  <c r="Y69" i="37"/>
  <c r="W560" i="37"/>
  <c r="W561" i="37"/>
  <c r="Z68" i="37"/>
  <c r="Z69" i="37"/>
  <c r="W536" i="37"/>
  <c r="W537" i="37"/>
  <c r="W584" i="37"/>
  <c r="W585" i="37"/>
  <c r="X560" i="37"/>
  <c r="X561" i="37"/>
  <c r="X584" i="37"/>
  <c r="X585" i="37"/>
  <c r="Y96" i="37"/>
  <c r="Y97" i="37"/>
  <c r="Y724" i="37"/>
  <c r="Y725" i="37"/>
  <c r="Y668" i="37"/>
  <c r="Y669" i="37"/>
  <c r="Y584" i="37"/>
  <c r="Y585" i="37"/>
  <c r="Y124" i="37"/>
  <c r="Y125" i="37"/>
  <c r="Y560" i="37"/>
  <c r="Y561" i="37"/>
  <c r="Z124" i="37"/>
  <c r="Z125" i="37"/>
  <c r="Z246" i="37"/>
  <c r="Z247" i="37"/>
  <c r="Z96" i="37"/>
  <c r="Z97" i="37"/>
  <c r="Z278" i="37"/>
  <c r="Z279" i="37"/>
  <c r="Z668" i="37"/>
  <c r="Z669" i="37"/>
  <c r="Z724" i="37"/>
  <c r="Z725" i="37"/>
  <c r="AA246" i="37"/>
  <c r="AA247" i="37"/>
  <c r="AA278" i="37"/>
  <c r="AA279" i="37"/>
  <c r="AB314" i="37"/>
  <c r="AB315" i="37"/>
  <c r="AC314" i="37"/>
  <c r="AC315" i="37"/>
  <c r="S40" i="37"/>
  <c r="S41" i="37"/>
  <c r="T40" i="37"/>
  <c r="T41" i="37"/>
  <c r="J512" i="37"/>
  <c r="J513" i="37"/>
  <c r="K612" i="37"/>
  <c r="K613" i="37"/>
  <c r="K12" i="37"/>
  <c r="K13" i="37"/>
  <c r="S68" i="37"/>
  <c r="S69" i="37"/>
  <c r="P536" i="37"/>
  <c r="P537" i="37"/>
  <c r="T68" i="37"/>
  <c r="T69" i="37"/>
  <c r="Q536" i="37"/>
  <c r="Q537" i="37"/>
  <c r="Q560" i="37"/>
  <c r="Q561" i="37"/>
  <c r="Q150" i="37"/>
  <c r="Q151" i="37"/>
  <c r="Q584" i="37"/>
  <c r="Q585" i="37"/>
  <c r="R150" i="37"/>
  <c r="R151" i="37"/>
  <c r="R560" i="37"/>
  <c r="R561" i="37"/>
  <c r="R584" i="37"/>
  <c r="R585" i="37"/>
  <c r="S640" i="37"/>
  <c r="S641" i="37"/>
  <c r="S96" i="37"/>
  <c r="S97" i="37"/>
  <c r="S668" i="37"/>
  <c r="S669" i="37"/>
  <c r="S150" i="37"/>
  <c r="S151" i="37"/>
  <c r="S124" i="37"/>
  <c r="S125" i="37"/>
  <c r="S724" i="37"/>
  <c r="S725" i="37"/>
  <c r="S696" i="37"/>
  <c r="S697" i="37"/>
  <c r="T278" i="37"/>
  <c r="T279" i="37"/>
  <c r="T182" i="37"/>
  <c r="T183" i="37"/>
  <c r="T696" i="37"/>
  <c r="T697" i="37"/>
  <c r="T214" i="37"/>
  <c r="T215" i="37"/>
  <c r="T640" i="37"/>
  <c r="T641" i="37"/>
  <c r="T96" i="37"/>
  <c r="T97" i="37"/>
  <c r="T246" i="37"/>
  <c r="T247" i="37"/>
  <c r="T724" i="37"/>
  <c r="T725" i="37"/>
  <c r="T124" i="37"/>
  <c r="T125" i="37"/>
  <c r="T668" i="37"/>
  <c r="T669" i="37"/>
  <c r="U214" i="37"/>
  <c r="U215" i="37"/>
  <c r="W376" i="37"/>
  <c r="W377" i="37"/>
  <c r="U246" i="37"/>
  <c r="U247" i="37"/>
  <c r="U182" i="37"/>
  <c r="U183" i="37"/>
  <c r="U278" i="37"/>
  <c r="U279" i="37"/>
  <c r="X376" i="37"/>
  <c r="X377" i="37"/>
  <c r="V314" i="37"/>
  <c r="V315" i="37"/>
  <c r="W412" i="37"/>
  <c r="W413" i="37"/>
  <c r="W314" i="37"/>
  <c r="W315" i="37"/>
  <c r="X412" i="37"/>
  <c r="X413" i="37"/>
  <c r="U44" i="37"/>
  <c r="U45" i="37"/>
  <c r="V44" i="37"/>
  <c r="V45" i="37"/>
  <c r="K516" i="37"/>
  <c r="K517" i="37"/>
  <c r="L616" i="37"/>
  <c r="L617" i="37"/>
  <c r="L16" i="37"/>
  <c r="L17" i="37"/>
  <c r="U72" i="37"/>
  <c r="U73" i="37"/>
  <c r="R540" i="37"/>
  <c r="R541" i="37"/>
  <c r="S588" i="37"/>
  <c r="S589" i="37"/>
  <c r="S564" i="37"/>
  <c r="S565" i="37"/>
  <c r="S540" i="37"/>
  <c r="S541" i="37"/>
  <c r="V72" i="37"/>
  <c r="V73" i="37"/>
  <c r="T564" i="37"/>
  <c r="T565" i="37"/>
  <c r="T588" i="37"/>
  <c r="T589" i="37"/>
  <c r="U728" i="37"/>
  <c r="U729" i="37"/>
  <c r="U644" i="37"/>
  <c r="U645" i="37"/>
  <c r="U700" i="37"/>
  <c r="U701" i="37"/>
  <c r="U100" i="37"/>
  <c r="U101" i="37"/>
  <c r="U672" i="37"/>
  <c r="U673" i="37"/>
  <c r="U128" i="37"/>
  <c r="U129" i="37"/>
  <c r="V100" i="37"/>
  <c r="V101" i="37"/>
  <c r="V700" i="37"/>
  <c r="V701" i="37"/>
  <c r="V128" i="37"/>
  <c r="V129" i="37"/>
  <c r="V672" i="37"/>
  <c r="V673" i="37"/>
  <c r="V282" i="37"/>
  <c r="V283" i="37"/>
  <c r="V218" i="37"/>
  <c r="V219" i="37"/>
  <c r="V186" i="37"/>
  <c r="V187" i="37"/>
  <c r="V250" i="37"/>
  <c r="V251" i="37"/>
  <c r="V644" i="37"/>
  <c r="V645" i="37"/>
  <c r="V728" i="37"/>
  <c r="V729" i="37"/>
  <c r="W282" i="37"/>
  <c r="W283" i="37"/>
  <c r="W218" i="37"/>
  <c r="W219" i="37"/>
  <c r="W250" i="37"/>
  <c r="W251" i="37"/>
  <c r="W186" i="37"/>
  <c r="W187" i="37"/>
  <c r="X318" i="37"/>
  <c r="X319" i="37"/>
  <c r="Y318" i="37"/>
  <c r="Y319" i="37"/>
  <c r="Y416" i="37"/>
  <c r="Y417" i="37"/>
  <c r="Z416" i="37"/>
  <c r="Z417" i="37"/>
  <c r="W48" i="37"/>
  <c r="W49" i="37"/>
  <c r="X48" i="37"/>
  <c r="X49" i="37"/>
  <c r="Y48" i="37"/>
  <c r="Y49" i="37"/>
  <c r="L520" i="37"/>
  <c r="L521" i="37"/>
  <c r="M20" i="37"/>
  <c r="M21" i="37"/>
  <c r="M620" i="37"/>
  <c r="M621" i="37"/>
  <c r="Q496" i="37"/>
  <c r="Q497" i="37"/>
  <c r="R496" i="37"/>
  <c r="R497" i="37"/>
  <c r="T544" i="37"/>
  <c r="T545" i="37"/>
  <c r="W76" i="37"/>
  <c r="W77" i="37"/>
  <c r="U568" i="37"/>
  <c r="U569" i="37"/>
  <c r="U544" i="37"/>
  <c r="U545" i="37"/>
  <c r="X76" i="37"/>
  <c r="X77" i="37"/>
  <c r="U592" i="37"/>
  <c r="U593" i="37"/>
  <c r="V592" i="37"/>
  <c r="V593" i="37"/>
  <c r="V568" i="37"/>
  <c r="V569" i="37"/>
  <c r="W676" i="37"/>
  <c r="W677" i="37"/>
  <c r="W732" i="37"/>
  <c r="W733" i="37"/>
  <c r="W132" i="37"/>
  <c r="W133" i="37"/>
  <c r="W104" i="37"/>
  <c r="W105" i="37"/>
  <c r="W648" i="37"/>
  <c r="W649" i="37"/>
  <c r="W704" i="37"/>
  <c r="W705" i="37"/>
  <c r="X254" i="37"/>
  <c r="X255" i="37"/>
  <c r="X676" i="37"/>
  <c r="X677" i="37"/>
  <c r="X190" i="37"/>
  <c r="X191" i="37"/>
  <c r="X222" i="37"/>
  <c r="X223" i="37"/>
  <c r="X132" i="37"/>
  <c r="X133" i="37"/>
  <c r="X648" i="37"/>
  <c r="X649" i="37"/>
  <c r="X704" i="37"/>
  <c r="X705" i="37"/>
  <c r="X286" i="37"/>
  <c r="X287" i="37"/>
  <c r="X104" i="37"/>
  <c r="X105" i="37"/>
  <c r="X732" i="37"/>
  <c r="X733" i="37"/>
  <c r="Y222" i="37"/>
  <c r="Y223" i="37"/>
  <c r="Y190" i="37"/>
  <c r="Y191" i="37"/>
  <c r="Y704" i="37"/>
  <c r="Y705" i="37"/>
  <c r="Y286" i="37"/>
  <c r="Y287" i="37"/>
  <c r="Y648" i="37"/>
  <c r="Y649" i="37"/>
  <c r="Y254" i="37"/>
  <c r="Y255" i="37"/>
  <c r="Z322" i="37"/>
  <c r="Z323" i="37"/>
  <c r="AA322" i="37"/>
  <c r="AA323" i="37"/>
  <c r="AA420" i="37"/>
  <c r="AA421" i="37"/>
  <c r="AB420" i="37"/>
  <c r="AB421" i="37"/>
  <c r="E764" i="37"/>
  <c r="E765" i="37"/>
  <c r="C765" i="37"/>
  <c r="J472" i="37"/>
  <c r="J473" i="37"/>
  <c r="M524" i="37"/>
  <c r="M525" i="37"/>
  <c r="N24" i="37"/>
  <c r="N25" i="37"/>
  <c r="N624" i="37"/>
  <c r="N625" i="37"/>
  <c r="O624" i="37"/>
  <c r="O625" i="37"/>
  <c r="S500" i="37"/>
  <c r="S501" i="37"/>
  <c r="T500" i="37"/>
  <c r="T501" i="37"/>
  <c r="V548" i="37"/>
  <c r="V549" i="37"/>
  <c r="Y80" i="37"/>
  <c r="Y81" i="37"/>
  <c r="Z80" i="37"/>
  <c r="Z81" i="37"/>
  <c r="W548" i="37"/>
  <c r="W549" i="37"/>
  <c r="W596" i="37"/>
  <c r="W597" i="37"/>
  <c r="W572" i="37"/>
  <c r="W573" i="37"/>
  <c r="X596" i="37"/>
  <c r="X597" i="37"/>
  <c r="X572" i="37"/>
  <c r="X573" i="37"/>
  <c r="Y572" i="37"/>
  <c r="Y573" i="37"/>
  <c r="Y680" i="37"/>
  <c r="Y681" i="37"/>
  <c r="Y108" i="37"/>
  <c r="Y109" i="37"/>
  <c r="Y136" i="37"/>
  <c r="Y137" i="37"/>
  <c r="Y596" i="37"/>
  <c r="Y597" i="37"/>
  <c r="Y736" i="37"/>
  <c r="Y737" i="37"/>
  <c r="Z108" i="37"/>
  <c r="Z109" i="37"/>
  <c r="Z290" i="37"/>
  <c r="Z291" i="37"/>
  <c r="Z258" i="37"/>
  <c r="Z259" i="37"/>
  <c r="Z736" i="37"/>
  <c r="Z737" i="37"/>
  <c r="Z136" i="37"/>
  <c r="Z137" i="37"/>
  <c r="Z680" i="37"/>
  <c r="Z681" i="37"/>
  <c r="AA290" i="37"/>
  <c r="AA291" i="37"/>
  <c r="AA258" i="37"/>
  <c r="AA259" i="37"/>
  <c r="AB326" i="37"/>
  <c r="AB327" i="37"/>
  <c r="AC326" i="37"/>
  <c r="AC327" i="37"/>
  <c r="Q364" i="37"/>
  <c r="Q365" i="37"/>
  <c r="P302" i="37"/>
  <c r="P303" i="37"/>
  <c r="R364" i="37"/>
  <c r="R365" i="37"/>
  <c r="Q302" i="37"/>
  <c r="Q303" i="37"/>
  <c r="Q400" i="37"/>
  <c r="Q401" i="37"/>
  <c r="R400" i="37"/>
  <c r="R401" i="37"/>
  <c r="R36" i="37"/>
  <c r="R37" i="37"/>
  <c r="Q36" i="37"/>
  <c r="Q37" i="37"/>
  <c r="J608" i="37"/>
  <c r="J609" i="37"/>
  <c r="Q64" i="37"/>
  <c r="Q65" i="37"/>
  <c r="R64" i="37"/>
  <c r="R65" i="37"/>
  <c r="Q120" i="37"/>
  <c r="Q121" i="37"/>
  <c r="Q636" i="37"/>
  <c r="Q637" i="37"/>
  <c r="Q92" i="37"/>
  <c r="Q93" i="37"/>
  <c r="Q692" i="37"/>
  <c r="Q693" i="37"/>
  <c r="Q664" i="37"/>
  <c r="Q665" i="37"/>
  <c r="Q720" i="37"/>
  <c r="Q721" i="37"/>
  <c r="R636" i="37"/>
  <c r="R637" i="37"/>
  <c r="R274" i="37"/>
  <c r="R275" i="37"/>
  <c r="R664" i="37"/>
  <c r="R665" i="37"/>
  <c r="R242" i="37"/>
  <c r="R243" i="37"/>
  <c r="R120" i="37"/>
  <c r="R121" i="37"/>
  <c r="R210" i="37"/>
  <c r="R211" i="37"/>
  <c r="R720" i="37"/>
  <c r="R721" i="37"/>
  <c r="R178" i="37"/>
  <c r="R179" i="37"/>
  <c r="R92" i="37"/>
  <c r="R93" i="37"/>
  <c r="R692" i="37"/>
  <c r="R693" i="37"/>
  <c r="S242" i="37"/>
  <c r="S243" i="37"/>
  <c r="S178" i="37"/>
  <c r="S179" i="37"/>
  <c r="S274" i="37"/>
  <c r="S275" i="37"/>
  <c r="U372" i="37"/>
  <c r="U373" i="37"/>
  <c r="S210" i="37"/>
  <c r="S211" i="37"/>
  <c r="T310" i="37"/>
  <c r="T311" i="37"/>
  <c r="V372" i="37"/>
  <c r="V373" i="37"/>
  <c r="U408" i="37"/>
  <c r="U409" i="37"/>
  <c r="U310" i="37"/>
  <c r="U311" i="37"/>
  <c r="V408" i="37"/>
  <c r="V409" i="37"/>
  <c r="P270" i="37"/>
  <c r="P271" i="37"/>
  <c r="P206" i="37"/>
  <c r="P207" i="37"/>
  <c r="P174" i="37"/>
  <c r="P175" i="37"/>
  <c r="P238" i="37"/>
  <c r="P239" i="37"/>
  <c r="Q206" i="37"/>
  <c r="Q207" i="37"/>
  <c r="Q174" i="37"/>
  <c r="Q175" i="37"/>
  <c r="S368" i="37"/>
  <c r="S369" i="37"/>
  <c r="Q238" i="37"/>
  <c r="Q239" i="37"/>
  <c r="Q270" i="37"/>
  <c r="Q271" i="37"/>
  <c r="R306" i="37"/>
  <c r="R307" i="37"/>
  <c r="T368" i="37"/>
  <c r="T369" i="37"/>
  <c r="S404" i="37"/>
  <c r="S405" i="37"/>
  <c r="S306" i="37"/>
  <c r="S307" i="37"/>
  <c r="T404" i="37"/>
  <c r="T405" i="37"/>
  <c r="M338" i="37"/>
  <c r="M339" i="37"/>
  <c r="N338" i="37"/>
  <c r="N339" i="37"/>
  <c r="H460" i="37"/>
  <c r="H461" i="37"/>
  <c r="V52" i="37"/>
  <c r="V53" i="37"/>
  <c r="U52" i="37"/>
  <c r="U53" i="37"/>
  <c r="H472" i="37"/>
  <c r="H473" i="37"/>
  <c r="I484" i="37"/>
  <c r="I485" i="37"/>
  <c r="J484" i="37"/>
  <c r="J485" i="37"/>
  <c r="K524" i="37"/>
  <c r="K525" i="37"/>
  <c r="L24" i="37"/>
  <c r="L25" i="37"/>
  <c r="L624" i="37"/>
  <c r="L625" i="37"/>
  <c r="O500" i="37"/>
  <c r="O501" i="37"/>
  <c r="P500" i="37"/>
  <c r="P501" i="37"/>
  <c r="U80" i="37"/>
  <c r="U81" i="37"/>
  <c r="R548" i="37"/>
  <c r="R549" i="37"/>
  <c r="V80" i="37"/>
  <c r="V81" i="37"/>
  <c r="S596" i="37"/>
  <c r="S597" i="37"/>
  <c r="S572" i="37"/>
  <c r="S573" i="37"/>
  <c r="S548" i="37"/>
  <c r="S549" i="37"/>
  <c r="T572" i="37"/>
  <c r="T573" i="37"/>
  <c r="T596" i="37"/>
  <c r="T597" i="37"/>
  <c r="U708" i="37"/>
  <c r="U709" i="37"/>
  <c r="U680" i="37"/>
  <c r="U681" i="37"/>
  <c r="U652" i="37"/>
  <c r="U653" i="37"/>
  <c r="U136" i="37"/>
  <c r="U137" i="37"/>
  <c r="U108" i="37"/>
  <c r="U109" i="37"/>
  <c r="U736" i="37"/>
  <c r="U737" i="37"/>
  <c r="V708" i="37"/>
  <c r="V709" i="37"/>
  <c r="V258" i="37"/>
  <c r="V259" i="37"/>
  <c r="V652" i="37"/>
  <c r="V653" i="37"/>
  <c r="V108" i="37"/>
  <c r="V109" i="37"/>
  <c r="V226" i="37"/>
  <c r="V227" i="37"/>
  <c r="V736" i="37"/>
  <c r="V737" i="37"/>
  <c r="V136" i="37"/>
  <c r="V137" i="37"/>
  <c r="V290" i="37"/>
  <c r="V291" i="37"/>
  <c r="V680" i="37"/>
  <c r="V681" i="37"/>
  <c r="V194" i="37"/>
  <c r="V195" i="37"/>
  <c r="W194" i="37"/>
  <c r="W195" i="37"/>
  <c r="W290" i="37"/>
  <c r="W291" i="37"/>
  <c r="W226" i="37"/>
  <c r="W227" i="37"/>
  <c r="W258" i="37"/>
  <c r="W259" i="37"/>
  <c r="X326" i="37"/>
  <c r="X327" i="37"/>
  <c r="Y326" i="37"/>
  <c r="Y327" i="37"/>
  <c r="Y424" i="37"/>
  <c r="Y425" i="37"/>
  <c r="Z424" i="37"/>
  <c r="Z425" i="37"/>
  <c r="L238" i="37"/>
  <c r="L239" i="37"/>
  <c r="L206" i="37"/>
  <c r="L207" i="37"/>
  <c r="L174" i="37"/>
  <c r="L175" i="37"/>
  <c r="L270" i="37"/>
  <c r="L271" i="37"/>
  <c r="O368" i="37"/>
  <c r="O369" i="37"/>
  <c r="M174" i="37"/>
  <c r="M175" i="37"/>
  <c r="M238" i="37"/>
  <c r="M239" i="37"/>
  <c r="M206" i="37"/>
  <c r="M207" i="37"/>
  <c r="M270" i="37"/>
  <c r="M271" i="37"/>
  <c r="N306" i="37"/>
  <c r="N307" i="37"/>
  <c r="P368" i="37"/>
  <c r="P369" i="37"/>
  <c r="O306" i="37"/>
  <c r="O307" i="37"/>
  <c r="O404" i="37"/>
  <c r="O405" i="37"/>
  <c r="P404" i="37"/>
  <c r="P405" i="37"/>
  <c r="N36" i="37"/>
  <c r="N37" i="37"/>
  <c r="M36" i="37"/>
  <c r="M37" i="37"/>
  <c r="H608" i="37"/>
  <c r="H609" i="37"/>
  <c r="M64" i="37"/>
  <c r="M65" i="37"/>
  <c r="N64" i="37"/>
  <c r="N65" i="37"/>
  <c r="M120" i="37"/>
  <c r="M121" i="37"/>
  <c r="M92" i="37"/>
  <c r="M93" i="37"/>
  <c r="M692" i="37"/>
  <c r="M693" i="37"/>
  <c r="M720" i="37"/>
  <c r="M721" i="37"/>
  <c r="M636" i="37"/>
  <c r="M637" i="37"/>
  <c r="M664" i="37"/>
  <c r="M665" i="37"/>
  <c r="N692" i="37"/>
  <c r="N693" i="37"/>
  <c r="N636" i="37"/>
  <c r="N637" i="37"/>
  <c r="N120" i="37"/>
  <c r="N121" i="37"/>
  <c r="N720" i="37"/>
  <c r="N721" i="37"/>
  <c r="N664" i="37"/>
  <c r="N665" i="37"/>
  <c r="N210" i="37"/>
  <c r="N211" i="37"/>
  <c r="N274" i="37"/>
  <c r="N275" i="37"/>
  <c r="N178" i="37"/>
  <c r="N179" i="37"/>
  <c r="N242" i="37"/>
  <c r="N243" i="37"/>
  <c r="N92" i="37"/>
  <c r="N93" i="37"/>
  <c r="O178" i="37"/>
  <c r="O179" i="37"/>
  <c r="Q372" i="37"/>
  <c r="Q373" i="37"/>
  <c r="O242" i="37"/>
  <c r="O243" i="37"/>
  <c r="O274" i="37"/>
  <c r="O275" i="37"/>
  <c r="O210" i="37"/>
  <c r="O211" i="37"/>
  <c r="R372" i="37"/>
  <c r="R373" i="37"/>
  <c r="P310" i="37"/>
  <c r="P311" i="37"/>
  <c r="Q408" i="37"/>
  <c r="Q409" i="37"/>
  <c r="Q310" i="37"/>
  <c r="Q311" i="37"/>
  <c r="R408" i="37"/>
  <c r="R409" i="37"/>
  <c r="P40" i="37"/>
  <c r="P41" i="37"/>
  <c r="O40" i="37"/>
  <c r="O41" i="37"/>
  <c r="H512" i="37"/>
  <c r="H513" i="37"/>
  <c r="I12" i="37"/>
  <c r="I13" i="37"/>
  <c r="I612" i="37"/>
  <c r="I613" i="37"/>
  <c r="L536" i="37"/>
  <c r="L537" i="37"/>
  <c r="O68" i="37"/>
  <c r="O69" i="37"/>
  <c r="M150" i="37"/>
  <c r="M151" i="37"/>
  <c r="M560" i="37"/>
  <c r="M561" i="37"/>
  <c r="P68" i="37"/>
  <c r="P69" i="37"/>
  <c r="M584" i="37"/>
  <c r="M585" i="37"/>
  <c r="M536" i="37"/>
  <c r="M537" i="37"/>
  <c r="N560" i="37"/>
  <c r="N561" i="37"/>
  <c r="N150" i="37"/>
  <c r="N151" i="37"/>
  <c r="N584" i="37"/>
  <c r="N585" i="37"/>
  <c r="O724" i="37"/>
  <c r="O725" i="37"/>
  <c r="O668" i="37"/>
  <c r="O669" i="37"/>
  <c r="O124" i="37"/>
  <c r="O125" i="37"/>
  <c r="O96" i="37"/>
  <c r="O97" i="37"/>
  <c r="O696" i="37"/>
  <c r="O697" i="37"/>
  <c r="O640" i="37"/>
  <c r="O641" i="37"/>
  <c r="P640" i="37"/>
  <c r="P641" i="37"/>
  <c r="P278" i="37"/>
  <c r="P279" i="37"/>
  <c r="P724" i="37"/>
  <c r="P725" i="37"/>
  <c r="P124" i="37"/>
  <c r="P125" i="37"/>
  <c r="P696" i="37"/>
  <c r="P697" i="37"/>
  <c r="P246" i="37"/>
  <c r="P247" i="37"/>
  <c r="P96" i="37"/>
  <c r="P97" i="37"/>
  <c r="P182" i="37"/>
  <c r="P183" i="37"/>
  <c r="P214" i="37"/>
  <c r="P215" i="37"/>
  <c r="P668" i="37"/>
  <c r="P669" i="37"/>
  <c r="Q246" i="37"/>
  <c r="Q247" i="37"/>
  <c r="Q182" i="37"/>
  <c r="Q183" i="37"/>
  <c r="Q278" i="37"/>
  <c r="Q279" i="37"/>
  <c r="Q214" i="37"/>
  <c r="Q215" i="37"/>
  <c r="S376" i="37"/>
  <c r="S377" i="37"/>
  <c r="T376" i="37"/>
  <c r="T377" i="37"/>
  <c r="R314" i="37"/>
  <c r="R315" i="37"/>
  <c r="S314" i="37"/>
  <c r="S315" i="37"/>
  <c r="S412" i="37"/>
  <c r="S413" i="37"/>
  <c r="T412" i="37"/>
  <c r="T413" i="37"/>
  <c r="T48" i="37"/>
  <c r="T49" i="37"/>
  <c r="S48" i="37"/>
  <c r="S49" i="37"/>
  <c r="J520" i="37"/>
  <c r="J521" i="37"/>
  <c r="K620" i="37"/>
  <c r="K621" i="37"/>
  <c r="K20" i="37"/>
  <c r="K21" i="37"/>
  <c r="M496" i="37"/>
  <c r="M497" i="37"/>
  <c r="N496" i="37"/>
  <c r="N497" i="37"/>
  <c r="S76" i="37"/>
  <c r="S77" i="37"/>
  <c r="P544" i="37"/>
  <c r="P545" i="37"/>
  <c r="Q158" i="37"/>
  <c r="Q159" i="37"/>
  <c r="Q568" i="37"/>
  <c r="Q569" i="37"/>
  <c r="Q544" i="37"/>
  <c r="Q545" i="37"/>
  <c r="Q592" i="37"/>
  <c r="Q593" i="37"/>
  <c r="T76" i="37"/>
  <c r="T77" i="37"/>
  <c r="R592" i="37"/>
  <c r="R593" i="37"/>
  <c r="R158" i="37"/>
  <c r="R159" i="37"/>
  <c r="R568" i="37"/>
  <c r="R569" i="37"/>
  <c r="S132" i="37"/>
  <c r="S133" i="37"/>
  <c r="S732" i="37"/>
  <c r="S733" i="37"/>
  <c r="S704" i="37"/>
  <c r="S705" i="37"/>
  <c r="S648" i="37"/>
  <c r="S649" i="37"/>
  <c r="S676" i="37"/>
  <c r="S677" i="37"/>
  <c r="S158" i="37"/>
  <c r="S159" i="37"/>
  <c r="S104" i="37"/>
  <c r="S105" i="37"/>
  <c r="T648" i="37"/>
  <c r="T649" i="37"/>
  <c r="T676" i="37"/>
  <c r="T677" i="37"/>
  <c r="T190" i="37"/>
  <c r="T191" i="37"/>
  <c r="T286" i="37"/>
  <c r="T287" i="37"/>
  <c r="T732" i="37"/>
  <c r="T733" i="37"/>
  <c r="T132" i="37"/>
  <c r="T133" i="37"/>
  <c r="T222" i="37"/>
  <c r="T223" i="37"/>
  <c r="T254" i="37"/>
  <c r="T255" i="37"/>
  <c r="T104" i="37"/>
  <c r="T105" i="37"/>
  <c r="T704" i="37"/>
  <c r="T705" i="37"/>
  <c r="U254" i="37"/>
  <c r="U255" i="37"/>
  <c r="W384" i="37"/>
  <c r="W385" i="37"/>
  <c r="U222" i="37"/>
  <c r="U223" i="37"/>
  <c r="U190" i="37"/>
  <c r="U191" i="37"/>
  <c r="U286" i="37"/>
  <c r="U287" i="37"/>
  <c r="V322" i="37"/>
  <c r="V323" i="37"/>
  <c r="X384" i="37"/>
  <c r="X385" i="37"/>
  <c r="W322" i="37"/>
  <c r="W323" i="37"/>
  <c r="W420" i="37"/>
  <c r="W421" i="37"/>
  <c r="X420" i="37"/>
  <c r="X421" i="37"/>
  <c r="M364" i="37"/>
  <c r="M365" i="37"/>
  <c r="N364" i="37"/>
  <c r="N365" i="37"/>
  <c r="L302" i="37"/>
  <c r="L303" i="37"/>
  <c r="M302" i="37"/>
  <c r="M303" i="37"/>
  <c r="M400" i="37"/>
  <c r="M401" i="37"/>
  <c r="N400" i="37"/>
  <c r="N401" i="37"/>
  <c r="Q44" i="37"/>
  <c r="Q45" i="37"/>
  <c r="R44" i="37"/>
  <c r="R45" i="37"/>
  <c r="I516" i="37"/>
  <c r="I517" i="37"/>
  <c r="J16" i="37"/>
  <c r="J17" i="37"/>
  <c r="J616" i="37"/>
  <c r="J617" i="37"/>
  <c r="N540" i="37"/>
  <c r="N541" i="37"/>
  <c r="Q72" i="37"/>
  <c r="Q73" i="37"/>
  <c r="R72" i="37"/>
  <c r="R73" i="37"/>
  <c r="O154" i="37"/>
  <c r="O155" i="37"/>
  <c r="O540" i="37"/>
  <c r="O541" i="37"/>
  <c r="O564" i="37"/>
  <c r="O565" i="37"/>
  <c r="O588" i="37"/>
  <c r="O589" i="37"/>
  <c r="P588" i="37"/>
  <c r="P589" i="37"/>
  <c r="P154" i="37"/>
  <c r="P155" i="37"/>
  <c r="P564" i="37"/>
  <c r="P565" i="37"/>
  <c r="Q100" i="37"/>
  <c r="Q101" i="37"/>
  <c r="Q644" i="37"/>
  <c r="Q645" i="37"/>
  <c r="Q700" i="37"/>
  <c r="Q701" i="37"/>
  <c r="Q672" i="37"/>
  <c r="Q673" i="37"/>
  <c r="Q728" i="37"/>
  <c r="Q729" i="37"/>
  <c r="Q128" i="37"/>
  <c r="Q129" i="37"/>
  <c r="R728" i="37"/>
  <c r="R729" i="37"/>
  <c r="R218" i="37"/>
  <c r="R219" i="37"/>
  <c r="R282" i="37"/>
  <c r="R283" i="37"/>
  <c r="R644" i="37"/>
  <c r="R645" i="37"/>
  <c r="R672" i="37"/>
  <c r="R673" i="37"/>
  <c r="R700" i="37"/>
  <c r="R701" i="37"/>
  <c r="R250" i="37"/>
  <c r="R251" i="37"/>
  <c r="R128" i="37"/>
  <c r="R129" i="37"/>
  <c r="R100" i="37"/>
  <c r="R101" i="37"/>
  <c r="R186" i="37"/>
  <c r="R187" i="37"/>
  <c r="S282" i="37"/>
  <c r="S283" i="37"/>
  <c r="U380" i="37"/>
  <c r="U381" i="37"/>
  <c r="S186" i="37"/>
  <c r="S187" i="37"/>
  <c r="S218" i="37"/>
  <c r="S219" i="37"/>
  <c r="S250" i="37"/>
  <c r="S251" i="37"/>
  <c r="V380" i="37"/>
  <c r="V381" i="37"/>
  <c r="T318" i="37"/>
  <c r="T319" i="37"/>
  <c r="U416" i="37"/>
  <c r="U417" i="37"/>
  <c r="U318" i="37"/>
  <c r="U319" i="37"/>
  <c r="V416" i="37"/>
  <c r="V417" i="37"/>
  <c r="AM133" i="37"/>
  <c r="AM125" i="37"/>
  <c r="AM121" i="37"/>
  <c r="AM141" i="37"/>
  <c r="C141" i="37"/>
  <c r="O817" i="37"/>
  <c r="AM129" i="37"/>
  <c r="F43" i="13"/>
  <c r="F14" i="9"/>
  <c r="F17" i="9"/>
  <c r="F53" i="9"/>
  <c r="G43" i="13"/>
  <c r="G14" i="9"/>
  <c r="G17" i="9"/>
  <c r="G53" i="9"/>
  <c r="H43" i="13"/>
  <c r="H14" i="9"/>
  <c r="H17" i="9"/>
  <c r="H53" i="9"/>
  <c r="I43" i="13"/>
  <c r="I14" i="9"/>
  <c r="I17" i="9"/>
  <c r="I53" i="9"/>
  <c r="J43" i="13"/>
  <c r="J14" i="9"/>
  <c r="K43" i="13"/>
  <c r="K14" i="9"/>
  <c r="J98" i="13"/>
  <c r="J20" i="9"/>
  <c r="K173" i="13"/>
  <c r="L98" i="13"/>
  <c r="L20" i="9"/>
  <c r="M173" i="13"/>
  <c r="N173" i="13"/>
  <c r="K98" i="13"/>
  <c r="K20" i="9"/>
  <c r="M20" i="9"/>
  <c r="F98" i="13"/>
  <c r="F20" i="9"/>
  <c r="F23" i="9"/>
  <c r="F54" i="9"/>
  <c r="G173" i="13"/>
  <c r="O189" i="13"/>
  <c r="O101" i="9"/>
  <c r="L173" i="13"/>
  <c r="N20" i="9"/>
  <c r="G98" i="13"/>
  <c r="G20" i="9"/>
  <c r="G23" i="9"/>
  <c r="G54" i="9"/>
  <c r="H173" i="13"/>
  <c r="F173" i="13"/>
  <c r="H98" i="13"/>
  <c r="H20" i="9"/>
  <c r="O20" i="9"/>
  <c r="I173" i="13"/>
  <c r="P20" i="9"/>
  <c r="I98" i="13"/>
  <c r="I20" i="9"/>
  <c r="I23" i="9"/>
  <c r="I54" i="9"/>
  <c r="J173" i="13"/>
  <c r="L43" i="13"/>
  <c r="L14" i="9"/>
  <c r="M43" i="13"/>
  <c r="M14" i="9"/>
  <c r="N43" i="13"/>
  <c r="N14" i="9"/>
  <c r="O43" i="13"/>
  <c r="O14" i="9"/>
  <c r="P43" i="13"/>
  <c r="P14" i="9"/>
  <c r="L10" i="22"/>
  <c r="K10" i="22"/>
  <c r="M62" i="1"/>
  <c r="P44" i="3"/>
  <c r="L15" i="12"/>
  <c r="L29" i="12"/>
  <c r="N44" i="3"/>
  <c r="J15" i="12"/>
  <c r="J30" i="12"/>
  <c r="J189" i="13"/>
  <c r="J98" i="9"/>
  <c r="G189" i="13"/>
  <c r="G98" i="9"/>
  <c r="I189" i="13"/>
  <c r="I98" i="9"/>
  <c r="F189" i="13"/>
  <c r="F98" i="9"/>
  <c r="H189" i="13"/>
  <c r="H101" i="9"/>
  <c r="H98" i="9"/>
  <c r="N189" i="13"/>
  <c r="N98" i="9"/>
  <c r="M189" i="13"/>
  <c r="M98" i="9"/>
  <c r="L189" i="13"/>
  <c r="L98" i="9"/>
  <c r="K189" i="13"/>
  <c r="K101" i="9"/>
  <c r="K98" i="9"/>
  <c r="O218" i="40"/>
  <c r="O220" i="40"/>
  <c r="O221" i="40"/>
  <c r="R20" i="3"/>
  <c r="O72" i="40"/>
  <c r="O74" i="40"/>
  <c r="O75" i="40"/>
  <c r="R57" i="3"/>
  <c r="R64" i="3"/>
  <c r="N47" i="12"/>
  <c r="N258" i="40"/>
  <c r="N260" i="40"/>
  <c r="N261" i="40"/>
  <c r="Q21" i="3"/>
  <c r="L258" i="40"/>
  <c r="L260" i="40"/>
  <c r="L261" i="40"/>
  <c r="O21" i="3"/>
  <c r="N144" i="40"/>
  <c r="N146" i="40"/>
  <c r="N147" i="40"/>
  <c r="Q22" i="3"/>
  <c r="L144" i="40"/>
  <c r="L146" i="40"/>
  <c r="L147" i="40"/>
  <c r="O22" i="3"/>
  <c r="O181" i="40"/>
  <c r="O183" i="40"/>
  <c r="O184" i="40"/>
  <c r="R19" i="3"/>
  <c r="O53" i="12"/>
  <c r="O50" i="12"/>
  <c r="O49" i="12"/>
  <c r="O55" i="12"/>
  <c r="O52" i="12"/>
  <c r="F57" i="9"/>
  <c r="I57" i="9"/>
  <c r="G57" i="9"/>
  <c r="C517" i="37"/>
  <c r="C21" i="37"/>
  <c r="C13" i="37"/>
  <c r="H115" i="9"/>
  <c r="F40" i="12"/>
  <c r="O116" i="9"/>
  <c r="M41" i="12"/>
  <c r="O115" i="9"/>
  <c r="M40" i="12"/>
  <c r="P115" i="9"/>
  <c r="N40" i="12"/>
  <c r="P116" i="9"/>
  <c r="N41" i="12"/>
  <c r="C133" i="37"/>
  <c r="C525" i="37"/>
  <c r="C521" i="37"/>
  <c r="C513" i="37"/>
  <c r="C25" i="37"/>
  <c r="C121" i="37"/>
  <c r="C17" i="37"/>
  <c r="C125" i="37"/>
  <c r="C137" i="37"/>
  <c r="C183" i="37"/>
  <c r="C311" i="37"/>
  <c r="C243" i="37"/>
  <c r="C307" i="37"/>
  <c r="C287" i="37"/>
  <c r="C207" i="37"/>
  <c r="C705" i="37"/>
  <c r="C155" i="37"/>
  <c r="C159" i="37"/>
  <c r="C681" i="37"/>
  <c r="C701" i="37"/>
  <c r="C641" i="37"/>
  <c r="C65" i="37"/>
  <c r="C733" i="37"/>
  <c r="C665" i="37"/>
  <c r="C223" i="37"/>
  <c r="C239" i="37"/>
  <c r="C53" i="37"/>
  <c r="C339" i="37"/>
  <c r="H21" i="9"/>
  <c r="H23" i="9"/>
  <c r="H54" i="9"/>
  <c r="H57" i="9"/>
  <c r="C219" i="37"/>
  <c r="C73" i="37"/>
  <c r="C401" i="37"/>
  <c r="C151" i="37"/>
  <c r="C677" i="37"/>
  <c r="C227" i="37"/>
  <c r="C653" i="37"/>
  <c r="C101" i="37"/>
  <c r="C637" i="37"/>
  <c r="C37" i="37"/>
  <c r="C709" i="37"/>
  <c r="C41" i="37"/>
  <c r="C303" i="37"/>
  <c r="H818" i="37"/>
  <c r="C413" i="37"/>
  <c r="C373" i="37"/>
  <c r="C93" i="37"/>
  <c r="C405" i="37"/>
  <c r="C369" i="37"/>
  <c r="C737" i="37"/>
  <c r="C729" i="37"/>
  <c r="C175" i="37"/>
  <c r="C381" i="37"/>
  <c r="C645" i="37"/>
  <c r="C45" i="37"/>
  <c r="C421" i="37"/>
  <c r="C191" i="37"/>
  <c r="C377" i="37"/>
  <c r="C697" i="37"/>
  <c r="C179" i="37"/>
  <c r="C283" i="37"/>
  <c r="C49" i="37"/>
  <c r="C247" i="37"/>
  <c r="C97" i="37"/>
  <c r="C275" i="37"/>
  <c r="C81" i="37"/>
  <c r="C129" i="37"/>
  <c r="C187" i="37"/>
  <c r="C385" i="37"/>
  <c r="C211" i="37"/>
  <c r="C721" i="37"/>
  <c r="C195" i="37"/>
  <c r="C259" i="37"/>
  <c r="C417" i="37"/>
  <c r="C319" i="37"/>
  <c r="C323" i="37"/>
  <c r="C255" i="37"/>
  <c r="C105" i="37"/>
  <c r="C77" i="37"/>
  <c r="C669" i="37"/>
  <c r="C693" i="37"/>
  <c r="C425" i="37"/>
  <c r="C501" i="37"/>
  <c r="C725" i="37"/>
  <c r="C291" i="37"/>
  <c r="C251" i="37"/>
  <c r="C497" i="37"/>
  <c r="C279" i="37"/>
  <c r="C69" i="37"/>
  <c r="C271" i="37"/>
  <c r="C327" i="37"/>
  <c r="C109" i="37"/>
  <c r="C673" i="37"/>
  <c r="C365" i="37"/>
  <c r="C649" i="37"/>
  <c r="C315" i="37"/>
  <c r="C215" i="37"/>
  <c r="C409" i="37"/>
  <c r="Q27" i="9"/>
  <c r="Q29" i="9"/>
  <c r="F109" i="13"/>
  <c r="M109" i="13"/>
  <c r="K109" i="13"/>
  <c r="I109" i="13"/>
  <c r="G109" i="13"/>
  <c r="P109" i="13"/>
  <c r="N109" i="13"/>
  <c r="L109" i="13"/>
  <c r="O109" i="13"/>
  <c r="H109" i="13"/>
  <c r="J109" i="13"/>
  <c r="E54" i="16"/>
  <c r="E53" i="16"/>
  <c r="O75" i="9"/>
  <c r="O82" i="9"/>
  <c r="O89" i="9"/>
  <c r="M10" i="12"/>
  <c r="P75" i="9"/>
  <c r="P82" i="9"/>
  <c r="P89" i="9"/>
  <c r="N10" i="12"/>
  <c r="P74" i="9"/>
  <c r="P81" i="9"/>
  <c r="P90" i="9"/>
  <c r="N11" i="12"/>
  <c r="O74" i="9"/>
  <c r="O81" i="9"/>
  <c r="O90" i="9"/>
  <c r="M11" i="12"/>
  <c r="L30" i="12"/>
  <c r="J29" i="12"/>
  <c r="Q44" i="3"/>
  <c r="M15" i="12"/>
  <c r="O56" i="12"/>
  <c r="H819" i="37"/>
  <c r="J15" i="9"/>
  <c r="J17" i="9"/>
  <c r="J53" i="9"/>
  <c r="J101" i="9"/>
  <c r="M101" i="9"/>
  <c r="K115" i="9"/>
  <c r="I40" i="12"/>
  <c r="I52" i="12"/>
  <c r="I101" i="9"/>
  <c r="N101" i="9"/>
  <c r="M115" i="9"/>
  <c r="K40" i="12"/>
  <c r="K52" i="12"/>
  <c r="L101" i="9"/>
  <c r="F101" i="9"/>
  <c r="K116" i="9"/>
  <c r="I41" i="12"/>
  <c r="I50" i="12"/>
  <c r="M116" i="9"/>
  <c r="K41" i="12"/>
  <c r="K50" i="12"/>
  <c r="G101" i="9"/>
  <c r="H116" i="9"/>
  <c r="F41" i="12"/>
  <c r="F53" i="12"/>
  <c r="O44" i="3"/>
  <c r="K15" i="12"/>
  <c r="I818" i="37"/>
  <c r="K21" i="9"/>
  <c r="K23" i="9"/>
  <c r="K54" i="9"/>
  <c r="N53" i="12"/>
  <c r="N50" i="12"/>
  <c r="N52" i="12"/>
  <c r="N49" i="12"/>
  <c r="M52" i="12"/>
  <c r="M49" i="12"/>
  <c r="M53" i="12"/>
  <c r="M50" i="12"/>
  <c r="F52" i="12"/>
  <c r="F49" i="12"/>
  <c r="I819" i="37"/>
  <c r="K15" i="9"/>
  <c r="K17" i="9"/>
  <c r="K53" i="9"/>
  <c r="K818" i="37"/>
  <c r="M21" i="9"/>
  <c r="M23" i="9"/>
  <c r="M54" i="9"/>
  <c r="J819" i="37"/>
  <c r="L15" i="9"/>
  <c r="L17" i="9"/>
  <c r="L53" i="9"/>
  <c r="J818" i="37"/>
  <c r="L21" i="9"/>
  <c r="L23" i="9"/>
  <c r="L54" i="9"/>
  <c r="J21" i="9"/>
  <c r="J23" i="9"/>
  <c r="Q55" i="9"/>
  <c r="Q57" i="9"/>
  <c r="G86" i="9"/>
  <c r="E8" i="12"/>
  <c r="I86" i="9"/>
  <c r="G8" i="12"/>
  <c r="F86" i="9"/>
  <c r="D8" i="12"/>
  <c r="F85" i="9"/>
  <c r="D7" i="12"/>
  <c r="D26" i="12"/>
  <c r="D32" i="12"/>
  <c r="H85" i="9"/>
  <c r="M817" i="37"/>
  <c r="O27" i="9"/>
  <c r="O29" i="9"/>
  <c r="O55" i="9"/>
  <c r="N817" i="37"/>
  <c r="P27" i="9"/>
  <c r="P29" i="9"/>
  <c r="P55" i="9"/>
  <c r="J817" i="37"/>
  <c r="L27" i="9"/>
  <c r="L29" i="9"/>
  <c r="L55" i="9"/>
  <c r="K817" i="37"/>
  <c r="M27" i="9"/>
  <c r="M29" i="9"/>
  <c r="M55" i="9"/>
  <c r="L817" i="37"/>
  <c r="N27" i="9"/>
  <c r="N29" i="9"/>
  <c r="N55" i="9"/>
  <c r="N819" i="37"/>
  <c r="P15" i="9"/>
  <c r="P17" i="9"/>
  <c r="P53" i="9"/>
  <c r="L819" i="37"/>
  <c r="N15" i="9"/>
  <c r="N17" i="9"/>
  <c r="N53" i="9"/>
  <c r="M818" i="37"/>
  <c r="O21" i="9"/>
  <c r="O23" i="9"/>
  <c r="O54" i="9"/>
  <c r="M819" i="37"/>
  <c r="O15" i="9"/>
  <c r="O17" i="9"/>
  <c r="O53" i="9"/>
  <c r="N818" i="37"/>
  <c r="P21" i="9"/>
  <c r="P23" i="9"/>
  <c r="P54" i="9"/>
  <c r="K819" i="37"/>
  <c r="M15" i="9"/>
  <c r="M17" i="9"/>
  <c r="M53" i="9"/>
  <c r="L818" i="37"/>
  <c r="N21" i="9"/>
  <c r="N23" i="9"/>
  <c r="N54" i="9"/>
  <c r="J19" i="16"/>
  <c r="J24" i="16"/>
  <c r="I24" i="16"/>
  <c r="G23" i="16"/>
  <c r="B163" i="18"/>
  <c r="I21" i="16"/>
  <c r="J21" i="16"/>
  <c r="B154" i="18"/>
  <c r="J20" i="16"/>
  <c r="B135" i="18"/>
  <c r="B125" i="18"/>
  <c r="C113" i="18"/>
  <c r="H19" i="16"/>
  <c r="C112" i="18"/>
  <c r="G20" i="16"/>
  <c r="F20" i="16"/>
  <c r="E20" i="16"/>
  <c r="G19" i="16"/>
  <c r="F19" i="16"/>
  <c r="E19" i="16"/>
  <c r="M25" i="16"/>
  <c r="L25" i="16"/>
  <c r="K25" i="16"/>
  <c r="G25" i="16"/>
  <c r="F25" i="16"/>
  <c r="E25" i="16"/>
  <c r="M26" i="16"/>
  <c r="L26" i="16"/>
  <c r="K26" i="16"/>
  <c r="G26" i="16"/>
  <c r="F26" i="16"/>
  <c r="E26" i="16"/>
  <c r="G24" i="16"/>
  <c r="F24" i="16"/>
  <c r="E24" i="16"/>
  <c r="M24" i="16"/>
  <c r="L24" i="16"/>
  <c r="K24" i="16"/>
  <c r="I49" i="12"/>
  <c r="M29" i="12"/>
  <c r="K49" i="12"/>
  <c r="K55" i="12"/>
  <c r="I53" i="12"/>
  <c r="I56" i="12"/>
  <c r="M30" i="12"/>
  <c r="J116" i="9"/>
  <c r="H41" i="12"/>
  <c r="J115" i="9"/>
  <c r="H40" i="12"/>
  <c r="K53" i="12"/>
  <c r="K56" i="12"/>
  <c r="N115" i="9"/>
  <c r="L40" i="12"/>
  <c r="N116" i="9"/>
  <c r="L41" i="12"/>
  <c r="I116" i="9"/>
  <c r="G41" i="12"/>
  <c r="I115" i="9"/>
  <c r="G40" i="12"/>
  <c r="F50" i="12"/>
  <c r="F55" i="12"/>
  <c r="G115" i="9"/>
  <c r="E40" i="12"/>
  <c r="G116" i="9"/>
  <c r="E41" i="12"/>
  <c r="F115" i="9"/>
  <c r="D40" i="12"/>
  <c r="F116" i="9"/>
  <c r="D41" i="12"/>
  <c r="L115" i="9"/>
  <c r="J40" i="12"/>
  <c r="L116" i="9"/>
  <c r="J41" i="12"/>
  <c r="K30" i="12"/>
  <c r="K29" i="12"/>
  <c r="E27" i="12"/>
  <c r="E33" i="12"/>
  <c r="D27" i="12"/>
  <c r="D33" i="12"/>
  <c r="G27" i="12"/>
  <c r="G33" i="12"/>
  <c r="N56" i="12"/>
  <c r="N55" i="12"/>
  <c r="M55" i="12"/>
  <c r="M56" i="12"/>
  <c r="I55" i="12"/>
  <c r="J54" i="9"/>
  <c r="J57" i="9"/>
  <c r="N57" i="9"/>
  <c r="K57" i="9"/>
  <c r="O57" i="9"/>
  <c r="M57" i="9"/>
  <c r="L57" i="9"/>
  <c r="G85" i="9"/>
  <c r="E7" i="12"/>
  <c r="I85" i="9"/>
  <c r="G7" i="12"/>
  <c r="H86" i="9"/>
  <c r="F8" i="12"/>
  <c r="F7" i="12"/>
  <c r="Q74" i="9"/>
  <c r="Q81" i="9"/>
  <c r="Q90" i="9"/>
  <c r="O11" i="12"/>
  <c r="Q75" i="9"/>
  <c r="Q82" i="9"/>
  <c r="Q89" i="9"/>
  <c r="O10" i="12"/>
  <c r="P57" i="9"/>
  <c r="H14" i="12"/>
  <c r="G14" i="12"/>
  <c r="F14" i="12"/>
  <c r="E14" i="12"/>
  <c r="D14" i="12"/>
  <c r="Q102" i="1"/>
  <c r="P102" i="1"/>
  <c r="O102" i="1"/>
  <c r="N102" i="1"/>
  <c r="M102" i="1"/>
  <c r="L102" i="1"/>
  <c r="K102" i="1"/>
  <c r="J102" i="1"/>
  <c r="I102" i="1"/>
  <c r="H102" i="1"/>
  <c r="G102" i="1"/>
  <c r="Q92" i="1"/>
  <c r="P92" i="1"/>
  <c r="O92" i="1"/>
  <c r="N92" i="1"/>
  <c r="M92" i="1"/>
  <c r="L92" i="1"/>
  <c r="K92" i="1"/>
  <c r="J92" i="1"/>
  <c r="I92" i="1"/>
  <c r="H92" i="1"/>
  <c r="G92" i="1"/>
  <c r="Q82" i="1"/>
  <c r="P82" i="1"/>
  <c r="O82" i="1"/>
  <c r="N82" i="1"/>
  <c r="M82" i="1"/>
  <c r="L82" i="1"/>
  <c r="K82" i="1"/>
  <c r="J82" i="1"/>
  <c r="I82" i="1"/>
  <c r="H82" i="1"/>
  <c r="G82" i="1"/>
  <c r="Q72" i="1"/>
  <c r="P72" i="1"/>
  <c r="O72" i="1"/>
  <c r="N72" i="1"/>
  <c r="M72" i="1"/>
  <c r="L72" i="1"/>
  <c r="K72" i="1"/>
  <c r="J72" i="1"/>
  <c r="I72" i="1"/>
  <c r="H72" i="1"/>
  <c r="G72" i="1"/>
  <c r="Q62" i="1"/>
  <c r="P62" i="1"/>
  <c r="O62" i="1"/>
  <c r="N62" i="1"/>
  <c r="L62" i="1"/>
  <c r="K62" i="1"/>
  <c r="J62" i="1"/>
  <c r="I62" i="1"/>
  <c r="H62" i="1"/>
  <c r="G62" i="1"/>
  <c r="Q52" i="1"/>
  <c r="P52" i="1"/>
  <c r="O52" i="1"/>
  <c r="N52" i="1"/>
  <c r="M52" i="1"/>
  <c r="L52" i="1"/>
  <c r="K52" i="1"/>
  <c r="J52" i="1"/>
  <c r="I52" i="1"/>
  <c r="H52" i="1"/>
  <c r="G52" i="1"/>
  <c r="Q42" i="1"/>
  <c r="P42" i="1"/>
  <c r="O42" i="1"/>
  <c r="N42" i="1"/>
  <c r="M42" i="1"/>
  <c r="L42" i="1"/>
  <c r="K42" i="1"/>
  <c r="J42" i="1"/>
  <c r="I42" i="1"/>
  <c r="H42" i="1"/>
  <c r="G42" i="1"/>
  <c r="Q32" i="1"/>
  <c r="P32" i="1"/>
  <c r="O32" i="1"/>
  <c r="N32" i="1"/>
  <c r="M32" i="1"/>
  <c r="L32" i="1"/>
  <c r="K32" i="1"/>
  <c r="J32" i="1"/>
  <c r="I32" i="1"/>
  <c r="H32" i="1"/>
  <c r="G32" i="1"/>
  <c r="Q22" i="1"/>
  <c r="P22" i="1"/>
  <c r="O22" i="1"/>
  <c r="N22" i="1"/>
  <c r="M22" i="1"/>
  <c r="L22" i="1"/>
  <c r="K22" i="1"/>
  <c r="J22" i="1"/>
  <c r="I22" i="1"/>
  <c r="H22" i="1"/>
  <c r="G22" i="1"/>
  <c r="Q12" i="1"/>
  <c r="P12" i="1"/>
  <c r="O12" i="1"/>
  <c r="N12" i="1"/>
  <c r="M12" i="1"/>
  <c r="L12" i="1"/>
  <c r="K12" i="1"/>
  <c r="J12" i="1"/>
  <c r="I12" i="1"/>
  <c r="H12" i="1"/>
  <c r="G12" i="1"/>
  <c r="J86" i="9"/>
  <c r="H8" i="12"/>
  <c r="H27" i="12"/>
  <c r="H33" i="12"/>
  <c r="L86" i="9"/>
  <c r="J8" i="12"/>
  <c r="H52" i="12"/>
  <c r="H49" i="12"/>
  <c r="H53" i="12"/>
  <c r="H50" i="12"/>
  <c r="G49" i="12"/>
  <c r="G52" i="12"/>
  <c r="G53" i="12"/>
  <c r="G50" i="12"/>
  <c r="L50" i="12"/>
  <c r="L53" i="12"/>
  <c r="L52" i="12"/>
  <c r="L49" i="12"/>
  <c r="D53" i="12"/>
  <c r="D50" i="12"/>
  <c r="D52" i="12"/>
  <c r="D49" i="12"/>
  <c r="E50" i="12"/>
  <c r="E53" i="12"/>
  <c r="E49" i="12"/>
  <c r="E52" i="12"/>
  <c r="J50" i="12"/>
  <c r="J53" i="12"/>
  <c r="J52" i="12"/>
  <c r="J49" i="12"/>
  <c r="F26" i="12"/>
  <c r="F27" i="12"/>
  <c r="F33" i="12"/>
  <c r="G26" i="12"/>
  <c r="E26" i="12"/>
  <c r="G32" i="12"/>
  <c r="E32" i="12"/>
  <c r="F32" i="12"/>
  <c r="F20" i="12"/>
  <c r="F21" i="12"/>
  <c r="G18" i="12"/>
  <c r="G20" i="12"/>
  <c r="G21" i="12"/>
  <c r="H20" i="12"/>
  <c r="H21" i="12"/>
  <c r="D18" i="12"/>
  <c r="D21" i="12"/>
  <c r="D20" i="12"/>
  <c r="E18" i="12"/>
  <c r="E20" i="12"/>
  <c r="E21" i="12"/>
  <c r="Q85" i="9"/>
  <c r="O7" i="12"/>
  <c r="Q86" i="9"/>
  <c r="O8" i="12"/>
  <c r="E17" i="12"/>
  <c r="D17" i="12"/>
  <c r="F18" i="12"/>
  <c r="G17" i="12"/>
  <c r="K85" i="9"/>
  <c r="I7" i="12"/>
  <c r="M85" i="9"/>
  <c r="K7" i="12"/>
  <c r="N85" i="9"/>
  <c r="L7" i="12"/>
  <c r="O86" i="9"/>
  <c r="J85" i="9"/>
  <c r="F17" i="12"/>
  <c r="P85" i="9"/>
  <c r="P86" i="9"/>
  <c r="L85" i="9"/>
  <c r="L14" i="12"/>
  <c r="J14" i="12"/>
  <c r="I14" i="12"/>
  <c r="K14" i="12"/>
  <c r="M14" i="12"/>
  <c r="E55" i="12"/>
  <c r="L56" i="12"/>
  <c r="J55" i="12"/>
  <c r="D55" i="12"/>
  <c r="J56" i="12"/>
  <c r="L55" i="12"/>
  <c r="H55" i="12"/>
  <c r="G55" i="12"/>
  <c r="L26" i="12"/>
  <c r="K26" i="12"/>
  <c r="I26" i="12"/>
  <c r="J27" i="12"/>
  <c r="J33" i="12"/>
  <c r="H18" i="12"/>
  <c r="F24" i="12"/>
  <c r="F23" i="12"/>
  <c r="G23" i="12"/>
  <c r="G24" i="12"/>
  <c r="E24" i="12"/>
  <c r="E23" i="12"/>
  <c r="D24" i="12"/>
  <c r="D23" i="12"/>
  <c r="K20" i="12"/>
  <c r="K21" i="12"/>
  <c r="J21" i="12"/>
  <c r="J20" i="12"/>
  <c r="M20" i="12"/>
  <c r="M21" i="12"/>
  <c r="I21" i="12"/>
  <c r="I20" i="12"/>
  <c r="L21" i="12"/>
  <c r="L20" i="12"/>
  <c r="J18" i="12"/>
  <c r="M86" i="9"/>
  <c r="K8" i="12"/>
  <c r="K27" i="12"/>
  <c r="K33" i="12"/>
  <c r="K86" i="9"/>
  <c r="I8" i="12"/>
  <c r="I27" i="12"/>
  <c r="I33" i="12"/>
  <c r="N86" i="9"/>
  <c r="L8" i="12"/>
  <c r="L27" i="12"/>
  <c r="L33" i="12"/>
  <c r="O85" i="9"/>
  <c r="M7" i="12"/>
  <c r="H7" i="12"/>
  <c r="M8" i="12"/>
  <c r="I17" i="12"/>
  <c r="K17" i="12"/>
  <c r="L17" i="12"/>
  <c r="J7" i="12"/>
  <c r="N8" i="12"/>
  <c r="N7" i="12"/>
  <c r="R13" i="3"/>
  <c r="O117" i="40"/>
  <c r="O131" i="40"/>
  <c r="O139" i="40"/>
  <c r="M27" i="12"/>
  <c r="M33" i="12"/>
  <c r="H26" i="12"/>
  <c r="M26" i="12"/>
  <c r="J26" i="12"/>
  <c r="K18" i="12"/>
  <c r="K24" i="12"/>
  <c r="L18" i="12"/>
  <c r="L24" i="12"/>
  <c r="I18" i="12"/>
  <c r="I23" i="12"/>
  <c r="D35" i="12"/>
  <c r="E35" i="12"/>
  <c r="F35" i="12"/>
  <c r="G35" i="12"/>
  <c r="I32" i="12"/>
  <c r="L32" i="12"/>
  <c r="M32" i="12"/>
  <c r="K32" i="12"/>
  <c r="J32" i="12"/>
  <c r="H32" i="12"/>
  <c r="M18" i="12"/>
  <c r="H17" i="12"/>
  <c r="J17" i="12"/>
  <c r="M17" i="12"/>
  <c r="R39" i="3"/>
  <c r="O134" i="40"/>
  <c r="O142" i="40"/>
  <c r="O129" i="40"/>
  <c r="O137" i="40"/>
  <c r="O132" i="40"/>
  <c r="O140" i="40"/>
  <c r="O130" i="40"/>
  <c r="O138" i="40"/>
  <c r="O133" i="40"/>
  <c r="O141" i="40"/>
  <c r="L23" i="12"/>
  <c r="L35" i="12"/>
  <c r="K23" i="12"/>
  <c r="K35" i="12"/>
  <c r="I24" i="12"/>
  <c r="I35" i="12"/>
  <c r="K36" i="12"/>
  <c r="M36" i="12"/>
  <c r="H36" i="12"/>
  <c r="L36" i="12"/>
  <c r="J36" i="12"/>
  <c r="I36" i="12"/>
  <c r="R43" i="3"/>
  <c r="J24" i="12"/>
  <c r="J23" i="12"/>
  <c r="M24" i="12"/>
  <c r="M23" i="12"/>
  <c r="H23" i="12"/>
  <c r="H24" i="12"/>
  <c r="O144" i="40"/>
  <c r="O146" i="40"/>
  <c r="O147" i="40"/>
  <c r="R22" i="3"/>
  <c r="N14" i="12"/>
  <c r="N18" i="12"/>
  <c r="J35" i="12"/>
  <c r="H35" i="12"/>
  <c r="M35" i="12"/>
  <c r="R44" i="3"/>
  <c r="N15" i="12"/>
  <c r="O14" i="12"/>
  <c r="O20" i="12"/>
  <c r="N17" i="12"/>
  <c r="N21" i="12"/>
  <c r="N20" i="12"/>
  <c r="N30" i="12"/>
  <c r="N29" i="12"/>
  <c r="N27" i="12"/>
  <c r="N26" i="12"/>
  <c r="O21" i="12"/>
  <c r="O17" i="12"/>
  <c r="O15" i="12"/>
  <c r="N32" i="12"/>
  <c r="O18" i="12"/>
  <c r="N23" i="12"/>
  <c r="N33" i="12"/>
  <c r="N36" i="12"/>
  <c r="N24" i="12"/>
  <c r="O29" i="12"/>
  <c r="O30" i="12"/>
  <c r="O27" i="12"/>
  <c r="O33" i="12"/>
  <c r="O26" i="12"/>
  <c r="O24" i="12"/>
  <c r="O23" i="12"/>
  <c r="O32" i="12"/>
  <c r="N35" i="12"/>
  <c r="O35" i="12"/>
  <c r="O36" i="1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<sst xmlns="http://schemas.openxmlformats.org/spreadsheetml/2006/main" count="18627" uniqueCount="2138">
  <si>
    <t>Disclaimers</t>
  </si>
  <si>
    <t>Version history</t>
  </si>
  <si>
    <t>Contents</t>
  </si>
  <si>
    <t>Notes and assumptions</t>
  </si>
  <si>
    <t>Format key</t>
  </si>
  <si>
    <t>Cell intentionally blank</t>
  </si>
  <si>
    <t>Value</t>
  </si>
  <si>
    <t>Input from external spreadsheet</t>
  </si>
  <si>
    <t>Hardcoded input</t>
  </si>
  <si>
    <t>User input</t>
  </si>
  <si>
    <t>Calculation</t>
  </si>
  <si>
    <t>Unique formula</t>
  </si>
  <si>
    <t>Value from another worksheet</t>
  </si>
  <si>
    <t>Formula change compared to base case scenario</t>
  </si>
  <si>
    <t>Annotation</t>
  </si>
  <si>
    <t>Sheet colour</t>
  </si>
  <si>
    <t>Information sheet</t>
  </si>
  <si>
    <t>Input sheet</t>
  </si>
  <si>
    <t>Calculation sheet</t>
  </si>
  <si>
    <t>Output sheet</t>
  </si>
  <si>
    <t>Transaction</t>
  </si>
  <si>
    <t>SKI</t>
  </si>
  <si>
    <t>EV (low)</t>
  </si>
  <si>
    <t>EV (high)</t>
  </si>
  <si>
    <t>EV (Net debt/low)</t>
  </si>
  <si>
    <t>EV (Net debt/high)</t>
  </si>
  <si>
    <t>RAB</t>
  </si>
  <si>
    <t>RAB adjusted trailing average</t>
  </si>
  <si>
    <t>EV/RAB (low)</t>
  </si>
  <si>
    <t>Low</t>
  </si>
  <si>
    <t>EV/RAB (high)</t>
  </si>
  <si>
    <t>High</t>
  </si>
  <si>
    <t>EV/RAB (netdebt/low)</t>
  </si>
  <si>
    <t>EV/RAB (netdebt/high)</t>
  </si>
  <si>
    <t>EV/RABa (low)</t>
  </si>
  <si>
    <t>EV/RABa (high)</t>
  </si>
  <si>
    <t>mid point</t>
  </si>
  <si>
    <t>mid point adjusted</t>
  </si>
  <si>
    <t>AST</t>
  </si>
  <si>
    <t>low</t>
  </si>
  <si>
    <t>high</t>
  </si>
  <si>
    <t>VPN</t>
  </si>
  <si>
    <t>SAPN</t>
  </si>
  <si>
    <t>Transgrid</t>
  </si>
  <si>
    <t>difference</t>
  </si>
  <si>
    <t>Regulatory Asset Base</t>
  </si>
  <si>
    <t>Year ending 30 June</t>
  </si>
  <si>
    <t>Unit</t>
  </si>
  <si>
    <t>Spark Infrastructure</t>
  </si>
  <si>
    <t>Vanilla RAB</t>
  </si>
  <si>
    <t>Citipower</t>
  </si>
  <si>
    <t>total</t>
  </si>
  <si>
    <t>Powercor</t>
  </si>
  <si>
    <t>SA Power Networks</t>
  </si>
  <si>
    <t>Duet Group</t>
  </si>
  <si>
    <t>Trailing Average Adjusted RAB</t>
  </si>
  <si>
    <t>Total RAB</t>
  </si>
  <si>
    <t>ownership</t>
  </si>
  <si>
    <t>Proportional RAB</t>
  </si>
  <si>
    <t>Total RAB (Vanilla)</t>
  </si>
  <si>
    <t>Total RAB (Trailing average adjusted)</t>
  </si>
  <si>
    <t>Ausnet Services</t>
  </si>
  <si>
    <t>Electricity Transmission</t>
  </si>
  <si>
    <t>Electricity Distribution</t>
  </si>
  <si>
    <t>Gas Services</t>
  </si>
  <si>
    <t>Enterprise Value</t>
  </si>
  <si>
    <t>Date</t>
  </si>
  <si>
    <t>transaction</t>
  </si>
  <si>
    <t>millions AUD</t>
  </si>
  <si>
    <t>Market Value of equity</t>
  </si>
  <si>
    <t>Cash (Spark)</t>
  </si>
  <si>
    <t>Value of debt (100% basis)</t>
  </si>
  <si>
    <t>Balance Sheet</t>
  </si>
  <si>
    <t>Victoria Power Networks</t>
  </si>
  <si>
    <t>Listed Bonds</t>
  </si>
  <si>
    <t>Unlisted Bonds</t>
  </si>
  <si>
    <t>Bank facilties</t>
  </si>
  <si>
    <t>Total Debt</t>
  </si>
  <si>
    <t>South Australia Power Networks</t>
  </si>
  <si>
    <t>Unlisted Debt</t>
  </si>
  <si>
    <t>Bank Facilties</t>
  </si>
  <si>
    <t>Net Debt (Balance Sheet)</t>
  </si>
  <si>
    <t>Proportional Debt</t>
  </si>
  <si>
    <t>Duet</t>
  </si>
  <si>
    <t>Net Debt</t>
  </si>
  <si>
    <t>Total Net Debt</t>
  </si>
  <si>
    <t>Value of non-regulated (100% basis)</t>
  </si>
  <si>
    <t>Spark Renewables</t>
  </si>
  <si>
    <t>Value of non-regulated (Proportional)</t>
  </si>
  <si>
    <t>Total</t>
  </si>
  <si>
    <t>Total EV of Spark Infrastructure</t>
  </si>
  <si>
    <t>Total EV of Spark Infrastructure (Net Debt)</t>
  </si>
  <si>
    <t>Cash</t>
  </si>
  <si>
    <t>Value of Debt</t>
  </si>
  <si>
    <t>Market value of growth and futures network</t>
  </si>
  <si>
    <t>Market value of other revenue</t>
  </si>
  <si>
    <t>Total value of  non-regulated</t>
  </si>
  <si>
    <t>Market value of non-regulated businesses</t>
  </si>
  <si>
    <t>Comparable companies</t>
  </si>
  <si>
    <t>Company Name</t>
  </si>
  <si>
    <t>Bloomberg Ticker</t>
  </si>
  <si>
    <t>Company description</t>
  </si>
  <si>
    <t>Tilt Renewables</t>
  </si>
  <si>
    <t>TLT AU Equity</t>
  </si>
  <si>
    <t>Tilt Renewables Limited owns and develops renewable energy plants. The Company generates electricity through wind farms. Tilt Renewables operates in New Zealand and Australia.</t>
  </si>
  <si>
    <t>Infigen Energy</t>
  </si>
  <si>
    <t>IFN AU Equity</t>
  </si>
  <si>
    <t>Infigen Energy develops, owns, and operates renewable energy generation assets. The Company engages in wind farm development project that generate electricity from wind turbine generators. Infigen Energy serves customers in Australia.</t>
  </si>
  <si>
    <t>New Energy Solar</t>
  </si>
  <si>
    <t>NEW AU Equity</t>
  </si>
  <si>
    <t>New Energy Solar operates as a renewable energy group. The Group manages solar energy generation facilities. New Energy Solar serves customers worldwide.</t>
  </si>
  <si>
    <t>Magnis Energy</t>
  </si>
  <si>
    <t>MNS AU Equity</t>
  </si>
  <si>
    <t>Magnis Energy Technologies Ltd manufactures power storage solutions. The Company offers lithium-ion battery cells and related accessories. Magnis Energy Technologies serves customers worldwide.</t>
  </si>
  <si>
    <t>Windlab</t>
  </si>
  <si>
    <t>WND AU Equity</t>
  </si>
  <si>
    <t>Windlab Limited operates as a renewable energy development company. The Company engages in the development, financing, construction, and the asset management of wind projects and farms. Windlab also constructs pipelines. Windlab serves clients in Australia, the United States, South Africa, and Tanzania.</t>
  </si>
  <si>
    <t>Genex Power</t>
  </si>
  <si>
    <t>GNX AU Equity</t>
  </si>
  <si>
    <t>Genex Power Limied operates as a power generation development company. The Company focuses on generation and storage of renewable energy. Genex Power serves customers in Australia.</t>
  </si>
  <si>
    <t>Southern Cross electrical engineering</t>
  </si>
  <si>
    <t>SXE AU Equity</t>
  </si>
  <si>
    <t>Southern Cross Electrical Engineering Limited provides electrical engineering and communications technology solutions. The Company offers electrical, instrumentation, communication and maintenance services for construction projects. Southern Cross Electrical Engineering serves customers in Australia.</t>
  </si>
  <si>
    <t>GenusPlus</t>
  </si>
  <si>
    <t>GNP AU Equity</t>
  </si>
  <si>
    <t>GenusPlus Group Ltd provides power and telecommunication solutions. The Company offers power solutions, telecommunications infrastructure, and technical services. GenusPlus Group serves customers in Australia.</t>
  </si>
  <si>
    <t>Valuation multiples of comparable companies</t>
  </si>
  <si>
    <t>Current</t>
  </si>
  <si>
    <t>2 Year average</t>
  </si>
  <si>
    <t>EV/EBITDA</t>
  </si>
  <si>
    <t>EV/EBIT</t>
  </si>
  <si>
    <t>EV/Rev</t>
  </si>
  <si>
    <t>EV/MWh</t>
  </si>
  <si>
    <t>EV/MW*</t>
  </si>
  <si>
    <t>EV/MW**</t>
  </si>
  <si>
    <t>notes</t>
  </si>
  <si>
    <t>-</t>
  </si>
  <si>
    <t>N/A</t>
  </si>
  <si>
    <t>*Windlab doesn't own the assets only manages/operates</t>
  </si>
  <si>
    <t>Valuation ($ millions AUD)</t>
  </si>
  <si>
    <t>Multiples</t>
  </si>
  <si>
    <t>EV/MW</t>
  </si>
  <si>
    <t>Status</t>
  </si>
  <si>
    <t>Output (MW)</t>
  </si>
  <si>
    <t>Bomen Solar Farm</t>
  </si>
  <si>
    <t>operational</t>
  </si>
  <si>
    <t>consent october 2018, operational Q2 2020. 120W DC 100W AC</t>
  </si>
  <si>
    <t>Dinawan Energy Hub</t>
  </si>
  <si>
    <t>Proposed</t>
  </si>
  <si>
    <t>proposed hybrid wind, solar and battery storage located in NSW. Would generate enough electricity to power owver one million average australian homes per year</t>
  </si>
  <si>
    <t>Mates Gully Solar Farm</t>
  </si>
  <si>
    <t>battery storage with a capacity of up to 100 MW</t>
  </si>
  <si>
    <t>Other developments</t>
  </si>
  <si>
    <t>early stage</t>
  </si>
  <si>
    <t>EV (millions)</t>
  </si>
  <si>
    <t>Value (low)</t>
  </si>
  <si>
    <t>Value (high)</t>
  </si>
  <si>
    <t>unregulated revenue</t>
  </si>
  <si>
    <t>EV/Rev Low</t>
  </si>
  <si>
    <t>EV/Rev High</t>
  </si>
  <si>
    <t>SA Power</t>
  </si>
  <si>
    <t>DUET (owned 2014 -2015)</t>
  </si>
  <si>
    <t>Ausnet</t>
  </si>
  <si>
    <t>Growth and Futures Network</t>
  </si>
  <si>
    <t>EBITDA</t>
  </si>
  <si>
    <t>EBIT</t>
  </si>
  <si>
    <t>Revenue</t>
  </si>
  <si>
    <t>EV/EBITDA Low</t>
  </si>
  <si>
    <t>EV/EBITDA High</t>
  </si>
  <si>
    <t>Other non regulated AST revenue</t>
  </si>
  <si>
    <t>Total unregulated value</t>
  </si>
  <si>
    <t>Trailing average adjustment</t>
  </si>
  <si>
    <t>AST Transmission</t>
  </si>
  <si>
    <t>transition</t>
  </si>
  <si>
    <t>March - April</t>
  </si>
  <si>
    <t>gearing</t>
  </si>
  <si>
    <t>RAB financed by debt</t>
  </si>
  <si>
    <t>Prevailing rate</t>
  </si>
  <si>
    <t>Tranche Weightings</t>
  </si>
  <si>
    <t>Tranche 1</t>
  </si>
  <si>
    <t>Tranche 2</t>
  </si>
  <si>
    <t>Tranche 3</t>
  </si>
  <si>
    <t>Tranche 4</t>
  </si>
  <si>
    <t>Tranche 5</t>
  </si>
  <si>
    <t>Tranche Facevalue</t>
  </si>
  <si>
    <t>Tranche Present Value</t>
  </si>
  <si>
    <t>Total Value of Debt</t>
  </si>
  <si>
    <t>Difference</t>
  </si>
  <si>
    <t>Adjusted RAB</t>
  </si>
  <si>
    <t>AST Distribution</t>
  </si>
  <si>
    <t>Half-year - move to June - July</t>
  </si>
  <si>
    <t>Jan - December</t>
  </si>
  <si>
    <t>Tranche 6</t>
  </si>
  <si>
    <t>Tranche 7</t>
  </si>
  <si>
    <t>AST Gas</t>
  </si>
  <si>
    <t>Transition</t>
  </si>
  <si>
    <t>July - June</t>
  </si>
  <si>
    <t>Tranche Present value</t>
  </si>
  <si>
    <t>HY</t>
  </si>
  <si>
    <t>Jan - Dec</t>
  </si>
  <si>
    <t>Trailing average adjustment Bonds</t>
  </si>
  <si>
    <t>Transmission</t>
  </si>
  <si>
    <t>rate</t>
  </si>
  <si>
    <t>maturity</t>
  </si>
  <si>
    <t>Discount rate</t>
  </si>
  <si>
    <t>Distribution</t>
  </si>
  <si>
    <t>Gas</t>
  </si>
  <si>
    <t>Value of unlisted bonds</t>
  </si>
  <si>
    <t>Fixed Coupon Bonds</t>
  </si>
  <si>
    <t>Cash flow</t>
  </si>
  <si>
    <t>time to payment</t>
  </si>
  <si>
    <t>discount rate</t>
  </si>
  <si>
    <t>present value</t>
  </si>
  <si>
    <t>value captured in listed bonds</t>
  </si>
  <si>
    <t>zero coupon bonds</t>
  </si>
  <si>
    <t>Floating Coupon bonds</t>
  </si>
  <si>
    <t>31866140961</t>
  </si>
  <si>
    <t>Issue date</t>
  </si>
  <si>
    <t>Maturity</t>
  </si>
  <si>
    <t>Face Value</t>
  </si>
  <si>
    <t>31398910961</t>
  </si>
  <si>
    <t>24692120962</t>
  </si>
  <si>
    <t>37907380961</t>
  </si>
  <si>
    <t>37284850961</t>
  </si>
  <si>
    <t>Other Unlisted Bonds</t>
  </si>
  <si>
    <t>Facevalue</t>
  </si>
  <si>
    <t>Issuer</t>
  </si>
  <si>
    <t>AU3CB0173128</t>
  </si>
  <si>
    <t>AU3FN0000162</t>
  </si>
  <si>
    <t>AU3FN0001715</t>
  </si>
  <si>
    <t>AU3FN0001723</t>
  </si>
  <si>
    <t>USQ33551AB02</t>
  </si>
  <si>
    <t>AU3CB0145696</t>
  </si>
  <si>
    <t>XS0897300744</t>
  </si>
  <si>
    <t>Total value of unlisted debt</t>
  </si>
  <si>
    <t>Trangrid</t>
  </si>
  <si>
    <t>Facevalue of debt (balance sheet)</t>
  </si>
  <si>
    <t>Facevalue of listed bonds</t>
  </si>
  <si>
    <t>DUET</t>
  </si>
  <si>
    <t>Market Value of Debt</t>
  </si>
  <si>
    <t>note: I think we iferror these N/As away after its been checked</t>
  </si>
  <si>
    <t>Bond Portfolio</t>
  </si>
  <si>
    <t>AU3FN0062642</t>
  </si>
  <si>
    <t>XS1797653224</t>
  </si>
  <si>
    <t>XS2237907477</t>
  </si>
  <si>
    <t>AU3FN0059994</t>
  </si>
  <si>
    <t>AU3CB0279651</t>
  </si>
  <si>
    <t>XS1567431199</t>
  </si>
  <si>
    <t>XS2337992387</t>
  </si>
  <si>
    <t>AU3CB0246387</t>
  </si>
  <si>
    <t>AU3CB0252005</t>
  </si>
  <si>
    <t>AU3CB0279644</t>
  </si>
  <si>
    <t>XS1797656243</t>
  </si>
  <si>
    <t>XS1808720194</t>
  </si>
  <si>
    <t>XS2258961866</t>
  </si>
  <si>
    <t>XS2345809227</t>
  </si>
  <si>
    <t>AU000AEPR010</t>
  </si>
  <si>
    <t>AU000AEPR028</t>
  </si>
  <si>
    <t>AU000CPR0010</t>
  </si>
  <si>
    <t>AU000CPR0028</t>
  </si>
  <si>
    <t>AU000CPR0036</t>
  </si>
  <si>
    <t>AU000CPR0044</t>
  </si>
  <si>
    <t>AU3FN0022083</t>
  </si>
  <si>
    <t>AU3FN0003539</t>
  </si>
  <si>
    <t>AU3FN0003521</t>
  </si>
  <si>
    <t>AU000PLLC022</t>
  </si>
  <si>
    <t>US69511WAA45</t>
  </si>
  <si>
    <t>USQ7209PAA86</t>
  </si>
  <si>
    <t>AU000PLLC014</t>
  </si>
  <si>
    <t>AU300PLLC034</t>
  </si>
  <si>
    <t>AU3FN0018164</t>
  </si>
  <si>
    <t>AU3CB0193274</t>
  </si>
  <si>
    <t>Loans</t>
  </si>
  <si>
    <t>AU3CB0279578</t>
  </si>
  <si>
    <t>AU3CB0274645</t>
  </si>
  <si>
    <t>Revolver/Line &gt;= 1 Yr.</t>
  </si>
  <si>
    <t>Term Loan</t>
  </si>
  <si>
    <t>Revolver/Term Loan</t>
  </si>
  <si>
    <t>AU3FN0037651</t>
  </si>
  <si>
    <t>AU3FN0040275</t>
  </si>
  <si>
    <t>AU3CB0246544</t>
  </si>
  <si>
    <t>AU000ET20034</t>
  </si>
  <si>
    <t>AU000ET20042</t>
  </si>
  <si>
    <t>XS0110884813</t>
  </si>
  <si>
    <t>XS0110885380</t>
  </si>
  <si>
    <t>AU000ET20026</t>
  </si>
  <si>
    <t>XS0110835799</t>
  </si>
  <si>
    <t>AU000ET20018</t>
  </si>
  <si>
    <t>AU300ETU3010</t>
  </si>
  <si>
    <t>AU3CB0191260</t>
  </si>
  <si>
    <t>AU3FN0017331</t>
  </si>
  <si>
    <t>AU3FN0002523</t>
  </si>
  <si>
    <t>Total Bonds</t>
  </si>
  <si>
    <t>AU3CB0195972</t>
  </si>
  <si>
    <t>AU3CB0195980</t>
  </si>
  <si>
    <t>XS1030143447</t>
  </si>
  <si>
    <t>XS1082471423</t>
  </si>
  <si>
    <t>XS1534927352</t>
  </si>
  <si>
    <t>XS1534927436</t>
  </si>
  <si>
    <t>XS1191877452</t>
  </si>
  <si>
    <t>XS1550170077</t>
  </si>
  <si>
    <t>AU3CB0242527</t>
  </si>
  <si>
    <t>XS0817658551</t>
  </si>
  <si>
    <t>XS0896118907</t>
  </si>
  <si>
    <t>XS1386373101</t>
  </si>
  <si>
    <t>AU3CB0250751</t>
  </si>
  <si>
    <t>XS1961050181</t>
  </si>
  <si>
    <t>XS1961093587</t>
  </si>
  <si>
    <t>XS1079202690</t>
  </si>
  <si>
    <t>AU0000053241</t>
  </si>
  <si>
    <t>XS1782802794</t>
  </si>
  <si>
    <t>XS1782798406</t>
  </si>
  <si>
    <t>XS2212009000</t>
  </si>
  <si>
    <t>XS2118213888</t>
  </si>
  <si>
    <t>XS1783968974</t>
  </si>
  <si>
    <t>XS1963068033</t>
  </si>
  <si>
    <t>XS2212024652</t>
  </si>
  <si>
    <t>XS2212025386</t>
  </si>
  <si>
    <t>XS2212025543</t>
  </si>
  <si>
    <t>XS1823480311</t>
  </si>
  <si>
    <t>XS1823482366</t>
  </si>
  <si>
    <t>AU3FN0056594</t>
  </si>
  <si>
    <t>XS2308313860</t>
  </si>
  <si>
    <t>US27636PAA75</t>
  </si>
  <si>
    <t>USQ33551AA29</t>
  </si>
  <si>
    <t>US27636PAE97</t>
  </si>
  <si>
    <t>US27636PAG46</t>
  </si>
  <si>
    <t>US27636PAH29</t>
  </si>
  <si>
    <t>AU300TXUH023</t>
  </si>
  <si>
    <t>AU300TXUH015</t>
  </si>
  <si>
    <t>XS0204903149</t>
  </si>
  <si>
    <t>CH0110032668</t>
  </si>
  <si>
    <t>XS0267749181</t>
  </si>
  <si>
    <t>US27636PAC32</t>
  </si>
  <si>
    <t>US27636PAF62</t>
  </si>
  <si>
    <t>CH0143838354</t>
  </si>
  <si>
    <t>XS0371452037</t>
  </si>
  <si>
    <t>CH0200252812</t>
  </si>
  <si>
    <t>AU3CB0205201</t>
  </si>
  <si>
    <t>XS0494132540</t>
  </si>
  <si>
    <t>XS0953783239</t>
  </si>
  <si>
    <t>AU3CB0173482</t>
  </si>
  <si>
    <t>XS0715702824</t>
  </si>
  <si>
    <t>XS1380286663</t>
  </si>
  <si>
    <t>XS1375202659</t>
  </si>
  <si>
    <t>Total Loans</t>
  </si>
  <si>
    <t>AU300EPGL014</t>
  </si>
  <si>
    <t>US91020QAA58</t>
  </si>
  <si>
    <t>AU300EPGL022</t>
  </si>
  <si>
    <t>AU300EPGL030</t>
  </si>
  <si>
    <t>AU300DBNF014</t>
  </si>
  <si>
    <t>AU300DBNF030</t>
  </si>
  <si>
    <t>AU300UELM012</t>
  </si>
  <si>
    <t>AU3CB0160679</t>
  </si>
  <si>
    <t>AU3FN0011623</t>
  </si>
  <si>
    <t>US91020QAB32</t>
  </si>
  <si>
    <t>USU91028AB31</t>
  </si>
  <si>
    <t>AU3CB0192599</t>
  </si>
  <si>
    <t>AU300DBNF022</t>
  </si>
  <si>
    <t>AU3FN0003034</t>
  </si>
  <si>
    <t>AU300DBNF048</t>
  </si>
  <si>
    <t>AU3CB0201697</t>
  </si>
  <si>
    <t>AU3FN0027801</t>
  </si>
  <si>
    <t>AU3CB0230209</t>
  </si>
  <si>
    <t>AU3CB0224467</t>
  </si>
  <si>
    <t>Yield Curve</t>
  </si>
  <si>
    <t>A rated</t>
  </si>
  <si>
    <t>Year (30 June)</t>
  </si>
  <si>
    <t>BBB rated</t>
  </si>
  <si>
    <t>2022 are the yields from decemeber 2021</t>
  </si>
  <si>
    <t>Year (30 March)</t>
  </si>
  <si>
    <t>Year (31 December)</t>
  </si>
  <si>
    <t>opening date</t>
  </si>
  <si>
    <t>closing date</t>
  </si>
  <si>
    <t>EI619051@BGN Corp</t>
  </si>
  <si>
    <t>PX_LAST</t>
  </si>
  <si>
    <t>AU3CB0173128 ISIN</t>
  </si>
  <si>
    <t>AU3FN0002523 ISIN</t>
  </si>
  <si>
    <t>XS1808720194 ISIN</t>
  </si>
  <si>
    <t>XS2212025543 ISIN</t>
  </si>
  <si>
    <t>XS2212024652 ISIN</t>
  </si>
  <si>
    <t>XS1079202690 ISIN</t>
  </si>
  <si>
    <t>XS0953783239 ISIN</t>
  </si>
  <si>
    <t>AU3FN0003034 ISIN</t>
  </si>
  <si>
    <t>AU3CB0224467 ISIN</t>
  </si>
  <si>
    <t>DUET GROUP
			                    24-Mar-2022 15:05</t>
  </si>
  <si>
    <t>Debt Structure</t>
  </si>
  <si>
    <t>Include Subsidiaries: YES, Include Depositary Receipts: NO, Currency: Australian Dollar</t>
  </si>
  <si>
    <t>Issuer Description</t>
  </si>
  <si>
    <t>DUET GROUP</t>
  </si>
  <si>
    <t>Immediate Parent</t>
  </si>
  <si>
    <t>CK WILLIAM AUSTRALIA BIDCO PTY LTD</t>
  </si>
  <si>
    <t>Ultimate Parent</t>
  </si>
  <si>
    <t>CK ASSET HOLDINGS LTD</t>
  </si>
  <si>
    <t>Name</t>
  </si>
  <si>
    <t>Issues</t>
  </si>
  <si>
    <t>Outstanding</t>
  </si>
  <si>
    <t>Issued</t>
  </si>
  <si>
    <t>Bonds</t>
  </si>
  <si>
    <t>Bonds to Be Issued</t>
  </si>
  <si>
    <t>Bonds (as Borrower)</t>
  </si>
  <si>
    <t>Bonds (as Borrower) - to Be Issued</t>
  </si>
  <si>
    <t>Inactive Bonds</t>
  </si>
  <si>
    <t>Description</t>
  </si>
  <si>
    <t>Asset Duplicated</t>
  </si>
  <si>
    <t>Maturity Date</t>
  </si>
  <si>
    <t>Issued Amount</t>
  </si>
  <si>
    <t>Coupon Class</t>
  </si>
  <si>
    <t>Country of Issue</t>
  </si>
  <si>
    <t>Currency</t>
  </si>
  <si>
    <t>ISIN</t>
  </si>
  <si>
    <t>RIC</t>
  </si>
  <si>
    <t>Cusip</t>
  </si>
  <si>
    <t>Issue Date</t>
  </si>
  <si>
    <t>Rank (Seniority)</t>
  </si>
  <si>
    <t>Seniority (Legacy)</t>
  </si>
  <si>
    <t>Instrument Type</t>
  </si>
  <si>
    <t>Principal Index Link Flag</t>
  </si>
  <si>
    <t>Modified Duration</t>
  </si>
  <si>
    <t>Option Adjusted Duration</t>
  </si>
  <si>
    <t>Capital Tier</t>
  </si>
  <si>
    <t>Government Bond Type</t>
  </si>
  <si>
    <t>Offering Type</t>
  </si>
  <si>
    <t>Program Type</t>
  </si>
  <si>
    <t>Domicile</t>
  </si>
  <si>
    <t>Asset Status</t>
  </si>
  <si>
    <t>Green Bonds</t>
  </si>
  <si>
    <t>Collateral</t>
  </si>
  <si>
    <t>DUETFE / DUETF 6.500  29-Jul-2009  MTN MATd</t>
  </si>
  <si>
    <t>--</t>
  </si>
  <si>
    <t>Fixed Coupon</t>
  </si>
  <si>
    <t>Australia</t>
  </si>
  <si>
    <t>Australian Dollar</t>
  </si>
  <si>
    <t>DUETFE</t>
  </si>
  <si>
    <t>Senior Unsecured</t>
  </si>
  <si>
    <t>Note</t>
  </si>
  <si>
    <t>N</t>
  </si>
  <si>
    <t>Medium Term Note Program</t>
  </si>
  <si>
    <t>Expired/Matured</t>
  </si>
  <si>
    <t>ENERGY PARTNERSHIP (GAS) PTY LTD</t>
  </si>
  <si>
    <t>CKASHE / CKASH 4.700  15-Apr-2011  MATd</t>
  </si>
  <si>
    <t>United States</t>
  </si>
  <si>
    <t>U.S. Dollar</t>
  </si>
  <si>
    <t>CKASHE</t>
  </si>
  <si>
    <t>91020QAA5</t>
  </si>
  <si>
    <t>Private placement-144A</t>
  </si>
  <si>
    <t>UNITED ENERGY DISTRIBUTION PTY LTD</t>
  </si>
  <si>
    <t>DUETFE / DUETF 5.370  29-Jul-2011  MTN MATd</t>
  </si>
  <si>
    <t>Floating Coupon</t>
  </si>
  <si>
    <t>DUETFE / DUETF 6.375  29-Jul-2011  MTN MATd</t>
  </si>
  <si>
    <t>DUETFC / DUETF 4.648  25-Apr-2012  MTN MATd</t>
  </si>
  <si>
    <t>DUETFC</t>
  </si>
  <si>
    <t>Senior Secured</t>
  </si>
  <si>
    <t>DBNGP FINANCE CO PTY LTD</t>
  </si>
  <si>
    <t>Other</t>
  </si>
  <si>
    <t>DUETFC / DUETF 3.169  26-Apr-2013  MTN MATd</t>
  </si>
  <si>
    <t>CKASHE / CKASH 2.922  23-Oct-2014  MTN MATd</t>
  </si>
  <si>
    <t>DUETFC / DUETF 8.250  29-Sep-2015  MTN MATd</t>
  </si>
  <si>
    <t>Unsecured</t>
  </si>
  <si>
    <t>DUETFC / DUETF 5.150  29-Sep-2015  MTN MATd</t>
  </si>
  <si>
    <t>CKASHE / CKASH 5.450  15-Apr-2016  MATd</t>
  </si>
  <si>
    <t>91020QAB3</t>
  </si>
  <si>
    <t>RGSRS</t>
  </si>
  <si>
    <t>Eurobond</t>
  </si>
  <si>
    <t>Regulation S</t>
  </si>
  <si>
    <t>CKASHE / CKASH 6.250  11-Apr-2017  MTN MATd</t>
  </si>
  <si>
    <t>DUETFC / DUETF 2.150  25-Apr-2017  MTN MATd</t>
  </si>
  <si>
    <t>DUETFE / DUETF 2.015  10-Jul-2017  MTN MATd</t>
  </si>
  <si>
    <t>DUETFC / DUETF 2.045  26-Apr-2018  MTN MATd</t>
  </si>
  <si>
    <t>DUETFC / DUETF 6.000  11-Oct-2019  MTN MATd</t>
  </si>
  <si>
    <t>Underwritten-Agent</t>
  </si>
  <si>
    <t>DUETFE / DUETF 2.243  15-Jun-2020  MTN MATd</t>
  </si>
  <si>
    <t>DUETFE / DUETF 4.250  15-Jun-2020  MTN MATd</t>
  </si>
  <si>
    <t>DUETFC / DUETF 5.000  01-Oct-2020  MTN CALd</t>
  </si>
  <si>
    <t>Called</t>
  </si>
  <si>
    <t>Timestamp</t>
  </si>
  <si>
    <t>MID_PRICE</t>
  </si>
  <si>
    <t>Mid Price Close</t>
  </si>
  <si>
    <t>Invalid RIC.</t>
  </si>
  <si>
    <t>You do not have permission to view this RIC.</t>
  </si>
  <si>
    <t>Non-current liabilties</t>
  </si>
  <si>
    <t>Source: Annual reports</t>
  </si>
  <si>
    <t>Non current liabilities</t>
  </si>
  <si>
    <t>Spark Infrastructure (parent)</t>
  </si>
  <si>
    <t>NSW Electricty network assets</t>
  </si>
  <si>
    <t>NSW Electricty network operations</t>
  </si>
  <si>
    <t>Loans to associates</t>
  </si>
  <si>
    <t>NSW Electricity network operations</t>
  </si>
  <si>
    <t>3.5%, paid at discreation max maturity dec 2025</t>
  </si>
  <si>
    <t>Victoria Powernetworks</t>
  </si>
  <si>
    <t>10.85% 100 year loan, repayable at discretion of the borrower</t>
  </si>
  <si>
    <t>Regulated Revenue</t>
  </si>
  <si>
    <t>Semi-regulated and unregulated revenue</t>
  </si>
  <si>
    <t>Source: annual reports</t>
  </si>
  <si>
    <t>Total borrowings</t>
  </si>
  <si>
    <t>Carrying Value</t>
  </si>
  <si>
    <t>FV of bonds</t>
  </si>
  <si>
    <t>revolving loan</t>
  </si>
  <si>
    <t>Other unregualted revenue</t>
  </si>
  <si>
    <t>Net debt / RAB</t>
  </si>
  <si>
    <t>Transgrid (RCAB)</t>
  </si>
  <si>
    <t>implied net debt (NET DEBT/RAB)</t>
  </si>
  <si>
    <t>Dampier Bunbury Pipeline</t>
  </si>
  <si>
    <t>transmission revenue</t>
  </si>
  <si>
    <t>total revenue</t>
  </si>
  <si>
    <t>DDG developments</t>
  </si>
  <si>
    <t>United Energy</t>
  </si>
  <si>
    <t>distribution revenue</t>
  </si>
  <si>
    <t>Multinet gas</t>
  </si>
  <si>
    <t>In october 22 2015 DUET completed its acquisition of EDL</t>
  </si>
  <si>
    <t>April 6th 2016 acquired remaining 20% of shares in DBP</t>
  </si>
  <si>
    <t>24 may 2016 acquired landfill gas and power.</t>
  </si>
  <si>
    <t>Balance Sheet debt</t>
  </si>
  <si>
    <t>Bank loans</t>
  </si>
  <si>
    <t>Guaranteed notes</t>
  </si>
  <si>
    <t>other debt</t>
  </si>
  <si>
    <t>Tax Asset Base</t>
  </si>
  <si>
    <t>TAB</t>
  </si>
  <si>
    <t>reset</t>
  </si>
  <si>
    <t>reg year july to june</t>
  </si>
  <si>
    <t>Source</t>
  </si>
  <si>
    <t>Opening TAB</t>
  </si>
  <si>
    <t>PTRM / calculation</t>
  </si>
  <si>
    <t>Net Capex (without cap cons)</t>
  </si>
  <si>
    <t>PTRM</t>
  </si>
  <si>
    <t>Net Capex (Actual)</t>
  </si>
  <si>
    <t>RIN</t>
  </si>
  <si>
    <t>Capital Contributions</t>
  </si>
  <si>
    <t>Tax Depreciation</t>
  </si>
  <si>
    <t>Closing TAB</t>
  </si>
  <si>
    <t>calculation</t>
  </si>
  <si>
    <t>inflation adjustment</t>
  </si>
  <si>
    <t>RBA</t>
  </si>
  <si>
    <t>adjusted TAB</t>
  </si>
  <si>
    <t>reg year jan - dec, chagned to jun-july with mini year 2021</t>
  </si>
  <si>
    <t>powercor</t>
  </si>
  <si>
    <t>transgrid</t>
  </si>
  <si>
    <t>reg year jun to july</t>
  </si>
  <si>
    <t>Ausnet transmission</t>
  </si>
  <si>
    <t>reg year april to may</t>
  </si>
  <si>
    <t>Ausnet distribution</t>
  </si>
  <si>
    <t>Ausnet gas</t>
  </si>
  <si>
    <t>reg year jan - dec, chagned to jun-july with mini year 2023</t>
  </si>
  <si>
    <t>AusNet Services Ltd | Segments                                18-Feb-2022 12:00</t>
  </si>
  <si>
    <t>Segments</t>
  </si>
  <si>
    <t xml:space="preserve">Interim Business Line by Segment in Millions of Australian Dollars </t>
  </si>
  <si>
    <t>Sep-2021 </t>
  </si>
  <si>
    <t>Mar-2021 </t>
  </si>
  <si>
    <t>Sep-2020 </t>
  </si>
  <si>
    <t>Mar-2020 </t>
  </si>
  <si>
    <t>Sep-2019 </t>
  </si>
  <si>
    <t>Mar-2019 </t>
  </si>
  <si>
    <t>Sep-2018 </t>
  </si>
  <si>
    <t>Mar-2018 </t>
  </si>
  <si>
    <t>Sep-2017 </t>
  </si>
  <si>
    <t>Mar-2017 </t>
  </si>
  <si>
    <t>Sep-2016 </t>
  </si>
  <si>
    <t>Mar-2016 </t>
  </si>
  <si>
    <t>Sep-2015 </t>
  </si>
  <si>
    <t>Mar-2015 </t>
  </si>
  <si>
    <t>Sep-2014 </t>
  </si>
  <si>
    <t>Mar-2014 </t>
  </si>
  <si>
    <t>Sep-2013 </t>
  </si>
  <si>
    <t>Mar-2013 </t>
  </si>
  <si>
    <t>Sep-2012 </t>
  </si>
  <si>
    <t>Mar-2012 </t>
  </si>
  <si>
    <t>Sep-2011 </t>
  </si>
  <si>
    <t>Mar-2011 </t>
  </si>
  <si>
    <t>Sep-2010 </t>
  </si>
  <si>
    <t>Mar-2010 </t>
  </si>
  <si>
    <t>Sep-2009 </t>
  </si>
  <si>
    <t>Mar-2009 </t>
  </si>
  <si>
    <t>Sep-2008 </t>
  </si>
  <si>
    <t>Mar-2008 </t>
  </si>
  <si>
    <t>Sep-2007 </t>
  </si>
  <si>
    <t>Mar-2007 </t>
  </si>
  <si>
    <t>Sep-2006 </t>
  </si>
  <si>
    <t>Mar-2006 </t>
  </si>
  <si>
    <t>Sep-2005 </t>
  </si>
  <si>
    <t>Period End Date</t>
  </si>
  <si>
    <t>30-Sep-2021 </t>
  </si>
  <si>
    <t>31-Mar-2021 </t>
  </si>
  <si>
    <t>30-Sep-2020 </t>
  </si>
  <si>
    <t>31-Mar-2020 </t>
  </si>
  <si>
    <t>30-Sep-2019 </t>
  </si>
  <si>
    <t>31-Mar-2019 </t>
  </si>
  <si>
    <t>30-Sep-2018 </t>
  </si>
  <si>
    <t>31-Mar-2018 </t>
  </si>
  <si>
    <t>30-Sep-2017 </t>
  </si>
  <si>
    <t>31-Mar-2017 </t>
  </si>
  <si>
    <t>30-Sep-2016 </t>
  </si>
  <si>
    <t>31-Mar-2016 </t>
  </si>
  <si>
    <t>30-Sep-2015 </t>
  </si>
  <si>
    <t>31-Mar-2015 </t>
  </si>
  <si>
    <t>30-Sep-2014 </t>
  </si>
  <si>
    <t>31-Mar-2014 </t>
  </si>
  <si>
    <t>30-Sep-2013 </t>
  </si>
  <si>
    <t>31-Mar-2013 </t>
  </si>
  <si>
    <t>30-Sep-2012 </t>
  </si>
  <si>
    <t>31-Mar-2012 </t>
  </si>
  <si>
    <t>30-Sep-2011 </t>
  </si>
  <si>
    <t>31-Mar-2011 </t>
  </si>
  <si>
    <t>30-Sep-2010 </t>
  </si>
  <si>
    <t>31-Mar-2010 </t>
  </si>
  <si>
    <t>30-Sep-2009 </t>
  </si>
  <si>
    <t>31-Mar-2009 </t>
  </si>
  <si>
    <t>30-Sep-2008 </t>
  </si>
  <si>
    <t>31-Mar-2008 </t>
  </si>
  <si>
    <t>30-Sep-2007 </t>
  </si>
  <si>
    <t>31-Mar-2007 </t>
  </si>
  <si>
    <t>30-Sep-2006 </t>
  </si>
  <si>
    <t>31-Mar-2006 </t>
  </si>
  <si>
    <t>30-Sep-2005 </t>
  </si>
  <si>
    <r>
      <t>Electricity Distribution</t>
    </r>
    <r>
      <rPr>
        <sz val="11"/>
        <color theme="1"/>
        <rFont val="Arial Nova"/>
        <family val="2"/>
        <scheme val="minor"/>
      </rPr>
      <t xml:space="preserve">     NAICS: 221119 </t>
    </r>
  </si>
  <si>
    <t>External Revenue</t>
  </si>
  <si>
    <t>Total Revenue</t>
  </si>
  <si>
    <t>Earn. bef. Int., Tax &amp; Depr.</t>
  </si>
  <si>
    <t xml:space="preserve">-- </t>
  </si>
  <si>
    <t>EBITDA Margin (%)</t>
  </si>
  <si>
    <t>Depreciation</t>
  </si>
  <si>
    <t>Purchase of Fixed Assets</t>
  </si>
  <si>
    <t>Income After Tax</t>
  </si>
  <si>
    <t>Net Profit Margin (%)</t>
  </si>
  <si>
    <t>Interest Expense</t>
  </si>
  <si>
    <t>Operating Income/Loss</t>
  </si>
  <si>
    <t>Operating Margin (%)</t>
  </si>
  <si>
    <t>Income Before Tax</t>
  </si>
  <si>
    <t>Pre-Tax Margin (%)</t>
  </si>
  <si>
    <r>
      <t>Gas Distribution</t>
    </r>
    <r>
      <rPr>
        <sz val="11"/>
        <color theme="1"/>
        <rFont val="Arial Nova"/>
        <family val="2"/>
        <scheme val="minor"/>
      </rPr>
      <t xml:space="preserve">      </t>
    </r>
  </si>
  <si>
    <r>
      <t>Electricity Transmission</t>
    </r>
    <r>
      <rPr>
        <sz val="11"/>
        <color theme="1"/>
        <rFont val="Arial Nova"/>
        <family val="2"/>
        <scheme val="minor"/>
      </rPr>
      <t xml:space="preserve">     NAICS: 221121 </t>
    </r>
  </si>
  <si>
    <r>
      <t>Select Solutions</t>
    </r>
    <r>
      <rPr>
        <sz val="11"/>
        <color theme="1"/>
        <rFont val="Arial Nova"/>
        <family val="2"/>
        <scheme val="minor"/>
      </rPr>
      <t xml:space="preserve">     NAICS: 221119 </t>
    </r>
  </si>
  <si>
    <r>
      <t>--</t>
    </r>
    <r>
      <rPr>
        <sz val="11"/>
        <color theme="1"/>
        <rFont val="Arial Nova"/>
        <family val="2"/>
        <scheme val="minor"/>
      </rPr>
      <t xml:space="preserve"> </t>
    </r>
  </si>
  <si>
    <r>
      <t>Mondo</t>
    </r>
    <r>
      <rPr>
        <sz val="11"/>
        <color theme="1"/>
        <rFont val="Arial Nova"/>
        <family val="2"/>
        <scheme val="minor"/>
      </rPr>
      <t xml:space="preserve">     NAICS: 221122 </t>
    </r>
  </si>
  <si>
    <r>
      <t>Growth &amp; Future Networks</t>
    </r>
    <r>
      <rPr>
        <sz val="11"/>
        <color theme="1"/>
        <rFont val="Arial Nova"/>
        <family val="2"/>
        <scheme val="minor"/>
      </rPr>
      <t xml:space="preserve">     NAICS: 221122, 221121 </t>
    </r>
  </si>
  <si>
    <r>
      <t>Discontinued Operations</t>
    </r>
    <r>
      <rPr>
        <sz val="11"/>
        <color theme="1"/>
        <rFont val="Arial Nova"/>
        <family val="2"/>
        <scheme val="minor"/>
      </rPr>
      <t xml:space="preserve">     NAICS: OTHERS </t>
    </r>
  </si>
  <si>
    <r>
      <t>Segment Total</t>
    </r>
    <r>
      <rPr>
        <sz val="11"/>
        <color theme="1"/>
        <rFont val="Arial Nova"/>
        <family val="2"/>
        <scheme val="minor"/>
      </rPr>
      <t xml:space="preserve">      </t>
    </r>
  </si>
  <si>
    <r>
      <t>Intersegment Elimination</t>
    </r>
    <r>
      <rPr>
        <sz val="11"/>
        <color theme="1"/>
        <rFont val="Arial Nova"/>
        <family val="2"/>
        <scheme val="minor"/>
      </rPr>
      <t xml:space="preserve">      </t>
    </r>
  </si>
  <si>
    <r>
      <t>Unallocated</t>
    </r>
    <r>
      <rPr>
        <sz val="11"/>
        <color theme="1"/>
        <rFont val="Arial Nova"/>
        <family val="2"/>
        <scheme val="minor"/>
      </rPr>
      <t xml:space="preserve">      </t>
    </r>
  </si>
  <si>
    <r>
      <t>Consolidated Total</t>
    </r>
    <r>
      <rPr>
        <sz val="11"/>
        <color theme="1"/>
        <rFont val="Arial Nova"/>
        <family val="2"/>
        <scheme val="minor"/>
      </rPr>
      <t xml:space="preserve">      </t>
    </r>
  </si>
  <si>
    <t>F1.1 INTEREST RATES AND YIELDS – MONEY MARKET</t>
  </si>
  <si>
    <t>Title</t>
  </si>
  <si>
    <t>Cash Rate Target</t>
  </si>
  <si>
    <t>Interbank Overnight Cash Rate</t>
  </si>
  <si>
    <t>1-month BABs/NCDs</t>
  </si>
  <si>
    <t>3-month BABs/NCDs</t>
  </si>
  <si>
    <t>6-month BABs/NCDs</t>
  </si>
  <si>
    <t>1-month OIS</t>
  </si>
  <si>
    <t>3-month OIS</t>
  </si>
  <si>
    <t>6-month OIS</t>
  </si>
  <si>
    <t>1-month Treasury Note</t>
  </si>
  <si>
    <t>3- month Treasury Note</t>
  </si>
  <si>
    <t>6- month Treasury Note</t>
  </si>
  <si>
    <t>Cash Rate Target; monthly average</t>
  </si>
  <si>
    <t>Interbank Overnight Cash Rate; monthly average</t>
  </si>
  <si>
    <t>Bank Accepted Bills/Negotiable Certificates of Deposit-1 month; monthly average</t>
  </si>
  <si>
    <t>Bank Accepted Bills/Negotiable Certificates of Deposit-3 months; monthly average</t>
  </si>
  <si>
    <t>Bank Accepted Bills/Negotiable Certificates of Deposit- 6 months; monthly average</t>
  </si>
  <si>
    <t>Overnight Indexed Swaps-1 month; monthly average</t>
  </si>
  <si>
    <t>Overnight Indexed Swaps-3 months; monthly average</t>
  </si>
  <si>
    <t>Overnight Indexed Swaps-6 months; monthly average</t>
  </si>
  <si>
    <t>Treasury Notes-1 month; monthly average</t>
  </si>
  <si>
    <t>Treasury Notes-3 months; monthly average</t>
  </si>
  <si>
    <t>Treasury Notes-6 months; monthly average</t>
  </si>
  <si>
    <t>Frequency</t>
  </si>
  <si>
    <t>Monthly</t>
  </si>
  <si>
    <t>See notes</t>
  </si>
  <si>
    <t>Type</t>
  </si>
  <si>
    <t>Original</t>
  </si>
  <si>
    <t>Units</t>
  </si>
  <si>
    <t>Per cent</t>
  </si>
  <si>
    <t>ASX</t>
  </si>
  <si>
    <t>FENICS</t>
  </si>
  <si>
    <t>Publication date</t>
  </si>
  <si>
    <t>01-Mar-2022</t>
  </si>
  <si>
    <t>Series ID</t>
  </si>
  <si>
    <t>FIRMMCRT</t>
  </si>
  <si>
    <t>FIRMMCRI</t>
  </si>
  <si>
    <t>FIRMMBAB30</t>
  </si>
  <si>
    <t>FIRMMBAB90</t>
  </si>
  <si>
    <t>FIRMMBAB180</t>
  </si>
  <si>
    <t>FIRMMOIS1</t>
  </si>
  <si>
    <t>FIRMMOIS3</t>
  </si>
  <si>
    <t>FIRMMOIS6</t>
  </si>
  <si>
    <t>FIRMMTN1</t>
  </si>
  <si>
    <t>FIRMMTN3</t>
  </si>
  <si>
    <t>FIRMMTN6</t>
  </si>
  <si>
    <t>F3 AGGREGATE MEASURES OF AUSTRALIAN CORPORATE BOND SPREADS AND YIELDS: NON-FINANCIAL CORPORATE (NFC) BONDS</t>
  </si>
  <si>
    <t>Non-financial corporate A-rated bonds – Effective tenor – 3 year target tenor</t>
  </si>
  <si>
    <t>Non-financial corporate A-rated bonds – Yield – 3 year target tenor</t>
  </si>
  <si>
    <t>Non-financial corporate A-rated bonds – Spread to swap – 3 year target tenor</t>
  </si>
  <si>
    <t>Non-financial corporate A-rated bonds – Spread to AGS – 3 year target tenor</t>
  </si>
  <si>
    <t>Non-financial corporate A-rated bonds – Effective tenor – 5 year target tenor</t>
  </si>
  <si>
    <t>Non-financial corporate A-rated bonds – Yield – 5 year target tenor</t>
  </si>
  <si>
    <t>Non-financial corporate A-rated bonds – Spread to swap – 5 year target tenor</t>
  </si>
  <si>
    <t>Non-financial corporate A-rated bonds – Spread to AGS – 5 year target tenor</t>
  </si>
  <si>
    <t>Non-financial corporate A-rated bonds – Effective tenor – 7 year target tenor</t>
  </si>
  <si>
    <t>Non-financial corporate A-rated bonds – Yield – 7 year target tenor</t>
  </si>
  <si>
    <t>Non-financial corporate A-rated bonds – Spread to swap – 7 year target tenor</t>
  </si>
  <si>
    <t>Non-financial corporate A-rated bonds – Spread to AGS – 7 year target tenor</t>
  </si>
  <si>
    <t>Non-financial corporate A-rated bonds – Effective tenor – 10 year target tenor</t>
  </si>
  <si>
    <t>Non-financial corporate A-rated bonds – Yield – 10 year target tenor</t>
  </si>
  <si>
    <t>Non-financial corporate A-rated bonds – Spread to swap – 10 year target tenor</t>
  </si>
  <si>
    <t>Non-financial corporate A-rated bonds – Spread to AGS – 10 year target tenor</t>
  </si>
  <si>
    <t>Non-financial corporate A-rated bonds – Number of bonds – 1–4 years</t>
  </si>
  <si>
    <t>Non-financial corporate A-rated bonds – Number of bonds – 4–6 years</t>
  </si>
  <si>
    <t>Non-financial corporate A-rated bonds – Number of bonds – 6–8 years</t>
  </si>
  <si>
    <t>Non-financial corporate A-rated bonds – Number of bonds – 8–12 years</t>
  </si>
  <si>
    <t>Non-financial corporate A-rated bonds – Number of bonds – &gt;12 years</t>
  </si>
  <si>
    <t>Non-financial corporate BBB-rated bonds – Effective tenor – 3 year target tenor</t>
  </si>
  <si>
    <t>Non-financial corporate BBB-rated bonds – Yield – 3 year target tenor</t>
  </si>
  <si>
    <t>Non-financial corporate BBB-rated bonds – Spread to swap – 3 year target tenor</t>
  </si>
  <si>
    <t>Non-financial corporate BBB-rated bonds – Spread to AGS – 3 year target tenor</t>
  </si>
  <si>
    <t>Non-financial corporate BBB-rated bonds – Effective tenor – 5 year target tenor</t>
  </si>
  <si>
    <t>Non-financial corporate BBB-rated bonds – Yield – 5 year target tenor</t>
  </si>
  <si>
    <t>Non-financial corporate BBB-rated bonds – Spread to swap – 5 year target tenor</t>
  </si>
  <si>
    <t>Non-financial corporate BBB-rated bonds – Spread to AGS – 5 year target tenor</t>
  </si>
  <si>
    <t>Non-financial corporate BBB-rated bonds – Effective tenor – 7 year target tenor</t>
  </si>
  <si>
    <t>Non-financial corporate BBB-rated bonds – Yield – 7 year target tenor</t>
  </si>
  <si>
    <t>Non-financial corporate BBB-rated bonds – Spread to swap – 7 year target tenor</t>
  </si>
  <si>
    <t>Non-financial corporate BBB-rated bonds – Spread to AGS – 7 year target tenor</t>
  </si>
  <si>
    <t>Non-financial corporate BBB-rated bonds – Effective tenor – 10 year target tenor</t>
  </si>
  <si>
    <t>Non-financial corporate BBB-rated bonds – Yield – 10 year target tenor</t>
  </si>
  <si>
    <t>Non-financial corporate BBB-rated bonds – Spread to swap – 10 year target tenor</t>
  </si>
  <si>
    <t>Non-financial corporate BBB-rated bonds – Spread to AGS – 10 year target tenor</t>
  </si>
  <si>
    <t>Non-financial corporate BBB-rated bonds – Number of bonds – 1–4 years</t>
  </si>
  <si>
    <t>Non-financial corporate BBB-rated bonds – Number of bonds – 4–6 years</t>
  </si>
  <si>
    <t>Non-financial corporate BBB-rated bonds – Number of bonds – 6–8 years</t>
  </si>
  <si>
    <t>Non-financial corporate BBB-rated bonds – Number of bonds – 8–12 years</t>
  </si>
  <si>
    <t>Non-financial corporate BBB-rated bonds – Number of bonds – &gt;12 years</t>
  </si>
  <si>
    <t>Non-financial corporate A-rated bonds – Effective tenor – 3 year target tenor: monthly, years; See notes for more details</t>
  </si>
  <si>
    <t>Non-financial corporate A-rated bonds – Yield – 3 year target tenor: monthly, per cent; See notes for more details</t>
  </si>
  <si>
    <t>Non-financial corporate A-rated bonds – Spread to swap – 3 year target tenor: monthly, basis points; See notes for more details</t>
  </si>
  <si>
    <t>Non-financial corporate A-rated bonds – Spread to AGS – 3 year target tenor: monthly, basis points; See notes for more details</t>
  </si>
  <si>
    <t>Non-financial corporate A-rated bonds – Effective tenor – 5 year target tenor: monthly, years; See notes for more details</t>
  </si>
  <si>
    <t>Non-financial corporate A-rated bonds – Yield – 5 year target tenor: monthly, per cent; See notes for more details</t>
  </si>
  <si>
    <t>Non-financial corporate A-rated bonds – Spread to swap – 5 year target tenor: monthly, basis points; See notes for more details</t>
  </si>
  <si>
    <t>Non-financial corporate A-rated bonds – Spread to AGS – 5 year target tenor: monthly, basis points; See notes for more details</t>
  </si>
  <si>
    <t>Non-financial corporate A-rated bonds – Effective tenor – 7 year target tenor: monthly, years; See notes for more details</t>
  </si>
  <si>
    <t>Non-financial corporate A-rated bonds – Yield – 7 year target tenor: monthly, per cent; See notes for more details</t>
  </si>
  <si>
    <t>Non-financial corporate A-rated bonds – Spread to swap – 7 year target tenor: monthly, basis points; See notes for more details</t>
  </si>
  <si>
    <t>Non-financial corporate A-rated bonds – Spread to AGS – 7 year target tenor: monthly, basis points; See notes for more details</t>
  </si>
  <si>
    <t>Non-financial corporate A-rated bonds – Effective tenor – 10 year target tenor: monthly, years; See notes for more details</t>
  </si>
  <si>
    <t>Non-financial corporate A-rated bonds – Yield – 10 year target tenor: monthly, per cent; See notes for more details</t>
  </si>
  <si>
    <t>Non-financial corporate A-rated bonds – Spread to swap – 10 year target tenor: monthly, basis points; See notes for more details</t>
  </si>
  <si>
    <t>Non-financial corporate A-rated bonds – Spread to AGS – 10 year target tenor: monthly, basis points; See notes for more details</t>
  </si>
  <si>
    <t>Non-financial corporate A-rated bonds – Number of bonds with a residual maturity of 1-4 years: monthly, years; See notes for more details</t>
  </si>
  <si>
    <t>Non-financial corporate A-rated bonds – Number of bonds with a residual maturity of 4-6 years: monthly, years; See notes for more details</t>
  </si>
  <si>
    <t>Non-financial corporate A-rated bonds – Number of bonds with a residual maturity of 6-8 years: monthly, years; See notes for more details</t>
  </si>
  <si>
    <t>Non-financial corporate A-rated bonds – Number of bonds with a residual maturity of 8-12 years: monthly, years; See notes for more details</t>
  </si>
  <si>
    <t>Non-financial corporate A-rated bonds – Number of bonds with a residual maturity of 12+ years: monthly, years; See notes for more details</t>
  </si>
  <si>
    <t>Non-financial corporate BBB-rated bonds – Effective tenor – 3 year target tenor: monthly, years; See notes for more details</t>
  </si>
  <si>
    <t>Non-financial corporate BBB-rated bonds – Yield – 3 year target tenor: monthly, per cent; See notes for more details</t>
  </si>
  <si>
    <t>Non-financial corporate BBB-rated bonds – Spread to swap – 3 year target tenor: monthly, basis points; See notes for more details</t>
  </si>
  <si>
    <t>Non-financial corporate BBB-rated bonds – Spread to AGS – 3 year target tenor: monthly, basis points; See notes for more details</t>
  </si>
  <si>
    <t>Non-financial corporate BBB-rated bonds – Effective tenor – 5 year target tenor: monthly, years; See notes for more details</t>
  </si>
  <si>
    <t>Non-financial corporate BBB-rated bonds – Yield – 5 year target tenor: monthly, per cent; See notes for more details</t>
  </si>
  <si>
    <t>Non-financial corporate BBB-rated bonds – Spread to swap – 5 year target tenor: monthly, basis points; See notes for more details</t>
  </si>
  <si>
    <t>Non-financial corporate BBB-rated bonds – Spread to AGS – 5 year target tenor: monthly, basis points; See notes for more details</t>
  </si>
  <si>
    <t>Non-financial corporate BBB-rated bonds – Effective tenor – 7 year target tenor: monthly, years; See notes for more details</t>
  </si>
  <si>
    <t>Non-financial corporate BBB-rated bonds – Yield – 7 year target tenor: monthly, per cent; See notes for more details</t>
  </si>
  <si>
    <t>Non-financial corporate BBB-rated bonds – Spread to swap – 7 year target tenor: monthly, basis points; See notes for more details</t>
  </si>
  <si>
    <t>Non-financial corporate BBB-rated bonds – Spread to AGS – 7 year target tenor: monthly, basis points; See notes for more details</t>
  </si>
  <si>
    <t>Non-financial corporate BBB-rated bonds – Effective tenor – 10 year target tenor: monthly, years; See notes for more details</t>
  </si>
  <si>
    <t>Non-financial corporate BBB-rated bonds – Yield – 10 year target tenor: monthly, per cent; See notes for more details</t>
  </si>
  <si>
    <t>Non-financial corporate BBB-rated bonds – Spread to swap – 10 year target tenor: monthly, basis points; See notes for more details</t>
  </si>
  <si>
    <t>Non-financial corporate BBB-rated bonds – Spread to AGS – 10 year target tenor: monthly, basis points; See notes for more details</t>
  </si>
  <si>
    <t>Non-financial corporate BBB-rated bonds – Number of bonds with a residual maturity of 1-4 years: monthly, years; See notes for more details</t>
  </si>
  <si>
    <t>Non-financial corporate BBB-rated bonds – Number of bonds with a residual maturity of 4-6 years: monthly, years; See notes for more details</t>
  </si>
  <si>
    <t>Non-financial corporate BBB-rated bonds – Number of bonds with a residual maturity of 6-8 years: monthly, years; See notes for more details</t>
  </si>
  <si>
    <t>Non-financial corporate BBB-rated bonds – Number of bonds with a residual maturity of 8-12 years: monthly, years; See notes for more details</t>
  </si>
  <si>
    <t>Non-financial corporate BBB-rated bonds – Number of bonds with a residual maturity of 12+ years: monthly, years; See notes for more details</t>
  </si>
  <si>
    <t>Years</t>
  </si>
  <si>
    <t>Basis points</t>
  </si>
  <si>
    <t>Number</t>
  </si>
  <si>
    <t>Bloomberg; RBA</t>
  </si>
  <si>
    <t>FNFTA3M</t>
  </si>
  <si>
    <t>FNFYA3M</t>
  </si>
  <si>
    <t>FNFSA3M</t>
  </si>
  <si>
    <t>FNFCA3M</t>
  </si>
  <si>
    <t>FNFTA5M</t>
  </si>
  <si>
    <t>FNFYA5M</t>
  </si>
  <si>
    <t>FNFSA5M</t>
  </si>
  <si>
    <t>FNFCA5M</t>
  </si>
  <si>
    <t>FNFTA7M</t>
  </si>
  <si>
    <t>FNFYA7M</t>
  </si>
  <si>
    <t>FNFSA7M</t>
  </si>
  <si>
    <t>FNFCA7M</t>
  </si>
  <si>
    <t>FNFTA10M</t>
  </si>
  <si>
    <t>FNFYA10M</t>
  </si>
  <si>
    <t>FNFSA10M</t>
  </si>
  <si>
    <t>FNFCA10M</t>
  </si>
  <si>
    <t>FNFNA3M</t>
  </si>
  <si>
    <t>FNFNA5M</t>
  </si>
  <si>
    <t>FNFNA7M</t>
  </si>
  <si>
    <t>FNFNA10M</t>
  </si>
  <si>
    <t>FNFNA12M</t>
  </si>
  <si>
    <t>FNFTBBB3M</t>
  </si>
  <si>
    <t>FNFYBBB3M</t>
  </si>
  <si>
    <t>FNFSBBB3M</t>
  </si>
  <si>
    <t>FNFCBBB3M</t>
  </si>
  <si>
    <t>FNFTBBB5M</t>
  </si>
  <si>
    <t>FNFYBBB5M</t>
  </si>
  <si>
    <t>FNFSBBB5M</t>
  </si>
  <si>
    <t>FNFCBBB5M</t>
  </si>
  <si>
    <t>FNFTBBB7M</t>
  </si>
  <si>
    <t>FNFYBBB7M</t>
  </si>
  <si>
    <t>FNFSBBB7M</t>
  </si>
  <si>
    <t>FNFCBBB7M</t>
  </si>
  <si>
    <t>FNFTBBB10M</t>
  </si>
  <si>
    <t>FNFYBBB10M</t>
  </si>
  <si>
    <t>FNFSBBB10M</t>
  </si>
  <si>
    <t>FNFCBBB10M</t>
  </si>
  <si>
    <t>FNFNBBB3M</t>
  </si>
  <si>
    <t>FNFNBBB5M</t>
  </si>
  <si>
    <t>FNFNBBB7M</t>
  </si>
  <si>
    <t>FNFNBBB10M</t>
  </si>
  <si>
    <t>FNFNBBB12M</t>
  </si>
  <si>
    <t>31/01/2005</t>
  </si>
  <si>
    <t>28/02/2005</t>
  </si>
  <si>
    <t>31/03/2005</t>
  </si>
  <si>
    <t>30/04/2005</t>
  </si>
  <si>
    <t>31/05/2005</t>
  </si>
  <si>
    <t>30/06/2005</t>
  </si>
  <si>
    <t>31/07/2005</t>
  </si>
  <si>
    <t>31/08/2005</t>
  </si>
  <si>
    <t>30/09/2005</t>
  </si>
  <si>
    <t>31/10/2005</t>
  </si>
  <si>
    <t>30/11/2005</t>
  </si>
  <si>
    <t>31/12/2005</t>
  </si>
  <si>
    <t>31/01/2006</t>
  </si>
  <si>
    <t>28/02/2006</t>
  </si>
  <si>
    <t>31/03/2006</t>
  </si>
  <si>
    <t>30/04/2006</t>
  </si>
  <si>
    <t>31/05/2006</t>
  </si>
  <si>
    <t>30/06/2006</t>
  </si>
  <si>
    <t>31/07/2006</t>
  </si>
  <si>
    <t>31/08/2006</t>
  </si>
  <si>
    <t>30/09/2006</t>
  </si>
  <si>
    <t>31/10/2006</t>
  </si>
  <si>
    <t>30/11/2006</t>
  </si>
  <si>
    <t>31/12/2006</t>
  </si>
  <si>
    <t>31/01/2007</t>
  </si>
  <si>
    <t>28/02/2007</t>
  </si>
  <si>
    <t>31/03/2007</t>
  </si>
  <si>
    <t>30/04/2007</t>
  </si>
  <si>
    <t>31/05/2007</t>
  </si>
  <si>
    <t>30/06/2007</t>
  </si>
  <si>
    <t>31/07/2007</t>
  </si>
  <si>
    <t>31/08/2007</t>
  </si>
  <si>
    <t>30/09/2007</t>
  </si>
  <si>
    <t>31/10/2007</t>
  </si>
  <si>
    <t>30/11/2007</t>
  </si>
  <si>
    <t>31/12/2007</t>
  </si>
  <si>
    <t>31/01/2008</t>
  </si>
  <si>
    <t>29/02/2008</t>
  </si>
  <si>
    <t>31/03/2008</t>
  </si>
  <si>
    <t>30/04/2008</t>
  </si>
  <si>
    <t>31/05/2008</t>
  </si>
  <si>
    <t>30/06/2008</t>
  </si>
  <si>
    <t>31/07/2008</t>
  </si>
  <si>
    <t>31/08/2008</t>
  </si>
  <si>
    <t>30/09/2008</t>
  </si>
  <si>
    <t>31/10/2008</t>
  </si>
  <si>
    <t>30/11/2008</t>
  </si>
  <si>
    <t>31/12/2008</t>
  </si>
  <si>
    <t>31/01/2009</t>
  </si>
  <si>
    <t>28/02/2009</t>
  </si>
  <si>
    <t>31/03/2009</t>
  </si>
  <si>
    <t>30/04/2009</t>
  </si>
  <si>
    <t>31/05/2009</t>
  </si>
  <si>
    <t>30/06/2009</t>
  </si>
  <si>
    <t>31/07/2009</t>
  </si>
  <si>
    <t>31/08/2009</t>
  </si>
  <si>
    <t>30/09/2009</t>
  </si>
  <si>
    <t>31/10/2009</t>
  </si>
  <si>
    <t>30/11/2009</t>
  </si>
  <si>
    <t>31/12/2009</t>
  </si>
  <si>
    <t>31/01/2010</t>
  </si>
  <si>
    <t>28/02/2010</t>
  </si>
  <si>
    <t>31/03/2010</t>
  </si>
  <si>
    <t>30/04/2010</t>
  </si>
  <si>
    <t>31/05/2010</t>
  </si>
  <si>
    <t>30/06/2010</t>
  </si>
  <si>
    <t>31/07/2010</t>
  </si>
  <si>
    <t>31/08/2010</t>
  </si>
  <si>
    <t>30/09/2010</t>
  </si>
  <si>
    <t>31/10/2010</t>
  </si>
  <si>
    <t>30/11/2010</t>
  </si>
  <si>
    <t>31/12/2010</t>
  </si>
  <si>
    <t>31/01/2011</t>
  </si>
  <si>
    <t>28/02/2011</t>
  </si>
  <si>
    <t>31/03/2011</t>
  </si>
  <si>
    <t>30/04/2011</t>
  </si>
  <si>
    <t>31/05/2011</t>
  </si>
  <si>
    <t>30/06/2011</t>
  </si>
  <si>
    <t>31/07/2011</t>
  </si>
  <si>
    <t>31/08/2011</t>
  </si>
  <si>
    <t>30/09/2011</t>
  </si>
  <si>
    <t>31/10/2011</t>
  </si>
  <si>
    <t>30/11/2011</t>
  </si>
  <si>
    <t>31/12/2011</t>
  </si>
  <si>
    <t>31/01/2012</t>
  </si>
  <si>
    <t>29/02/2012</t>
  </si>
  <si>
    <t>31/03/2012</t>
  </si>
  <si>
    <t>30/04/2012</t>
  </si>
  <si>
    <t>31/05/2012</t>
  </si>
  <si>
    <t>30/06/2012</t>
  </si>
  <si>
    <t>31/07/2012</t>
  </si>
  <si>
    <t>31/08/2012</t>
  </si>
  <si>
    <t>30/09/2012</t>
  </si>
  <si>
    <t>31/10/2012</t>
  </si>
  <si>
    <t>30/11/2012</t>
  </si>
  <si>
    <t>31/12/2012</t>
  </si>
  <si>
    <t>31/01/2013</t>
  </si>
  <si>
    <t>28/02/2013</t>
  </si>
  <si>
    <t>31/03/2013</t>
  </si>
  <si>
    <t>30/04/2013</t>
  </si>
  <si>
    <t>31/05/2013</t>
  </si>
  <si>
    <t>30/06/2013</t>
  </si>
  <si>
    <t>31/07/2013</t>
  </si>
  <si>
    <t>31/08/2013</t>
  </si>
  <si>
    <t>30/09/2013</t>
  </si>
  <si>
    <t>31/10/2013</t>
  </si>
  <si>
    <t>30/11/2013</t>
  </si>
  <si>
    <t>31/12/2013</t>
  </si>
  <si>
    <t>31/01/2014</t>
  </si>
  <si>
    <t>28/02/2014</t>
  </si>
  <si>
    <t>31/03/2014</t>
  </si>
  <si>
    <t>30/04/2014</t>
  </si>
  <si>
    <t>31/05/2014</t>
  </si>
  <si>
    <t>30/06/2014</t>
  </si>
  <si>
    <t>31/07/2014</t>
  </si>
  <si>
    <t>31/08/2014</t>
  </si>
  <si>
    <t>30/09/2014</t>
  </si>
  <si>
    <t>31/10/2014</t>
  </si>
  <si>
    <t>30/11/2014</t>
  </si>
  <si>
    <t>31/12/2014</t>
  </si>
  <si>
    <t>31/01/2015</t>
  </si>
  <si>
    <t>28/02/2015</t>
  </si>
  <si>
    <t>31/03/2015</t>
  </si>
  <si>
    <t>30/04/2015</t>
  </si>
  <si>
    <t>31/05/2015</t>
  </si>
  <si>
    <t>30/06/2015</t>
  </si>
  <si>
    <t>31/07/2015</t>
  </si>
  <si>
    <t>31/08/2015</t>
  </si>
  <si>
    <t>30/09/2015</t>
  </si>
  <si>
    <t>31/10/2015</t>
  </si>
  <si>
    <t>30/11/2015</t>
  </si>
  <si>
    <t>31/12/2015</t>
  </si>
  <si>
    <t>31/01/2016</t>
  </si>
  <si>
    <t>29/02/2016</t>
  </si>
  <si>
    <t>31/03/2016</t>
  </si>
  <si>
    <t>30/04/2016</t>
  </si>
  <si>
    <t>31/05/2016</t>
  </si>
  <si>
    <t>30/06/2016</t>
  </si>
  <si>
    <t>31/07/2016</t>
  </si>
  <si>
    <t>31/08/2016</t>
  </si>
  <si>
    <t>30/09/2016</t>
  </si>
  <si>
    <t>31/10/2016</t>
  </si>
  <si>
    <t>30/11/2016</t>
  </si>
  <si>
    <t>31/12/2016</t>
  </si>
  <si>
    <t>31/01/2017</t>
  </si>
  <si>
    <t>28/02/2017</t>
  </si>
  <si>
    <t>31/03/2017</t>
  </si>
  <si>
    <t>30/04/2017</t>
  </si>
  <si>
    <t>31/05/2017</t>
  </si>
  <si>
    <t>30/06/2017</t>
  </si>
  <si>
    <t>31/07/2017</t>
  </si>
  <si>
    <t>31/08/2017</t>
  </si>
  <si>
    <t>30/09/2017</t>
  </si>
  <si>
    <t>31/10/2017</t>
  </si>
  <si>
    <t>30/11/2017</t>
  </si>
  <si>
    <t>31/12/2017</t>
  </si>
  <si>
    <t>31/01/2018</t>
  </si>
  <si>
    <t>28/02/2018</t>
  </si>
  <si>
    <t>31/03/2018</t>
  </si>
  <si>
    <t>30/04/2018</t>
  </si>
  <si>
    <t>31/05/2018</t>
  </si>
  <si>
    <t>30/06/2018</t>
  </si>
  <si>
    <t>31/07/2018</t>
  </si>
  <si>
    <t>31/08/2018</t>
  </si>
  <si>
    <t>30/09/2018</t>
  </si>
  <si>
    <t>31/10/2018</t>
  </si>
  <si>
    <t>30/11/2018</t>
  </si>
  <si>
    <t>31/12/2018</t>
  </si>
  <si>
    <t>31/01/2019</t>
  </si>
  <si>
    <t>28/02/2019</t>
  </si>
  <si>
    <t>31/03/2019</t>
  </si>
  <si>
    <t>30/04/2019</t>
  </si>
  <si>
    <t>31/05/2019</t>
  </si>
  <si>
    <t>30/06/2019</t>
  </si>
  <si>
    <t>31/07/2019</t>
  </si>
  <si>
    <t>31/08/2019</t>
  </si>
  <si>
    <t>30/09/2019</t>
  </si>
  <si>
    <t>31/10/2019</t>
  </si>
  <si>
    <t>30/11/2019</t>
  </si>
  <si>
    <t>31/12/2019</t>
  </si>
  <si>
    <t>31/01/2020</t>
  </si>
  <si>
    <t>29/02/2020</t>
  </si>
  <si>
    <t>31/03/2020</t>
  </si>
  <si>
    <t>30/04/2020</t>
  </si>
  <si>
    <t>31/05/2020</t>
  </si>
  <si>
    <t>30/06/2020</t>
  </si>
  <si>
    <t>31/07/2020</t>
  </si>
  <si>
    <t>31/08/2020</t>
  </si>
  <si>
    <t>30/09/2020</t>
  </si>
  <si>
    <t>31/10/2020</t>
  </si>
  <si>
    <t>30/11/2020</t>
  </si>
  <si>
    <t>31/12/2020</t>
  </si>
  <si>
    <t>31/01/2021</t>
  </si>
  <si>
    <t>28/02/2021</t>
  </si>
  <si>
    <t>31/03/2021</t>
  </si>
  <si>
    <t>30/04/2021</t>
  </si>
  <si>
    <t>31/05/2021</t>
  </si>
  <si>
    <t>30/06/2021</t>
  </si>
  <si>
    <t>31/07/2021</t>
  </si>
  <si>
    <t>31/08/2021</t>
  </si>
  <si>
    <t>30/09/2021</t>
  </si>
  <si>
    <t>31/10/2021</t>
  </si>
  <si>
    <t>30/11/2021</t>
  </si>
  <si>
    <t>31/12/2021</t>
  </si>
  <si>
    <t>31/01/2022</t>
  </si>
  <si>
    <t>G1 CONSUMER PRICE INFLATION</t>
  </si>
  <si>
    <t>Consumer price index</t>
  </si>
  <si>
    <t>Year-ended inflation</t>
  </si>
  <si>
    <t>Year-ended inflation – excluding interest and tax changes</t>
  </si>
  <si>
    <t>Year-ended inflation – excluding volatile items</t>
  </si>
  <si>
    <t>Year-ended tradables inflation</t>
  </si>
  <si>
    <t>Year-ended tradables inflation – excluding volatile items and tobacco</t>
  </si>
  <si>
    <t>Year-ended non-tradables inflation</t>
  </si>
  <si>
    <t>Year-ended non-tradable inflation – excluding interest charges and deposit &amp; loan facilities</t>
  </si>
  <si>
    <t>Year-ended weighted median inflation</t>
  </si>
  <si>
    <t>Year-ended trimmed mean inflation</t>
  </si>
  <si>
    <t>Quarterly inflation – original</t>
  </si>
  <si>
    <t>Quarterly inflation</t>
  </si>
  <si>
    <t>Quarterly inflation – excluding interest and tax changes</t>
  </si>
  <si>
    <t>Quarterly inflation – excluding volatile items</t>
  </si>
  <si>
    <t>Quarterly tradables inflation</t>
  </si>
  <si>
    <t>Quarterly tradables inflation – excluding volatile items and tobacco</t>
  </si>
  <si>
    <t>Quarterly non-tradables inflation</t>
  </si>
  <si>
    <t>Quarterly non-tradables inflation – excluding deposit and loan facilities</t>
  </si>
  <si>
    <t>Quarterly weighted median inflation</t>
  </si>
  <si>
    <t>Quarterly trimmed mean inflation</t>
  </si>
  <si>
    <t>Consumer price index; All groups</t>
  </si>
  <si>
    <t>Consumer price index; Year-ended change (in per cent)</t>
  </si>
  <si>
    <t>Consumer price index; All groups excluding interest and tax changes of 1999–2000; Year-ended change (in per cent)</t>
  </si>
  <si>
    <t>Consumer price index; All groups excluding volatile items; Year-ended change (in per cent)</t>
  </si>
  <si>
    <t>Consumer price index; Tradables; Year-ended change (in per cent)</t>
  </si>
  <si>
    <t>Consumer price index; Tradables excluding volatile items and tobacco; Year-ended change (in per cent)</t>
  </si>
  <si>
    <t>Consumer price index; Non-tradables; Year-ended change (in per cent)</t>
  </si>
  <si>
    <t>Consumer price index; Non-tradables excluding interest charges and deposit &amp; loan facilities; Year-ended change (in per cent)</t>
  </si>
  <si>
    <t>Consumer price index; Weighted median; Year-ended change (in per cent)</t>
  </si>
  <si>
    <t>Consumer price index; Trimmed mean; Year-ended change (in per cent)</t>
  </si>
  <si>
    <t>Consumer price index; All groups; Original; Quarterly change (in per cent)</t>
  </si>
  <si>
    <t>Consumer price index; All groups; Quarterly change (in per cent)</t>
  </si>
  <si>
    <t>Consumer price index; All groups excluding interest and tax changes of 1999–2000; Quarterly change (in per cent)</t>
  </si>
  <si>
    <t>Consumer price index; All groups excluding volatile items; Quarterly change (in per cent)</t>
  </si>
  <si>
    <t>Consumer price index; Tradables; Quarterly change (in per cent)</t>
  </si>
  <si>
    <t>Consumer price index; Tradables excluding volatile items and tobacco; Quarterly change (in per cent)</t>
  </si>
  <si>
    <t>Consumer price index; Non-tradables; Quarterly change (in per cent)</t>
  </si>
  <si>
    <t>Consumer price index; Non-tradables excluding deposit and loan facilities; Quarterly change (in per cent)</t>
  </si>
  <si>
    <t>Consumer price index; Weighted median; Quarterly change (in per cent)</t>
  </si>
  <si>
    <t>Consumer price index; Trimmed mean; Quarterly change (in per cent)</t>
  </si>
  <si>
    <t>Quarterly</t>
  </si>
  <si>
    <t>Seasonally adjusted</t>
  </si>
  <si>
    <t>Index, 2011/12=100</t>
  </si>
  <si>
    <t>ABS / RBA</t>
  </si>
  <si>
    <t>GCPIAG</t>
  </si>
  <si>
    <t>GCPIAGYP</t>
  </si>
  <si>
    <t>GCPIEITCYP</t>
  </si>
  <si>
    <t>GCPIXVIYP</t>
  </si>
  <si>
    <t>GCPITIYP</t>
  </si>
  <si>
    <t>GCPITXVIYP</t>
  </si>
  <si>
    <t>GCPINTIYP</t>
  </si>
  <si>
    <t>GCPINTXDLYP</t>
  </si>
  <si>
    <t>GCPIOCPMWMYP</t>
  </si>
  <si>
    <t>GCPIOCPMTMYP</t>
  </si>
  <si>
    <t>GCPIAGQP</t>
  </si>
  <si>
    <t>GCPIAGSAQP</t>
  </si>
  <si>
    <t>GCPIEITCQP</t>
  </si>
  <si>
    <t>GCPIXVIQP</t>
  </si>
  <si>
    <t>GCPITIQP</t>
  </si>
  <si>
    <t>GCPITXVIQP</t>
  </si>
  <si>
    <t>GCPINTIQP</t>
  </si>
  <si>
    <t>GCPINTXDLQP</t>
  </si>
  <si>
    <t>GCPIOCPMWMQP</t>
  </si>
  <si>
    <t>GCPIOCPMTMQP</t>
  </si>
  <si>
    <t>jan-dec</t>
  </si>
  <si>
    <t>jun - july</t>
  </si>
  <si>
    <t>Citipower Distribution Determination 2021 - 2026 Attachment 2 Regulatory Asset Base</t>
  </si>
  <si>
    <t>half year</t>
  </si>
  <si>
    <t>Opening RAB</t>
  </si>
  <si>
    <t>Capital expenditure</t>
  </si>
  <si>
    <t>Inflation</t>
  </si>
  <si>
    <t>Closing RAB</t>
  </si>
  <si>
    <t>Powercor Distribution Determination 2021 - 2026 Attachment 2 Regulatory Asset Base</t>
  </si>
  <si>
    <t>Transgrid transmission determination 2018-2023 attachment 2 - regulatory asset base</t>
  </si>
  <si>
    <t>SA Power Networks determination 2020-2025 attachment 2 - regulatory asset base</t>
  </si>
  <si>
    <t>jun-july</t>
  </si>
  <si>
    <t>AusNet Services Transmission</t>
  </si>
  <si>
    <t>(april to march reg year)</t>
  </si>
  <si>
    <t>AusNet Services Transmission determination 2022-2027 attachment 2 - regulatory asset base</t>
  </si>
  <si>
    <t>Differnce between estimated and actual capex in 2016-17</t>
  </si>
  <si>
    <t>Return on differne for 2016-17 capex</t>
  </si>
  <si>
    <t>Final year asset adjustment (excluding growth assets)</t>
  </si>
  <si>
    <t>Growth assets adjustments</t>
  </si>
  <si>
    <t>AusNet Services distribution</t>
  </si>
  <si>
    <t>jan - december (mini year jan to june 2021) now june to july</t>
  </si>
  <si>
    <t>AusNet Services distribution determination 2021-2026 attachment 2 - regulatory asset base</t>
  </si>
  <si>
    <t>AusNet Gas</t>
  </si>
  <si>
    <t>january to december reg year</t>
  </si>
  <si>
    <t>AusNet Services Gas access arrangement 2018-2022 attachment 2 - capital base</t>
  </si>
  <si>
    <t>Facevalue ($m AUD)</t>
  </si>
  <si>
    <t>length (years)</t>
  </si>
  <si>
    <t>rating</t>
  </si>
  <si>
    <t>note</t>
  </si>
  <si>
    <t xml:space="preserve">replacing its previous $250 million of bilateral corporate debt facilities. Spark Infrastructure currently has no drawn debt at the corporate level. </t>
  </si>
  <si>
    <t>corporate debt facailties</t>
  </si>
  <si>
    <t>y. In addition, the current facilities of $75 million each with Westpac and NAB, which are undrawn, have been extended by a further year to March 2016. All four banks have had longstanding relationships with Spark Infrastructure.</t>
  </si>
  <si>
    <t>extended see above</t>
  </si>
  <si>
    <t>year</t>
  </si>
  <si>
    <t>Unlisted Debt Securities</t>
  </si>
  <si>
    <t>Manually retrieved from Eikon Deal history</t>
  </si>
  <si>
    <t>unqiue</t>
  </si>
  <si>
    <t>SDC Deal No</t>
  </si>
  <si>
    <t>Tranche</t>
  </si>
  <si>
    <t>Principal (AUD)</t>
  </si>
  <si>
    <t>Issue Currency</t>
  </si>
  <si>
    <t>Coupon</t>
  </si>
  <si>
    <t>frequency</t>
  </si>
  <si>
    <t>Coupon date</t>
  </si>
  <si>
    <t>currency/AUD</t>
  </si>
  <si>
    <t>AUSNET ELECTRICITY SERVICES PTY LTD
			                    06-Mar-2022 21:02</t>
  </si>
  <si>
    <t>AUSNET ELECTRICITY SERVICES PTY LTD</t>
  </si>
  <si>
    <t>AUSNET SERVICES (DISTRIBUTION) PTY LTD</t>
  </si>
  <si>
    <t>BROOKFIELD ASSET MANAGEMENT INC</t>
  </si>
  <si>
    <t/>
  </si>
  <si>
    <t>ASTXU / AST 6.750  01-Dec-2006  MATd</t>
  </si>
  <si>
    <t>ASTXU</t>
  </si>
  <si>
    <t>27636PAA7</t>
  </si>
  <si>
    <t>INS</t>
  </si>
  <si>
    <t>27636PAE9</t>
  </si>
  <si>
    <t>27636PAG4</t>
  </si>
  <si>
    <t>27636PAH2</t>
  </si>
  <si>
    <t>ASTXU / AST 7.250  01-Dec-2016  MATd</t>
  </si>
  <si>
    <t>27636PAC3</t>
  </si>
  <si>
    <t>Bond</t>
  </si>
  <si>
    <t>27636PAF6</t>
  </si>
  <si>
    <t>AUSNET SERVICES LTD
			                    06-Mar-2022 21:15</t>
  </si>
  <si>
    <t>AUSNET SERVICES LTD</t>
  </si>
  <si>
    <t>AUSTRALIAN ENERGY HOLDINGS NO 4 PTY LTD</t>
  </si>
  <si>
    <t>Amount Outstanding</t>
  </si>
  <si>
    <t>Option Adjusted Spread</t>
  </si>
  <si>
    <t>Yield</t>
  </si>
  <si>
    <t>Yield Type</t>
  </si>
  <si>
    <t>Yield Event</t>
  </si>
  <si>
    <t>Yield Date</t>
  </si>
  <si>
    <t>Last Price</t>
  </si>
  <si>
    <t>Is Convertible</t>
  </si>
  <si>
    <t>ASTAU / AST 5.750  28-Jun-2022  MTN</t>
  </si>
  <si>
    <t>AUSPE0622=</t>
  </si>
  <si>
    <t>IS</t>
  </si>
  <si>
    <t>MAT</t>
  </si>
  <si>
    <t>Re-Opening</t>
  </si>
  <si>
    <t>AUSNET SERVICES HOLDINGS PTY LTD</t>
  </si>
  <si>
    <t>AUSPE06222=</t>
  </si>
  <si>
    <t>ASTAU / AST 3.000  13-Feb-2024  MTN</t>
  </si>
  <si>
    <t>Euro</t>
  </si>
  <si>
    <t>SG103014344=</t>
  </si>
  <si>
    <t>ASTAU / AST 5.375  02-Jul-2024  MTN</t>
  </si>
  <si>
    <t>SG108247142=</t>
  </si>
  <si>
    <t>ASTAU / AST 3.084  16-Mar-2026  MTN</t>
  </si>
  <si>
    <t>Hong Kong Dollar</t>
  </si>
  <si>
    <t>AU153492735=</t>
  </si>
  <si>
    <t>HK</t>
  </si>
  <si>
    <t>AU153492743=</t>
  </si>
  <si>
    <t>ASTAU / AST 1.500  26-Feb-2027  MTN</t>
  </si>
  <si>
    <t>AU119187745=</t>
  </si>
  <si>
    <t>ASTAU / AST 2.790  23-Jul-2027  MTN</t>
  </si>
  <si>
    <t>Norwegian Krone</t>
  </si>
  <si>
    <t>AU155017007=</t>
  </si>
  <si>
    <t>ASTAU / AST 4.400  16-Aug-2027  MTN</t>
  </si>
  <si>
    <t>AUAUS0827=</t>
  </si>
  <si>
    <t>ASTAU / AST 3.200  20-Aug-2027  MTN</t>
  </si>
  <si>
    <t>SG081765855=</t>
  </si>
  <si>
    <t>ASTAU / AST 3.210  28-Feb-2028  MTN</t>
  </si>
  <si>
    <t>SG089611890=</t>
  </si>
  <si>
    <t>ASTAU / AST 2.620  24-Mar-2028  MTN</t>
  </si>
  <si>
    <t>AU138637310=</t>
  </si>
  <si>
    <t>ASTAU / AST 4.200  21-Aug-2028  MTN</t>
  </si>
  <si>
    <t>AUAST0828=</t>
  </si>
  <si>
    <t>ASTAU / AST 3.038  19-Mar-2029  MTN</t>
  </si>
  <si>
    <t>AU196105018=</t>
  </si>
  <si>
    <t>ASTAU / AST 3.028  19-Mar-2029  MTN</t>
  </si>
  <si>
    <t>AU196109358=</t>
  </si>
  <si>
    <t>ASTAU / AST 3.970  25-Jun-2029  MTN</t>
  </si>
  <si>
    <t>SG107920269=</t>
  </si>
  <si>
    <t>ASTAU / AST 2.600  31-Jul-2029  MTN</t>
  </si>
  <si>
    <t>AUAST0729=</t>
  </si>
  <si>
    <t>ASTAU / AST 1.625  01-Mar-2030  MTN</t>
  </si>
  <si>
    <t>AU178280279=</t>
  </si>
  <si>
    <t>ASTAU / AST 1.700  02-Mar-2030  MTN</t>
  </si>
  <si>
    <t>AU178279840=</t>
  </si>
  <si>
    <t>ASTAU / AST 2.200  07-Aug-2030  MTN</t>
  </si>
  <si>
    <t>AU221200900=</t>
  </si>
  <si>
    <t>ASTAU / AST 0.625  25-Aug-2030  MTN</t>
  </si>
  <si>
    <t>AU211821388=</t>
  </si>
  <si>
    <t>ASTAU / AST 3.535  18-Feb-2033  MTN</t>
  </si>
  <si>
    <t>AU178396897=</t>
  </si>
  <si>
    <t>ASTAU / AST 3.450  06-Mar-2034  MTN</t>
  </si>
  <si>
    <t>AU196306803=</t>
  </si>
  <si>
    <t>ASTAU / AST 2.570  07-Aug-2035  MTN</t>
  </si>
  <si>
    <t>ANVHV.AX</t>
  </si>
  <si>
    <t>AU221202538=</t>
  </si>
  <si>
    <t>ASTAU / AST 07-Aug-2040  FRN MTN</t>
  </si>
  <si>
    <t>AU221202554=</t>
  </si>
  <si>
    <t>ASTAU / AST 4.500  29-May-2043  MTN</t>
  </si>
  <si>
    <t>AU182348031=</t>
  </si>
  <si>
    <t>ASTAU / AST 4.500  24-Nov-2043  MTN</t>
  </si>
  <si>
    <t>AU182348236=</t>
  </si>
  <si>
    <t>ASTAU / AST 3.169  06-Oct-2080  '25 MTN</t>
  </si>
  <si>
    <t>AUAT1080F=</t>
  </si>
  <si>
    <t>Subordinated Unsecured</t>
  </si>
  <si>
    <t>CALL</t>
  </si>
  <si>
    <t>ASTAU / AST 1.625  11-Mar-2081  '26 FRN</t>
  </si>
  <si>
    <t>AU230831386=</t>
  </si>
  <si>
    <t>ASTAU / AST 8.263  03-Nov-2008  MTN MATd</t>
  </si>
  <si>
    <t>ASTAU</t>
  </si>
  <si>
    <t>ASTAU / AST 6.500  03-Nov-2011  MTN MATd</t>
  </si>
  <si>
    <t>ASTAU / AST 5.000  04-Nov-2014  MTN MATd</t>
  </si>
  <si>
    <t>ASTAU / AST 2.625  08-Sep-2015  MTN MATd</t>
  </si>
  <si>
    <t>Variable Coupon</t>
  </si>
  <si>
    <t>Switzerland</t>
  </si>
  <si>
    <t>Swiss Franc</t>
  </si>
  <si>
    <t>ASTAU / AST 5.750  14-Sep-2016  MTN MATd</t>
  </si>
  <si>
    <t>ASTAU / AST 1.500  21-Feb-2017  MTN MATd</t>
  </si>
  <si>
    <t>ASTAU / AST 7.500  25-Sep-2017  MTN MATd</t>
  </si>
  <si>
    <t>ASTAU / AST 7.125  26-Jun-2018  MTN MATd</t>
  </si>
  <si>
    <t>Great Britain Pound</t>
  </si>
  <si>
    <t>ASTAU / AST 1.125  18-Apr-2019  MTN MATd</t>
  </si>
  <si>
    <t>ASTAU / AST 5.250  14-Feb-2020  MTN MATd</t>
  </si>
  <si>
    <t>ASTAU / AST 2.492  06-Mar-2020  MTN MATd</t>
  </si>
  <si>
    <t>ASTAU / AST 4.125  16-Mar-2020  MTN MATd</t>
  </si>
  <si>
    <t>ASTAU / AST 2.375  24-Jul-2020  MTN MATd</t>
  </si>
  <si>
    <t>ASTAU / AST 7.500  01-Apr-2021  MTN MATd</t>
  </si>
  <si>
    <t>ASTAU / AST 3.230  13-Dec-2021  MTN MATd</t>
  </si>
  <si>
    <t>ASTAU / AST 5.750  17-Mar-2076  FRN CALd</t>
  </si>
  <si>
    <t>Junior Subordinated Unsecured</t>
  </si>
  <si>
    <t>Junior Unsecured or Junior Subordinated Unsecured</t>
  </si>
  <si>
    <t>ASTAU / AST 5.500  07-Sep-2076  FRN CALd</t>
  </si>
  <si>
    <t>Singapore Dollar</t>
  </si>
  <si>
    <t>Facility Type</t>
  </si>
  <si>
    <t>Facility Amount</t>
  </si>
  <si>
    <t>Country</t>
  </si>
  <si>
    <t>Base Rate/Spd</t>
  </si>
  <si>
    <t>Bid Price (%)</t>
  </si>
  <si>
    <t>Ask Price (%)</t>
  </si>
  <si>
    <t>Mid Price (%)</t>
  </si>
  <si>
    <t>Discounted Spread (bps)</t>
  </si>
  <si>
    <t>Yield (%)</t>
  </si>
  <si>
    <t>AUD</t>
  </si>
  <si>
    <t>NSW ELECTRICITY NETWORKS FINANCE PTY LTD
			                    07-Mar-2022 07:19</t>
  </si>
  <si>
    <t>NSW ELECTRICITY NETWORKS FINANCE PTY LTD</t>
  </si>
  <si>
    <t>NENFI 2.732  23-Apr-2029  '29 MTN</t>
  </si>
  <si>
    <t>AUNEN0429=</t>
  </si>
  <si>
    <t>NENFI 2.543  23-Sep-2030  '30 MTN</t>
  </si>
  <si>
    <t>AUNEN0930=</t>
  </si>
  <si>
    <t>USD</t>
  </si>
  <si>
    <t>Other debt securities</t>
  </si>
  <si>
    <t>Sourced from ASX announcements</t>
  </si>
  <si>
    <t>Facevalue ($m USD)</t>
  </si>
  <si>
    <t>Baa2</t>
  </si>
  <si>
    <t>moodys</t>
  </si>
  <si>
    <t>captured above</t>
  </si>
  <si>
    <t>The facilities have been provided by a high quality group of nine banks including existing and new lenders. TGS now has a total of $1.08 billion in committed funding. These new facilities solidify and expand TGS’ banking relationships and demonstrate strong appetite to support TransGrid’s unregulated business.</t>
  </si>
  <si>
    <t>transgrid services (unregulated business of transgrid)</t>
  </si>
  <si>
    <t>bank debt facilties</t>
  </si>
  <si>
    <t>bank debt facilties / transgrid services</t>
  </si>
  <si>
    <t>The transaction is expected to close in August 2017 with funds received in October 2017. Proceeds will be used to repay debt maturing in June 2019.</t>
  </si>
  <si>
    <t>Annual summary of other debt securities</t>
  </si>
  <si>
    <t>bank facilties</t>
  </si>
  <si>
    <t>ETSA UTILITIES FINANCE PTY LTD
			                    06-Mar-2022 21:48</t>
  </si>
  <si>
    <t>ETSA UTILITIES FINANCE PTY LTD</t>
  </si>
  <si>
    <t>CKI SPARK HOLDINGS NO. TWO LTD</t>
  </si>
  <si>
    <t>POWER ASSETS HOLDINGS LTD</t>
  </si>
  <si>
    <t>CKISPE / CKISP 1.100  29-Aug-2022  '22 MTN</t>
  </si>
  <si>
    <t>AUCI0822F=</t>
  </si>
  <si>
    <t>CKISPE / CKISP 1.102  13-Dec-2023  '23 MTN</t>
  </si>
  <si>
    <t>AUCI1223F=</t>
  </si>
  <si>
    <t>CKISPE / CKISP 3.500  29-Aug-2024  '24 MTN</t>
  </si>
  <si>
    <t>AUCKI0824=</t>
  </si>
  <si>
    <t>CKISPE / CKISP 7.500  15-Jul-2005  MTN MATd</t>
  </si>
  <si>
    <t>CKISPE</t>
  </si>
  <si>
    <t>CKISPE / CKISP 6.463  15-Jul-2005  MTN MATd</t>
  </si>
  <si>
    <t>CKISPE / CKISP 7.820  28-Jul-2005  MTN MATd</t>
  </si>
  <si>
    <t>CKISPE / CKISP 3.240  28-Jul-2005  MTN MATd</t>
  </si>
  <si>
    <t>CKISPE / CKISP 6.943  12-Apr-2007  MTN MATd</t>
  </si>
  <si>
    <t>CKISPE / CKISP 7.174  30-Apr-2007  MTN MATd</t>
  </si>
  <si>
    <t>CKISPE / CKISP 4.753  12-Apr-2010  MTN MATd</t>
  </si>
  <si>
    <t>CKISPE / CKISP 2.683  15-Jul-2015  MTN MATd</t>
  </si>
  <si>
    <t>CKISPE / CKISP 6.750  29-Sep-2016  MATd</t>
  </si>
  <si>
    <t>Underwritten</t>
  </si>
  <si>
    <t>Debt Issuance Program</t>
  </si>
  <si>
    <t>CKISPE / CKISP 6.250  07-Sep-2017  MATd</t>
  </si>
  <si>
    <t>CKISPE / CKISP 3.100  09-Oct-2017  MTN MATd</t>
  </si>
  <si>
    <t>CKISPE / CKISP 12-Apr-2018  FRN MATd</t>
  </si>
  <si>
    <t>Secured</t>
  </si>
  <si>
    <t>Private Placement</t>
  </si>
  <si>
    <t>CKISPE / CKISP 1.288  15-Oct-2019  FRN MATd</t>
  </si>
  <si>
    <t>Unique</t>
  </si>
  <si>
    <t>Floating</t>
  </si>
  <si>
    <t>loans</t>
  </si>
  <si>
    <t>Inactive loans</t>
  </si>
  <si>
    <t>Total faciltiy amount</t>
  </si>
  <si>
    <t>issue Date</t>
  </si>
  <si>
    <t>Facevalue ($m EUR)</t>
  </si>
  <si>
    <t>fixed</t>
  </si>
  <si>
    <t>total proceeds $646m AUD</t>
  </si>
  <si>
    <t>^</t>
  </si>
  <si>
    <t>floating</t>
  </si>
  <si>
    <t>Together with the drawdown of a $250 million syndicated bank debt facility maturing in June 2021, this completes the refinancing of $350 million of AMTN debt which matures in April 2018. There is no other maturing debt to be refinanced in 2018.</t>
  </si>
  <si>
    <t>4 year syndicated debt facility. This facility will be used to</t>
  </si>
  <si>
    <t>6 month bridge facility pending another debt issue to replace the balance of its refinancing of the $500 million AMTN debt maturing in September and October 2017 and for general working capital purposes.</t>
  </si>
  <si>
    <t>$709m AUD</t>
  </si>
  <si>
    <t>captured above (2788362011)</t>
  </si>
  <si>
    <t>captured above (AU3CB0191260)</t>
  </si>
  <si>
    <t>syndicated loan</t>
  </si>
  <si>
    <t>continuation of AUD 150m cash advance facilities</t>
  </si>
  <si>
    <t>Bank facility</t>
  </si>
  <si>
    <t>VICTORIA POWER NETWORKS (FINANCE) PTY LTD
			                    06-Mar-2022 20:09</t>
  </si>
  <si>
    <t>VICTORIA POWER NETWORKS (FINANCE) PTY LTD</t>
  </si>
  <si>
    <t>VICTORIA POWER NETWORKS PTY LTD</t>
  </si>
  <si>
    <t>CKI SPARK HOLDINGS NO ONE LTD</t>
  </si>
  <si>
    <t>CKSPHR / CKSPH 0.575  23-Aug-2024  '24 MTN</t>
  </si>
  <si>
    <t>AUCS0824F=</t>
  </si>
  <si>
    <t>CKSPHR / CKSPH 3.160  26-Mar-2025  MTN</t>
  </si>
  <si>
    <t>BS179765322=</t>
  </si>
  <si>
    <t>CKSPHR / CKSPH 1.180  28-Sep-2025  MTN</t>
  </si>
  <si>
    <t>BS223790747=</t>
  </si>
  <si>
    <t>CKSPHR / CKSPH 0.875  21-Apr-2026  '26 FRN</t>
  </si>
  <si>
    <t>AUCS0426F=</t>
  </si>
  <si>
    <t>CKSPHR / CKSPH 1.603  21-Apr-2026  '26 MTN</t>
  </si>
  <si>
    <t>AUCKS0426=</t>
  </si>
  <si>
    <t>CKSPHR / CKSPH 3.290  24-Feb-2027  MTN</t>
  </si>
  <si>
    <t>BS156743119=</t>
  </si>
  <si>
    <t>CKSPHR / CKSPH 1.480  30-Apr-2027  MTN</t>
  </si>
  <si>
    <t>BS233799238=</t>
  </si>
  <si>
    <t>CKSPHR / CKSPH 4.000  18-Aug-2027  '27 MTN</t>
  </si>
  <si>
    <t>AUVIP0827=</t>
  </si>
  <si>
    <t>CKSPHR / CKSPH 4.000  29-Mar-2028  '27 MTN</t>
  </si>
  <si>
    <t>AUVIP0328=</t>
  </si>
  <si>
    <t>CKSPHR / CKSPH 2.132  21-Apr-2028  '28 MTN</t>
  </si>
  <si>
    <t>AUCKS0428=</t>
  </si>
  <si>
    <t>CKSPHR / CKSPH 3.375  26-Mar-2030  MTN</t>
  </si>
  <si>
    <t>BS179765624=</t>
  </si>
  <si>
    <t>CKSPHR / CKSPH 1.550  24-Apr-2030  MTN</t>
  </si>
  <si>
    <t>BS180872019=</t>
  </si>
  <si>
    <t>CKSPHR / CKSPH 2.065  18-Nov-2030  '30 MTN</t>
  </si>
  <si>
    <t>BS225896186=</t>
  </si>
  <si>
    <t>CKSPHR / CKSPH 2.100  16-May-2031  MTN</t>
  </si>
  <si>
    <t>BS234580922=</t>
  </si>
  <si>
    <t>CKSPHR / CKSPH 8.000  15-Jan-2007  MATd</t>
  </si>
  <si>
    <t>CKSPHR</t>
  </si>
  <si>
    <t>CKSPHR / CKSPH 6.735  15-Jan-2007  FRN MATd</t>
  </si>
  <si>
    <t>CKSPHR / CKSPH 5.500  15-Jan-2007  MTN MATd</t>
  </si>
  <si>
    <t>CKSPHR / CKSPH 6.965  15-Jan-2007  MTN MATd</t>
  </si>
  <si>
    <t>CKSPHR / CKSPH 5.750  28-Feb-2010  MTN MATd</t>
  </si>
  <si>
    <t>CKSPHR / CKSPH 3.973  28-Feb-2013  MTN MATd</t>
  </si>
  <si>
    <t>CKSPHR / CKSPH 1.980  15-Jul-2017  FRN MATd</t>
  </si>
  <si>
    <t>CKSPHR / CKSPH 2.025  15-Jul-2017  FRN MATd</t>
  </si>
  <si>
    <t>CKSPHR / CKSPH 3.533  01-Apr-2019  MTN MATd</t>
  </si>
  <si>
    <t>CKSPHR / CKSPH 0.319  15-Aug-2021  FRN MATd</t>
  </si>
  <si>
    <t>CKSPHR / CKSPH 0.305  15-Jan-2022  FRN MATd</t>
  </si>
  <si>
    <t>POWERCOR AUSTRALIA LLC
			                    07-Mar-2022 07:57</t>
  </si>
  <si>
    <t>POWERCOR AUSTRALIA LLC</t>
  </si>
  <si>
    <t>CKIHFA / CKIHF 6.022  14-May-2006  MTN MATd</t>
  </si>
  <si>
    <t>CKIHFA</t>
  </si>
  <si>
    <t>CKIHFA / CKIHF 6.150  15-Jan-2008  MATd</t>
  </si>
  <si>
    <t>69511WAA4</t>
  </si>
  <si>
    <t>CKIHFA / CKIHF 5.490  07-Jun-2011  MTN MATd</t>
  </si>
  <si>
    <t>CKIHFA / CKIHF 2.510  15-Nov-2015  FRN MATd</t>
  </si>
  <si>
    <t>CKIHFA / CKIHF 3.165  16-Nov-2015  MTN MATd</t>
  </si>
  <si>
    <t>CKIHFA / CKIHF 5.750  27-Apr-2017  MTN MATd</t>
  </si>
  <si>
    <t>victoria power networks PTY</t>
  </si>
  <si>
    <t>HKD</t>
  </si>
  <si>
    <t>NOK</t>
  </si>
  <si>
    <t>Facevalue ($m HKD)</t>
  </si>
  <si>
    <t>A-</t>
  </si>
  <si>
    <t>total $139m AUD</t>
  </si>
  <si>
    <t>total $657m AUD</t>
  </si>
  <si>
    <t>Victoria Power Networks Pty Ltd ("VPN"), in which Spark Infrastructure hold a 49% interest, today announced the establishment of a Common Funding Vehicle ("CFV") for its two whollyowned electricity distribution networks, CitiPower and Powercor. The combined debt book for VPN is approximately A$4.2bn.</t>
  </si>
  <si>
    <t>debt briding facilty Citipower</t>
  </si>
  <si>
    <t>debt briding facilty Powercor</t>
  </si>
  <si>
    <t>powercor - captured above</t>
  </si>
  <si>
    <t>Citipower revolving faciltiy</t>
  </si>
  <si>
    <t>powercor revolving facility</t>
  </si>
  <si>
    <t>powercod debt facility</t>
  </si>
  <si>
    <t>citipower</t>
  </si>
  <si>
    <t>CitiPower and Powercor rated BBB+ (Stable Outlook) by Standard &amp; Poor’s</t>
  </si>
  <si>
    <t>Citipower syndicated bank facility</t>
  </si>
  <si>
    <t>Powercor - total $673.5m AUD</t>
  </si>
  <si>
    <t>Powercor - total $300m AUD</t>
  </si>
  <si>
    <t>Spark Infrastructure Group | Balance Sheet                                18-Feb-2022 10:53</t>
  </si>
  <si>
    <t>Semiannual As Reported in Millions of Australian Dollars</t>
  </si>
  <si>
    <t>COA</t>
  </si>
  <si>
    <t xml:space="preserve"> Jun-2021 </t>
  </si>
  <si>
    <t xml:space="preserve"> Dec-2020 </t>
  </si>
  <si>
    <t xml:space="preserve"> Jun-2020 </t>
  </si>
  <si>
    <t xml:space="preserve"> Dec-2019 </t>
  </si>
  <si>
    <t xml:space="preserve"> Jun-2019 </t>
  </si>
  <si>
    <t xml:space="preserve"> Dec-2018 </t>
  </si>
  <si>
    <t xml:space="preserve"> Jun-2018 </t>
  </si>
  <si>
    <t xml:space="preserve"> Dec-2017 </t>
  </si>
  <si>
    <t xml:space="preserve"> Jun-2017 </t>
  </si>
  <si>
    <t xml:space="preserve"> Dec-2016 </t>
  </si>
  <si>
    <t xml:space="preserve"> Jun-2016 </t>
  </si>
  <si>
    <t xml:space="preserve"> Dec-2015 </t>
  </si>
  <si>
    <t xml:space="preserve"> Jun-2015 </t>
  </si>
  <si>
    <t xml:space="preserve"> Dec-2014 </t>
  </si>
  <si>
    <t xml:space="preserve"> Jun-2014 </t>
  </si>
  <si>
    <t xml:space="preserve"> Dec-2013 </t>
  </si>
  <si>
    <t xml:space="preserve"> Jun-2013 </t>
  </si>
  <si>
    <t xml:space="preserve"> Dec-2012 </t>
  </si>
  <si>
    <t xml:space="preserve"> Jun-2012 </t>
  </si>
  <si>
    <t xml:space="preserve"> Dec-2011 </t>
  </si>
  <si>
    <t xml:space="preserve"> Jun-2011 </t>
  </si>
  <si>
    <t xml:space="preserve"> Dec-2010 </t>
  </si>
  <si>
    <t xml:space="preserve"> Jun-2010 </t>
  </si>
  <si>
    <t xml:space="preserve"> Dec-2009 </t>
  </si>
  <si>
    <t xml:space="preserve"> Jun-2009 </t>
  </si>
  <si>
    <t xml:space="preserve"> Dec-2008 </t>
  </si>
  <si>
    <t xml:space="preserve"> Jun-2008 </t>
  </si>
  <si>
    <t xml:space="preserve"> Dec-2007 </t>
  </si>
  <si>
    <t xml:space="preserve"> Jun-2007 </t>
  </si>
  <si>
    <t xml:space="preserve"> Dec-2006 </t>
  </si>
  <si>
    <t xml:space="preserve"> Jun-2006 </t>
  </si>
  <si>
    <t>30-Jun-2021 </t>
  </si>
  <si>
    <t>31-Dec-2020 </t>
  </si>
  <si>
    <t>30-Jun-2020 </t>
  </si>
  <si>
    <t>31-Dec-2019 </t>
  </si>
  <si>
    <t>30-Jun-2019 </t>
  </si>
  <si>
    <t>31-Dec-2018 </t>
  </si>
  <si>
    <t>30-Jun-2018 </t>
  </si>
  <si>
    <t>31-Dec-2017 </t>
  </si>
  <si>
    <t>30-Jun-2017 </t>
  </si>
  <si>
    <t>31-Dec-2016 </t>
  </si>
  <si>
    <t>30-Jun-2016 </t>
  </si>
  <si>
    <t>31-Dec-2015 </t>
  </si>
  <si>
    <t>30-Jun-2015 </t>
  </si>
  <si>
    <t>31-Dec-2014 </t>
  </si>
  <si>
    <t>30-Jun-2014 </t>
  </si>
  <si>
    <t>31-Dec-2013 </t>
  </si>
  <si>
    <t>30-Jun-2013 </t>
  </si>
  <si>
    <t>31-Dec-2012 </t>
  </si>
  <si>
    <t>30-Jun-2012 </t>
  </si>
  <si>
    <t>31-Dec-2011 </t>
  </si>
  <si>
    <t>30-Jun-2011 </t>
  </si>
  <si>
    <t>31-Dec-2010 </t>
  </si>
  <si>
    <t>30-Jun-2010 </t>
  </si>
  <si>
    <t>31-Dec-2009 </t>
  </si>
  <si>
    <t>30-Jun-2009 </t>
  </si>
  <si>
    <t>31-Dec-2008 </t>
  </si>
  <si>
    <t>30-Jun-2008 </t>
  </si>
  <si>
    <t>31-Dec-2007 </t>
  </si>
  <si>
    <t>30-Jun-2007 </t>
  </si>
  <si>
    <t>31-Dec-2006 </t>
  </si>
  <si>
    <t>30-Jun-2006 </t>
  </si>
  <si>
    <t>Assets (AUD Millions)</t>
  </si>
  <si>
    <t>ACAE</t>
  </si>
  <si>
    <t>Cash and cash equivalents</t>
  </si>
  <si>
    <t>AORC</t>
  </si>
  <si>
    <t>Tax and interest refund receivable</t>
  </si>
  <si>
    <t>GST receivable</t>
  </si>
  <si>
    <t>Receivables from Associates</t>
  </si>
  <si>
    <t>ASTR</t>
  </si>
  <si>
    <t>Loans-Others</t>
  </si>
  <si>
    <t>AOCA</t>
  </si>
  <si>
    <t>Derivative instruments - FX</t>
  </si>
  <si>
    <t>Other financial Assets</t>
  </si>
  <si>
    <t>Financial Assets - Derivative Contracts</t>
  </si>
  <si>
    <t>Other current assets</t>
  </si>
  <si>
    <t>ATCA</t>
  </si>
  <si>
    <t>Total Current Assets</t>
  </si>
  <si>
    <t>AEQI</t>
  </si>
  <si>
    <t>Investments accounted for using the equi</t>
  </si>
  <si>
    <t>ALTR</t>
  </si>
  <si>
    <t>Loan notes to associates</t>
  </si>
  <si>
    <t>Loans to Associates</t>
  </si>
  <si>
    <t>APPN</t>
  </si>
  <si>
    <t>Property, Plant and Equipment</t>
  </si>
  <si>
    <t>ADTA</t>
  </si>
  <si>
    <t>Deferred Tax Assets</t>
  </si>
  <si>
    <t>Loans, Other</t>
  </si>
  <si>
    <t>AOAS</t>
  </si>
  <si>
    <t>Derivative financial instruments - Inter</t>
  </si>
  <si>
    <t>LT Derivative Fin Instrument-Hedging</t>
  </si>
  <si>
    <t>Other Non-Current Assets</t>
  </si>
  <si>
    <t>ACPC</t>
  </si>
  <si>
    <t>Asset under construction - Gross</t>
  </si>
  <si>
    <t>AOPC</t>
  </si>
  <si>
    <t>Property, Plant &amp; Equipment</t>
  </si>
  <si>
    <t>Furniture fittings &amp; Equipment</t>
  </si>
  <si>
    <t>Right of Use Assets</t>
  </si>
  <si>
    <t>ALIC</t>
  </si>
  <si>
    <t>Freehold land</t>
  </si>
  <si>
    <t>ADEP</t>
  </si>
  <si>
    <t>Accumulated Depreciation</t>
  </si>
  <si>
    <t>ATOT</t>
  </si>
  <si>
    <t>Total Assets</t>
  </si>
  <si>
    <t>Liabilities (AUD Millions)</t>
  </si>
  <si>
    <t>LAPB</t>
  </si>
  <si>
    <t>Payables</t>
  </si>
  <si>
    <t>LSTD</t>
  </si>
  <si>
    <t>Loan Notes Payable-Stapled Sec. Holders</t>
  </si>
  <si>
    <t>LOCL</t>
  </si>
  <si>
    <t>Other Financial liabilities</t>
  </si>
  <si>
    <t>LCLD</t>
  </si>
  <si>
    <t>Interest Bearing Liabilities</t>
  </si>
  <si>
    <t>Loan Note interest payable to Securityho</t>
  </si>
  <si>
    <t>LTXP</t>
  </si>
  <si>
    <t>Current tax liability</t>
  </si>
  <si>
    <t>Interest bearing liabilities</t>
  </si>
  <si>
    <t>LAEX</t>
  </si>
  <si>
    <t>GST Payable</t>
  </si>
  <si>
    <t>LTCL</t>
  </si>
  <si>
    <t>Total Current Liabilities</t>
  </si>
  <si>
    <t>LLTD</t>
  </si>
  <si>
    <t>Loan Notes attributable to Securityholde</t>
  </si>
  <si>
    <t>LTTD</t>
  </si>
  <si>
    <t>Total Long Term Debt</t>
  </si>
  <si>
    <t>LBDT</t>
  </si>
  <si>
    <t>Deferred tax liabilities</t>
  </si>
  <si>
    <t>LLTL</t>
  </si>
  <si>
    <t>LT Derivative Liabilities - Hedging</t>
  </si>
  <si>
    <t>Other Financial Liabilities</t>
  </si>
  <si>
    <t>LTLL</t>
  </si>
  <si>
    <t>Total Liabilities</t>
  </si>
  <si>
    <t>Shareholders Equity (AUD Millions)</t>
  </si>
  <si>
    <t>QCMS</t>
  </si>
  <si>
    <t>Issued capital</t>
  </si>
  <si>
    <t>Minority Interest-Issued Capital</t>
  </si>
  <si>
    <t>QCOM</t>
  </si>
  <si>
    <t>Reserves</t>
  </si>
  <si>
    <t>QRED</t>
  </si>
  <si>
    <t>Reserves - Minority</t>
  </si>
  <si>
    <t>Retained Earnings</t>
  </si>
  <si>
    <t>Retained Earnings to Minority Interest</t>
  </si>
  <si>
    <t>QTLE</t>
  </si>
  <si>
    <t>Total Equity</t>
  </si>
  <si>
    <t>QTEL</t>
  </si>
  <si>
    <t>Total Liabilities &amp; Shareholders' Equity</t>
  </si>
  <si>
    <t>Supplemental (AUD Millions)</t>
  </si>
  <si>
    <t>QTLL</t>
  </si>
  <si>
    <t>Total Equity &amp; Minority Interest</t>
  </si>
  <si>
    <t>QCSO1</t>
  </si>
  <si>
    <t>S/O-Stapled Securities</t>
  </si>
  <si>
    <t>QTCO</t>
  </si>
  <si>
    <t>Total Common Shares Outstanding</t>
  </si>
  <si>
    <t>QTSN1</t>
  </si>
  <si>
    <t>T/S-Stapled Securities</t>
  </si>
  <si>
    <t>QTPO</t>
  </si>
  <si>
    <t>Total Preferred Shares Outstanding</t>
  </si>
  <si>
    <t>VUCG</t>
  </si>
  <si>
    <t>VDVL</t>
  </si>
  <si>
    <t>VCDV</t>
  </si>
  <si>
    <t>VMIR</t>
  </si>
  <si>
    <t>Minority Interest - Redeemable</t>
  </si>
  <si>
    <t>VMNR</t>
  </si>
  <si>
    <t>Minority Interest - Non Redeemable</t>
  </si>
  <si>
    <t>VPPN</t>
  </si>
  <si>
    <t>Property, Plant and Equipment Investmen</t>
  </si>
  <si>
    <t>Debt &amp; Lease, Pension Items (AUD Millions)</t>
  </si>
  <si>
    <t>VTLD</t>
  </si>
  <si>
    <t>Total Long Term Debt, Supplemental</t>
  </si>
  <si>
    <t>VTCL</t>
  </si>
  <si>
    <t>Total Capital Leases, Supplemental</t>
  </si>
  <si>
    <t>VTOL</t>
  </si>
  <si>
    <t>Total Operating Leases, Supplemental</t>
  </si>
  <si>
    <t>VFSS</t>
  </si>
  <si>
    <t>Total Funded Status</t>
  </si>
  <si>
    <t>VASP</t>
  </si>
  <si>
    <t>Period End Assumptions</t>
  </si>
  <si>
    <t>VARS</t>
  </si>
  <si>
    <t>Net Assets Recognized on Balance Sheet</t>
  </si>
  <si>
    <t>VASA</t>
  </si>
  <si>
    <t>Asset Allocation</t>
  </si>
  <si>
    <t>regulatory year</t>
  </si>
  <si>
    <t>network services</t>
  </si>
  <si>
    <t>regulatory year 1 January - 31 December</t>
  </si>
  <si>
    <t>inflation</t>
  </si>
  <si>
    <t>straight line dep</t>
  </si>
  <si>
    <t>reg dep</t>
  </si>
  <si>
    <t>additions</t>
  </si>
  <si>
    <t>disposals</t>
  </si>
  <si>
    <t>check</t>
  </si>
  <si>
    <t>Standard control services</t>
  </si>
  <si>
    <t>alternative control services</t>
  </si>
  <si>
    <t xml:space="preserve">                                                                 -  </t>
  </si>
  <si>
    <t>Regulatory year 31 July - 30 June</t>
  </si>
  <si>
    <t>Multinet Gas</t>
  </si>
  <si>
    <t>January - december regulatory year</t>
  </si>
  <si>
    <t>Opening value</t>
  </si>
  <si>
    <t>Inflation addition</t>
  </si>
  <si>
    <t xml:space="preserve">                                          -  </t>
  </si>
  <si>
    <t>Straight line depreciation</t>
  </si>
  <si>
    <t>Actual additions (recognised in RAB)</t>
  </si>
  <si>
    <t xml:space="preserve">Disposals </t>
  </si>
  <si>
    <t>Closing value</t>
  </si>
  <si>
    <t>Regulatory depreciation</t>
  </si>
  <si>
    <t xml:space="preserve">                     -</t>
  </si>
  <si>
    <t>Dampier to Bunbury Natural Gas Pipeline</t>
  </si>
  <si>
    <t>SKI.AX^L21</t>
  </si>
  <si>
    <t>SKI.AX^L21 (Fundamental)</t>
  </si>
  <si>
    <t>* retrieved from Thomson Reuters Eikon 24th February 2022</t>
  </si>
  <si>
    <t>Close</t>
  </si>
  <si>
    <t>SKI.AX^L21 Company Market Cap</t>
  </si>
  <si>
    <t>AusNet Services Ltd | Balance Sheet                                18-Feb-2022 11:59</t>
  </si>
  <si>
    <t xml:space="preserve"> Sep-2021 </t>
  </si>
  <si>
    <t xml:space="preserve"> Mar-2021 </t>
  </si>
  <si>
    <t xml:space="preserve"> Sep-2020 </t>
  </si>
  <si>
    <t xml:space="preserve"> Mar-2020 </t>
  </si>
  <si>
    <t xml:space="preserve"> Sep-2019 </t>
  </si>
  <si>
    <t xml:space="preserve"> Mar-2019 </t>
  </si>
  <si>
    <t xml:space="preserve"> Sep-2018 </t>
  </si>
  <si>
    <t xml:space="preserve"> Mar-2018 </t>
  </si>
  <si>
    <t xml:space="preserve"> Sep-2017 </t>
  </si>
  <si>
    <t xml:space="preserve"> Mar-2017 </t>
  </si>
  <si>
    <t xml:space="preserve"> Sep-2016 </t>
  </si>
  <si>
    <t xml:space="preserve"> Mar-2016 </t>
  </si>
  <si>
    <t xml:space="preserve"> Sep-2015 </t>
  </si>
  <si>
    <t xml:space="preserve"> Mar-2015 </t>
  </si>
  <si>
    <t xml:space="preserve"> Sep-2014 </t>
  </si>
  <si>
    <t xml:space="preserve"> Mar-2014 </t>
  </si>
  <si>
    <t xml:space="preserve"> Sep-2013 </t>
  </si>
  <si>
    <t xml:space="preserve"> Mar-2013 </t>
  </si>
  <si>
    <t xml:space="preserve"> Sep-2012 </t>
  </si>
  <si>
    <t xml:space="preserve"> Mar-2012 </t>
  </si>
  <si>
    <t xml:space="preserve"> Sep-2011 </t>
  </si>
  <si>
    <t xml:space="preserve"> Mar-2011 </t>
  </si>
  <si>
    <t xml:space="preserve"> Sep-2010 </t>
  </si>
  <si>
    <t xml:space="preserve"> Mar-2010 </t>
  </si>
  <si>
    <t xml:space="preserve"> Sep-2009 </t>
  </si>
  <si>
    <t xml:space="preserve"> Mar-2009 </t>
  </si>
  <si>
    <t xml:space="preserve"> Sep-2008 </t>
  </si>
  <si>
    <t xml:space="preserve"> Mar-2008 </t>
  </si>
  <si>
    <t xml:space="preserve"> Sep-2007 </t>
  </si>
  <si>
    <t xml:space="preserve"> Mar-2007 </t>
  </si>
  <si>
    <t xml:space="preserve"> Sep-2006 </t>
  </si>
  <si>
    <t>Earnings Quality Score</t>
  </si>
  <si>
    <t>38 </t>
  </si>
  <si>
    <t>45 </t>
  </si>
  <si>
    <t>35 </t>
  </si>
  <si>
    <t>33 </t>
  </si>
  <si>
    <t>21 </t>
  </si>
  <si>
    <t>18 </t>
  </si>
  <si>
    <t>31 </t>
  </si>
  <si>
    <t>44 </t>
  </si>
  <si>
    <t>32 </t>
  </si>
  <si>
    <t>39 </t>
  </si>
  <si>
    <t>41 </t>
  </si>
  <si>
    <t>47 </t>
  </si>
  <si>
    <t>29 </t>
  </si>
  <si>
    <t>48 </t>
  </si>
  <si>
    <t>49 </t>
  </si>
  <si>
    <t>46 </t>
  </si>
  <si>
    <t>36 </t>
  </si>
  <si>
    <t>55 </t>
  </si>
  <si>
    <t>N/A </t>
  </si>
  <si>
    <t>Cash and Cash Equivalents</t>
  </si>
  <si>
    <t>AACR</t>
  </si>
  <si>
    <t>Related Party Receivables</t>
  </si>
  <si>
    <t>Accrued revenue - contract assets</t>
  </si>
  <si>
    <t>Accrued Revenue</t>
  </si>
  <si>
    <t>Accounts Receivable, Net</t>
  </si>
  <si>
    <t>Desalination licence receivable</t>
  </si>
  <si>
    <t>Receivables</t>
  </si>
  <si>
    <t>AITL</t>
  </si>
  <si>
    <t>Inventories</t>
  </si>
  <si>
    <t>Derivative Financial Instruments</t>
  </si>
  <si>
    <t>Other assets</t>
  </si>
  <si>
    <t>Other Receivables</t>
  </si>
  <si>
    <t>Interest receivable</t>
  </si>
  <si>
    <t>Current tax receivable</t>
  </si>
  <si>
    <t>ASTI</t>
  </si>
  <si>
    <t>Short-Term Investments</t>
  </si>
  <si>
    <t>Other financial assets - Balancing value</t>
  </si>
  <si>
    <t>Other financial assets</t>
  </si>
  <si>
    <t>Tax receivable</t>
  </si>
  <si>
    <t>Property, plant and equipment - Balancin</t>
  </si>
  <si>
    <t>Property, plant and equipment</t>
  </si>
  <si>
    <t>AINT</t>
  </si>
  <si>
    <t>Intangible assets - Balancing value</t>
  </si>
  <si>
    <t>Intangible Assets</t>
  </si>
  <si>
    <t>Deferred tax assets</t>
  </si>
  <si>
    <t>Derivative Financial Instrument</t>
  </si>
  <si>
    <t>AAMT</t>
  </si>
  <si>
    <t>Other intangible assets, Amortization</t>
  </si>
  <si>
    <t>Software, Amortization</t>
  </si>
  <si>
    <t>Distribution licences, Amortization</t>
  </si>
  <si>
    <t>AING</t>
  </si>
  <si>
    <t>Other intangible assets, Gross</t>
  </si>
  <si>
    <t>Software, Gross</t>
  </si>
  <si>
    <t>Distribution licences, Gross</t>
  </si>
  <si>
    <t>AAGA</t>
  </si>
  <si>
    <t>Goodwill, Amortization</t>
  </si>
  <si>
    <t>AGWG</t>
  </si>
  <si>
    <t>Goodwill, Gross</t>
  </si>
  <si>
    <t>Acc Amor/Imp R/O Use Tang Cap/Fin lease</t>
  </si>
  <si>
    <t>Freehold Land, Depreciation</t>
  </si>
  <si>
    <t>Buildings, Depreciation</t>
  </si>
  <si>
    <t>Easements, Depreciation</t>
  </si>
  <si>
    <t>Other Plant and Equipment, Depreciation</t>
  </si>
  <si>
    <t>Capital work in progress, Depreciation</t>
  </si>
  <si>
    <t>AUPD</t>
  </si>
  <si>
    <t>Transmission System, Depreciation</t>
  </si>
  <si>
    <t>Acc Depr/Imp Utility Plants</t>
  </si>
  <si>
    <t>Gas Distribution System, Depreciation</t>
  </si>
  <si>
    <t>Capital work in progress, Gross</t>
  </si>
  <si>
    <t>R/O Use Tangible Cap/Fin lease - Gross</t>
  </si>
  <si>
    <t>Other Plant and Equipment, Gross</t>
  </si>
  <si>
    <t>AUTP</t>
  </si>
  <si>
    <t>Transmission System, Gross</t>
  </si>
  <si>
    <t>Electricity Distribution System, Gross</t>
  </si>
  <si>
    <t>Gas Distribution System, Gross</t>
  </si>
  <si>
    <t>AMEC</t>
  </si>
  <si>
    <t>Easements, Gross</t>
  </si>
  <si>
    <t>APBC</t>
  </si>
  <si>
    <t>Buildings, Gross</t>
  </si>
  <si>
    <t>Freehold Land, Gross</t>
  </si>
  <si>
    <t>ALTI</t>
  </si>
  <si>
    <t>LPBA</t>
  </si>
  <si>
    <t>Payables and Other Liabilities</t>
  </si>
  <si>
    <t>Lease liabilities</t>
  </si>
  <si>
    <t>Hong Kong dollar (HKD) senior notes</t>
  </si>
  <si>
    <t>Floating rate note</t>
  </si>
  <si>
    <t>Domestic medium term notes</t>
  </si>
  <si>
    <t>Euro (EUR) senior notes</t>
  </si>
  <si>
    <t>US dollar (USD) senior notes</t>
  </si>
  <si>
    <t>Bank debt facilities</t>
  </si>
  <si>
    <t>Swiss francs (CHF) senior notes</t>
  </si>
  <si>
    <t>Borrowings</t>
  </si>
  <si>
    <t>Derivative financial instruments</t>
  </si>
  <si>
    <t>Current tax payable</t>
  </si>
  <si>
    <t>Provisions</t>
  </si>
  <si>
    <t>ST Debt &amp; Notes Payable</t>
  </si>
  <si>
    <t>Commercial paper</t>
  </si>
  <si>
    <t>LCLO</t>
  </si>
  <si>
    <t>Deferred Revenue</t>
  </si>
  <si>
    <t>Non-current tax payable</t>
  </si>
  <si>
    <t>Payables and other liabilities</t>
  </si>
  <si>
    <t>LRSV</t>
  </si>
  <si>
    <t>Contributed Equity</t>
  </si>
  <si>
    <t>Share based payment reserve</t>
  </si>
  <si>
    <t>Restructure reserve</t>
  </si>
  <si>
    <t>Retained Profits</t>
  </si>
  <si>
    <t>Contributed Equity - Stapled Entities</t>
  </si>
  <si>
    <t>Units - Stapled Entities</t>
  </si>
  <si>
    <t>Hedge Reserve</t>
  </si>
  <si>
    <t>QAML</t>
  </si>
  <si>
    <t>Defined Benefit Reserve - Stapled Enti</t>
  </si>
  <si>
    <t>Retained Earnings - Stapled Entities</t>
  </si>
  <si>
    <t>QUGL</t>
  </si>
  <si>
    <t>Asset revaluation reserves</t>
  </si>
  <si>
    <t>Fair value adjustment on stapling - Sta</t>
  </si>
  <si>
    <t>QOTE</t>
  </si>
  <si>
    <t>Other equity</t>
  </si>
  <si>
    <t>S/O-Fully Paid Ord. Shrs</t>
  </si>
  <si>
    <t>T/S-Fully Paid Ord. Shrs</t>
  </si>
  <si>
    <t>VCAS</t>
  </si>
  <si>
    <t>VUCD</t>
  </si>
  <si>
    <t>VRAC</t>
  </si>
  <si>
    <t>Revolving Line of Cr-Unutiliz/Unused Amt</t>
  </si>
  <si>
    <t>VLCC</t>
  </si>
  <si>
    <t>VAGA</t>
  </si>
  <si>
    <t>VAIA</t>
  </si>
  <si>
    <t>VADL</t>
  </si>
  <si>
    <t>Fixed Assets</t>
  </si>
  <si>
    <t>VINT</t>
  </si>
  <si>
    <t>VLD1</t>
  </si>
  <si>
    <t>Current maturities</t>
  </si>
  <si>
    <t>VOL1</t>
  </si>
  <si>
    <t>Optg leases-year 1</t>
  </si>
  <si>
    <t>VOL2</t>
  </si>
  <si>
    <t>Optg leases-year 2</t>
  </si>
  <si>
    <t>VOLR</t>
  </si>
  <si>
    <t>Optg leases-year 6+</t>
  </si>
  <si>
    <t>AusNet Services Ltd | Income Statement                                18-Feb-2022 12:00</t>
  </si>
  <si>
    <t>Income Statement</t>
  </si>
  <si>
    <t xml:space="preserve"> Mar-2006 </t>
  </si>
  <si>
    <t xml:space="preserve"> Sep-2005 </t>
  </si>
  <si>
    <t>RNUR</t>
  </si>
  <si>
    <t>Service revenue</t>
  </si>
  <si>
    <t>Excluded Transmission revenue</t>
  </si>
  <si>
    <t>Unregulated infrastructure revenue</t>
  </si>
  <si>
    <t>REOP</t>
  </si>
  <si>
    <t>Regulated revenue</t>
  </si>
  <si>
    <t>Electricity Distribution Revenue</t>
  </si>
  <si>
    <t>RGOP</t>
  </si>
  <si>
    <t>Gas Distribution Revenue</t>
  </si>
  <si>
    <t>Transmission Excluded Services</t>
  </si>
  <si>
    <t>ROUR</t>
  </si>
  <si>
    <t>Electricity Excluded Services</t>
  </si>
  <si>
    <t>Gas Excluded Services</t>
  </si>
  <si>
    <t>Interest Income</t>
  </si>
  <si>
    <t>Income - Related Parties</t>
  </si>
  <si>
    <t>Customer Contributions</t>
  </si>
  <si>
    <t>Other Transmission Revenue</t>
  </si>
  <si>
    <t>Other Distribution Revenue</t>
  </si>
  <si>
    <t>RTLR</t>
  </si>
  <si>
    <t>ERES</t>
  </si>
  <si>
    <t>Termination expenses</t>
  </si>
  <si>
    <t>ECOR</t>
  </si>
  <si>
    <t>Cost of Sales</t>
  </si>
  <si>
    <t>EOOE</t>
  </si>
  <si>
    <t>Other Operating Income/Expense</t>
  </si>
  <si>
    <t>Other costs</t>
  </si>
  <si>
    <t>Expenses Excluding Finance Costs</t>
  </si>
  <si>
    <t>Materials</t>
  </si>
  <si>
    <t>EDOE</t>
  </si>
  <si>
    <t>External maintenance and contractors ser</t>
  </si>
  <si>
    <t>External Maintenance Services</t>
  </si>
  <si>
    <t>ESGA</t>
  </si>
  <si>
    <t>Information technology and communication</t>
  </si>
  <si>
    <t>EPOT</t>
  </si>
  <si>
    <t>Easement and land tax</t>
  </si>
  <si>
    <t>External Consulting, Legal and Accountin</t>
  </si>
  <si>
    <t>Insurance Expenses</t>
  </si>
  <si>
    <t>Property Taxes</t>
  </si>
  <si>
    <t>Use of System and Associated Charges</t>
  </si>
  <si>
    <t>Other Administrative Expenses</t>
  </si>
  <si>
    <t>Professional Service Fees</t>
  </si>
  <si>
    <t>Management Fees</t>
  </si>
  <si>
    <t>Performance Fees</t>
  </si>
  <si>
    <t>Flame Logo Fee</t>
  </si>
  <si>
    <t>Availability Rebate</t>
  </si>
  <si>
    <t>Office, Travel and consumables</t>
  </si>
  <si>
    <t>EUIE</t>
  </si>
  <si>
    <t>Unaccounted for Gas Legal Determination</t>
  </si>
  <si>
    <t>Consultants and Contractors Expense</t>
  </si>
  <si>
    <t>Other Costs</t>
  </si>
  <si>
    <t>EDEP</t>
  </si>
  <si>
    <t>Depreciation and amortisation</t>
  </si>
  <si>
    <t>EIAU</t>
  </si>
  <si>
    <t>Impairment of non-financial assets</t>
  </si>
  <si>
    <t>Impairment of Non-Current Assets</t>
  </si>
  <si>
    <t>Disposal of property plant and equipment</t>
  </si>
  <si>
    <t>Lease expenses</t>
  </si>
  <si>
    <t>Unrealised Losses - Derivatives</t>
  </si>
  <si>
    <t>ELAR</t>
  </si>
  <si>
    <t>Service level payments</t>
  </si>
  <si>
    <t>Employee benefit expenses</t>
  </si>
  <si>
    <t>Defined Contribution Superannuation</t>
  </si>
  <si>
    <t>Stock Base Comp. Expense</t>
  </si>
  <si>
    <t>Other Employee Expense</t>
  </si>
  <si>
    <t>Bad and Doubtful Debts Expense</t>
  </si>
  <si>
    <t>Other Expense</t>
  </si>
  <si>
    <t>EIIN</t>
  </si>
  <si>
    <t>Interest income</t>
  </si>
  <si>
    <t>EINV</t>
  </si>
  <si>
    <t>Investment income</t>
  </si>
  <si>
    <t>Expected return on defined benefit fund</t>
  </si>
  <si>
    <t>Finance Income</t>
  </si>
  <si>
    <t>EINN</t>
  </si>
  <si>
    <t>Finance expenses</t>
  </si>
  <si>
    <t>EIEX</t>
  </si>
  <si>
    <t>Other Finance Charges</t>
  </si>
  <si>
    <t>ECAP</t>
  </si>
  <si>
    <t>Capitalised Finance Charges</t>
  </si>
  <si>
    <t>ETOE</t>
  </si>
  <si>
    <t>Total Operating Expense</t>
  </si>
  <si>
    <t>NIIN</t>
  </si>
  <si>
    <t>NINV</t>
  </si>
  <si>
    <t>Finance costs - Balancing value</t>
  </si>
  <si>
    <t>Loss/ (gain) on fair value hedges</t>
  </si>
  <si>
    <t>Ineffective G/L on Derivatives - Hedging</t>
  </si>
  <si>
    <t>NONT</t>
  </si>
  <si>
    <t>Other Net Financial Income/Expenses</t>
  </si>
  <si>
    <t>Return on desalination licence receivabl</t>
  </si>
  <si>
    <t>Other Finance Charges - Cash</t>
  </si>
  <si>
    <t>Other Finance Charges - Non -Cash</t>
  </si>
  <si>
    <t>Unwind of Discount on Provision</t>
  </si>
  <si>
    <t>Other Net Financial Income/Expense</t>
  </si>
  <si>
    <t>(Gain)/loss on initial de-designation</t>
  </si>
  <si>
    <t>Loss on transactions not in a hedge</t>
  </si>
  <si>
    <t>Ineffective portion of cash flow hedges</t>
  </si>
  <si>
    <t>(Gain)/loss on transactions not in a hed</t>
  </si>
  <si>
    <t>NINN</t>
  </si>
  <si>
    <t>NCIN</t>
  </si>
  <si>
    <t>Capitalised finance charges</t>
  </si>
  <si>
    <t>NIEN</t>
  </si>
  <si>
    <t>Interest expense leases</t>
  </si>
  <si>
    <t>Interest expense</t>
  </si>
  <si>
    <t>EIBT</t>
  </si>
  <si>
    <t>Net Income Before Taxes</t>
  </si>
  <si>
    <t>TTAX</t>
  </si>
  <si>
    <t>Provision for Income Taxes</t>
  </si>
  <si>
    <t>TIAT</t>
  </si>
  <si>
    <t>Net Income After Taxes</t>
  </si>
  <si>
    <t>NIBX</t>
  </si>
  <si>
    <t>Net Income Before Extra. Items</t>
  </si>
  <si>
    <t>XIDO</t>
  </si>
  <si>
    <t>Discontinued Operations</t>
  </si>
  <si>
    <t>NINC</t>
  </si>
  <si>
    <t>Net Income</t>
  </si>
  <si>
    <t>CIAC</t>
  </si>
  <si>
    <t>Income Available to Com Excl ExtraOrd</t>
  </si>
  <si>
    <t>XNIC</t>
  </si>
  <si>
    <t>Income Available to Com Incl ExtraOrd</t>
  </si>
  <si>
    <t>GBAS</t>
  </si>
  <si>
    <t>Basic Weighted Average Shares</t>
  </si>
  <si>
    <t>GBBF</t>
  </si>
  <si>
    <t>Basic EPS Excluding ExtraOrdinary Items</t>
  </si>
  <si>
    <t>GBAI</t>
  </si>
  <si>
    <t>Basic EPS Including ExtraOrdinary Items</t>
  </si>
  <si>
    <t>GDAJ</t>
  </si>
  <si>
    <t>Dilution Adjustment</t>
  </si>
  <si>
    <t>GDNI</t>
  </si>
  <si>
    <t>Diluted Net Income</t>
  </si>
  <si>
    <t>GDWS</t>
  </si>
  <si>
    <t>Diluted Weighted Average Shares</t>
  </si>
  <si>
    <t>GDBF</t>
  </si>
  <si>
    <t>Diluted EPS Excluding ExtraOrd Items</t>
  </si>
  <si>
    <t>GDAI</t>
  </si>
  <si>
    <t>Diluted EPS Including ExtraOrd Items</t>
  </si>
  <si>
    <t>DSPS1</t>
  </si>
  <si>
    <t>Special DPS-Fully Paid Ord. Shrs</t>
  </si>
  <si>
    <t>DDPS1</t>
  </si>
  <si>
    <t>DPS-Fully Paid Ord. Shrs</t>
  </si>
  <si>
    <t>DCGD</t>
  </si>
  <si>
    <t>Gross Dividends - Common Stock</t>
  </si>
  <si>
    <t>VPTI</t>
  </si>
  <si>
    <t>Normalized Income Before Taxes</t>
  </si>
  <si>
    <t>VTEC</t>
  </si>
  <si>
    <t>Tax benefit arising from the restructure</t>
  </si>
  <si>
    <t>Tax benefit from settlement of IP disput</t>
  </si>
  <si>
    <t>VIAU</t>
  </si>
  <si>
    <t>Impairment of AMI</t>
  </si>
  <si>
    <t>VITN</t>
  </si>
  <si>
    <t>Inc Tax Ex Impact of Sp Items</t>
  </si>
  <si>
    <t>VIAT</t>
  </si>
  <si>
    <t>Normalized Income After Taxes</t>
  </si>
  <si>
    <t>VIAC</t>
  </si>
  <si>
    <t>Normalized Inc. Avail to Com.</t>
  </si>
  <si>
    <t>VBES</t>
  </si>
  <si>
    <t>Basic Normalized EPS</t>
  </si>
  <si>
    <t>VDES</t>
  </si>
  <si>
    <t>Diluted Normalized EPS</t>
  </si>
  <si>
    <t>VIEL</t>
  </si>
  <si>
    <t>VLAR</t>
  </si>
  <si>
    <t>VCAP</t>
  </si>
  <si>
    <t>Interest Capitalised</t>
  </si>
  <si>
    <t>VDEP</t>
  </si>
  <si>
    <t>Adjustment to Depreciation/Amortization</t>
  </si>
  <si>
    <t>BC - Depreciation of Fixed Assets</t>
  </si>
  <si>
    <t>Depreciation Expense</t>
  </si>
  <si>
    <t>VRXP</t>
  </si>
  <si>
    <t>VIEX</t>
  </si>
  <si>
    <t>Tax &amp; Pension Items (AUD Millions)</t>
  </si>
  <si>
    <t>VCTC</t>
  </si>
  <si>
    <t>Current Tax - Total</t>
  </si>
  <si>
    <t>VDTC</t>
  </si>
  <si>
    <t>Deferred Tax - Total</t>
  </si>
  <si>
    <t>VITT</t>
  </si>
  <si>
    <t>Income Tax - Total</t>
  </si>
  <si>
    <t>VTIT</t>
  </si>
  <si>
    <t>Income Tax by Region - Total</t>
  </si>
  <si>
    <t>VDPP</t>
  </si>
  <si>
    <t>Domestic Pension Plan Expense</t>
  </si>
  <si>
    <t>VFPP</t>
  </si>
  <si>
    <t>Foreign Pension Plan Expense</t>
  </si>
  <si>
    <t>VRPE</t>
  </si>
  <si>
    <t>Post-Retirement Plan Expense</t>
  </si>
  <si>
    <t>VTPE</t>
  </si>
  <si>
    <t>Total Pension Expense</t>
  </si>
  <si>
    <t>VISA</t>
  </si>
  <si>
    <t>Assumptions</t>
  </si>
  <si>
    <t>Dividends and Capital Changes</t>
  </si>
  <si>
    <t>AusNet Services Ord Shs</t>
  </si>
  <si>
    <t>Cash Dividend</t>
  </si>
  <si>
    <t>AUD 0.05 I</t>
  </si>
  <si>
    <t>AUD 0.05 F</t>
  </si>
  <si>
    <t>AUD 0.04 I</t>
  </si>
  <si>
    <t>AUD 0.07 F</t>
  </si>
  <si>
    <t>AUD 0.06 I</t>
  </si>
  <si>
    <t>AUD 0.06 F</t>
  </si>
  <si>
    <t>AUD 0.03 F</t>
  </si>
  <si>
    <t>(30-Sep) Pd.End </t>
  </si>
  <si>
    <t>(31-Mar) Pd.End </t>
  </si>
  <si>
    <t>Cash with Stock Alternative</t>
  </si>
  <si>
    <t>AUD 0.01 S</t>
  </si>
  <si>
    <t>AUD 0.04 F</t>
  </si>
  <si>
    <t>(31-Dec) Pd.End </t>
  </si>
  <si>
    <t>Share Conversion</t>
  </si>
  <si>
    <t>1x</t>
  </si>
  <si>
    <t>(18-Jun) </t>
  </si>
  <si>
    <t>Stock Dividend</t>
  </si>
  <si>
    <t>(24-Jun) </t>
  </si>
  <si>
    <t>(17-Dec) </t>
  </si>
  <si>
    <t>(25-Jun) </t>
  </si>
  <si>
    <t>(19-Dec) </t>
  </si>
  <si>
    <t>(27-Jun) </t>
  </si>
  <si>
    <t>(20-Dec) </t>
  </si>
  <si>
    <t>(21-Dec) </t>
  </si>
  <si>
    <t>(22-Dec) </t>
  </si>
  <si>
    <t>(22-Jun) </t>
  </si>
  <si>
    <t>(24-Dec) </t>
  </si>
  <si>
    <t>(26-Jun) </t>
  </si>
  <si>
    <t>(23-Dec) </t>
  </si>
  <si>
    <t>Priority Issue</t>
  </si>
  <si>
    <t>(31-Dec) </t>
  </si>
  <si>
    <t>Rights Issue</t>
  </si>
  <si>
    <t>(20-Jun) </t>
  </si>
  <si>
    <t>(19-Jun) </t>
  </si>
  <si>
    <t>Regulatory Year</t>
  </si>
  <si>
    <t>Ausnet Services (Transmission)</t>
  </si>
  <si>
    <t>Regulatory period 1 April - 31 March</t>
  </si>
  <si>
    <t>end of period adjustments</t>
  </si>
  <si>
    <t>Ausnet Services (Electricity Distribution)</t>
  </si>
  <si>
    <t>Regulatory period 1 January - 31 December</t>
  </si>
  <si>
    <t>Ausnet Services (Gas)</t>
  </si>
  <si>
    <t>AST.AX^B22</t>
  </si>
  <si>
    <t>AST.AX^B22 (Fundamental)</t>
  </si>
  <si>
    <t>AST.AX^B22 Company Market Cap</t>
  </si>
  <si>
    <t>Current vs 2Y Average Historical Multiple</t>
  </si>
  <si>
    <t>Implied @ Hist Avg</t>
  </si>
  <si>
    <t>* Sourced from Bloomberg 2/03/2022</t>
  </si>
  <si>
    <t>Metric</t>
  </si>
  <si>
    <t>Current(x)</t>
  </si>
  <si>
    <t>Hist Avg(x)</t>
  </si>
  <si>
    <t>Diff(%)</t>
  </si>
  <si>
    <t># SD</t>
  </si>
  <si>
    <t>Price(AUD)</t>
  </si>
  <si>
    <t>Subject Ticker: GNX AU Equity</t>
  </si>
  <si>
    <t>BF EV/EBITDA</t>
  </si>
  <si>
    <t>BF P/E</t>
  </si>
  <si>
    <t>BF EV/EBIT</t>
  </si>
  <si>
    <t>BF EV/Rev</t>
  </si>
  <si>
    <t>LF P/BV</t>
  </si>
  <si>
    <t>Subject Ticker: SXE AU Equity</t>
  </si>
  <si>
    <t>Subject Ticker: NEW AU Equity</t>
  </si>
  <si>
    <t>Subject Ticker: MNS AU Equity</t>
  </si>
  <si>
    <t>Current vs 1Y Average Historical Multiple</t>
  </si>
  <si>
    <t>* 2 Year average unavailable</t>
  </si>
  <si>
    <t>Subject Ticker: GNP AU Equity</t>
  </si>
  <si>
    <t>* current as at march 2 2022</t>
  </si>
  <si>
    <t>WND AU equity</t>
  </si>
  <si>
    <t>GNX AU equity</t>
  </si>
  <si>
    <t>SALES_REV_TURN</t>
  </si>
  <si>
    <t>CURR_ENTP_VAL</t>
  </si>
  <si>
    <t>#N/A N/A</t>
  </si>
  <si>
    <t>acquired</t>
  </si>
  <si>
    <t>Titl renewables 836MW</t>
  </si>
  <si>
    <t>https://reneweconomy.com.au/agl-leads-renewable-power-play-in-agreed-2-75-billion-bid-for-tilt/</t>
  </si>
  <si>
    <t>3500MW development portfolio</t>
  </si>
  <si>
    <t>Scheme booklet Demerger of trustpower assets 2016</t>
  </si>
  <si>
    <t>GWh</t>
  </si>
  <si>
    <t>MW (capacity)</t>
  </si>
  <si>
    <t>Development pipeline</t>
  </si>
  <si>
    <t>MW</t>
  </si>
  <si>
    <t>Scheme Booklet page 17</t>
  </si>
  <si>
    <t>Generation assets</t>
  </si>
  <si>
    <t>https://www.infigenenergy.com/our-assets/owned-renewable-energy-assets/</t>
  </si>
  <si>
    <t>Alinta Windfarm</t>
  </si>
  <si>
    <t>Bodanora Windfarm</t>
  </si>
  <si>
    <t>Capital Windfarm</t>
  </si>
  <si>
    <t>Lake Bonney Windfarm</t>
  </si>
  <si>
    <t>Woodlawn Windfarm</t>
  </si>
  <si>
    <t>Development assets</t>
  </si>
  <si>
    <t>https://www.infigenenergy.com/our-assets/development-assets/</t>
  </si>
  <si>
    <t>Capital 2 windfarm</t>
  </si>
  <si>
    <t>Flyers Creek</t>
  </si>
  <si>
    <t>Forsayth Wind farm</t>
  </si>
  <si>
    <t>Woakwine Wind farm</t>
  </si>
  <si>
    <t>Port Augusta Windfarm</t>
  </si>
  <si>
    <t>Avonlie Solar farm</t>
  </si>
  <si>
    <t>https://www.newenergysolar.com.au/portfolio</t>
  </si>
  <si>
    <t>MW (capcity)</t>
  </si>
  <si>
    <t>Boulder Solar I Plant</t>
  </si>
  <si>
    <t>Standford Solar Plant</t>
  </si>
  <si>
    <t>TID Solar Plant</t>
  </si>
  <si>
    <t>North Carolina</t>
  </si>
  <si>
    <t>Mount Signal 2</t>
  </si>
  <si>
    <t>Organ Church Solar Plant</t>
  </si>
  <si>
    <t>Heedeh Solar Plant</t>
  </si>
  <si>
    <t>Bonaza Solar Plant</t>
  </si>
  <si>
    <t>Hanover</t>
  </si>
  <si>
    <t>County Home Solar</t>
  </si>
  <si>
    <t>Arthur Solar Plant</t>
  </si>
  <si>
    <t>Pendleton Solar</t>
  </si>
  <si>
    <t>Church Road Solar Plant</t>
  </si>
  <si>
    <t>https://www.windlab.com/asset-management/#assets-under-management</t>
  </si>
  <si>
    <t>Genex power</t>
  </si>
  <si>
    <t>https://genexpower.com.au/</t>
  </si>
  <si>
    <t>Under construction</t>
  </si>
  <si>
    <t>pipeline</t>
  </si>
  <si>
    <t>Market value of growth and futures network (scheme booklet)</t>
  </si>
  <si>
    <t>Enterprise Value (scheme booklet)</t>
  </si>
  <si>
    <t>EV (Scheme Booklet/low)</t>
  </si>
  <si>
    <t>EV (Scheme Booklet/high)</t>
  </si>
  <si>
    <t>EV/RAB scheme (low)</t>
  </si>
  <si>
    <t>EV/RABa scheme (low)</t>
  </si>
  <si>
    <t>mid point (scheme / vanilla)</t>
  </si>
  <si>
    <t>mid point (scheme / adjusted)</t>
  </si>
  <si>
    <t>Summary</t>
  </si>
  <si>
    <t>EV/RAB MV Debt. (low)</t>
  </si>
  <si>
    <t>EV/RAB MV Debt (high)</t>
  </si>
  <si>
    <t>EV/RABa MV Debt (low)</t>
  </si>
  <si>
    <t>EV/RABa MV Debt (high)</t>
  </si>
  <si>
    <t>EV/RABa Net Debt (low)</t>
  </si>
  <si>
    <t>EV/RABa Net Debt (high)</t>
  </si>
  <si>
    <t>midpoint</t>
  </si>
  <si>
    <t>midpoint adjusted</t>
  </si>
  <si>
    <t>EV/RAB scheme (high)</t>
  </si>
  <si>
    <t>EV/RABa scheme (high)</t>
  </si>
  <si>
    <t>AER</t>
  </si>
  <si>
    <t>Accompanying report:</t>
  </si>
  <si>
    <t>Version</t>
  </si>
  <si>
    <t>Author</t>
  </si>
  <si>
    <t>Description of changes</t>
  </si>
  <si>
    <t>0.1</t>
  </si>
  <si>
    <t>Jacob</t>
  </si>
  <si>
    <t>Draft Model</t>
  </si>
  <si>
    <t>Source: Eikon</t>
  </si>
  <si>
    <t>Version 1.0</t>
  </si>
  <si>
    <t>FINAL</t>
  </si>
  <si>
    <t>EV : RAB Historical Calculation</t>
  </si>
  <si>
    <t>1.0</t>
  </si>
  <si>
    <t>Final Model</t>
  </si>
  <si>
    <t>Independent valuation report for SKI transaction found a mean and median EV/MW ratio of 1.8 using 18 recent solar transactions</t>
  </si>
  <si>
    <t xml:space="preserve">acquired at valuation for operations of 3.07 billion NZD. Aprox 0.95 AUD to NZD at time of transaction. </t>
  </si>
  <si>
    <t>acquried (97.6%) and delisted $897 million equity september 2020. EV of $1.33b AUD</t>
  </si>
  <si>
    <t>acquired 67 million EV 3/04/2020</t>
  </si>
  <si>
    <t>**Includes development pipeline</t>
  </si>
  <si>
    <t>Debt Securities</t>
  </si>
  <si>
    <t>Manually retrieved from ASX Announcements</t>
  </si>
  <si>
    <t>Source: Bloomberg</t>
  </si>
  <si>
    <t>CEPA_AER_EVRAB_Multiples</t>
  </si>
  <si>
    <t>Estimation of historical Regulatory Asset Base and Enterprise Value for Spark Infrastructure and Ausnet Services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</si>
</sst>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8">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00_-;\-&quot;£&quot;* #,##0.00_-;_-&quot;£&quot;* &quot;-&quot;??_-;_-@_-"/>
    <numFmt numFmtId="165" formatCode="_-* #,##0_-;\-* #,##0_-;_-* &quot;-&quot;??_-;_-@_-"/>
    <numFmt numFmtId="166" formatCode="#,##0.0_);[Red]\(#,##0.0\)"/>
    <numFmt numFmtId="167" formatCode="dd/m/yyyy;@"/>
    <numFmt numFmtId="168" formatCode="[$-C09]dd\-mmm\-yy;@"/>
    <numFmt numFmtId="169" formatCode="[$-C09]dd\-mmmm\-yyyy;@"/>
    <numFmt numFmtId="170" formatCode="d/mm/yyyy;@"/>
    <numFmt numFmtId="171" formatCode="0.0"/>
    <numFmt numFmtId="172" formatCode="dd\-mmm\-yyyy"/>
    <numFmt numFmtId="173" formatCode="mmm\-yyyy"/>
    <numFmt numFmtId="174" formatCode="0.0_ ;\-0.0\ "/>
    <numFmt numFmtId="175" formatCode="#,##0;\-#,##0;#,##0;&quot;--&quot;"/>
    <numFmt numFmtId="176" formatCode="#,##0.0##;\-#,##0.0##;0;&quot;--&quot;"/>
    <numFmt numFmtId="177" formatCode="#,##0.0##;\-#,##0.0##;&quot;--&quot;;&quot;--&quot;"/>
    <numFmt numFmtId="178" formatCode="##0.0####;\-##0.0####;&quot;--&quot;;&quot;--&quot;"/>
    <numFmt numFmtId="179" formatCode="0%;[Red]\(0%\)"/>
    <numFmt numFmtId="180" formatCode="0.00%;[Red]\(0.00%\)"/>
    <numFmt numFmtId="181" formatCode="0.0%;[Red]\(0.0%\)"/>
    <numFmt numFmtId="182" formatCode="#,##0.0"/>
    <numFmt numFmtId="183" formatCode="0.0%"/>
    <numFmt numFmtId="184" formatCode="_([$€-2]* #,##0.00_);_([$€-2]* \(#,##0.00\);_([$€-2]* &quot;-&quot;??_)"/>
    <numFmt numFmtId="185" formatCode="_-* #,##0.00_-;[Red]\(#,##0.00\)_-;_-* &quot;-&quot;??_-;_-@_-"/>
    <numFmt numFmtId="186" formatCode="mm/dd/yy"/>
    <numFmt numFmtId="187" formatCode="0_);[Red]\(0\)"/>
    <numFmt numFmtId="188" formatCode="_(* #,##0.0_);_(* \(#,##0.0\);_(* &quot;-&quot;?_);_(@_)"/>
    <numFmt numFmtId="189" formatCode="_(* #,##0_);_(* \(#,##0\);_(* &quot;-&quot;?_);_(@_)"/>
    <numFmt numFmtId="190" formatCode="#,##0.0_);\(#,##0.0\)"/>
    <numFmt numFmtId="191" formatCode="#,##0_ ;\-#,##0\ "/>
    <numFmt numFmtId="192" formatCode="#,##0;[Red]\(#,##0.0\)"/>
    <numFmt numFmtId="193" formatCode="#,##0_ ;[Red]\(#,##0\)\ "/>
    <numFmt numFmtId="194" formatCode="#,##0.00;\(#,##0.00\)"/>
    <numFmt numFmtId="195" formatCode="_)d\-mmm\-yy_)"/>
    <numFmt numFmtId="196" formatCode="_(#,##0.0_);\(#,##0.0\);_(&quot;-&quot;_)"/>
    <numFmt numFmtId="197" formatCode="_(###0_);\(###0\);_(###0_)"/>
    <numFmt numFmtId="198" formatCode="#,##0.0000_);[Red]\(#,##0.0000\)"/>
    <numFmt numFmtId="199" formatCode="#,##0.000_ ;[Red]\-#,##0.000\ "/>
    <numFmt numFmtId="200" formatCode="0.000"/>
    <numFmt numFmtId="201" formatCode="_-&quot;$&quot;* #,##0_-;\-&quot;$&quot;* #,##0_-;_-&quot;$&quot;* &quot;-&quot;??_-;_-@_-"/>
    <numFmt numFmtId="202" formatCode="_-&quot;$&quot;* #,##0.0_-;\-&quot;$&quot;* #,##0.0_-;_-&quot;$&quot;* &quot;-&quot;??_-;_-@_-"/>
    <numFmt numFmtId="203" formatCode="#,##0.000"/>
    <numFmt numFmtId="204" formatCode="0.0000"/>
    <numFmt numFmtId="205" formatCode="dd/mm/yy"/>
    <numFmt numFmtId="206" formatCode="_(* #,##0.0_);_(* \(#,##0.0\);_(* &quot;-&quot;?_);@_)"/>
    <numFmt numFmtId="207" formatCode="&quot;$&quot;#,##0\ ;\(&quot;$&quot;#,##0\)"/>
    <numFmt numFmtId="208" formatCode="#,##0_%_);\(#,##0\)_%;#,##0_%_);@_%_)"/>
    <numFmt numFmtId="209" formatCode="0.00\ \ \x"/>
    <numFmt numFmtId="210" formatCode="0\ \ ;\(0\)\ \ \ "/>
    <numFmt numFmtId="211" formatCode="_-[$€-2]* #,##0.00_-;\-[$€-2]* #,##0.00_-;_-[$€-2]* &quot;-&quot;??_-"/>
    <numFmt numFmtId="212" formatCode="\£\ #,##0_);[Red]\(\£\ #,##0\)"/>
    <numFmt numFmtId="213" formatCode="\¥\ #,##0_);[Red]\(\¥\ #,##0\)"/>
    <numFmt numFmtId="214" formatCode="_(&quot;$&quot;#,##0.0_);\(&quot;$&quot;#,##0.0\);_(&quot;-&quot;_)"/>
    <numFmt numFmtId="215" formatCode="_)d\-mmm\-yy_);_)d\-mmm\-yy_);_)&quot;-&quot;_)"/>
    <numFmt numFmtId="216" formatCode="_(#,##0.0\x_);\(#,##0.0\x\);_(&quot;-&quot;_)"/>
    <numFmt numFmtId="217" formatCode="_(#,##0.0%_);\(#,##0.0%\);_(&quot;-&quot;_)"/>
    <numFmt numFmtId="218" formatCode="_(###0_);\(###0\);_(&quot;-&quot;_)"/>
    <numFmt numFmtId="219" formatCode="d/m/yy"/>
    <numFmt numFmtId="220" formatCode="_)d/m/yy_)"/>
    <numFmt numFmtId="221" formatCode="\•\ \ @"/>
    <numFmt numFmtId="222" formatCode="00"/>
    <numFmt numFmtId="223" formatCode="mmm"/>
    <numFmt numFmtId="224" formatCode="mmm\.\ \'yy"/>
    <numFmt numFmtId="225" formatCode="0.0%_);\(0.0%\);0.0%_);@_%_)"/>
    <numFmt numFmtId="226" formatCode="_-* #,##0_)_-;* \(#,##0\)_-;_-* &quot;-&quot;??_-;_-@_-"/>
    <numFmt numFmtId="227" formatCode="&quot;CHF&quot;\ #,##0.00;&quot;CHF&quot;\ \-#,##0.00"/>
    <numFmt numFmtId="228" formatCode="&quot;error&quot;;&quot;error&quot;;&quot;ok&quot;"/>
    <numFmt numFmtId="229" formatCode="&quot;$&quot;#,\);\(&quot;$&quot;#,##0\)"/>
    <numFmt numFmtId="230" formatCode="_(* #,###_);_(* \(#,###\);_(* &quot;-&quot;??_);_(@_)"/>
    <numFmt numFmtId="231" formatCode="_(* #,###,_);_(* \(#,###,\);_(* \-??_);_(@_)"/>
    <numFmt numFmtId="232" formatCode="_(* &quot;$&quot;#,###_);_(* &quot;$&quot;\(#,###\);_(* &quot;-&quot;??_);_(@_)"/>
    <numFmt numFmtId="233" formatCode="00000"/>
    <numFmt numFmtId="234" formatCode="#,##0.00_%_);\(#,##0.00\)_%;#,##0.00_%_);@_%_)"/>
    <numFmt numFmtId="235" formatCode="&quot;$&quot;#,##0_%_);\(&quot;$&quot;#,##0\)_%;&quot;$&quot;#,##0_%_);@_%_)"/>
    <numFmt numFmtId="236" formatCode="&quot;C$&quot;_-0.00"/>
    <numFmt numFmtId="237" formatCode="&quot;€&quot;_-0.00"/>
    <numFmt numFmtId="238" formatCode="&quot;P&quot;_-0.0"/>
    <numFmt numFmtId="239" formatCode="&quot;£&quot;_-0.00"/>
    <numFmt numFmtId="240" formatCode="&quot;US&quot;&quot;$&quot;_-0.00"/>
    <numFmt numFmtId="241" formatCode="\ \ _•\–\ \ \ \ @"/>
    <numFmt numFmtId="242" formatCode="m/d/yy_%_)"/>
    <numFmt numFmtId="243" formatCode="_-* #,##0\ _D_M_-;\-* #,##0\ _D_M_-;_-* &quot;-&quot;\ _D_M_-;_-@_-"/>
    <numFmt numFmtId="244" formatCode="_-* #,##0.00\ _D_M_-;\-* #,##0.00\ _D_M_-;_-* &quot;-&quot;??\ _D_M_-;_-@_-"/>
    <numFmt numFmtId="245" formatCode="0_%_);\(0\)_%;0_%_);@_%_)"/>
    <numFmt numFmtId="246" formatCode="0.00_);[Red]\(0.00\)"/>
    <numFmt numFmtId="247" formatCode="0.0000_);[Red]\(0.0000\)"/>
    <numFmt numFmtId="248" formatCode="_(* #,##0_);_(* \(#,##0\);_(* &quot;-&quot;??_);_(@_)"/>
    <numFmt numFmtId="249" formatCode="_(\ #,##0.0_);_(\ \(#,##0.0\);_(* &quot;-&quot;??_);_(@_)"/>
    <numFmt numFmtId="250" formatCode="0.0\%_);\(0.0\%\);0.0\%_);@_%_)"/>
    <numFmt numFmtId="251" formatCode="_-* #,##0.0_-;* \-#,##0.0_-;_-\ * &quot;-&quot;??_-;_-@_-"/>
    <numFmt numFmtId="252" formatCode="General_)"/>
    <numFmt numFmtId="253" formatCode="\ ;\ ;"/>
    <numFmt numFmtId="254" formatCode="0.00%;_*\(0.00\)%"/>
    <numFmt numFmtId="255" formatCode="#,##0,;[Red]\(#,##0,\)"/>
    <numFmt numFmtId="256" formatCode="_(#,##0_);\(#,##0\);_(&quot;-&quot;_)"/>
    <numFmt numFmtId="257" formatCode="_(#,##0_);\(#,##0\);_(#,##0_)"/>
    <numFmt numFmtId="258" formatCode="?.?,,_);[Red]\(?.?,,\)"/>
    <numFmt numFmtId="259" formatCode="_(&quot;R$&quot;* #,##0_);_(&quot;R$&quot;* \(#,##0\);_(&quot;R$&quot;* &quot;-&quot;_);_(@_)"/>
    <numFmt numFmtId="260" formatCode="_(&quot;R$&quot;* #,##0.00_);_(&quot;R$&quot;* \(#,##0.00\);_(&quot;R$&quot;* &quot;-&quot;??_);_(@_)"/>
    <numFmt numFmtId="261" formatCode="_*\ #,##0.00_x"/>
    <numFmt numFmtId="262" formatCode="_-* #,##0.0_-;\(\ #,##0.0\)"/>
    <numFmt numFmtId="263" formatCode="_(* #,##0.00000_);_(* \(#,##0.00000\);_(* &quot;-&quot;??_);_(@_)"/>
    <numFmt numFmtId="264" formatCode="&quot;$&quot;#.##"/>
    <numFmt numFmtId="265" formatCode="0.00_)"/>
    <numFmt numFmtId="266" formatCode="[&lt;1000]\ 0_);[&gt;1000]\ dd\-mmm\-yy;General"/>
    <numFmt numFmtId="267" formatCode="#,##0.0;\(#,##0.0\)"/>
    <numFmt numFmtId="268" formatCode="#,##0_*;\(#,##0\);0_*;@_)"/>
    <numFmt numFmtId="269" formatCode="#,##0_ ;\(#,##0\)_-;&quot;-&quot;"/>
    <numFmt numFmtId="270" formatCode="#,##0;[Red]\ \ \(#,##0\)"/>
    <numFmt numFmtId="271" formatCode="#,##0;\(#,##0\)"/>
    <numFmt numFmtId="272" formatCode=";;;&quot;[&quot;@&quot;]&quot;"/>
    <numFmt numFmtId="273" formatCode="_-* #,##0\ &quot;DM&quot;_-;\-* #,##0\ &quot;DM&quot;_-;_-* &quot;-&quot;\ &quot;DM&quot;_-;_-@_-"/>
    <numFmt numFmtId="274" formatCode="_-* #,##0.00\ &quot;DM&quot;_-;\-* #,##0.00\ &quot;DM&quot;_-;_-* &quot;-&quot;??\ &quot;DM&quot;_-;_-@_-"/>
    <numFmt numFmtId="275" formatCode="#&quot; Yr &quot;##&quot; Mth&quot;"/>
    <numFmt numFmtId="276" formatCode="mmm\ yyyy"/>
    <numFmt numFmtId="277" formatCode="&quot;ý&quot;;&quot;ý&quot;;&quot;þ&quot;"/>
    <numFmt numFmtId="278" formatCode="#,##0."/>
    <numFmt numFmtId="279" formatCode="_(#,##0_);[Red]\(#,##0\);_(\-_);"/>
    <numFmt numFmtId="280" formatCode="&quot;Row &quot;###0"/>
    <numFmt numFmtId="281" formatCode="#,##0_);\(#,##0\);&quot; - &quot;_);@_)"/>
    <numFmt numFmtId="282" formatCode="_(\ #,##0.0%_);_(\ \(#,##0.0%\);_(\ &quot; - &quot;\%_);_(@_)"/>
    <numFmt numFmtId="283" formatCode="\ #,##0.00_);\(#,##0.00\);&quot; - &quot;_);@_)"/>
    <numFmt numFmtId="284" formatCode="0;\(0\);&quot;-&quot;"/>
    <numFmt numFmtId="285" formatCode="#,##0;\-#,##0;\-"/>
    <numFmt numFmtId="286" formatCode="_(* #,##0.0_);_(* \(#,##0.00\);_(* &quot;-&quot;??_);_(@_)"/>
    <numFmt numFmtId="287" formatCode="&quot;fl&quot;#,##0_);\(&quot;fl&quot;#,##0\)"/>
    <numFmt numFmtId="288" formatCode="&quot;fl&quot;#,##0_);[Red]\(&quot;fl&quot;#,##0\)"/>
    <numFmt numFmtId="289" formatCode="&quot;fl&quot;#,##0.00_);\(&quot;fl&quot;#,##0.00\)"/>
    <numFmt numFmtId="290" formatCode="&quot;$&quot;#,##0.0;[Red]\(&quot;$&quot;#,##0.0\)"/>
    <numFmt numFmtId="291" formatCode="_(0.0%_);\(0.0%\);&quot;-&quot;"/>
    <numFmt numFmtId="292" formatCode="_(\ #,##0_);\(#,##0\);_(\ &quot;-&quot;_);"/>
    <numFmt numFmtId="293" formatCode="_(\ #,##0.0_);\(#,##0.0\);_(\ &quot;-&quot;_);"/>
    <numFmt numFmtId="294" formatCode="dd\ mmm\ yy"/>
    <numFmt numFmtId="295" formatCode="_(\ #,##0_);\(#,##0\);&quot;-&quot;;@"/>
    <numFmt numFmtId="296" formatCode="hh:mm:ss\ AM/PM_)"/>
    <numFmt numFmtId="297" formatCode="_-* #,##0.00_-;\(#,##0.00\);_-* &quot;-&quot;_-"/>
    <numFmt numFmtId="298" formatCode="&quot;$&quot;#,##0.00;\(&quot;$&quot;#,##0.00\)"/>
    <numFmt numFmtId="299" formatCode="d\ mmm\ yy"/>
    <numFmt numFmtId="300" formatCode="dd\ mmm\ yyyy"/>
    <numFmt numFmtId="301" formatCode="mmm\ yy"/>
    <numFmt numFmtId="302" formatCode="&quot;$&quot;#,##0.00000"/>
    <numFmt numFmtId="303" formatCode="_-* #,##0_-;\(#,##0\);_-* &quot;-&quot;_-"/>
    <numFmt numFmtId="304" formatCode="0."/>
    <numFmt numFmtId="305" formatCode=";;;"/>
    <numFmt numFmtId="306" formatCode="#,##0.000_);\(#,##0.000\);\-_)"/>
    <numFmt numFmtId="307" formatCode="#,##0.00_ ;[Red]\ \(#,##0.00\);\ \-_)"/>
    <numFmt numFmtId="308" formatCode="#,##0_ ;[Red]\ \(#,##0\);\ \-_)"/>
    <numFmt numFmtId="309" formatCode="0.00%;\(0.00%\)"/>
    <numFmt numFmtId="310" formatCode="0.0_)%\(0.0%\);\-"/>
    <numFmt numFmtId="311" formatCode="d\-mmm\-yyyy"/>
    <numFmt numFmtId="312" formatCode="0.00%_);\(0.00%\);\-_%_)"/>
    <numFmt numFmtId="313" formatCode="#.0#\x"/>
    <numFmt numFmtId="314" formatCode="\60\4\7\:"/>
    <numFmt numFmtId="315" formatCode="#.0\x"/>
    <numFmt numFmtId="316" formatCode="000"/>
    <numFmt numFmtId="317" formatCode="\C\R000"/>
    <numFmt numFmtId="318" formatCode="#,##0_);\(#,##0\);\-_)"/>
    <numFmt numFmtId="319" formatCode="&quot;fl&quot;#,##0.00_);[Red]\(&quot;fl&quot;#,##0.00\)"/>
    <numFmt numFmtId="320" formatCode="_(&quot;fl&quot;* #,##0_);_(&quot;fl&quot;* \(#,##0\);_(&quot;fl&quot;* &quot;-&quot;_);_(@_)"/>
    <numFmt numFmtId="321" formatCode="0.0\x_);&quot;nmf&quot;_)"/>
    <numFmt numFmtId="322" formatCode="&quot;Yes&quot;;[Red]&quot;Error&quot;;&quot;No&quot;;[Red]&quot;Error&quot;"/>
    <numFmt numFmtId="323" formatCode="0_)"/>
    <numFmt numFmtId="324" formatCode="dd/mm/yy;@"/>
  </numFmts>
  <fonts count="321">
    <font>
      <sz val="11"/>
      <color theme="1"/>
      <name val="Arial Nova"/>
      <family val="2"/>
      <scheme val="minor"/>
    </font>
    <font>
      <b/>
      <sz val="11"/>
      <color theme="1"/>
      <name val="Arial Nova"/>
      <family val="2"/>
      <scheme val="minor"/>
    </font>
    <font>
      <sz val="11"/>
      <color theme="1"/>
      <name val="Arial Nova"/>
      <family val="2"/>
      <scheme val="minor"/>
    </font>
    <font>
      <sz val="11"/>
      <name val="Arial"/>
      <family val="2"/>
    </font>
    <font>
      <sz val="10"/>
      <name val="Arial"/>
      <family val="2"/>
    </font>
    <font>
      <b/>
      <sz val="11"/>
      <color theme="3"/>
      <name val="Arial Nova"/>
      <family val="2"/>
      <scheme val="minor"/>
    </font>
    <font>
      <sz val="11"/>
      <color theme="1"/>
      <name val="Calibri"/>
      <family val="2"/>
    </font>
    <font>
      <sz val="18"/>
      <color theme="3"/>
      <name val="Rockwell Nova"/>
      <family val="2"/>
      <scheme val="major"/>
    </font>
    <font>
      <b/>
      <sz val="11"/>
      <name val="Arial Nova"/>
      <family val="2"/>
      <scheme val="minor"/>
    </font>
    <font>
      <b/>
      <sz val="8"/>
      <color rgb="FF000000"/>
      <name val="Tahoma"/>
      <family val="2"/>
    </font>
    <font>
      <sz val="10"/>
      <color theme="1"/>
      <name val="Arial Nova"/>
      <family val="2"/>
      <scheme val="minor"/>
    </font>
    <font>
      <b/>
      <sz val="10"/>
      <color theme="1"/>
      <name val="Arial Nova"/>
      <family val="2"/>
      <scheme val="minor"/>
    </font>
    <font>
      <b/>
      <sz val="4"/>
      <color theme="1"/>
      <name val="Arial Nova"/>
      <family val="2"/>
      <scheme val="minor"/>
    </font>
    <font>
      <b/>
      <sz val="4"/>
      <color rgb="FF333333"/>
      <name val="Arial Nova"/>
      <family val="2"/>
      <scheme val="minor"/>
    </font>
    <font>
      <b/>
      <sz val="4"/>
      <color rgb="FF000000"/>
      <name val="Arial Nova"/>
      <family val="2"/>
      <scheme val="minor"/>
    </font>
    <font>
      <b/>
      <sz val="4"/>
      <color rgb="FF888888"/>
      <name val="Arial Nova"/>
      <family val="2"/>
      <scheme val="minor"/>
    </font>
    <font>
      <sz val="12"/>
      <color theme="1"/>
      <name val="Arial Nova"/>
      <family val="2"/>
      <scheme val="minor"/>
    </font>
    <font>
      <sz val="8"/>
      <name val="Arial Nova"/>
      <family val="2"/>
      <scheme val="minor"/>
    </font>
    <font>
      <b/>
      <sz val="15"/>
      <color theme="3"/>
      <name val="Arial Nova"/>
      <family val="2"/>
      <scheme val="minor"/>
    </font>
    <font>
      <b/>
      <sz val="11"/>
      <color indexed="9"/>
      <name val="Calibri"/>
      <family val="2"/>
    </font>
    <font>
      <u/>
      <sz val="10"/>
      <color indexed="12"/>
      <name val="Geneva"/>
    </font>
    <font>
      <sz val="9"/>
      <name val="Arial"/>
      <family val="2"/>
    </font>
    <font>
      <sz val="11"/>
      <color indexed="8"/>
      <name val="Calibri"/>
      <family val="2"/>
    </font>
    <font>
      <b/>
      <sz val="9"/>
      <color indexed="8"/>
      <name val="Arial"/>
      <family val="2"/>
    </font>
    <font>
      <sz val="9"/>
      <color indexed="8"/>
      <name val="Arial"/>
      <family val="2"/>
    </font>
    <font>
      <i/>
      <sz val="11"/>
      <color theme="1"/>
      <name val="Arial Nova"/>
      <family val="2"/>
      <scheme val="minor"/>
    </font>
    <font>
      <b/>
      <sz val="9"/>
      <name val="Arial"/>
      <family val="2"/>
    </font>
    <font>
      <u/>
      <sz val="9"/>
      <color indexed="12"/>
      <name val="Arial"/>
      <family val="2"/>
    </font>
    <font>
      <b/>
      <sz val="9"/>
      <color rgb="FF00B050"/>
      <name val="Arial"/>
      <family val="2"/>
    </font>
    <font>
      <b/>
      <sz val="9"/>
      <color rgb="FFFF0000"/>
      <name val="Arial"/>
      <family val="2"/>
    </font>
    <font>
      <sz val="9"/>
      <color theme="1"/>
      <name val="Arial"/>
      <family val="2"/>
    </font>
    <font>
      <sz val="11"/>
      <color rgb="FF000000"/>
      <name val="Calibri"/>
      <family val="2"/>
    </font>
    <font>
      <b/>
      <sz val="11"/>
      <color rgb="FF000000"/>
      <name val="Calibri"/>
      <family val="2"/>
    </font>
    <font>
      <i/>
      <sz val="11"/>
      <color rgb="FF000000"/>
      <name val="Calibri"/>
      <family val="2"/>
    </font>
    <font>
      <i/>
      <sz val="11"/>
      <color rgb="FF7F7F7F"/>
      <name val="Arial Nova"/>
      <family val="2"/>
      <scheme val="minor"/>
    </font>
    <font>
      <sz val="10"/>
      <color rgb="FF000000"/>
      <name val="Calibri"/>
      <family val="2"/>
    </font>
    <font>
      <b/>
      <sz val="13"/>
      <color theme="3"/>
      <name val="Arial Nova"/>
      <family val="2"/>
      <scheme val="minor"/>
    </font>
    <font>
      <sz val="8"/>
      <name val="Arial"/>
      <family val="2"/>
    </font>
    <font>
      <sz val="8"/>
      <color theme="4"/>
      <name val="Arial"/>
      <family val="2"/>
    </font>
    <font>
      <sz val="8"/>
      <color indexed="54"/>
      <name val="Arial"/>
      <family val="2"/>
    </font>
    <font>
      <b/>
      <sz val="10"/>
      <name val="Arial"/>
      <family val="2"/>
    </font>
    <font>
      <b/>
      <sz val="12"/>
      <name val="Arial"/>
      <family val="2"/>
    </font>
    <font>
      <b/>
      <sz val="8"/>
      <name val="Arial"/>
      <family val="2"/>
    </font>
    <font>
      <b/>
      <sz val="16"/>
      <color indexed="9"/>
      <name val="Arial"/>
      <family val="2"/>
    </font>
    <font>
      <b/>
      <sz val="12"/>
      <color theme="0"/>
      <name val="Arial Nova"/>
      <family val="2"/>
      <scheme val="minor"/>
    </font>
    <font>
      <sz val="11"/>
      <color theme="1"/>
      <name val="Arial"/>
      <family val="2"/>
    </font>
    <font>
      <sz val="10"/>
      <name val="Helv"/>
      <charset val="204"/>
    </font>
    <font>
      <sz val="14"/>
      <name val="System"/>
      <family val="2"/>
    </font>
    <font>
      <sz val="11"/>
      <color indexed="9"/>
      <name val="Calibri"/>
      <family val="2"/>
    </font>
    <font>
      <sz val="9"/>
      <name val="AGaramond"/>
    </font>
    <font>
      <sz val="10"/>
      <name val="Times New Roman"/>
      <family val="1"/>
    </font>
    <font>
      <sz val="11"/>
      <color indexed="20"/>
      <name val="Calibri"/>
      <family val="2"/>
    </font>
    <font>
      <sz val="10"/>
      <name val="Helvetica"/>
      <family val="2"/>
    </font>
    <font>
      <sz val="10"/>
      <color indexed="12"/>
      <name val="Helvetica"/>
      <family val="2"/>
    </font>
    <font>
      <b/>
      <sz val="11"/>
      <color indexed="52"/>
      <name val="Calibri"/>
      <family val="2"/>
    </font>
    <font>
      <sz val="10"/>
      <name val="MS Sans Serif"/>
      <family val="2"/>
    </font>
    <font>
      <sz val="10"/>
      <name val="Verdana"/>
      <family val="2"/>
    </font>
    <font>
      <sz val="10"/>
      <color indexed="24"/>
      <name val="Arial"/>
      <family val="2"/>
    </font>
    <font>
      <b/>
      <sz val="11"/>
      <color indexed="8"/>
      <name val="Calibri"/>
      <family val="2"/>
    </font>
    <font>
      <i/>
      <sz val="11"/>
      <color indexed="23"/>
      <name val="Calibri"/>
      <family val="2"/>
    </font>
    <font>
      <sz val="9"/>
      <name val="GillSans"/>
      <family val="2"/>
    </font>
    <font>
      <sz val="9"/>
      <name val="GillSans Light"/>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b/>
      <sz val="8.5"/>
      <name val="Univers 65"/>
      <family val="2"/>
    </font>
    <font>
      <u/>
      <sz val="11"/>
      <color indexed="12"/>
      <name val="Calibri"/>
      <family val="2"/>
    </font>
    <font>
      <b/>
      <sz val="10"/>
      <color indexed="56"/>
      <name val="Wingdings"/>
      <charset val="2"/>
    </font>
    <font>
      <b/>
      <u/>
      <sz val="8"/>
      <color indexed="56"/>
      <name val="Arial"/>
      <family val="2"/>
    </font>
    <font>
      <sz val="11"/>
      <color indexed="62"/>
      <name val="Calibri"/>
      <family val="2"/>
    </font>
    <font>
      <sz val="11"/>
      <color indexed="52"/>
      <name val="Calibri"/>
      <family val="2"/>
    </font>
    <font>
      <sz val="12"/>
      <color indexed="14"/>
      <name val="Arial"/>
      <family val="2"/>
    </font>
    <font>
      <sz val="11"/>
      <color indexed="60"/>
      <name val="Calibri"/>
      <family val="2"/>
    </font>
    <font>
      <sz val="8"/>
      <name val="Palatino"/>
      <family val="1"/>
    </font>
    <font>
      <b/>
      <sz val="11"/>
      <color indexed="63"/>
      <name val="Calibri"/>
      <family val="2"/>
    </font>
    <font>
      <sz val="8.5"/>
      <name val="Univers 55"/>
      <family val="2"/>
    </font>
    <font>
      <sz val="10"/>
      <color indexed="18"/>
      <name val="Times New Roman"/>
      <family val="1"/>
    </font>
    <font>
      <b/>
      <sz val="10"/>
      <name val="MS Sans Serif"/>
      <family val="2"/>
    </font>
    <font>
      <b/>
      <sz val="18"/>
      <color indexed="62"/>
      <name val="Cambria"/>
      <family val="2"/>
    </font>
    <font>
      <b/>
      <sz val="14"/>
      <name val="Arial"/>
      <family val="2"/>
    </font>
    <font>
      <sz val="9"/>
      <color indexed="21"/>
      <name val="Helvetica-Black"/>
    </font>
    <font>
      <b/>
      <sz val="9"/>
      <name val="Palatino"/>
      <family val="1"/>
    </font>
    <font>
      <sz val="7"/>
      <name val="Palatino"/>
      <family val="1"/>
    </font>
    <font>
      <sz val="12"/>
      <name val="Palatino"/>
      <family val="1"/>
    </font>
    <font>
      <sz val="11"/>
      <name val="Helvetica-Black"/>
    </font>
    <font>
      <sz val="12"/>
      <color indexed="12"/>
      <name val="Arial MT"/>
    </font>
    <font>
      <b/>
      <u/>
      <sz val="9.5"/>
      <color indexed="56"/>
      <name val="Arial"/>
      <family val="2"/>
    </font>
    <font>
      <u/>
      <sz val="8"/>
      <color indexed="56"/>
      <name val="Arial"/>
      <family val="2"/>
    </font>
    <font>
      <sz val="11"/>
      <color indexed="10"/>
      <name val="Calibri"/>
      <family val="2"/>
    </font>
    <font>
      <u/>
      <sz val="10"/>
      <color indexed="12"/>
      <name val="Arial"/>
      <family val="2"/>
    </font>
    <font>
      <u/>
      <sz val="11"/>
      <color theme="10"/>
      <name val="Arial Nova"/>
      <family val="2"/>
      <scheme val="minor"/>
    </font>
    <font>
      <b/>
      <sz val="9"/>
      <color indexed="9"/>
      <name val="Arial"/>
      <family val="2"/>
    </font>
    <font>
      <u/>
      <sz val="10"/>
      <color theme="10"/>
      <name val="Arial"/>
      <family val="2"/>
    </font>
    <font>
      <b/>
      <sz val="11"/>
      <color theme="1"/>
      <name val="Calibri"/>
      <family val="2"/>
    </font>
    <font>
      <b/>
      <sz val="11"/>
      <color rgb="FFFA7D00"/>
      <name val="Arial Nova"/>
      <family val="2"/>
      <scheme val="minor"/>
    </font>
    <font>
      <sz val="11"/>
      <color rgb="FFFF0000"/>
      <name val="Arial Nova"/>
      <family val="2"/>
      <scheme val="minor"/>
    </font>
    <font>
      <b/>
      <sz val="11"/>
      <color rgb="FFFFFFFF"/>
      <name val="Rockwell Nova"/>
      <family val="2"/>
    </font>
    <font>
      <sz val="10"/>
      <name val="Arial Nova"/>
      <family val="2"/>
    </font>
    <font>
      <sz val="10"/>
      <name val="Arial Nova"/>
      <family val="2"/>
      <scheme val="minor"/>
    </font>
    <font>
      <sz val="10"/>
      <color theme="7" tint="-0.499984740745262"/>
      <name val="Arial Nova"/>
      <family val="2"/>
      <scheme val="minor"/>
    </font>
    <font>
      <sz val="10"/>
      <color rgb="FF92760A"/>
      <name val="Arial Nova"/>
      <family val="2"/>
    </font>
    <font>
      <sz val="10"/>
      <color theme="4" tint="-0.499984740745262"/>
      <name val="Arial Nova"/>
      <family val="2"/>
      <scheme val="minor"/>
    </font>
    <font>
      <sz val="10"/>
      <color rgb="FF00133C"/>
      <name val="Arial Nova"/>
      <family val="2"/>
    </font>
    <font>
      <b/>
      <sz val="10"/>
      <color theme="6"/>
      <name val="Arial Nova"/>
      <family val="2"/>
      <scheme val="minor"/>
    </font>
    <font>
      <b/>
      <sz val="10"/>
      <color rgb="FFF7403A"/>
      <name val="Arial Nova"/>
      <family val="2"/>
    </font>
    <font>
      <u/>
      <sz val="10"/>
      <color rgb="FF0070C0"/>
      <name val="Arial Nova"/>
      <family val="2"/>
      <scheme val="minor"/>
    </font>
    <font>
      <u/>
      <sz val="10"/>
      <color rgb="FF0070C0"/>
      <name val="Arial Nova"/>
      <family val="2"/>
    </font>
    <font>
      <sz val="8"/>
      <color rgb="FF808080"/>
      <name val="Arial Nova"/>
      <family val="2"/>
    </font>
    <font>
      <sz val="11"/>
      <name val="Calibri"/>
      <family val="2"/>
    </font>
    <font>
      <sz val="11"/>
      <name val="Arial Nova"/>
      <family val="2"/>
      <scheme val="minor"/>
    </font>
    <font>
      <i/>
      <sz val="10"/>
      <name val="Arial"/>
      <family val="2"/>
    </font>
    <font>
      <sz val="10"/>
      <color indexed="9"/>
      <name val="Arial"/>
      <family val="2"/>
    </font>
    <font>
      <sz val="10"/>
      <name val="Arial Narrow"/>
      <family val="2"/>
    </font>
    <font>
      <sz val="10"/>
      <name val="Helvetica"/>
    </font>
    <font>
      <sz val="10"/>
      <color indexed="12"/>
      <name val="Helvetica"/>
    </font>
    <font>
      <b/>
      <sz val="9"/>
      <color indexed="24"/>
      <name val="Arial"/>
      <family val="2"/>
    </font>
    <font>
      <b/>
      <sz val="11"/>
      <color indexed="24"/>
      <name val="Arial"/>
      <family val="2"/>
    </font>
    <font>
      <sz val="9"/>
      <name val="GillSans"/>
    </font>
    <font>
      <sz val="9"/>
      <name val="GillSans Light"/>
    </font>
    <font>
      <b/>
      <i/>
      <sz val="8"/>
      <name val="Helv"/>
    </font>
    <font>
      <b/>
      <sz val="12"/>
      <color theme="0"/>
      <name val="Arial"/>
      <family val="2"/>
    </font>
    <font>
      <u/>
      <sz val="10"/>
      <name val="Arial"/>
      <family val="2"/>
    </font>
    <font>
      <sz val="10"/>
      <name val="Helv"/>
    </font>
    <font>
      <sz val="12"/>
      <name val="Times New Roman"/>
      <family val="1"/>
    </font>
    <font>
      <sz val="11"/>
      <name val="‚l‚r ‚oƒSƒVƒbƒN"/>
      <family val="3"/>
      <charset val="128"/>
    </font>
    <font>
      <sz val="10"/>
      <name val="Geneva"/>
      <family val="2"/>
    </font>
    <font>
      <sz val="13"/>
      <name val="Times New Roman"/>
      <family val="1"/>
    </font>
    <font>
      <sz val="11"/>
      <color theme="0"/>
      <name val="Arial Nova"/>
      <family val="2"/>
      <charset val="238"/>
      <scheme val="minor"/>
    </font>
    <font>
      <b/>
      <sz val="11"/>
      <name val="Arial"/>
      <family val="2"/>
    </font>
    <font>
      <sz val="10"/>
      <color indexed="12"/>
      <name val="Arial Narrow"/>
      <family val="2"/>
    </font>
    <font>
      <b/>
      <sz val="12"/>
      <color indexed="32"/>
      <name val="Tahoma"/>
      <family val="2"/>
    </font>
    <font>
      <b/>
      <sz val="12"/>
      <name val="Times New Roman"/>
      <family val="1"/>
    </font>
    <font>
      <sz val="8"/>
      <name val="Times New Roman"/>
      <family val="1"/>
    </font>
    <font>
      <b/>
      <sz val="14"/>
      <color indexed="17"/>
      <name val="Arial"/>
      <family val="2"/>
    </font>
    <font>
      <sz val="10"/>
      <color indexed="8"/>
      <name val="Arial"/>
      <family val="2"/>
    </font>
    <font>
      <sz val="8"/>
      <color indexed="8"/>
      <name val="Arial Narrow"/>
      <family val="2"/>
    </font>
    <font>
      <b/>
      <sz val="9"/>
      <color indexed="12"/>
      <name val="Tahoma"/>
      <family val="2"/>
    </font>
    <font>
      <sz val="8"/>
      <name val="Tahoma"/>
      <family val="2"/>
    </font>
    <font>
      <b/>
      <sz val="10"/>
      <color indexed="17"/>
      <name val="Arial Narrow"/>
      <family val="2"/>
    </font>
    <font>
      <sz val="12"/>
      <color indexed="8"/>
      <name val="Times New Roman"/>
      <family val="1"/>
    </font>
    <font>
      <sz val="10"/>
      <name val="Palatino"/>
      <family val="1"/>
    </font>
    <font>
      <sz val="8"/>
      <color indexed="8"/>
      <name val="Arial"/>
      <family val="2"/>
    </font>
    <font>
      <sz val="8"/>
      <color indexed="8"/>
      <name val="Tahoma"/>
      <family val="2"/>
    </font>
    <font>
      <sz val="10"/>
      <name val="MS Serif"/>
      <family val="1"/>
    </font>
    <font>
      <sz val="14"/>
      <name val="Palatino"/>
      <family val="1"/>
    </font>
    <font>
      <sz val="16"/>
      <name val="Palatino"/>
      <family val="1"/>
    </font>
    <font>
      <sz val="32"/>
      <name val="Helvetica-Black"/>
    </font>
    <font>
      <sz val="12"/>
      <name val="Tms Rmn"/>
    </font>
    <font>
      <sz val="11"/>
      <name val="Book Antiqua"/>
      <family val="1"/>
    </font>
    <font>
      <sz val="11"/>
      <color indexed="12"/>
      <name val="Book Antiqua"/>
      <family val="1"/>
    </font>
    <font>
      <sz val="10"/>
      <color indexed="12"/>
      <name val="Arial"/>
      <family val="2"/>
    </font>
    <font>
      <sz val="10"/>
      <color indexed="50"/>
      <name val="Arial"/>
      <family val="2"/>
    </font>
    <font>
      <sz val="10"/>
      <color indexed="23"/>
      <name val="Arial"/>
      <family val="2"/>
    </font>
    <font>
      <b/>
      <sz val="8"/>
      <name val="Arial"/>
      <family val="2"/>
      <charset val="238"/>
    </font>
    <font>
      <sz val="10"/>
      <color indexed="16"/>
      <name val="MS Serif"/>
      <family val="1"/>
    </font>
    <font>
      <sz val="6"/>
      <color indexed="23"/>
      <name val="Helvetica-Black"/>
    </font>
    <font>
      <sz val="9.5"/>
      <color indexed="23"/>
      <name val="Helvetica-Black"/>
    </font>
    <font>
      <sz val="8"/>
      <color indexed="12"/>
      <name val="Arial Narrow"/>
      <family val="2"/>
    </font>
    <font>
      <sz val="6"/>
      <color indexed="16"/>
      <name val="Palatino"/>
      <family val="1"/>
    </font>
    <font>
      <b/>
      <sz val="20"/>
      <name val="Tahoma"/>
      <family val="2"/>
    </font>
    <font>
      <b/>
      <sz val="10"/>
      <name val="Tahoma"/>
      <family val="2"/>
    </font>
    <font>
      <sz val="6"/>
      <name val="Palatino"/>
      <family val="1"/>
    </font>
    <font>
      <b/>
      <sz val="10"/>
      <name val="Times"/>
      <family val="1"/>
    </font>
    <font>
      <b/>
      <sz val="15"/>
      <color indexed="31"/>
      <name val="Calibri"/>
      <family val="2"/>
    </font>
    <font>
      <b/>
      <sz val="10"/>
      <color indexed="60"/>
      <name val="Arial"/>
      <family val="2"/>
    </font>
    <font>
      <b/>
      <sz val="15"/>
      <color indexed="56"/>
      <name val="Calibri"/>
      <family val="2"/>
    </font>
    <font>
      <sz val="10"/>
      <name val="Helvetica-Black"/>
    </font>
    <font>
      <b/>
      <sz val="10"/>
      <name val="Rockwell Nova"/>
      <family val="2"/>
      <scheme val="major"/>
    </font>
    <font>
      <sz val="28"/>
      <name val="Helvetica-Black"/>
    </font>
    <font>
      <b/>
      <sz val="13"/>
      <color indexed="31"/>
      <name val="Calibri"/>
      <family val="2"/>
    </font>
    <font>
      <b/>
      <sz val="9"/>
      <name val="Rockwell Nova"/>
      <family val="2"/>
      <scheme val="major"/>
    </font>
    <font>
      <sz val="18"/>
      <name val="Palatino"/>
      <family val="1"/>
    </font>
    <font>
      <b/>
      <sz val="11"/>
      <color indexed="31"/>
      <name val="Calibri"/>
      <family val="2"/>
    </font>
    <font>
      <b/>
      <sz val="11"/>
      <color indexed="56"/>
      <name val="Calibri"/>
      <family val="2"/>
    </font>
    <font>
      <b/>
      <sz val="8"/>
      <name val="Rockwell Nova"/>
      <family val="2"/>
      <scheme val="major"/>
    </font>
    <font>
      <i/>
      <sz val="14"/>
      <name val="Palatino"/>
      <family val="1"/>
    </font>
    <font>
      <sz val="8"/>
      <name val="Rockwell Nova"/>
      <family val="2"/>
      <scheme val="major"/>
    </font>
    <font>
      <sz val="10"/>
      <name val="ITCCentury BookCond"/>
    </font>
    <font>
      <b/>
      <sz val="10"/>
      <color indexed="8"/>
      <name val="Arial"/>
      <family val="2"/>
    </font>
    <font>
      <b/>
      <sz val="12"/>
      <color indexed="8"/>
      <name val="Arial"/>
      <family val="2"/>
    </font>
    <font>
      <b/>
      <sz val="9"/>
      <color indexed="16"/>
      <name val="SwitzerlandCondensed"/>
    </font>
    <font>
      <b/>
      <u/>
      <sz val="8"/>
      <color indexed="56"/>
      <name val="Arial Nova"/>
      <family val="2"/>
      <scheme val="minor"/>
    </font>
    <font>
      <b/>
      <u/>
      <sz val="10"/>
      <color indexed="56"/>
      <name val="Arial Nova"/>
      <family val="2"/>
      <scheme val="minor"/>
    </font>
    <font>
      <b/>
      <u/>
      <sz val="9"/>
      <color indexed="56"/>
      <name val="Arial Nova"/>
      <family val="2"/>
      <scheme val="minor"/>
    </font>
    <font>
      <sz val="8"/>
      <color indexed="56"/>
      <name val="Arial Nova"/>
      <family val="2"/>
      <scheme val="minor"/>
    </font>
    <font>
      <sz val="10"/>
      <color indexed="10"/>
      <name val="Arial"/>
      <family val="2"/>
    </font>
    <font>
      <sz val="9"/>
      <color indexed="10"/>
      <name val="Times New Roman"/>
      <family val="1"/>
    </font>
    <font>
      <b/>
      <sz val="8"/>
      <color indexed="23"/>
      <name val="Arial"/>
      <family val="2"/>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b/>
      <sz val="9"/>
      <color indexed="63"/>
      <name val="Tahoma"/>
      <family val="2"/>
    </font>
    <font>
      <sz val="10"/>
      <color indexed="14"/>
      <name val="Arial"/>
      <family val="2"/>
    </font>
    <font>
      <b/>
      <sz val="8"/>
      <name val="Arial Nova"/>
      <family val="2"/>
      <scheme val="minor"/>
    </font>
    <font>
      <sz val="8"/>
      <name val="Helv"/>
    </font>
    <font>
      <b/>
      <sz val="10"/>
      <name val="Arial"/>
      <family val="2"/>
      <charset val="238"/>
    </font>
    <font>
      <sz val="11"/>
      <name val="굴림체"/>
      <family val="3"/>
      <charset val="129"/>
    </font>
    <font>
      <b/>
      <sz val="12"/>
      <name val="Rockwell Nova"/>
      <family val="2"/>
      <scheme val="major"/>
    </font>
    <font>
      <sz val="10"/>
      <name val="Frutiger 45 Light"/>
    </font>
    <font>
      <sz val="9"/>
      <color indexed="12"/>
      <name val="Times New Roman"/>
      <family val="1"/>
    </font>
    <font>
      <sz val="12"/>
      <name val="Helv"/>
    </font>
    <font>
      <sz val="11"/>
      <color indexed="8"/>
      <name val="Calibri"/>
      <family val="2"/>
      <charset val="238"/>
    </font>
    <font>
      <sz val="8"/>
      <color theme="1"/>
      <name val="Tahoma"/>
      <family val="2"/>
    </font>
    <font>
      <sz val="8"/>
      <color theme="1"/>
      <name val="Arial"/>
      <family val="2"/>
    </font>
    <font>
      <sz val="10"/>
      <color indexed="57"/>
      <name val="Arial"/>
      <family val="2"/>
    </font>
    <font>
      <b/>
      <sz val="9"/>
      <name val="Arial"/>
      <family val="2"/>
      <charset val="238"/>
    </font>
    <font>
      <sz val="10"/>
      <color indexed="16"/>
      <name val="Helvetica-Black"/>
    </font>
    <font>
      <b/>
      <sz val="8"/>
      <name val="Calibri"/>
      <family val="2"/>
    </font>
    <font>
      <b/>
      <sz val="9"/>
      <color indexed="10"/>
      <name val="SwitzerlandCondensed"/>
    </font>
    <font>
      <sz val="10"/>
      <name val="Arial CE"/>
      <family val="2"/>
      <charset val="238"/>
    </font>
    <font>
      <sz val="8"/>
      <name val="Arial"/>
      <family val="2"/>
      <charset val="238"/>
    </font>
    <font>
      <b/>
      <sz val="10"/>
      <color indexed="8"/>
      <name val="Tahoma"/>
      <family val="2"/>
    </font>
    <font>
      <b/>
      <sz val="9"/>
      <color indexed="8"/>
      <name val="Tahoma"/>
      <family val="2"/>
    </font>
    <font>
      <b/>
      <sz val="9"/>
      <name val="Tahoma"/>
      <family val="2"/>
    </font>
    <font>
      <b/>
      <sz val="8"/>
      <color indexed="8"/>
      <name val="Tahoma"/>
      <family val="2"/>
    </font>
    <font>
      <b/>
      <sz val="8"/>
      <name val="Tahoma"/>
      <family val="2"/>
    </font>
    <font>
      <b/>
      <u/>
      <sz val="8"/>
      <color indexed="56"/>
      <name val="Tahoma"/>
      <family val="2"/>
    </font>
    <font>
      <b/>
      <sz val="12"/>
      <color indexed="8"/>
      <name val="Tahoma"/>
      <family val="2"/>
    </font>
    <font>
      <b/>
      <sz val="12"/>
      <name val="Tahoma"/>
      <family val="2"/>
    </font>
    <font>
      <b/>
      <sz val="13"/>
      <color indexed="8"/>
      <name val="Tahoma"/>
      <family val="2"/>
    </font>
    <font>
      <b/>
      <sz val="13"/>
      <name val="Rockwell Nova"/>
      <family val="2"/>
      <scheme val="major"/>
    </font>
    <font>
      <b/>
      <sz val="13"/>
      <name val="Tahoma"/>
      <family val="2"/>
    </font>
    <font>
      <b/>
      <sz val="14"/>
      <color indexed="8"/>
      <name val="Tahoma"/>
      <family val="2"/>
    </font>
    <font>
      <b/>
      <sz val="14"/>
      <name val="Rockwell Nova"/>
      <family val="2"/>
      <scheme val="major"/>
    </font>
    <font>
      <b/>
      <sz val="14"/>
      <name val="Tahoma"/>
      <family val="2"/>
    </font>
    <font>
      <b/>
      <u/>
      <sz val="10"/>
      <color indexed="56"/>
      <name val="Tahoma"/>
      <family val="2"/>
    </font>
    <font>
      <b/>
      <u/>
      <sz val="9"/>
      <color indexed="56"/>
      <name val="Tahoma"/>
      <family val="2"/>
    </font>
    <font>
      <sz val="8"/>
      <color indexed="56"/>
      <name val="Tahoma"/>
      <family val="2"/>
    </font>
    <font>
      <b/>
      <u/>
      <sz val="12"/>
      <name val="Helv"/>
    </font>
    <font>
      <b/>
      <i/>
      <sz val="8"/>
      <name val="Arial"/>
      <family val="2"/>
    </font>
    <font>
      <b/>
      <sz val="13"/>
      <name val="Arial"/>
      <family val="2"/>
    </font>
    <font>
      <sz val="9"/>
      <color indexed="48"/>
      <name val="Arial"/>
      <family val="2"/>
    </font>
    <font>
      <sz val="9"/>
      <color indexed="10"/>
      <name val="Arial"/>
      <family val="2"/>
    </font>
    <font>
      <sz val="9"/>
      <color indexed="20"/>
      <name val="Arial"/>
      <family val="2"/>
    </font>
    <font>
      <b/>
      <sz val="9"/>
      <color indexed="20"/>
      <name val="Arial"/>
      <family val="2"/>
    </font>
    <font>
      <i/>
      <sz val="8"/>
      <color indexed="23"/>
      <name val="Arial"/>
      <family val="2"/>
    </font>
    <font>
      <b/>
      <sz val="11"/>
      <color indexed="18"/>
      <name val="Arial"/>
      <family val="2"/>
    </font>
    <font>
      <b/>
      <sz val="11"/>
      <color indexed="9"/>
      <name val="Arial"/>
      <family val="2"/>
    </font>
    <font>
      <b/>
      <sz val="8"/>
      <color indexed="8"/>
      <name val="Helv"/>
    </font>
    <font>
      <sz val="9"/>
      <name val="Helvetica-Black"/>
    </font>
    <font>
      <b/>
      <sz val="18"/>
      <color indexed="31"/>
      <name val="Cambria"/>
      <family val="2"/>
    </font>
    <font>
      <b/>
      <sz val="18"/>
      <color indexed="56"/>
      <name val="Cambria"/>
      <family val="2"/>
    </font>
    <font>
      <u/>
      <sz val="7.5"/>
      <color indexed="56"/>
      <name val="Arial"/>
      <family val="2"/>
    </font>
    <font>
      <b/>
      <sz val="16"/>
      <name val="AT*Carleton"/>
      <charset val="2"/>
    </font>
    <font>
      <sz val="10"/>
      <color theme="1"/>
      <name val="Arial"/>
      <family val="2"/>
    </font>
    <font>
      <b/>
      <sz val="16"/>
      <color theme="8" tint="-0.499984740745262"/>
      <name val="Arial"/>
      <family val="2"/>
    </font>
    <font>
      <b/>
      <u/>
      <sz val="9"/>
      <color theme="1"/>
      <name val="Arial"/>
      <family val="2"/>
    </font>
    <font>
      <b/>
      <sz val="9"/>
      <color theme="0"/>
      <name val="Arial"/>
      <family val="2"/>
    </font>
    <font>
      <b/>
      <sz val="13"/>
      <color theme="8" tint="-0.499984740745262"/>
      <name val="Arial"/>
      <family val="2"/>
    </font>
    <font>
      <sz val="9"/>
      <color theme="8" tint="-0.499984740745262"/>
      <name val="Arial"/>
      <family val="2"/>
    </font>
    <font>
      <b/>
      <sz val="12"/>
      <color theme="1" tint="0.34998626667073579"/>
      <name val="Arial"/>
      <family val="2"/>
    </font>
    <font>
      <i/>
      <sz val="11"/>
      <color theme="0" tint="-0.34998626667073579"/>
      <name val="Arial Nova"/>
      <family val="2"/>
      <scheme val="minor"/>
    </font>
    <font>
      <sz val="9"/>
      <color theme="0" tint="-0.499984740745262"/>
      <name val="Arial"/>
      <family val="2"/>
    </font>
    <font>
      <b/>
      <sz val="9"/>
      <color theme="1"/>
      <name val="Arial"/>
      <family val="2"/>
    </font>
    <font>
      <sz val="11"/>
      <color theme="0"/>
      <name val="Wingdings"/>
      <charset val="2"/>
    </font>
    <font>
      <sz val="14"/>
      <color theme="8" tint="-0.499984740745262"/>
      <name val="Arial"/>
      <family val="2"/>
    </font>
    <font>
      <i/>
      <sz val="8"/>
      <color rgb="FFFF0000"/>
      <name val="Arial"/>
      <family val="2"/>
    </font>
    <font>
      <i/>
      <sz val="11"/>
      <color theme="0" tint="-0.499984740745262"/>
      <name val="Arial Nova"/>
      <family val="2"/>
      <scheme val="minor"/>
    </font>
    <font>
      <i/>
      <sz val="9"/>
      <color theme="8" tint="-0.499984740745262"/>
      <name val="Arial"/>
      <family val="2"/>
    </font>
    <font>
      <sz val="9"/>
      <color rgb="FFFF0000"/>
      <name val="Arial"/>
      <family val="2"/>
    </font>
    <font>
      <b/>
      <sz val="10"/>
      <color indexed="32"/>
      <name val="Arial Narrow"/>
      <family val="2"/>
    </font>
    <font>
      <sz val="11"/>
      <color indexed="8"/>
      <name val="Arial Nova"/>
      <family val="2"/>
      <scheme val="minor"/>
    </font>
    <font>
      <sz val="9"/>
      <color indexed="21"/>
      <name val="Helvetica-Black"/>
      <family val="2"/>
    </font>
    <font>
      <sz val="11"/>
      <name val="Helvetica-Black"/>
      <family val="2"/>
    </font>
    <font>
      <b/>
      <sz val="10"/>
      <color indexed="9"/>
      <name val="Arial"/>
      <family val="2"/>
    </font>
    <font>
      <u/>
      <sz val="10"/>
      <color indexed="12"/>
      <name val="MS Sans Serif"/>
      <family val="2"/>
    </font>
    <font>
      <b/>
      <sz val="18"/>
      <color indexed="9"/>
      <name val="Arial"/>
      <family val="2"/>
    </font>
    <font>
      <u/>
      <sz val="8.4"/>
      <color indexed="12"/>
      <name val="Arial"/>
      <family val="2"/>
    </font>
    <font>
      <sz val="10"/>
      <name val="Courier"/>
      <family val="3"/>
    </font>
    <font>
      <sz val="9"/>
      <name val="Times New Roman"/>
      <family val="1"/>
    </font>
    <font>
      <sz val="8"/>
      <color indexed="12"/>
      <name val="Arial"/>
      <family val="2"/>
    </font>
    <font>
      <i/>
      <sz val="8"/>
      <color indexed="16"/>
      <name val="Arial"/>
      <family val="2"/>
    </font>
    <font>
      <i/>
      <sz val="8"/>
      <color indexed="54"/>
      <name val="Arial"/>
      <family val="2"/>
    </font>
    <font>
      <i/>
      <sz val="9"/>
      <color indexed="16"/>
      <name val="Arial"/>
      <family val="2"/>
    </font>
    <font>
      <sz val="8"/>
      <color indexed="48"/>
      <name val="Arial"/>
      <family val="2"/>
    </font>
    <font>
      <sz val="8"/>
      <color indexed="12"/>
      <name val="Helvetica-Narrow"/>
      <family val="2"/>
    </font>
    <font>
      <sz val="10"/>
      <color indexed="10"/>
      <name val="Century Gothic"/>
      <family val="2"/>
    </font>
    <font>
      <sz val="10"/>
      <name val="Palatino"/>
    </font>
    <font>
      <b/>
      <sz val="11"/>
      <color indexed="55"/>
      <name val="Arial"/>
      <family val="2"/>
    </font>
    <font>
      <sz val="10"/>
      <name val="dutch801 bt"/>
    </font>
    <font>
      <sz val="8"/>
      <color indexed="10"/>
      <name val="Arial"/>
      <family val="2"/>
    </font>
    <font>
      <b/>
      <sz val="10"/>
      <name val="Times New Roman"/>
      <family val="1"/>
    </font>
    <font>
      <b/>
      <u/>
      <sz val="11"/>
      <name val="Arial"/>
      <family val="2"/>
    </font>
    <font>
      <i/>
      <sz val="8"/>
      <name val="Arial"/>
      <family val="2"/>
    </font>
    <font>
      <b/>
      <i/>
      <sz val="10"/>
      <name val="Times New Roman"/>
      <family val="1"/>
    </font>
    <font>
      <i/>
      <sz val="10"/>
      <name val="Times New Roman"/>
      <family val="1"/>
    </font>
    <font>
      <b/>
      <i/>
      <sz val="11"/>
      <name val="IQE Hlv Narrow"/>
    </font>
    <font>
      <i/>
      <sz val="11"/>
      <name val="IQE Hlv Narrow"/>
    </font>
    <font>
      <sz val="11"/>
      <name val="IQE Hlv Narrow"/>
    </font>
    <font>
      <b/>
      <sz val="14"/>
      <name val="IQE Hlv Narrow"/>
    </font>
    <font>
      <b/>
      <sz val="11"/>
      <name val="IQE Hlv Narrow"/>
    </font>
    <font>
      <b/>
      <sz val="8"/>
      <color indexed="8"/>
      <name val="Arial"/>
      <family val="2"/>
    </font>
    <font>
      <b/>
      <i/>
      <sz val="13"/>
      <color indexed="9"/>
      <name val="IQE Garamond I Cd"/>
    </font>
    <font>
      <b/>
      <sz val="13"/>
      <color indexed="56"/>
      <name val="Calibri"/>
      <family val="2"/>
    </font>
    <font>
      <b/>
      <sz val="8"/>
      <color indexed="9"/>
      <name val="Arial"/>
      <family val="2"/>
    </font>
    <font>
      <sz val="14"/>
      <color indexed="9"/>
      <name val="Univers Condensed"/>
      <family val="2"/>
    </font>
    <font>
      <sz val="10"/>
      <color indexed="12"/>
      <name val="Century Gothic"/>
      <family val="2"/>
    </font>
    <font>
      <sz val="7"/>
      <name val="Helv"/>
    </font>
    <font>
      <b/>
      <sz val="26"/>
      <name val="Times New Roman"/>
      <family val="1"/>
    </font>
    <font>
      <b/>
      <sz val="18"/>
      <name val="Times New Roman"/>
      <family val="1"/>
    </font>
    <font>
      <sz val="8"/>
      <color indexed="52"/>
      <name val="Arial"/>
      <family val="2"/>
    </font>
    <font>
      <sz val="8"/>
      <color indexed="51"/>
      <name val="Arial"/>
      <family val="2"/>
    </font>
    <font>
      <b/>
      <sz val="10"/>
      <color indexed="58"/>
      <name val="Arial"/>
      <family val="2"/>
    </font>
    <font>
      <sz val="10"/>
      <name val="Century Gothic"/>
      <family val="2"/>
    </font>
    <font>
      <sz val="8"/>
      <color indexed="8"/>
      <name val="Verdana"/>
      <family val="2"/>
    </font>
    <font>
      <sz val="9"/>
      <name val="SwitzerlandNarrow"/>
    </font>
    <font>
      <sz val="9"/>
      <color indexed="12"/>
      <name val="SwitzerlandNarrow"/>
    </font>
    <font>
      <b/>
      <sz val="16"/>
      <color indexed="24"/>
      <name val="Univers 45 Light"/>
      <family val="2"/>
    </font>
    <font>
      <b/>
      <sz val="10"/>
      <color indexed="9"/>
      <name val="Helvetica"/>
      <family val="3"/>
    </font>
    <font>
      <sz val="10"/>
      <color theme="1"/>
      <name val="Verdana"/>
      <family val="2"/>
    </font>
    <font>
      <sz val="8"/>
      <color indexed="62"/>
      <name val="Arial"/>
      <family val="2"/>
    </font>
    <font>
      <sz val="19"/>
      <name val="Arial"/>
      <family val="2"/>
    </font>
    <font>
      <sz val="8"/>
      <color indexed="14"/>
      <name val="Arial"/>
      <family val="2"/>
    </font>
    <font>
      <b/>
      <sz val="10"/>
      <color rgb="FF00133C"/>
      <name val="Arial Nova"/>
      <family val="2"/>
    </font>
    <font>
      <sz val="16"/>
      <color rgb="FF002776"/>
      <name val="Rockwell Nova"/>
      <family val="2"/>
    </font>
    <font>
      <b/>
      <sz val="22"/>
      <color rgb="FF000000"/>
      <name val="Rockwell Nova"/>
      <family val="2"/>
    </font>
    <font>
      <sz val="12"/>
      <name val="Rockwell Nova"/>
      <family val="2"/>
    </font>
    <font>
      <b/>
      <sz val="10"/>
      <color theme="0"/>
      <name val="Arial Nova"/>
      <family val="2"/>
    </font>
  </fonts>
  <fills count="136">
    <fill>
      <patternFill patternType="none"/>
    </fill>
    <fill>
      <patternFill patternType="gray125"/>
    </fill>
    <fill>
      <patternFill patternType="solid">
        <fgColor rgb="FFFFFF00"/>
        <bgColor indexed="64"/>
      </patternFill>
    </fill>
    <fill>
      <patternFill patternType="solid">
        <fgColor rgb="FFABC4EA"/>
        <bgColor indexed="64"/>
      </patternFill>
    </fill>
    <fill>
      <patternFill patternType="solid">
        <fgColor rgb="FFF5F6FA"/>
        <bgColor indexed="64"/>
      </patternFill>
    </fill>
    <fill>
      <patternFill patternType="solid">
        <fgColor rgb="FFF3F6FB"/>
        <bgColor indexed="64"/>
      </patternFill>
    </fill>
    <fill>
      <patternFill patternType="solid">
        <fgColor rgb="FFC8D7DE"/>
        <bgColor indexed="64"/>
      </patternFill>
    </fill>
    <fill>
      <patternFill patternType="solid">
        <fgColor rgb="FFE9EFF6"/>
        <bgColor indexed="64"/>
      </patternFill>
    </fill>
    <fill>
      <patternFill patternType="solid">
        <fgColor rgb="FFE0E0E0"/>
        <bgColor indexed="64"/>
      </patternFill>
    </fill>
    <fill>
      <patternFill patternType="solid">
        <fgColor rgb="FFE8A1A0"/>
        <bgColor indexed="64"/>
      </patternFill>
    </fill>
    <fill>
      <patternFill patternType="solid">
        <fgColor rgb="FFFFFFFF"/>
        <bgColor indexed="64"/>
      </patternFill>
    </fill>
    <fill>
      <patternFill patternType="solid">
        <fgColor rgb="FF4F81BD"/>
        <bgColor indexed="64"/>
      </patternFill>
    </fill>
    <fill>
      <patternFill patternType="solid">
        <fgColor rgb="FFE4ECF5"/>
        <bgColor indexed="64"/>
      </patternFill>
    </fill>
    <fill>
      <patternFill patternType="solid">
        <fgColor rgb="FFF2F4F9"/>
        <bgColor indexed="64"/>
      </patternFill>
    </fill>
    <fill>
      <patternFill patternType="solid">
        <fgColor rgb="FFD9D9D9"/>
        <bgColor rgb="FFD9D9D9"/>
      </patternFill>
    </fill>
    <fill>
      <patternFill patternType="solid">
        <fgColor indexed="43"/>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0"/>
        <bgColor indexed="64"/>
      </patternFill>
    </fill>
    <fill>
      <patternFill patternType="solid">
        <fgColor indexed="9"/>
        <bgColor indexed="64"/>
      </patternFill>
    </fill>
    <fill>
      <patternFill patternType="solid">
        <fgColor indexed="22"/>
        <bgColor indexed="64"/>
      </patternFill>
    </fill>
    <fill>
      <patternFill patternType="solid">
        <fgColor indexed="26"/>
        <bgColor indexed="64"/>
      </patternFill>
    </fill>
    <fill>
      <patternFill patternType="solid">
        <fgColor theme="4" tint="-0.499984740745262"/>
        <bgColor indexed="64"/>
      </patternFill>
    </fill>
    <fill>
      <patternFill patternType="solid">
        <fgColor indexed="44"/>
        <bgColor indexed="64"/>
      </patternFill>
    </fill>
    <fill>
      <patternFill patternType="solid">
        <fgColor theme="0" tint="-0.499984740745262"/>
        <bgColor indexed="64"/>
      </patternFill>
    </fill>
    <fill>
      <patternFill patternType="solid">
        <fgColor theme="1"/>
        <bgColor indexed="64"/>
      </patternFill>
    </fill>
    <fill>
      <patternFill patternType="solid">
        <fgColor indexed="8"/>
        <bgColor indexed="64"/>
      </patternFill>
    </fill>
    <fill>
      <patternFill patternType="solid">
        <fgColor rgb="FFFFFFCC"/>
        <bgColor indexed="64"/>
      </patternFill>
    </fill>
    <fill>
      <patternFill patternType="solid">
        <fgColor theme="0" tint="-0.249977111117893"/>
        <bgColor indexed="64"/>
      </patternFill>
    </fill>
    <fill>
      <patternFill patternType="solid">
        <fgColor indexed="38"/>
      </patternFill>
    </fill>
    <fill>
      <patternFill patternType="solid">
        <fgColor indexed="47"/>
      </patternFill>
    </fill>
    <fill>
      <patternFill patternType="solid">
        <fgColor indexed="26"/>
      </patternFill>
    </fill>
    <fill>
      <patternFill patternType="solid">
        <fgColor indexed="9"/>
      </patternFill>
    </fill>
    <fill>
      <patternFill patternType="solid">
        <fgColor indexed="43"/>
      </patternFill>
    </fill>
    <fill>
      <patternFill patternType="solid">
        <fgColor indexed="22"/>
      </patternFill>
    </fill>
    <fill>
      <patternFill patternType="solid">
        <fgColor indexed="31"/>
        <bgColor indexed="31"/>
      </patternFill>
    </fill>
    <fill>
      <patternFill patternType="solid">
        <fgColor indexed="44"/>
        <bgColor indexed="44"/>
      </patternFill>
    </fill>
    <fill>
      <patternFill patternType="solid">
        <fgColor indexed="49"/>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54"/>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45"/>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2"/>
      </patternFill>
    </fill>
    <fill>
      <patternFill patternType="solid">
        <fgColor indexed="27"/>
        <bgColor indexed="64"/>
      </patternFill>
    </fill>
    <fill>
      <patternFill patternType="solid">
        <fgColor indexed="42"/>
        <bgColor indexed="64"/>
      </patternFill>
    </fill>
    <fill>
      <patternFill patternType="mediumGray">
        <fgColor indexed="22"/>
      </patternFill>
    </fill>
    <fill>
      <patternFill patternType="solid">
        <fgColor theme="4" tint="0.39997558519241921"/>
        <bgColor indexed="64"/>
      </patternFill>
    </fill>
    <fill>
      <patternFill patternType="gray0625">
        <bgColor indexed="44"/>
      </patternFill>
    </fill>
    <fill>
      <patternFill patternType="solid">
        <fgColor indexed="62"/>
        <bgColor indexed="64"/>
      </patternFill>
    </fill>
    <fill>
      <patternFill patternType="solid">
        <fgColor rgb="FFF2F2F2"/>
      </patternFill>
    </fill>
    <fill>
      <patternFill patternType="solid">
        <fgColor rgb="FF002776"/>
        <bgColor rgb="FF000000"/>
      </patternFill>
    </fill>
    <fill>
      <patternFill patternType="darkUp">
        <fgColor theme="0"/>
        <bgColor theme="0" tint="-0.499984740745262"/>
      </patternFill>
    </fill>
    <fill>
      <patternFill patternType="darkUp">
        <fgColor rgb="FFFFFFFF"/>
        <bgColor rgb="FF808080"/>
      </patternFill>
    </fill>
    <fill>
      <patternFill patternType="solid">
        <fgColor theme="7" tint="0.79998168889431442"/>
        <bgColor indexed="64"/>
      </patternFill>
    </fill>
    <fill>
      <patternFill patternType="solid">
        <fgColor rgb="FFFDF5D9"/>
        <bgColor rgb="FF000000"/>
      </patternFill>
    </fill>
    <fill>
      <patternFill patternType="solid">
        <fgColor theme="4" tint="0.79998168889431442"/>
        <bgColor indexed="64"/>
      </patternFill>
    </fill>
    <fill>
      <patternFill patternType="solid">
        <fgColor rgb="FFB0CAFF"/>
        <bgColor rgb="FF000000"/>
      </patternFill>
    </fill>
    <fill>
      <patternFill patternType="solid">
        <fgColor rgb="FFDDE6F7"/>
        <bgColor rgb="FF000000"/>
      </patternFill>
    </fill>
    <fill>
      <patternFill patternType="solid">
        <fgColor theme="6" tint="0.79998168889431442"/>
        <bgColor indexed="64"/>
      </patternFill>
    </fill>
    <fill>
      <patternFill patternType="solid">
        <fgColor rgb="FFFDD8D7"/>
        <bgColor rgb="FF000000"/>
      </patternFill>
    </fill>
    <fill>
      <patternFill patternType="solid">
        <fgColor theme="0" tint="-0.14999847407452621"/>
        <bgColor rgb="FF000000"/>
      </patternFill>
    </fill>
    <fill>
      <patternFill patternType="solid">
        <fgColor theme="3" tint="0.59999389629810485"/>
        <bgColor rgb="FF000000"/>
      </patternFill>
    </fill>
    <fill>
      <patternFill patternType="solid">
        <fgColor rgb="FFFCB1AF"/>
        <bgColor rgb="FF000000"/>
      </patternFill>
    </fill>
    <fill>
      <patternFill patternType="solid">
        <fgColor theme="7"/>
        <bgColor rgb="FF000000"/>
      </patternFill>
    </fill>
    <fill>
      <patternFill patternType="solid">
        <fgColor rgb="FFFFFFCC"/>
      </patternFill>
    </fill>
    <fill>
      <patternFill patternType="solid">
        <fgColor theme="4" tint="0.39997558519241921"/>
        <bgColor indexed="65"/>
      </patternFill>
    </fill>
    <fill>
      <patternFill patternType="solid">
        <fgColor theme="9"/>
      </patternFill>
    </fill>
    <fill>
      <patternFill patternType="solid">
        <fgColor indexed="27"/>
      </patternFill>
    </fill>
    <fill>
      <patternFill patternType="solid">
        <fgColor indexed="44"/>
      </patternFill>
    </fill>
    <fill>
      <patternFill patternType="solid">
        <fgColor indexed="24"/>
        <bgColor indexed="64"/>
      </patternFill>
    </fill>
    <fill>
      <patternFill patternType="solid">
        <fgColor indexed="55"/>
        <bgColor indexed="64"/>
      </patternFill>
    </fill>
    <fill>
      <patternFill patternType="solid">
        <fgColor indexed="46"/>
        <bgColor indexed="64"/>
      </patternFill>
    </fill>
    <fill>
      <patternFill patternType="mediumGray">
        <fgColor indexed="17"/>
      </patternFill>
    </fill>
    <fill>
      <patternFill patternType="solid">
        <fgColor indexed="57"/>
        <bgColor indexed="64"/>
      </patternFill>
    </fill>
    <fill>
      <patternFill patternType="solid">
        <fgColor indexed="50"/>
        <bgColor indexed="64"/>
      </patternFill>
    </fill>
    <fill>
      <patternFill patternType="solid">
        <fgColor indexed="16"/>
        <bgColor indexed="64"/>
      </patternFill>
    </fill>
    <fill>
      <patternFill patternType="solid">
        <fgColor theme="1" tint="0.499984740745262"/>
        <bgColor indexed="64"/>
      </patternFill>
    </fill>
    <fill>
      <patternFill patternType="solid">
        <fgColor theme="0" tint="-0.14996795556505021"/>
        <bgColor indexed="64"/>
      </patternFill>
    </fill>
    <fill>
      <patternFill patternType="solid">
        <fgColor rgb="FFFFFF99"/>
        <bgColor indexed="64"/>
      </patternFill>
    </fill>
    <fill>
      <patternFill patternType="solid">
        <fgColor theme="6" tint="-0.499984740745262"/>
        <bgColor indexed="64"/>
      </patternFill>
    </fill>
    <fill>
      <patternFill patternType="solid">
        <fgColor theme="0" tint="-0.24994659260841701"/>
        <bgColor indexed="64"/>
      </patternFill>
    </fill>
    <fill>
      <patternFill patternType="solid">
        <fgColor theme="8" tint="0.79998168889431442"/>
        <bgColor indexed="64"/>
      </patternFill>
    </fill>
    <fill>
      <patternFill patternType="solid">
        <fgColor indexed="63"/>
        <bgColor indexed="64"/>
      </patternFill>
    </fill>
    <fill>
      <patternFill patternType="solid">
        <fgColor indexed="51"/>
        <bgColor indexed="64"/>
      </patternFill>
    </fill>
    <fill>
      <patternFill patternType="solid">
        <fgColor indexed="31"/>
      </patternFill>
    </fill>
    <fill>
      <patternFill patternType="solid">
        <fgColor indexed="46"/>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18"/>
        <bgColor indexed="64"/>
      </patternFill>
    </fill>
    <fill>
      <patternFill patternType="solid">
        <fgColor indexed="29"/>
        <bgColor indexed="64"/>
      </patternFill>
    </fill>
    <fill>
      <patternFill patternType="solid">
        <fgColor indexed="31"/>
        <bgColor indexed="64"/>
      </patternFill>
    </fill>
    <fill>
      <patternFill patternType="solid">
        <fgColor indexed="62"/>
      </patternFill>
    </fill>
    <fill>
      <patternFill patternType="lightGray">
        <fgColor indexed="15"/>
        <bgColor indexed="9"/>
      </patternFill>
    </fill>
    <fill>
      <patternFill patternType="solid">
        <fgColor indexed="28"/>
        <bgColor indexed="64"/>
      </patternFill>
    </fill>
    <fill>
      <patternFill patternType="solid">
        <fgColor indexed="30"/>
        <bgColor indexed="64"/>
      </patternFill>
    </fill>
    <fill>
      <patternFill patternType="solid">
        <fgColor indexed="15"/>
      </patternFill>
    </fill>
    <fill>
      <patternFill patternType="solid">
        <fgColor indexed="10"/>
        <bgColor indexed="64"/>
      </patternFill>
    </fill>
    <fill>
      <patternFill patternType="solid">
        <fgColor indexed="47"/>
        <bgColor indexed="64"/>
      </patternFill>
    </fill>
    <fill>
      <patternFill patternType="solid">
        <fgColor indexed="61"/>
        <bgColor indexed="64"/>
      </patternFill>
    </fill>
    <fill>
      <patternFill patternType="solid">
        <fgColor indexed="60"/>
        <bgColor indexed="64"/>
      </patternFill>
    </fill>
    <fill>
      <patternFill patternType="solid">
        <fgColor indexed="61"/>
        <bgColor indexed="61"/>
      </patternFill>
    </fill>
    <fill>
      <patternFill patternType="solid">
        <fgColor indexed="58"/>
        <bgColor indexed="58"/>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41"/>
        <bgColor indexed="41"/>
      </patternFill>
    </fill>
    <fill>
      <patternFill patternType="solid">
        <fgColor indexed="54"/>
        <bgColor indexed="54"/>
      </patternFill>
    </fill>
    <fill>
      <patternFill patternType="solid">
        <fgColor indexed="51"/>
        <bgColor indexed="51"/>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12"/>
      </patternFill>
    </fill>
    <fill>
      <patternFill patternType="solid">
        <fgColor indexed="50"/>
      </patternFill>
    </fill>
    <fill>
      <patternFill patternType="lightUp">
        <fgColor indexed="48"/>
        <bgColor indexed="41"/>
      </patternFill>
    </fill>
    <fill>
      <patternFill patternType="solid">
        <fgColor indexed="40"/>
      </patternFill>
    </fill>
    <fill>
      <patternFill patternType="solid">
        <fgColor indexed="41"/>
      </patternFill>
    </fill>
    <fill>
      <patternFill patternType="solid">
        <fgColor indexed="23"/>
      </patternFill>
    </fill>
    <fill>
      <patternFill patternType="solid">
        <fgColor indexed="20"/>
      </patternFill>
    </fill>
    <fill>
      <patternFill patternType="solid">
        <fgColor rgb="FFF2F2F2"/>
        <bgColor rgb="FF000000"/>
      </patternFill>
    </fill>
  </fills>
  <borders count="119">
    <border>
      <left/>
      <right/>
      <top/>
      <bottom/>
      <diagonal/>
    </border>
    <border>
      <left/>
      <right/>
      <top/>
      <bottom style="thick">
        <color theme="4"/>
      </bottom>
      <diagonal/>
    </border>
    <border>
      <left/>
      <right/>
      <top/>
      <bottom style="thin">
        <color indexed="64"/>
      </bottom>
      <diagonal/>
    </border>
    <border>
      <left/>
      <right style="thin">
        <color indexed="64"/>
      </right>
      <top/>
      <bottom/>
      <diagonal/>
    </border>
    <border>
      <left/>
      <right/>
      <top/>
      <bottom style="thick">
        <color rgb="FF808080"/>
      </bottom>
      <diagonal/>
    </border>
    <border>
      <left/>
      <right/>
      <top/>
      <bottom style="thick">
        <color theme="4" tint="0.499984740745262"/>
      </bottom>
      <diagonal/>
    </border>
    <border>
      <left/>
      <right/>
      <top/>
      <bottom style="medium">
        <color theme="4" tint="0.39997558519241921"/>
      </bottom>
      <diagonal/>
    </border>
    <border>
      <left style="thin">
        <color indexed="64"/>
      </left>
      <right style="thin">
        <color indexed="64"/>
      </right>
      <top/>
      <bottom/>
      <diagonal/>
    </border>
    <border>
      <left/>
      <right/>
      <top/>
      <bottom style="medium">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38"/>
      </bottom>
      <diagonal/>
    </border>
    <border>
      <left/>
      <right/>
      <top/>
      <bottom style="medium">
        <color indexed="3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top/>
      <bottom/>
      <diagonal/>
    </border>
    <border>
      <left/>
      <right/>
      <top style="thin">
        <color indexed="49"/>
      </top>
      <bottom style="double">
        <color indexed="49"/>
      </bottom>
      <diagonal/>
    </border>
    <border>
      <left style="medium">
        <color auto="1"/>
      </left>
      <right style="medium">
        <color auto="1"/>
      </right>
      <top style="medium">
        <color auto="1"/>
      </top>
      <bottom style="medium">
        <color auto="1"/>
      </bottom>
      <diagonal/>
    </border>
    <border>
      <left style="medium">
        <color indexed="64"/>
      </left>
      <right style="medium">
        <color indexed="64"/>
      </right>
      <top style="thin">
        <color theme="0" tint="-0.34998626667073579"/>
      </top>
      <bottom style="thin">
        <color theme="0" tint="-0.34998626667073579"/>
      </bottom>
      <diagonal/>
    </border>
    <border>
      <left style="thin">
        <color rgb="FF7F7F7F"/>
      </left>
      <right style="thin">
        <color rgb="FF7F7F7F"/>
      </right>
      <top style="thin">
        <color rgb="FF7F7F7F"/>
      </top>
      <bottom style="thin">
        <color rgb="FF7F7F7F"/>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rgb="FFD9D9D9"/>
      </left>
      <right style="thin">
        <color rgb="FFD9D9D9"/>
      </right>
      <top style="thin">
        <color rgb="FFD9D9D9"/>
      </top>
      <bottom style="thin">
        <color rgb="FFD9D9D9"/>
      </bottom>
      <diagonal/>
    </border>
    <border>
      <left style="thin">
        <color theme="4"/>
      </left>
      <right style="thin">
        <color theme="4"/>
      </right>
      <top style="thin">
        <color theme="4"/>
      </top>
      <bottom style="thin">
        <color theme="4"/>
      </bottom>
      <diagonal/>
    </border>
    <border>
      <left style="thin">
        <color rgb="FF002776"/>
      </left>
      <right style="thin">
        <color rgb="FF002776"/>
      </right>
      <top style="thin">
        <color rgb="FF002776"/>
      </top>
      <bottom style="thin">
        <color rgb="FF002776"/>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bottom/>
      <diagonal/>
    </border>
    <border>
      <left/>
      <right/>
      <top/>
      <bottom style="medium">
        <color indexed="64"/>
      </bottom>
      <diagonal/>
    </border>
    <border>
      <left/>
      <right/>
      <top style="thin">
        <color indexed="64"/>
      </top>
      <bottom style="thin">
        <color indexed="64"/>
      </bottom>
      <diagonal/>
    </border>
    <border>
      <left style="medium">
        <color indexed="64"/>
      </left>
      <right style="medium">
        <color indexed="64"/>
      </right>
      <top/>
      <bottom/>
      <diagonal/>
    </border>
    <border>
      <left style="thin">
        <color indexed="64"/>
      </left>
      <right/>
      <top style="thin">
        <color indexed="64"/>
      </top>
      <bottom/>
      <diagonal/>
    </border>
    <border>
      <left/>
      <right/>
      <top style="thin">
        <color indexed="64"/>
      </top>
      <bottom/>
      <diagonal/>
    </border>
    <border>
      <left/>
      <right/>
      <top style="medium">
        <color indexed="64"/>
      </top>
      <bottom style="medium">
        <color indexed="64"/>
      </bottom>
      <diagonal/>
    </border>
    <border>
      <left/>
      <right/>
      <top/>
      <bottom style="medium">
        <color indexed="24"/>
      </bottom>
      <diagonal/>
    </border>
    <border>
      <left style="thick">
        <color indexed="22"/>
      </left>
      <right style="thick">
        <color indexed="22"/>
      </right>
      <top style="thick">
        <color indexed="22"/>
      </top>
      <bottom style="thick">
        <color indexed="22"/>
      </bottom>
      <diagonal/>
    </border>
    <border>
      <left style="thin">
        <color indexed="18"/>
      </left>
      <right style="thin">
        <color indexed="18"/>
      </right>
      <top style="thin">
        <color indexed="18"/>
      </top>
      <bottom style="thin">
        <color indexed="18"/>
      </bottom>
      <diagonal/>
    </border>
    <border>
      <left style="medium">
        <color indexed="18"/>
      </left>
      <right style="medium">
        <color indexed="18"/>
      </right>
      <top style="medium">
        <color indexed="18"/>
      </top>
      <bottom style="medium">
        <color indexed="18"/>
      </bottom>
      <diagonal/>
    </border>
    <border>
      <left style="dotted">
        <color indexed="64"/>
      </left>
      <right style="dotted">
        <color indexed="64"/>
      </right>
      <top style="dotted">
        <color indexed="64"/>
      </top>
      <bottom style="dotted">
        <color indexed="64"/>
      </bottom>
      <diagonal/>
    </border>
    <border>
      <left/>
      <right/>
      <top/>
      <bottom style="thin">
        <color indexed="44"/>
      </bottom>
      <diagonal/>
    </border>
    <border>
      <left style="thin">
        <color indexed="17"/>
      </left>
      <right style="thin">
        <color indexed="17"/>
      </right>
      <top style="thin">
        <color indexed="17"/>
      </top>
      <bottom style="thin">
        <color indexed="17"/>
      </bottom>
      <diagonal/>
    </border>
    <border>
      <left/>
      <right/>
      <top style="thin">
        <color indexed="8"/>
      </top>
      <bottom style="thin">
        <color indexed="8"/>
      </bottom>
      <diagonal/>
    </border>
    <border>
      <left/>
      <right style="thin">
        <color indexed="8"/>
      </right>
      <top style="thin">
        <color indexed="8"/>
      </top>
      <bottom/>
      <diagonal/>
    </border>
    <border>
      <left/>
      <right/>
      <top/>
      <bottom style="dotted">
        <color indexed="64"/>
      </bottom>
      <diagonal/>
    </border>
    <border>
      <left style="thin">
        <color indexed="55"/>
      </left>
      <right style="thin">
        <color indexed="55"/>
      </right>
      <top style="thin">
        <color indexed="55"/>
      </top>
      <bottom style="thin">
        <color indexed="55"/>
      </bottom>
      <diagonal/>
    </border>
    <border>
      <left/>
      <right/>
      <top/>
      <bottom style="thick">
        <color indexed="62"/>
      </bottom>
      <diagonal/>
    </border>
    <border>
      <left/>
      <right/>
      <top/>
      <bottom style="thick">
        <color indexed="22"/>
      </bottom>
      <diagonal/>
    </border>
    <border>
      <left/>
      <right/>
      <top/>
      <bottom style="medium">
        <color indexed="49"/>
      </bottom>
      <diagonal/>
    </border>
    <border>
      <left/>
      <right/>
      <top/>
      <bottom style="medium">
        <color indexed="30"/>
      </bottom>
      <diagonal/>
    </border>
    <border>
      <left style="medium">
        <color indexed="22"/>
      </left>
      <right style="medium">
        <color indexed="22"/>
      </right>
      <top style="medium">
        <color indexed="22"/>
      </top>
      <bottom style="medium">
        <color indexed="22"/>
      </bottom>
      <diagonal/>
    </border>
    <border>
      <left/>
      <right/>
      <top/>
      <bottom style="hair">
        <color indexed="64"/>
      </bottom>
      <diagonal/>
    </border>
    <border>
      <left/>
      <right/>
      <top style="medium">
        <color indexed="23"/>
      </top>
      <bottom style="medium">
        <color indexed="23"/>
      </bottom>
      <diagonal/>
    </border>
    <border>
      <left style="hair">
        <color indexed="64"/>
      </left>
      <right style="hair">
        <color indexed="64"/>
      </right>
      <top style="thin">
        <color indexed="64"/>
      </top>
      <bottom/>
      <diagonal/>
    </border>
    <border>
      <left style="thin">
        <color indexed="52"/>
      </left>
      <right style="thin">
        <color indexed="52"/>
      </right>
      <top/>
      <bottom/>
      <diagonal/>
    </border>
    <border>
      <left style="thin">
        <color indexed="50"/>
      </left>
      <right style="thin">
        <color indexed="50"/>
      </right>
      <top/>
      <bottom/>
      <diagonal/>
    </border>
    <border>
      <left style="hair">
        <color indexed="64"/>
      </left>
      <right style="hair">
        <color indexed="64"/>
      </right>
      <top style="double">
        <color indexed="64"/>
      </top>
      <bottom/>
      <diagonal/>
    </border>
    <border>
      <left/>
      <right/>
      <top style="thin">
        <color indexed="62"/>
      </top>
      <bottom style="double">
        <color indexed="62"/>
      </bottom>
      <diagonal/>
    </border>
    <border>
      <left/>
      <right/>
      <top style="thin">
        <color indexed="64"/>
      </top>
      <bottom style="double">
        <color indexed="64"/>
      </bottom>
      <diagonal/>
    </border>
    <border>
      <left style="thin">
        <color theme="1"/>
      </left>
      <right style="thin">
        <color theme="1"/>
      </right>
      <top style="thin">
        <color theme="1"/>
      </top>
      <bottom style="thin">
        <color theme="1"/>
      </bottom>
      <diagonal/>
    </border>
    <border>
      <left style="thin">
        <color theme="8" tint="-0.499984740745262"/>
      </left>
      <right style="thin">
        <color theme="8" tint="-0.499984740745262"/>
      </right>
      <top style="thin">
        <color theme="8" tint="-0.499984740745262"/>
      </top>
      <bottom style="thin">
        <color theme="8"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style="dotted">
        <color indexed="64"/>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FF0000"/>
      </left>
      <right style="thin">
        <color rgb="FFFF0000"/>
      </right>
      <top style="thin">
        <color rgb="FFFF0000"/>
      </top>
      <bottom style="thin">
        <color rgb="FFFF0000"/>
      </bottom>
      <diagonal/>
    </border>
    <border>
      <left/>
      <right/>
      <top style="thin">
        <color indexed="32"/>
      </top>
      <bottom style="thin">
        <color indexed="32"/>
      </bottom>
      <diagonal/>
    </border>
    <border>
      <left style="thin">
        <color auto="1"/>
      </left>
      <right style="thin">
        <color auto="1"/>
      </right>
      <top/>
      <bottom/>
      <diagonal/>
    </border>
    <border>
      <left/>
      <right/>
      <top style="thin">
        <color auto="1"/>
      </top>
      <bottom/>
      <diagonal/>
    </border>
    <border>
      <left/>
      <right/>
      <top style="thin">
        <color auto="1"/>
      </top>
      <bottom style="double">
        <color auto="1"/>
      </bottom>
      <diagonal/>
    </border>
    <border>
      <left/>
      <right/>
      <top/>
      <bottom style="thin">
        <color indexed="4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thin">
        <color indexed="17"/>
      </left>
      <right style="thin">
        <color indexed="17"/>
      </right>
      <top style="thin">
        <color indexed="17"/>
      </top>
      <bottom style="thin">
        <color indexed="17"/>
      </bottom>
      <diagonal/>
    </border>
    <border>
      <left/>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style="thin">
        <color indexed="64"/>
      </right>
      <top style="thin">
        <color indexed="64"/>
      </top>
      <bottom style="thin">
        <color indexed="64"/>
      </bottom>
      <diagonal/>
    </border>
    <border>
      <left/>
      <right/>
      <top style="thin">
        <color indexed="62"/>
      </top>
      <bottom style="double">
        <color indexed="62"/>
      </bottom>
      <diagonal/>
    </border>
    <border>
      <left/>
      <right/>
      <top style="thin">
        <color indexed="64"/>
      </top>
      <bottom/>
      <diagonal/>
    </border>
    <border>
      <left/>
      <right/>
      <top style="thin">
        <color indexed="49"/>
      </top>
      <bottom style="double">
        <color indexed="49"/>
      </bottom>
      <diagonal/>
    </border>
    <border>
      <left/>
      <right/>
      <top style="thin">
        <color indexed="32"/>
      </top>
      <bottom style="thin">
        <color indexed="32"/>
      </bottom>
      <diagonal/>
    </border>
    <border>
      <left/>
      <right/>
      <top style="thin">
        <color auto="1"/>
      </top>
      <bottom style="double">
        <color auto="1"/>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thin">
        <color indexed="17"/>
      </left>
      <right style="thin">
        <color indexed="17"/>
      </right>
      <top style="thin">
        <color indexed="17"/>
      </top>
      <bottom style="thin">
        <color indexed="17"/>
      </bottom>
      <diagonal/>
    </border>
    <border>
      <left/>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style="thin">
        <color indexed="64"/>
      </right>
      <top style="thin">
        <color indexed="64"/>
      </top>
      <bottom style="thin">
        <color indexed="64"/>
      </bottom>
      <diagonal/>
    </border>
    <border>
      <left/>
      <right/>
      <top style="thin">
        <color indexed="62"/>
      </top>
      <bottom style="double">
        <color indexed="62"/>
      </bottom>
      <diagonal/>
    </border>
    <border>
      <left/>
      <right style="thin">
        <color indexed="64"/>
      </right>
      <top/>
      <bottom style="thin">
        <color indexed="64"/>
      </bottom>
      <diagonal/>
    </border>
    <border>
      <left style="medium">
        <color indexed="64"/>
      </left>
      <right style="medium">
        <color indexed="64"/>
      </right>
      <top/>
      <bottom style="thick">
        <color indexed="37"/>
      </bottom>
      <diagonal/>
    </border>
    <border>
      <left style="dashed">
        <color indexed="63"/>
      </left>
      <right style="dashed">
        <color indexed="63"/>
      </right>
      <top style="dashed">
        <color indexed="63"/>
      </top>
      <bottom style="dashed">
        <color indexed="63"/>
      </bottom>
      <diagonal/>
    </border>
    <border>
      <left/>
      <right/>
      <top style="double">
        <color indexed="64"/>
      </top>
      <bottom style="double">
        <color indexed="64"/>
      </bottom>
      <diagonal/>
    </border>
    <border>
      <left/>
      <right/>
      <top/>
      <bottom style="double">
        <color indexed="64"/>
      </bottom>
      <diagonal/>
    </border>
    <border>
      <left style="dotted">
        <color indexed="28"/>
      </left>
      <right style="dotted">
        <color indexed="28"/>
      </right>
      <top style="dotted">
        <color indexed="28"/>
      </top>
      <bottom style="dotted">
        <color indexed="28"/>
      </bottom>
      <diagonal/>
    </border>
    <border>
      <left style="dashed">
        <color indexed="55"/>
      </left>
      <right style="dashed">
        <color indexed="55"/>
      </right>
      <top style="dashed">
        <color indexed="55"/>
      </top>
      <bottom style="dashed">
        <color indexed="55"/>
      </bottom>
      <diagonal/>
    </border>
    <border>
      <left style="dashed">
        <color indexed="28"/>
      </left>
      <right style="dashed">
        <color indexed="28"/>
      </right>
      <top style="dashed">
        <color indexed="28"/>
      </top>
      <bottom style="dashed">
        <color indexed="28"/>
      </bottom>
      <diagonal/>
    </border>
    <border>
      <left style="thin">
        <color indexed="19"/>
      </left>
      <right style="thin">
        <color indexed="19"/>
      </right>
      <top style="thin">
        <color indexed="19"/>
      </top>
      <bottom style="thin">
        <color indexed="19"/>
      </bottom>
      <diagonal/>
    </border>
    <border>
      <left style="dotted">
        <color indexed="10"/>
      </left>
      <right style="dotted">
        <color indexed="10"/>
      </right>
      <top style="dotted">
        <color indexed="10"/>
      </top>
      <bottom style="dotted">
        <color indexed="10"/>
      </bottom>
      <diagonal/>
    </border>
    <border>
      <left style="medium">
        <color indexed="62"/>
      </left>
      <right style="medium">
        <color indexed="62"/>
      </right>
      <top style="medium">
        <color indexed="62"/>
      </top>
      <bottom style="medium">
        <color indexed="62"/>
      </bottom>
      <diagonal/>
    </border>
    <border>
      <left style="hair">
        <color indexed="64"/>
      </left>
      <right style="hair">
        <color indexed="64"/>
      </right>
      <top style="hair">
        <color indexed="64"/>
      </top>
      <bottom style="hair">
        <color indexed="64"/>
      </bottom>
      <diagonal/>
    </border>
    <border>
      <left style="double">
        <color indexed="64"/>
      </left>
      <right style="double">
        <color indexed="64"/>
      </right>
      <top style="hair">
        <color indexed="64"/>
      </top>
      <bottom style="hair">
        <color indexed="64"/>
      </bottom>
      <diagonal/>
    </border>
    <border>
      <left/>
      <right/>
      <top style="thin">
        <color indexed="14"/>
      </top>
      <bottom style="double">
        <color indexed="14"/>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bottom style="dashed">
        <color indexed="64"/>
      </bottom>
      <diagonal/>
    </border>
    <border>
      <left style="thin">
        <color auto="1"/>
      </left>
      <right style="thin">
        <color auto="1"/>
      </right>
      <top style="thin">
        <color auto="1"/>
      </top>
      <bottom style="thin">
        <color auto="1"/>
      </bottom>
      <diagonal/>
    </border>
  </borders>
  <cellStyleXfs count="23993">
    <xf numFmtId="0" fontId="0" fillId="0" borderId="0"/>
    <xf numFmtId="43" fontId="2" fillId="0" borderId="0" applyFont="0" applyFill="0" applyBorder="0" applyAlignment="0" applyProtection="0"/>
    <xf numFmtId="0" fontId="4" fillId="0" borderId="0"/>
    <xf numFmtId="44" fontId="2" fillId="0" borderId="0" applyFont="0" applyFill="0" applyBorder="0" applyAlignment="0" applyProtection="0"/>
    <xf numFmtId="0" fontId="5" fillId="0" borderId="0" applyNumberFormat="0" applyFill="0" applyBorder="0" applyAlignment="0" applyProtection="0"/>
    <xf numFmtId="0" fontId="6" fillId="0" borderId="0"/>
    <xf numFmtId="0" fontId="7" fillId="0" borderId="0" applyNumberFormat="0" applyFill="0" applyBorder="0" applyAlignment="0" applyProtection="0"/>
    <xf numFmtId="0" fontId="16" fillId="0" borderId="0"/>
    <xf numFmtId="0" fontId="18" fillId="0" borderId="1" applyNumberFormat="0" applyFill="0" applyAlignment="0" applyProtection="0"/>
    <xf numFmtId="0" fontId="19" fillId="11" borderId="0"/>
    <xf numFmtId="0" fontId="20" fillId="0" borderId="0" applyNumberFormat="0" applyFill="0" applyBorder="0" applyAlignment="0" applyProtection="0">
      <alignment vertical="top"/>
      <protection locked="0"/>
    </xf>
    <xf numFmtId="0" fontId="22" fillId="0" borderId="0"/>
    <xf numFmtId="0" fontId="4" fillId="0" borderId="0"/>
    <xf numFmtId="0" fontId="2" fillId="0" borderId="0"/>
    <xf numFmtId="0" fontId="2" fillId="0" borderId="0"/>
    <xf numFmtId="0" fontId="2" fillId="0" borderId="0"/>
    <xf numFmtId="0" fontId="4" fillId="0" borderId="0"/>
    <xf numFmtId="0" fontId="31" fillId="0" borderId="0" applyNumberFormat="0" applyBorder="0" applyAlignment="0"/>
    <xf numFmtId="0" fontId="34" fillId="0" borderId="0" applyNumberFormat="0" applyFill="0" applyBorder="0" applyAlignment="0" applyProtection="0"/>
    <xf numFmtId="0" fontId="36" fillId="0" borderId="5" applyNumberFormat="0" applyFill="0" applyAlignment="0" applyProtection="0"/>
    <xf numFmtId="0" fontId="5" fillId="0" borderId="6" applyNumberFormat="0" applyFill="0" applyAlignment="0" applyProtection="0"/>
    <xf numFmtId="0" fontId="37" fillId="0" borderId="0"/>
    <xf numFmtId="182" fontId="39" fillId="15" borderId="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2" fillId="0" borderId="0"/>
    <xf numFmtId="9" fontId="4" fillId="0" borderId="0" applyFont="0" applyFill="0" applyBorder="0" applyAlignment="0" applyProtection="0"/>
    <xf numFmtId="0" fontId="43" fillId="22" borderId="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1" fontId="4" fillId="23" borderId="0" applyFont="0" applyBorder="0" applyAlignment="0">
      <alignment horizontal="right"/>
      <protection locked="0"/>
    </xf>
    <xf numFmtId="41" fontId="4" fillId="21" borderId="0" applyFont="0" applyBorder="0">
      <alignment horizontal="right"/>
      <protection locked="0"/>
    </xf>
    <xf numFmtId="0" fontId="2" fillId="0" borderId="0"/>
    <xf numFmtId="0" fontId="4" fillId="0" borderId="0" applyFill="0"/>
    <xf numFmtId="0" fontId="43" fillId="24" borderId="0">
      <alignment horizontal="left" vertical="center"/>
      <protection locked="0"/>
    </xf>
    <xf numFmtId="0" fontId="44" fillId="25" borderId="0">
      <alignment vertical="center"/>
      <protection locked="0"/>
    </xf>
    <xf numFmtId="0" fontId="4" fillId="0" borderId="0"/>
    <xf numFmtId="0" fontId="4" fillId="0" borderId="0"/>
    <xf numFmtId="0" fontId="4" fillId="0" borderId="0"/>
    <xf numFmtId="184" fontId="4" fillId="0" borderId="0"/>
    <xf numFmtId="0" fontId="46" fillId="0" borderId="0"/>
    <xf numFmtId="0" fontId="46" fillId="0" borderId="0"/>
    <xf numFmtId="0" fontId="4"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 fillId="0" borderId="0"/>
    <xf numFmtId="0" fontId="4" fillId="0" borderId="0"/>
    <xf numFmtId="0" fontId="4" fillId="0" borderId="0"/>
    <xf numFmtId="185" fontId="37" fillId="0" borderId="0"/>
    <xf numFmtId="185" fontId="37" fillId="0" borderId="0"/>
    <xf numFmtId="0" fontId="22"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48" fillId="29" borderId="0" applyNumberFormat="0" applyBorder="0" applyAlignment="0" applyProtection="0"/>
    <xf numFmtId="0" fontId="48" fillId="30" borderId="0" applyNumberFormat="0" applyBorder="0" applyAlignment="0" applyProtection="0"/>
    <xf numFmtId="0" fontId="48" fillId="33" borderId="0" applyNumberFormat="0" applyBorder="0" applyAlignment="0" applyProtection="0"/>
    <xf numFmtId="0" fontId="48" fillId="34" borderId="0" applyNumberFormat="0" applyBorder="0" applyAlignment="0" applyProtection="0"/>
    <xf numFmtId="0" fontId="48" fillId="29" borderId="0" applyNumberFormat="0" applyBorder="0" applyAlignment="0" applyProtection="0"/>
    <xf numFmtId="0" fontId="48" fillId="30"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48" fillId="36" borderId="0" applyNumberFormat="0" applyBorder="0" applyAlignment="0" applyProtection="0"/>
    <xf numFmtId="0" fontId="48" fillId="37" borderId="0" applyNumberFormat="0" applyBorder="0" applyAlignment="0" applyProtection="0"/>
    <xf numFmtId="0" fontId="22" fillId="38" borderId="0" applyNumberFormat="0" applyBorder="0" applyAlignment="0" applyProtection="0"/>
    <xf numFmtId="0" fontId="22" fillId="39" borderId="0" applyNumberFormat="0" applyBorder="0" applyAlignment="0" applyProtection="0"/>
    <xf numFmtId="0" fontId="48" fillId="40" borderId="0" applyNumberFormat="0" applyBorder="0" applyAlignment="0" applyProtection="0"/>
    <xf numFmtId="0" fontId="48" fillId="41" borderId="0" applyNumberFormat="0" applyBorder="0" applyAlignment="0" applyProtection="0"/>
    <xf numFmtId="0" fontId="22" fillId="38" borderId="0" applyNumberFormat="0" applyBorder="0" applyAlignment="0" applyProtection="0"/>
    <xf numFmtId="0" fontId="22" fillId="42" borderId="0" applyNumberFormat="0" applyBorder="0" applyAlignment="0" applyProtection="0"/>
    <xf numFmtId="0" fontId="48" fillId="39" borderId="0" applyNumberFormat="0" applyBorder="0" applyAlignment="0" applyProtection="0"/>
    <xf numFmtId="0" fontId="48" fillId="43" borderId="0" applyNumberFormat="0" applyBorder="0" applyAlignment="0" applyProtection="0"/>
    <xf numFmtId="0" fontId="22" fillId="35" borderId="0" applyNumberFormat="0" applyBorder="0" applyAlignment="0" applyProtection="0"/>
    <xf numFmtId="0" fontId="22" fillId="39" borderId="0" applyNumberFormat="0" applyBorder="0" applyAlignment="0" applyProtection="0"/>
    <xf numFmtId="0" fontId="48" fillId="39" borderId="0" applyNumberFormat="0" applyBorder="0" applyAlignment="0" applyProtection="0"/>
    <xf numFmtId="0" fontId="48" fillId="44" borderId="0" applyNumberFormat="0" applyBorder="0" applyAlignment="0" applyProtection="0"/>
    <xf numFmtId="0" fontId="22" fillId="45" borderId="0" applyNumberFormat="0" applyBorder="0" applyAlignment="0" applyProtection="0"/>
    <xf numFmtId="0" fontId="22" fillId="35" borderId="0" applyNumberFormat="0" applyBorder="0" applyAlignment="0" applyProtection="0"/>
    <xf numFmtId="0" fontId="48" fillId="36" borderId="0" applyNumberFormat="0" applyBorder="0" applyAlignment="0" applyProtection="0"/>
    <xf numFmtId="0" fontId="48" fillId="37" borderId="0" applyNumberFormat="0" applyBorder="0" applyAlignment="0" applyProtection="0"/>
    <xf numFmtId="0" fontId="22" fillId="38" borderId="0" applyNumberFormat="0" applyBorder="0" applyAlignment="0" applyProtection="0"/>
    <xf numFmtId="0" fontId="22" fillId="46" borderId="0" applyNumberFormat="0" applyBorder="0" applyAlignment="0" applyProtection="0"/>
    <xf numFmtId="0" fontId="48" fillId="46" borderId="0" applyNumberFormat="0" applyBorder="0" applyAlignment="0" applyProtection="0"/>
    <xf numFmtId="0" fontId="48" fillId="47" borderId="0" applyNumberFormat="0" applyBorder="0" applyAlignment="0" applyProtection="0"/>
    <xf numFmtId="0" fontId="49" fillId="0" borderId="0"/>
    <xf numFmtId="42" fontId="50" fillId="0" borderId="0" applyFont="0" applyFill="0" applyBorder="0" applyAlignment="0" applyProtection="0"/>
    <xf numFmtId="0" fontId="51" fillId="48" borderId="0" applyNumberFormat="0" applyBorder="0" applyAlignment="0" applyProtection="0"/>
    <xf numFmtId="0" fontId="52" fillId="0" borderId="0" applyNumberFormat="0" applyFill="0" applyBorder="0" applyAlignment="0"/>
    <xf numFmtId="41" fontId="4" fillId="20" borderId="0" applyNumberFormat="0" applyFont="0" applyBorder="0" applyAlignment="0">
      <alignment horizontal="right"/>
    </xf>
    <xf numFmtId="41" fontId="4" fillId="20" borderId="0" applyNumberFormat="0" applyFont="0" applyBorder="0" applyAlignment="0">
      <alignment horizontal="right"/>
    </xf>
    <xf numFmtId="0" fontId="53" fillId="0" borderId="0" applyNumberFormat="0" applyFill="0" applyBorder="0" applyAlignment="0">
      <protection locked="0"/>
    </xf>
    <xf numFmtId="0" fontId="54" fillId="32" borderId="10" applyNumberFormat="0" applyAlignment="0" applyProtection="0"/>
    <xf numFmtId="0" fontId="19" fillId="49" borderId="11" applyNumberFormat="0" applyAlignment="0" applyProtection="0"/>
    <xf numFmtId="41" fontId="4" fillId="0" borderId="0" applyFont="0" applyFill="0" applyBorder="0" applyAlignment="0" applyProtection="0"/>
    <xf numFmtId="0" fontId="55"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4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43" fontId="5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3" fontId="57"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0" fontId="58" fillId="50" borderId="0" applyNumberFormat="0" applyBorder="0" applyAlignment="0" applyProtection="0"/>
    <xf numFmtId="0" fontId="58" fillId="51" borderId="0" applyNumberFormat="0" applyBorder="0" applyAlignment="0" applyProtection="0"/>
    <xf numFmtId="0" fontId="58" fillId="52" borderId="0" applyNumberFormat="0" applyBorder="0" applyAlignment="0" applyProtection="0"/>
    <xf numFmtId="184" fontId="22" fillId="0" borderId="0" applyFont="0" applyFill="0" applyBorder="0" applyAlignment="0" applyProtection="0"/>
    <xf numFmtId="0" fontId="59" fillId="0" borderId="0" applyNumberForma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0" fontId="60" fillId="0" borderId="0"/>
    <xf numFmtId="0" fontId="61" fillId="0" borderId="0"/>
    <xf numFmtId="0" fontId="62" fillId="53" borderId="0" applyNumberFormat="0" applyBorder="0" applyAlignment="0" applyProtection="0"/>
    <xf numFmtId="0" fontId="40" fillId="0" borderId="0" applyFill="0" applyBorder="0">
      <alignment vertical="center"/>
    </xf>
    <xf numFmtId="0" fontId="63" fillId="0" borderId="12" applyNumberFormat="0" applyFill="0" applyAlignment="0" applyProtection="0"/>
    <xf numFmtId="0" fontId="40" fillId="0" borderId="0" applyFill="0" applyBorder="0">
      <alignment vertical="center"/>
    </xf>
    <xf numFmtId="0" fontId="26" fillId="0" borderId="0" applyFill="0" applyBorder="0">
      <alignment vertical="center"/>
    </xf>
    <xf numFmtId="0" fontId="64" fillId="0" borderId="13" applyNumberFormat="0" applyFill="0" applyAlignment="0" applyProtection="0"/>
    <xf numFmtId="0" fontId="26" fillId="0" borderId="0" applyFill="0" applyBorder="0">
      <alignment vertical="center"/>
    </xf>
    <xf numFmtId="0" fontId="65" fillId="0" borderId="14" applyNumberFormat="0" applyFill="0" applyAlignment="0" applyProtection="0"/>
    <xf numFmtId="0" fontId="65" fillId="0" borderId="14" applyNumberFormat="0" applyFill="0" applyAlignment="0" applyProtection="0"/>
    <xf numFmtId="0" fontId="42" fillId="0" borderId="0" applyFill="0" applyBorder="0">
      <alignment vertical="center"/>
    </xf>
    <xf numFmtId="0" fontId="42" fillId="0" borderId="0" applyFill="0" applyBorder="0">
      <alignment vertical="center"/>
    </xf>
    <xf numFmtId="0" fontId="37" fillId="0" borderId="0" applyFill="0" applyBorder="0">
      <alignment vertical="center"/>
    </xf>
    <xf numFmtId="0" fontId="65" fillId="0" borderId="0" applyNumberFormat="0" applyFill="0" applyBorder="0" applyAlignment="0" applyProtection="0"/>
    <xf numFmtId="0" fontId="37" fillId="0" borderId="0" applyFill="0" applyBorder="0">
      <alignment vertical="center"/>
    </xf>
    <xf numFmtId="183" fontId="66" fillId="0" borderId="0"/>
    <xf numFmtId="0" fontId="67" fillId="0" borderId="0" applyNumberFormat="0" applyFill="0" applyBorder="0" applyAlignment="0" applyProtection="0">
      <alignment vertical="top"/>
      <protection locked="0"/>
    </xf>
    <xf numFmtId="0" fontId="68" fillId="0" borderId="0" applyFill="0" applyBorder="0">
      <alignment horizontal="center" vertical="center"/>
      <protection locked="0"/>
    </xf>
    <xf numFmtId="0" fontId="69" fillId="0" borderId="0" applyFill="0" applyBorder="0">
      <alignment horizontal="left" vertical="center"/>
      <protection locked="0"/>
    </xf>
    <xf numFmtId="188" fontId="4" fillId="21" borderId="0" applyFont="0" applyBorder="0">
      <alignment horizontal="right"/>
    </xf>
    <xf numFmtId="0" fontId="70" fillId="30" borderId="10" applyNumberFormat="0" applyAlignment="0" applyProtection="0"/>
    <xf numFmtId="41" fontId="4" fillId="54" borderId="0" applyFont="0" applyBorder="0" applyAlignment="0">
      <alignment horizontal="right"/>
      <protection locked="0"/>
    </xf>
    <xf numFmtId="41" fontId="4" fillId="23" borderId="0" applyFont="0" applyBorder="0" applyAlignment="0">
      <alignment horizontal="right"/>
      <protection locked="0"/>
    </xf>
    <xf numFmtId="189" fontId="4" fillId="55" borderId="0" applyFont="0" applyBorder="0">
      <alignment horizontal="right"/>
      <protection locked="0"/>
    </xf>
    <xf numFmtId="189" fontId="4" fillId="55" borderId="0" applyFont="0" applyBorder="0">
      <alignment horizontal="right"/>
      <protection locked="0"/>
    </xf>
    <xf numFmtId="41" fontId="4" fillId="21" borderId="0" applyFont="0" applyBorder="0">
      <alignment horizontal="right"/>
      <protection locked="0"/>
    </xf>
    <xf numFmtId="0" fontId="37" fillId="20" borderId="0"/>
    <xf numFmtId="0" fontId="71" fillId="0" borderId="15" applyNumberFormat="0" applyFill="0" applyAlignment="0" applyProtection="0"/>
    <xf numFmtId="190" fontId="72" fillId="0" borderId="0"/>
    <xf numFmtId="0" fontId="41" fillId="0" borderId="0" applyFill="0" applyBorder="0">
      <alignment horizontal="left" vertical="center"/>
    </xf>
    <xf numFmtId="0" fontId="73" fillId="33" borderId="0" applyNumberFormat="0" applyBorder="0" applyAlignment="0" applyProtection="0"/>
    <xf numFmtId="191" fontId="7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9"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22" fillId="0" borderId="0"/>
    <xf numFmtId="0" fontId="50" fillId="0" borderId="0"/>
    <xf numFmtId="0" fontId="4" fillId="19" borderId="0"/>
    <xf numFmtId="0" fontId="4" fillId="0" borderId="0"/>
    <xf numFmtId="0" fontId="2" fillId="0" borderId="0"/>
    <xf numFmtId="0" fontId="4" fillId="0" borderId="0"/>
    <xf numFmtId="0" fontId="4" fillId="0" borderId="0"/>
    <xf numFmtId="0" fontId="4" fillId="31" borderId="16" applyNumberFormat="0" applyFont="0" applyAlignment="0" applyProtection="0"/>
    <xf numFmtId="0" fontId="75" fillId="32" borderId="17" applyNumberFormat="0" applyAlignment="0" applyProtection="0"/>
    <xf numFmtId="192" fontId="4" fillId="0" borderId="0" applyFill="0" applyBorder="0"/>
    <xf numFmtId="192" fontId="4" fillId="0" borderId="0" applyFill="0" applyBorder="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83" fontId="76" fillId="0" borderId="0"/>
    <xf numFmtId="0" fontId="42" fillId="0" borderId="0" applyFill="0" applyBorder="0">
      <alignment vertical="center"/>
    </xf>
    <xf numFmtId="0" fontId="55" fillId="0" borderId="0" applyNumberFormat="0" applyFont="0" applyFill="0" applyBorder="0" applyAlignment="0" applyProtection="0">
      <alignment horizontal="left"/>
    </xf>
    <xf numFmtId="15" fontId="55" fillId="0" borderId="0" applyFont="0" applyFill="0" applyBorder="0" applyAlignment="0" applyProtection="0"/>
    <xf numFmtId="4" fontId="55" fillId="0" borderId="0" applyFont="0" applyFill="0" applyBorder="0" applyAlignment="0" applyProtection="0"/>
    <xf numFmtId="193" fontId="77" fillId="0" borderId="7"/>
    <xf numFmtId="0" fontId="78" fillId="0" borderId="8">
      <alignment horizontal="center"/>
    </xf>
    <xf numFmtId="3" fontId="55" fillId="0" borderId="0" applyFont="0" applyFill="0" applyBorder="0" applyAlignment="0" applyProtection="0"/>
    <xf numFmtId="0" fontId="55" fillId="56" borderId="0" applyNumberFormat="0" applyFont="0" applyBorder="0" applyAlignment="0" applyProtection="0"/>
    <xf numFmtId="194" fontId="4" fillId="0" borderId="0"/>
    <xf numFmtId="194" fontId="4" fillId="0" borderId="0"/>
    <xf numFmtId="195" fontId="37" fillId="0" borderId="0" applyFill="0" applyBorder="0">
      <alignment horizontal="right" vertical="center"/>
    </xf>
    <xf numFmtId="196" fontId="37" fillId="0" borderId="0" applyFill="0" applyBorder="0">
      <alignment horizontal="right" vertical="center"/>
    </xf>
    <xf numFmtId="197" fontId="37" fillId="0" borderId="0" applyFill="0" applyBorder="0">
      <alignment horizontal="right" vertical="center"/>
    </xf>
    <xf numFmtId="0" fontId="4" fillId="31" borderId="0" applyNumberFormat="0" applyFont="0" applyBorder="0" applyAlignment="0" applyProtection="0"/>
    <xf numFmtId="0" fontId="4" fillId="31" borderId="0" applyNumberFormat="0" applyFont="0" applyBorder="0" applyAlignment="0" applyProtection="0"/>
    <xf numFmtId="0" fontId="4" fillId="32" borderId="0" applyNumberFormat="0" applyFont="0" applyBorder="0" applyAlignment="0" applyProtection="0"/>
    <xf numFmtId="0" fontId="4" fillId="32" borderId="0" applyNumberFormat="0" applyFont="0" applyBorder="0" applyAlignment="0" applyProtection="0"/>
    <xf numFmtId="0" fontId="4" fillId="34" borderId="0" applyNumberFormat="0" applyFont="0" applyBorder="0" applyAlignment="0" applyProtection="0"/>
    <xf numFmtId="0" fontId="4" fillId="34" borderId="0" applyNumberFormat="0" applyFont="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34" borderId="0" applyNumberFormat="0" applyFont="0" applyBorder="0" applyAlignment="0" applyProtection="0"/>
    <xf numFmtId="0" fontId="4" fillId="34" borderId="0" applyNumberFormat="0" applyFont="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Border="0" applyAlignment="0" applyProtection="0"/>
    <xf numFmtId="0" fontId="4" fillId="0" borderId="0" applyNumberFormat="0" applyFont="0" applyBorder="0" applyAlignment="0" applyProtection="0"/>
    <xf numFmtId="0" fontId="79" fillId="0" borderId="0" applyNumberFormat="0" applyFill="0" applyBorder="0" applyAlignment="0" applyProtection="0"/>
    <xf numFmtId="0" fontId="4" fillId="0" borderId="0"/>
    <xf numFmtId="0" fontId="4" fillId="0" borderId="0"/>
    <xf numFmtId="0" fontId="4" fillId="0" borderId="0"/>
    <xf numFmtId="0" fontId="41" fillId="0" borderId="0"/>
    <xf numFmtId="0" fontId="80" fillId="0" borderId="0"/>
    <xf numFmtId="15" fontId="4" fillId="0" borderId="0"/>
    <xf numFmtId="15" fontId="4" fillId="0" borderId="0"/>
    <xf numFmtId="15" fontId="4" fillId="0" borderId="0"/>
    <xf numFmtId="10" fontId="4" fillId="0" borderId="0"/>
    <xf numFmtId="10" fontId="4" fillId="0" borderId="0"/>
    <xf numFmtId="10" fontId="4" fillId="0" borderId="0"/>
    <xf numFmtId="0" fontId="81" fillId="26" borderId="2" applyBorder="0" applyProtection="0">
      <alignment horizontal="centerContinuous" vertical="center"/>
    </xf>
    <xf numFmtId="0" fontId="83" fillId="0" borderId="0">
      <alignment horizontal="left"/>
    </xf>
    <xf numFmtId="0" fontId="83" fillId="0" borderId="18" applyFill="0" applyBorder="0" applyProtection="0">
      <alignment horizontal="left" vertical="top"/>
    </xf>
    <xf numFmtId="49" fontId="4" fillId="0" borderId="0" applyFont="0" applyFill="0" applyBorder="0" applyAlignment="0" applyProtection="0"/>
    <xf numFmtId="0" fontId="84" fillId="0" borderId="0"/>
    <xf numFmtId="49" fontId="4" fillId="0" borderId="0" applyFont="0" applyFill="0" applyBorder="0" applyAlignment="0" applyProtection="0"/>
    <xf numFmtId="0" fontId="85" fillId="0" borderId="0"/>
    <xf numFmtId="0" fontId="85" fillId="0" borderId="0"/>
    <xf numFmtId="0" fontId="84" fillId="0" borderId="0"/>
    <xf numFmtId="190" fontId="86" fillId="0" borderId="0"/>
    <xf numFmtId="0" fontId="79" fillId="0" borderId="0" applyNumberFormat="0" applyFill="0" applyBorder="0" applyAlignment="0" applyProtection="0"/>
    <xf numFmtId="0" fontId="87" fillId="0" borderId="0" applyFill="0" applyBorder="0">
      <alignment horizontal="left" vertical="center"/>
      <protection locked="0"/>
    </xf>
    <xf numFmtId="0" fontId="84" fillId="0" borderId="0"/>
    <xf numFmtId="0" fontId="88" fillId="0" borderId="0" applyFill="0" applyBorder="0">
      <alignment horizontal="left" vertical="center"/>
      <protection locked="0"/>
    </xf>
    <xf numFmtId="0" fontId="58" fillId="0" borderId="19" applyNumberFormat="0" applyFill="0" applyAlignment="0" applyProtection="0"/>
    <xf numFmtId="0" fontId="89" fillId="0" borderId="0" applyNumberFormat="0" applyFill="0" applyBorder="0" applyAlignment="0" applyProtection="0"/>
    <xf numFmtId="198" fontId="4" fillId="0" borderId="2" applyBorder="0" applyProtection="0">
      <alignment horizontal="right"/>
    </xf>
    <xf numFmtId="198" fontId="4" fillId="0" borderId="2" applyBorder="0" applyProtection="0">
      <alignment horizontal="right"/>
    </xf>
    <xf numFmtId="198" fontId="4" fillId="0" borderId="2" applyBorder="0" applyProtection="0">
      <alignment horizontal="right"/>
    </xf>
    <xf numFmtId="0" fontId="2" fillId="0" borderId="0"/>
    <xf numFmtId="0" fontId="4" fillId="0" borderId="0"/>
    <xf numFmtId="0" fontId="2" fillId="0" borderId="0"/>
    <xf numFmtId="0" fontId="2" fillId="0" borderId="0"/>
    <xf numFmtId="0" fontId="2" fillId="0" borderId="0"/>
    <xf numFmtId="184" fontId="4" fillId="0" borderId="0"/>
    <xf numFmtId="0" fontId="2" fillId="16" borderId="0" applyNumberFormat="0" applyBorder="0" applyAlignment="0" applyProtection="0"/>
    <xf numFmtId="0" fontId="2" fillId="17" borderId="0" applyNumberFormat="0" applyBorder="0" applyAlignment="0" applyProtection="0"/>
    <xf numFmtId="41" fontId="4" fillId="20" borderId="0" applyNumberFormat="0" applyFont="0" applyBorder="0" applyAlignment="0">
      <alignment horizontal="right"/>
    </xf>
    <xf numFmtId="0" fontId="54" fillId="32" borderId="10" applyNumberFormat="0" applyAlignment="0" applyProtection="0"/>
    <xf numFmtId="0" fontId="54" fillId="32" borderId="10" applyNumberFormat="0" applyAlignment="0" applyProtection="0"/>
    <xf numFmtId="0" fontId="19" fillId="49" borderId="11" applyNumberFormat="0" applyAlignment="0" applyProtection="0"/>
    <xf numFmtId="43" fontId="2"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43" fontId="4" fillId="0" borderId="0" applyFont="0" applyFill="0" applyBorder="0" applyAlignment="0" applyProtection="0"/>
    <xf numFmtId="0" fontId="4"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0"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9" fontId="8" fillId="57" borderId="20">
      <alignment horizontal="center" vertical="center" wrapText="1"/>
    </xf>
    <xf numFmtId="0" fontId="65" fillId="0" borderId="14"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90"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91" fillId="0" borderId="0" applyNumberFormat="0" applyFill="0" applyBorder="0" applyAlignment="0" applyProtection="0"/>
    <xf numFmtId="0" fontId="90" fillId="0" borderId="0" applyNumberFormat="0" applyFill="0" applyBorder="0" applyAlignment="0" applyProtection="0">
      <alignment vertical="top"/>
      <protection locked="0"/>
    </xf>
    <xf numFmtId="188" fontId="4" fillId="21" borderId="0" applyFont="0" applyBorder="0">
      <alignment horizontal="right"/>
    </xf>
    <xf numFmtId="183" fontId="4" fillId="21" borderId="0" applyFont="0" applyBorder="0" applyAlignment="0"/>
    <xf numFmtId="0" fontId="70" fillId="30" borderId="10" applyNumberFormat="0" applyAlignment="0" applyProtection="0"/>
    <xf numFmtId="0" fontId="70" fillId="30" borderId="10" applyNumberFormat="0" applyAlignment="0" applyProtection="0"/>
    <xf numFmtId="41" fontId="4" fillId="54" borderId="0" applyFont="0" applyBorder="0" applyAlignment="0">
      <alignment horizontal="right"/>
      <protection locked="0"/>
    </xf>
    <xf numFmtId="41" fontId="4" fillId="54" borderId="0" applyFont="0" applyBorder="0" applyAlignment="0">
      <alignment horizontal="right"/>
      <protection locked="0"/>
    </xf>
    <xf numFmtId="41" fontId="4" fillId="54" borderId="0" applyFont="0" applyBorder="0" applyAlignment="0">
      <alignment horizontal="right"/>
      <protection locked="0"/>
    </xf>
    <xf numFmtId="41" fontId="4" fillId="54" borderId="0" applyFont="0" applyBorder="0" applyAlignment="0">
      <alignment horizontal="right"/>
      <protection locked="0"/>
    </xf>
    <xf numFmtId="41" fontId="4" fillId="23" borderId="0" applyFont="0" applyBorder="0" applyAlignment="0">
      <alignment horizontal="right"/>
      <protection locked="0"/>
    </xf>
    <xf numFmtId="10" fontId="4" fillId="23" borderId="0" applyFont="0" applyBorder="0">
      <alignment horizontal="right"/>
      <protection locked="0"/>
    </xf>
    <xf numFmtId="3" fontId="4" fillId="58" borderId="0" applyFont="0" applyBorder="0">
      <protection locked="0"/>
    </xf>
    <xf numFmtId="183" fontId="26" fillId="58" borderId="0" applyBorder="0" applyAlignment="0">
      <protection locked="0"/>
    </xf>
    <xf numFmtId="189" fontId="4" fillId="55" borderId="0" applyFont="0" applyBorder="0">
      <alignment horizontal="right"/>
      <protection locked="0"/>
    </xf>
    <xf numFmtId="41" fontId="4" fillId="21" borderId="0" applyFont="0" applyBorder="0">
      <alignment horizontal="right"/>
      <protection locked="0"/>
    </xf>
    <xf numFmtId="199" fontId="2" fillId="27" borderId="9">
      <protection locked="0"/>
    </xf>
    <xf numFmtId="199" fontId="2" fillId="27" borderId="9">
      <protection locked="0"/>
    </xf>
    <xf numFmtId="199" fontId="2" fillId="27" borderId="9">
      <protection locked="0"/>
    </xf>
    <xf numFmtId="49" fontId="2" fillId="27" borderId="9" applyFont="0" applyAlignment="0">
      <alignment horizontal="left" vertical="center" wrapText="1"/>
      <protection locked="0"/>
    </xf>
    <xf numFmtId="49" fontId="2" fillId="27" borderId="9" applyFont="0" applyAlignment="0">
      <alignment horizontal="left" vertical="center" wrapText="1"/>
      <protection locked="0"/>
    </xf>
    <xf numFmtId="49" fontId="2" fillId="27" borderId="9" applyFont="0" applyAlignment="0">
      <alignment horizontal="left" vertical="center" wrapText="1"/>
      <protection locked="0"/>
    </xf>
    <xf numFmtId="183" fontId="92" fillId="59" borderId="0" applyBorder="0" applyAlignment="0"/>
    <xf numFmtId="188" fontId="21" fillId="20" borderId="3" applyFont="0" applyBorder="0" applyAlignment="0"/>
    <xf numFmtId="183" fontId="26" fillId="20" borderId="0" applyFont="0" applyBorder="0" applyAlignment="0"/>
    <xf numFmtId="199" fontId="2" fillId="28" borderId="9"/>
    <xf numFmtId="199" fontId="2" fillId="28" borderId="9"/>
    <xf numFmtId="199" fontId="2" fillId="28" borderId="9"/>
    <xf numFmtId="0" fontId="4" fillId="19" borderId="0"/>
    <xf numFmtId="0" fontId="4" fillId="0" borderId="0"/>
    <xf numFmtId="0" fontId="4" fillId="19"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19" borderId="0"/>
    <xf numFmtId="0" fontId="4" fillId="19" borderId="0"/>
    <xf numFmtId="0" fontId="4" fillId="0" borderId="0"/>
    <xf numFmtId="0" fontId="56" fillId="0" borderId="0"/>
    <xf numFmtId="0" fontId="22" fillId="0" borderId="0"/>
    <xf numFmtId="0" fontId="22" fillId="0" borderId="0"/>
    <xf numFmtId="0" fontId="4" fillId="0" borderId="0"/>
    <xf numFmtId="0" fontId="4" fillId="0" borderId="0" applyFill="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19" borderId="0"/>
    <xf numFmtId="0" fontId="4" fillId="19" borderId="0"/>
    <xf numFmtId="0" fontId="4" fillId="0" borderId="0"/>
    <xf numFmtId="0" fontId="4" fillId="19" borderId="0"/>
    <xf numFmtId="0" fontId="2" fillId="0" borderId="0"/>
    <xf numFmtId="0" fontId="2" fillId="0" borderId="0"/>
    <xf numFmtId="0" fontId="2" fillId="0" borderId="0"/>
    <xf numFmtId="0" fontId="4" fillId="0" borderId="0"/>
    <xf numFmtId="0" fontId="4" fillId="0" borderId="0"/>
    <xf numFmtId="0" fontId="2" fillId="0" borderId="0">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pplyFill="0"/>
    <xf numFmtId="0" fontId="4" fillId="0" borderId="0"/>
    <xf numFmtId="0" fontId="2" fillId="0" borderId="0"/>
    <xf numFmtId="0" fontId="22" fillId="0" borderId="0"/>
    <xf numFmtId="0" fontId="4" fillId="19"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4" fillId="31" borderId="16" applyNumberFormat="0" applyFont="0" applyAlignment="0" applyProtection="0"/>
    <xf numFmtId="0" fontId="4" fillId="31" borderId="16" applyNumberFormat="0" applyFont="0" applyAlignment="0" applyProtection="0"/>
    <xf numFmtId="0" fontId="4" fillId="31" borderId="16" applyNumberFormat="0" applyFont="0" applyAlignment="0" applyProtection="0"/>
    <xf numFmtId="0" fontId="4" fillId="31" borderId="16" applyNumberFormat="0" applyFont="0" applyAlignment="0" applyProtection="0"/>
    <xf numFmtId="0" fontId="4" fillId="31" borderId="16" applyNumberFormat="0" applyFont="0" applyAlignment="0" applyProtection="0"/>
    <xf numFmtId="0" fontId="4" fillId="31" borderId="16" applyNumberFormat="0" applyFont="0" applyAlignment="0" applyProtection="0"/>
    <xf numFmtId="0" fontId="4" fillId="31" borderId="16" applyNumberFormat="0" applyFont="0" applyAlignment="0" applyProtection="0"/>
    <xf numFmtId="0" fontId="4" fillId="31" borderId="16" applyNumberFormat="0" applyFont="0" applyAlignment="0" applyProtection="0"/>
    <xf numFmtId="0" fontId="75" fillId="32" borderId="17" applyNumberFormat="0" applyAlignment="0" applyProtection="0"/>
    <xf numFmtId="0" fontId="75" fillId="32" borderId="17" applyNumberForma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78" fillId="0" borderId="8">
      <alignment horizontal="center"/>
    </xf>
    <xf numFmtId="0" fontId="78" fillId="0" borderId="8">
      <alignment horizontal="center"/>
    </xf>
    <xf numFmtId="0" fontId="78" fillId="0" borderId="8">
      <alignment horizontal="center"/>
    </xf>
    <xf numFmtId="0" fontId="78" fillId="0" borderId="8">
      <alignment horizontal="center"/>
    </xf>
    <xf numFmtId="0" fontId="78" fillId="0" borderId="8">
      <alignment horizontal="center"/>
    </xf>
    <xf numFmtId="0" fontId="78" fillId="0" borderId="8">
      <alignment horizontal="center"/>
    </xf>
    <xf numFmtId="199" fontId="45" fillId="27" borderId="21">
      <alignment horizontal="right" indent="2"/>
      <protection locked="0"/>
    </xf>
    <xf numFmtId="0" fontId="4" fillId="0" borderId="0"/>
    <xf numFmtId="0" fontId="4" fillId="0" borderId="0"/>
    <xf numFmtId="0" fontId="4" fillId="0" borderId="0"/>
    <xf numFmtId="0" fontId="4" fillId="0" borderId="0"/>
    <xf numFmtId="0" fontId="4" fillId="0" borderId="0"/>
    <xf numFmtId="0" fontId="58" fillId="0" borderId="19" applyNumberFormat="0" applyFill="0" applyAlignment="0" applyProtection="0"/>
    <xf numFmtId="0" fontId="58" fillId="0" borderId="19" applyNumberFormat="0" applyFill="0" applyAlignment="0" applyProtection="0"/>
    <xf numFmtId="0" fontId="93" fillId="0" borderId="0" applyNumberFormat="0" applyFill="0" applyBorder="0" applyAlignment="0" applyProtection="0"/>
    <xf numFmtId="0" fontId="2" fillId="0" borderId="0"/>
    <xf numFmtId="9" fontId="2" fillId="0" borderId="0" applyFont="0" applyFill="0" applyBorder="0" applyAlignment="0" applyProtection="0"/>
    <xf numFmtId="0" fontId="95" fillId="60" borderId="22" applyNumberFormat="0" applyAlignment="0" applyProtection="0"/>
    <xf numFmtId="0" fontId="96" fillId="0" borderId="0" applyNumberFormat="0" applyFill="0" applyBorder="0" applyAlignment="0" applyProtection="0"/>
    <xf numFmtId="0" fontId="99" fillId="62" borderId="0" applyNumberFormat="0" applyFont="0" applyAlignment="0" applyProtection="0"/>
    <xf numFmtId="0" fontId="100" fillId="64" borderId="23" applyNumberFormat="0" applyAlignment="0" applyProtection="0"/>
    <xf numFmtId="0" fontId="102" fillId="64" borderId="23" applyNumberFormat="0" applyAlignment="0" applyProtection="0"/>
    <xf numFmtId="0" fontId="104" fillId="66" borderId="25" applyNumberFormat="0" applyProtection="0">
      <alignment horizontal="center"/>
    </xf>
    <xf numFmtId="0" fontId="99" fillId="69" borderId="0" applyNumberFormat="0" applyAlignment="0"/>
    <xf numFmtId="0" fontId="106" fillId="0" borderId="0" applyNumberForma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205" fontId="113" fillId="0" borderId="0" applyFont="0" applyFill="0" applyBorder="0" applyAlignment="0" applyProtection="0"/>
    <xf numFmtId="0" fontId="114" fillId="0" borderId="0" applyNumberFormat="0" applyFill="0" applyBorder="0" applyAlignment="0"/>
    <xf numFmtId="41" fontId="4" fillId="20" borderId="0" applyNumberFormat="0" applyFont="0" applyBorder="0" applyAlignment="0">
      <alignment horizontal="right"/>
    </xf>
    <xf numFmtId="0" fontId="115" fillId="0" borderId="0" applyNumberFormat="0" applyFill="0" applyBorder="0" applyAlignment="0">
      <protection locked="0"/>
    </xf>
    <xf numFmtId="206" fontId="21" fillId="0" borderId="0" applyAlignment="0" applyProtection="0"/>
    <xf numFmtId="49" fontId="116" fillId="0" borderId="38" applyNumberFormat="0" applyAlignment="0" applyProtection="0">
      <alignment horizontal="left" wrapText="1"/>
    </xf>
    <xf numFmtId="49" fontId="117" fillId="0" borderId="0" applyAlignment="0" applyProtection="0">
      <alignment horizontal="left"/>
    </xf>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207" fontId="113" fillId="0" borderId="0" applyFont="0" applyFill="0" applyBorder="0" applyAlignment="0" applyProtection="0"/>
    <xf numFmtId="0" fontId="4" fillId="0" borderId="0" applyFont="0" applyFill="0" applyBorder="0" applyAlignment="0" applyProtection="0"/>
    <xf numFmtId="0" fontId="118" fillId="0" borderId="0"/>
    <xf numFmtId="0" fontId="119" fillId="0" borderId="0"/>
    <xf numFmtId="41" fontId="4" fillId="23" borderId="0" applyFont="0" applyBorder="0" applyAlignment="0">
      <alignment horizontal="right"/>
      <protection locked="0"/>
    </xf>
    <xf numFmtId="41" fontId="4" fillId="21" borderId="0" applyFont="0" applyBorder="0">
      <alignment horizontal="right"/>
      <protection locked="0"/>
    </xf>
    <xf numFmtId="0" fontId="4" fillId="19" borderId="0"/>
    <xf numFmtId="208" fontId="74" fillId="0" borderId="0" applyFill="0" applyBorder="0"/>
    <xf numFmtId="0" fontId="78" fillId="0" borderId="32">
      <alignment horizontal="center"/>
    </xf>
    <xf numFmtId="209" fontId="4" fillId="0" borderId="0"/>
    <xf numFmtId="185" fontId="37" fillId="0" borderId="0"/>
    <xf numFmtId="210" fontId="120" fillId="0" borderId="2" applyBorder="0" applyProtection="0">
      <alignment horizontal="right"/>
    </xf>
    <xf numFmtId="211" fontId="4" fillId="0" borderId="0"/>
    <xf numFmtId="185" fontId="37" fillId="0" borderId="0"/>
    <xf numFmtId="0" fontId="4" fillId="0" borderId="0"/>
    <xf numFmtId="0" fontId="4" fillId="0" borderId="0"/>
    <xf numFmtId="0" fontId="4" fillId="0" borderId="0"/>
    <xf numFmtId="38" fontId="123" fillId="0" borderId="0" applyFont="0" applyFill="0" applyBorder="0" applyAlignment="0" applyProtection="0">
      <alignment horizontal="right"/>
      <protection locked="0"/>
    </xf>
    <xf numFmtId="0" fontId="4" fillId="0" borderId="0"/>
    <xf numFmtId="211" fontId="4" fillId="0" borderId="0"/>
    <xf numFmtId="211" fontId="4" fillId="0" borderId="0"/>
    <xf numFmtId="211" fontId="4" fillId="0" borderId="0"/>
    <xf numFmtId="0" fontId="4" fillId="0" borderId="0"/>
    <xf numFmtId="0" fontId="4" fillId="0" borderId="0"/>
    <xf numFmtId="0" fontId="4" fillId="0" borderId="0"/>
    <xf numFmtId="0" fontId="4" fillId="0" borderId="0"/>
    <xf numFmtId="0" fontId="4" fillId="0" borderId="0"/>
    <xf numFmtId="185" fontId="37" fillId="0" borderId="0"/>
    <xf numFmtId="211" fontId="4" fillId="0" borderId="0" applyFont="0" applyFill="0" applyBorder="0" applyAlignment="0" applyProtection="0"/>
    <xf numFmtId="211"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11" fontId="4" fillId="0" borderId="0"/>
    <xf numFmtId="211" fontId="4" fillId="0" borderId="0"/>
    <xf numFmtId="211" fontId="4" fillId="0" borderId="0"/>
    <xf numFmtId="0" fontId="4" fillId="0" borderId="0"/>
    <xf numFmtId="0" fontId="4" fillId="0" borderId="0"/>
    <xf numFmtId="0" fontId="4" fillId="0" borderId="0"/>
    <xf numFmtId="0" fontId="4" fillId="0" borderId="0"/>
    <xf numFmtId="0" fontId="4" fillId="0" borderId="0"/>
    <xf numFmtId="185" fontId="37" fillId="0" borderId="0"/>
    <xf numFmtId="185" fontId="37" fillId="0" borderId="0"/>
    <xf numFmtId="185" fontId="37" fillId="0" borderId="0"/>
    <xf numFmtId="185" fontId="37" fillId="0" borderId="0"/>
    <xf numFmtId="185" fontId="37" fillId="0" borderId="0"/>
    <xf numFmtId="0" fontId="4" fillId="0" borderId="0"/>
    <xf numFmtId="21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37" fillId="0" borderId="0"/>
    <xf numFmtId="0" fontId="4" fillId="0" borderId="0"/>
    <xf numFmtId="0" fontId="4" fillId="0" borderId="0"/>
    <xf numFmtId="194" fontId="4" fillId="0" borderId="0"/>
    <xf numFmtId="212" fontId="124" fillId="0" borderId="0" applyFont="0" applyFill="0" applyBorder="0" applyAlignment="0" applyProtection="0"/>
    <xf numFmtId="213" fontId="124" fillId="0" borderId="0" applyFont="0" applyFill="0" applyBorder="0" applyAlignment="0" applyProtection="0"/>
    <xf numFmtId="211" fontId="4" fillId="0" borderId="0"/>
    <xf numFmtId="211" fontId="4" fillId="0" borderId="0"/>
    <xf numFmtId="211" fontId="4" fillId="0" borderId="0"/>
    <xf numFmtId="211" fontId="125" fillId="0" borderId="0"/>
    <xf numFmtId="6" fontId="126" fillId="0" borderId="0" applyFont="0" applyFill="0" applyBorder="0" applyAlignment="0" applyProtection="0"/>
    <xf numFmtId="6" fontId="126" fillId="0" borderId="0" applyFont="0" applyFill="0" applyBorder="0" applyAlignment="0" applyProtection="0"/>
    <xf numFmtId="0" fontId="22" fillId="32" borderId="0" applyNumberFormat="0" applyBorder="0" applyAlignment="0" applyProtection="0"/>
    <xf numFmtId="0" fontId="22" fillId="78" borderId="0" applyNumberFormat="0" applyBorder="0" applyAlignment="0" applyProtection="0"/>
    <xf numFmtId="0" fontId="127" fillId="0" borderId="0">
      <alignment horizontal="center" vertical="center"/>
    </xf>
    <xf numFmtId="0" fontId="22" fillId="34" borderId="0" applyNumberFormat="0" applyBorder="0" applyAlignment="0" applyProtection="0"/>
    <xf numFmtId="0" fontId="22" fillId="79" borderId="0" applyNumberFormat="0" applyBorder="0" applyAlignment="0" applyProtection="0"/>
    <xf numFmtId="0" fontId="48" fillId="37" borderId="0" applyNumberFormat="0" applyBorder="0" applyAlignment="0" applyProtection="0"/>
    <xf numFmtId="0" fontId="128" fillId="76" borderId="0" applyNumberFormat="0" applyBorder="0" applyAlignment="0" applyProtection="0"/>
    <xf numFmtId="0" fontId="48" fillId="37" borderId="0" applyNumberFormat="0" applyBorder="0" applyAlignment="0" applyProtection="0"/>
    <xf numFmtId="0" fontId="128" fillId="77" borderId="0" applyNumberFormat="0" applyBorder="0" applyAlignment="0" applyProtection="0"/>
    <xf numFmtId="49" fontId="129" fillId="20" borderId="0"/>
    <xf numFmtId="15" fontId="130" fillId="0" borderId="39" applyNumberFormat="0" applyFont="0" applyAlignment="0" applyProtection="0">
      <alignment horizontal="center"/>
    </xf>
    <xf numFmtId="214" fontId="17" fillId="0" borderId="40">
      <alignment vertical="center"/>
      <protection locked="0"/>
    </xf>
    <xf numFmtId="214" fontId="17" fillId="0" borderId="40">
      <alignment vertical="center"/>
      <protection locked="0"/>
    </xf>
    <xf numFmtId="214" fontId="17" fillId="0" borderId="40">
      <alignment vertical="center"/>
      <protection locked="0"/>
    </xf>
    <xf numFmtId="215" fontId="17" fillId="0" borderId="40">
      <alignment vertical="center"/>
      <protection locked="0"/>
    </xf>
    <xf numFmtId="215" fontId="17" fillId="0" borderId="40">
      <alignment vertical="center"/>
      <protection locked="0"/>
    </xf>
    <xf numFmtId="215" fontId="17" fillId="0" borderId="40">
      <alignment vertical="center"/>
      <protection locked="0"/>
    </xf>
    <xf numFmtId="215" fontId="17" fillId="0" borderId="40">
      <alignment vertical="center"/>
      <protection locked="0"/>
    </xf>
    <xf numFmtId="0" fontId="17" fillId="0" borderId="40">
      <alignment vertical="center"/>
      <protection locked="0"/>
    </xf>
    <xf numFmtId="0" fontId="17" fillId="0" borderId="40">
      <alignment vertical="center"/>
      <protection locked="0"/>
    </xf>
    <xf numFmtId="0" fontId="17" fillId="0" borderId="40">
      <alignment vertical="center"/>
      <protection locked="0"/>
    </xf>
    <xf numFmtId="0" fontId="17" fillId="0" borderId="40">
      <alignment vertical="center"/>
      <protection locked="0"/>
    </xf>
    <xf numFmtId="216" fontId="17" fillId="0" borderId="40">
      <alignment vertical="center"/>
      <protection locked="0"/>
    </xf>
    <xf numFmtId="216" fontId="17" fillId="0" borderId="40">
      <alignment vertical="center"/>
      <protection locked="0"/>
    </xf>
    <xf numFmtId="216" fontId="17" fillId="0" borderId="40">
      <alignment vertical="center"/>
      <protection locked="0"/>
    </xf>
    <xf numFmtId="196" fontId="17" fillId="0" borderId="40">
      <alignment vertical="center"/>
      <protection locked="0"/>
    </xf>
    <xf numFmtId="196" fontId="17" fillId="0" borderId="40">
      <alignment vertical="center"/>
      <protection locked="0"/>
    </xf>
    <xf numFmtId="196" fontId="17" fillId="0" borderId="40">
      <alignment vertical="center"/>
      <protection locked="0"/>
    </xf>
    <xf numFmtId="196" fontId="17" fillId="0" borderId="40">
      <alignment vertical="center"/>
      <protection locked="0"/>
    </xf>
    <xf numFmtId="217" fontId="17" fillId="0" borderId="40">
      <alignment vertical="center"/>
      <protection locked="0"/>
    </xf>
    <xf numFmtId="217" fontId="17" fillId="0" borderId="40">
      <alignment vertical="center"/>
      <protection locked="0"/>
    </xf>
    <xf numFmtId="217" fontId="17" fillId="0" borderId="40">
      <alignment vertical="center"/>
      <protection locked="0"/>
    </xf>
    <xf numFmtId="217" fontId="17" fillId="0" borderId="40">
      <alignment vertical="center"/>
      <protection locked="0"/>
    </xf>
    <xf numFmtId="218" fontId="17" fillId="0" borderId="40">
      <alignment vertical="center"/>
      <protection locked="0"/>
    </xf>
    <xf numFmtId="218" fontId="17" fillId="0" borderId="40">
      <alignment vertical="center"/>
      <protection locked="0"/>
    </xf>
    <xf numFmtId="218" fontId="17" fillId="0" borderId="40">
      <alignment vertical="center"/>
      <protection locked="0"/>
    </xf>
    <xf numFmtId="214" fontId="37" fillId="0" borderId="41">
      <alignment horizontal="center" vertical="center"/>
      <protection locked="0"/>
    </xf>
    <xf numFmtId="214" fontId="37" fillId="0" borderId="41">
      <alignment horizontal="center" vertical="center"/>
      <protection locked="0"/>
    </xf>
    <xf numFmtId="214" fontId="37" fillId="0" borderId="41">
      <alignment horizontal="center" vertical="center"/>
      <protection locked="0"/>
    </xf>
    <xf numFmtId="219" fontId="37" fillId="0" borderId="41">
      <alignment horizontal="center" vertical="center"/>
      <protection locked="0"/>
    </xf>
    <xf numFmtId="15" fontId="37" fillId="0" borderId="41">
      <alignment horizontal="center" vertical="center"/>
      <protection locked="0"/>
    </xf>
    <xf numFmtId="15" fontId="37" fillId="0" borderId="41">
      <alignment horizontal="center" vertical="center"/>
      <protection locked="0"/>
    </xf>
    <xf numFmtId="216" fontId="37" fillId="0" borderId="41">
      <alignment horizontal="center" vertical="center"/>
      <protection locked="0"/>
    </xf>
    <xf numFmtId="216" fontId="37" fillId="0" borderId="41">
      <alignment horizontal="center" vertical="center"/>
      <protection locked="0"/>
    </xf>
    <xf numFmtId="216" fontId="37" fillId="0" borderId="41">
      <alignment horizontal="center" vertical="center"/>
      <protection locked="0"/>
    </xf>
    <xf numFmtId="196" fontId="37" fillId="0" borderId="41">
      <alignment horizontal="center" vertical="center"/>
      <protection locked="0"/>
    </xf>
    <xf numFmtId="196" fontId="37" fillId="0" borderId="41">
      <alignment horizontal="center" vertical="center"/>
      <protection locked="0"/>
    </xf>
    <xf numFmtId="196" fontId="37" fillId="0" borderId="41">
      <alignment horizontal="center" vertical="center"/>
      <protection locked="0"/>
    </xf>
    <xf numFmtId="217" fontId="37" fillId="0" borderId="41">
      <alignment horizontal="center" vertical="center"/>
      <protection locked="0"/>
    </xf>
    <xf numFmtId="217" fontId="37" fillId="0" borderId="41">
      <alignment horizontal="center" vertical="center"/>
      <protection locked="0"/>
    </xf>
    <xf numFmtId="217" fontId="37" fillId="0" borderId="41">
      <alignment horizontal="center" vertical="center"/>
      <protection locked="0"/>
    </xf>
    <xf numFmtId="197" fontId="37" fillId="0" borderId="41">
      <alignment horizontal="center" vertical="center"/>
      <protection locked="0"/>
    </xf>
    <xf numFmtId="197" fontId="37" fillId="0" borderId="41">
      <alignment horizontal="center" vertical="center"/>
      <protection locked="0"/>
    </xf>
    <xf numFmtId="197" fontId="37" fillId="0" borderId="41">
      <alignment horizontal="center" vertical="center"/>
      <protection locked="0"/>
    </xf>
    <xf numFmtId="211" fontId="37" fillId="0" borderId="41">
      <alignment vertical="center"/>
      <protection locked="0"/>
    </xf>
    <xf numFmtId="0" fontId="37" fillId="0" borderId="41">
      <alignment vertical="center"/>
      <protection locked="0"/>
    </xf>
    <xf numFmtId="0" fontId="37" fillId="0" borderId="41">
      <alignment vertical="center"/>
      <protection locked="0"/>
    </xf>
    <xf numFmtId="0" fontId="37" fillId="0" borderId="41">
      <alignment vertical="center"/>
      <protection locked="0"/>
    </xf>
    <xf numFmtId="0" fontId="37" fillId="0" borderId="41">
      <alignment vertical="center"/>
      <protection locked="0"/>
    </xf>
    <xf numFmtId="214" fontId="37" fillId="0" borderId="41">
      <alignment horizontal="right" vertical="center"/>
      <protection locked="0"/>
    </xf>
    <xf numFmtId="214" fontId="37" fillId="0" borderId="41">
      <alignment horizontal="right" vertical="center"/>
      <protection locked="0"/>
    </xf>
    <xf numFmtId="214" fontId="37" fillId="0" borderId="41">
      <alignment horizontal="right" vertical="center"/>
      <protection locked="0"/>
    </xf>
    <xf numFmtId="220" fontId="37" fillId="0" borderId="41">
      <alignment horizontal="right" vertical="center"/>
      <protection locked="0"/>
    </xf>
    <xf numFmtId="195" fontId="37" fillId="0" borderId="41">
      <alignment horizontal="right" vertical="center"/>
      <protection locked="0"/>
    </xf>
    <xf numFmtId="195" fontId="37" fillId="0" borderId="41">
      <alignment horizontal="right" vertical="center"/>
      <protection locked="0"/>
    </xf>
    <xf numFmtId="216" fontId="37" fillId="0" borderId="41">
      <alignment horizontal="right" vertical="center"/>
      <protection locked="0"/>
    </xf>
    <xf numFmtId="216" fontId="37" fillId="0" borderId="41">
      <alignment horizontal="right" vertical="center"/>
      <protection locked="0"/>
    </xf>
    <xf numFmtId="216" fontId="37" fillId="0" borderId="41">
      <alignment horizontal="right" vertical="center"/>
      <protection locked="0"/>
    </xf>
    <xf numFmtId="196" fontId="37" fillId="0" borderId="41">
      <alignment horizontal="right" vertical="center"/>
      <protection locked="0"/>
    </xf>
    <xf numFmtId="196" fontId="37" fillId="0" borderId="41">
      <alignment horizontal="right" vertical="center"/>
      <protection locked="0"/>
    </xf>
    <xf numFmtId="196" fontId="37" fillId="0" borderId="41">
      <alignment horizontal="right" vertical="center"/>
      <protection locked="0"/>
    </xf>
    <xf numFmtId="217" fontId="37" fillId="0" borderId="41">
      <alignment horizontal="right" vertical="center"/>
      <protection locked="0"/>
    </xf>
    <xf numFmtId="217" fontId="37" fillId="0" borderId="41">
      <alignment horizontal="right" vertical="center"/>
      <protection locked="0"/>
    </xf>
    <xf numFmtId="217" fontId="37" fillId="0" borderId="41">
      <alignment horizontal="right" vertical="center"/>
      <protection locked="0"/>
    </xf>
    <xf numFmtId="197" fontId="37" fillId="0" borderId="41">
      <alignment horizontal="right" vertical="center"/>
      <protection locked="0"/>
    </xf>
    <xf numFmtId="197" fontId="37" fillId="0" borderId="41">
      <alignment horizontal="right" vertical="center"/>
      <protection locked="0"/>
    </xf>
    <xf numFmtId="197" fontId="37" fillId="0" borderId="41">
      <alignment horizontal="right" vertical="center"/>
      <protection locked="0"/>
    </xf>
    <xf numFmtId="211" fontId="131" fillId="80" borderId="0">
      <alignment vertical="center"/>
    </xf>
    <xf numFmtId="0" fontId="113" fillId="81" borderId="42"/>
    <xf numFmtId="41" fontId="4" fillId="20" borderId="0" applyNumberFormat="0" applyFont="0" applyBorder="0" applyAlignment="0">
      <alignment horizontal="right"/>
    </xf>
    <xf numFmtId="211" fontId="132" fillId="0" borderId="2" applyNumberFormat="0" applyFill="0" applyAlignment="0" applyProtection="0"/>
    <xf numFmtId="0" fontId="132" fillId="0" borderId="2" applyNumberFormat="0" applyFill="0" applyAlignment="0" applyProtection="0"/>
    <xf numFmtId="0" fontId="132" fillId="0" borderId="2" applyNumberFormat="0" applyFill="0" applyAlignment="0" applyProtection="0"/>
    <xf numFmtId="0" fontId="132" fillId="0" borderId="2" applyNumberFormat="0" applyFill="0" applyAlignment="0" applyProtection="0"/>
    <xf numFmtId="0" fontId="132" fillId="0" borderId="2" applyNumberFormat="0" applyFill="0" applyAlignment="0" applyProtection="0"/>
    <xf numFmtId="0" fontId="132" fillId="0" borderId="2" applyNumberFormat="0" applyFill="0" applyAlignment="0" applyProtection="0"/>
    <xf numFmtId="0" fontId="132" fillId="0" borderId="2" applyNumberFormat="0" applyFill="0" applyAlignment="0" applyProtection="0"/>
    <xf numFmtId="211" fontId="132" fillId="0" borderId="2" applyNumberFormat="0" applyFill="0" applyAlignment="0" applyProtection="0"/>
    <xf numFmtId="5" fontId="78" fillId="0" borderId="36" applyAlignment="0" applyProtection="0"/>
    <xf numFmtId="5" fontId="78" fillId="0" borderId="36" applyAlignment="0" applyProtection="0"/>
    <xf numFmtId="5" fontId="78" fillId="0" borderId="36" applyAlignment="0" applyProtection="0"/>
    <xf numFmtId="211" fontId="133" fillId="0" borderId="32" applyNumberFormat="0" applyFont="0" applyFill="0" applyAlignment="0" applyProtection="0"/>
    <xf numFmtId="211" fontId="133" fillId="0" borderId="43" applyNumberFormat="0" applyFont="0" applyFill="0" applyAlignment="0" applyProtection="0"/>
    <xf numFmtId="0" fontId="133" fillId="0" borderId="43" applyNumberFormat="0" applyFont="0" applyFill="0" applyAlignment="0" applyProtection="0"/>
    <xf numFmtId="0" fontId="133" fillId="0" borderId="43" applyNumberFormat="0" applyFont="0" applyFill="0" applyAlignment="0" applyProtection="0"/>
    <xf numFmtId="0" fontId="133" fillId="0" borderId="43" applyNumberFormat="0" applyFont="0" applyFill="0" applyAlignment="0" applyProtection="0"/>
    <xf numFmtId="5" fontId="78" fillId="0" borderId="36" applyAlignment="0" applyProtection="0"/>
    <xf numFmtId="0" fontId="134" fillId="0" borderId="0" applyFill="0" applyBorder="0" applyAlignment="0" applyProtection="0"/>
    <xf numFmtId="221" fontId="124" fillId="0" borderId="0" applyFont="0" applyFill="0" applyBorder="0" applyAlignment="0" applyProtection="0"/>
    <xf numFmtId="188" fontId="4" fillId="0" borderId="0" applyFill="0" applyBorder="0" applyAlignment="0"/>
    <xf numFmtId="222" fontId="4" fillId="0" borderId="0" applyFill="0" applyBorder="0" applyAlignment="0"/>
    <xf numFmtId="223" fontId="4" fillId="0" borderId="0" applyFill="0" applyBorder="0" applyAlignment="0"/>
    <xf numFmtId="224" fontId="4" fillId="0" borderId="0" applyFill="0" applyBorder="0" applyAlignment="0"/>
    <xf numFmtId="0" fontId="135" fillId="0" borderId="0" applyFill="0" applyBorder="0" applyAlignment="0"/>
    <xf numFmtId="188" fontId="4" fillId="0" borderId="0" applyFill="0" applyBorder="0" applyAlignment="0"/>
    <xf numFmtId="0" fontId="135" fillId="0" borderId="0" applyFill="0" applyBorder="0" applyAlignment="0"/>
    <xf numFmtId="222" fontId="4" fillId="0" borderId="0" applyFill="0" applyBorder="0" applyAlignment="0"/>
    <xf numFmtId="211" fontId="137" fillId="82" borderId="0"/>
    <xf numFmtId="225" fontId="74" fillId="0" borderId="0" applyFill="0" applyBorder="0" applyAlignment="0"/>
    <xf numFmtId="38" fontId="126" fillId="0" borderId="0" applyFont="0" applyFill="0" applyBorder="0" applyAlignment="0" applyProtection="0"/>
    <xf numFmtId="40" fontId="126" fillId="0" borderId="0" applyFont="0" applyFill="0" applyBorder="0" applyAlignment="0" applyProtection="0"/>
    <xf numFmtId="226" fontId="4" fillId="0" borderId="0" applyFill="0" applyBorder="0" applyProtection="0"/>
    <xf numFmtId="226" fontId="4" fillId="0" borderId="0" applyFill="0" applyBorder="0" applyProtection="0"/>
    <xf numFmtId="211" fontId="37" fillId="0" borderId="0" applyNumberFormat="0" applyFont="0" applyFill="0" applyBorder="0">
      <alignment horizontal="center" vertical="center"/>
      <protection locked="0"/>
    </xf>
    <xf numFmtId="0" fontId="37" fillId="0" borderId="0" applyNumberFormat="0" applyFont="0" applyFill="0" applyBorder="0">
      <alignment horizontal="center" vertical="center"/>
      <protection locked="0"/>
    </xf>
    <xf numFmtId="0" fontId="138" fillId="0" borderId="0" applyNumberFormat="0" applyFont="0" applyFill="0" applyBorder="0">
      <alignment horizontal="center" vertical="center"/>
      <protection locked="0"/>
    </xf>
    <xf numFmtId="227" fontId="50" fillId="0" borderId="0"/>
    <xf numFmtId="214" fontId="37" fillId="0" borderId="0" applyFill="0" applyBorder="0">
      <alignment horizontal="center" vertical="center"/>
    </xf>
    <xf numFmtId="214" fontId="37" fillId="0" borderId="0" applyFill="0" applyBorder="0">
      <alignment horizontal="center" vertical="center"/>
    </xf>
    <xf numFmtId="214" fontId="37" fillId="0" borderId="0" applyFill="0" applyBorder="0">
      <alignment horizontal="center" vertical="center"/>
    </xf>
    <xf numFmtId="219" fontId="37" fillId="0" borderId="0" applyFill="0" applyBorder="0">
      <alignment horizontal="center" vertical="center"/>
    </xf>
    <xf numFmtId="15" fontId="37" fillId="0" borderId="0" applyFill="0" applyBorder="0">
      <alignment horizontal="center" vertical="center"/>
    </xf>
    <xf numFmtId="15" fontId="37" fillId="0" borderId="0" applyFill="0" applyBorder="0">
      <alignment horizontal="center" vertical="center"/>
    </xf>
    <xf numFmtId="216" fontId="37" fillId="0" borderId="0" applyFill="0" applyBorder="0">
      <alignment horizontal="center" vertical="center"/>
    </xf>
    <xf numFmtId="216" fontId="37" fillId="0" borderId="0" applyFill="0" applyBorder="0">
      <alignment horizontal="center" vertical="center"/>
    </xf>
    <xf numFmtId="216" fontId="37" fillId="0" borderId="0" applyFill="0" applyBorder="0">
      <alignment horizontal="center" vertical="center"/>
    </xf>
    <xf numFmtId="196" fontId="37" fillId="0" borderId="0" applyFill="0" applyBorder="0">
      <alignment horizontal="center" vertical="center"/>
    </xf>
    <xf numFmtId="196" fontId="37" fillId="0" borderId="0" applyFill="0" applyBorder="0">
      <alignment horizontal="center" vertical="center"/>
    </xf>
    <xf numFmtId="196" fontId="37" fillId="0" borderId="0" applyFill="0" applyBorder="0">
      <alignment horizontal="center" vertical="center"/>
    </xf>
    <xf numFmtId="217" fontId="37" fillId="0" borderId="0" applyFill="0" applyBorder="0">
      <alignment horizontal="center" vertical="center"/>
    </xf>
    <xf numFmtId="217" fontId="37" fillId="0" borderId="0" applyFill="0" applyBorder="0">
      <alignment horizontal="center" vertical="center"/>
    </xf>
    <xf numFmtId="217" fontId="37" fillId="0" borderId="0" applyFill="0" applyBorder="0">
      <alignment horizontal="center" vertical="center"/>
    </xf>
    <xf numFmtId="197" fontId="37" fillId="0" borderId="0" applyFill="0" applyBorder="0">
      <alignment horizontal="center" vertical="center"/>
    </xf>
    <xf numFmtId="197" fontId="37" fillId="0" borderId="0" applyFill="0" applyBorder="0">
      <alignment horizontal="center" vertical="center"/>
    </xf>
    <xf numFmtId="197" fontId="37" fillId="0" borderId="0" applyFill="0" applyBorder="0">
      <alignment horizontal="center" vertical="center"/>
    </xf>
    <xf numFmtId="228" fontId="139" fillId="0" borderId="44" applyProtection="0">
      <alignment horizontal="center"/>
    </xf>
    <xf numFmtId="0" fontId="4" fillId="0" borderId="0"/>
    <xf numFmtId="0" fontId="140" fillId="0" borderId="45">
      <protection locked="0"/>
    </xf>
    <xf numFmtId="229" fontId="4" fillId="0" borderId="0"/>
    <xf numFmtId="229" fontId="4" fillId="0" borderId="0"/>
    <xf numFmtId="229" fontId="4" fillId="0" borderId="0"/>
    <xf numFmtId="229" fontId="4" fillId="0" borderId="0"/>
    <xf numFmtId="229" fontId="4" fillId="0" borderId="0"/>
    <xf numFmtId="229" fontId="4" fillId="0" borderId="0"/>
    <xf numFmtId="229" fontId="4" fillId="0" borderId="0"/>
    <xf numFmtId="229" fontId="4" fillId="0" borderId="0"/>
    <xf numFmtId="230" fontId="4" fillId="0" borderId="0" applyFont="0" applyFill="0" applyBorder="0" applyAlignment="0" applyProtection="0">
      <alignment horizontal="center"/>
    </xf>
    <xf numFmtId="231" fontId="4" fillId="0" borderId="0" applyFont="0" applyFill="0" applyBorder="0" applyAlignment="0" applyProtection="0">
      <alignment horizontal="center"/>
    </xf>
    <xf numFmtId="166" fontId="4" fillId="0" borderId="0" applyFont="0" applyFill="0" applyBorder="0" applyAlignment="0" applyProtection="0">
      <alignment horizontal="center"/>
    </xf>
    <xf numFmtId="188" fontId="4" fillId="0" borderId="0" applyFont="0" applyFill="0" applyBorder="0" applyAlignment="0" applyProtection="0"/>
    <xf numFmtId="190" fontId="141" fillId="0" borderId="0" applyFill="0" applyBorder="0" applyAlignment="0" applyProtection="0">
      <alignment horizontal="right"/>
    </xf>
    <xf numFmtId="0" fontId="55" fillId="0" borderId="0" applyFont="0" applyFill="0" applyBorder="0" applyAlignment="0" applyProtection="0"/>
    <xf numFmtId="43" fontId="2" fillId="0" borderId="0" applyFont="0" applyFill="0" applyBorder="0" applyAlignment="0" applyProtection="0"/>
    <xf numFmtId="43" fontId="22" fillId="0" borderId="0" applyFont="0" applyFill="0" applyBorder="0" applyAlignment="0" applyProtection="0"/>
    <xf numFmtId="43" fontId="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ont="0" applyFill="0" applyBorder="0" applyAlignment="0" applyProtection="0"/>
    <xf numFmtId="43" fontId="113" fillId="0" borderId="0" applyFont="0" applyFill="0" applyBorder="0" applyAlignment="0" applyProtection="0"/>
    <xf numFmtId="43" fontId="22" fillId="0" borderId="0" applyFont="0" applyFill="0" applyBorder="0" applyAlignment="0" applyProtection="0"/>
    <xf numFmtId="43" fontId="1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43" fontId="56"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1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37"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 fillId="0" borderId="0" applyFont="0" applyFill="0" applyBorder="0" applyAlignment="0" applyProtection="0"/>
    <xf numFmtId="43" fontId="37" fillId="0" borderId="0" applyFont="0" applyFill="0" applyBorder="0" applyAlignment="0" applyProtection="0"/>
    <xf numFmtId="211" fontId="144" fillId="0" borderId="0" applyNumberFormat="0" applyAlignment="0">
      <alignment horizontal="left"/>
    </xf>
    <xf numFmtId="0" fontId="145" fillId="0" borderId="0">
      <alignment horizontal="left"/>
    </xf>
    <xf numFmtId="0" fontId="146" fillId="0" borderId="0"/>
    <xf numFmtId="0" fontId="147" fillId="0" borderId="0">
      <alignment horizontal="left"/>
    </xf>
    <xf numFmtId="232" fontId="4" fillId="0" borderId="0" applyFill="0" applyBorder="0" applyAlignment="0" applyProtection="0">
      <alignment horizontal="center"/>
    </xf>
    <xf numFmtId="8" fontId="148" fillId="0" borderId="28"/>
    <xf numFmtId="20" fontId="4" fillId="0" borderId="0" applyFont="0" applyFill="0" applyBorder="0" applyAlignment="0" applyProtection="0"/>
    <xf numFmtId="233" fontId="149" fillId="0" borderId="0" applyFont="0" applyFill="0" applyBorder="0" applyAlignment="0" applyProtection="0"/>
    <xf numFmtId="225" fontId="74" fillId="0" borderId="0" applyFill="0" applyBorder="0">
      <protection locked="0"/>
    </xf>
    <xf numFmtId="222" fontId="4" fillId="0" borderId="0" applyFont="0" applyFill="0" applyBorder="0" applyAlignment="0" applyProtection="0"/>
    <xf numFmtId="234" fontId="74" fillId="0" borderId="0" applyFill="0" applyBorder="0"/>
    <xf numFmtId="234" fontId="74" fillId="0" borderId="0" applyFill="0" applyBorder="0">
      <protection locked="0"/>
    </xf>
    <xf numFmtId="8" fontId="150" fillId="0" borderId="46">
      <protection locked="0"/>
    </xf>
    <xf numFmtId="235" fontId="74" fillId="0" borderId="0" applyFont="0" applyFill="0" applyBorder="0" applyAlignment="0" applyProtection="0">
      <alignment horizontal="right"/>
    </xf>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7" fillId="0" borderId="0" applyFont="0" applyFill="0" applyBorder="0" applyAlignment="0" applyProtection="0"/>
    <xf numFmtId="236" fontId="151" fillId="0" borderId="0" applyFont="0" applyFill="0" applyBorder="0" applyAlignment="0" applyProtection="0">
      <protection locked="0"/>
    </xf>
    <xf numFmtId="236" fontId="151" fillId="0" borderId="0" applyFont="0" applyFill="0" applyBorder="0" applyAlignment="0" applyProtection="0">
      <protection locked="0"/>
    </xf>
    <xf numFmtId="237" fontId="4" fillId="0" borderId="0" applyFont="0" applyFill="0" applyBorder="0" applyAlignment="0" applyProtection="0"/>
    <xf numFmtId="238" fontId="4" fillId="0" borderId="0" applyFont="0" applyFill="0" applyBorder="0" applyAlignment="0" applyProtection="0">
      <protection locked="0"/>
    </xf>
    <xf numFmtId="238" fontId="4" fillId="0" borderId="0" applyFont="0" applyFill="0" applyBorder="0" applyAlignment="0" applyProtection="0">
      <protection locked="0"/>
    </xf>
    <xf numFmtId="239" fontId="4" fillId="0" borderId="0" applyFont="0" applyFill="0" applyBorder="0" applyAlignment="0" applyProtection="0"/>
    <xf numFmtId="240" fontId="4" fillId="0" borderId="0" applyFont="0" applyFill="0" applyBorder="0" applyAlignment="0" applyProtection="0"/>
    <xf numFmtId="8" fontId="123" fillId="0" borderId="0" applyFill="0" applyBorder="0">
      <alignment horizontal="right"/>
    </xf>
    <xf numFmtId="214" fontId="17" fillId="0" borderId="0" applyFill="0" applyBorder="0">
      <alignment vertical="center"/>
    </xf>
    <xf numFmtId="223" fontId="4" fillId="0" borderId="0" applyFont="0" applyFill="0" applyBorder="0" applyAlignment="0" applyProtection="0"/>
    <xf numFmtId="241" fontId="124" fillId="0" borderId="0" applyFont="0" applyFill="0" applyBorder="0" applyAlignment="0" applyProtection="0"/>
    <xf numFmtId="38" fontId="152" fillId="15" borderId="20"/>
    <xf numFmtId="38" fontId="152" fillId="15" borderId="20"/>
    <xf numFmtId="38" fontId="152" fillId="15" borderId="20"/>
    <xf numFmtId="242" fontId="74" fillId="0" borderId="0" applyFont="0" applyFill="0" applyBorder="0" applyAlignment="0" applyProtection="0"/>
    <xf numFmtId="14" fontId="135" fillId="0" borderId="0" applyFill="0" applyBorder="0" applyAlignment="0"/>
    <xf numFmtId="15" fontId="151" fillId="0" borderId="0" applyFill="0" applyBorder="0">
      <protection locked="0"/>
    </xf>
    <xf numFmtId="15" fontId="151" fillId="0" borderId="0" applyFill="0" applyBorder="0">
      <protection locked="0"/>
    </xf>
    <xf numFmtId="215" fontId="17" fillId="0" borderId="0" applyFill="0" applyBorder="0">
      <alignment vertical="center"/>
    </xf>
    <xf numFmtId="15" fontId="151" fillId="0" borderId="0" applyFont="0" applyFill="0" applyBorder="0" applyAlignment="0" applyProtection="0">
      <protection locked="0"/>
    </xf>
    <xf numFmtId="1" fontId="4" fillId="0" borderId="0" applyFill="0" applyBorder="0">
      <alignment horizontal="right"/>
    </xf>
    <xf numFmtId="2" fontId="4" fillId="0" borderId="0" applyFill="0" applyBorder="0">
      <alignment horizontal="right"/>
    </xf>
    <xf numFmtId="2" fontId="151" fillId="0" borderId="0" applyFill="0" applyBorder="0">
      <protection locked="0"/>
    </xf>
    <xf numFmtId="2" fontId="151" fillId="0" borderId="0" applyFill="0" applyBorder="0">
      <protection locked="0"/>
    </xf>
    <xf numFmtId="2" fontId="4" fillId="0" borderId="0" applyFill="0" applyBorder="0">
      <alignment horizontal="right"/>
    </xf>
    <xf numFmtId="204" fontId="4" fillId="0" borderId="0" applyFill="0" applyBorder="0">
      <alignment horizontal="right"/>
    </xf>
    <xf numFmtId="204" fontId="151" fillId="0" borderId="0" applyFill="0" applyBorder="0">
      <protection locked="0"/>
    </xf>
    <xf numFmtId="204" fontId="151" fillId="0" borderId="0" applyFill="0" applyBorder="0">
      <protection locked="0"/>
    </xf>
    <xf numFmtId="204" fontId="4" fillId="0" borderId="0" applyFill="0" applyBorder="0">
      <alignment horizontal="right"/>
    </xf>
    <xf numFmtId="243" fontId="4" fillId="0" borderId="0" applyFont="0" applyFill="0" applyBorder="0" applyAlignment="0" applyProtection="0"/>
    <xf numFmtId="244" fontId="4" fillId="0" borderId="0" applyFont="0" applyFill="0" applyBorder="0" applyAlignment="0" applyProtection="0"/>
    <xf numFmtId="49" fontId="153" fillId="0" borderId="0" applyFill="0" applyBorder="0" applyProtection="0">
      <alignment horizontal="left"/>
    </xf>
    <xf numFmtId="9" fontId="4" fillId="0" borderId="0"/>
    <xf numFmtId="245" fontId="74" fillId="0" borderId="47" applyNumberFormat="0" applyFont="0" applyFill="0" applyAlignment="0" applyProtection="0"/>
    <xf numFmtId="38" fontId="126" fillId="0" borderId="0" applyFont="0" applyFill="0" applyBorder="0" applyAlignment="0" applyProtection="0"/>
    <xf numFmtId="40" fontId="126" fillId="0" borderId="0" applyFont="0" applyFill="0" applyBorder="0" applyAlignment="0" applyProtection="0"/>
    <xf numFmtId="0" fontId="154" fillId="0" borderId="0" applyNumberFormat="0"/>
    <xf numFmtId="188" fontId="4" fillId="0" borderId="0" applyFill="0" applyBorder="0" applyAlignment="0"/>
    <xf numFmtId="222" fontId="4" fillId="0" borderId="0" applyFill="0" applyBorder="0" applyAlignment="0"/>
    <xf numFmtId="188" fontId="4" fillId="0" borderId="0" applyFill="0" applyBorder="0" applyAlignment="0"/>
    <xf numFmtId="0" fontId="151" fillId="0" borderId="0" applyFill="0" applyBorder="0" applyAlignment="0"/>
    <xf numFmtId="222" fontId="4" fillId="0" borderId="0" applyFill="0" applyBorder="0" applyAlignment="0"/>
    <xf numFmtId="211" fontId="155" fillId="0" borderId="0" applyNumberFormat="0" applyAlignment="0">
      <alignment horizontal="left"/>
    </xf>
    <xf numFmtId="0" fontId="4" fillId="0" borderId="0" applyFont="0" applyFill="0" applyBorder="0" applyAlignment="0" applyProtection="0"/>
    <xf numFmtId="0" fontId="124" fillId="0" borderId="0" applyNumberFormat="0" applyFill="0" applyBorder="0" applyAlignment="0" applyProtection="0"/>
    <xf numFmtId="211" fontId="124" fillId="0" borderId="0" applyNumberFormat="0" applyFill="0" applyBorder="0" applyAlignment="0" applyProtection="0"/>
    <xf numFmtId="187" fontId="123" fillId="0" borderId="0" applyFill="0" applyBorder="0">
      <alignment horizontal="right"/>
    </xf>
    <xf numFmtId="246" fontId="123" fillId="0" borderId="0" applyFill="0" applyBorder="0">
      <alignment horizontal="right"/>
    </xf>
    <xf numFmtId="247" fontId="123" fillId="0" borderId="0" applyFill="0" applyBorder="0">
      <alignment horizontal="right"/>
    </xf>
    <xf numFmtId="0" fontId="156" fillId="0" borderId="0">
      <alignment horizontal="left"/>
    </xf>
    <xf numFmtId="0" fontId="157" fillId="0" borderId="0">
      <alignment horizontal="left"/>
    </xf>
    <xf numFmtId="0" fontId="83" fillId="0" borderId="0" applyFill="0" applyBorder="0" applyProtection="0">
      <alignment horizontal="left"/>
    </xf>
    <xf numFmtId="0" fontId="83" fillId="0" borderId="0">
      <alignment horizontal="left"/>
    </xf>
    <xf numFmtId="211" fontId="83" fillId="0" borderId="0" applyFill="0" applyBorder="0" applyProtection="0">
      <alignment horizontal="left"/>
    </xf>
    <xf numFmtId="248" fontId="149" fillId="0" borderId="0" applyFont="0" applyFill="0" applyBorder="0" applyAlignment="0" applyProtection="0"/>
    <xf numFmtId="211" fontId="4" fillId="0" borderId="0" applyFont="0" applyFill="0" applyBorder="0" applyAlignment="0" applyProtection="0">
      <alignment horizontal="center"/>
    </xf>
    <xf numFmtId="249" fontId="158" fillId="0" borderId="48" applyNumberFormat="0">
      <alignment horizontal="right" vertical="center"/>
      <protection locked="0"/>
    </xf>
    <xf numFmtId="0" fontId="37" fillId="0" borderId="0"/>
    <xf numFmtId="38" fontId="37" fillId="20" borderId="0" applyNumberFormat="0" applyBorder="0" applyAlignment="0" applyProtection="0"/>
    <xf numFmtId="38" fontId="37" fillId="20" borderId="0" applyNumberFormat="0" applyBorder="0" applyAlignment="0" applyProtection="0"/>
    <xf numFmtId="250" fontId="74" fillId="0" borderId="0" applyFont="0" applyFill="0" applyBorder="0" applyAlignment="0" applyProtection="0">
      <alignment horizontal="right"/>
    </xf>
    <xf numFmtId="3" fontId="151" fillId="37" borderId="0" applyFill="0" applyBorder="0" applyAlignment="0" applyProtection="0"/>
    <xf numFmtId="0" fontId="159" fillId="0" borderId="0" applyProtection="0">
      <alignment horizontal="right"/>
    </xf>
    <xf numFmtId="251" fontId="160" fillId="0" borderId="0"/>
    <xf numFmtId="251" fontId="161" fillId="0" borderId="0"/>
    <xf numFmtId="0" fontId="161" fillId="0" borderId="0">
      <alignment horizontal="right"/>
    </xf>
    <xf numFmtId="0" fontId="162" fillId="0" borderId="0">
      <alignment horizontal="left"/>
    </xf>
    <xf numFmtId="211" fontId="159" fillId="0" borderId="0" applyProtection="0">
      <alignment horizontal="right"/>
    </xf>
    <xf numFmtId="0" fontId="41" fillId="0" borderId="37" applyNumberFormat="0" applyAlignment="0" applyProtection="0">
      <alignment horizontal="left" vertical="center"/>
    </xf>
    <xf numFmtId="211"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3">
      <alignment horizontal="left" vertical="center"/>
    </xf>
    <xf numFmtId="211" fontId="41" fillId="0" borderId="33">
      <alignment horizontal="left" vertical="center"/>
    </xf>
    <xf numFmtId="0" fontId="41" fillId="0" borderId="33">
      <alignment horizontal="left" vertical="center"/>
    </xf>
    <xf numFmtId="252" fontId="163" fillId="0" borderId="0">
      <alignment horizontal="left"/>
    </xf>
    <xf numFmtId="0" fontId="40" fillId="0" borderId="0" applyFill="0" applyBorder="0">
      <alignment vertical="center"/>
    </xf>
    <xf numFmtId="0" fontId="40" fillId="0" borderId="0" applyFill="0" applyBorder="0">
      <alignment vertical="center"/>
    </xf>
    <xf numFmtId="0" fontId="40" fillId="0" borderId="0" applyFill="0" applyBorder="0">
      <alignment vertical="center"/>
    </xf>
    <xf numFmtId="0" fontId="40" fillId="0" borderId="0" applyFill="0" applyBorder="0">
      <alignment vertical="center"/>
    </xf>
    <xf numFmtId="0" fontId="40" fillId="0" borderId="0" applyFill="0" applyBorder="0">
      <alignment vertical="center"/>
    </xf>
    <xf numFmtId="0" fontId="40" fillId="0" borderId="0" applyFill="0" applyBorder="0">
      <alignment vertical="center"/>
    </xf>
    <xf numFmtId="0" fontId="40" fillId="0" borderId="0" applyFill="0" applyBorder="0">
      <alignment vertical="center"/>
    </xf>
    <xf numFmtId="0" fontId="40" fillId="0" borderId="0" applyFill="0" applyBorder="0">
      <alignment vertical="center"/>
    </xf>
    <xf numFmtId="0" fontId="40" fillId="0" borderId="0" applyFill="0" applyBorder="0">
      <alignment vertical="center"/>
    </xf>
    <xf numFmtId="0" fontId="40" fillId="0" borderId="0" applyFill="0" applyBorder="0">
      <alignment vertical="center"/>
    </xf>
    <xf numFmtId="0" fontId="164" fillId="0" borderId="12" applyNumberFormat="0" applyFill="0" applyAlignment="0" applyProtection="0"/>
    <xf numFmtId="0" fontId="40" fillId="0" borderId="0" applyFill="0" applyBorder="0">
      <alignment vertical="center"/>
    </xf>
    <xf numFmtId="0" fontId="40" fillId="0" borderId="0" applyFill="0" applyBorder="0">
      <alignment vertical="center"/>
    </xf>
    <xf numFmtId="0" fontId="40" fillId="0" borderId="0" applyFill="0" applyBorder="0">
      <alignment vertical="center"/>
    </xf>
    <xf numFmtId="211" fontId="165" fillId="0" borderId="0" applyBorder="0">
      <alignment vertical="center"/>
    </xf>
    <xf numFmtId="0" fontId="40" fillId="0" borderId="0" applyFill="0" applyBorder="0">
      <alignment vertical="center"/>
    </xf>
    <xf numFmtId="0" fontId="166" fillId="0" borderId="49" applyNumberFormat="0" applyFill="0" applyAlignment="0" applyProtection="0"/>
    <xf numFmtId="0" fontId="40" fillId="0" borderId="0" applyFill="0" applyBorder="0">
      <alignment vertical="center"/>
    </xf>
    <xf numFmtId="0" fontId="40" fillId="0" borderId="0" applyFill="0" applyBorder="0">
      <alignment vertical="center"/>
    </xf>
    <xf numFmtId="0" fontId="40" fillId="0" borderId="0" applyFill="0" applyBorder="0">
      <alignment vertical="center"/>
    </xf>
    <xf numFmtId="0" fontId="40" fillId="0" borderId="0" applyFill="0" applyBorder="0">
      <alignment vertical="center"/>
    </xf>
    <xf numFmtId="0" fontId="40" fillId="0" borderId="0" applyFill="0" applyBorder="0">
      <alignment vertical="center"/>
    </xf>
    <xf numFmtId="0" fontId="167" fillId="0" borderId="0">
      <alignment horizontal="left"/>
    </xf>
    <xf numFmtId="0" fontId="168" fillId="0" borderId="0" applyFill="0" applyBorder="0">
      <alignment vertical="center"/>
    </xf>
    <xf numFmtId="0" fontId="169" fillId="0" borderId="18">
      <alignment horizontal="left" vertical="top"/>
    </xf>
    <xf numFmtId="0" fontId="40" fillId="0" borderId="2" applyNumberFormat="0"/>
    <xf numFmtId="0" fontId="40" fillId="0" borderId="2" applyNumberFormat="0"/>
    <xf numFmtId="0" fontId="40" fillId="0" borderId="2" applyNumberFormat="0"/>
    <xf numFmtId="0" fontId="40" fillId="0" borderId="2" applyNumberFormat="0"/>
    <xf numFmtId="211" fontId="40" fillId="0" borderId="2" applyNumberFormat="0"/>
    <xf numFmtId="211" fontId="40" fillId="0" borderId="2" applyNumberFormat="0"/>
    <xf numFmtId="211" fontId="40" fillId="0" borderId="2" applyNumberFormat="0"/>
    <xf numFmtId="211" fontId="40" fillId="0" borderId="2" applyNumberFormat="0"/>
    <xf numFmtId="211" fontId="40" fillId="0" borderId="2" applyNumberFormat="0"/>
    <xf numFmtId="0" fontId="26" fillId="0" borderId="0" applyFill="0" applyBorder="0">
      <alignment vertical="center"/>
    </xf>
    <xf numFmtId="0" fontId="26" fillId="0" borderId="0" applyFill="0" applyBorder="0">
      <alignment vertical="center"/>
    </xf>
    <xf numFmtId="0" fontId="26" fillId="0" borderId="0" applyFill="0" applyBorder="0">
      <alignment vertical="center"/>
    </xf>
    <xf numFmtId="0" fontId="26" fillId="0" borderId="0" applyFill="0" applyBorder="0">
      <alignment vertical="center"/>
    </xf>
    <xf numFmtId="0" fontId="26" fillId="0" borderId="0" applyFill="0" applyBorder="0">
      <alignment vertical="center"/>
    </xf>
    <xf numFmtId="0" fontId="26" fillId="0" borderId="0" applyFill="0" applyBorder="0">
      <alignment vertical="center"/>
    </xf>
    <xf numFmtId="0" fontId="26" fillId="0" borderId="0" applyFill="0" applyBorder="0">
      <alignment vertical="center"/>
    </xf>
    <xf numFmtId="0" fontId="26" fillId="0" borderId="0" applyFill="0" applyBorder="0">
      <alignment vertical="center"/>
    </xf>
    <xf numFmtId="0" fontId="26" fillId="0" borderId="0" applyFill="0" applyBorder="0">
      <alignment vertical="center"/>
    </xf>
    <xf numFmtId="0" fontId="170" fillId="0" borderId="50" applyNumberFormat="0" applyFill="0" applyAlignment="0" applyProtection="0"/>
    <xf numFmtId="0" fontId="26" fillId="0" borderId="0" applyFill="0" applyBorder="0">
      <alignment vertical="center"/>
    </xf>
    <xf numFmtId="211" fontId="26" fillId="0" borderId="0" applyFill="0" applyBorder="0">
      <alignment vertical="center"/>
    </xf>
    <xf numFmtId="0" fontId="26" fillId="0" borderId="0" applyFill="0" applyBorder="0">
      <alignment vertical="center"/>
    </xf>
    <xf numFmtId="0" fontId="26" fillId="0" borderId="0" applyFill="0" applyBorder="0">
      <alignment vertical="center"/>
    </xf>
    <xf numFmtId="0" fontId="26" fillId="0" borderId="0" applyFill="0" applyBorder="0">
      <alignment vertical="center"/>
    </xf>
    <xf numFmtId="0" fontId="26" fillId="0" borderId="0" applyFill="0" applyBorder="0">
      <alignment vertical="center"/>
    </xf>
    <xf numFmtId="0" fontId="26" fillId="0" borderId="0" applyFill="0" applyBorder="0">
      <alignment vertical="center"/>
    </xf>
    <xf numFmtId="0" fontId="26" fillId="0" borderId="0" applyFill="0" applyBorder="0">
      <alignment vertical="center"/>
    </xf>
    <xf numFmtId="0" fontId="26" fillId="0" borderId="0" applyFill="0" applyBorder="0">
      <alignment vertical="center"/>
    </xf>
    <xf numFmtId="0" fontId="141" fillId="0" borderId="0">
      <alignment horizontal="left"/>
    </xf>
    <xf numFmtId="0" fontId="171" fillId="0" borderId="0" applyFill="0" applyBorder="0">
      <alignment vertical="center"/>
    </xf>
    <xf numFmtId="0" fontId="172" fillId="0" borderId="18">
      <alignment horizontal="left" vertical="top"/>
    </xf>
    <xf numFmtId="0" fontId="42" fillId="0" borderId="0" applyFill="0" applyBorder="0">
      <alignment vertical="center"/>
    </xf>
    <xf numFmtId="0" fontId="42" fillId="0" borderId="0" applyFill="0" applyBorder="0">
      <alignment vertical="center"/>
    </xf>
    <xf numFmtId="0" fontId="42" fillId="0" borderId="0" applyFill="0" applyBorder="0">
      <alignment vertical="center"/>
    </xf>
    <xf numFmtId="0" fontId="42" fillId="0" borderId="0" applyFill="0" applyBorder="0">
      <alignment vertical="center"/>
    </xf>
    <xf numFmtId="0" fontId="42" fillId="0" borderId="0" applyFill="0" applyBorder="0">
      <alignment vertical="center"/>
    </xf>
    <xf numFmtId="0" fontId="42" fillId="0" borderId="0" applyFill="0" applyBorder="0">
      <alignment vertical="center"/>
    </xf>
    <xf numFmtId="0" fontId="42" fillId="0" borderId="0" applyFill="0" applyBorder="0">
      <alignment vertical="center"/>
    </xf>
    <xf numFmtId="0" fontId="42" fillId="0" borderId="0" applyFill="0" applyBorder="0">
      <alignment vertical="center"/>
    </xf>
    <xf numFmtId="0" fontId="42" fillId="0" borderId="0" applyFill="0" applyBorder="0">
      <alignment vertical="center"/>
    </xf>
    <xf numFmtId="0" fontId="173" fillId="0" borderId="51" applyNumberFormat="0" applyFill="0" applyAlignment="0" applyProtection="0"/>
    <xf numFmtId="0" fontId="42" fillId="0" borderId="0" applyFill="0" applyBorder="0">
      <alignment vertical="center"/>
    </xf>
    <xf numFmtId="211" fontId="42" fillId="0" borderId="0" applyFill="0" applyBorder="0">
      <alignment vertical="center"/>
    </xf>
    <xf numFmtId="0" fontId="42" fillId="0" borderId="0" applyFill="0" applyBorder="0">
      <alignment vertical="center"/>
    </xf>
    <xf numFmtId="0" fontId="174" fillId="0" borderId="52" applyNumberFormat="0" applyFill="0" applyAlignment="0" applyProtection="0"/>
    <xf numFmtId="0" fontId="42" fillId="0" borderId="0" applyFill="0" applyBorder="0">
      <alignment vertical="center"/>
    </xf>
    <xf numFmtId="0" fontId="42" fillId="0" borderId="0" applyFill="0" applyBorder="0">
      <alignment vertical="center"/>
    </xf>
    <xf numFmtId="0" fontId="42" fillId="0" borderId="0" applyFill="0" applyBorder="0">
      <alignment vertical="center"/>
    </xf>
    <xf numFmtId="0" fontId="42" fillId="0" borderId="0" applyFill="0" applyBorder="0">
      <alignment vertical="center"/>
    </xf>
    <xf numFmtId="0" fontId="42" fillId="0" borderId="0" applyFill="0" applyBorder="0">
      <alignment vertical="center"/>
    </xf>
    <xf numFmtId="0" fontId="175" fillId="0" borderId="0" applyFill="0" applyBorder="0">
      <alignment vertical="center"/>
    </xf>
    <xf numFmtId="0" fontId="176" fillId="0" borderId="0">
      <alignment horizontal="left"/>
    </xf>
    <xf numFmtId="0" fontId="37" fillId="0" borderId="0" applyFill="0" applyBorder="0">
      <alignment vertical="center"/>
    </xf>
    <xf numFmtId="0" fontId="37" fillId="0" borderId="0" applyFill="0" applyBorder="0">
      <alignment vertical="center"/>
    </xf>
    <xf numFmtId="0" fontId="37" fillId="0" borderId="0" applyFill="0" applyBorder="0">
      <alignment vertical="center"/>
    </xf>
    <xf numFmtId="0" fontId="37" fillId="0" borderId="0" applyFill="0" applyBorder="0">
      <alignment vertical="center"/>
    </xf>
    <xf numFmtId="0" fontId="37" fillId="0" borderId="0" applyFill="0" applyBorder="0">
      <alignment vertical="center"/>
    </xf>
    <xf numFmtId="0" fontId="37" fillId="0" borderId="0" applyFill="0" applyBorder="0">
      <alignment vertical="center"/>
    </xf>
    <xf numFmtId="0" fontId="37" fillId="0" borderId="0" applyFill="0" applyBorder="0">
      <alignment vertical="center"/>
    </xf>
    <xf numFmtId="0" fontId="37" fillId="0" borderId="0" applyFill="0" applyBorder="0">
      <alignment vertical="center"/>
    </xf>
    <xf numFmtId="0" fontId="37" fillId="0" borderId="0" applyFill="0" applyBorder="0">
      <alignment vertical="center"/>
    </xf>
    <xf numFmtId="0" fontId="173" fillId="0" borderId="0" applyNumberFormat="0" applyFill="0" applyBorder="0" applyAlignment="0" applyProtection="0"/>
    <xf numFmtId="0" fontId="37" fillId="0" borderId="0" applyFill="0" applyBorder="0">
      <alignment vertical="center"/>
    </xf>
    <xf numFmtId="211" fontId="37" fillId="0" borderId="0" applyFill="0" applyBorder="0">
      <alignment vertical="center"/>
    </xf>
    <xf numFmtId="0" fontId="37" fillId="0" borderId="0" applyFill="0" applyBorder="0">
      <alignment vertical="center"/>
    </xf>
    <xf numFmtId="0" fontId="174" fillId="0" borderId="0" applyNumberFormat="0" applyFill="0" applyBorder="0" applyAlignment="0" applyProtection="0"/>
    <xf numFmtId="0" fontId="37" fillId="0" borderId="0" applyFill="0" applyBorder="0">
      <alignment vertical="center"/>
    </xf>
    <xf numFmtId="0" fontId="37" fillId="0" borderId="0" applyFill="0" applyBorder="0">
      <alignment vertical="center"/>
    </xf>
    <xf numFmtId="0" fontId="37" fillId="0" borderId="0" applyFill="0" applyBorder="0">
      <alignment vertical="center"/>
    </xf>
    <xf numFmtId="0" fontId="37" fillId="0" borderId="0" applyFill="0" applyBorder="0">
      <alignment vertical="center"/>
    </xf>
    <xf numFmtId="0" fontId="37" fillId="0" borderId="0" applyFill="0" applyBorder="0">
      <alignment vertical="center"/>
    </xf>
    <xf numFmtId="0" fontId="177" fillId="0" borderId="0" applyFill="0" applyBorder="0">
      <alignment vertical="center"/>
    </xf>
    <xf numFmtId="211" fontId="40" fillId="0" borderId="2" applyNumberFormat="0"/>
    <xf numFmtId="0" fontId="40" fillId="0" borderId="2" applyNumberFormat="0"/>
    <xf numFmtId="0" fontId="40" fillId="0" borderId="2" applyNumberFormat="0"/>
    <xf numFmtId="0" fontId="40" fillId="0" borderId="2" applyNumberFormat="0"/>
    <xf numFmtId="0" fontId="40" fillId="0" borderId="2" applyNumberFormat="0"/>
    <xf numFmtId="211" fontId="40" fillId="0" borderId="2" applyNumberFormat="0"/>
    <xf numFmtId="0" fontId="40" fillId="0" borderId="2" applyNumberFormat="0"/>
    <xf numFmtId="0" fontId="40" fillId="0" borderId="2" applyNumberFormat="0"/>
    <xf numFmtId="0" fontId="40" fillId="0" borderId="2" applyNumberFormat="0"/>
    <xf numFmtId="0" fontId="40" fillId="0" borderId="2" applyNumberFormat="0"/>
    <xf numFmtId="0" fontId="40" fillId="0" borderId="2" applyNumberFormat="0"/>
    <xf numFmtId="0" fontId="40" fillId="0" borderId="2" applyNumberFormat="0"/>
    <xf numFmtId="0" fontId="40" fillId="0" borderId="2" applyNumberFormat="0"/>
    <xf numFmtId="0" fontId="40" fillId="0" borderId="2" applyNumberFormat="0"/>
    <xf numFmtId="0" fontId="40" fillId="0" borderId="2" applyNumberFormat="0"/>
    <xf numFmtId="0" fontId="40" fillId="0" borderId="2" applyNumberFormat="0"/>
    <xf numFmtId="0" fontId="40" fillId="0" borderId="2" applyNumberFormat="0"/>
    <xf numFmtId="0" fontId="40" fillId="0" borderId="2" applyNumberFormat="0"/>
    <xf numFmtId="5" fontId="178" fillId="0" borderId="0">
      <alignment horizontal="left"/>
    </xf>
    <xf numFmtId="38" fontId="80" fillId="0" borderId="0"/>
    <xf numFmtId="0" fontId="179" fillId="0" borderId="0"/>
    <xf numFmtId="0" fontId="180" fillId="0" borderId="0"/>
    <xf numFmtId="0" fontId="80" fillId="0" borderId="0">
      <alignment horizontal="left"/>
    </xf>
    <xf numFmtId="211" fontId="80" fillId="0" borderId="0">
      <alignment horizontal="left"/>
    </xf>
    <xf numFmtId="211" fontId="80" fillId="0" borderId="0">
      <alignment horizontal="left"/>
    </xf>
    <xf numFmtId="190" fontId="40" fillId="0" borderId="0" applyProtection="0"/>
    <xf numFmtId="253" fontId="112" fillId="0" borderId="0" applyAlignment="0">
      <alignment horizontal="right"/>
      <protection hidden="1"/>
    </xf>
    <xf numFmtId="0" fontId="181" fillId="0" borderId="32" applyBorder="0"/>
    <xf numFmtId="0" fontId="90" fillId="0" borderId="0" applyNumberFormat="0" applyFill="0" applyBorder="0" applyAlignment="0" applyProtection="0">
      <alignment vertical="top"/>
      <protection locked="0"/>
    </xf>
    <xf numFmtId="0" fontId="91" fillId="0" borderId="0" applyNumberFormat="0" applyFill="0" applyBorder="0" applyAlignment="0" applyProtection="0"/>
    <xf numFmtId="211" fontId="68" fillId="0" borderId="0" applyFill="0" applyBorder="0">
      <alignment horizontal="center" vertical="center"/>
      <protection locked="0"/>
    </xf>
    <xf numFmtId="0" fontId="68" fillId="0" borderId="0" applyFill="0" applyBorder="0">
      <alignment horizontal="center" vertical="center"/>
    </xf>
    <xf numFmtId="211" fontId="68" fillId="0" borderId="0" applyFill="0" applyBorder="0">
      <alignment horizontal="center" vertical="center"/>
      <protection locked="0"/>
    </xf>
    <xf numFmtId="0" fontId="68" fillId="0" borderId="0" applyFill="0" applyBorder="0">
      <alignment horizontal="center" vertical="center"/>
    </xf>
    <xf numFmtId="211" fontId="69" fillId="0" borderId="0" applyFill="0" applyBorder="0">
      <alignment horizontal="left" vertical="center"/>
      <protection locked="0"/>
    </xf>
    <xf numFmtId="0" fontId="182" fillId="0" borderId="0" applyFill="0" applyBorder="0">
      <alignment vertical="center"/>
    </xf>
    <xf numFmtId="0" fontId="183" fillId="0" borderId="0" applyFill="0" applyBorder="0">
      <alignment vertical="center"/>
    </xf>
    <xf numFmtId="0" fontId="184" fillId="0" borderId="0" applyFill="0" applyBorder="0">
      <alignment vertical="center"/>
    </xf>
    <xf numFmtId="0" fontId="185" fillId="0" borderId="0" applyFill="0" applyBorder="0">
      <alignment vertical="center"/>
    </xf>
    <xf numFmtId="0" fontId="185" fillId="0" borderId="0" applyFill="0" applyBorder="0">
      <alignment vertical="center"/>
    </xf>
    <xf numFmtId="0" fontId="4" fillId="0" borderId="0" applyFill="0"/>
    <xf numFmtId="249" fontId="158" fillId="39" borderId="53" applyBorder="0">
      <alignment horizontal="left" vertical="center" wrapText="1" indent="1"/>
    </xf>
    <xf numFmtId="190" fontId="186" fillId="0" borderId="54" applyProtection="0"/>
    <xf numFmtId="190" fontId="186" fillId="0" borderId="54" applyProtection="0"/>
    <xf numFmtId="190" fontId="186" fillId="0" borderId="54" applyProtection="0"/>
    <xf numFmtId="254" fontId="187" fillId="0" borderId="54">
      <alignment horizontal="right"/>
      <protection locked="0"/>
    </xf>
    <xf numFmtId="10" fontId="37" fillId="21" borderId="28" applyNumberFormat="0" applyBorder="0" applyAlignment="0" applyProtection="0"/>
    <xf numFmtId="10" fontId="37" fillId="21" borderId="28" applyNumberFormat="0" applyBorder="0" applyAlignment="0" applyProtection="0"/>
    <xf numFmtId="9" fontId="151" fillId="0" borderId="0" applyNumberFormat="0" applyBorder="0">
      <protection locked="0"/>
    </xf>
    <xf numFmtId="9" fontId="151" fillId="0" borderId="0" applyNumberFormat="0" applyBorder="0">
      <protection locked="0"/>
    </xf>
    <xf numFmtId="0" fontId="70" fillId="30" borderId="10" applyNumberFormat="0" applyAlignment="0" applyProtection="0"/>
    <xf numFmtId="0" fontId="70" fillId="30" borderId="10" applyNumberFormat="0" applyAlignment="0" applyProtection="0"/>
    <xf numFmtId="9" fontId="151" fillId="0" borderId="0" applyNumberFormat="0" applyBorder="0">
      <protection locked="0"/>
    </xf>
    <xf numFmtId="9" fontId="151" fillId="0" borderId="0" applyNumberFormat="0" applyBorder="0">
      <protection locked="0"/>
    </xf>
    <xf numFmtId="9" fontId="151" fillId="0" borderId="0" applyNumberFormat="0" applyBorder="0">
      <protection locked="0"/>
    </xf>
    <xf numFmtId="9" fontId="151" fillId="0" borderId="0" applyNumberFormat="0" applyBorder="0">
      <protection locked="0"/>
    </xf>
    <xf numFmtId="9" fontId="151" fillId="0" borderId="0" applyNumberFormat="0" applyBorder="0">
      <protection locked="0"/>
    </xf>
    <xf numFmtId="9" fontId="151" fillId="0" borderId="0" applyNumberFormat="0" applyBorder="0">
      <protection locked="0"/>
    </xf>
    <xf numFmtId="9" fontId="151" fillId="0" borderId="0" applyNumberFormat="0" applyBorder="0">
      <protection locked="0"/>
    </xf>
    <xf numFmtId="0" fontId="186" fillId="0" borderId="54">
      <protection locked="0"/>
    </xf>
    <xf numFmtId="0" fontId="186" fillId="0" borderId="54">
      <protection locked="0"/>
    </xf>
    <xf numFmtId="0" fontId="186" fillId="0" borderId="54">
      <protection locked="0"/>
    </xf>
    <xf numFmtId="41" fontId="4" fillId="54" borderId="0" applyFont="0" applyBorder="0" applyAlignment="0">
      <alignment horizontal="right"/>
      <protection locked="0"/>
    </xf>
    <xf numFmtId="41" fontId="4" fillId="54" borderId="0" applyFont="0" applyBorder="0" applyAlignment="0">
      <alignment horizontal="right"/>
      <protection locked="0"/>
    </xf>
    <xf numFmtId="41" fontId="4" fillId="21" borderId="0" applyFont="0" applyBorder="0">
      <alignment horizontal="right"/>
      <protection locked="0"/>
    </xf>
    <xf numFmtId="1" fontId="37" fillId="0" borderId="0"/>
    <xf numFmtId="255" fontId="188" fillId="0" borderId="0"/>
    <xf numFmtId="38" fontId="189" fillId="0" borderId="0"/>
    <xf numFmtId="38" fontId="190" fillId="0" borderId="0"/>
    <xf numFmtId="38" fontId="191" fillId="0" borderId="0"/>
    <xf numFmtId="38" fontId="192" fillId="0" borderId="0"/>
    <xf numFmtId="0" fontId="193" fillId="0" borderId="0"/>
    <xf numFmtId="0" fontId="193" fillId="0" borderId="0"/>
    <xf numFmtId="211" fontId="193" fillId="0" borderId="0"/>
    <xf numFmtId="211" fontId="194" fillId="20" borderId="0"/>
    <xf numFmtId="211" fontId="37" fillId="20" borderId="0"/>
    <xf numFmtId="211" fontId="37" fillId="20" borderId="0"/>
    <xf numFmtId="188" fontId="4" fillId="0" borderId="0" applyFill="0" applyBorder="0" applyAlignment="0"/>
    <xf numFmtId="222" fontId="4" fillId="0" borderId="0" applyFill="0" applyBorder="0" applyAlignment="0"/>
    <xf numFmtId="188" fontId="4" fillId="0" borderId="0" applyFill="0" applyBorder="0" applyAlignment="0"/>
    <xf numFmtId="0" fontId="195" fillId="0" borderId="0" applyFill="0" applyBorder="0" applyAlignment="0"/>
    <xf numFmtId="222" fontId="4" fillId="0" borderId="0" applyFill="0" applyBorder="0" applyAlignment="0"/>
    <xf numFmtId="224" fontId="4" fillId="0" borderId="0"/>
    <xf numFmtId="15" fontId="123" fillId="0" borderId="0" applyFill="0" applyBorder="0">
      <alignment horizontal="right"/>
    </xf>
    <xf numFmtId="211" fontId="42" fillId="0" borderId="28" applyFill="0">
      <alignment horizontal="center" vertical="center"/>
    </xf>
    <xf numFmtId="0" fontId="42" fillId="0" borderId="28" applyFill="0">
      <alignment horizontal="center" vertical="center"/>
    </xf>
    <xf numFmtId="0" fontId="196" fillId="0" borderId="28" applyFill="0">
      <alignment horizontal="center" vertical="center"/>
    </xf>
    <xf numFmtId="0" fontId="42" fillId="0" borderId="28" applyFill="0">
      <alignment horizontal="center" vertical="center"/>
    </xf>
    <xf numFmtId="211" fontId="37" fillId="0" borderId="28" applyFill="0">
      <alignment horizontal="center" vertical="center"/>
    </xf>
    <xf numFmtId="0" fontId="37" fillId="0" borderId="28" applyFill="0">
      <alignment horizontal="center" vertical="center"/>
    </xf>
    <xf numFmtId="0" fontId="17" fillId="0" borderId="28" applyFill="0">
      <alignment horizontal="center" vertical="center"/>
    </xf>
    <xf numFmtId="0" fontId="37" fillId="0" borderId="28" applyFill="0">
      <alignment horizontal="center" vertical="center"/>
    </xf>
    <xf numFmtId="256" fontId="37" fillId="0" borderId="28" applyFill="0">
      <alignment horizontal="center" vertical="center"/>
    </xf>
    <xf numFmtId="256" fontId="37" fillId="0" borderId="28" applyFill="0">
      <alignment horizontal="center" vertical="center"/>
    </xf>
    <xf numFmtId="257" fontId="17" fillId="0" borderId="28" applyFill="0">
      <alignment horizontal="center" vertical="center"/>
    </xf>
    <xf numFmtId="256" fontId="37" fillId="0" borderId="28" applyFill="0">
      <alignment horizontal="center" vertical="center"/>
    </xf>
    <xf numFmtId="0" fontId="197" fillId="0" borderId="0" applyNumberFormat="0" applyFill="0" applyBorder="0" applyAlignment="0" applyProtection="0">
      <alignment horizontal="right"/>
    </xf>
    <xf numFmtId="0" fontId="198" fillId="0" borderId="0" applyNumberFormat="0"/>
    <xf numFmtId="8" fontId="126" fillId="0" borderId="0" applyFont="0" applyFill="0" applyBorder="0" applyAlignment="0" applyProtection="0"/>
    <xf numFmtId="41" fontId="199" fillId="0" borderId="0" applyFont="0" applyFill="0" applyBorder="0" applyAlignment="0" applyProtection="0"/>
    <xf numFmtId="258" fontId="123" fillId="0" borderId="0" applyFill="0" applyBorder="0">
      <alignment horizontal="right"/>
    </xf>
    <xf numFmtId="8" fontId="126" fillId="0" borderId="0" applyFont="0" applyFill="0" applyBorder="0" applyAlignment="0" applyProtection="0"/>
    <xf numFmtId="211" fontId="41" fillId="0" borderId="0" applyFill="0" applyBorder="0">
      <alignment horizontal="left" vertical="center"/>
    </xf>
    <xf numFmtId="0" fontId="200" fillId="0" borderId="0" applyFill="0" applyBorder="0">
      <alignment vertical="center"/>
    </xf>
    <xf numFmtId="259" fontId="4" fillId="0" borderId="0" applyFont="0" applyFill="0" applyBorder="0" applyAlignment="0" applyProtection="0"/>
    <xf numFmtId="260" fontId="4" fillId="0" borderId="0" applyFont="0" applyFill="0" applyBorder="0" applyAlignment="0" applyProtection="0"/>
    <xf numFmtId="261" fontId="201" fillId="0" borderId="0" applyFont="0" applyFill="0" applyBorder="0" applyAlignment="0" applyProtection="0"/>
    <xf numFmtId="216" fontId="17" fillId="0" borderId="0" applyFill="0" applyBorder="0">
      <alignment vertical="center"/>
    </xf>
    <xf numFmtId="262" fontId="202" fillId="0" borderId="54">
      <alignment horizontal="right"/>
      <protection locked="0"/>
    </xf>
    <xf numFmtId="0" fontId="203" fillId="0" borderId="0"/>
    <xf numFmtId="0" fontId="203" fillId="0" borderId="0"/>
    <xf numFmtId="0" fontId="203" fillId="0" borderId="0"/>
    <xf numFmtId="0" fontId="203" fillId="0" borderId="0"/>
    <xf numFmtId="0" fontId="4" fillId="19"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36" fillId="0" borderId="0">
      <alignment horizontal="left" vertical="center" indent="1"/>
    </xf>
    <xf numFmtId="185" fontId="4" fillId="0" borderId="0"/>
    <xf numFmtId="185" fontId="4" fillId="0" borderId="0"/>
    <xf numFmtId="185" fontId="4" fillId="0" borderId="0"/>
    <xf numFmtId="185" fontId="4" fillId="0" borderId="0"/>
    <xf numFmtId="185" fontId="4" fillId="0" borderId="0"/>
    <xf numFmtId="185" fontId="4" fillId="0" borderId="0"/>
    <xf numFmtId="185" fontId="4" fillId="0" borderId="0"/>
    <xf numFmtId="185" fontId="4" fillId="0" borderId="0"/>
    <xf numFmtId="0" fontId="22" fillId="0" borderId="0"/>
    <xf numFmtId="185" fontId="4" fillId="0" borderId="0"/>
    <xf numFmtId="185" fontId="4" fillId="0" borderId="0"/>
    <xf numFmtId="185" fontId="4" fillId="0" borderId="0"/>
    <xf numFmtId="185" fontId="4" fillId="0" borderId="0"/>
    <xf numFmtId="185" fontId="4" fillId="0" borderId="0"/>
    <xf numFmtId="185" fontId="4" fillId="0" borderId="0"/>
    <xf numFmtId="185" fontId="4" fillId="0" borderId="0"/>
    <xf numFmtId="185" fontId="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7" fillId="0" borderId="0"/>
    <xf numFmtId="0" fontId="4" fillId="19" borderId="0"/>
    <xf numFmtId="185" fontId="4" fillId="0" borderId="0"/>
    <xf numFmtId="185" fontId="4" fillId="0" borderId="0"/>
    <xf numFmtId="185" fontId="4" fillId="0" borderId="0"/>
    <xf numFmtId="185" fontId="4" fillId="0" borderId="0"/>
    <xf numFmtId="0" fontId="37" fillId="0" borderId="0"/>
    <xf numFmtId="0" fontId="22" fillId="0" borderId="0"/>
    <xf numFmtId="0" fontId="4" fillId="0" borderId="0"/>
    <xf numFmtId="0" fontId="22" fillId="0" borderId="0"/>
    <xf numFmtId="0" fontId="22" fillId="0" borderId="0"/>
    <xf numFmtId="0" fontId="22" fillId="0" borderId="0"/>
    <xf numFmtId="0" fontId="22" fillId="0" borderId="0"/>
    <xf numFmtId="0" fontId="22" fillId="0" borderId="0"/>
    <xf numFmtId="0" fontId="4" fillId="0" borderId="0"/>
    <xf numFmtId="0" fontId="4" fillId="0" borderId="0"/>
    <xf numFmtId="0" fontId="4" fillId="0" borderId="0"/>
    <xf numFmtId="0" fontId="4" fillId="19" borderId="0"/>
    <xf numFmtId="185" fontId="4" fillId="0" borderId="0"/>
    <xf numFmtId="185" fontId="4" fillId="0" borderId="0"/>
    <xf numFmtId="185" fontId="4" fillId="0" borderId="0"/>
    <xf numFmtId="0" fontId="37" fillId="0" borderId="0"/>
    <xf numFmtId="0" fontId="37" fillId="0" borderId="0"/>
    <xf numFmtId="0" fontId="4" fillId="0" borderId="0"/>
    <xf numFmtId="0" fontId="22" fillId="0" borderId="0"/>
    <xf numFmtId="185" fontId="4" fillId="0" borderId="0"/>
    <xf numFmtId="185" fontId="4" fillId="0" borderId="0"/>
    <xf numFmtId="0" fontId="4" fillId="0" borderId="0"/>
    <xf numFmtId="0" fontId="4" fillId="0" borderId="0"/>
    <xf numFmtId="0" fontId="4" fillId="0" borderId="0"/>
    <xf numFmtId="185" fontId="4" fillId="0" borderId="0"/>
    <xf numFmtId="185" fontId="4" fillId="0" borderId="0"/>
    <xf numFmtId="185" fontId="4" fillId="0" borderId="0"/>
    <xf numFmtId="0" fontId="22" fillId="0" borderId="0"/>
    <xf numFmtId="0" fontId="22" fillId="0" borderId="0"/>
    <xf numFmtId="185" fontId="4" fillId="0" borderId="0"/>
    <xf numFmtId="185" fontId="4" fillId="0" borderId="0"/>
    <xf numFmtId="0" fontId="22" fillId="0" borderId="0"/>
    <xf numFmtId="0" fontId="22" fillId="0" borderId="0"/>
    <xf numFmtId="0" fontId="4" fillId="0" borderId="0"/>
    <xf numFmtId="0" fontId="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4" fillId="0" borderId="0"/>
    <xf numFmtId="0" fontId="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0" borderId="0"/>
    <xf numFmtId="0" fontId="22"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4" fillId="0" borderId="0"/>
    <xf numFmtId="0" fontId="4" fillId="0" borderId="0"/>
    <xf numFmtId="0" fontId="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0" borderId="0"/>
    <xf numFmtId="0" fontId="22" fillId="0" borderId="0"/>
    <xf numFmtId="0" fontId="22" fillId="0" borderId="0"/>
    <xf numFmtId="0" fontId="22" fillId="0" borderId="0"/>
    <xf numFmtId="0" fontId="4" fillId="0" borderId="0"/>
    <xf numFmtId="0" fontId="22" fillId="0" borderId="0"/>
    <xf numFmtId="0" fontId="22" fillId="0" borderId="0"/>
    <xf numFmtId="0" fontId="4" fillId="0" borderId="0"/>
    <xf numFmtId="0" fontId="4" fillId="0" borderId="0"/>
    <xf numFmtId="0" fontId="22" fillId="0" borderId="0"/>
    <xf numFmtId="0" fontId="4" fillId="0" borderId="0"/>
    <xf numFmtId="0" fontId="22" fillId="0" borderId="0"/>
    <xf numFmtId="0" fontId="4" fillId="0" borderId="0"/>
    <xf numFmtId="0" fontId="22" fillId="0" borderId="0"/>
    <xf numFmtId="0" fontId="22" fillId="0" borderId="0"/>
    <xf numFmtId="0" fontId="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22" fillId="0" borderId="0"/>
    <xf numFmtId="0" fontId="22" fillId="0" borderId="0"/>
    <xf numFmtId="0" fontId="22" fillId="0" borderId="0"/>
    <xf numFmtId="0" fontId="4" fillId="0" borderId="0"/>
    <xf numFmtId="0" fontId="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0" borderId="0"/>
    <xf numFmtId="0" fontId="4" fillId="0" borderId="0"/>
    <xf numFmtId="0" fontId="4" fillId="0" borderId="0"/>
    <xf numFmtId="0" fontId="22" fillId="0" borderId="0"/>
    <xf numFmtId="0" fontId="22"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22" fillId="0" borderId="0"/>
    <xf numFmtId="0" fontId="22" fillId="0" borderId="0"/>
    <xf numFmtId="0" fontId="22" fillId="0" borderId="0"/>
    <xf numFmtId="0" fontId="4" fillId="0" borderId="0"/>
    <xf numFmtId="0" fontId="4" fillId="0" borderId="0"/>
    <xf numFmtId="0" fontId="22" fillId="0" borderId="0"/>
    <xf numFmtId="0" fontId="4"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0" borderId="0"/>
    <xf numFmtId="0" fontId="4" fillId="0" borderId="0"/>
    <xf numFmtId="0" fontId="4" fillId="0" borderId="0"/>
    <xf numFmtId="0" fontId="4" fillId="0" borderId="0"/>
    <xf numFmtId="0" fontId="22" fillId="0" borderId="0"/>
    <xf numFmtId="0" fontId="22" fillId="0" borderId="0"/>
    <xf numFmtId="0" fontId="22" fillId="0" borderId="0"/>
    <xf numFmtId="0" fontId="4"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0" borderId="0"/>
    <xf numFmtId="0" fontId="4" fillId="0" borderId="0"/>
    <xf numFmtId="0" fontId="22" fillId="0" borderId="0"/>
    <xf numFmtId="0" fontId="22" fillId="0" borderId="0"/>
    <xf numFmtId="0" fontId="22" fillId="0" borderId="0"/>
    <xf numFmtId="0" fontId="22" fillId="0" borderId="0"/>
    <xf numFmtId="0" fontId="22" fillId="0" borderId="0"/>
    <xf numFmtId="0" fontId="22" fillId="0" borderId="0"/>
    <xf numFmtId="185" fontId="4"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22" fillId="0" borderId="0"/>
    <xf numFmtId="0" fontId="4" fillId="0" borderId="0"/>
    <xf numFmtId="0" fontId="4" fillId="0" borderId="0"/>
    <xf numFmtId="0" fontId="4" fillId="0" borderId="0"/>
    <xf numFmtId="0" fontId="4" fillId="0" borderId="0"/>
    <xf numFmtId="0" fontId="4" fillId="0" borderId="0"/>
    <xf numFmtId="0" fontId="22" fillId="0" borderId="0"/>
    <xf numFmtId="0" fontId="4" fillId="0" borderId="0"/>
    <xf numFmtId="0" fontId="4" fillId="0" borderId="0"/>
    <xf numFmtId="0" fontId="4" fillId="0" borderId="0"/>
    <xf numFmtId="0" fontId="4" fillId="0" borderId="0"/>
    <xf numFmtId="0" fontId="4" fillId="0" borderId="0"/>
    <xf numFmtId="185" fontId="4" fillId="0" borderId="0"/>
    <xf numFmtId="0" fontId="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85" fontId="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04" fillId="0" borderId="0"/>
    <xf numFmtId="0" fontId="22" fillId="0" borderId="0"/>
    <xf numFmtId="0" fontId="22" fillId="0" borderId="0"/>
    <xf numFmtId="0" fontId="22" fillId="0" borderId="0"/>
    <xf numFmtId="0" fontId="22" fillId="0" borderId="0"/>
    <xf numFmtId="0" fontId="22" fillId="0" borderId="0"/>
    <xf numFmtId="0" fontId="37" fillId="0" borderId="0"/>
    <xf numFmtId="0" fontId="37" fillId="0" borderId="0"/>
    <xf numFmtId="0" fontId="205" fillId="0" borderId="0"/>
    <xf numFmtId="0" fontId="204" fillId="0" borderId="0"/>
    <xf numFmtId="185" fontId="4" fillId="0" borderId="0"/>
    <xf numFmtId="185" fontId="4" fillId="0" borderId="0"/>
    <xf numFmtId="0" fontId="4" fillId="0" borderId="0"/>
    <xf numFmtId="0" fontId="4" fillId="0" borderId="0"/>
    <xf numFmtId="0" fontId="4" fillId="0" borderId="0"/>
    <xf numFmtId="0" fontId="22" fillId="0" borderId="0"/>
    <xf numFmtId="0" fontId="22" fillId="0" borderId="0"/>
    <xf numFmtId="0" fontId="22" fillId="0" borderId="0"/>
    <xf numFmtId="0" fontId="4" fillId="0" borderId="0"/>
    <xf numFmtId="0" fontId="22" fillId="0" borderId="0"/>
    <xf numFmtId="0" fontId="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0" borderId="0"/>
    <xf numFmtId="0" fontId="22"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0" borderId="0"/>
    <xf numFmtId="0" fontId="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85" fontId="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4" fillId="19" borderId="0"/>
    <xf numFmtId="185" fontId="4" fillId="0" borderId="0"/>
    <xf numFmtId="185" fontId="4" fillId="0" borderId="0"/>
    <xf numFmtId="0" fontId="204" fillId="0" borderId="0"/>
    <xf numFmtId="0" fontId="204" fillId="0" borderId="0"/>
    <xf numFmtId="0" fontId="4" fillId="0" borderId="0"/>
    <xf numFmtId="0" fontId="4" fillId="0" borderId="0"/>
    <xf numFmtId="0" fontId="4" fillId="0" borderId="0"/>
    <xf numFmtId="185" fontId="4" fillId="0" borderId="0"/>
    <xf numFmtId="185" fontId="4" fillId="0" borderId="0"/>
    <xf numFmtId="185" fontId="4" fillId="0" borderId="0"/>
    <xf numFmtId="0" fontId="4" fillId="0" borderId="0"/>
    <xf numFmtId="0" fontId="4" fillId="0" borderId="0"/>
    <xf numFmtId="185" fontId="4" fillId="0" borderId="0"/>
    <xf numFmtId="185" fontId="4" fillId="0" borderId="0"/>
    <xf numFmtId="0" fontId="4" fillId="0" borderId="0"/>
    <xf numFmtId="185" fontId="4" fillId="0" borderId="0"/>
    <xf numFmtId="0" fontId="4" fillId="0" borderId="0"/>
    <xf numFmtId="185" fontId="4" fillId="0" borderId="0"/>
    <xf numFmtId="0" fontId="4" fillId="0" borderId="0"/>
    <xf numFmtId="0" fontId="4" fillId="0" borderId="0"/>
    <xf numFmtId="18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4" fillId="0" borderId="0"/>
    <xf numFmtId="0" fontId="4" fillId="0" borderId="0"/>
    <xf numFmtId="185" fontId="4" fillId="0" borderId="0"/>
    <xf numFmtId="185" fontId="4" fillId="0" borderId="0"/>
    <xf numFmtId="185" fontId="4" fillId="0" borderId="0"/>
    <xf numFmtId="185" fontId="4" fillId="0" borderId="0"/>
    <xf numFmtId="185" fontId="4" fillId="0" borderId="0"/>
    <xf numFmtId="185" fontId="4" fillId="0" borderId="0"/>
    <xf numFmtId="0" fontId="4" fillId="0" borderId="0"/>
    <xf numFmtId="0" fontId="4" fillId="0" borderId="0"/>
    <xf numFmtId="0" fontId="4" fillId="0" borderId="0"/>
    <xf numFmtId="0" fontId="4" fillId="0" borderId="0"/>
    <xf numFmtId="185" fontId="4" fillId="0" borderId="0"/>
    <xf numFmtId="0" fontId="4" fillId="0" borderId="0"/>
    <xf numFmtId="0" fontId="4" fillId="0" borderId="0"/>
    <xf numFmtId="0" fontId="4" fillId="0" borderId="0"/>
    <xf numFmtId="0" fontId="4" fillId="0" borderId="0"/>
    <xf numFmtId="0" fontId="204" fillId="0" borderId="0"/>
    <xf numFmtId="185" fontId="4" fillId="0" borderId="0"/>
    <xf numFmtId="185" fontId="4" fillId="0" borderId="0"/>
    <xf numFmtId="185" fontId="4" fillId="0" borderId="0"/>
    <xf numFmtId="0" fontId="204" fillId="0" borderId="0"/>
    <xf numFmtId="185" fontId="4" fillId="0" borderId="0"/>
    <xf numFmtId="185" fontId="4" fillId="0" borderId="0"/>
    <xf numFmtId="185" fontId="4" fillId="0" borderId="0"/>
    <xf numFmtId="185" fontId="4" fillId="0" borderId="0"/>
    <xf numFmtId="0" fontId="22" fillId="0" borderId="0"/>
    <xf numFmtId="0" fontId="22" fillId="0" borderId="0"/>
    <xf numFmtId="0" fontId="22" fillId="0" borderId="0"/>
    <xf numFmtId="0" fontId="22" fillId="0" borderId="0"/>
    <xf numFmtId="0" fontId="22" fillId="0" borderId="0"/>
    <xf numFmtId="0" fontId="2" fillId="0" borderId="0"/>
    <xf numFmtId="0" fontId="2" fillId="0" borderId="0"/>
    <xf numFmtId="0" fontId="2" fillId="0" borderId="0"/>
    <xf numFmtId="0" fontId="2" fillId="0" borderId="0"/>
    <xf numFmtId="185" fontId="4" fillId="0" borderId="0"/>
    <xf numFmtId="0" fontId="17" fillId="0" borderId="0" applyFill="0" applyBorder="0">
      <alignment vertical="center"/>
    </xf>
    <xf numFmtId="185" fontId="4" fillId="0" borderId="0"/>
    <xf numFmtId="185" fontId="4" fillId="0" borderId="0"/>
    <xf numFmtId="0" fontId="22" fillId="0" borderId="0"/>
    <xf numFmtId="0" fontId="22" fillId="0" borderId="0"/>
    <xf numFmtId="185" fontId="4" fillId="0" borderId="0"/>
    <xf numFmtId="185" fontId="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0" borderId="0"/>
    <xf numFmtId="0" fontId="22" fillId="0" borderId="0"/>
    <xf numFmtId="0" fontId="22" fillId="0" borderId="0"/>
    <xf numFmtId="0" fontId="4" fillId="0" borderId="0"/>
    <xf numFmtId="0" fontId="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04" fillId="0" borderId="0"/>
    <xf numFmtId="0" fontId="204" fillId="0" borderId="0"/>
    <xf numFmtId="0" fontId="204" fillId="0" borderId="0"/>
    <xf numFmtId="0" fontId="22" fillId="0" borderId="0"/>
    <xf numFmtId="0" fontId="37" fillId="0" borderId="0"/>
    <xf numFmtId="185" fontId="4" fillId="0" borderId="0"/>
    <xf numFmtId="0" fontId="204" fillId="0" borderId="0"/>
    <xf numFmtId="185" fontId="4" fillId="0" borderId="0"/>
    <xf numFmtId="185" fontId="4" fillId="0" borderId="0"/>
    <xf numFmtId="185" fontId="4" fillId="0" borderId="0"/>
    <xf numFmtId="185" fontId="4" fillId="0" borderId="0"/>
    <xf numFmtId="185" fontId="4" fillId="0" borderId="0"/>
    <xf numFmtId="185" fontId="4" fillId="0" borderId="0"/>
    <xf numFmtId="185" fontId="4" fillId="0" borderId="0"/>
    <xf numFmtId="185" fontId="4" fillId="0" borderId="0"/>
    <xf numFmtId="185" fontId="4" fillId="0" borderId="0"/>
    <xf numFmtId="185" fontId="4" fillId="0" borderId="0"/>
    <xf numFmtId="185" fontId="4" fillId="0" borderId="0"/>
    <xf numFmtId="0" fontId="2" fillId="0" borderId="0"/>
    <xf numFmtId="0" fontId="2" fillId="0" borderId="0"/>
    <xf numFmtId="0" fontId="113" fillId="0" borderId="0" applyFont="0" applyFill="0" applyBorder="0" applyAlignment="0" applyProtection="0"/>
    <xf numFmtId="0" fontId="206" fillId="0" borderId="0"/>
    <xf numFmtId="185" fontId="2" fillId="0" borderId="0"/>
    <xf numFmtId="185"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185" fontId="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85" fontId="4" fillId="0" borderId="0"/>
    <xf numFmtId="185" fontId="4" fillId="0" borderId="0"/>
    <xf numFmtId="185" fontId="4" fillId="0" borderId="0"/>
    <xf numFmtId="185" fontId="4" fillId="0" borderId="0"/>
    <xf numFmtId="185" fontId="4" fillId="0" borderId="0"/>
    <xf numFmtId="185" fontId="4" fillId="0" borderId="0"/>
    <xf numFmtId="185" fontId="4" fillId="0" borderId="0"/>
    <xf numFmtId="185" fontId="4" fillId="0" borderId="0"/>
    <xf numFmtId="185" fontId="4" fillId="0" borderId="0"/>
    <xf numFmtId="185" fontId="4" fillId="0" borderId="0"/>
    <xf numFmtId="18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4" fillId="0" borderId="0"/>
    <xf numFmtId="185" fontId="4" fillId="0" borderId="0"/>
    <xf numFmtId="185" fontId="4" fillId="0" borderId="0"/>
    <xf numFmtId="185" fontId="4" fillId="0" borderId="0"/>
    <xf numFmtId="185" fontId="4" fillId="0" borderId="0"/>
    <xf numFmtId="185" fontId="4" fillId="0" borderId="0"/>
    <xf numFmtId="185" fontId="4" fillId="0" borderId="0"/>
    <xf numFmtId="18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4" fillId="0" borderId="0"/>
    <xf numFmtId="185" fontId="4" fillId="0" borderId="0"/>
    <xf numFmtId="185" fontId="4" fillId="0" borderId="0"/>
    <xf numFmtId="185" fontId="4" fillId="0" borderId="0"/>
    <xf numFmtId="185" fontId="4" fillId="0" borderId="0"/>
    <xf numFmtId="185" fontId="4" fillId="0" borderId="0"/>
    <xf numFmtId="185" fontId="4" fillId="0" borderId="0"/>
    <xf numFmtId="0" fontId="4" fillId="0" borderId="0"/>
    <xf numFmtId="0" fontId="4" fillId="0" borderId="0"/>
    <xf numFmtId="0" fontId="4" fillId="0" borderId="0"/>
    <xf numFmtId="185" fontId="4" fillId="0" borderId="0"/>
    <xf numFmtId="0" fontId="4" fillId="0" borderId="0"/>
    <xf numFmtId="0" fontId="4" fillId="0" borderId="0"/>
    <xf numFmtId="0" fontId="4" fillId="0" borderId="0"/>
    <xf numFmtId="0" fontId="4" fillId="0" borderId="0"/>
    <xf numFmtId="0" fontId="22" fillId="0" borderId="0"/>
    <xf numFmtId="185" fontId="4" fillId="0" borderId="0"/>
    <xf numFmtId="185" fontId="4" fillId="0" borderId="0"/>
    <xf numFmtId="185" fontId="4" fillId="0" borderId="0"/>
    <xf numFmtId="0" fontId="22" fillId="0" borderId="0"/>
    <xf numFmtId="185" fontId="4" fillId="0" borderId="0"/>
    <xf numFmtId="185" fontId="4" fillId="0" borderId="0"/>
    <xf numFmtId="185" fontId="4" fillId="0" borderId="0"/>
    <xf numFmtId="185" fontId="4" fillId="0" borderId="0"/>
    <xf numFmtId="0" fontId="204" fillId="0" borderId="0"/>
    <xf numFmtId="0" fontId="22" fillId="0" borderId="0"/>
    <xf numFmtId="0" fontId="22" fillId="0" borderId="0"/>
    <xf numFmtId="0" fontId="22" fillId="0" borderId="0"/>
    <xf numFmtId="0" fontId="204" fillId="0" borderId="0"/>
    <xf numFmtId="0" fontId="22" fillId="0" borderId="0"/>
    <xf numFmtId="0" fontId="22" fillId="0" borderId="0"/>
    <xf numFmtId="0" fontId="22" fillId="0" borderId="0"/>
    <xf numFmtId="0" fontId="22" fillId="0" borderId="0"/>
    <xf numFmtId="0" fontId="204" fillId="0" borderId="0"/>
    <xf numFmtId="0" fontId="204" fillId="0" borderId="0"/>
    <xf numFmtId="185" fontId="4" fillId="0" borderId="0"/>
    <xf numFmtId="185" fontId="4" fillId="0" borderId="0"/>
    <xf numFmtId="0" fontId="204" fillId="0" borderId="0"/>
    <xf numFmtId="0" fontId="204" fillId="0" borderId="0"/>
    <xf numFmtId="0" fontId="204" fillId="0" borderId="0"/>
    <xf numFmtId="0" fontId="204" fillId="0" borderId="0"/>
    <xf numFmtId="0" fontId="204" fillId="0" borderId="0"/>
    <xf numFmtId="0" fontId="37"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5" fontId="4" fillId="0" borderId="0"/>
    <xf numFmtId="0" fontId="37" fillId="0" borderId="0"/>
    <xf numFmtId="185" fontId="4" fillId="0" borderId="0"/>
    <xf numFmtId="185" fontId="4" fillId="0" borderId="0"/>
    <xf numFmtId="185" fontId="4" fillId="0" borderId="0"/>
    <xf numFmtId="185" fontId="4" fillId="0" borderId="0"/>
    <xf numFmtId="185" fontId="4" fillId="0" borderId="0"/>
    <xf numFmtId="0" fontId="22" fillId="0" borderId="0"/>
    <xf numFmtId="0" fontId="22" fillId="0" borderId="0"/>
    <xf numFmtId="185"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138" fillId="0" borderId="0"/>
    <xf numFmtId="0" fontId="20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19" borderId="0"/>
    <xf numFmtId="185" fontId="4" fillId="0" borderId="0"/>
    <xf numFmtId="185" fontId="4" fillId="0" borderId="0"/>
    <xf numFmtId="185" fontId="4" fillId="0" borderId="0"/>
    <xf numFmtId="0" fontId="2" fillId="0" borderId="0"/>
    <xf numFmtId="0" fontId="2" fillId="0" borderId="0"/>
    <xf numFmtId="0" fontId="2" fillId="0" borderId="0"/>
    <xf numFmtId="0" fontId="2" fillId="0" borderId="0"/>
    <xf numFmtId="0" fontId="4" fillId="19" borderId="0"/>
    <xf numFmtId="0" fontId="2" fillId="0" borderId="0"/>
    <xf numFmtId="0" fontId="4" fillId="19" borderId="0"/>
    <xf numFmtId="185" fontId="4" fillId="0" borderId="0"/>
    <xf numFmtId="185" fontId="4" fillId="0" borderId="0"/>
    <xf numFmtId="0" fontId="4" fillId="0" borderId="0"/>
    <xf numFmtId="0" fontId="37" fillId="0" borderId="0"/>
    <xf numFmtId="0" fontId="4" fillId="19" borderId="0"/>
    <xf numFmtId="0" fontId="22" fillId="0" borderId="0"/>
    <xf numFmtId="0" fontId="22" fillId="0" borderId="0"/>
    <xf numFmtId="0" fontId="37" fillId="0" borderId="0"/>
    <xf numFmtId="0" fontId="151" fillId="0" borderId="0" applyFill="0" applyBorder="0">
      <protection locked="0"/>
    </xf>
    <xf numFmtId="0" fontId="151" fillId="0" borderId="0" applyFill="0" applyBorder="0">
      <protection locked="0"/>
    </xf>
    <xf numFmtId="0" fontId="141" fillId="0" borderId="0"/>
    <xf numFmtId="211" fontId="141" fillId="0" borderId="0"/>
    <xf numFmtId="0" fontId="141" fillId="0" borderId="0"/>
    <xf numFmtId="0" fontId="126" fillId="0" borderId="0"/>
    <xf numFmtId="0" fontId="55" fillId="31" borderId="16" applyNumberFormat="0" applyFont="0" applyAlignment="0" applyProtection="0"/>
    <xf numFmtId="0" fontId="135" fillId="31" borderId="16" applyNumberFormat="0" applyFont="0" applyAlignment="0" applyProtection="0"/>
    <xf numFmtId="0" fontId="2" fillId="75" borderId="27" applyNumberFormat="0" applyFont="0" applyAlignment="0" applyProtection="0"/>
    <xf numFmtId="0" fontId="2" fillId="75" borderId="27" applyNumberFormat="0" applyFont="0" applyAlignment="0" applyProtection="0"/>
    <xf numFmtId="3" fontId="207" fillId="1" borderId="0" applyBorder="0" applyAlignment="0" applyProtection="0"/>
    <xf numFmtId="3" fontId="3" fillId="0" borderId="0"/>
    <xf numFmtId="196" fontId="17" fillId="0" borderId="0" applyFill="0" applyBorder="0">
      <alignment vertical="center"/>
    </xf>
    <xf numFmtId="3" fontId="3" fillId="0" borderId="0"/>
    <xf numFmtId="40" fontId="125" fillId="0" borderId="0" applyFont="0" applyFill="0" applyBorder="0" applyAlignment="0" applyProtection="0"/>
    <xf numFmtId="38" fontId="125" fillId="0" borderId="0" applyFont="0" applyFill="0" applyBorder="0" applyAlignment="0" applyProtection="0"/>
    <xf numFmtId="0" fontId="195" fillId="0" borderId="0">
      <alignment horizontal="left"/>
    </xf>
    <xf numFmtId="263" fontId="4" fillId="0" borderId="0" applyFill="0" applyBorder="0">
      <alignment horizontal="center"/>
    </xf>
    <xf numFmtId="0" fontId="208" fillId="0" borderId="0"/>
    <xf numFmtId="1" fontId="209" fillId="0" borderId="0" applyProtection="0">
      <alignment horizontal="right" vertical="center"/>
    </xf>
    <xf numFmtId="0" fontId="4" fillId="83" borderId="0" applyNumberFormat="0" applyFont="0" applyBorder="0" applyAlignment="0" applyProtection="0">
      <protection hidden="1"/>
    </xf>
    <xf numFmtId="9" fontId="50" fillId="0" borderId="0" applyFont="0" applyFill="0" applyBorder="0" applyAlignment="0" applyProtection="0"/>
    <xf numFmtId="9" fontId="50" fillId="0" borderId="0" applyFont="0" applyFill="0" applyBorder="0" applyAlignment="0" applyProtection="0"/>
    <xf numFmtId="10" fontId="50" fillId="0" borderId="0" applyFont="0" applyFill="0" applyBorder="0" applyAlignment="0" applyProtection="0"/>
    <xf numFmtId="10" fontId="50" fillId="0" borderId="0" applyFont="0" applyFill="0" applyBorder="0" applyAlignment="0" applyProtection="0"/>
    <xf numFmtId="9" fontId="4" fillId="0" borderId="0" applyFont="0" applyFill="0" applyBorder="0" applyAlignment="0" applyProtection="0"/>
    <xf numFmtId="264" fontId="50" fillId="0" borderId="0" applyFont="0" applyFill="0" applyBorder="0" applyAlignment="0" applyProtection="0"/>
    <xf numFmtId="208" fontId="74" fillId="0" borderId="0" applyFill="0" applyBorder="0">
      <protection locked="0"/>
    </xf>
    <xf numFmtId="10" fontId="4" fillId="0" borderId="0" applyFont="0" applyFill="0" applyBorder="0" applyAlignment="0" applyProtection="0"/>
    <xf numFmtId="9" fontId="37"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2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05" fillId="0" borderId="0" applyFont="0" applyFill="0" applyBorder="0" applyAlignment="0" applyProtection="0"/>
    <xf numFmtId="9" fontId="22" fillId="0" borderId="0" applyFont="0" applyFill="0" applyBorder="0" applyAlignment="0" applyProtection="0"/>
    <xf numFmtId="9" fontId="2" fillId="0" borderId="0" applyFont="0" applyFill="0" applyBorder="0" applyAlignment="0" applyProtection="0"/>
    <xf numFmtId="9" fontId="2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37"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217" fontId="17" fillId="0" borderId="0" applyFill="0" applyBorder="0">
      <alignment vertical="center"/>
    </xf>
    <xf numFmtId="211" fontId="42" fillId="0" borderId="0" applyFill="0" applyBorder="0">
      <alignment vertical="center"/>
    </xf>
    <xf numFmtId="0" fontId="42" fillId="0" borderId="0" applyFill="0" applyBorder="0">
      <alignment vertical="center"/>
    </xf>
    <xf numFmtId="0" fontId="210" fillId="0" borderId="0" applyFill="0" applyBorder="0">
      <alignment vertical="center"/>
    </xf>
    <xf numFmtId="0" fontId="42" fillId="0" borderId="0" applyFill="0" applyBorder="0">
      <alignment vertical="center"/>
    </xf>
    <xf numFmtId="0" fontId="211" fillId="0" borderId="32" applyBorder="0"/>
    <xf numFmtId="0" fontId="212" fillId="0" borderId="0"/>
    <xf numFmtId="9" fontId="4" fillId="0" borderId="0" applyFont="0" applyFill="0" applyBorder="0" applyAlignment="0" applyProtection="0"/>
    <xf numFmtId="0" fontId="213" fillId="0" borderId="0" applyNumberFormat="0"/>
    <xf numFmtId="188" fontId="4" fillId="0" borderId="0" applyFill="0" applyBorder="0" applyAlignment="0"/>
    <xf numFmtId="222" fontId="4" fillId="0" borderId="0" applyFill="0" applyBorder="0" applyAlignment="0"/>
    <xf numFmtId="188" fontId="4" fillId="0" borderId="0" applyFill="0" applyBorder="0" applyAlignment="0"/>
    <xf numFmtId="0" fontId="186" fillId="0" borderId="0" applyFill="0" applyBorder="0" applyAlignment="0"/>
    <xf numFmtId="222" fontId="4" fillId="0" borderId="0" applyFill="0" applyBorder="0" applyAlignment="0"/>
    <xf numFmtId="214" fontId="143" fillId="0" borderId="0" applyFill="0" applyBorder="0">
      <alignment horizontal="right" vertical="center"/>
    </xf>
    <xf numFmtId="214" fontId="17" fillId="0" borderId="0" applyFill="0" applyBorder="0">
      <alignment vertical="center"/>
    </xf>
    <xf numFmtId="214" fontId="138" fillId="0" borderId="0" applyFill="0" applyBorder="0">
      <alignment vertical="center"/>
    </xf>
    <xf numFmtId="220" fontId="143" fillId="0" borderId="0" applyFill="0" applyBorder="0">
      <alignment horizontal="right" vertical="center"/>
    </xf>
    <xf numFmtId="215" fontId="17" fillId="0" borderId="0" applyFill="0" applyBorder="0">
      <alignment vertical="center"/>
    </xf>
    <xf numFmtId="215" fontId="138" fillId="0" borderId="0" applyFill="0" applyBorder="0">
      <alignment vertical="center"/>
    </xf>
    <xf numFmtId="211" fontId="214" fillId="0" borderId="0" applyFill="0" applyBorder="0">
      <alignment vertical="center"/>
    </xf>
    <xf numFmtId="0" fontId="168" fillId="0" borderId="0" applyFill="0" applyBorder="0">
      <alignment vertical="center"/>
    </xf>
    <xf numFmtId="0" fontId="161" fillId="0" borderId="0" applyFill="0" applyBorder="0">
      <alignment vertical="center"/>
    </xf>
    <xf numFmtId="211" fontId="215" fillId="0" borderId="0" applyFill="0" applyBorder="0">
      <alignment vertical="center"/>
    </xf>
    <xf numFmtId="0" fontId="171" fillId="0" borderId="0" applyFill="0" applyBorder="0">
      <alignment vertical="center"/>
    </xf>
    <xf numFmtId="0" fontId="216" fillId="0" borderId="0" applyFill="0" applyBorder="0">
      <alignment vertical="center"/>
    </xf>
    <xf numFmtId="211" fontId="217" fillId="0" borderId="0" applyFill="0" applyBorder="0">
      <alignment vertical="center"/>
    </xf>
    <xf numFmtId="0" fontId="175" fillId="0" borderId="0" applyFill="0" applyBorder="0">
      <alignment vertical="center"/>
    </xf>
    <xf numFmtId="0" fontId="218" fillId="0" borderId="0" applyFill="0" applyBorder="0">
      <alignment vertical="center"/>
    </xf>
    <xf numFmtId="211" fontId="143" fillId="0" borderId="0" applyFill="0" applyBorder="0">
      <alignment vertical="center"/>
    </xf>
    <xf numFmtId="0" fontId="177" fillId="0" borderId="0" applyFill="0" applyBorder="0">
      <alignment vertical="center"/>
    </xf>
    <xf numFmtId="0" fontId="138" fillId="0" borderId="0" applyFill="0" applyBorder="0">
      <alignment vertical="center"/>
    </xf>
    <xf numFmtId="211" fontId="68" fillId="0" borderId="0" applyFill="0" applyBorder="0">
      <alignment horizontal="center" vertical="center"/>
      <protection locked="0"/>
    </xf>
    <xf numFmtId="0" fontId="68" fillId="0" borderId="0" applyFill="0" applyBorder="0">
      <alignment horizontal="center" vertical="center"/>
    </xf>
    <xf numFmtId="211" fontId="68" fillId="0" borderId="0" applyFill="0" applyBorder="0">
      <alignment horizontal="center" vertical="center"/>
      <protection locked="0"/>
    </xf>
    <xf numFmtId="0" fontId="68" fillId="0" borderId="0" applyFill="0" applyBorder="0">
      <alignment horizontal="center" vertical="center"/>
    </xf>
    <xf numFmtId="211" fontId="219" fillId="0" borderId="0" applyFill="0" applyBorder="0">
      <alignment horizontal="left" vertical="center"/>
      <protection locked="0"/>
    </xf>
    <xf numFmtId="0" fontId="182" fillId="0" borderId="0" applyFill="0" applyBorder="0">
      <alignment vertical="center"/>
    </xf>
    <xf numFmtId="0" fontId="219" fillId="0" borderId="0" applyFill="0" applyBorder="0">
      <alignment vertical="center"/>
    </xf>
    <xf numFmtId="211" fontId="220" fillId="0" borderId="0" applyFill="0" applyBorder="0">
      <alignment horizontal="left" vertical="center"/>
    </xf>
    <xf numFmtId="0" fontId="200" fillId="0" borderId="0" applyFill="0" applyBorder="0">
      <alignment vertical="center"/>
    </xf>
    <xf numFmtId="0" fontId="221" fillId="0" borderId="0" applyFill="0" applyBorder="0">
      <alignment vertical="center"/>
    </xf>
    <xf numFmtId="216" fontId="143" fillId="0" borderId="0" applyFill="0" applyBorder="0">
      <alignment horizontal="right" vertical="center"/>
    </xf>
    <xf numFmtId="216" fontId="17" fillId="0" borderId="0" applyFill="0" applyBorder="0">
      <alignment vertical="center"/>
    </xf>
    <xf numFmtId="216" fontId="138" fillId="0" borderId="0" applyFill="0" applyBorder="0">
      <alignment vertical="center"/>
    </xf>
    <xf numFmtId="211" fontId="143" fillId="0" borderId="0" applyFill="0" applyBorder="0">
      <alignment vertical="center"/>
    </xf>
    <xf numFmtId="0" fontId="17" fillId="0" borderId="0" applyFill="0" applyBorder="0">
      <alignment vertical="center"/>
    </xf>
    <xf numFmtId="0" fontId="138" fillId="0" borderId="0" applyFill="0" applyBorder="0">
      <alignment vertical="center"/>
    </xf>
    <xf numFmtId="196" fontId="143" fillId="0" borderId="0" applyFill="0" applyBorder="0">
      <alignment horizontal="right" vertical="center"/>
    </xf>
    <xf numFmtId="196" fontId="17" fillId="0" borderId="0" applyFill="0" applyBorder="0">
      <alignment vertical="center"/>
    </xf>
    <xf numFmtId="196" fontId="138" fillId="0" borderId="0" applyFill="0" applyBorder="0">
      <alignment vertical="center"/>
    </xf>
    <xf numFmtId="217" fontId="143" fillId="0" borderId="0" applyFill="0" applyBorder="0">
      <alignment horizontal="right" vertical="center"/>
    </xf>
    <xf numFmtId="217" fontId="17" fillId="0" borderId="0" applyFill="0" applyBorder="0">
      <alignment vertical="center"/>
    </xf>
    <xf numFmtId="217" fontId="138" fillId="0" borderId="0" applyFill="0" applyBorder="0">
      <alignment vertical="center"/>
    </xf>
    <xf numFmtId="211" fontId="217" fillId="0" borderId="0" applyFill="0" applyBorder="0">
      <alignment vertical="center"/>
    </xf>
    <xf numFmtId="0" fontId="196" fillId="0" borderId="0" applyFill="0" applyBorder="0">
      <alignment vertical="center"/>
    </xf>
    <xf numFmtId="0" fontId="218" fillId="0" borderId="0" applyFill="0" applyBorder="0">
      <alignment vertical="center"/>
    </xf>
    <xf numFmtId="196" fontId="222" fillId="0" borderId="0" applyFill="0" applyBorder="0">
      <alignment horizontal="left" vertical="center"/>
    </xf>
    <xf numFmtId="0" fontId="223" fillId="0" borderId="0" applyFill="0" applyBorder="0">
      <alignment vertical="center"/>
    </xf>
    <xf numFmtId="0" fontId="224" fillId="0" borderId="0" applyFill="0" applyBorder="0">
      <alignment vertical="center"/>
    </xf>
    <xf numFmtId="211" fontId="225" fillId="0" borderId="0" applyFill="0" applyBorder="0">
      <alignment horizontal="left" vertical="center"/>
    </xf>
    <xf numFmtId="0" fontId="226" fillId="0" borderId="0" applyFill="0" applyBorder="0">
      <alignment vertical="center"/>
    </xf>
    <xf numFmtId="0" fontId="227" fillId="0" borderId="0" applyFill="0" applyBorder="0">
      <alignment vertical="center"/>
    </xf>
    <xf numFmtId="0" fontId="177" fillId="0" borderId="0" applyFill="0" applyBorder="0">
      <alignment vertical="center"/>
      <protection locked="0"/>
    </xf>
    <xf numFmtId="0" fontId="138" fillId="0" borderId="0" applyFill="0" applyBorder="0">
      <alignment vertical="center"/>
      <protection locked="0"/>
    </xf>
    <xf numFmtId="0" fontId="183" fillId="0" borderId="0" applyFill="0" applyBorder="0">
      <alignment vertical="center"/>
    </xf>
    <xf numFmtId="0" fontId="228" fillId="0" borderId="0" applyFill="0" applyBorder="0">
      <alignment vertical="center"/>
    </xf>
    <xf numFmtId="0" fontId="184" fillId="0" borderId="0" applyFill="0" applyBorder="0">
      <alignment vertical="center"/>
    </xf>
    <xf numFmtId="0" fontId="229" fillId="0" borderId="0" applyFill="0" applyBorder="0">
      <alignment vertical="center"/>
    </xf>
    <xf numFmtId="0" fontId="185" fillId="0" borderId="0" applyFill="0" applyBorder="0">
      <alignment vertical="center"/>
    </xf>
    <xf numFmtId="0" fontId="230" fillId="0" borderId="0" applyFill="0" applyBorder="0">
      <alignment vertical="center"/>
    </xf>
    <xf numFmtId="0" fontId="185" fillId="0" borderId="0" applyFill="0" applyBorder="0">
      <alignment vertical="center"/>
    </xf>
    <xf numFmtId="0" fontId="230" fillId="0" borderId="0" applyFill="0" applyBorder="0">
      <alignment vertical="center"/>
    </xf>
    <xf numFmtId="197" fontId="143" fillId="0" borderId="0" applyFill="0" applyBorder="0">
      <alignment horizontal="right" vertical="center"/>
    </xf>
    <xf numFmtId="218" fontId="17" fillId="0" borderId="0" applyFill="0" applyBorder="0">
      <alignment vertical="center"/>
    </xf>
    <xf numFmtId="218" fontId="138" fillId="0" borderId="0" applyFill="0" applyBorder="0">
      <alignment vertical="center"/>
    </xf>
    <xf numFmtId="9" fontId="3" fillId="0" borderId="0"/>
    <xf numFmtId="193" fontId="77" fillId="0" borderId="7"/>
    <xf numFmtId="17" fontId="40" fillId="0" borderId="0">
      <alignment horizontal="center" vertical="center"/>
    </xf>
    <xf numFmtId="265" fontId="231" fillId="0" borderId="0"/>
    <xf numFmtId="209" fontId="4" fillId="0" borderId="0"/>
    <xf numFmtId="14" fontId="197" fillId="0" borderId="0" applyNumberFormat="0" applyFill="0" applyBorder="0" applyAlignment="0" applyProtection="0">
      <alignment horizontal="left"/>
    </xf>
    <xf numFmtId="214" fontId="37" fillId="0" borderId="0" applyFill="0" applyBorder="0">
      <alignment horizontal="right" vertical="center"/>
    </xf>
    <xf numFmtId="214" fontId="37" fillId="0" borderId="0" applyFill="0" applyBorder="0">
      <alignment horizontal="right" vertical="center"/>
    </xf>
    <xf numFmtId="214" fontId="37" fillId="0" borderId="0" applyFill="0" applyBorder="0">
      <alignment horizontal="right" vertical="center"/>
    </xf>
    <xf numFmtId="220" fontId="37" fillId="0" borderId="0" applyFill="0" applyBorder="0">
      <alignment horizontal="right" vertical="center"/>
    </xf>
    <xf numFmtId="195" fontId="37" fillId="0" borderId="0" applyFill="0" applyBorder="0">
      <alignment horizontal="right" vertical="center"/>
    </xf>
    <xf numFmtId="220" fontId="37" fillId="0" borderId="0" applyFill="0" applyBorder="0">
      <alignment horizontal="right" vertical="center"/>
    </xf>
    <xf numFmtId="216" fontId="37" fillId="0" borderId="0" applyFill="0" applyBorder="0">
      <alignment horizontal="right" vertical="center"/>
    </xf>
    <xf numFmtId="216" fontId="37" fillId="0" borderId="0" applyFill="0" applyBorder="0">
      <alignment horizontal="right" vertical="center"/>
    </xf>
    <xf numFmtId="216" fontId="37" fillId="0" borderId="0" applyFill="0" applyBorder="0">
      <alignment horizontal="right" vertical="center"/>
    </xf>
    <xf numFmtId="196" fontId="37" fillId="0" borderId="0" applyFill="0" applyBorder="0">
      <alignment horizontal="right" vertical="center"/>
    </xf>
    <xf numFmtId="196" fontId="37" fillId="0" borderId="0" applyFill="0" applyBorder="0">
      <alignment horizontal="right" vertical="center"/>
    </xf>
    <xf numFmtId="217" fontId="37" fillId="0" borderId="0" applyFill="0" applyBorder="0">
      <alignment horizontal="right" vertical="center"/>
    </xf>
    <xf numFmtId="217" fontId="37" fillId="0" borderId="0" applyFill="0" applyBorder="0">
      <alignment horizontal="right" vertical="center"/>
    </xf>
    <xf numFmtId="217" fontId="37" fillId="0" borderId="0" applyFill="0" applyBorder="0">
      <alignment horizontal="right" vertical="center"/>
    </xf>
    <xf numFmtId="197" fontId="37" fillId="0" borderId="0" applyFill="0" applyBorder="0">
      <alignment horizontal="right" vertical="center"/>
    </xf>
    <xf numFmtId="197" fontId="37" fillId="0" borderId="0" applyFill="0" applyBorder="0">
      <alignment horizontal="right" vertical="center"/>
    </xf>
    <xf numFmtId="211" fontId="216" fillId="82" borderId="0"/>
    <xf numFmtId="0" fontId="157" fillId="0" borderId="55">
      <alignment vertical="center"/>
    </xf>
    <xf numFmtId="0" fontId="157" fillId="0" borderId="55">
      <alignment vertical="center"/>
    </xf>
    <xf numFmtId="0" fontId="157" fillId="0" borderId="55">
      <alignment vertical="center"/>
    </xf>
    <xf numFmtId="0" fontId="157" fillId="0" borderId="55">
      <alignment vertical="center"/>
    </xf>
    <xf numFmtId="0" fontId="157" fillId="0" borderId="55">
      <alignment vertical="center"/>
    </xf>
    <xf numFmtId="0" fontId="232" fillId="0" borderId="56"/>
    <xf numFmtId="266" fontId="123" fillId="0" borderId="0" applyFont="0" applyFill="0" applyBorder="0" applyAlignment="0" applyProtection="0">
      <alignment horizontal="right"/>
    </xf>
    <xf numFmtId="0" fontId="21" fillId="0" borderId="0"/>
    <xf numFmtId="0" fontId="26" fillId="0" borderId="0"/>
    <xf numFmtId="0" fontId="233" fillId="0" borderId="0" applyFill="0" applyBorder="0" applyAlignment="0"/>
    <xf numFmtId="0" fontId="223" fillId="0" borderId="0" applyFill="0" applyBorder="0">
      <alignment vertical="center"/>
    </xf>
    <xf numFmtId="0" fontId="233" fillId="0" borderId="0" applyFill="0" applyBorder="0" applyAlignment="0"/>
    <xf numFmtId="37" fontId="234" fillId="0" borderId="0">
      <protection locked="0"/>
    </xf>
    <xf numFmtId="0" fontId="23" fillId="0" borderId="36"/>
    <xf numFmtId="0" fontId="26" fillId="0" borderId="0"/>
    <xf numFmtId="0" fontId="235" fillId="0" borderId="0"/>
    <xf numFmtId="0" fontId="236" fillId="84" borderId="0"/>
    <xf numFmtId="49" fontId="237" fillId="85" borderId="57"/>
    <xf numFmtId="49" fontId="237" fillId="85" borderId="0">
      <alignment wrapText="1"/>
    </xf>
    <xf numFmtId="0" fontId="236" fillId="19" borderId="58">
      <protection locked="0"/>
    </xf>
    <xf numFmtId="0" fontId="236" fillId="84" borderId="0"/>
    <xf numFmtId="211" fontId="80" fillId="0" borderId="0" applyFill="0" applyBorder="0">
      <alignment horizontal="left" vertical="center"/>
    </xf>
    <xf numFmtId="0" fontId="226" fillId="0" borderId="0" applyFill="0" applyBorder="0">
      <alignment vertical="center"/>
    </xf>
    <xf numFmtId="17" fontId="123" fillId="0" borderId="0" applyFill="0" applyBorder="0">
      <alignment horizontal="right"/>
    </xf>
    <xf numFmtId="267" fontId="37" fillId="0" borderId="0" applyAlignment="0" applyProtection="0"/>
    <xf numFmtId="267" fontId="37" fillId="0" borderId="0" applyAlignment="0" applyProtection="0"/>
    <xf numFmtId="268" fontId="21" fillId="0" borderId="0" applyFill="0" applyBorder="0" applyProtection="0"/>
    <xf numFmtId="185" fontId="37" fillId="0" borderId="0"/>
    <xf numFmtId="0" fontId="135" fillId="0" borderId="0" applyNumberFormat="0" applyBorder="0" applyAlignment="0"/>
    <xf numFmtId="0" fontId="151" fillId="0" borderId="0"/>
    <xf numFmtId="211" fontId="41" fillId="0" borderId="0"/>
    <xf numFmtId="211" fontId="41" fillId="0" borderId="0"/>
    <xf numFmtId="211" fontId="80" fillId="0" borderId="0"/>
    <xf numFmtId="211" fontId="80" fillId="0" borderId="0"/>
    <xf numFmtId="0" fontId="238" fillId="0" borderId="0" applyNumberFormat="0" applyBorder="0" applyAlignment="0"/>
    <xf numFmtId="0" fontId="239" fillId="0" borderId="0" applyNumberFormat="0" applyBorder="0" applyAlignment="0"/>
    <xf numFmtId="269" fontId="40" fillId="20" borderId="29"/>
    <xf numFmtId="269" fontId="40" fillId="20" borderId="29"/>
    <xf numFmtId="269" fontId="40" fillId="20" borderId="29"/>
    <xf numFmtId="0" fontId="177" fillId="0" borderId="0" applyFill="0" applyBorder="0">
      <alignment vertical="center"/>
      <protection locked="0"/>
    </xf>
    <xf numFmtId="270" fontId="124" fillId="0" borderId="36" applyFont="0" applyFill="0" applyAlignment="0" applyProtection="0"/>
    <xf numFmtId="270" fontId="124" fillId="0" borderId="36" applyFont="0" applyFill="0" applyAlignment="0" applyProtection="0"/>
    <xf numFmtId="270" fontId="124" fillId="0" borderId="36" applyFont="0" applyFill="0" applyAlignment="0" applyProtection="0"/>
    <xf numFmtId="270" fontId="124" fillId="0" borderId="36" applyFont="0" applyFill="0" applyAlignment="0" applyProtection="0"/>
    <xf numFmtId="211" fontId="240" fillId="81" borderId="0"/>
    <xf numFmtId="0" fontId="26" fillId="0" borderId="59"/>
    <xf numFmtId="40" fontId="241" fillId="0" borderId="0" applyBorder="0">
      <alignment horizontal="right"/>
    </xf>
    <xf numFmtId="0" fontId="82" fillId="0" borderId="0" applyBorder="0" applyProtection="0">
      <alignment vertical="center"/>
    </xf>
    <xf numFmtId="245" fontId="82" fillId="0" borderId="2" applyBorder="0" applyProtection="0">
      <alignment horizontal="right" vertical="center"/>
    </xf>
    <xf numFmtId="245" fontId="82" fillId="0" borderId="2" applyBorder="0" applyProtection="0">
      <alignment horizontal="right" vertical="center"/>
    </xf>
    <xf numFmtId="245" fontId="82" fillId="0" borderId="2" applyBorder="0" applyProtection="0">
      <alignment horizontal="right" vertical="center"/>
    </xf>
    <xf numFmtId="245" fontId="82" fillId="0" borderId="2" applyBorder="0" applyProtection="0">
      <alignment horizontal="right" vertical="center"/>
    </xf>
    <xf numFmtId="245" fontId="82" fillId="0" borderId="2" applyBorder="0" applyProtection="0">
      <alignment horizontal="right" vertical="center"/>
    </xf>
    <xf numFmtId="245" fontId="82" fillId="0" borderId="2" applyBorder="0" applyProtection="0">
      <alignment horizontal="right" vertical="center"/>
    </xf>
    <xf numFmtId="245" fontId="82" fillId="0" borderId="2" applyBorder="0" applyProtection="0">
      <alignment horizontal="right" vertical="center"/>
    </xf>
    <xf numFmtId="245" fontId="82" fillId="0" borderId="2" applyBorder="0" applyProtection="0">
      <alignment horizontal="right" vertical="center"/>
    </xf>
    <xf numFmtId="0" fontId="81" fillId="86" borderId="0" applyBorder="0" applyProtection="0">
      <alignment horizontal="centerContinuous" vertical="center"/>
    </xf>
    <xf numFmtId="0" fontId="81" fillId="26" borderId="2" applyBorder="0" applyProtection="0">
      <alignment horizontal="centerContinuous" vertical="center"/>
    </xf>
    <xf numFmtId="0" fontId="81" fillId="26" borderId="2" applyBorder="0" applyProtection="0">
      <alignment horizontal="centerContinuous" vertical="center"/>
    </xf>
    <xf numFmtId="0" fontId="81" fillId="26" borderId="2" applyBorder="0" applyProtection="0">
      <alignment horizontal="centerContinuous" vertical="center"/>
    </xf>
    <xf numFmtId="0" fontId="81" fillId="26" borderId="2" applyBorder="0" applyProtection="0">
      <alignment horizontal="centerContinuous" vertical="center"/>
    </xf>
    <xf numFmtId="0" fontId="81" fillId="26" borderId="2" applyBorder="0" applyProtection="0">
      <alignment horizontal="centerContinuous" vertical="center"/>
    </xf>
    <xf numFmtId="0" fontId="81" fillId="26" borderId="2" applyBorder="0" applyProtection="0">
      <alignment horizontal="centerContinuous" vertical="center"/>
    </xf>
    <xf numFmtId="0" fontId="81" fillId="26" borderId="2" applyBorder="0" applyProtection="0">
      <alignment horizontal="centerContinuous" vertical="center"/>
    </xf>
    <xf numFmtId="211" fontId="82" fillId="0" borderId="0" applyBorder="0" applyProtection="0">
      <alignment vertical="center"/>
    </xf>
    <xf numFmtId="0" fontId="122" fillId="0" borderId="0" applyFill="0" applyBorder="0" applyAlignment="0"/>
    <xf numFmtId="0" fontId="141" fillId="0" borderId="0"/>
    <xf numFmtId="0" fontId="242" fillId="0" borderId="0" applyFill="0" applyBorder="0" applyProtection="0">
      <alignment horizontal="left"/>
    </xf>
    <xf numFmtId="0" fontId="84" fillId="0" borderId="0"/>
    <xf numFmtId="0" fontId="84" fillId="0" borderId="0"/>
    <xf numFmtId="49" fontId="135" fillId="0" borderId="0" applyFill="0" applyBorder="0" applyAlignment="0"/>
    <xf numFmtId="0" fontId="135" fillId="0" borderId="0" applyFill="0" applyBorder="0" applyAlignment="0"/>
    <xf numFmtId="0" fontId="135" fillId="0" borderId="0" applyFill="0" applyBorder="0" applyAlignment="0"/>
    <xf numFmtId="271" fontId="151" fillId="15" borderId="0" applyFont="0" applyFill="0" applyBorder="0" applyAlignment="0"/>
    <xf numFmtId="270" fontId="124" fillId="0" borderId="0" applyFont="0" applyFill="0" applyBorder="0" applyAlignment="0" applyProtection="0"/>
    <xf numFmtId="0" fontId="243" fillId="0" borderId="0" applyNumberFormat="0" applyFill="0" applyBorder="0" applyAlignment="0" applyProtection="0"/>
    <xf numFmtId="0" fontId="244" fillId="0" borderId="0" applyNumberFormat="0" applyFill="0" applyBorder="0" applyAlignment="0" applyProtection="0"/>
    <xf numFmtId="0" fontId="85" fillId="0" borderId="0"/>
    <xf numFmtId="0" fontId="84" fillId="0" borderId="0"/>
    <xf numFmtId="211" fontId="88" fillId="0" borderId="0" applyFill="0" applyBorder="0">
      <alignment horizontal="left" vertical="center"/>
      <protection locked="0"/>
    </xf>
    <xf numFmtId="211" fontId="245" fillId="0" borderId="0" applyFill="0" applyBorder="0">
      <alignment horizontal="left" vertical="center"/>
      <protection locked="0"/>
    </xf>
    <xf numFmtId="225" fontId="74" fillId="0" borderId="33" applyFill="0"/>
    <xf numFmtId="225" fontId="74" fillId="0" borderId="33" applyFill="0"/>
    <xf numFmtId="225" fontId="74" fillId="0" borderId="36" applyFill="0"/>
    <xf numFmtId="225" fontId="74" fillId="0" borderId="36" applyFill="0"/>
    <xf numFmtId="225" fontId="74" fillId="0" borderId="36" applyFill="0"/>
    <xf numFmtId="225" fontId="74" fillId="0" borderId="33" applyFill="0"/>
    <xf numFmtId="225" fontId="74" fillId="0" borderId="33" applyFill="0"/>
    <xf numFmtId="225" fontId="74" fillId="0" borderId="36" applyFill="0"/>
    <xf numFmtId="225" fontId="74" fillId="0" borderId="36" applyFill="0"/>
    <xf numFmtId="225" fontId="74" fillId="0" borderId="36" applyFill="0"/>
    <xf numFmtId="0" fontId="58" fillId="0" borderId="60" applyNumberFormat="0" applyFill="0" applyAlignment="0" applyProtection="0"/>
    <xf numFmtId="270" fontId="124" fillId="0" borderId="61" applyFont="0" applyFill="0" applyAlignment="0" applyProtection="0"/>
    <xf numFmtId="270" fontId="124" fillId="0" borderId="61" applyFont="0" applyFill="0" applyAlignment="0" applyProtection="0"/>
    <xf numFmtId="270" fontId="124" fillId="0" borderId="61" applyFont="0" applyFill="0" applyAlignment="0" applyProtection="0"/>
    <xf numFmtId="272" fontId="37" fillId="0" borderId="0">
      <alignment horizontal="center"/>
    </xf>
    <xf numFmtId="0" fontId="246" fillId="0" borderId="0"/>
    <xf numFmtId="273" fontId="4" fillId="0" borderId="0" applyFont="0" applyFill="0" applyBorder="0" applyAlignment="0" applyProtection="0"/>
    <xf numFmtId="274" fontId="4" fillId="0" borderId="0" applyFont="0" applyFill="0" applyBorder="0" applyAlignment="0" applyProtection="0"/>
    <xf numFmtId="0" fontId="186" fillId="0" borderId="0" applyNumberFormat="0" applyFill="0" applyBorder="0"/>
    <xf numFmtId="0" fontId="186" fillId="0" borderId="0" applyNumberFormat="0" applyFill="0" applyBorder="0"/>
    <xf numFmtId="0" fontId="195" fillId="0" borderId="0" applyNumberFormat="0" applyFill="0" applyBorder="0" applyAlignment="0"/>
    <xf numFmtId="210" fontId="120" fillId="0" borderId="2" applyBorder="0" applyProtection="0">
      <alignment horizontal="right"/>
    </xf>
    <xf numFmtId="210" fontId="120" fillId="0" borderId="2" applyBorder="0" applyProtection="0">
      <alignment horizontal="right"/>
    </xf>
    <xf numFmtId="210" fontId="120" fillId="0" borderId="2" applyBorder="0" applyProtection="0">
      <alignment horizontal="right"/>
    </xf>
    <xf numFmtId="210" fontId="120" fillId="0" borderId="2" applyBorder="0" applyProtection="0">
      <alignment horizontal="right"/>
    </xf>
    <xf numFmtId="210" fontId="120" fillId="0" borderId="2" applyBorder="0" applyProtection="0">
      <alignment horizontal="right"/>
    </xf>
    <xf numFmtId="210" fontId="120" fillId="0" borderId="2" applyBorder="0" applyProtection="0">
      <alignment horizontal="right"/>
    </xf>
    <xf numFmtId="210" fontId="120" fillId="0" borderId="2" applyBorder="0" applyProtection="0">
      <alignment horizontal="right"/>
    </xf>
    <xf numFmtId="218" fontId="17" fillId="0" borderId="0" applyFill="0" applyBorder="0">
      <alignment vertical="center"/>
    </xf>
    <xf numFmtId="275" fontId="123" fillId="0" borderId="0" applyFill="0" applyBorder="0">
      <alignment horizontal="right"/>
    </xf>
    <xf numFmtId="0" fontId="208" fillId="0" borderId="0"/>
    <xf numFmtId="0" fontId="2" fillId="0" borderId="0"/>
    <xf numFmtId="9" fontId="2" fillId="0" borderId="0" applyFont="0" applyFill="0" applyBorder="0" applyAlignment="0" applyProtection="0"/>
    <xf numFmtId="0" fontId="2" fillId="0" borderId="0"/>
    <xf numFmtId="44" fontId="2" fillId="0" borderId="0" applyFont="0" applyFill="0" applyBorder="0" applyAlignment="0" applyProtection="0"/>
    <xf numFmtId="0" fontId="4" fillId="0" borderId="0"/>
    <xf numFmtId="43" fontId="2" fillId="0" borderId="0" applyFont="0" applyFill="0" applyBorder="0" applyAlignment="0" applyProtection="0"/>
    <xf numFmtId="0" fontId="2" fillId="0" borderId="0"/>
    <xf numFmtId="0" fontId="248" fillId="0" borderId="0" applyNumberFormat="0" applyFill="0" applyBorder="0" applyProtection="0"/>
    <xf numFmtId="0" fontId="249" fillId="0" borderId="0" applyNumberFormat="0" applyFill="0" applyBorder="0">
      <alignment horizontal="left"/>
      <protection locked="0"/>
    </xf>
    <xf numFmtId="0" fontId="250" fillId="87" borderId="0" applyNumberFormat="0">
      <alignment horizontal="center"/>
    </xf>
    <xf numFmtId="0" fontId="251" fillId="0" borderId="0" applyNumberFormat="0" applyFill="0" applyAlignment="0" applyProtection="0"/>
    <xf numFmtId="41" fontId="110" fillId="88" borderId="62" applyFont="0" applyAlignment="0"/>
    <xf numFmtId="0" fontId="252" fillId="89" borderId="63" applyNumberFormat="0" applyAlignment="0">
      <protection locked="0"/>
    </xf>
    <xf numFmtId="0" fontId="253" fillId="0" borderId="0" applyNumberFormat="0" applyFill="0" applyAlignment="0" applyProtection="0"/>
    <xf numFmtId="0" fontId="254" fillId="0" borderId="0" applyNumberFormat="0" applyFill="0" applyBorder="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255" fillId="0" borderId="64" applyNumberFormat="0" applyAlignment="0">
      <alignment horizontal="center"/>
    </xf>
    <xf numFmtId="276" fontId="256" fillId="0" borderId="0" applyFill="0" applyBorder="0" applyProtection="0">
      <alignment horizontal="center"/>
    </xf>
    <xf numFmtId="277" fontId="257" fillId="90" borderId="28">
      <alignment horizontal="center"/>
      <protection locked="0"/>
    </xf>
    <xf numFmtId="278" fontId="121" fillId="25" borderId="1"/>
    <xf numFmtId="0" fontId="121" fillId="25" borderId="1" applyNumberFormat="0" applyProtection="0"/>
    <xf numFmtId="0" fontId="65" fillId="0" borderId="51" applyNumberFormat="0" applyFill="0" applyAlignment="0" applyProtection="0"/>
    <xf numFmtId="0" fontId="65" fillId="0" borderId="51" applyNumberFormat="0" applyFill="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41" fontId="4" fillId="23" borderId="0" applyFont="0" applyBorder="0" applyAlignment="0">
      <alignment horizontal="right"/>
      <protection locked="0"/>
    </xf>
    <xf numFmtId="41" fontId="4" fillId="21" borderId="0" applyFont="0" applyBorder="0">
      <alignment horizontal="right"/>
      <protection locked="0"/>
    </xf>
    <xf numFmtId="41" fontId="4" fillId="21" borderId="0" applyFont="0" applyBorder="0">
      <alignment horizontal="right"/>
      <protection locked="0"/>
    </xf>
    <xf numFmtId="41" fontId="21" fillId="91" borderId="62" applyNumberFormat="0" applyAlignment="0"/>
    <xf numFmtId="41" fontId="2" fillId="0" borderId="65" applyNumberFormat="0" applyFont="0" applyFill="0" applyAlignment="0"/>
    <xf numFmtId="279" fontId="2" fillId="0" borderId="36" applyNumberFormat="0" applyFont="0" applyFill="0" applyAlignment="0" applyProtection="0"/>
    <xf numFmtId="0" fontId="258" fillId="0" borderId="0" applyNumberFormat="0" applyFill="0" applyBorder="0" applyProtection="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31" borderId="16" applyNumberFormat="0" applyFont="0" applyAlignment="0" applyProtection="0"/>
    <xf numFmtId="0" fontId="4" fillId="31" borderId="16" applyNumberFormat="0" applyFont="0" applyAlignment="0" applyProtection="0"/>
    <xf numFmtId="0" fontId="4" fillId="31" borderId="16" applyNumberFormat="0" applyFont="0" applyAlignment="0" applyProtection="0"/>
    <xf numFmtId="0" fontId="4" fillId="31" borderId="16" applyNumberFormat="0" applyFont="0" applyAlignment="0" applyProtection="0"/>
    <xf numFmtId="0" fontId="4" fillId="31" borderId="16" applyNumberFormat="0" applyFont="0" applyAlignment="0" applyProtection="0"/>
    <xf numFmtId="0" fontId="4" fillId="31" borderId="16" applyNumberFormat="0" applyFont="0" applyAlignment="0" applyProtection="0"/>
    <xf numFmtId="0" fontId="4" fillId="31" borderId="16" applyNumberFormat="0" applyFont="0" applyAlignment="0" applyProtection="0"/>
    <xf numFmtId="0" fontId="4" fillId="31" borderId="16" applyNumberFormat="0" applyFont="0" applyAlignment="0" applyProtection="0"/>
    <xf numFmtId="0" fontId="4" fillId="31" borderId="16" applyNumberFormat="0" applyFont="0" applyAlignment="0" applyProtection="0"/>
    <xf numFmtId="0" fontId="4" fillId="31" borderId="16" applyNumberFormat="0" applyFont="0" applyAlignment="0" applyProtection="0"/>
    <xf numFmtId="0" fontId="4" fillId="31" borderId="16" applyNumberFormat="0" applyFont="0" applyAlignment="0" applyProtection="0"/>
    <xf numFmtId="0" fontId="4" fillId="31" borderId="16" applyNumberFormat="0" applyFont="0" applyAlignment="0" applyProtection="0"/>
    <xf numFmtId="0" fontId="4" fillId="31" borderId="16" applyNumberFormat="0" applyFont="0" applyAlignment="0" applyProtection="0"/>
    <xf numFmtId="0" fontId="4" fillId="31" borderId="16" applyNumberFormat="0" applyFont="0" applyAlignment="0" applyProtection="0"/>
    <xf numFmtId="0" fontId="4" fillId="31" borderId="16" applyNumberFormat="0" applyFont="0" applyAlignment="0" applyProtection="0"/>
    <xf numFmtId="0" fontId="4" fillId="31" borderId="16" applyNumberFormat="0" applyFont="0" applyAlignment="0" applyProtection="0"/>
    <xf numFmtId="0" fontId="4" fillId="31" borderId="16" applyNumberFormat="0" applyFont="0" applyAlignment="0" applyProtection="0"/>
    <xf numFmtId="0" fontId="4" fillId="31" borderId="16" applyNumberFormat="0" applyFont="0" applyAlignment="0" applyProtection="0"/>
    <xf numFmtId="0" fontId="4" fillId="31" borderId="16" applyNumberFormat="0" applyFont="0" applyAlignment="0" applyProtection="0"/>
    <xf numFmtId="0" fontId="259" fillId="0" borderId="66" applyNumberFormat="0" applyFill="0" applyBorder="0"/>
    <xf numFmtId="279" fontId="2" fillId="0" borderId="0" applyFont="0" applyFill="0" applyBorder="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255" fillId="92" borderId="28" applyNumberFormat="0" applyAlignment="0" applyProtection="0"/>
    <xf numFmtId="0" fontId="260" fillId="0" borderId="0" applyNumberFormat="0" applyFill="0" applyBorder="0" applyAlignment="0" applyProtection="0"/>
    <xf numFmtId="280" fontId="261" fillId="92" borderId="63">
      <alignment horizontal="center"/>
    </xf>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262" fillId="2" borderId="67" applyNumberFormat="0" applyAlignment="0">
      <protection locked="0"/>
    </xf>
    <xf numFmtId="0" fontId="263" fillId="0" borderId="68">
      <alignment horizontal="right" wrapText="1"/>
    </xf>
    <xf numFmtId="0" fontId="247" fillId="0" borderId="0"/>
    <xf numFmtId="0" fontId="113" fillId="0" borderId="0" applyFill="0" applyBorder="0">
      <alignment horizontal="left" vertical="top" wrapText="1"/>
    </xf>
    <xf numFmtId="281" fontId="113" fillId="0" borderId="0" applyFill="0" applyBorder="0">
      <alignment horizontal="right" vertical="top"/>
    </xf>
    <xf numFmtId="282" fontId="113" fillId="0" borderId="0" applyBorder="0">
      <alignment horizontal="right" vertical="top"/>
    </xf>
    <xf numFmtId="283" fontId="113" fillId="0" borderId="0" applyFill="0" applyBorder="0">
      <alignment horizontal="right" vertical="top"/>
    </xf>
    <xf numFmtId="0" fontId="4" fillId="0" borderId="0"/>
    <xf numFmtId="0" fontId="4" fillId="0" borderId="0"/>
    <xf numFmtId="9" fontId="4" fillId="0" borderId="0" applyFont="0" applyFill="0" applyBorder="0" applyAlignment="0" applyProtection="0"/>
    <xf numFmtId="0" fontId="4" fillId="19" borderId="0"/>
    <xf numFmtId="0" fontId="4" fillId="19" borderId="0"/>
    <xf numFmtId="43" fontId="4" fillId="0" borderId="0" applyFont="0" applyFill="0" applyBorder="0" applyAlignment="0" applyProtection="0"/>
    <xf numFmtId="43" fontId="4" fillId="0" borderId="0" applyFont="0" applyFill="0" applyBorder="0" applyAlignment="0" applyProtection="0"/>
    <xf numFmtId="0" fontId="2" fillId="0" borderId="0"/>
    <xf numFmtId="43" fontId="2" fillId="0" borderId="0" applyFont="0" applyFill="0" applyBorder="0" applyAlignment="0" applyProtection="0"/>
    <xf numFmtId="0" fontId="4" fillId="19" borderId="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210" fontId="120" fillId="0" borderId="2" applyBorder="0" applyProtection="0">
      <alignment horizontal="right"/>
    </xf>
    <xf numFmtId="210" fontId="120" fillId="0" borderId="2" applyBorder="0" applyProtection="0">
      <alignment horizontal="right"/>
    </xf>
    <xf numFmtId="210" fontId="120" fillId="0" borderId="2" applyBorder="0" applyProtection="0">
      <alignment horizontal="right"/>
    </xf>
    <xf numFmtId="228" fontId="139" fillId="0" borderId="92" applyProtection="0">
      <alignment horizontal="center"/>
    </xf>
    <xf numFmtId="0" fontId="58" fillId="0" borderId="85" applyNumberFormat="0" applyFill="0" applyAlignment="0" applyProtection="0"/>
    <xf numFmtId="0" fontId="58" fillId="0" borderId="85" applyNumberFormat="0" applyFill="0" applyAlignment="0" applyProtection="0"/>
    <xf numFmtId="0" fontId="58" fillId="0" borderId="85" applyNumberFormat="0" applyFill="0" applyAlignment="0" applyProtection="0"/>
    <xf numFmtId="0" fontId="58" fillId="0" borderId="85" applyNumberFormat="0" applyFill="0" applyAlignment="0" applyProtection="0"/>
    <xf numFmtId="0" fontId="70" fillId="30" borderId="76" applyNumberFormat="0" applyAlignment="0" applyProtection="0"/>
    <xf numFmtId="0" fontId="40" fillId="0" borderId="2" applyNumberFormat="0"/>
    <xf numFmtId="9" fontId="4" fillId="0" borderId="0" applyFont="0" applyFill="0" applyBorder="0" applyAlignment="0" applyProtection="0"/>
    <xf numFmtId="193" fontId="77" fillId="0" borderId="69"/>
    <xf numFmtId="0" fontId="54" fillId="32" borderId="91" applyNumberFormat="0" applyAlignment="0" applyProtection="0"/>
    <xf numFmtId="0" fontId="81" fillId="26" borderId="2" applyBorder="0" applyProtection="0">
      <alignment horizontal="centerContinuous" vertical="center"/>
    </xf>
    <xf numFmtId="0" fontId="58" fillId="0" borderId="85" applyNumberFormat="0" applyFill="0" applyAlignment="0" applyProtection="0"/>
    <xf numFmtId="210" fontId="120" fillId="0" borderId="2" applyBorder="0" applyProtection="0">
      <alignment horizontal="right"/>
    </xf>
    <xf numFmtId="225" fontId="74" fillId="0" borderId="84" applyFill="0"/>
    <xf numFmtId="270" fontId="124" fillId="0" borderId="71" applyFont="0" applyFill="0" applyAlignment="0" applyProtection="0"/>
    <xf numFmtId="270" fontId="124" fillId="0" borderId="71" applyFont="0" applyFill="0" applyAlignment="0" applyProtection="0"/>
    <xf numFmtId="0" fontId="58" fillId="0" borderId="83" applyNumberFormat="0" applyFill="0" applyAlignment="0" applyProtection="0"/>
    <xf numFmtId="0" fontId="70" fillId="30" borderId="76" applyNumberFormat="0" applyAlignment="0" applyProtection="0"/>
    <xf numFmtId="0" fontId="70" fillId="30" borderId="76" applyNumberFormat="0" applyAlignment="0" applyProtection="0"/>
    <xf numFmtId="0" fontId="65" fillId="0" borderId="51" applyNumberFormat="0" applyFill="0" applyAlignment="0" applyProtection="0"/>
    <xf numFmtId="0" fontId="65" fillId="0" borderId="51" applyNumberFormat="0" applyFill="0" applyAlignment="0" applyProtection="0"/>
    <xf numFmtId="228" fontId="139" fillId="0" borderId="77" applyProtection="0">
      <alignment horizontal="center"/>
    </xf>
    <xf numFmtId="0" fontId="54" fillId="32" borderId="91" applyNumberFormat="0" applyAlignment="0" applyProtection="0"/>
    <xf numFmtId="0" fontId="54" fillId="32" borderId="91" applyNumberFormat="0" applyAlignment="0" applyProtection="0"/>
    <xf numFmtId="0" fontId="54" fillId="32" borderId="91" applyNumberFormat="0" applyAlignment="0" applyProtection="0"/>
    <xf numFmtId="0" fontId="54" fillId="32" borderId="91" applyNumberFormat="0" applyAlignment="0" applyProtection="0"/>
    <xf numFmtId="0" fontId="54" fillId="32" borderId="91" applyNumberFormat="0" applyAlignment="0" applyProtection="0"/>
    <xf numFmtId="0" fontId="54" fillId="32" borderId="91" applyNumberFormat="0" applyAlignment="0" applyProtection="0"/>
    <xf numFmtId="0" fontId="54" fillId="32" borderId="91" applyNumberFormat="0" applyAlignment="0" applyProtection="0"/>
    <xf numFmtId="0" fontId="54" fillId="32" borderId="91" applyNumberFormat="0" applyAlignment="0" applyProtection="0"/>
    <xf numFmtId="0" fontId="75" fillId="32" borderId="80" applyNumberFormat="0" applyAlignment="0" applyProtection="0"/>
    <xf numFmtId="0" fontId="58" fillId="0" borderId="85" applyNumberFormat="0" applyFill="0" applyAlignment="0" applyProtection="0"/>
    <xf numFmtId="43" fontId="4" fillId="0" borderId="0" applyFont="0" applyFill="0" applyBorder="0" applyAlignment="0" applyProtection="0"/>
    <xf numFmtId="210" fontId="120" fillId="0" borderId="2" applyBorder="0" applyProtection="0">
      <alignment horizontal="right"/>
    </xf>
    <xf numFmtId="210" fontId="120" fillId="0" borderId="2" applyBorder="0" applyProtection="0">
      <alignment horizontal="right"/>
    </xf>
    <xf numFmtId="211" fontId="132" fillId="0" borderId="2" applyNumberFormat="0" applyFill="0" applyAlignment="0" applyProtection="0"/>
    <xf numFmtId="0" fontId="132" fillId="0" borderId="2" applyNumberFormat="0" applyFill="0" applyAlignment="0" applyProtection="0"/>
    <xf numFmtId="0" fontId="132" fillId="0" borderId="2" applyNumberFormat="0" applyFill="0" applyAlignment="0" applyProtection="0"/>
    <xf numFmtId="0" fontId="132" fillId="0" borderId="2" applyNumberFormat="0" applyFill="0" applyAlignment="0" applyProtection="0"/>
    <xf numFmtId="0" fontId="132" fillId="0" borderId="2" applyNumberFormat="0" applyFill="0" applyAlignment="0" applyProtection="0"/>
    <xf numFmtId="0" fontId="132" fillId="0" borderId="2" applyNumberFormat="0" applyFill="0" applyAlignment="0" applyProtection="0"/>
    <xf numFmtId="0" fontId="132" fillId="0" borderId="2" applyNumberFormat="0" applyFill="0" applyAlignment="0" applyProtection="0"/>
    <xf numFmtId="211" fontId="132" fillId="0" borderId="2" applyNumberFormat="0" applyFill="0" applyAlignment="0" applyProtection="0"/>
    <xf numFmtId="5" fontId="78" fillId="0" borderId="70" applyAlignment="0" applyProtection="0"/>
    <xf numFmtId="5" fontId="78" fillId="0" borderId="70" applyAlignment="0" applyProtection="0"/>
    <xf numFmtId="5" fontId="78" fillId="0" borderId="70" applyAlignment="0" applyProtection="0"/>
    <xf numFmtId="210" fontId="120" fillId="0" borderId="2" applyBorder="0" applyProtection="0">
      <alignment horizontal="right"/>
    </xf>
    <xf numFmtId="211" fontId="133" fillId="0" borderId="72" applyNumberFormat="0" applyFont="0" applyFill="0" applyAlignment="0" applyProtection="0"/>
    <xf numFmtId="0" fontId="133" fillId="0" borderId="72" applyNumberFormat="0" applyFont="0" applyFill="0" applyAlignment="0" applyProtection="0"/>
    <xf numFmtId="0" fontId="133" fillId="0" borderId="72" applyNumberFormat="0" applyFont="0" applyFill="0" applyAlignment="0" applyProtection="0"/>
    <xf numFmtId="0" fontId="133" fillId="0" borderId="72" applyNumberFormat="0" applyFont="0" applyFill="0" applyAlignment="0" applyProtection="0"/>
    <xf numFmtId="210" fontId="120" fillId="0" borderId="2" applyBorder="0" applyProtection="0">
      <alignment horizontal="right"/>
    </xf>
    <xf numFmtId="0" fontId="70" fillId="30" borderId="76" applyNumberFormat="0" applyAlignment="0" applyProtection="0"/>
    <xf numFmtId="0" fontId="70" fillId="30" borderId="76" applyNumberFormat="0" applyAlignment="0" applyProtection="0"/>
    <xf numFmtId="0" fontId="70" fillId="30" borderId="76" applyNumberFormat="0" applyAlignment="0" applyProtection="0"/>
    <xf numFmtId="43" fontId="4" fillId="0" borderId="0" applyFont="0" applyFill="0" applyBorder="0" applyAlignment="0" applyProtection="0"/>
    <xf numFmtId="0" fontId="81" fillId="26" borderId="2" applyBorder="0" applyProtection="0">
      <alignment horizontal="centerContinuous" vertical="center"/>
    </xf>
    <xf numFmtId="0" fontId="81" fillId="26" borderId="2" applyBorder="0" applyProtection="0">
      <alignment horizontal="centerContinuous" vertical="center"/>
    </xf>
    <xf numFmtId="0" fontId="81" fillId="26" borderId="2" applyBorder="0" applyProtection="0">
      <alignment horizontal="centerContinuous" vertical="center"/>
    </xf>
    <xf numFmtId="0" fontId="81" fillId="26" borderId="2" applyBorder="0" applyProtection="0">
      <alignment horizontal="centerContinuous" vertical="center"/>
    </xf>
    <xf numFmtId="0" fontId="81" fillId="26" borderId="2" applyBorder="0" applyProtection="0">
      <alignment horizontal="centerContinuous" vertical="center"/>
    </xf>
    <xf numFmtId="0" fontId="81" fillId="26" borderId="2" applyBorder="0" applyProtection="0">
      <alignment horizontal="centerContinuous" vertical="center"/>
    </xf>
    <xf numFmtId="0" fontId="81" fillId="26" borderId="2" applyBorder="0" applyProtection="0">
      <alignment horizontal="centerContinuous" vertical="center"/>
    </xf>
    <xf numFmtId="245" fontId="82" fillId="0" borderId="2" applyBorder="0" applyProtection="0">
      <alignment horizontal="right" vertical="center"/>
    </xf>
    <xf numFmtId="245" fontId="82" fillId="0" borderId="2" applyBorder="0" applyProtection="0">
      <alignment horizontal="right" vertical="center"/>
    </xf>
    <xf numFmtId="245" fontId="82" fillId="0" borderId="2" applyBorder="0" applyProtection="0">
      <alignment horizontal="right" vertical="center"/>
    </xf>
    <xf numFmtId="245" fontId="82" fillId="0" borderId="2" applyBorder="0" applyProtection="0">
      <alignment horizontal="right" vertical="center"/>
    </xf>
    <xf numFmtId="245" fontId="82" fillId="0" borderId="2" applyBorder="0" applyProtection="0">
      <alignment horizontal="right" vertical="center"/>
    </xf>
    <xf numFmtId="245" fontId="82" fillId="0" borderId="2" applyBorder="0" applyProtection="0">
      <alignment horizontal="right" vertical="center"/>
    </xf>
    <xf numFmtId="245" fontId="82" fillId="0" borderId="2" applyBorder="0" applyProtection="0">
      <alignment horizontal="right" vertical="center"/>
    </xf>
    <xf numFmtId="245" fontId="82" fillId="0" borderId="2" applyBorder="0" applyProtection="0">
      <alignment horizontal="right" vertical="center"/>
    </xf>
    <xf numFmtId="9" fontId="4" fillId="0" borderId="0" applyFont="0" applyFill="0" applyBorder="0" applyAlignment="0" applyProtection="0"/>
    <xf numFmtId="0" fontId="23" fillId="0" borderId="84"/>
    <xf numFmtId="0" fontId="58" fillId="0" borderId="85" applyNumberFormat="0" applyFill="0" applyAlignment="0" applyProtection="0"/>
    <xf numFmtId="0" fontId="58" fillId="0" borderId="85" applyNumberFormat="0" applyFill="0" applyAlignment="0" applyProtection="0"/>
    <xf numFmtId="0" fontId="58" fillId="0" borderId="85" applyNumberFormat="0" applyFill="0" applyAlignment="0" applyProtection="0"/>
    <xf numFmtId="0" fontId="58" fillId="0" borderId="85" applyNumberFormat="0" applyFill="0" applyAlignment="0" applyProtection="0"/>
    <xf numFmtId="0" fontId="58" fillId="0" borderId="85" applyNumberFormat="0" applyFill="0" applyAlignment="0" applyProtection="0"/>
    <xf numFmtId="0" fontId="58" fillId="0" borderId="85" applyNumberFormat="0" applyFill="0" applyAlignment="0" applyProtection="0"/>
    <xf numFmtId="0" fontId="58" fillId="0" borderId="85" applyNumberFormat="0" applyFill="0" applyAlignment="0" applyProtection="0"/>
    <xf numFmtId="0" fontId="58" fillId="0" borderId="85" applyNumberFormat="0" applyFill="0" applyAlignment="0" applyProtection="0"/>
    <xf numFmtId="0" fontId="58" fillId="0" borderId="85" applyNumberFormat="0" applyFill="0" applyAlignment="0" applyProtection="0"/>
    <xf numFmtId="0" fontId="58" fillId="0" borderId="85" applyNumberFormat="0" applyFill="0" applyAlignment="0" applyProtection="0"/>
    <xf numFmtId="0" fontId="58" fillId="0" borderId="85" applyNumberFormat="0" applyFill="0" applyAlignment="0" applyProtection="0"/>
    <xf numFmtId="0" fontId="58" fillId="0" borderId="85" applyNumberFormat="0" applyFill="0" applyAlignment="0" applyProtection="0"/>
    <xf numFmtId="0" fontId="58" fillId="0" borderId="85" applyNumberFormat="0" applyFill="0" applyAlignment="0" applyProtection="0"/>
    <xf numFmtId="0" fontId="58" fillId="0" borderId="85" applyNumberFormat="0" applyFill="0" applyAlignment="0" applyProtection="0"/>
    <xf numFmtId="0" fontId="58" fillId="0" borderId="85" applyNumberFormat="0" applyFill="0" applyAlignment="0" applyProtection="0"/>
    <xf numFmtId="0" fontId="58" fillId="0" borderId="85" applyNumberFormat="0" applyFill="0" applyAlignment="0" applyProtection="0"/>
    <xf numFmtId="0" fontId="58" fillId="0" borderId="85" applyNumberFormat="0" applyFill="0" applyAlignment="0" applyProtection="0"/>
    <xf numFmtId="0" fontId="58" fillId="0" borderId="85" applyNumberFormat="0" applyFill="0" applyAlignment="0" applyProtection="0"/>
    <xf numFmtId="0" fontId="58" fillId="0" borderId="85" applyNumberFormat="0" applyFill="0" applyAlignment="0" applyProtection="0"/>
    <xf numFmtId="0" fontId="58" fillId="0" borderId="85" applyNumberFormat="0" applyFill="0" applyAlignment="0" applyProtection="0"/>
    <xf numFmtId="0" fontId="58" fillId="0" borderId="85" applyNumberFormat="0" applyFill="0" applyAlignment="0" applyProtection="0"/>
    <xf numFmtId="0" fontId="58" fillId="0" borderId="85" applyNumberFormat="0" applyFill="0" applyAlignment="0" applyProtection="0"/>
    <xf numFmtId="0" fontId="58" fillId="0" borderId="85" applyNumberFormat="0" applyFill="0" applyAlignment="0" applyProtection="0"/>
    <xf numFmtId="0" fontId="58" fillId="0" borderId="85" applyNumberFormat="0" applyFill="0" applyAlignment="0" applyProtection="0"/>
    <xf numFmtId="0" fontId="58" fillId="0" borderId="85" applyNumberFormat="0" applyFill="0" applyAlignment="0" applyProtection="0"/>
    <xf numFmtId="0" fontId="58" fillId="0" borderId="85" applyNumberFormat="0" applyFill="0" applyAlignment="0" applyProtection="0"/>
    <xf numFmtId="0" fontId="58" fillId="0" borderId="85" applyNumberFormat="0" applyFill="0" applyAlignment="0" applyProtection="0"/>
    <xf numFmtId="0" fontId="75" fillId="32" borderId="80" applyNumberFormat="0" applyAlignment="0" applyProtection="0"/>
    <xf numFmtId="0" fontId="75" fillId="32" borderId="80" applyNumberFormat="0" applyAlignment="0" applyProtection="0"/>
    <xf numFmtId="0" fontId="75" fillId="32" borderId="80" applyNumberFormat="0" applyAlignment="0" applyProtection="0"/>
    <xf numFmtId="0" fontId="75" fillId="32" borderId="80" applyNumberFormat="0" applyAlignment="0" applyProtection="0"/>
    <xf numFmtId="0" fontId="75" fillId="32" borderId="80" applyNumberFormat="0" applyAlignment="0" applyProtection="0"/>
    <xf numFmtId="0" fontId="75" fillId="32" borderId="80" applyNumberFormat="0" applyAlignment="0" applyProtection="0"/>
    <xf numFmtId="0" fontId="75" fillId="32" borderId="80" applyNumberFormat="0" applyAlignment="0" applyProtection="0"/>
    <xf numFmtId="0" fontId="75" fillId="32" borderId="80" applyNumberFormat="0" applyAlignment="0" applyProtection="0"/>
    <xf numFmtId="0" fontId="75" fillId="32" borderId="80" applyNumberFormat="0" applyAlignment="0" applyProtection="0"/>
    <xf numFmtId="0" fontId="75" fillId="32" borderId="80" applyNumberFormat="0" applyAlignment="0" applyProtection="0"/>
    <xf numFmtId="0" fontId="75" fillId="32" borderId="80" applyNumberFormat="0" applyAlignment="0" applyProtection="0"/>
    <xf numFmtId="0" fontId="75" fillId="32" borderId="80" applyNumberFormat="0" applyAlignment="0" applyProtection="0"/>
    <xf numFmtId="0" fontId="75" fillId="32" borderId="80" applyNumberFormat="0" applyAlignment="0" applyProtection="0"/>
    <xf numFmtId="0" fontId="75" fillId="32" borderId="80" applyNumberFormat="0" applyAlignment="0" applyProtection="0"/>
    <xf numFmtId="0" fontId="75" fillId="32" borderId="80" applyNumberFormat="0" applyAlignment="0" applyProtection="0"/>
    <xf numFmtId="0" fontId="75" fillId="32" borderId="80" applyNumberFormat="0" applyAlignment="0" applyProtection="0"/>
    <xf numFmtId="0" fontId="75" fillId="32" borderId="80" applyNumberFormat="0" applyAlignment="0" applyProtection="0"/>
    <xf numFmtId="0" fontId="75" fillId="32" borderId="80" applyNumberFormat="0" applyAlignment="0" applyProtection="0"/>
    <xf numFmtId="0" fontId="75" fillId="32" borderId="80" applyNumberFormat="0" applyAlignment="0" applyProtection="0"/>
    <xf numFmtId="0" fontId="75" fillId="32" borderId="80" applyNumberFormat="0" applyAlignment="0" applyProtection="0"/>
    <xf numFmtId="0" fontId="75" fillId="32" borderId="80" applyNumberFormat="0" applyAlignment="0" applyProtection="0"/>
    <xf numFmtId="0" fontId="75" fillId="32" borderId="80" applyNumberFormat="0" applyAlignment="0" applyProtection="0"/>
    <xf numFmtId="0" fontId="75" fillId="32" borderId="80" applyNumberFormat="0" applyAlignment="0" applyProtection="0"/>
    <xf numFmtId="0" fontId="75" fillId="32" borderId="80" applyNumberFormat="0" applyAlignment="0" applyProtection="0"/>
    <xf numFmtId="0" fontId="75" fillId="32" borderId="80" applyNumberFormat="0" applyAlignment="0" applyProtection="0"/>
    <xf numFmtId="0" fontId="75" fillId="32" borderId="80" applyNumberFormat="0" applyAlignment="0" applyProtection="0"/>
    <xf numFmtId="0" fontId="75" fillId="32" borderId="80" applyNumberFormat="0" applyAlignment="0" applyProtection="0"/>
    <xf numFmtId="0" fontId="75" fillId="32" borderId="80" applyNumberFormat="0" applyAlignment="0" applyProtection="0"/>
    <xf numFmtId="0" fontId="75" fillId="32" borderId="80" applyNumberFormat="0" applyAlignment="0" applyProtection="0"/>
    <xf numFmtId="0" fontId="75" fillId="32" borderId="80" applyNumberFormat="0" applyAlignment="0" applyProtection="0"/>
    <xf numFmtId="0" fontId="75" fillId="32" borderId="8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279" fontId="2" fillId="0" borderId="84" applyNumberFormat="0" applyFont="0" applyFill="0" applyAlignment="0" applyProtection="0"/>
    <xf numFmtId="0" fontId="70" fillId="30" borderId="76" applyNumberFormat="0" applyAlignment="0" applyProtection="0"/>
    <xf numFmtId="0" fontId="70" fillId="30" borderId="76" applyNumberFormat="0" applyAlignment="0" applyProtection="0"/>
    <xf numFmtId="0" fontId="70" fillId="30" borderId="76" applyNumberFormat="0" applyAlignment="0" applyProtection="0"/>
    <xf numFmtId="0" fontId="70" fillId="30" borderId="76" applyNumberFormat="0" applyAlignment="0" applyProtection="0"/>
    <xf numFmtId="0" fontId="70" fillId="30" borderId="76" applyNumberFormat="0" applyAlignment="0" applyProtection="0"/>
    <xf numFmtId="0" fontId="70" fillId="30" borderId="76" applyNumberFormat="0" applyAlignment="0" applyProtection="0"/>
    <xf numFmtId="0" fontId="70" fillId="30" borderId="76" applyNumberFormat="0" applyAlignment="0" applyProtection="0"/>
    <xf numFmtId="0" fontId="70" fillId="30" borderId="76" applyNumberFormat="0" applyAlignment="0" applyProtection="0"/>
    <xf numFmtId="0" fontId="70" fillId="30" borderId="76" applyNumberFormat="0" applyAlignment="0" applyProtection="0"/>
    <xf numFmtId="0" fontId="70" fillId="30" borderId="76" applyNumberFormat="0" applyAlignment="0" applyProtection="0"/>
    <xf numFmtId="0" fontId="70" fillId="30" borderId="76" applyNumberFormat="0" applyAlignment="0" applyProtection="0"/>
    <xf numFmtId="0" fontId="70" fillId="30" borderId="76" applyNumberFormat="0" applyAlignment="0" applyProtection="0"/>
    <xf numFmtId="0" fontId="70" fillId="30" borderId="76" applyNumberFormat="0" applyAlignment="0" applyProtection="0"/>
    <xf numFmtId="0" fontId="70" fillId="30" borderId="76" applyNumberFormat="0" applyAlignment="0" applyProtection="0"/>
    <xf numFmtId="0" fontId="70" fillId="30" borderId="76" applyNumberFormat="0" applyAlignment="0" applyProtection="0"/>
    <xf numFmtId="0" fontId="70" fillId="30" borderId="76" applyNumberFormat="0" applyAlignment="0" applyProtection="0"/>
    <xf numFmtId="0" fontId="54" fillId="32" borderId="76" applyNumberFormat="0" applyAlignment="0" applyProtection="0"/>
    <xf numFmtId="0" fontId="54" fillId="32" borderId="91" applyNumberFormat="0" applyAlignment="0" applyProtection="0"/>
    <xf numFmtId="0" fontId="42" fillId="0" borderId="89" applyFill="0">
      <alignment horizontal="center" vertical="center"/>
    </xf>
    <xf numFmtId="269" fontId="40" fillId="20" borderId="82"/>
    <xf numFmtId="269" fontId="40" fillId="20" borderId="82"/>
    <xf numFmtId="0" fontId="232" fillId="0" borderId="81"/>
    <xf numFmtId="0" fontId="40" fillId="0" borderId="2" applyNumberFormat="0"/>
    <xf numFmtId="0" fontId="40" fillId="0" borderId="2" applyNumberFormat="0"/>
    <xf numFmtId="0" fontId="40" fillId="0" borderId="2" applyNumberFormat="0"/>
    <xf numFmtId="0" fontId="40" fillId="0" borderId="2" applyNumberFormat="0"/>
    <xf numFmtId="211" fontId="40" fillId="0" borderId="2" applyNumberFormat="0"/>
    <xf numFmtId="211" fontId="40" fillId="0" borderId="2" applyNumberFormat="0"/>
    <xf numFmtId="211" fontId="40" fillId="0" borderId="2" applyNumberFormat="0"/>
    <xf numFmtId="211" fontId="40" fillId="0" borderId="2" applyNumberFormat="0"/>
    <xf numFmtId="211" fontId="40" fillId="0" borderId="2" applyNumberFormat="0"/>
    <xf numFmtId="0" fontId="75" fillId="32" borderId="80" applyNumberFormat="0" applyAlignment="0" applyProtection="0"/>
    <xf numFmtId="0" fontId="55" fillId="31" borderId="79" applyNumberFormat="0" applyFont="0" applyAlignment="0" applyProtection="0"/>
    <xf numFmtId="0" fontId="4" fillId="31" borderId="79" applyNumberFormat="0" applyFont="0" applyAlignment="0" applyProtection="0"/>
    <xf numFmtId="225" fontId="74" fillId="0" borderId="84" applyFill="0"/>
    <xf numFmtId="225" fontId="74" fillId="0" borderId="84" applyFill="0"/>
    <xf numFmtId="225" fontId="74" fillId="0" borderId="84" applyFill="0"/>
    <xf numFmtId="211" fontId="40" fillId="0" borderId="2" applyNumberFormat="0"/>
    <xf numFmtId="0" fontId="40" fillId="0" borderId="2" applyNumberFormat="0"/>
    <xf numFmtId="0" fontId="40" fillId="0" borderId="2" applyNumberFormat="0"/>
    <xf numFmtId="0" fontId="40" fillId="0" borderId="2" applyNumberFormat="0"/>
    <xf numFmtId="0" fontId="40" fillId="0" borderId="2" applyNumberFormat="0"/>
    <xf numFmtId="211" fontId="40" fillId="0" borderId="2" applyNumberFormat="0"/>
    <xf numFmtId="0" fontId="40" fillId="0" borderId="2" applyNumberFormat="0"/>
    <xf numFmtId="0" fontId="40" fillId="0" borderId="2" applyNumberFormat="0"/>
    <xf numFmtId="0" fontId="40" fillId="0" borderId="2" applyNumberFormat="0"/>
    <xf numFmtId="0" fontId="40" fillId="0" borderId="2" applyNumberFormat="0"/>
    <xf numFmtId="0" fontId="40" fillId="0" borderId="2" applyNumberFormat="0"/>
    <xf numFmtId="0" fontId="40" fillId="0" borderId="2" applyNumberFormat="0"/>
    <xf numFmtId="0" fontId="40" fillId="0" borderId="2" applyNumberFormat="0"/>
    <xf numFmtId="0" fontId="40" fillId="0" borderId="2" applyNumberFormat="0"/>
    <xf numFmtId="0" fontId="40" fillId="0" borderId="2" applyNumberFormat="0"/>
    <xf numFmtId="0" fontId="40" fillId="0" borderId="2" applyNumberFormat="0"/>
    <xf numFmtId="0" fontId="40" fillId="0" borderId="2" applyNumberFormat="0"/>
    <xf numFmtId="0" fontId="40" fillId="0" borderId="2" applyNumberFormat="0"/>
    <xf numFmtId="270" fontId="124" fillId="0" borderId="84" applyFont="0" applyFill="0" applyAlignment="0" applyProtection="0"/>
    <xf numFmtId="270" fontId="124" fillId="0" borderId="84" applyFont="0" applyFill="0" applyAlignment="0" applyProtection="0"/>
    <xf numFmtId="270" fontId="124" fillId="0" borderId="84" applyFont="0" applyFill="0" applyAlignment="0" applyProtection="0"/>
    <xf numFmtId="0" fontId="17" fillId="0" borderId="90">
      <alignment vertical="center"/>
      <protection locked="0"/>
    </xf>
    <xf numFmtId="216" fontId="17" fillId="0" borderId="90">
      <alignment vertical="center"/>
      <protection locked="0"/>
    </xf>
    <xf numFmtId="196" fontId="17" fillId="0" borderId="90">
      <alignment vertical="center"/>
      <protection locked="0"/>
    </xf>
    <xf numFmtId="196" fontId="17" fillId="0" borderId="90">
      <alignment vertical="center"/>
      <protection locked="0"/>
    </xf>
    <xf numFmtId="217" fontId="17" fillId="0" borderId="90">
      <alignment vertical="center"/>
      <protection locked="0"/>
    </xf>
    <xf numFmtId="217" fontId="17" fillId="0" borderId="90">
      <alignment vertical="center"/>
      <protection locked="0"/>
    </xf>
    <xf numFmtId="217" fontId="17" fillId="0" borderId="90">
      <alignment vertical="center"/>
      <protection locked="0"/>
    </xf>
    <xf numFmtId="218" fontId="17" fillId="0" borderId="90">
      <alignment vertical="center"/>
      <protection locked="0"/>
    </xf>
    <xf numFmtId="218" fontId="17" fillId="0" borderId="90">
      <alignment vertical="center"/>
      <protection locked="0"/>
    </xf>
    <xf numFmtId="0" fontId="54" fillId="32" borderId="91" applyNumberFormat="0" applyAlignment="0" applyProtection="0"/>
    <xf numFmtId="8" fontId="148" fillId="0" borderId="89"/>
    <xf numFmtId="10" fontId="37" fillId="21" borderId="89" applyNumberFormat="0" applyBorder="0" applyAlignment="0" applyProtection="0"/>
    <xf numFmtId="10" fontId="37" fillId="21" borderId="89" applyNumberFormat="0" applyBorder="0" applyAlignment="0" applyProtection="0"/>
    <xf numFmtId="0" fontId="70" fillId="30" borderId="91" applyNumberFormat="0" applyAlignment="0" applyProtection="0"/>
    <xf numFmtId="0" fontId="70" fillId="30" borderId="91" applyNumberFormat="0" applyAlignment="0" applyProtection="0"/>
    <xf numFmtId="0" fontId="70" fillId="30" borderId="91" applyNumberFormat="0" applyAlignment="0" applyProtection="0"/>
    <xf numFmtId="211" fontId="42" fillId="0" borderId="89" applyFill="0">
      <alignment horizontal="center" vertical="center"/>
    </xf>
    <xf numFmtId="0" fontId="196" fillId="0" borderId="89" applyFill="0">
      <alignment horizontal="center" vertical="center"/>
    </xf>
    <xf numFmtId="211" fontId="37" fillId="0" borderId="89" applyFill="0">
      <alignment horizontal="center" vertical="center"/>
    </xf>
    <xf numFmtId="0" fontId="17" fillId="0" borderId="89" applyFill="0">
      <alignment horizontal="center" vertical="center"/>
    </xf>
    <xf numFmtId="256" fontId="37" fillId="0" borderId="89" applyFill="0">
      <alignment horizontal="center" vertical="center"/>
    </xf>
    <xf numFmtId="256" fontId="37" fillId="0" borderId="89" applyFill="0">
      <alignment horizontal="center" vertical="center"/>
    </xf>
    <xf numFmtId="257" fontId="17" fillId="0" borderId="89" applyFill="0">
      <alignment horizontal="center" vertical="center"/>
    </xf>
    <xf numFmtId="257" fontId="17" fillId="0" borderId="74" applyFill="0">
      <alignment horizontal="center" vertical="center"/>
    </xf>
    <xf numFmtId="256" fontId="37" fillId="0" borderId="74" applyFill="0">
      <alignment horizontal="center" vertical="center"/>
    </xf>
    <xf numFmtId="256" fontId="37" fillId="0" borderId="74" applyFill="0">
      <alignment horizontal="center" vertical="center"/>
    </xf>
    <xf numFmtId="0" fontId="17" fillId="0" borderId="74" applyFill="0">
      <alignment horizontal="center" vertical="center"/>
    </xf>
    <xf numFmtId="0" fontId="37" fillId="0" borderId="74" applyFill="0">
      <alignment horizontal="center" vertical="center"/>
    </xf>
    <xf numFmtId="211" fontId="37" fillId="0" borderId="74" applyFill="0">
      <alignment horizontal="center" vertical="center"/>
    </xf>
    <xf numFmtId="0" fontId="196" fillId="0" borderId="74" applyFill="0">
      <alignment horizontal="center" vertical="center"/>
    </xf>
    <xf numFmtId="0" fontId="42" fillId="0" borderId="74" applyFill="0">
      <alignment horizontal="center" vertical="center"/>
    </xf>
    <xf numFmtId="211" fontId="42" fillId="0" borderId="74" applyFill="0">
      <alignment horizontal="center" vertical="center"/>
    </xf>
    <xf numFmtId="0" fontId="70" fillId="30" borderId="76" applyNumberFormat="0" applyAlignment="0" applyProtection="0"/>
    <xf numFmtId="10" fontId="37" fillId="21" borderId="74" applyNumberFormat="0" applyBorder="0" applyAlignment="0" applyProtection="0"/>
    <xf numFmtId="10" fontId="37" fillId="21" borderId="74" applyNumberFormat="0" applyBorder="0" applyAlignment="0" applyProtection="0"/>
    <xf numFmtId="0" fontId="181" fillId="0" borderId="32" applyBorder="0"/>
    <xf numFmtId="0" fontId="40" fillId="0" borderId="2" applyNumberFormat="0"/>
    <xf numFmtId="0" fontId="40" fillId="0" borderId="2" applyNumberFormat="0"/>
    <xf numFmtId="0" fontId="40" fillId="0" borderId="2" applyNumberFormat="0"/>
    <xf numFmtId="0" fontId="40" fillId="0" borderId="2" applyNumberFormat="0"/>
    <xf numFmtId="0" fontId="40" fillId="0" borderId="2" applyNumberFormat="0"/>
    <xf numFmtId="0" fontId="40" fillId="0" borderId="2" applyNumberFormat="0"/>
    <xf numFmtId="0" fontId="40" fillId="0" borderId="2" applyNumberFormat="0"/>
    <xf numFmtId="0" fontId="40" fillId="0" borderId="2" applyNumberFormat="0"/>
    <xf numFmtId="0" fontId="40" fillId="0" borderId="2" applyNumberFormat="0"/>
    <xf numFmtId="0" fontId="40" fillId="0" borderId="2" applyNumberFormat="0"/>
    <xf numFmtId="0" fontId="40" fillId="0" borderId="2" applyNumberFormat="0"/>
    <xf numFmtId="0" fontId="40" fillId="0" borderId="2" applyNumberFormat="0"/>
    <xf numFmtId="211" fontId="40" fillId="0" borderId="2" applyNumberFormat="0"/>
    <xf numFmtId="0" fontId="40" fillId="0" borderId="2" applyNumberFormat="0"/>
    <xf numFmtId="0" fontId="40" fillId="0" borderId="2" applyNumberFormat="0"/>
    <xf numFmtId="0" fontId="40" fillId="0" borderId="2" applyNumberFormat="0"/>
    <xf numFmtId="0" fontId="40" fillId="0" borderId="2" applyNumberFormat="0"/>
    <xf numFmtId="211" fontId="40" fillId="0" borderId="2" applyNumberFormat="0"/>
    <xf numFmtId="0" fontId="174" fillId="0" borderId="52" applyNumberFormat="0" applyFill="0" applyAlignment="0" applyProtection="0"/>
    <xf numFmtId="0" fontId="173" fillId="0" borderId="51" applyNumberFormat="0" applyFill="0" applyAlignment="0" applyProtection="0"/>
    <xf numFmtId="211" fontId="40" fillId="0" borderId="2" applyNumberFormat="0"/>
    <xf numFmtId="211" fontId="40" fillId="0" borderId="2" applyNumberFormat="0"/>
    <xf numFmtId="211" fontId="40" fillId="0" borderId="2" applyNumberFormat="0"/>
    <xf numFmtId="211" fontId="40" fillId="0" borderId="2" applyNumberFormat="0"/>
    <xf numFmtId="211" fontId="40" fillId="0" borderId="2" applyNumberFormat="0"/>
    <xf numFmtId="0" fontId="40" fillId="0" borderId="2" applyNumberFormat="0"/>
    <xf numFmtId="0" fontId="40" fillId="0" borderId="2" applyNumberFormat="0"/>
    <xf numFmtId="0" fontId="40" fillId="0" borderId="2" applyNumberFormat="0"/>
    <xf numFmtId="211" fontId="41" fillId="0" borderId="73">
      <alignment horizontal="left" vertical="center"/>
    </xf>
    <xf numFmtId="0" fontId="41" fillId="0" borderId="73">
      <alignment horizontal="left" vertical="center"/>
    </xf>
    <xf numFmtId="0" fontId="55" fillId="31" borderId="94" applyNumberFormat="0" applyFont="0" applyAlignment="0" applyProtection="0"/>
    <xf numFmtId="0" fontId="135" fillId="31" borderId="94" applyNumberFormat="0" applyFont="0" applyAlignment="0" applyProtection="0"/>
    <xf numFmtId="0" fontId="75" fillId="32" borderId="95" applyNumberFormat="0" applyAlignment="0" applyProtection="0"/>
    <xf numFmtId="0" fontId="54" fillId="32" borderId="91" applyNumberFormat="0" applyAlignment="0" applyProtection="0"/>
    <xf numFmtId="8" fontId="148" fillId="0" borderId="74"/>
    <xf numFmtId="0" fontId="140" fillId="0" borderId="78">
      <protection locked="0"/>
    </xf>
    <xf numFmtId="0" fontId="54" fillId="32" borderId="91" applyNumberFormat="0" applyAlignment="0" applyProtection="0"/>
    <xf numFmtId="0" fontId="54" fillId="32" borderId="91" applyNumberFormat="0" applyAlignment="0" applyProtection="0"/>
    <xf numFmtId="0" fontId="54" fillId="32" borderId="91" applyNumberFormat="0" applyAlignment="0" applyProtection="0"/>
    <xf numFmtId="0" fontId="54" fillId="32" borderId="91" applyNumberFormat="0" applyAlignment="0" applyProtection="0"/>
    <xf numFmtId="211" fontId="133" fillId="0" borderId="32" applyNumberFormat="0" applyFont="0" applyFill="0" applyAlignment="0" applyProtection="0"/>
    <xf numFmtId="211" fontId="132" fillId="0" borderId="2" applyNumberFormat="0" applyFill="0" applyAlignment="0" applyProtection="0"/>
    <xf numFmtId="0" fontId="132" fillId="0" borderId="2" applyNumberFormat="0" applyFill="0" applyAlignment="0" applyProtection="0"/>
    <xf numFmtId="0" fontId="132" fillId="0" borderId="2" applyNumberFormat="0" applyFill="0" applyAlignment="0" applyProtection="0"/>
    <xf numFmtId="0" fontId="132" fillId="0" borderId="2" applyNumberFormat="0" applyFill="0" applyAlignment="0" applyProtection="0"/>
    <xf numFmtId="0" fontId="132" fillId="0" borderId="2" applyNumberFormat="0" applyFill="0" applyAlignment="0" applyProtection="0"/>
    <xf numFmtId="0" fontId="132" fillId="0" borderId="2" applyNumberFormat="0" applyFill="0" applyAlignment="0" applyProtection="0"/>
    <xf numFmtId="211" fontId="132" fillId="0" borderId="2" applyNumberFormat="0" applyFill="0" applyAlignment="0" applyProtection="0"/>
    <xf numFmtId="43" fontId="4" fillId="0" borderId="0" applyFont="0" applyFill="0" applyBorder="0" applyAlignment="0" applyProtection="0"/>
    <xf numFmtId="0" fontId="4" fillId="0" borderId="0"/>
    <xf numFmtId="0" fontId="4" fillId="31" borderId="79" applyNumberFormat="0" applyFont="0" applyAlignment="0" applyProtection="0"/>
    <xf numFmtId="0" fontId="17" fillId="0" borderId="90">
      <alignment vertical="center"/>
      <protection locked="0"/>
    </xf>
    <xf numFmtId="0" fontId="4" fillId="31" borderId="79" applyNumberFormat="0" applyFont="0" applyAlignment="0" applyProtection="0"/>
    <xf numFmtId="0" fontId="54" fillId="32" borderId="76" applyNumberFormat="0" applyAlignment="0" applyProtection="0"/>
    <xf numFmtId="0" fontId="54" fillId="32" borderId="76" applyNumberFormat="0" applyAlignment="0" applyProtection="0"/>
    <xf numFmtId="0" fontId="54" fillId="32" borderId="76" applyNumberFormat="0" applyAlignment="0" applyProtection="0"/>
    <xf numFmtId="0" fontId="54" fillId="32" borderId="76" applyNumberFormat="0" applyAlignment="0" applyProtection="0"/>
    <xf numFmtId="0" fontId="54" fillId="32" borderId="76" applyNumberFormat="0" applyAlignment="0" applyProtection="0"/>
    <xf numFmtId="0" fontId="54" fillId="32" borderId="76" applyNumberFormat="0" applyAlignment="0" applyProtection="0"/>
    <xf numFmtId="0" fontId="54" fillId="32" borderId="76" applyNumberFormat="0" applyAlignment="0" applyProtection="0"/>
    <xf numFmtId="0" fontId="54" fillId="32" borderId="76" applyNumberFormat="0" applyAlignment="0" applyProtection="0"/>
    <xf numFmtId="0" fontId="54" fillId="32" borderId="76" applyNumberFormat="0" applyAlignment="0" applyProtection="0"/>
    <xf numFmtId="0" fontId="54" fillId="32" borderId="76" applyNumberFormat="0" applyAlignment="0" applyProtection="0"/>
    <xf numFmtId="0" fontId="54" fillId="32" borderId="76" applyNumberFormat="0" applyAlignment="0" applyProtection="0"/>
    <xf numFmtId="0" fontId="54" fillId="32" borderId="76" applyNumberFormat="0" applyAlignment="0" applyProtection="0"/>
    <xf numFmtId="0" fontId="54" fillId="32" borderId="76" applyNumberFormat="0" applyAlignment="0" applyProtection="0"/>
    <xf numFmtId="0" fontId="54" fillId="32" borderId="76" applyNumberFormat="0" applyAlignment="0" applyProtection="0"/>
    <xf numFmtId="0" fontId="54" fillId="32" borderId="76" applyNumberFormat="0" applyAlignment="0" applyProtection="0"/>
    <xf numFmtId="0" fontId="54" fillId="32" borderId="76" applyNumberFormat="0" applyAlignment="0" applyProtection="0"/>
    <xf numFmtId="0" fontId="54" fillId="32" borderId="76" applyNumberFormat="0" applyAlignment="0" applyProtection="0"/>
    <xf numFmtId="0" fontId="54" fillId="32" borderId="76" applyNumberFormat="0" applyAlignment="0" applyProtection="0"/>
    <xf numFmtId="0" fontId="54" fillId="32" borderId="76" applyNumberFormat="0" applyAlignment="0" applyProtection="0"/>
    <xf numFmtId="0" fontId="54" fillId="32" borderId="76" applyNumberFormat="0" applyAlignment="0" applyProtection="0"/>
    <xf numFmtId="0" fontId="54" fillId="32" borderId="76" applyNumberFormat="0" applyAlignment="0" applyProtection="0"/>
    <xf numFmtId="0" fontId="54" fillId="32" borderId="76" applyNumberFormat="0" applyAlignment="0" applyProtection="0"/>
    <xf numFmtId="0" fontId="54" fillId="32" borderId="76" applyNumberFormat="0" applyAlignment="0" applyProtection="0"/>
    <xf numFmtId="0" fontId="54" fillId="32" borderId="76" applyNumberFormat="0" applyAlignment="0" applyProtection="0"/>
    <xf numFmtId="0" fontId="140" fillId="0" borderId="93">
      <protection locked="0"/>
    </xf>
    <xf numFmtId="193" fontId="77" fillId="0" borderId="69"/>
    <xf numFmtId="0" fontId="41" fillId="0" borderId="88">
      <alignment horizontal="left" vertical="center"/>
    </xf>
    <xf numFmtId="211" fontId="41" fillId="0" borderId="88">
      <alignment horizontal="left" vertical="center"/>
    </xf>
    <xf numFmtId="0" fontId="23" fillId="0" borderId="70"/>
    <xf numFmtId="225" fontId="74" fillId="0" borderId="88" applyFill="0"/>
    <xf numFmtId="225" fontId="74" fillId="0" borderId="88" applyFill="0"/>
    <xf numFmtId="225" fontId="74" fillId="0" borderId="88" applyFill="0"/>
    <xf numFmtId="0" fontId="58" fillId="0" borderId="98" applyNumberFormat="0" applyFill="0" applyAlignment="0" applyProtection="0"/>
    <xf numFmtId="270" fontId="124" fillId="0" borderId="87" applyFont="0" applyFill="0" applyAlignment="0" applyProtection="0"/>
    <xf numFmtId="270" fontId="124" fillId="0" borderId="87" applyFont="0" applyFill="0" applyAlignment="0" applyProtection="0"/>
    <xf numFmtId="0" fontId="54" fillId="32" borderId="91" applyNumberFormat="0" applyAlignment="0" applyProtection="0"/>
    <xf numFmtId="0" fontId="54" fillId="32" borderId="91" applyNumberFormat="0" applyAlignment="0" applyProtection="0"/>
    <xf numFmtId="0" fontId="54" fillId="32" borderId="91" applyNumberFormat="0" applyAlignment="0" applyProtection="0"/>
    <xf numFmtId="0" fontId="54" fillId="32" borderId="91" applyNumberFormat="0" applyAlignment="0" applyProtection="0"/>
    <xf numFmtId="0" fontId="54" fillId="32" borderId="91" applyNumberFormat="0" applyAlignment="0" applyProtection="0"/>
    <xf numFmtId="0" fontId="54" fillId="32" borderId="91" applyNumberFormat="0" applyAlignment="0" applyProtection="0"/>
    <xf numFmtId="270" fontId="124" fillId="0" borderId="70" applyFont="0" applyFill="0" applyAlignment="0" applyProtection="0"/>
    <xf numFmtId="270" fontId="124" fillId="0" borderId="70" applyFont="0" applyFill="0" applyAlignment="0" applyProtection="0"/>
    <xf numFmtId="270" fontId="124" fillId="0" borderId="70" applyFont="0" applyFill="0" applyAlignment="0" applyProtection="0"/>
    <xf numFmtId="0" fontId="54" fillId="32" borderId="91" applyNumberFormat="0" applyAlignment="0" applyProtection="0"/>
    <xf numFmtId="0" fontId="54" fillId="32" borderId="91" applyNumberFormat="0" applyAlignment="0" applyProtection="0"/>
    <xf numFmtId="0" fontId="54" fillId="32" borderId="91" applyNumberFormat="0" applyAlignment="0" applyProtection="0"/>
    <xf numFmtId="245" fontId="82" fillId="0" borderId="2" applyBorder="0" applyProtection="0">
      <alignment horizontal="right" vertical="center"/>
    </xf>
    <xf numFmtId="245" fontId="82" fillId="0" borderId="2" applyBorder="0" applyProtection="0">
      <alignment horizontal="right" vertical="center"/>
    </xf>
    <xf numFmtId="245" fontId="82" fillId="0" borderId="2" applyBorder="0" applyProtection="0">
      <alignment horizontal="right" vertical="center"/>
    </xf>
    <xf numFmtId="245" fontId="82" fillId="0" borderId="2" applyBorder="0" applyProtection="0">
      <alignment horizontal="right" vertical="center"/>
    </xf>
    <xf numFmtId="245" fontId="82" fillId="0" borderId="2" applyBorder="0" applyProtection="0">
      <alignment horizontal="right" vertical="center"/>
    </xf>
    <xf numFmtId="245" fontId="82" fillId="0" borderId="2" applyBorder="0" applyProtection="0">
      <alignment horizontal="right" vertical="center"/>
    </xf>
    <xf numFmtId="245" fontId="82" fillId="0" borderId="2" applyBorder="0" applyProtection="0">
      <alignment horizontal="right" vertical="center"/>
    </xf>
    <xf numFmtId="245" fontId="82" fillId="0" borderId="2" applyBorder="0" applyProtection="0">
      <alignment horizontal="right" vertical="center"/>
    </xf>
    <xf numFmtId="0" fontId="81" fillId="26" borderId="2" applyBorder="0" applyProtection="0">
      <alignment horizontal="centerContinuous" vertical="center"/>
    </xf>
    <xf numFmtId="0" fontId="81" fillId="26" borderId="2" applyBorder="0" applyProtection="0">
      <alignment horizontal="centerContinuous" vertical="center"/>
    </xf>
    <xf numFmtId="0" fontId="81" fillId="26" borderId="2" applyBorder="0" applyProtection="0">
      <alignment horizontal="centerContinuous" vertical="center"/>
    </xf>
    <xf numFmtId="0" fontId="81" fillId="26" borderId="2" applyBorder="0" applyProtection="0">
      <alignment horizontal="centerContinuous" vertical="center"/>
    </xf>
    <xf numFmtId="0" fontId="81" fillId="26" borderId="2" applyBorder="0" applyProtection="0">
      <alignment horizontal="centerContinuous" vertical="center"/>
    </xf>
    <xf numFmtId="0" fontId="81" fillId="26" borderId="2" applyBorder="0" applyProtection="0">
      <alignment horizontal="centerContinuous" vertical="center"/>
    </xf>
    <xf numFmtId="0" fontId="81" fillId="26" borderId="2" applyBorder="0" applyProtection="0">
      <alignment horizontal="centerContinuous" vertical="center"/>
    </xf>
    <xf numFmtId="210" fontId="120" fillId="0" borderId="2" applyBorder="0" applyProtection="0">
      <alignment horizontal="right"/>
    </xf>
    <xf numFmtId="0" fontId="81" fillId="26" borderId="2" applyBorder="0" applyProtection="0">
      <alignment horizontal="centerContinuous" vertical="center"/>
    </xf>
    <xf numFmtId="0" fontId="263" fillId="0" borderId="86">
      <alignment horizontal="right" wrapText="1"/>
    </xf>
    <xf numFmtId="0" fontId="58" fillId="0" borderId="85" applyNumberFormat="0" applyFill="0" applyAlignment="0" applyProtection="0"/>
    <xf numFmtId="0" fontId="58" fillId="0" borderId="85" applyNumberFormat="0" applyFill="0" applyAlignment="0" applyProtection="0"/>
    <xf numFmtId="0" fontId="58" fillId="0" borderId="85" applyNumberFormat="0" applyFill="0" applyAlignment="0" applyProtection="0"/>
    <xf numFmtId="0" fontId="58" fillId="0" borderId="85" applyNumberFormat="0" applyFill="0" applyAlignment="0" applyProtection="0"/>
    <xf numFmtId="0" fontId="58" fillId="0" borderId="85" applyNumberFormat="0" applyFill="0" applyAlignment="0" applyProtection="0"/>
    <xf numFmtId="0" fontId="58" fillId="0" borderId="85" applyNumberFormat="0" applyFill="0" applyAlignment="0" applyProtection="0"/>
    <xf numFmtId="0" fontId="255" fillId="92" borderId="74" applyNumberFormat="0" applyAlignment="0" applyProtection="0"/>
    <xf numFmtId="0" fontId="75" fillId="32" borderId="80" applyNumberFormat="0" applyAlignment="0" applyProtection="0"/>
    <xf numFmtId="0" fontId="75" fillId="32" borderId="80" applyNumberFormat="0" applyAlignment="0" applyProtection="0"/>
    <xf numFmtId="0" fontId="75" fillId="32" borderId="80" applyNumberFormat="0" applyAlignment="0" applyProtection="0"/>
    <xf numFmtId="0" fontId="78" fillId="0" borderId="32">
      <alignment horizontal="center"/>
    </xf>
    <xf numFmtId="225" fontId="74" fillId="0" borderId="70" applyFill="0"/>
    <xf numFmtId="225" fontId="74" fillId="0" borderId="70" applyFill="0"/>
    <xf numFmtId="225" fontId="74" fillId="0" borderId="70" applyFill="0"/>
    <xf numFmtId="225" fontId="74" fillId="0" borderId="70" applyFill="0"/>
    <xf numFmtId="225" fontId="74" fillId="0" borderId="70" applyFill="0"/>
    <xf numFmtId="225" fontId="74" fillId="0" borderId="70" applyFill="0"/>
    <xf numFmtId="49" fontId="116" fillId="0" borderId="38" applyNumberFormat="0" applyAlignment="0" applyProtection="0">
      <alignment horizontal="left" wrapText="1"/>
    </xf>
    <xf numFmtId="210" fontId="120" fillId="0" borderId="2" applyBorder="0" applyProtection="0">
      <alignment horizontal="right"/>
    </xf>
    <xf numFmtId="210" fontId="120" fillId="0" borderId="2" applyBorder="0" applyProtection="0">
      <alignment horizontal="right"/>
    </xf>
    <xf numFmtId="210" fontId="120" fillId="0" borderId="2" applyBorder="0" applyProtection="0">
      <alignment horizontal="right"/>
    </xf>
    <xf numFmtId="210" fontId="120" fillId="0" borderId="2" applyBorder="0" applyProtection="0">
      <alignment horizontal="right"/>
    </xf>
    <xf numFmtId="210" fontId="120" fillId="0" borderId="2" applyBorder="0" applyProtection="0">
      <alignment horizontal="right"/>
    </xf>
    <xf numFmtId="210" fontId="120" fillId="0" borderId="2" applyBorder="0" applyProtection="0">
      <alignment horizontal="right"/>
    </xf>
    <xf numFmtId="210" fontId="120" fillId="0" borderId="2" applyBorder="0" applyProtection="0">
      <alignment horizontal="right"/>
    </xf>
    <xf numFmtId="9" fontId="4" fillId="0" borderId="0" applyFont="0" applyFill="0" applyBorder="0" applyAlignment="0" applyProtection="0"/>
    <xf numFmtId="43" fontId="4" fillId="0" borderId="0" applyFont="0" applyFill="0" applyBorder="0" applyAlignment="0" applyProtection="0"/>
    <xf numFmtId="0" fontId="4" fillId="0" borderId="0"/>
    <xf numFmtId="225" fontId="74" fillId="0" borderId="88" applyFill="0"/>
    <xf numFmtId="0" fontId="135" fillId="31" borderId="79" applyNumberFormat="0" applyFont="0" applyAlignment="0" applyProtection="0"/>
    <xf numFmtId="225" fontId="74" fillId="0" borderId="73" applyFill="0"/>
    <xf numFmtId="225" fontId="74" fillId="0" borderId="73" applyFill="0"/>
    <xf numFmtId="216" fontId="17" fillId="0" borderId="75">
      <alignment vertical="center"/>
      <protection locked="0"/>
    </xf>
    <xf numFmtId="0" fontId="17" fillId="0" borderId="75">
      <alignment vertical="center"/>
      <protection locked="0"/>
    </xf>
    <xf numFmtId="225" fontId="74" fillId="0" borderId="73" applyFill="0"/>
    <xf numFmtId="225" fontId="74" fillId="0" borderId="73" applyFill="0"/>
    <xf numFmtId="0" fontId="4" fillId="31" borderId="94" applyNumberFormat="0" applyFont="0" applyAlignment="0" applyProtection="0"/>
    <xf numFmtId="0" fontId="70" fillId="30" borderId="76" applyNumberFormat="0" applyAlignment="0" applyProtection="0"/>
    <xf numFmtId="225" fontId="74" fillId="0" borderId="84" applyFill="0"/>
    <xf numFmtId="214" fontId="17" fillId="0" borderId="90">
      <alignment vertical="center"/>
      <protection locked="0"/>
    </xf>
    <xf numFmtId="215" fontId="17" fillId="0" borderId="90">
      <alignment vertical="center"/>
      <protection locked="0"/>
    </xf>
    <xf numFmtId="218" fontId="17" fillId="0" borderId="75">
      <alignment vertical="center"/>
      <protection locked="0"/>
    </xf>
    <xf numFmtId="218" fontId="17" fillId="0" borderId="75">
      <alignment vertical="center"/>
      <protection locked="0"/>
    </xf>
    <xf numFmtId="218" fontId="17" fillId="0" borderId="75">
      <alignment vertical="center"/>
      <protection locked="0"/>
    </xf>
    <xf numFmtId="217" fontId="17" fillId="0" borderId="75">
      <alignment vertical="center"/>
      <protection locked="0"/>
    </xf>
    <xf numFmtId="217" fontId="17" fillId="0" borderId="75">
      <alignment vertical="center"/>
      <protection locked="0"/>
    </xf>
    <xf numFmtId="196" fontId="17" fillId="0" borderId="75">
      <alignment vertical="center"/>
      <protection locked="0"/>
    </xf>
    <xf numFmtId="216" fontId="17" fillId="0" borderId="75">
      <alignment vertical="center"/>
      <protection locked="0"/>
    </xf>
    <xf numFmtId="0" fontId="17" fillId="0" borderId="75">
      <alignment vertical="center"/>
      <protection locked="0"/>
    </xf>
    <xf numFmtId="0" fontId="17" fillId="0" borderId="75">
      <alignment vertical="center"/>
      <protection locked="0"/>
    </xf>
    <xf numFmtId="215" fontId="17" fillId="0" borderId="75">
      <alignment vertical="center"/>
      <protection locked="0"/>
    </xf>
    <xf numFmtId="215" fontId="17" fillId="0" borderId="75">
      <alignment vertical="center"/>
      <protection locked="0"/>
    </xf>
    <xf numFmtId="215" fontId="17" fillId="0" borderId="75">
      <alignment vertical="center"/>
      <protection locked="0"/>
    </xf>
    <xf numFmtId="215" fontId="17" fillId="0" borderId="75">
      <alignment vertical="center"/>
      <protection locked="0"/>
    </xf>
    <xf numFmtId="214" fontId="17" fillId="0" borderId="75">
      <alignment vertical="center"/>
      <protection locked="0"/>
    </xf>
    <xf numFmtId="214" fontId="17" fillId="0" borderId="75">
      <alignment vertical="center"/>
      <protection locked="0"/>
    </xf>
    <xf numFmtId="214" fontId="17" fillId="0" borderId="75">
      <alignment vertical="center"/>
      <protection locked="0"/>
    </xf>
    <xf numFmtId="9" fontId="4" fillId="0" borderId="0" applyFont="0" applyFill="0" applyBorder="0" applyAlignment="0" applyProtection="0"/>
    <xf numFmtId="43" fontId="4" fillId="0" borderId="0" applyFont="0" applyFill="0" applyBorder="0" applyAlignment="0" applyProtection="0"/>
    <xf numFmtId="0" fontId="4" fillId="0" borderId="0"/>
    <xf numFmtId="216" fontId="17" fillId="0" borderId="90">
      <alignment vertical="center"/>
      <protection locked="0"/>
    </xf>
    <xf numFmtId="0" fontId="54" fillId="32" borderId="91" applyNumberFormat="0" applyAlignment="0" applyProtection="0"/>
    <xf numFmtId="0" fontId="75" fillId="32" borderId="80" applyNumberFormat="0" applyAlignment="0" applyProtection="0"/>
    <xf numFmtId="0" fontId="75" fillId="32" borderId="80" applyNumberFormat="0" applyAlignment="0" applyProtection="0"/>
    <xf numFmtId="0" fontId="75" fillId="32" borderId="80" applyNumberFormat="0" applyAlignment="0" applyProtection="0"/>
    <xf numFmtId="0" fontId="75" fillId="32" borderId="80" applyNumberFormat="0" applyAlignment="0" applyProtection="0"/>
    <xf numFmtId="0" fontId="70" fillId="30" borderId="76" applyNumberFormat="0" applyAlignment="0" applyProtection="0"/>
    <xf numFmtId="0" fontId="70" fillId="30" borderId="76" applyNumberFormat="0" applyAlignment="0" applyProtection="0"/>
    <xf numFmtId="0" fontId="132" fillId="0" borderId="2" applyNumberFormat="0" applyFill="0" applyAlignment="0" applyProtection="0"/>
    <xf numFmtId="0" fontId="70" fillId="30" borderId="76" applyNumberFormat="0" applyAlignment="0" applyProtection="0"/>
    <xf numFmtId="0" fontId="211" fillId="0" borderId="32" applyBorder="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75" fillId="32" borderId="80" applyNumberFormat="0" applyAlignment="0" applyProtection="0"/>
    <xf numFmtId="0" fontId="75" fillId="32" borderId="80" applyNumberFormat="0" applyAlignment="0" applyProtection="0"/>
    <xf numFmtId="216" fontId="17" fillId="0" borderId="75">
      <alignment vertical="center"/>
      <protection locked="0"/>
    </xf>
    <xf numFmtId="196" fontId="17" fillId="0" borderId="75">
      <alignment vertical="center"/>
      <protection locked="0"/>
    </xf>
    <xf numFmtId="196" fontId="17" fillId="0" borderId="75">
      <alignment vertical="center"/>
      <protection locked="0"/>
    </xf>
    <xf numFmtId="196" fontId="17" fillId="0" borderId="75">
      <alignment vertical="center"/>
      <protection locked="0"/>
    </xf>
    <xf numFmtId="217" fontId="17" fillId="0" borderId="75">
      <alignment vertical="center"/>
      <protection locked="0"/>
    </xf>
    <xf numFmtId="217" fontId="17" fillId="0" borderId="75">
      <alignment vertical="center"/>
      <protection locked="0"/>
    </xf>
    <xf numFmtId="225" fontId="74" fillId="0" borderId="84" applyFill="0"/>
    <xf numFmtId="0" fontId="4" fillId="31" borderId="79" applyNumberFormat="0" applyFont="0" applyAlignment="0" applyProtection="0"/>
    <xf numFmtId="0" fontId="70" fillId="30" borderId="76" applyNumberFormat="0" applyAlignment="0" applyProtection="0"/>
    <xf numFmtId="218" fontId="17" fillId="0" borderId="90">
      <alignment vertical="center"/>
      <protection locked="0"/>
    </xf>
    <xf numFmtId="0" fontId="54" fillId="32" borderId="76" applyNumberFormat="0" applyAlignment="0" applyProtection="0"/>
    <xf numFmtId="217" fontId="17" fillId="0" borderId="90">
      <alignment vertical="center"/>
      <protection locked="0"/>
    </xf>
    <xf numFmtId="44" fontId="4" fillId="0" borderId="0" applyFont="0" applyFill="0" applyBorder="0" applyAlignment="0" applyProtection="0"/>
    <xf numFmtId="5" fontId="78" fillId="0" borderId="84" applyAlignment="0" applyProtection="0"/>
    <xf numFmtId="5" fontId="78" fillId="0" borderId="84" applyAlignment="0" applyProtection="0"/>
    <xf numFmtId="5" fontId="78" fillId="0" borderId="84" applyAlignment="0" applyProtection="0"/>
    <xf numFmtId="0" fontId="17" fillId="0" borderId="75">
      <alignment vertical="center"/>
      <protection locked="0"/>
    </xf>
    <xf numFmtId="44" fontId="4" fillId="0" borderId="0" applyFont="0" applyFill="0" applyBorder="0" applyAlignment="0" applyProtection="0"/>
    <xf numFmtId="44" fontId="4" fillId="0" borderId="0" applyFont="0" applyFill="0" applyBorder="0" applyAlignment="0" applyProtection="0"/>
    <xf numFmtId="0" fontId="4" fillId="0" borderId="0"/>
    <xf numFmtId="0" fontId="37" fillId="0" borderId="89" applyFill="0">
      <alignment horizontal="center" vertical="center"/>
    </xf>
    <xf numFmtId="0" fontId="232" fillId="0" borderId="96"/>
    <xf numFmtId="269" fontId="40" fillId="20" borderId="97"/>
    <xf numFmtId="269" fontId="40" fillId="20" borderId="97"/>
    <xf numFmtId="214" fontId="17" fillId="0" borderId="90">
      <alignment vertical="center"/>
      <protection locked="0"/>
    </xf>
    <xf numFmtId="214" fontId="17" fillId="0" borderId="90">
      <alignment vertical="center"/>
      <protection locked="0"/>
    </xf>
    <xf numFmtId="215" fontId="17" fillId="0" borderId="90">
      <alignment vertical="center"/>
      <protection locked="0"/>
    </xf>
    <xf numFmtId="215" fontId="17" fillId="0" borderId="90">
      <alignment vertical="center"/>
      <protection locked="0"/>
    </xf>
    <xf numFmtId="215" fontId="17" fillId="0" borderId="90">
      <alignment vertical="center"/>
      <protection locked="0"/>
    </xf>
    <xf numFmtId="0" fontId="17" fillId="0" borderId="90">
      <alignment vertical="center"/>
      <protection locked="0"/>
    </xf>
    <xf numFmtId="0" fontId="17" fillId="0" borderId="90">
      <alignment vertical="center"/>
      <protection locked="0"/>
    </xf>
    <xf numFmtId="216" fontId="17" fillId="0" borderId="90">
      <alignment vertical="center"/>
      <protection locked="0"/>
    </xf>
    <xf numFmtId="196" fontId="17" fillId="0" borderId="90">
      <alignment vertical="center"/>
      <protection locked="0"/>
    </xf>
    <xf numFmtId="196" fontId="17" fillId="0" borderId="90">
      <alignment vertical="center"/>
      <protection locked="0"/>
    </xf>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4" fontId="2" fillId="0" borderId="0" applyFont="0" applyFill="0" applyBorder="0" applyAlignment="0" applyProtection="0"/>
    <xf numFmtId="0" fontId="91" fillId="0" borderId="0" applyNumberFormat="0" applyFill="0" applyBorder="0" applyAlignment="0" applyProtection="0"/>
    <xf numFmtId="0" fontId="264" fillId="0" borderId="0"/>
    <xf numFmtId="0" fontId="264" fillId="0" borderId="0"/>
    <xf numFmtId="0" fontId="135" fillId="0" borderId="0"/>
    <xf numFmtId="0" fontId="135" fillId="0" borderId="0"/>
    <xf numFmtId="43" fontId="2" fillId="0" borderId="0" applyFont="0" applyFill="0" applyBorder="0" applyAlignment="0" applyProtection="0"/>
    <xf numFmtId="0" fontId="4" fillId="0" borderId="0"/>
    <xf numFmtId="0" fontId="2" fillId="0" borderId="0"/>
    <xf numFmtId="0" fontId="2" fillId="0" borderId="0"/>
    <xf numFmtId="0" fontId="2" fillId="0" borderId="0"/>
    <xf numFmtId="0" fontId="4" fillId="0" borderId="0" applyFill="0"/>
    <xf numFmtId="44" fontId="4" fillId="0" borderId="0" applyFont="0" applyFill="0" applyBorder="0" applyAlignment="0" applyProtection="0"/>
    <xf numFmtId="0" fontId="52" fillId="0" borderId="0" applyNumberFormat="0" applyFill="0" applyBorder="0" applyAlignment="0"/>
    <xf numFmtId="0" fontId="53" fillId="0" borderId="0" applyNumberFormat="0" applyFill="0" applyBorder="0" applyAlignment="0">
      <protection locked="0"/>
    </xf>
    <xf numFmtId="4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84" fontId="22" fillId="0" borderId="0" applyFont="0" applyFill="0" applyBorder="0" applyAlignment="0" applyProtection="0"/>
    <xf numFmtId="0" fontId="60" fillId="0" borderId="0"/>
    <xf numFmtId="0" fontId="61" fillId="0" borderId="0"/>
    <xf numFmtId="0" fontId="63" fillId="0" borderId="12" applyNumberFormat="0" applyFill="0" applyAlignment="0" applyProtection="0"/>
    <xf numFmtId="0" fontId="64" fillId="0" borderId="50" applyNumberFormat="0" applyFill="0" applyAlignment="0" applyProtection="0"/>
    <xf numFmtId="0" fontId="65" fillId="0" borderId="0" applyNumberFormat="0" applyFill="0" applyBorder="0" applyAlignment="0" applyProtection="0"/>
    <xf numFmtId="0" fontId="68" fillId="0" borderId="0" applyFill="0" applyBorder="0">
      <alignment horizontal="center" vertical="center"/>
      <protection locked="0"/>
    </xf>
    <xf numFmtId="0" fontId="69" fillId="0" borderId="0" applyFill="0" applyBorder="0">
      <alignment horizontal="left" vertical="center"/>
      <protection locked="0"/>
    </xf>
    <xf numFmtId="0" fontId="41" fillId="0" borderId="0" applyFill="0" applyBorder="0">
      <alignment horizontal="left" vertical="center"/>
    </xf>
    <xf numFmtId="0" fontId="2" fillId="0" borderId="0"/>
    <xf numFmtId="0" fontId="2" fillId="0" borderId="0"/>
    <xf numFmtId="0" fontId="4" fillId="0" borderId="0"/>
    <xf numFmtId="0" fontId="2" fillId="0" borderId="0"/>
    <xf numFmtId="0" fontId="2" fillId="0" borderId="0"/>
    <xf numFmtId="0" fontId="2" fillId="0" borderId="0"/>
    <xf numFmtId="0" fontId="4" fillId="0" borderId="0"/>
    <xf numFmtId="0" fontId="50" fillId="0" borderId="0"/>
    <xf numFmtId="0" fontId="4" fillId="0" borderId="0" applyFill="0"/>
    <xf numFmtId="0" fontId="2" fillId="0" borderId="0"/>
    <xf numFmtId="0" fontId="4" fillId="0" borderId="0"/>
    <xf numFmtId="192" fontId="4" fillId="0" borderId="0" applyFill="0" applyBorder="0"/>
    <xf numFmtId="0" fontId="79" fillId="0" borderId="0" applyNumberFormat="0" applyFill="0" applyBorder="0" applyAlignment="0" applyProtection="0"/>
    <xf numFmtId="0" fontId="265" fillId="26" borderId="2" applyBorder="0" applyProtection="0">
      <alignment horizontal="centerContinuous" vertical="center"/>
    </xf>
    <xf numFmtId="0" fontId="83" fillId="0" borderId="18" applyFill="0" applyBorder="0" applyProtection="0">
      <alignment horizontal="left" vertical="top"/>
    </xf>
    <xf numFmtId="0" fontId="266" fillId="0" borderId="0"/>
    <xf numFmtId="0" fontId="266" fillId="0" borderId="0"/>
    <xf numFmtId="0" fontId="79" fillId="0" borderId="0" applyNumberFormat="0" applyFill="0" applyBorder="0" applyAlignment="0" applyProtection="0"/>
    <xf numFmtId="0" fontId="87" fillId="0" borderId="0" applyFill="0" applyBorder="0">
      <alignment horizontal="left" vertical="center"/>
      <protection locked="0"/>
    </xf>
    <xf numFmtId="0" fontId="88" fillId="0" borderId="0" applyFill="0" applyBorder="0">
      <alignment horizontal="left" vertical="center"/>
      <protection locked="0"/>
    </xf>
    <xf numFmtId="198" fontId="4" fillId="0" borderId="2" applyBorder="0" applyProtection="0">
      <alignment horizontal="right"/>
    </xf>
    <xf numFmtId="0" fontId="4" fillId="0" borderId="0"/>
    <xf numFmtId="0" fontId="4" fillId="0" borderId="0" applyFill="0"/>
    <xf numFmtId="0" fontId="265" fillId="26" borderId="2" applyBorder="0" applyProtection="0">
      <alignment horizontal="centerContinuous" vertical="center"/>
    </xf>
    <xf numFmtId="198" fontId="4" fillId="0" borderId="2" applyBorder="0" applyProtection="0">
      <alignment horizontal="right"/>
    </xf>
    <xf numFmtId="0" fontId="268" fillId="0" borderId="0" applyNumberFormat="0" applyFill="0" applyBorder="0" applyAlignment="0" applyProtection="0"/>
    <xf numFmtId="41" fontId="4" fillId="23" borderId="0" applyFont="0" applyBorder="0" applyAlignment="0">
      <alignment horizontal="right"/>
      <protection locked="0"/>
    </xf>
    <xf numFmtId="0" fontId="19" fillId="49" borderId="11" applyNumberFormat="0" applyAlignment="0" applyProtection="0"/>
    <xf numFmtId="0" fontId="19" fillId="49" borderId="11" applyNumberForma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265" fillId="26" borderId="2" applyBorder="0" applyProtection="0">
      <alignment horizontal="centerContinuous" vertical="center"/>
    </xf>
    <xf numFmtId="0" fontId="265" fillId="26" borderId="2" applyBorder="0" applyProtection="0">
      <alignment horizontal="centerContinuous" vertical="center"/>
    </xf>
    <xf numFmtId="0" fontId="83" fillId="0" borderId="18" applyFill="0" applyBorder="0" applyProtection="0">
      <alignment horizontal="left" vertical="top"/>
    </xf>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198" fontId="4" fillId="0" borderId="2" applyBorder="0" applyProtection="0">
      <alignment horizontal="right"/>
    </xf>
    <xf numFmtId="198" fontId="4" fillId="0" borderId="2" applyBorder="0" applyProtection="0">
      <alignment horizontal="right"/>
    </xf>
    <xf numFmtId="0" fontId="54" fillId="32" borderId="10" applyNumberFormat="0" applyAlignment="0" applyProtection="0"/>
    <xf numFmtId="0" fontId="65" fillId="0" borderId="51" applyNumberFormat="0" applyFill="0" applyAlignment="0" applyProtection="0"/>
    <xf numFmtId="0" fontId="70" fillId="30" borderId="10" applyNumberFormat="0" applyAlignment="0" applyProtection="0"/>
    <xf numFmtId="0" fontId="4" fillId="31" borderId="79" applyNumberFormat="0" applyFont="0" applyAlignment="0" applyProtection="0"/>
    <xf numFmtId="0" fontId="75" fillId="32" borderId="17" applyNumberFormat="0" applyAlignment="0" applyProtection="0"/>
    <xf numFmtId="0" fontId="58" fillId="0" borderId="19" applyNumberFormat="0" applyFill="0" applyAlignment="0" applyProtection="0"/>
    <xf numFmtId="0" fontId="75" fillId="32" borderId="17" applyNumberFormat="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65" fillId="0" borderId="51" applyNumberFormat="0" applyFill="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75" fillId="32" borderId="17" applyNumberFormat="0" applyAlignment="0" applyProtection="0"/>
    <xf numFmtId="0" fontId="78" fillId="0" borderId="32">
      <alignment horizontal="center"/>
    </xf>
    <xf numFmtId="0" fontId="58" fillId="0" borderId="19" applyNumberFormat="0" applyFill="0" applyAlignment="0" applyProtection="0"/>
    <xf numFmtId="0" fontId="75" fillId="32" borderId="17" applyNumberFormat="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8" fillId="0" borderId="32">
      <alignment horizontal="center"/>
    </xf>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184" fontId="4" fillId="0" borderId="0" applyFill="0"/>
    <xf numFmtId="184" fontId="2" fillId="0" borderId="0"/>
    <xf numFmtId="184" fontId="4" fillId="0" borderId="0"/>
    <xf numFmtId="184" fontId="4" fillId="0" borderId="0"/>
    <xf numFmtId="184" fontId="4" fillId="0" borderId="0"/>
    <xf numFmtId="184" fontId="4" fillId="0" borderId="0"/>
    <xf numFmtId="184" fontId="4" fillId="0" borderId="0"/>
    <xf numFmtId="184" fontId="2" fillId="0" borderId="0"/>
    <xf numFmtId="184" fontId="90" fillId="0" borderId="0" applyNumberFormat="0" applyFill="0" applyBorder="0" applyAlignment="0" applyProtection="0">
      <alignment vertical="top"/>
      <protection locked="0"/>
    </xf>
    <xf numFmtId="184" fontId="2" fillId="0" borderId="0"/>
    <xf numFmtId="184" fontId="2" fillId="0" borderId="0"/>
    <xf numFmtId="184" fontId="4" fillId="0" borderId="0" applyFill="0"/>
    <xf numFmtId="184" fontId="4" fillId="0" borderId="0"/>
    <xf numFmtId="184" fontId="22" fillId="32" borderId="0" applyNumberFormat="0" applyBorder="0" applyAlignment="0" applyProtection="0"/>
    <xf numFmtId="184" fontId="22" fillId="30" borderId="0" applyNumberFormat="0" applyBorder="0" applyAlignment="0" applyProtection="0"/>
    <xf numFmtId="184" fontId="22" fillId="31" borderId="0" applyNumberFormat="0" applyBorder="0" applyAlignment="0" applyProtection="0"/>
    <xf numFmtId="184" fontId="22" fillId="32" borderId="0" applyNumberFormat="0" applyBorder="0" applyAlignment="0" applyProtection="0"/>
    <xf numFmtId="184" fontId="22" fillId="78" borderId="0" applyNumberFormat="0" applyBorder="0" applyAlignment="0" applyProtection="0"/>
    <xf numFmtId="184" fontId="22" fillId="30" borderId="0" applyNumberFormat="0" applyBorder="0" applyAlignment="0" applyProtection="0"/>
    <xf numFmtId="184" fontId="22" fillId="34" borderId="0" applyNumberFormat="0" applyBorder="0" applyAlignment="0" applyProtection="0"/>
    <xf numFmtId="184" fontId="22" fillId="30" borderId="0" applyNumberFormat="0" applyBorder="0" applyAlignment="0" applyProtection="0"/>
    <xf numFmtId="184" fontId="22" fillId="33" borderId="0" applyNumberFormat="0" applyBorder="0" applyAlignment="0" applyProtection="0"/>
    <xf numFmtId="184" fontId="22" fillId="34" borderId="0" applyNumberFormat="0" applyBorder="0" applyAlignment="0" applyProtection="0"/>
    <xf numFmtId="184" fontId="22" fillId="79" borderId="0" applyNumberFormat="0" applyBorder="0" applyAlignment="0" applyProtection="0"/>
    <xf numFmtId="184" fontId="22" fillId="30" borderId="0" applyNumberFormat="0" applyBorder="0" applyAlignment="0" applyProtection="0"/>
    <xf numFmtId="184" fontId="48" fillId="37" borderId="0" applyNumberFormat="0" applyBorder="0" applyAlignment="0" applyProtection="0"/>
    <xf numFmtId="184" fontId="48" fillId="30" borderId="0" applyNumberFormat="0" applyBorder="0" applyAlignment="0" applyProtection="0"/>
    <xf numFmtId="184" fontId="48" fillId="33" borderId="0" applyNumberFormat="0" applyBorder="0" applyAlignment="0" applyProtection="0"/>
    <xf numFmtId="184" fontId="48" fillId="34" borderId="0" applyNumberFormat="0" applyBorder="0" applyAlignment="0" applyProtection="0"/>
    <xf numFmtId="184" fontId="48" fillId="37" borderId="0" applyNumberFormat="0" applyBorder="0" applyAlignment="0" applyProtection="0"/>
    <xf numFmtId="184" fontId="48" fillId="30" borderId="0" applyNumberFormat="0" applyBorder="0" applyAlignment="0" applyProtection="0"/>
    <xf numFmtId="184" fontId="22" fillId="35" borderId="0" applyNumberFormat="0" applyBorder="0" applyAlignment="0" applyProtection="0"/>
    <xf numFmtId="184" fontId="22" fillId="35" borderId="0" applyNumberFormat="0" applyBorder="0" applyAlignment="0" applyProtection="0"/>
    <xf numFmtId="184" fontId="48" fillId="36" borderId="0" applyNumberFormat="0" applyBorder="0" applyAlignment="0" applyProtection="0"/>
    <xf numFmtId="184" fontId="48" fillId="37" borderId="0" applyNumberFormat="0" applyBorder="0" applyAlignment="0" applyProtection="0"/>
    <xf numFmtId="184" fontId="22" fillId="38" borderId="0" applyNumberFormat="0" applyBorder="0" applyAlignment="0" applyProtection="0"/>
    <xf numFmtId="184" fontId="22" fillId="39" borderId="0" applyNumberFormat="0" applyBorder="0" applyAlignment="0" applyProtection="0"/>
    <xf numFmtId="184" fontId="48" fillId="40" borderId="0" applyNumberFormat="0" applyBorder="0" applyAlignment="0" applyProtection="0"/>
    <xf numFmtId="184" fontId="48" fillId="41" borderId="0" applyNumberFormat="0" applyBorder="0" applyAlignment="0" applyProtection="0"/>
    <xf numFmtId="184" fontId="22" fillId="38" borderId="0" applyNumberFormat="0" applyBorder="0" applyAlignment="0" applyProtection="0"/>
    <xf numFmtId="184" fontId="22" fillId="42" borderId="0" applyNumberFormat="0" applyBorder="0" applyAlignment="0" applyProtection="0"/>
    <xf numFmtId="184" fontId="48" fillId="39" borderId="0" applyNumberFormat="0" applyBorder="0" applyAlignment="0" applyProtection="0"/>
    <xf numFmtId="184" fontId="48" fillId="43" borderId="0" applyNumberFormat="0" applyBorder="0" applyAlignment="0" applyProtection="0"/>
    <xf numFmtId="184" fontId="22" fillId="35" borderId="0" applyNumberFormat="0" applyBorder="0" applyAlignment="0" applyProtection="0"/>
    <xf numFmtId="184" fontId="22" fillId="39" borderId="0" applyNumberFormat="0" applyBorder="0" applyAlignment="0" applyProtection="0"/>
    <xf numFmtId="184" fontId="48" fillId="39" borderId="0" applyNumberFormat="0" applyBorder="0" applyAlignment="0" applyProtection="0"/>
    <xf numFmtId="184" fontId="48" fillId="44" borderId="0" applyNumberFormat="0" applyBorder="0" applyAlignment="0" applyProtection="0"/>
    <xf numFmtId="184" fontId="22" fillId="45" borderId="0" applyNumberFormat="0" applyBorder="0" applyAlignment="0" applyProtection="0"/>
    <xf numFmtId="184" fontId="22" fillId="35" borderId="0" applyNumberFormat="0" applyBorder="0" applyAlignment="0" applyProtection="0"/>
    <xf numFmtId="184" fontId="48" fillId="36" borderId="0" applyNumberFormat="0" applyBorder="0" applyAlignment="0" applyProtection="0"/>
    <xf numFmtId="184" fontId="48" fillId="37" borderId="0" applyNumberFormat="0" applyBorder="0" applyAlignment="0" applyProtection="0"/>
    <xf numFmtId="184" fontId="22" fillId="38" borderId="0" applyNumberFormat="0" applyBorder="0" applyAlignment="0" applyProtection="0"/>
    <xf numFmtId="184" fontId="22" fillId="46" borderId="0" applyNumberFormat="0" applyBorder="0" applyAlignment="0" applyProtection="0"/>
    <xf numFmtId="184" fontId="48" fillId="46" borderId="0" applyNumberFormat="0" applyBorder="0" applyAlignment="0" applyProtection="0"/>
    <xf numFmtId="184" fontId="48" fillId="47" borderId="0" applyNumberFormat="0" applyBorder="0" applyAlignment="0" applyProtection="0"/>
    <xf numFmtId="184" fontId="49" fillId="0" borderId="0"/>
    <xf numFmtId="184" fontId="51" fillId="48" borderId="0" applyNumberFormat="0" applyBorder="0" applyAlignment="0" applyProtection="0"/>
    <xf numFmtId="184" fontId="52" fillId="0" borderId="0" applyNumberFormat="0" applyFill="0" applyBorder="0" applyAlignment="0"/>
    <xf numFmtId="184" fontId="53" fillId="0" borderId="0" applyNumberFormat="0" applyFill="0" applyBorder="0" applyAlignment="0">
      <protection locked="0"/>
    </xf>
    <xf numFmtId="184" fontId="54" fillId="32" borderId="10" applyNumberFormat="0" applyAlignment="0" applyProtection="0"/>
    <xf numFmtId="184" fontId="19" fillId="49" borderId="11" applyNumberFormat="0" applyAlignment="0" applyProtection="0"/>
    <xf numFmtId="184" fontId="55"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58" fillId="50" borderId="0" applyNumberFormat="0" applyBorder="0" applyAlignment="0" applyProtection="0"/>
    <xf numFmtId="184" fontId="58" fillId="51" borderId="0" applyNumberFormat="0" applyBorder="0" applyAlignment="0" applyProtection="0"/>
    <xf numFmtId="184" fontId="58" fillId="52" borderId="0" applyNumberFormat="0" applyBorder="0" applyAlignment="0" applyProtection="0"/>
    <xf numFmtId="184" fontId="59" fillId="0" borderId="0" applyNumberFormat="0" applyFill="0" applyBorder="0" applyAlignment="0" applyProtection="0"/>
    <xf numFmtId="184" fontId="60" fillId="0" borderId="0"/>
    <xf numFmtId="184" fontId="61" fillId="0" borderId="0"/>
    <xf numFmtId="184" fontId="62" fillId="53" borderId="0" applyNumberFormat="0" applyBorder="0" applyAlignment="0" applyProtection="0"/>
    <xf numFmtId="184" fontId="63" fillId="0" borderId="12" applyNumberFormat="0" applyFill="0" applyAlignment="0" applyProtection="0"/>
    <xf numFmtId="184" fontId="40" fillId="0" borderId="0" applyFill="0" applyBorder="0">
      <alignment vertical="center"/>
    </xf>
    <xf numFmtId="184" fontId="64" fillId="0" borderId="50" applyNumberFormat="0" applyFill="0" applyAlignment="0" applyProtection="0"/>
    <xf numFmtId="184" fontId="26" fillId="0" borderId="0" applyFill="0" applyBorder="0">
      <alignment vertical="center"/>
    </xf>
    <xf numFmtId="184" fontId="65" fillId="0" borderId="51" applyNumberFormat="0" applyFill="0" applyAlignment="0" applyProtection="0"/>
    <xf numFmtId="184" fontId="42" fillId="0" borderId="0" applyFill="0" applyBorder="0">
      <alignment vertical="center"/>
    </xf>
    <xf numFmtId="184" fontId="65" fillId="0" borderId="0" applyNumberFormat="0" applyFill="0" applyBorder="0" applyAlignment="0" applyProtection="0"/>
    <xf numFmtId="184" fontId="37" fillId="0" borderId="0" applyFill="0" applyBorder="0">
      <alignment vertical="center"/>
    </xf>
    <xf numFmtId="184" fontId="68" fillId="0" borderId="0" applyFill="0" applyBorder="0">
      <alignment horizontal="center" vertical="center"/>
      <protection locked="0"/>
    </xf>
    <xf numFmtId="184" fontId="69" fillId="0" borderId="0" applyFill="0" applyBorder="0">
      <alignment horizontal="left" vertical="center"/>
      <protection locked="0"/>
    </xf>
    <xf numFmtId="184" fontId="70" fillId="30" borderId="10" applyNumberFormat="0" applyAlignment="0" applyProtection="0"/>
    <xf numFmtId="184" fontId="37" fillId="20" borderId="0"/>
    <xf numFmtId="184" fontId="71" fillId="0" borderId="15" applyNumberFormat="0" applyFill="0" applyAlignment="0" applyProtection="0"/>
    <xf numFmtId="184" fontId="41" fillId="0" borderId="0" applyFill="0" applyBorder="0">
      <alignment horizontal="left" vertical="center"/>
    </xf>
    <xf numFmtId="184" fontId="73" fillId="33" borderId="0" applyNumberFormat="0" applyBorder="0" applyAlignment="0" applyProtection="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4" fillId="0" borderId="0"/>
    <xf numFmtId="184" fontId="4" fillId="0" borderId="0"/>
    <xf numFmtId="184" fontId="4"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4" fillId="0" borderId="0"/>
    <xf numFmtId="184" fontId="2" fillId="0" borderId="0"/>
    <xf numFmtId="184" fontId="4" fillId="0" borderId="0"/>
    <xf numFmtId="184" fontId="2" fillId="0" borderId="0"/>
    <xf numFmtId="184" fontId="2" fillId="0" borderId="0"/>
    <xf numFmtId="184" fontId="4" fillId="0" borderId="0"/>
    <xf numFmtId="184" fontId="22" fillId="0" borderId="0"/>
    <xf numFmtId="184" fontId="50" fillId="0" borderId="0"/>
    <xf numFmtId="184" fontId="4" fillId="0" borderId="0" applyFill="0"/>
    <xf numFmtId="184" fontId="2" fillId="0" borderId="0"/>
    <xf numFmtId="184" fontId="4" fillId="0" borderId="0"/>
    <xf numFmtId="184" fontId="4" fillId="31" borderId="79" applyNumberFormat="0" applyFont="0" applyAlignment="0" applyProtection="0"/>
    <xf numFmtId="184" fontId="75" fillId="32" borderId="17" applyNumberFormat="0" applyAlignment="0" applyProtection="0"/>
    <xf numFmtId="184" fontId="42" fillId="0" borderId="0" applyFill="0" applyBorder="0">
      <alignment vertical="center"/>
    </xf>
    <xf numFmtId="184" fontId="55" fillId="0" borderId="0" applyNumberFormat="0" applyFont="0" applyFill="0" applyBorder="0" applyAlignment="0" applyProtection="0">
      <alignment horizontal="left"/>
    </xf>
    <xf numFmtId="184" fontId="78" fillId="0" borderId="32">
      <alignment horizontal="center"/>
    </xf>
    <xf numFmtId="184" fontId="55" fillId="56" borderId="0" applyNumberFormat="0" applyFont="0" applyBorder="0" applyAlignment="0" applyProtection="0"/>
    <xf numFmtId="184" fontId="4" fillId="31" borderId="0" applyNumberFormat="0" applyFont="0" applyBorder="0" applyAlignment="0" applyProtection="0"/>
    <xf numFmtId="184" fontId="4" fillId="32" borderId="0" applyNumberFormat="0" applyFont="0" applyBorder="0" applyAlignment="0" applyProtection="0"/>
    <xf numFmtId="184" fontId="4" fillId="34" borderId="0" applyNumberFormat="0" applyFont="0" applyBorder="0" applyAlignment="0" applyProtection="0"/>
    <xf numFmtId="184" fontId="4" fillId="0" borderId="0" applyNumberFormat="0" applyFont="0" applyFill="0" applyBorder="0" applyAlignment="0" applyProtection="0"/>
    <xf numFmtId="184" fontId="4" fillId="34" borderId="0" applyNumberFormat="0" applyFont="0" applyBorder="0" applyAlignment="0" applyProtection="0"/>
    <xf numFmtId="184" fontId="4" fillId="0" borderId="0" applyNumberFormat="0" applyFont="0" applyFill="0" applyBorder="0" applyAlignment="0" applyProtection="0"/>
    <xf numFmtId="184" fontId="4" fillId="0" borderId="0" applyNumberFormat="0" applyFont="0" applyBorder="0" applyAlignment="0" applyProtection="0"/>
    <xf numFmtId="184" fontId="79" fillId="0" borderId="0" applyNumberFormat="0" applyFill="0" applyBorder="0" applyAlignment="0" applyProtection="0"/>
    <xf numFmtId="184" fontId="4" fillId="0" borderId="0"/>
    <xf numFmtId="184" fontId="41" fillId="0" borderId="0"/>
    <xf numFmtId="184" fontId="80" fillId="0" borderId="0"/>
    <xf numFmtId="184" fontId="265" fillId="26" borderId="2" applyBorder="0" applyProtection="0">
      <alignment horizontal="centerContinuous" vertical="center"/>
    </xf>
    <xf numFmtId="184" fontId="83" fillId="0" borderId="0">
      <alignment horizontal="left"/>
    </xf>
    <xf numFmtId="184" fontId="83" fillId="0" borderId="18" applyFill="0" applyBorder="0" applyProtection="0">
      <alignment horizontal="left" vertical="top"/>
    </xf>
    <xf numFmtId="184" fontId="84" fillId="0" borderId="0"/>
    <xf numFmtId="184" fontId="266" fillId="0" borderId="0"/>
    <xf numFmtId="184" fontId="266" fillId="0" borderId="0"/>
    <xf numFmtId="184" fontId="84" fillId="0" borderId="0"/>
    <xf numFmtId="184" fontId="79" fillId="0" borderId="0" applyNumberFormat="0" applyFill="0" applyBorder="0" applyAlignment="0" applyProtection="0"/>
    <xf numFmtId="184" fontId="87" fillId="0" borderId="0" applyFill="0" applyBorder="0">
      <alignment horizontal="left" vertical="center"/>
      <protection locked="0"/>
    </xf>
    <xf numFmtId="184" fontId="84" fillId="0" borderId="0"/>
    <xf numFmtId="184" fontId="88" fillId="0" borderId="0" applyFill="0" applyBorder="0">
      <alignment horizontal="left" vertical="center"/>
      <protection locked="0"/>
    </xf>
    <xf numFmtId="184" fontId="58" fillId="0" borderId="19" applyNumberFormat="0" applyFill="0" applyAlignment="0" applyProtection="0"/>
    <xf numFmtId="184" fontId="89" fillId="0" borderId="0" applyNumberFormat="0" applyFill="0" applyBorder="0" applyAlignment="0" applyProtection="0"/>
    <xf numFmtId="184" fontId="4" fillId="0" borderId="0"/>
    <xf numFmtId="184" fontId="4" fillId="0" borderId="0"/>
    <xf numFmtId="184" fontId="4" fillId="0" borderId="0" applyFill="0"/>
    <xf numFmtId="184" fontId="75" fillId="32" borderId="17" applyNumberFormat="0" applyAlignment="0" applyProtection="0"/>
    <xf numFmtId="184" fontId="58" fillId="0" borderId="19" applyNumberFormat="0" applyFill="0" applyAlignment="0" applyProtection="0"/>
    <xf numFmtId="184" fontId="54" fillId="32" borderId="10" applyNumberFormat="0" applyAlignment="0" applyProtection="0"/>
    <xf numFmtId="184" fontId="54" fillId="32" borderId="10" applyNumberFormat="0" applyAlignment="0" applyProtection="0"/>
    <xf numFmtId="184" fontId="54" fillId="32" borderId="10" applyNumberFormat="0" applyAlignment="0" applyProtection="0"/>
    <xf numFmtId="184" fontId="54" fillId="32" borderId="10" applyNumberFormat="0" applyAlignment="0" applyProtection="0"/>
    <xf numFmtId="184" fontId="65" fillId="0" borderId="51" applyNumberFormat="0" applyFill="0" applyAlignment="0" applyProtection="0"/>
    <xf numFmtId="184" fontId="70" fillId="30" borderId="10" applyNumberFormat="0" applyAlignment="0" applyProtection="0"/>
    <xf numFmtId="184" fontId="70" fillId="30" borderId="10" applyNumberFormat="0" applyAlignment="0" applyProtection="0"/>
    <xf numFmtId="184" fontId="70" fillId="30" borderId="10" applyNumberFormat="0" applyAlignment="0" applyProtection="0"/>
    <xf numFmtId="184" fontId="70" fillId="30" borderId="10" applyNumberFormat="0" applyAlignment="0" applyProtection="0"/>
    <xf numFmtId="184" fontId="4" fillId="31" borderId="79" applyNumberFormat="0" applyFont="0" applyAlignment="0" applyProtection="0"/>
    <xf numFmtId="184" fontId="4" fillId="31" borderId="79" applyNumberFormat="0" applyFont="0" applyAlignment="0" applyProtection="0"/>
    <xf numFmtId="184" fontId="4" fillId="31" borderId="79" applyNumberFormat="0" applyFont="0" applyAlignment="0" applyProtection="0"/>
    <xf numFmtId="184" fontId="4" fillId="31" borderId="79" applyNumberFormat="0" applyFont="0" applyAlignment="0" applyProtection="0"/>
    <xf numFmtId="184" fontId="4" fillId="31" borderId="79" applyNumberFormat="0" applyFon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265" fillId="26" borderId="2" applyBorder="0" applyProtection="0">
      <alignment horizontal="centerContinuous" vertical="center"/>
    </xf>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4" fillId="32" borderId="10" applyNumberFormat="0" applyAlignment="0" applyProtection="0"/>
    <xf numFmtId="184" fontId="54" fillId="32" borderId="10" applyNumberFormat="0" applyAlignment="0" applyProtection="0"/>
    <xf numFmtId="184" fontId="54" fillId="32" borderId="10" applyNumberFormat="0" applyAlignment="0" applyProtection="0"/>
    <xf numFmtId="184" fontId="54" fillId="32" borderId="10" applyNumberFormat="0" applyAlignment="0" applyProtection="0"/>
    <xf numFmtId="184" fontId="54" fillId="32" borderId="10" applyNumberFormat="0" applyAlignment="0" applyProtection="0"/>
    <xf numFmtId="184" fontId="54" fillId="32" borderId="10" applyNumberFormat="0" applyAlignment="0" applyProtection="0"/>
    <xf numFmtId="184" fontId="54" fillId="32" borderId="10" applyNumberFormat="0" applyAlignment="0" applyProtection="0"/>
    <xf numFmtId="184" fontId="54" fillId="32" borderId="10" applyNumberFormat="0" applyAlignment="0" applyProtection="0"/>
    <xf numFmtId="184" fontId="70" fillId="30" borderId="10" applyNumberFormat="0" applyAlignment="0" applyProtection="0"/>
    <xf numFmtId="184" fontId="70" fillId="30" borderId="10" applyNumberFormat="0" applyAlignment="0" applyProtection="0"/>
    <xf numFmtId="184" fontId="70" fillId="30" borderId="10" applyNumberFormat="0" applyAlignment="0" applyProtection="0"/>
    <xf numFmtId="184" fontId="70" fillId="30" borderId="10" applyNumberFormat="0" applyAlignment="0" applyProtection="0"/>
    <xf numFmtId="184" fontId="70" fillId="30" borderId="10" applyNumberFormat="0" applyAlignment="0" applyProtection="0"/>
    <xf numFmtId="184" fontId="70" fillId="30" borderId="10" applyNumberFormat="0" applyAlignment="0" applyProtection="0"/>
    <xf numFmtId="184" fontId="70" fillId="30" borderId="10" applyNumberFormat="0" applyAlignment="0" applyProtection="0"/>
    <xf numFmtId="184" fontId="70" fillId="30" borderId="10" applyNumberFormat="0" applyAlignment="0" applyProtection="0"/>
    <xf numFmtId="184" fontId="4" fillId="31" borderId="79" applyNumberFormat="0" applyFont="0" applyAlignment="0" applyProtection="0"/>
    <xf numFmtId="184" fontId="4" fillId="31" borderId="79" applyNumberFormat="0" applyFont="0" applyAlignment="0" applyProtection="0"/>
    <xf numFmtId="184" fontId="4" fillId="31" borderId="79" applyNumberFormat="0" applyFont="0" applyAlignment="0" applyProtection="0"/>
    <xf numFmtId="184" fontId="4" fillId="31" borderId="79" applyNumberFormat="0" applyFont="0" applyAlignment="0" applyProtection="0"/>
    <xf numFmtId="184" fontId="4" fillId="31" borderId="79" applyNumberFormat="0" applyFon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268" fillId="0" borderId="0" applyNumberFormat="0" applyFill="0" applyBorder="0" applyAlignment="0" applyProtection="0"/>
    <xf numFmtId="184" fontId="2" fillId="0" borderId="0"/>
    <xf numFmtId="184" fontId="4" fillId="0" borderId="0"/>
    <xf numFmtId="184" fontId="4" fillId="0" borderId="0"/>
    <xf numFmtId="184" fontId="4" fillId="0" borderId="0"/>
    <xf numFmtId="184" fontId="4" fillId="0" borderId="0"/>
    <xf numFmtId="184" fontId="4" fillId="0" borderId="0"/>
    <xf numFmtId="184" fontId="2" fillId="0" borderId="0"/>
    <xf numFmtId="184" fontId="90" fillId="0" borderId="0" applyNumberFormat="0" applyFill="0" applyBorder="0" applyAlignment="0" applyProtection="0">
      <alignment vertical="top"/>
      <protection locked="0"/>
    </xf>
    <xf numFmtId="184" fontId="2" fillId="0" borderId="0"/>
    <xf numFmtId="184" fontId="2" fillId="0" borderId="0"/>
    <xf numFmtId="184" fontId="4" fillId="0" borderId="0" applyFill="0"/>
    <xf numFmtId="184" fontId="4" fillId="0" borderId="0"/>
    <xf numFmtId="184" fontId="22" fillId="32" borderId="0" applyNumberFormat="0" applyBorder="0" applyAlignment="0" applyProtection="0"/>
    <xf numFmtId="184" fontId="22" fillId="30" borderId="0" applyNumberFormat="0" applyBorder="0" applyAlignment="0" applyProtection="0"/>
    <xf numFmtId="184" fontId="22" fillId="31" borderId="0" applyNumberFormat="0" applyBorder="0" applyAlignment="0" applyProtection="0"/>
    <xf numFmtId="184" fontId="22" fillId="32" borderId="0" applyNumberFormat="0" applyBorder="0" applyAlignment="0" applyProtection="0"/>
    <xf numFmtId="184" fontId="22" fillId="78" borderId="0" applyNumberFormat="0" applyBorder="0" applyAlignment="0" applyProtection="0"/>
    <xf numFmtId="184" fontId="22" fillId="30" borderId="0" applyNumberFormat="0" applyBorder="0" applyAlignment="0" applyProtection="0"/>
    <xf numFmtId="184" fontId="22" fillId="34" borderId="0" applyNumberFormat="0" applyBorder="0" applyAlignment="0" applyProtection="0"/>
    <xf numFmtId="184" fontId="22" fillId="30" borderId="0" applyNumberFormat="0" applyBorder="0" applyAlignment="0" applyProtection="0"/>
    <xf numFmtId="184" fontId="22" fillId="33" borderId="0" applyNumberFormat="0" applyBorder="0" applyAlignment="0" applyProtection="0"/>
    <xf numFmtId="184" fontId="22" fillId="34" borderId="0" applyNumberFormat="0" applyBorder="0" applyAlignment="0" applyProtection="0"/>
    <xf numFmtId="184" fontId="22" fillId="79" borderId="0" applyNumberFormat="0" applyBorder="0" applyAlignment="0" applyProtection="0"/>
    <xf numFmtId="184" fontId="22" fillId="30" borderId="0" applyNumberFormat="0" applyBorder="0" applyAlignment="0" applyProtection="0"/>
    <xf numFmtId="184" fontId="48" fillId="37" borderId="0" applyNumberFormat="0" applyBorder="0" applyAlignment="0" applyProtection="0"/>
    <xf numFmtId="184" fontId="48" fillId="30" borderId="0" applyNumberFormat="0" applyBorder="0" applyAlignment="0" applyProtection="0"/>
    <xf numFmtId="184" fontId="48" fillId="33" borderId="0" applyNumberFormat="0" applyBorder="0" applyAlignment="0" applyProtection="0"/>
    <xf numFmtId="184" fontId="48" fillId="34" borderId="0" applyNumberFormat="0" applyBorder="0" applyAlignment="0" applyProtection="0"/>
    <xf numFmtId="184" fontId="48" fillId="37" borderId="0" applyNumberFormat="0" applyBorder="0" applyAlignment="0" applyProtection="0"/>
    <xf numFmtId="184" fontId="48" fillId="30" borderId="0" applyNumberFormat="0" applyBorder="0" applyAlignment="0" applyProtection="0"/>
    <xf numFmtId="184" fontId="22" fillId="35" borderId="0" applyNumberFormat="0" applyBorder="0" applyAlignment="0" applyProtection="0"/>
    <xf numFmtId="184" fontId="22" fillId="35" borderId="0" applyNumberFormat="0" applyBorder="0" applyAlignment="0" applyProtection="0"/>
    <xf numFmtId="184" fontId="48" fillId="36" borderId="0" applyNumberFormat="0" applyBorder="0" applyAlignment="0" applyProtection="0"/>
    <xf numFmtId="184" fontId="48" fillId="37" borderId="0" applyNumberFormat="0" applyBorder="0" applyAlignment="0" applyProtection="0"/>
    <xf numFmtId="184" fontId="22" fillId="38" borderId="0" applyNumberFormat="0" applyBorder="0" applyAlignment="0" applyProtection="0"/>
    <xf numFmtId="184" fontId="22" fillId="39" borderId="0" applyNumberFormat="0" applyBorder="0" applyAlignment="0" applyProtection="0"/>
    <xf numFmtId="184" fontId="48" fillId="40" borderId="0" applyNumberFormat="0" applyBorder="0" applyAlignment="0" applyProtection="0"/>
    <xf numFmtId="184" fontId="48" fillId="41" borderId="0" applyNumberFormat="0" applyBorder="0" applyAlignment="0" applyProtection="0"/>
    <xf numFmtId="184" fontId="22" fillId="38" borderId="0" applyNumberFormat="0" applyBorder="0" applyAlignment="0" applyProtection="0"/>
    <xf numFmtId="184" fontId="22" fillId="42" borderId="0" applyNumberFormat="0" applyBorder="0" applyAlignment="0" applyProtection="0"/>
    <xf numFmtId="184" fontId="48" fillId="39" borderId="0" applyNumberFormat="0" applyBorder="0" applyAlignment="0" applyProtection="0"/>
    <xf numFmtId="184" fontId="48" fillId="43" borderId="0" applyNumberFormat="0" applyBorder="0" applyAlignment="0" applyProtection="0"/>
    <xf numFmtId="184" fontId="22" fillId="35" borderId="0" applyNumberFormat="0" applyBorder="0" applyAlignment="0" applyProtection="0"/>
    <xf numFmtId="184" fontId="22" fillId="39" borderId="0" applyNumberFormat="0" applyBorder="0" applyAlignment="0" applyProtection="0"/>
    <xf numFmtId="184" fontId="48" fillId="39" borderId="0" applyNumberFormat="0" applyBorder="0" applyAlignment="0" applyProtection="0"/>
    <xf numFmtId="184" fontId="48" fillId="44" borderId="0" applyNumberFormat="0" applyBorder="0" applyAlignment="0" applyProtection="0"/>
    <xf numFmtId="184" fontId="22" fillId="45" borderId="0" applyNumberFormat="0" applyBorder="0" applyAlignment="0" applyProtection="0"/>
    <xf numFmtId="184" fontId="22" fillId="35" borderId="0" applyNumberFormat="0" applyBorder="0" applyAlignment="0" applyProtection="0"/>
    <xf numFmtId="184" fontId="48" fillId="36" borderId="0" applyNumberFormat="0" applyBorder="0" applyAlignment="0" applyProtection="0"/>
    <xf numFmtId="184" fontId="48" fillId="37" borderId="0" applyNumberFormat="0" applyBorder="0" applyAlignment="0" applyProtection="0"/>
    <xf numFmtId="184" fontId="22" fillId="38" borderId="0" applyNumberFormat="0" applyBorder="0" applyAlignment="0" applyProtection="0"/>
    <xf numFmtId="184" fontId="22" fillId="46" borderId="0" applyNumberFormat="0" applyBorder="0" applyAlignment="0" applyProtection="0"/>
    <xf numFmtId="184" fontId="48" fillId="46" borderId="0" applyNumberFormat="0" applyBorder="0" applyAlignment="0" applyProtection="0"/>
    <xf numFmtId="184" fontId="48" fillId="47" borderId="0" applyNumberFormat="0" applyBorder="0" applyAlignment="0" applyProtection="0"/>
    <xf numFmtId="184" fontId="49" fillId="0" borderId="0"/>
    <xf numFmtId="184" fontId="51" fillId="48" borderId="0" applyNumberFormat="0" applyBorder="0" applyAlignment="0" applyProtection="0"/>
    <xf numFmtId="184" fontId="52" fillId="0" borderId="0" applyNumberFormat="0" applyFill="0" applyBorder="0" applyAlignment="0"/>
    <xf numFmtId="184" fontId="53" fillId="0" borderId="0" applyNumberFormat="0" applyFill="0" applyBorder="0" applyAlignment="0">
      <protection locked="0"/>
    </xf>
    <xf numFmtId="184" fontId="54" fillId="32" borderId="10" applyNumberFormat="0" applyAlignment="0" applyProtection="0"/>
    <xf numFmtId="184" fontId="19" fillId="49" borderId="11" applyNumberFormat="0" applyAlignment="0" applyProtection="0"/>
    <xf numFmtId="184" fontId="55"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58" fillId="50" borderId="0" applyNumberFormat="0" applyBorder="0" applyAlignment="0" applyProtection="0"/>
    <xf numFmtId="184" fontId="58" fillId="51" borderId="0" applyNumberFormat="0" applyBorder="0" applyAlignment="0" applyProtection="0"/>
    <xf numFmtId="184" fontId="58" fillId="52" borderId="0" applyNumberFormat="0" applyBorder="0" applyAlignment="0" applyProtection="0"/>
    <xf numFmtId="184" fontId="59" fillId="0" borderId="0" applyNumberFormat="0" applyFill="0" applyBorder="0" applyAlignment="0" applyProtection="0"/>
    <xf numFmtId="184" fontId="60" fillId="0" borderId="0"/>
    <xf numFmtId="184" fontId="61" fillId="0" borderId="0"/>
    <xf numFmtId="184" fontId="62" fillId="53" borderId="0" applyNumberFormat="0" applyBorder="0" applyAlignment="0" applyProtection="0"/>
    <xf numFmtId="184" fontId="63" fillId="0" borderId="12" applyNumberFormat="0" applyFill="0" applyAlignment="0" applyProtection="0"/>
    <xf numFmtId="184" fontId="40" fillId="0" borderId="0" applyFill="0" applyBorder="0">
      <alignment vertical="center"/>
    </xf>
    <xf numFmtId="184" fontId="64" fillId="0" borderId="50" applyNumberFormat="0" applyFill="0" applyAlignment="0" applyProtection="0"/>
    <xf numFmtId="184" fontId="26" fillId="0" borderId="0" applyFill="0" applyBorder="0">
      <alignment vertical="center"/>
    </xf>
    <xf numFmtId="184" fontId="65" fillId="0" borderId="51" applyNumberFormat="0" applyFill="0" applyAlignment="0" applyProtection="0"/>
    <xf numFmtId="184" fontId="42" fillId="0" borderId="0" applyFill="0" applyBorder="0">
      <alignment vertical="center"/>
    </xf>
    <xf numFmtId="184" fontId="65" fillId="0" borderId="0" applyNumberFormat="0" applyFill="0" applyBorder="0" applyAlignment="0" applyProtection="0"/>
    <xf numFmtId="184" fontId="37" fillId="0" borderId="0" applyFill="0" applyBorder="0">
      <alignment vertical="center"/>
    </xf>
    <xf numFmtId="184" fontId="68" fillId="0" borderId="0" applyFill="0" applyBorder="0">
      <alignment horizontal="center" vertical="center"/>
      <protection locked="0"/>
    </xf>
    <xf numFmtId="184" fontId="69" fillId="0" borderId="0" applyFill="0" applyBorder="0">
      <alignment horizontal="left" vertical="center"/>
      <protection locked="0"/>
    </xf>
    <xf numFmtId="184" fontId="70" fillId="30" borderId="10" applyNumberFormat="0" applyAlignment="0" applyProtection="0"/>
    <xf numFmtId="184" fontId="37" fillId="20" borderId="0"/>
    <xf numFmtId="184" fontId="71" fillId="0" borderId="15" applyNumberFormat="0" applyFill="0" applyAlignment="0" applyProtection="0"/>
    <xf numFmtId="184" fontId="41" fillId="0" borderId="0" applyFill="0" applyBorder="0">
      <alignment horizontal="left" vertical="center"/>
    </xf>
    <xf numFmtId="184" fontId="73" fillId="33" borderId="0" applyNumberFormat="0" applyBorder="0" applyAlignment="0" applyProtection="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4" fillId="0" borderId="0"/>
    <xf numFmtId="184" fontId="4" fillId="0" borderId="0"/>
    <xf numFmtId="184" fontId="4"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4" fillId="0" borderId="0"/>
    <xf numFmtId="184" fontId="2" fillId="0" borderId="0"/>
    <xf numFmtId="184" fontId="4" fillId="0" borderId="0"/>
    <xf numFmtId="184" fontId="2" fillId="0" borderId="0"/>
    <xf numFmtId="184" fontId="2" fillId="0" borderId="0"/>
    <xf numFmtId="184" fontId="4" fillId="0" borderId="0"/>
    <xf numFmtId="184" fontId="22" fillId="0" borderId="0"/>
    <xf numFmtId="184" fontId="50" fillId="0" borderId="0"/>
    <xf numFmtId="184" fontId="4" fillId="0" borderId="0" applyFill="0"/>
    <xf numFmtId="184" fontId="2" fillId="0" borderId="0"/>
    <xf numFmtId="184" fontId="4" fillId="0" borderId="0"/>
    <xf numFmtId="184" fontId="4" fillId="31" borderId="79" applyNumberFormat="0" applyFont="0" applyAlignment="0" applyProtection="0"/>
    <xf numFmtId="184" fontId="75" fillId="32" borderId="17" applyNumberFormat="0" applyAlignment="0" applyProtection="0"/>
    <xf numFmtId="184" fontId="42" fillId="0" borderId="0" applyFill="0" applyBorder="0">
      <alignment vertical="center"/>
    </xf>
    <xf numFmtId="184" fontId="55" fillId="0" borderId="0" applyNumberFormat="0" applyFont="0" applyFill="0" applyBorder="0" applyAlignment="0" applyProtection="0">
      <alignment horizontal="left"/>
    </xf>
    <xf numFmtId="184" fontId="78" fillId="0" borderId="32">
      <alignment horizontal="center"/>
    </xf>
    <xf numFmtId="184" fontId="55" fillId="56" borderId="0" applyNumberFormat="0" applyFont="0" applyBorder="0" applyAlignment="0" applyProtection="0"/>
    <xf numFmtId="184" fontId="4" fillId="31" borderId="0" applyNumberFormat="0" applyFont="0" applyBorder="0" applyAlignment="0" applyProtection="0"/>
    <xf numFmtId="184" fontId="4" fillId="32" borderId="0" applyNumberFormat="0" applyFont="0" applyBorder="0" applyAlignment="0" applyProtection="0"/>
    <xf numFmtId="184" fontId="4" fillId="34" borderId="0" applyNumberFormat="0" applyFont="0" applyBorder="0" applyAlignment="0" applyProtection="0"/>
    <xf numFmtId="184" fontId="4" fillId="0" borderId="0" applyNumberFormat="0" applyFont="0" applyFill="0" applyBorder="0" applyAlignment="0" applyProtection="0"/>
    <xf numFmtId="184" fontId="4" fillId="34" borderId="0" applyNumberFormat="0" applyFont="0" applyBorder="0" applyAlignment="0" applyProtection="0"/>
    <xf numFmtId="184" fontId="4" fillId="0" borderId="0" applyNumberFormat="0" applyFont="0" applyFill="0" applyBorder="0" applyAlignment="0" applyProtection="0"/>
    <xf numFmtId="184" fontId="4" fillId="0" borderId="0" applyNumberFormat="0" applyFont="0" applyBorder="0" applyAlignment="0" applyProtection="0"/>
    <xf numFmtId="184" fontId="79" fillId="0" borderId="0" applyNumberFormat="0" applyFill="0" applyBorder="0" applyAlignment="0" applyProtection="0"/>
    <xf numFmtId="184" fontId="4" fillId="0" borderId="0"/>
    <xf numFmtId="184" fontId="41" fillId="0" borderId="0"/>
    <xf numFmtId="184" fontId="80" fillId="0" borderId="0"/>
    <xf numFmtId="184" fontId="265" fillId="26" borderId="2" applyBorder="0" applyProtection="0">
      <alignment horizontal="centerContinuous" vertical="center"/>
    </xf>
    <xf numFmtId="184" fontId="83" fillId="0" borderId="0">
      <alignment horizontal="left"/>
    </xf>
    <xf numFmtId="184" fontId="83" fillId="0" borderId="18" applyFill="0" applyBorder="0" applyProtection="0">
      <alignment horizontal="left" vertical="top"/>
    </xf>
    <xf numFmtId="184" fontId="84" fillId="0" borderId="0"/>
    <xf numFmtId="184" fontId="266" fillId="0" borderId="0"/>
    <xf numFmtId="184" fontId="266" fillId="0" borderId="0"/>
    <xf numFmtId="184" fontId="84" fillId="0" borderId="0"/>
    <xf numFmtId="184" fontId="79" fillId="0" borderId="0" applyNumberFormat="0" applyFill="0" applyBorder="0" applyAlignment="0" applyProtection="0"/>
    <xf numFmtId="184" fontId="87" fillId="0" borderId="0" applyFill="0" applyBorder="0">
      <alignment horizontal="left" vertical="center"/>
      <protection locked="0"/>
    </xf>
    <xf numFmtId="184" fontId="84" fillId="0" borderId="0"/>
    <xf numFmtId="184" fontId="88" fillId="0" borderId="0" applyFill="0" applyBorder="0">
      <alignment horizontal="left" vertical="center"/>
      <protection locked="0"/>
    </xf>
    <xf numFmtId="184" fontId="58" fillId="0" borderId="19" applyNumberFormat="0" applyFill="0" applyAlignment="0" applyProtection="0"/>
    <xf numFmtId="184" fontId="89" fillId="0" borderId="0" applyNumberFormat="0" applyFill="0" applyBorder="0" applyAlignment="0" applyProtection="0"/>
    <xf numFmtId="184" fontId="4" fillId="0" borderId="0"/>
    <xf numFmtId="184" fontId="91" fillId="0" borderId="0" applyNumberFormat="0" applyFill="0" applyBorder="0" applyAlignment="0" applyProtection="0"/>
    <xf numFmtId="184" fontId="4" fillId="0" borderId="0"/>
    <xf numFmtId="184" fontId="4" fillId="0" borderId="0" applyFill="0"/>
    <xf numFmtId="184" fontId="75" fillId="32" borderId="17" applyNumberFormat="0" applyAlignment="0" applyProtection="0"/>
    <xf numFmtId="184" fontId="58" fillId="0" borderId="19" applyNumberFormat="0" applyFill="0" applyAlignment="0" applyProtection="0"/>
    <xf numFmtId="184" fontId="54" fillId="32" borderId="10" applyNumberFormat="0" applyAlignment="0" applyProtection="0"/>
    <xf numFmtId="184" fontId="54" fillId="32" borderId="10" applyNumberFormat="0" applyAlignment="0" applyProtection="0"/>
    <xf numFmtId="184" fontId="54" fillId="32" borderId="10" applyNumberFormat="0" applyAlignment="0" applyProtection="0"/>
    <xf numFmtId="184" fontId="54" fillId="32" borderId="10" applyNumberFormat="0" applyAlignment="0" applyProtection="0"/>
    <xf numFmtId="184" fontId="65" fillId="0" borderId="51" applyNumberFormat="0" applyFill="0" applyAlignment="0" applyProtection="0"/>
    <xf numFmtId="184" fontId="70" fillId="30" borderId="10" applyNumberFormat="0" applyAlignment="0" applyProtection="0"/>
    <xf numFmtId="184" fontId="70" fillId="30" borderId="10" applyNumberFormat="0" applyAlignment="0" applyProtection="0"/>
    <xf numFmtId="184" fontId="70" fillId="30" borderId="10" applyNumberFormat="0" applyAlignment="0" applyProtection="0"/>
    <xf numFmtId="184" fontId="70" fillId="30" borderId="10" applyNumberFormat="0" applyAlignment="0" applyProtection="0"/>
    <xf numFmtId="184" fontId="4" fillId="31" borderId="79" applyNumberFormat="0" applyFont="0" applyAlignment="0" applyProtection="0"/>
    <xf numFmtId="184" fontId="4" fillId="31" borderId="79" applyNumberFormat="0" applyFont="0" applyAlignment="0" applyProtection="0"/>
    <xf numFmtId="184" fontId="4" fillId="31" borderId="79" applyNumberFormat="0" applyFont="0" applyAlignment="0" applyProtection="0"/>
    <xf numFmtId="184" fontId="4" fillId="31" borderId="79" applyNumberFormat="0" applyFont="0" applyAlignment="0" applyProtection="0"/>
    <xf numFmtId="184" fontId="4" fillId="31" borderId="79" applyNumberFormat="0" applyFon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265" fillId="26" borderId="2" applyBorder="0" applyProtection="0">
      <alignment horizontal="centerContinuous" vertical="center"/>
    </xf>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4" fillId="32" borderId="10" applyNumberFormat="0" applyAlignment="0" applyProtection="0"/>
    <xf numFmtId="184" fontId="54" fillId="32" borderId="10" applyNumberFormat="0" applyAlignment="0" applyProtection="0"/>
    <xf numFmtId="184" fontId="54" fillId="32" borderId="10" applyNumberFormat="0" applyAlignment="0" applyProtection="0"/>
    <xf numFmtId="184" fontId="54" fillId="32" borderId="10" applyNumberFormat="0" applyAlignment="0" applyProtection="0"/>
    <xf numFmtId="184" fontId="54" fillId="32" borderId="10" applyNumberFormat="0" applyAlignment="0" applyProtection="0"/>
    <xf numFmtId="184" fontId="54" fillId="32" borderId="10" applyNumberFormat="0" applyAlignment="0" applyProtection="0"/>
    <xf numFmtId="184" fontId="54" fillId="32" borderId="10" applyNumberFormat="0" applyAlignment="0" applyProtection="0"/>
    <xf numFmtId="184" fontId="54" fillId="32" borderId="10" applyNumberFormat="0" applyAlignment="0" applyProtection="0"/>
    <xf numFmtId="184" fontId="70" fillId="30" borderId="10" applyNumberFormat="0" applyAlignment="0" applyProtection="0"/>
    <xf numFmtId="184" fontId="70" fillId="30" borderId="10" applyNumberFormat="0" applyAlignment="0" applyProtection="0"/>
    <xf numFmtId="184" fontId="70" fillId="30" borderId="10" applyNumberFormat="0" applyAlignment="0" applyProtection="0"/>
    <xf numFmtId="184" fontId="70" fillId="30" borderId="10" applyNumberFormat="0" applyAlignment="0" applyProtection="0"/>
    <xf numFmtId="184" fontId="70" fillId="30" borderId="10" applyNumberFormat="0" applyAlignment="0" applyProtection="0"/>
    <xf numFmtId="184" fontId="70" fillId="30" borderId="10" applyNumberFormat="0" applyAlignment="0" applyProtection="0"/>
    <xf numFmtId="184" fontId="70" fillId="30" borderId="10" applyNumberFormat="0" applyAlignment="0" applyProtection="0"/>
    <xf numFmtId="184" fontId="70" fillId="30" borderId="10" applyNumberFormat="0" applyAlignment="0" applyProtection="0"/>
    <xf numFmtId="184" fontId="4" fillId="31" borderId="79" applyNumberFormat="0" applyFont="0" applyAlignment="0" applyProtection="0"/>
    <xf numFmtId="184" fontId="4" fillId="31" borderId="79" applyNumberFormat="0" applyFont="0" applyAlignment="0" applyProtection="0"/>
    <xf numFmtId="184" fontId="4" fillId="31" borderId="79" applyNumberFormat="0" applyFont="0" applyAlignment="0" applyProtection="0"/>
    <xf numFmtId="184" fontId="4" fillId="31" borderId="79" applyNumberFormat="0" applyFont="0" applyAlignment="0" applyProtection="0"/>
    <xf numFmtId="184" fontId="4" fillId="31" borderId="79" applyNumberFormat="0" applyFon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268" fillId="0" borderId="0" applyNumberFormat="0" applyFill="0" applyBorder="0" applyAlignment="0" applyProtection="0"/>
    <xf numFmtId="184" fontId="4" fillId="0" borderId="0"/>
    <xf numFmtId="43" fontId="4" fillId="0" borderId="0" applyFont="0" applyFill="0" applyBorder="0" applyAlignment="0" applyProtection="0"/>
    <xf numFmtId="184" fontId="2" fillId="0" borderId="0"/>
    <xf numFmtId="184" fontId="2" fillId="0" borderId="0"/>
    <xf numFmtId="184" fontId="78" fillId="0" borderId="32">
      <alignment horizontal="center"/>
    </xf>
    <xf numFmtId="184" fontId="78" fillId="0" borderId="32">
      <alignment horizontal="center"/>
    </xf>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0" fillId="30" borderId="10" applyNumberFormat="0" applyAlignment="0" applyProtection="0"/>
    <xf numFmtId="0" fontId="70" fillId="30" borderId="10" applyNumberFormat="0" applyAlignment="0" applyProtection="0"/>
    <xf numFmtId="0" fontId="54" fillId="32" borderId="10" applyNumberFormat="0" applyAlignment="0" applyProtection="0"/>
    <xf numFmtId="0" fontId="58" fillId="0" borderId="19" applyNumberFormat="0" applyFill="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65" fillId="0" borderId="51" applyNumberFormat="0" applyFill="0" applyAlignment="0" applyProtection="0"/>
    <xf numFmtId="0" fontId="65" fillId="0" borderId="51"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0" fillId="30" borderId="10" applyNumberFormat="0" applyAlignment="0" applyProtection="0"/>
    <xf numFmtId="0" fontId="54" fillId="32" borderId="10" applyNumberFormat="0" applyAlignment="0" applyProtection="0"/>
    <xf numFmtId="0" fontId="54" fillId="32" borderId="10" applyNumberFormat="0" applyAlignment="0" applyProtection="0"/>
    <xf numFmtId="0" fontId="58" fillId="0" borderId="19" applyNumberFormat="0" applyFill="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5" fillId="32" borderId="17" applyNumberFormat="0" applyAlignment="0" applyProtection="0"/>
    <xf numFmtId="0" fontId="4" fillId="31" borderId="79" applyNumberFormat="0" applyFont="0" applyAlignment="0" applyProtection="0"/>
    <xf numFmtId="0" fontId="75" fillId="32" borderId="17" applyNumberFormat="0" applyAlignment="0" applyProtection="0"/>
    <xf numFmtId="0" fontId="78" fillId="0" borderId="32">
      <alignment horizontal="center"/>
    </xf>
    <xf numFmtId="0" fontId="54" fillId="32" borderId="10" applyNumberFormat="0" applyAlignment="0" applyProtection="0"/>
    <xf numFmtId="0" fontId="58" fillId="0" borderId="19" applyNumberFormat="0" applyFill="0" applyAlignment="0" applyProtection="0"/>
    <xf numFmtId="0" fontId="70" fillId="30" borderId="10" applyNumberFormat="0" applyAlignment="0" applyProtection="0"/>
    <xf numFmtId="0" fontId="70" fillId="30" borderId="10" applyNumberFormat="0" applyAlignment="0" applyProtection="0"/>
    <xf numFmtId="0" fontId="54" fillId="32" borderId="10" applyNumberFormat="0" applyAlignment="0" applyProtection="0"/>
    <xf numFmtId="0" fontId="58" fillId="0" borderId="19" applyNumberFormat="0" applyFill="0" applyAlignment="0" applyProtection="0"/>
    <xf numFmtId="0" fontId="75" fillId="32" borderId="17" applyNumberFormat="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5" fillId="32" borderId="17"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70" fillId="30" borderId="10"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5" fillId="32" borderId="17" applyNumberFormat="0" applyAlignment="0" applyProtection="0"/>
    <xf numFmtId="0" fontId="75" fillId="32" borderId="17"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8" fillId="0" borderId="32">
      <alignment horizontal="center"/>
    </xf>
    <xf numFmtId="0" fontId="75" fillId="32" borderId="17" applyNumberFormat="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4" fillId="31" borderId="79" applyNumberFormat="0" applyFont="0" applyAlignment="0" applyProtection="0"/>
    <xf numFmtId="0" fontId="54" fillId="32" borderId="10" applyNumberFormat="0" applyAlignment="0" applyProtection="0"/>
    <xf numFmtId="0" fontId="65" fillId="0" borderId="51" applyNumberFormat="0" applyFill="0" applyAlignment="0" applyProtection="0"/>
    <xf numFmtId="0" fontId="70" fillId="30" borderId="10" applyNumberFormat="0" applyAlignment="0" applyProtection="0"/>
    <xf numFmtId="0" fontId="4" fillId="31" borderId="79" applyNumberFormat="0" applyFont="0" applyAlignment="0" applyProtection="0"/>
    <xf numFmtId="0" fontId="75" fillId="32" borderId="17" applyNumberFormat="0" applyAlignment="0" applyProtection="0"/>
    <xf numFmtId="0" fontId="58" fillId="0" borderId="19" applyNumberFormat="0" applyFill="0" applyAlignment="0" applyProtection="0"/>
    <xf numFmtId="0" fontId="75" fillId="32" borderId="17" applyNumberFormat="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65" fillId="0" borderId="51" applyNumberFormat="0" applyFill="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5" fillId="32" borderId="17" applyNumberFormat="0" applyAlignment="0" applyProtection="0"/>
    <xf numFmtId="0" fontId="4" fillId="31" borderId="79" applyNumberFormat="0" applyFon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75" fillId="32" borderId="17" applyNumberFormat="0" applyAlignment="0" applyProtection="0"/>
    <xf numFmtId="0" fontId="78" fillId="0" borderId="32">
      <alignment horizontal="center"/>
    </xf>
    <xf numFmtId="0" fontId="58" fillId="0" borderId="19" applyNumberFormat="0" applyFill="0" applyAlignment="0" applyProtection="0"/>
    <xf numFmtId="0" fontId="75" fillId="32" borderId="17" applyNumberFormat="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8" fillId="0" borderId="32">
      <alignment horizontal="center"/>
    </xf>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70" fillId="30" borderId="10"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65" fillId="0" borderId="51" applyNumberFormat="0" applyFill="0" applyAlignment="0" applyProtection="0"/>
    <xf numFmtId="0" fontId="70" fillId="30" borderId="10" applyNumberFormat="0" applyAlignment="0" applyProtection="0"/>
    <xf numFmtId="0" fontId="4" fillId="31" borderId="79" applyNumberFormat="0" applyFont="0" applyAlignment="0" applyProtection="0"/>
    <xf numFmtId="0" fontId="75" fillId="32" borderId="17" applyNumberFormat="0" applyAlignment="0" applyProtection="0"/>
    <xf numFmtId="0" fontId="58" fillId="0" borderId="19" applyNumberFormat="0" applyFill="0" applyAlignment="0" applyProtection="0"/>
    <xf numFmtId="0" fontId="75" fillId="32" borderId="17" applyNumberFormat="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65" fillId="0" borderId="51" applyNumberFormat="0" applyFill="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65" fillId="0" borderId="51" applyNumberFormat="0" applyFill="0" applyAlignment="0" applyProtection="0"/>
    <xf numFmtId="0" fontId="65" fillId="0" borderId="51" applyNumberFormat="0" applyFill="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75" fillId="32" borderId="17" applyNumberFormat="0" applyAlignment="0" applyProtection="0"/>
    <xf numFmtId="0" fontId="78" fillId="0" borderId="32">
      <alignment horizontal="center"/>
    </xf>
    <xf numFmtId="0" fontId="58" fillId="0" borderId="19" applyNumberFormat="0" applyFill="0" applyAlignment="0" applyProtection="0"/>
    <xf numFmtId="0" fontId="75" fillId="32" borderId="17" applyNumberFormat="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8" fillId="0" borderId="32">
      <alignment horizontal="center"/>
    </xf>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65" fillId="0" borderId="51" applyNumberFormat="0" applyFill="0" applyAlignment="0" applyProtection="0"/>
    <xf numFmtId="0" fontId="65" fillId="0" borderId="51" applyNumberFormat="0" applyFill="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65" fillId="0" borderId="51" applyNumberFormat="0" applyFill="0" applyAlignment="0" applyProtection="0"/>
    <xf numFmtId="0" fontId="70" fillId="30" borderId="10" applyNumberFormat="0" applyAlignment="0" applyProtection="0"/>
    <xf numFmtId="0" fontId="4" fillId="31" borderId="79" applyNumberFormat="0" applyFont="0" applyAlignment="0" applyProtection="0"/>
    <xf numFmtId="0" fontId="75" fillId="32" borderId="17" applyNumberFormat="0" applyAlignment="0" applyProtection="0"/>
    <xf numFmtId="0" fontId="58" fillId="0" borderId="19" applyNumberFormat="0" applyFill="0" applyAlignment="0" applyProtection="0"/>
    <xf numFmtId="0" fontId="75" fillId="32" borderId="17" applyNumberFormat="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65" fillId="0" borderId="51" applyNumberFormat="0" applyFill="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65" fillId="0" borderId="51" applyNumberFormat="0" applyFill="0" applyAlignment="0" applyProtection="0"/>
    <xf numFmtId="0" fontId="65" fillId="0" borderId="51" applyNumberFormat="0" applyFill="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75" fillId="32" borderId="17" applyNumberFormat="0" applyAlignment="0" applyProtection="0"/>
    <xf numFmtId="0" fontId="78" fillId="0" borderId="32">
      <alignment horizontal="center"/>
    </xf>
    <xf numFmtId="0" fontId="58" fillId="0" borderId="19" applyNumberFormat="0" applyFill="0" applyAlignment="0" applyProtection="0"/>
    <xf numFmtId="0" fontId="75" fillId="32" borderId="17" applyNumberFormat="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8" fillId="0" borderId="32">
      <alignment horizontal="center"/>
    </xf>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65" fillId="0" borderId="51" applyNumberFormat="0" applyFill="0" applyAlignment="0" applyProtection="0"/>
    <xf numFmtId="0" fontId="65" fillId="0" borderId="51" applyNumberFormat="0" applyFill="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65" fillId="0" borderId="51" applyNumberFormat="0" applyFill="0" applyAlignment="0" applyProtection="0"/>
    <xf numFmtId="0" fontId="70" fillId="30" borderId="10" applyNumberFormat="0" applyAlignment="0" applyProtection="0"/>
    <xf numFmtId="0" fontId="4" fillId="31" borderId="79" applyNumberFormat="0" applyFont="0" applyAlignment="0" applyProtection="0"/>
    <xf numFmtId="0" fontId="75" fillId="32" borderId="17" applyNumberFormat="0" applyAlignment="0" applyProtection="0"/>
    <xf numFmtId="0" fontId="58" fillId="0" borderId="19" applyNumberFormat="0" applyFill="0" applyAlignment="0" applyProtection="0"/>
    <xf numFmtId="0" fontId="75" fillId="32" borderId="17" applyNumberFormat="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65" fillId="0" borderId="51" applyNumberFormat="0" applyFill="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65" fillId="0" borderId="51" applyNumberFormat="0" applyFill="0" applyAlignment="0" applyProtection="0"/>
    <xf numFmtId="0" fontId="65" fillId="0" borderId="51" applyNumberFormat="0" applyFill="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75" fillId="32" borderId="17" applyNumberFormat="0" applyAlignment="0" applyProtection="0"/>
    <xf numFmtId="0" fontId="78" fillId="0" borderId="32">
      <alignment horizontal="center"/>
    </xf>
    <xf numFmtId="0" fontId="58" fillId="0" borderId="19" applyNumberFormat="0" applyFill="0" applyAlignment="0" applyProtection="0"/>
    <xf numFmtId="0" fontId="75" fillId="32" borderId="17" applyNumberFormat="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8" fillId="0" borderId="32">
      <alignment horizontal="center"/>
    </xf>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135" fillId="0" borderId="0"/>
    <xf numFmtId="0" fontId="135" fillId="0" borderId="0"/>
    <xf numFmtId="0" fontId="22" fillId="39" borderId="0" applyNumberFormat="0" applyBorder="0" applyAlignment="0" applyProtection="0"/>
    <xf numFmtId="41" fontId="4" fillId="20" borderId="0" applyNumberFormat="0" applyFont="0" applyBorder="0" applyAlignment="0">
      <alignment horizontal="right"/>
    </xf>
    <xf numFmtId="41" fontId="4" fillId="20" borderId="0" applyNumberFormat="0" applyFont="0" applyBorder="0" applyAlignment="0">
      <alignment horizontal="right"/>
    </xf>
    <xf numFmtId="41" fontId="4" fillId="54" borderId="0" applyFont="0" applyBorder="0" applyAlignment="0">
      <alignment horizontal="right"/>
      <protection locked="0"/>
    </xf>
    <xf numFmtId="0" fontId="22" fillId="115" borderId="0" applyNumberFormat="0" applyBorder="0" applyAlignment="0" applyProtection="0"/>
    <xf numFmtId="0" fontId="22" fillId="117" borderId="0" applyNumberFormat="0" applyBorder="0" applyAlignment="0" applyProtection="0"/>
    <xf numFmtId="0" fontId="4" fillId="0" borderId="0"/>
    <xf numFmtId="0" fontId="22" fillId="35" borderId="0" applyNumberFormat="0" applyBorder="0" applyAlignment="0" applyProtection="0"/>
    <xf numFmtId="0" fontId="48" fillId="116" borderId="0" applyNumberFormat="0" applyBorder="0" applyAlignment="0" applyProtection="0"/>
    <xf numFmtId="43" fontId="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ont="0" applyFill="0" applyBorder="0" applyAlignment="0" applyProtection="0"/>
    <xf numFmtId="0" fontId="270" fillId="0" borderId="0" applyNumberFormat="0" applyFill="0" applyBorder="0" applyAlignment="0" applyProtection="0">
      <alignment vertical="top"/>
      <protection locked="0"/>
    </xf>
    <xf numFmtId="0" fontId="4" fillId="0" borderId="0" applyFont="0" applyFill="0" applyBorder="0" applyAlignment="0" applyProtection="0"/>
    <xf numFmtId="0" fontId="4" fillId="0" borderId="0"/>
    <xf numFmtId="0" fontId="47" fillId="0" borderId="0"/>
    <xf numFmtId="0" fontId="47" fillId="0" borderId="0"/>
    <xf numFmtId="0" fontId="47" fillId="0" borderId="0"/>
    <xf numFmtId="0" fontId="47" fillId="0" borderId="0"/>
    <xf numFmtId="0" fontId="47" fillId="0" borderId="0"/>
    <xf numFmtId="0" fontId="47" fillId="0" borderId="0"/>
    <xf numFmtId="0" fontId="46" fillId="0" borderId="0"/>
    <xf numFmtId="0" fontId="4" fillId="0" borderId="0"/>
    <xf numFmtId="0" fontId="4" fillId="0" borderId="0"/>
    <xf numFmtId="0" fontId="4" fillId="0" borderId="0"/>
    <xf numFmtId="0" fontId="4" fillId="0" borderId="0"/>
    <xf numFmtId="0" fontId="4" fillId="0" borderId="0"/>
    <xf numFmtId="252" fontId="27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 fillId="0" borderId="0"/>
    <xf numFmtId="0" fontId="4" fillId="0" borderId="0"/>
    <xf numFmtId="0" fontId="22" fillId="95" borderId="0" applyNumberFormat="0" applyBorder="0" applyAlignment="0" applyProtection="0"/>
    <xf numFmtId="0" fontId="22" fillId="95" borderId="0" applyNumberFormat="0" applyBorder="0" applyAlignment="0" applyProtection="0"/>
    <xf numFmtId="0" fontId="22" fillId="29" borderId="0" applyNumberFormat="0" applyBorder="0" applyAlignment="0" applyProtection="0"/>
    <xf numFmtId="0" fontId="22" fillId="95" borderId="0" applyNumberFormat="0" applyBorder="0" applyAlignment="0" applyProtection="0"/>
    <xf numFmtId="0" fontId="22" fillId="95" borderId="0" applyNumberFormat="0" applyBorder="0" applyAlignment="0" applyProtection="0"/>
    <xf numFmtId="0" fontId="22" fillId="95" borderId="0" applyNumberFormat="0" applyBorder="0" applyAlignment="0" applyProtection="0"/>
    <xf numFmtId="0" fontId="22" fillId="95" borderId="0" applyNumberFormat="0" applyBorder="0" applyAlignment="0" applyProtection="0"/>
    <xf numFmtId="0" fontId="22" fillId="95" borderId="0" applyNumberFormat="0" applyBorder="0" applyAlignment="0" applyProtection="0"/>
    <xf numFmtId="0" fontId="22" fillId="95" borderId="0" applyNumberFormat="0" applyBorder="0" applyAlignment="0" applyProtection="0"/>
    <xf numFmtId="0" fontId="22" fillId="95" borderId="0" applyNumberFormat="0" applyBorder="0" applyAlignment="0" applyProtection="0"/>
    <xf numFmtId="0" fontId="22" fillId="95"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30"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31"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96" borderId="0" applyNumberFormat="0" applyBorder="0" applyAlignment="0" applyProtection="0"/>
    <xf numFmtId="0" fontId="22" fillId="96" borderId="0" applyNumberFormat="0" applyBorder="0" applyAlignment="0" applyProtection="0"/>
    <xf numFmtId="0" fontId="22" fillId="32" borderId="0" applyNumberFormat="0" applyBorder="0" applyAlignment="0" applyProtection="0"/>
    <xf numFmtId="0" fontId="22" fillId="96" borderId="0" applyNumberFormat="0" applyBorder="0" applyAlignment="0" applyProtection="0"/>
    <xf numFmtId="0" fontId="22" fillId="96" borderId="0" applyNumberFormat="0" applyBorder="0" applyAlignment="0" applyProtection="0"/>
    <xf numFmtId="0" fontId="22" fillId="96" borderId="0" applyNumberFormat="0" applyBorder="0" applyAlignment="0" applyProtection="0"/>
    <xf numFmtId="0" fontId="22" fillId="96" borderId="0" applyNumberFormat="0" applyBorder="0" applyAlignment="0" applyProtection="0"/>
    <xf numFmtId="0" fontId="22" fillId="96" borderId="0" applyNumberFormat="0" applyBorder="0" applyAlignment="0" applyProtection="0"/>
    <xf numFmtId="0" fontId="22" fillId="96" borderId="0" applyNumberFormat="0" applyBorder="0" applyAlignment="0" applyProtection="0"/>
    <xf numFmtId="0" fontId="22" fillId="96" borderId="0" applyNumberFormat="0" applyBorder="0" applyAlignment="0" applyProtection="0"/>
    <xf numFmtId="0" fontId="22" fillId="96" borderId="0" applyNumberFormat="0" applyBorder="0" applyAlignment="0" applyProtection="0"/>
    <xf numFmtId="0" fontId="22" fillId="78" borderId="0" applyNumberFormat="0" applyBorder="0" applyAlignment="0" applyProtection="0"/>
    <xf numFmtId="0" fontId="22" fillId="78" borderId="0" applyNumberFormat="0" applyBorder="0" applyAlignment="0" applyProtection="0"/>
    <xf numFmtId="0" fontId="22" fillId="29" borderId="0" applyNumberFormat="0" applyBorder="0" applyAlignment="0" applyProtection="0"/>
    <xf numFmtId="0" fontId="22" fillId="78" borderId="0" applyNumberFormat="0" applyBorder="0" applyAlignment="0" applyProtection="0"/>
    <xf numFmtId="0" fontId="22" fillId="78" borderId="0" applyNumberFormat="0" applyBorder="0" applyAlignment="0" applyProtection="0"/>
    <xf numFmtId="0" fontId="22" fillId="78" borderId="0" applyNumberFormat="0" applyBorder="0" applyAlignment="0" applyProtection="0"/>
    <xf numFmtId="0" fontId="22" fillId="78" borderId="0" applyNumberFormat="0" applyBorder="0" applyAlignment="0" applyProtection="0"/>
    <xf numFmtId="0" fontId="22" fillId="78" borderId="0" applyNumberFormat="0" applyBorder="0" applyAlignment="0" applyProtection="0"/>
    <xf numFmtId="0" fontId="22" fillId="78" borderId="0" applyNumberFormat="0" applyBorder="0" applyAlignment="0" applyProtection="0"/>
    <xf numFmtId="0" fontId="22" fillId="78"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79" borderId="0" applyNumberFormat="0" applyBorder="0" applyAlignment="0" applyProtection="0"/>
    <xf numFmtId="0" fontId="22" fillId="79" borderId="0" applyNumberFormat="0" applyBorder="0" applyAlignment="0" applyProtection="0"/>
    <xf numFmtId="0" fontId="22" fillId="29" borderId="0" applyNumberFormat="0" applyBorder="0" applyAlignment="0" applyProtection="0"/>
    <xf numFmtId="0" fontId="22" fillId="79" borderId="0" applyNumberFormat="0" applyBorder="0" applyAlignment="0" applyProtection="0"/>
    <xf numFmtId="0" fontId="22" fillId="79" borderId="0" applyNumberFormat="0" applyBorder="0" applyAlignment="0" applyProtection="0"/>
    <xf numFmtId="0" fontId="22" fillId="79" borderId="0" applyNumberFormat="0" applyBorder="0" applyAlignment="0" applyProtection="0"/>
    <xf numFmtId="0" fontId="22" fillId="79" borderId="0" applyNumberFormat="0" applyBorder="0" applyAlignment="0" applyProtection="0"/>
    <xf numFmtId="0" fontId="22" fillId="79" borderId="0" applyNumberFormat="0" applyBorder="0" applyAlignment="0" applyProtection="0"/>
    <xf numFmtId="0" fontId="22" fillId="79" borderId="0" applyNumberFormat="0" applyBorder="0" applyAlignment="0" applyProtection="0"/>
    <xf numFmtId="0" fontId="22" fillId="79" borderId="0" applyNumberFormat="0" applyBorder="0" applyAlignment="0" applyProtection="0"/>
    <xf numFmtId="0" fontId="22" fillId="79" borderId="0" applyNumberFormat="0" applyBorder="0" applyAlignment="0" applyProtection="0"/>
    <xf numFmtId="0" fontId="22" fillId="97" borderId="0" applyNumberFormat="0" applyBorder="0" applyAlignment="0" applyProtection="0"/>
    <xf numFmtId="0" fontId="22" fillId="97" borderId="0" applyNumberFormat="0" applyBorder="0" applyAlignment="0" applyProtection="0"/>
    <xf numFmtId="0" fontId="22" fillId="30" borderId="0" applyNumberFormat="0" applyBorder="0" applyAlignment="0" applyProtection="0"/>
    <xf numFmtId="0" fontId="22" fillId="97" borderId="0" applyNumberFormat="0" applyBorder="0" applyAlignment="0" applyProtection="0"/>
    <xf numFmtId="0" fontId="22" fillId="97" borderId="0" applyNumberFormat="0" applyBorder="0" applyAlignment="0" applyProtection="0"/>
    <xf numFmtId="0" fontId="22" fillId="97" borderId="0" applyNumberFormat="0" applyBorder="0" applyAlignment="0" applyProtection="0"/>
    <xf numFmtId="0" fontId="22" fillId="97" borderId="0" applyNumberFormat="0" applyBorder="0" applyAlignment="0" applyProtection="0"/>
    <xf numFmtId="0" fontId="22" fillId="97" borderId="0" applyNumberFormat="0" applyBorder="0" applyAlignment="0" applyProtection="0"/>
    <xf numFmtId="0" fontId="22" fillId="97" borderId="0" applyNumberFormat="0" applyBorder="0" applyAlignment="0" applyProtection="0"/>
    <xf numFmtId="0" fontId="22" fillId="97" borderId="0" applyNumberFormat="0" applyBorder="0" applyAlignment="0" applyProtection="0"/>
    <xf numFmtId="0" fontId="22" fillId="97" borderId="0" applyNumberFormat="0" applyBorder="0" applyAlignment="0" applyProtection="0"/>
    <xf numFmtId="0" fontId="22" fillId="98" borderId="0" applyNumberFormat="0" applyBorder="0" applyAlignment="0" applyProtection="0"/>
    <xf numFmtId="0" fontId="22" fillId="98" borderId="0" applyNumberFormat="0" applyBorder="0" applyAlignment="0" applyProtection="0"/>
    <xf numFmtId="0" fontId="22" fillId="33" borderId="0" applyNumberFormat="0" applyBorder="0" applyAlignment="0" applyProtection="0"/>
    <xf numFmtId="0" fontId="22" fillId="98" borderId="0" applyNumberFormat="0" applyBorder="0" applyAlignment="0" applyProtection="0"/>
    <xf numFmtId="0" fontId="22" fillId="98" borderId="0" applyNumberFormat="0" applyBorder="0" applyAlignment="0" applyProtection="0"/>
    <xf numFmtId="0" fontId="22" fillId="98" borderId="0" applyNumberFormat="0" applyBorder="0" applyAlignment="0" applyProtection="0"/>
    <xf numFmtId="0" fontId="22" fillId="98" borderId="0" applyNumberFormat="0" applyBorder="0" applyAlignment="0" applyProtection="0"/>
    <xf numFmtId="0" fontId="22" fillId="98" borderId="0" applyNumberFormat="0" applyBorder="0" applyAlignment="0" applyProtection="0"/>
    <xf numFmtId="0" fontId="22" fillId="98" borderId="0" applyNumberFormat="0" applyBorder="0" applyAlignment="0" applyProtection="0"/>
    <xf numFmtId="0" fontId="22" fillId="98" borderId="0" applyNumberFormat="0" applyBorder="0" applyAlignment="0" applyProtection="0"/>
    <xf numFmtId="0" fontId="22" fillId="98" borderId="0" applyNumberFormat="0" applyBorder="0" applyAlignment="0" applyProtection="0"/>
    <xf numFmtId="0" fontId="22" fillId="96" borderId="0" applyNumberFormat="0" applyBorder="0" applyAlignment="0" applyProtection="0"/>
    <xf numFmtId="0" fontId="22" fillId="96" borderId="0" applyNumberFormat="0" applyBorder="0" applyAlignment="0" applyProtection="0"/>
    <xf numFmtId="0" fontId="22" fillId="34" borderId="0" applyNumberFormat="0" applyBorder="0" applyAlignment="0" applyProtection="0"/>
    <xf numFmtId="0" fontId="22" fillId="96" borderId="0" applyNumberFormat="0" applyBorder="0" applyAlignment="0" applyProtection="0"/>
    <xf numFmtId="0" fontId="22" fillId="96" borderId="0" applyNumberFormat="0" applyBorder="0" applyAlignment="0" applyProtection="0"/>
    <xf numFmtId="0" fontId="22" fillId="96" borderId="0" applyNumberFormat="0" applyBorder="0" applyAlignment="0" applyProtection="0"/>
    <xf numFmtId="0" fontId="22" fillId="96" borderId="0" applyNumberFormat="0" applyBorder="0" applyAlignment="0" applyProtection="0"/>
    <xf numFmtId="0" fontId="22" fillId="96" borderId="0" applyNumberFormat="0" applyBorder="0" applyAlignment="0" applyProtection="0"/>
    <xf numFmtId="0" fontId="22" fillId="96" borderId="0" applyNumberFormat="0" applyBorder="0" applyAlignment="0" applyProtection="0"/>
    <xf numFmtId="0" fontId="22" fillId="96" borderId="0" applyNumberFormat="0" applyBorder="0" applyAlignment="0" applyProtection="0"/>
    <xf numFmtId="0" fontId="22" fillId="96" borderId="0" applyNumberFormat="0" applyBorder="0" applyAlignment="0" applyProtection="0"/>
    <xf numFmtId="0" fontId="22" fillId="79" borderId="0" applyNumberFormat="0" applyBorder="0" applyAlignment="0" applyProtection="0"/>
    <xf numFmtId="0" fontId="22" fillId="79" borderId="0" applyNumberFormat="0" applyBorder="0" applyAlignment="0" applyProtection="0"/>
    <xf numFmtId="0" fontId="22" fillId="29" borderId="0" applyNumberFormat="0" applyBorder="0" applyAlignment="0" applyProtection="0"/>
    <xf numFmtId="0" fontId="22" fillId="79" borderId="0" applyNumberFormat="0" applyBorder="0" applyAlignment="0" applyProtection="0"/>
    <xf numFmtId="0" fontId="22" fillId="79" borderId="0" applyNumberFormat="0" applyBorder="0" applyAlignment="0" applyProtection="0"/>
    <xf numFmtId="0" fontId="22" fillId="79" borderId="0" applyNumberFormat="0" applyBorder="0" applyAlignment="0" applyProtection="0"/>
    <xf numFmtId="0" fontId="22" fillId="79" borderId="0" applyNumberFormat="0" applyBorder="0" applyAlignment="0" applyProtection="0"/>
    <xf numFmtId="0" fontId="22" fillId="79" borderId="0" applyNumberFormat="0" applyBorder="0" applyAlignment="0" applyProtection="0"/>
    <xf numFmtId="0" fontId="22" fillId="79" borderId="0" applyNumberFormat="0" applyBorder="0" applyAlignment="0" applyProtection="0"/>
    <xf numFmtId="0" fontId="22" fillId="79" borderId="0" applyNumberFormat="0" applyBorder="0" applyAlignment="0" applyProtection="0"/>
    <xf numFmtId="0" fontId="22" fillId="99" borderId="0" applyNumberFormat="0" applyBorder="0" applyAlignment="0" applyProtection="0"/>
    <xf numFmtId="0" fontId="22" fillId="99" borderId="0" applyNumberFormat="0" applyBorder="0" applyAlignment="0" applyProtection="0"/>
    <xf numFmtId="0" fontId="22" fillId="30" borderId="0" applyNumberFormat="0" applyBorder="0" applyAlignment="0" applyProtection="0"/>
    <xf numFmtId="0" fontId="22" fillId="99" borderId="0" applyNumberFormat="0" applyBorder="0" applyAlignment="0" applyProtection="0"/>
    <xf numFmtId="0" fontId="22" fillId="99" borderId="0" applyNumberFormat="0" applyBorder="0" applyAlignment="0" applyProtection="0"/>
    <xf numFmtId="0" fontId="22" fillId="99" borderId="0" applyNumberFormat="0" applyBorder="0" applyAlignment="0" applyProtection="0"/>
    <xf numFmtId="0" fontId="22" fillId="99" borderId="0" applyNumberFormat="0" applyBorder="0" applyAlignment="0" applyProtection="0"/>
    <xf numFmtId="0" fontId="22" fillId="99" borderId="0" applyNumberFormat="0" applyBorder="0" applyAlignment="0" applyProtection="0"/>
    <xf numFmtId="0" fontId="22" fillId="99" borderId="0" applyNumberFormat="0" applyBorder="0" applyAlignment="0" applyProtection="0"/>
    <xf numFmtId="0" fontId="22" fillId="99" borderId="0" applyNumberFormat="0" applyBorder="0" applyAlignment="0" applyProtection="0"/>
    <xf numFmtId="0" fontId="22" fillId="99" borderId="0" applyNumberFormat="0" applyBorder="0" applyAlignment="0" applyProtection="0"/>
    <xf numFmtId="0" fontId="48" fillId="100" borderId="0" applyNumberFormat="0" applyBorder="0" applyAlignment="0" applyProtection="0"/>
    <xf numFmtId="0" fontId="48" fillId="100" borderId="0" applyNumberFormat="0" applyBorder="0" applyAlignment="0" applyProtection="0"/>
    <xf numFmtId="0" fontId="48" fillId="29" borderId="0" applyNumberFormat="0" applyBorder="0" applyAlignment="0" applyProtection="0"/>
    <xf numFmtId="0" fontId="48" fillId="100" borderId="0" applyNumberFormat="0" applyBorder="0" applyAlignment="0" applyProtection="0"/>
    <xf numFmtId="0" fontId="48" fillId="100" borderId="0" applyNumberFormat="0" applyBorder="0" applyAlignment="0" applyProtection="0"/>
    <xf numFmtId="0" fontId="48" fillId="100" borderId="0" applyNumberFormat="0" applyBorder="0" applyAlignment="0" applyProtection="0"/>
    <xf numFmtId="0" fontId="48" fillId="100" borderId="0" applyNumberFormat="0" applyBorder="0" applyAlignment="0" applyProtection="0"/>
    <xf numFmtId="0" fontId="48" fillId="100" borderId="0" applyNumberFormat="0" applyBorder="0" applyAlignment="0" applyProtection="0"/>
    <xf numFmtId="0" fontId="48" fillId="100" borderId="0" applyNumberFormat="0" applyBorder="0" applyAlignment="0" applyProtection="0"/>
    <xf numFmtId="0" fontId="48" fillId="100" borderId="0" applyNumberFormat="0" applyBorder="0" applyAlignment="0" applyProtection="0"/>
    <xf numFmtId="0" fontId="48" fillId="100" borderId="0" applyNumberFormat="0" applyBorder="0" applyAlignment="0" applyProtection="0"/>
    <xf numFmtId="0" fontId="48" fillId="97" borderId="0" applyNumberFormat="0" applyBorder="0" applyAlignment="0" applyProtection="0"/>
    <xf numFmtId="0" fontId="48" fillId="97" borderId="0" applyNumberFormat="0" applyBorder="0" applyAlignment="0" applyProtection="0"/>
    <xf numFmtId="0" fontId="48" fillId="30" borderId="0" applyNumberFormat="0" applyBorder="0" applyAlignment="0" applyProtection="0"/>
    <xf numFmtId="0" fontId="48" fillId="97" borderId="0" applyNumberFormat="0" applyBorder="0" applyAlignment="0" applyProtection="0"/>
    <xf numFmtId="0" fontId="48" fillId="97" borderId="0" applyNumberFormat="0" applyBorder="0" applyAlignment="0" applyProtection="0"/>
    <xf numFmtId="0" fontId="48" fillId="97" borderId="0" applyNumberFormat="0" applyBorder="0" applyAlignment="0" applyProtection="0"/>
    <xf numFmtId="0" fontId="48" fillId="97" borderId="0" applyNumberFormat="0" applyBorder="0" applyAlignment="0" applyProtection="0"/>
    <xf numFmtId="0" fontId="48" fillId="97" borderId="0" applyNumberFormat="0" applyBorder="0" applyAlignment="0" applyProtection="0"/>
    <xf numFmtId="0" fontId="48" fillId="97" borderId="0" applyNumberFormat="0" applyBorder="0" applyAlignment="0" applyProtection="0"/>
    <xf numFmtId="0" fontId="48" fillId="97" borderId="0" applyNumberFormat="0" applyBorder="0" applyAlignment="0" applyProtection="0"/>
    <xf numFmtId="0" fontId="48" fillId="97" borderId="0" applyNumberFormat="0" applyBorder="0" applyAlignment="0" applyProtection="0"/>
    <xf numFmtId="0" fontId="48" fillId="98" borderId="0" applyNumberFormat="0" applyBorder="0" applyAlignment="0" applyProtection="0"/>
    <xf numFmtId="0" fontId="48" fillId="98" borderId="0" applyNumberFormat="0" applyBorder="0" applyAlignment="0" applyProtection="0"/>
    <xf numFmtId="0" fontId="48" fillId="33" borderId="0" applyNumberFormat="0" applyBorder="0" applyAlignment="0" applyProtection="0"/>
    <xf numFmtId="0" fontId="48" fillId="98" borderId="0" applyNumberFormat="0" applyBorder="0" applyAlignment="0" applyProtection="0"/>
    <xf numFmtId="0" fontId="48" fillId="98" borderId="0" applyNumberFormat="0" applyBorder="0" applyAlignment="0" applyProtection="0"/>
    <xf numFmtId="0" fontId="48" fillId="98" borderId="0" applyNumberFormat="0" applyBorder="0" applyAlignment="0" applyProtection="0"/>
    <xf numFmtId="0" fontId="48" fillId="98" borderId="0" applyNumberFormat="0" applyBorder="0" applyAlignment="0" applyProtection="0"/>
    <xf numFmtId="0" fontId="48" fillId="98" borderId="0" applyNumberFormat="0" applyBorder="0" applyAlignment="0" applyProtection="0"/>
    <xf numFmtId="0" fontId="48" fillId="98" borderId="0" applyNumberFormat="0" applyBorder="0" applyAlignment="0" applyProtection="0"/>
    <xf numFmtId="0" fontId="48" fillId="98" borderId="0" applyNumberFormat="0" applyBorder="0" applyAlignment="0" applyProtection="0"/>
    <xf numFmtId="0" fontId="48" fillId="98" borderId="0" applyNumberFormat="0" applyBorder="0" applyAlignment="0" applyProtection="0"/>
    <xf numFmtId="0" fontId="48" fillId="101" borderId="0" applyNumberFormat="0" applyBorder="0" applyAlignment="0" applyProtection="0"/>
    <xf numFmtId="0" fontId="48" fillId="101" borderId="0" applyNumberFormat="0" applyBorder="0" applyAlignment="0" applyProtection="0"/>
    <xf numFmtId="0" fontId="48" fillId="34" borderId="0" applyNumberFormat="0" applyBorder="0" applyAlignment="0" applyProtection="0"/>
    <xf numFmtId="0" fontId="48" fillId="101" borderId="0" applyNumberFormat="0" applyBorder="0" applyAlignment="0" applyProtection="0"/>
    <xf numFmtId="0" fontId="48" fillId="101" borderId="0" applyNumberFormat="0" applyBorder="0" applyAlignment="0" applyProtection="0"/>
    <xf numFmtId="0" fontId="48" fillId="101" borderId="0" applyNumberFormat="0" applyBorder="0" applyAlignment="0" applyProtection="0"/>
    <xf numFmtId="0" fontId="48" fillId="101" borderId="0" applyNumberFormat="0" applyBorder="0" applyAlignment="0" applyProtection="0"/>
    <xf numFmtId="0" fontId="48" fillId="101" borderId="0" applyNumberFormat="0" applyBorder="0" applyAlignment="0" applyProtection="0"/>
    <xf numFmtId="0" fontId="48" fillId="101" borderId="0" applyNumberFormat="0" applyBorder="0" applyAlignment="0" applyProtection="0"/>
    <xf numFmtId="0" fontId="48" fillId="101" borderId="0" applyNumberFormat="0" applyBorder="0" applyAlignment="0" applyProtection="0"/>
    <xf numFmtId="0" fontId="48" fillId="101"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29"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102" borderId="0" applyNumberFormat="0" applyBorder="0" applyAlignment="0" applyProtection="0"/>
    <xf numFmtId="0" fontId="48" fillId="102" borderId="0" applyNumberFormat="0" applyBorder="0" applyAlignment="0" applyProtection="0"/>
    <xf numFmtId="0" fontId="48" fillId="30" borderId="0" applyNumberFormat="0" applyBorder="0" applyAlignment="0" applyProtection="0"/>
    <xf numFmtId="0" fontId="48" fillId="102" borderId="0" applyNumberFormat="0" applyBorder="0" applyAlignment="0" applyProtection="0"/>
    <xf numFmtId="0" fontId="48" fillId="102" borderId="0" applyNumberFormat="0" applyBorder="0" applyAlignment="0" applyProtection="0"/>
    <xf numFmtId="0" fontId="48" fillId="102" borderId="0" applyNumberFormat="0" applyBorder="0" applyAlignment="0" applyProtection="0"/>
    <xf numFmtId="0" fontId="48" fillId="102" borderId="0" applyNumberFormat="0" applyBorder="0" applyAlignment="0" applyProtection="0"/>
    <xf numFmtId="0" fontId="48" fillId="102" borderId="0" applyNumberFormat="0" applyBorder="0" applyAlignment="0" applyProtection="0"/>
    <xf numFmtId="0" fontId="48" fillId="102" borderId="0" applyNumberFormat="0" applyBorder="0" applyAlignment="0" applyProtection="0"/>
    <xf numFmtId="0" fontId="48" fillId="102" borderId="0" applyNumberFormat="0" applyBorder="0" applyAlignment="0" applyProtection="0"/>
    <xf numFmtId="0" fontId="48" fillId="102" borderId="0" applyNumberFormat="0" applyBorder="0" applyAlignment="0" applyProtection="0"/>
    <xf numFmtId="252" fontId="271" fillId="0" borderId="0"/>
    <xf numFmtId="190" fontId="3" fillId="20" borderId="0" applyFont="0" applyBorder="0"/>
    <xf numFmtId="0" fontId="272" fillId="103" borderId="0"/>
    <xf numFmtId="190" fontId="3" fillId="104" borderId="0" applyNumberFormat="0" applyFont="0" applyBorder="0" applyAlignment="0" applyProtection="0"/>
    <xf numFmtId="190" fontId="271" fillId="55" borderId="0" applyNumberFormat="0" applyFont="0" applyBorder="0" applyAlignment="0" applyProtection="0"/>
    <xf numFmtId="190" fontId="37" fillId="105" borderId="0" applyBorder="0"/>
    <xf numFmtId="190" fontId="37" fillId="105" borderId="0" applyBorder="0"/>
    <xf numFmtId="190" fontId="37" fillId="105" borderId="0" applyBorder="0"/>
    <xf numFmtId="190" fontId="37" fillId="105" borderId="0" applyBorder="0"/>
    <xf numFmtId="190" fontId="37" fillId="105" borderId="0" applyBorder="0"/>
    <xf numFmtId="190" fontId="37" fillId="105" borderId="0" applyBorder="0"/>
    <xf numFmtId="190" fontId="37" fillId="105" borderId="0" applyBorder="0"/>
    <xf numFmtId="190" fontId="37" fillId="105" borderId="0" applyBorder="0"/>
    <xf numFmtId="190" fontId="37" fillId="105" borderId="0" applyBorder="0"/>
    <xf numFmtId="190" fontId="37" fillId="105" borderId="0" applyBorder="0"/>
    <xf numFmtId="190" fontId="37" fillId="105" borderId="0" applyBorder="0"/>
    <xf numFmtId="190" fontId="37" fillId="105" borderId="0" applyBorder="0"/>
    <xf numFmtId="190" fontId="37" fillId="105" borderId="0" applyBorder="0"/>
    <xf numFmtId="190" fontId="37" fillId="105" borderId="0" applyBorder="0"/>
    <xf numFmtId="190" fontId="37" fillId="105" borderId="0" applyBorder="0"/>
    <xf numFmtId="0" fontId="4" fillId="27" borderId="34" applyBorder="0" applyAlignment="0">
      <protection locked="0"/>
    </xf>
    <xf numFmtId="182" fontId="273" fillId="0" borderId="0" applyBorder="0">
      <alignment horizontal="right"/>
    </xf>
    <xf numFmtId="182" fontId="37" fillId="0" borderId="34" applyBorder="0">
      <alignment horizontal="right"/>
    </xf>
    <xf numFmtId="182" fontId="37" fillId="0" borderId="34" applyBorder="0">
      <alignment horizontal="right"/>
    </xf>
    <xf numFmtId="182" fontId="37" fillId="0" borderId="34" applyBorder="0">
      <alignment horizontal="right"/>
    </xf>
    <xf numFmtId="182" fontId="37" fillId="0" borderId="34" applyBorder="0">
      <alignment horizontal="right"/>
    </xf>
    <xf numFmtId="182" fontId="37" fillId="0" borderId="34" applyBorder="0">
      <alignment horizontal="right"/>
    </xf>
    <xf numFmtId="182" fontId="37" fillId="0" borderId="34" applyBorder="0">
      <alignment horizontal="right"/>
    </xf>
    <xf numFmtId="182" fontId="37" fillId="0" borderId="34" applyBorder="0">
      <alignment horizontal="right"/>
    </xf>
    <xf numFmtId="182" fontId="37" fillId="0" borderId="34" applyBorder="0">
      <alignment horizontal="right"/>
    </xf>
    <xf numFmtId="182" fontId="37" fillId="0" borderId="34" applyBorder="0">
      <alignment horizontal="right"/>
    </xf>
    <xf numFmtId="182" fontId="37" fillId="0" borderId="34" applyBorder="0">
      <alignment horizontal="right"/>
    </xf>
    <xf numFmtId="182" fontId="37" fillId="0" borderId="34" applyBorder="0">
      <alignment horizontal="right"/>
    </xf>
    <xf numFmtId="182" fontId="37" fillId="0" borderId="34" applyBorder="0">
      <alignment horizontal="right"/>
    </xf>
    <xf numFmtId="182" fontId="37" fillId="0" borderId="34" applyBorder="0">
      <alignment horizontal="right"/>
    </xf>
    <xf numFmtId="182" fontId="37" fillId="0" borderId="34" applyBorder="0">
      <alignment horizontal="right"/>
    </xf>
    <xf numFmtId="182" fontId="37" fillId="0" borderId="34" applyBorder="0">
      <alignment horizontal="right"/>
    </xf>
    <xf numFmtId="190" fontId="4" fillId="0" borderId="34" applyNumberFormat="0" applyBorder="0" applyAlignment="0" applyProtection="0"/>
    <xf numFmtId="190" fontId="4" fillId="0" borderId="34" applyNumberFormat="0" applyBorder="0" applyAlignment="0" applyProtection="0"/>
    <xf numFmtId="190" fontId="4" fillId="0" borderId="34" applyNumberFormat="0" applyBorder="0" applyAlignment="0" applyProtection="0"/>
    <xf numFmtId="190" fontId="4" fillId="0" borderId="34" applyNumberFormat="0" applyBorder="0" applyAlignment="0" applyProtection="0"/>
    <xf numFmtId="190" fontId="4" fillId="0" borderId="34" applyNumberFormat="0" applyBorder="0" applyAlignment="0" applyProtection="0"/>
    <xf numFmtId="190" fontId="4" fillId="0" borderId="34" applyNumberFormat="0" applyBorder="0" applyAlignment="0" applyProtection="0"/>
    <xf numFmtId="190" fontId="4" fillId="0" borderId="34" applyNumberFormat="0" applyBorder="0" applyAlignment="0" applyProtection="0"/>
    <xf numFmtId="190" fontId="4" fillId="0" borderId="34" applyNumberFormat="0" applyBorder="0" applyAlignment="0" applyProtection="0"/>
    <xf numFmtId="190" fontId="4" fillId="0" borderId="34" applyNumberFormat="0" applyBorder="0" applyAlignment="0" applyProtection="0"/>
    <xf numFmtId="190" fontId="4" fillId="0" borderId="34" applyNumberFormat="0" applyBorder="0" applyAlignment="0" applyProtection="0"/>
    <xf numFmtId="190" fontId="4" fillId="0" borderId="34" applyNumberFormat="0" applyBorder="0" applyAlignment="0" applyProtection="0"/>
    <xf numFmtId="190" fontId="4" fillId="0" borderId="34" applyNumberFormat="0" applyBorder="0" applyAlignment="0" applyProtection="0"/>
    <xf numFmtId="190" fontId="4" fillId="0" borderId="34" applyNumberFormat="0" applyBorder="0" applyAlignment="0" applyProtection="0"/>
    <xf numFmtId="190" fontId="4" fillId="0" borderId="34" applyNumberFormat="0" applyBorder="0" applyAlignment="0" applyProtection="0"/>
    <xf numFmtId="183" fontId="274" fillId="0" borderId="0" applyBorder="0">
      <alignment horizontal="right"/>
    </xf>
    <xf numFmtId="183" fontId="275" fillId="0" borderId="34" applyBorder="0">
      <alignment horizontal="right"/>
    </xf>
    <xf numFmtId="190" fontId="276" fillId="0" borderId="0">
      <alignment horizontal="left" indent="1"/>
    </xf>
    <xf numFmtId="190" fontId="129" fillId="0" borderId="36" applyBorder="0"/>
    <xf numFmtId="190" fontId="3" fillId="15" borderId="34" applyNumberFormat="0" applyFont="0" applyBorder="0" applyAlignment="0" applyProtection="0"/>
    <xf numFmtId="182" fontId="26" fillId="94" borderId="36" applyBorder="0">
      <alignment horizontal="right"/>
    </xf>
    <xf numFmtId="182" fontId="26" fillId="0" borderId="36" applyBorder="0">
      <alignment horizontal="right"/>
    </xf>
    <xf numFmtId="190" fontId="21" fillId="0" borderId="34" applyNumberFormat="0" applyBorder="0" applyAlignment="0" applyProtection="0"/>
    <xf numFmtId="0" fontId="26" fillId="20" borderId="100" applyBorder="0">
      <alignment horizontal="center"/>
    </xf>
    <xf numFmtId="0" fontId="48" fillId="106" borderId="0" applyNumberFormat="0" applyBorder="0" applyAlignment="0" applyProtection="0"/>
    <xf numFmtId="0" fontId="48" fillId="106" borderId="0" applyNumberFormat="0" applyBorder="0" applyAlignment="0" applyProtection="0"/>
    <xf numFmtId="0" fontId="48" fillId="37" borderId="0" applyNumberFormat="0" applyBorder="0" applyAlignment="0" applyProtection="0"/>
    <xf numFmtId="0" fontId="48" fillId="106" borderId="0" applyNumberFormat="0" applyBorder="0" applyAlignment="0" applyProtection="0"/>
    <xf numFmtId="0" fontId="48" fillId="106" borderId="0" applyNumberFormat="0" applyBorder="0" applyAlignment="0" applyProtection="0"/>
    <xf numFmtId="0" fontId="48" fillId="106" borderId="0" applyNumberFormat="0" applyBorder="0" applyAlignment="0" applyProtection="0"/>
    <xf numFmtId="0" fontId="48" fillId="106" borderId="0" applyNumberFormat="0" applyBorder="0" applyAlignment="0" applyProtection="0"/>
    <xf numFmtId="0" fontId="48" fillId="106" borderId="0" applyNumberFormat="0" applyBorder="0" applyAlignment="0" applyProtection="0"/>
    <xf numFmtId="0" fontId="48" fillId="106" borderId="0" applyNumberFormat="0" applyBorder="0" applyAlignment="0" applyProtection="0"/>
    <xf numFmtId="0" fontId="48" fillId="106" borderId="0" applyNumberFormat="0" applyBorder="0" applyAlignment="0" applyProtection="0"/>
    <xf numFmtId="0" fontId="48" fillId="106"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101" borderId="0" applyNumberFormat="0" applyBorder="0" applyAlignment="0" applyProtection="0"/>
    <xf numFmtId="0" fontId="48" fillId="101" borderId="0" applyNumberFormat="0" applyBorder="0" applyAlignment="0" applyProtection="0"/>
    <xf numFmtId="0" fontId="48" fillId="44" borderId="0" applyNumberFormat="0" applyBorder="0" applyAlignment="0" applyProtection="0"/>
    <xf numFmtId="0" fontId="48" fillId="101" borderId="0" applyNumberFormat="0" applyBorder="0" applyAlignment="0" applyProtection="0"/>
    <xf numFmtId="0" fontId="48" fillId="101" borderId="0" applyNumberFormat="0" applyBorder="0" applyAlignment="0" applyProtection="0"/>
    <xf numFmtId="0" fontId="48" fillId="101" borderId="0" applyNumberFormat="0" applyBorder="0" applyAlignment="0" applyProtection="0"/>
    <xf numFmtId="0" fontId="48" fillId="101" borderId="0" applyNumberFormat="0" applyBorder="0" applyAlignment="0" applyProtection="0"/>
    <xf numFmtId="0" fontId="48" fillId="101" borderId="0" applyNumberFormat="0" applyBorder="0" applyAlignment="0" applyProtection="0"/>
    <xf numFmtId="0" fontId="48" fillId="101" borderId="0" applyNumberFormat="0" applyBorder="0" applyAlignment="0" applyProtection="0"/>
    <xf numFmtId="0" fontId="48" fillId="101" borderId="0" applyNumberFormat="0" applyBorder="0" applyAlignment="0" applyProtection="0"/>
    <xf numFmtId="0" fontId="48" fillId="101"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 fillId="0" borderId="0" applyFill="0" applyBorder="0" applyProtection="0">
      <protection locked="0"/>
    </xf>
    <xf numFmtId="3" fontId="151" fillId="21" borderId="79">
      <alignment horizontal="right"/>
    </xf>
    <xf numFmtId="9" fontId="4" fillId="21" borderId="48"/>
    <xf numFmtId="9" fontId="151" fillId="21" borderId="79"/>
    <xf numFmtId="15" fontId="277" fillId="23" borderId="28"/>
    <xf numFmtId="3" fontId="278" fillId="107" borderId="35" applyNumberFormat="0" applyBorder="0" applyAlignment="0">
      <alignment vertical="center"/>
    </xf>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284" fontId="4" fillId="0" borderId="0" applyFont="0" applyFill="0" applyBorder="0" applyAlignment="0" applyProtection="0"/>
    <xf numFmtId="0" fontId="133" fillId="0" borderId="32" applyNumberFormat="0" applyFont="0" applyFill="0" applyAlignment="0" applyProtection="0"/>
    <xf numFmtId="271" fontId="4" fillId="54" borderId="101" applyNumberFormat="0">
      <alignment vertical="center"/>
    </xf>
    <xf numFmtId="285" fontId="4" fillId="21" borderId="101" applyNumberFormat="0">
      <alignment vertical="center"/>
    </xf>
    <xf numFmtId="1" fontId="4" fillId="108" borderId="101" applyNumberFormat="0">
      <alignment vertical="center"/>
    </xf>
    <xf numFmtId="271" fontId="4" fillId="108" borderId="101" applyNumberFormat="0">
      <alignment vertical="center"/>
    </xf>
    <xf numFmtId="271" fontId="4" fillId="20" borderId="101" applyNumberFormat="0">
      <alignment vertical="center"/>
    </xf>
    <xf numFmtId="3" fontId="4" fillId="0" borderId="101" applyNumberFormat="0">
      <alignment vertical="center"/>
    </xf>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0" fontId="272" fillId="0" borderId="0" applyFill="0" applyBorder="0" applyAlignment="0"/>
    <xf numFmtId="0" fontId="272" fillId="0" borderId="0" applyFill="0" applyBorder="0" applyAlignment="0"/>
    <xf numFmtId="0" fontId="272" fillId="0" borderId="0" applyFill="0" applyBorder="0" applyAlignment="0"/>
    <xf numFmtId="0" fontId="272" fillId="0" borderId="0" applyFill="0" applyBorder="0" applyAlignment="0"/>
    <xf numFmtId="0" fontId="272" fillId="0" borderId="0" applyFill="0" applyBorder="0" applyAlignment="0"/>
    <xf numFmtId="0" fontId="272" fillId="0" borderId="0" applyFill="0" applyBorder="0" applyAlignment="0"/>
    <xf numFmtId="0" fontId="272" fillId="0" borderId="0" applyFill="0" applyBorder="0" applyAlignment="0"/>
    <xf numFmtId="0" fontId="272" fillId="0" borderId="0" applyFill="0" applyBorder="0" applyAlignment="0"/>
    <xf numFmtId="0" fontId="272" fillId="0" borderId="0" applyFill="0" applyBorder="0" applyAlignment="0"/>
    <xf numFmtId="0" fontId="272" fillId="0" borderId="0" applyFill="0" applyBorder="0" applyAlignment="0"/>
    <xf numFmtId="0" fontId="272" fillId="0" borderId="0" applyFill="0" applyBorder="0" applyAlignment="0"/>
    <xf numFmtId="0" fontId="272" fillId="0" borderId="0" applyFill="0" applyBorder="0" applyAlignment="0"/>
    <xf numFmtId="0" fontId="272" fillId="0" borderId="0" applyFill="0" applyBorder="0" applyAlignment="0"/>
    <xf numFmtId="0" fontId="272" fillId="0" borderId="0" applyFill="0" applyBorder="0" applyAlignment="0"/>
    <xf numFmtId="0" fontId="272" fillId="0" borderId="0" applyFill="0" applyBorder="0" applyAlignment="0"/>
    <xf numFmtId="0" fontId="272" fillId="0" borderId="0" applyFill="0" applyBorder="0" applyAlignment="0"/>
    <xf numFmtId="0" fontId="272" fillId="0" borderId="0" applyFill="0" applyBorder="0" applyAlignment="0"/>
    <xf numFmtId="0" fontId="272" fillId="0" borderId="0" applyFill="0" applyBorder="0" applyAlignment="0"/>
    <xf numFmtId="0" fontId="272" fillId="0" borderId="0" applyFill="0" applyBorder="0" applyAlignment="0"/>
    <xf numFmtId="0" fontId="272" fillId="0" borderId="0" applyFill="0" applyBorder="0" applyAlignment="0"/>
    <xf numFmtId="0" fontId="272" fillId="0" borderId="0" applyFill="0" applyBorder="0" applyAlignment="0"/>
    <xf numFmtId="0" fontId="272" fillId="0" borderId="0" applyFill="0" applyBorder="0" applyAlignment="0"/>
    <xf numFmtId="0" fontId="272" fillId="0" borderId="0" applyFill="0" applyBorder="0" applyAlignment="0"/>
    <xf numFmtId="0" fontId="272" fillId="0" borderId="0" applyFill="0" applyBorder="0" applyAlignment="0"/>
    <xf numFmtId="0" fontId="272" fillId="0" borderId="0" applyFill="0" applyBorder="0" applyAlignment="0"/>
    <xf numFmtId="0" fontId="272" fillId="0" borderId="0" applyFill="0" applyBorder="0" applyAlignment="0"/>
    <xf numFmtId="0" fontId="272" fillId="0" borderId="0" applyFill="0" applyBorder="0" applyAlignment="0"/>
    <xf numFmtId="0" fontId="272" fillId="0" borderId="0" applyFill="0" applyBorder="0" applyAlignment="0"/>
    <xf numFmtId="287" fontId="272" fillId="0" borderId="0" applyFill="0" applyBorder="0" applyAlignment="0"/>
    <xf numFmtId="287" fontId="272" fillId="0" borderId="0" applyFill="0" applyBorder="0" applyAlignment="0"/>
    <xf numFmtId="287" fontId="272" fillId="0" borderId="0" applyFill="0" applyBorder="0" applyAlignment="0"/>
    <xf numFmtId="287" fontId="272" fillId="0" borderId="0" applyFill="0" applyBorder="0" applyAlignment="0"/>
    <xf numFmtId="287" fontId="272" fillId="0" borderId="0" applyFill="0" applyBorder="0" applyAlignment="0"/>
    <xf numFmtId="287" fontId="272" fillId="0" borderId="0" applyFill="0" applyBorder="0" applyAlignment="0"/>
    <xf numFmtId="287" fontId="272" fillId="0" borderId="0" applyFill="0" applyBorder="0" applyAlignment="0"/>
    <xf numFmtId="287" fontId="272" fillId="0" borderId="0" applyFill="0" applyBorder="0" applyAlignment="0"/>
    <xf numFmtId="287" fontId="272" fillId="0" borderId="0" applyFill="0" applyBorder="0" applyAlignment="0"/>
    <xf numFmtId="287" fontId="272" fillId="0" borderId="0" applyFill="0" applyBorder="0" applyAlignment="0"/>
    <xf numFmtId="287" fontId="272" fillId="0" borderId="0" applyFill="0" applyBorder="0" applyAlignment="0"/>
    <xf numFmtId="287" fontId="272" fillId="0" borderId="0" applyFill="0" applyBorder="0" applyAlignment="0"/>
    <xf numFmtId="287" fontId="272" fillId="0" borderId="0" applyFill="0" applyBorder="0" applyAlignment="0"/>
    <xf numFmtId="287" fontId="272" fillId="0" borderId="0" applyFill="0" applyBorder="0" applyAlignment="0"/>
    <xf numFmtId="287" fontId="272" fillId="0" borderId="0" applyFill="0" applyBorder="0" applyAlignment="0"/>
    <xf numFmtId="287" fontId="272" fillId="0" borderId="0" applyFill="0" applyBorder="0" applyAlignment="0"/>
    <xf numFmtId="287" fontId="272" fillId="0" borderId="0" applyFill="0" applyBorder="0" applyAlignment="0"/>
    <xf numFmtId="287" fontId="272" fillId="0" borderId="0" applyFill="0" applyBorder="0" applyAlignment="0"/>
    <xf numFmtId="287" fontId="272" fillId="0" borderId="0" applyFill="0" applyBorder="0" applyAlignment="0"/>
    <xf numFmtId="287" fontId="272" fillId="0" borderId="0" applyFill="0" applyBorder="0" applyAlignment="0"/>
    <xf numFmtId="287" fontId="272" fillId="0" borderId="0" applyFill="0" applyBorder="0" applyAlignment="0"/>
    <xf numFmtId="287" fontId="272" fillId="0" borderId="0" applyFill="0" applyBorder="0" applyAlignment="0"/>
    <xf numFmtId="287" fontId="272" fillId="0" borderId="0" applyFill="0" applyBorder="0" applyAlignment="0"/>
    <xf numFmtId="287" fontId="272" fillId="0" borderId="0" applyFill="0" applyBorder="0" applyAlignment="0"/>
    <xf numFmtId="287" fontId="272" fillId="0" borderId="0" applyFill="0" applyBorder="0" applyAlignment="0"/>
    <xf numFmtId="287" fontId="272" fillId="0" borderId="0" applyFill="0" applyBorder="0" applyAlignment="0"/>
    <xf numFmtId="287" fontId="272" fillId="0" borderId="0" applyFill="0" applyBorder="0" applyAlignment="0"/>
    <xf numFmtId="287" fontId="272" fillId="0" borderId="0" applyFill="0" applyBorder="0" applyAlignment="0"/>
    <xf numFmtId="288" fontId="272" fillId="0" borderId="0" applyFill="0" applyBorder="0" applyAlignment="0"/>
    <xf numFmtId="288" fontId="272" fillId="0" borderId="0" applyFill="0" applyBorder="0" applyAlignment="0"/>
    <xf numFmtId="288" fontId="272" fillId="0" borderId="0" applyFill="0" applyBorder="0" applyAlignment="0"/>
    <xf numFmtId="288" fontId="272" fillId="0" borderId="0" applyFill="0" applyBorder="0" applyAlignment="0"/>
    <xf numFmtId="288" fontId="272" fillId="0" borderId="0" applyFill="0" applyBorder="0" applyAlignment="0"/>
    <xf numFmtId="288" fontId="272" fillId="0" borderId="0" applyFill="0" applyBorder="0" applyAlignment="0"/>
    <xf numFmtId="288" fontId="272" fillId="0" borderId="0" applyFill="0" applyBorder="0" applyAlignment="0"/>
    <xf numFmtId="288" fontId="272" fillId="0" borderId="0" applyFill="0" applyBorder="0" applyAlignment="0"/>
    <xf numFmtId="288" fontId="272" fillId="0" borderId="0" applyFill="0" applyBorder="0" applyAlignment="0"/>
    <xf numFmtId="288" fontId="272" fillId="0" borderId="0" applyFill="0" applyBorder="0" applyAlignment="0"/>
    <xf numFmtId="288" fontId="272" fillId="0" borderId="0" applyFill="0" applyBorder="0" applyAlignment="0"/>
    <xf numFmtId="288" fontId="272" fillId="0" borderId="0" applyFill="0" applyBorder="0" applyAlignment="0"/>
    <xf numFmtId="288" fontId="272" fillId="0" borderId="0" applyFill="0" applyBorder="0" applyAlignment="0"/>
    <xf numFmtId="288" fontId="272" fillId="0" borderId="0" applyFill="0" applyBorder="0" applyAlignment="0"/>
    <xf numFmtId="288" fontId="272" fillId="0" borderId="0" applyFill="0" applyBorder="0" applyAlignment="0"/>
    <xf numFmtId="288" fontId="272" fillId="0" borderId="0" applyFill="0" applyBorder="0" applyAlignment="0"/>
    <xf numFmtId="288" fontId="272" fillId="0" borderId="0" applyFill="0" applyBorder="0" applyAlignment="0"/>
    <xf numFmtId="288" fontId="272" fillId="0" borderId="0" applyFill="0" applyBorder="0" applyAlignment="0"/>
    <xf numFmtId="288" fontId="272" fillId="0" borderId="0" applyFill="0" applyBorder="0" applyAlignment="0"/>
    <xf numFmtId="288" fontId="272" fillId="0" borderId="0" applyFill="0" applyBorder="0" applyAlignment="0"/>
    <xf numFmtId="288" fontId="272" fillId="0" borderId="0" applyFill="0" applyBorder="0" applyAlignment="0"/>
    <xf numFmtId="288" fontId="272" fillId="0" borderId="0" applyFill="0" applyBorder="0" applyAlignment="0"/>
    <xf numFmtId="288" fontId="272" fillId="0" borderId="0" applyFill="0" applyBorder="0" applyAlignment="0"/>
    <xf numFmtId="288" fontId="272" fillId="0" borderId="0" applyFill="0" applyBorder="0" applyAlignment="0"/>
    <xf numFmtId="288" fontId="272" fillId="0" borderId="0" applyFill="0" applyBorder="0" applyAlignment="0"/>
    <xf numFmtId="288" fontId="272" fillId="0" borderId="0" applyFill="0" applyBorder="0" applyAlignment="0"/>
    <xf numFmtId="288" fontId="272" fillId="0" borderId="0" applyFill="0" applyBorder="0" applyAlignment="0"/>
    <xf numFmtId="288"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71" fontId="4" fillId="54" borderId="101" applyNumberFormat="0">
      <alignment vertical="center"/>
    </xf>
    <xf numFmtId="0" fontId="54" fillId="34" borderId="10" applyNumberFormat="0" applyAlignment="0" applyProtection="0"/>
    <xf numFmtId="0" fontId="54" fillId="34" borderId="10" applyNumberFormat="0" applyAlignment="0" applyProtection="0"/>
    <xf numFmtId="0" fontId="54" fillId="32" borderId="10" applyNumberFormat="0" applyAlignment="0" applyProtection="0"/>
    <xf numFmtId="0" fontId="54" fillId="34" borderId="10" applyNumberFormat="0" applyAlignment="0" applyProtection="0"/>
    <xf numFmtId="0" fontId="54" fillId="34" borderId="10" applyNumberFormat="0" applyAlignment="0" applyProtection="0"/>
    <xf numFmtId="0" fontId="54" fillId="34" borderId="10" applyNumberFormat="0" applyAlignment="0" applyProtection="0"/>
    <xf numFmtId="0" fontId="54" fillId="34" borderId="10" applyNumberFormat="0" applyAlignment="0" applyProtection="0"/>
    <xf numFmtId="0" fontId="54" fillId="34" borderId="10" applyNumberFormat="0" applyAlignment="0" applyProtection="0"/>
    <xf numFmtId="0" fontId="54" fillId="34" borderId="10" applyNumberFormat="0" applyAlignment="0" applyProtection="0"/>
    <xf numFmtId="0" fontId="54" fillId="34" borderId="10" applyNumberFormat="0" applyAlignment="0" applyProtection="0"/>
    <xf numFmtId="0" fontId="54" fillId="34" borderId="10" applyNumberFormat="0" applyAlignment="0" applyProtection="0"/>
    <xf numFmtId="290" fontId="50" fillId="0" borderId="0" applyFill="0" applyBorder="0" applyAlignment="0"/>
    <xf numFmtId="291" fontId="279" fillId="55" borderId="0"/>
    <xf numFmtId="0" fontId="279" fillId="55" borderId="0"/>
    <xf numFmtId="292" fontId="279" fillId="55" borderId="0"/>
    <xf numFmtId="293" fontId="279" fillId="55" borderId="0"/>
    <xf numFmtId="294" fontId="279" fillId="55" borderId="0"/>
    <xf numFmtId="295" fontId="279" fillId="55" borderId="0"/>
    <xf numFmtId="0" fontId="19" fillId="49" borderId="11" applyNumberFormat="0" applyAlignment="0" applyProtection="0"/>
    <xf numFmtId="0" fontId="19" fillId="49" borderId="11" applyNumberFormat="0" applyAlignment="0" applyProtection="0"/>
    <xf numFmtId="0" fontId="19" fillId="49" borderId="11" applyNumberFormat="0" applyAlignment="0" applyProtection="0"/>
    <xf numFmtId="0" fontId="19" fillId="49" borderId="11" applyNumberFormat="0" applyAlignment="0" applyProtection="0"/>
    <xf numFmtId="0" fontId="19" fillId="49" borderId="11" applyNumberFormat="0" applyAlignment="0" applyProtection="0"/>
    <xf numFmtId="0" fontId="19" fillId="49" borderId="11" applyNumberFormat="0" applyAlignment="0" applyProtection="0"/>
    <xf numFmtId="0" fontId="19" fillId="49" borderId="11" applyNumberFormat="0" applyAlignment="0" applyProtection="0"/>
    <xf numFmtId="0" fontId="19" fillId="49" borderId="11" applyNumberFormat="0" applyAlignment="0" applyProtection="0"/>
    <xf numFmtId="0" fontId="19" fillId="49" borderId="11" applyNumberFormat="0" applyAlignment="0" applyProtection="0"/>
    <xf numFmtId="15" fontId="40" fillId="0" borderId="0" applyFill="0" applyBorder="0" applyProtection="0">
      <alignment horizontal="centerContinuous" wrapText="1"/>
    </xf>
    <xf numFmtId="0" fontId="42" fillId="0" borderId="54">
      <alignment horizontal="center"/>
    </xf>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296" fontId="4" fillId="0" borderId="0"/>
    <xf numFmtId="41" fontId="151" fillId="0" borderId="0" applyFill="0" applyBorder="0">
      <protection locked="0"/>
    </xf>
    <xf numFmtId="286" fontId="272" fillId="0" borderId="0" applyFont="0" applyFill="0" applyBorder="0" applyAlignment="0" applyProtection="0"/>
    <xf numFmtId="286" fontId="272" fillId="0" borderId="0" applyFont="0" applyFill="0" applyBorder="0" applyAlignment="0" applyProtection="0"/>
    <xf numFmtId="286" fontId="272" fillId="0" borderId="0" applyFont="0" applyFill="0" applyBorder="0" applyAlignment="0" applyProtection="0"/>
    <xf numFmtId="286" fontId="272" fillId="0" borderId="0" applyFont="0" applyFill="0" applyBorder="0" applyAlignment="0" applyProtection="0"/>
    <xf numFmtId="286" fontId="272" fillId="0" borderId="0" applyFont="0" applyFill="0" applyBorder="0" applyAlignment="0" applyProtection="0"/>
    <xf numFmtId="286" fontId="272" fillId="0" borderId="0" applyFont="0" applyFill="0" applyBorder="0" applyAlignment="0" applyProtection="0"/>
    <xf numFmtId="286" fontId="272" fillId="0" borderId="0" applyFont="0" applyFill="0" applyBorder="0" applyAlignment="0" applyProtection="0"/>
    <xf numFmtId="286" fontId="272" fillId="0" borderId="0" applyFont="0" applyFill="0" applyBorder="0" applyAlignment="0" applyProtection="0"/>
    <xf numFmtId="286" fontId="272" fillId="0" borderId="0" applyFont="0" applyFill="0" applyBorder="0" applyAlignment="0" applyProtection="0"/>
    <xf numFmtId="286" fontId="272" fillId="0" borderId="0" applyFont="0" applyFill="0" applyBorder="0" applyAlignment="0" applyProtection="0"/>
    <xf numFmtId="286" fontId="272" fillId="0" borderId="0" applyFont="0" applyFill="0" applyBorder="0" applyAlignment="0" applyProtection="0"/>
    <xf numFmtId="286" fontId="272" fillId="0" borderId="0" applyFont="0" applyFill="0" applyBorder="0" applyAlignment="0" applyProtection="0"/>
    <xf numFmtId="286" fontId="272" fillId="0" borderId="0" applyFont="0" applyFill="0" applyBorder="0" applyAlignment="0" applyProtection="0"/>
    <xf numFmtId="286" fontId="272" fillId="0" borderId="0" applyFont="0" applyFill="0" applyBorder="0" applyAlignment="0" applyProtection="0"/>
    <xf numFmtId="286" fontId="272" fillId="0" borderId="0" applyFont="0" applyFill="0" applyBorder="0" applyAlignment="0" applyProtection="0"/>
    <xf numFmtId="286" fontId="272" fillId="0" borderId="0" applyFont="0" applyFill="0" applyBorder="0" applyAlignment="0" applyProtection="0"/>
    <xf numFmtId="286" fontId="272" fillId="0" borderId="0" applyFont="0" applyFill="0" applyBorder="0" applyAlignment="0" applyProtection="0"/>
    <xf numFmtId="286" fontId="272" fillId="0" borderId="0" applyFont="0" applyFill="0" applyBorder="0" applyAlignment="0" applyProtection="0"/>
    <xf numFmtId="286" fontId="272" fillId="0" borderId="0" applyFont="0" applyFill="0" applyBorder="0" applyAlignment="0" applyProtection="0"/>
    <xf numFmtId="286" fontId="272" fillId="0" borderId="0" applyFont="0" applyFill="0" applyBorder="0" applyAlignment="0" applyProtection="0"/>
    <xf numFmtId="286" fontId="272" fillId="0" borderId="0" applyFont="0" applyFill="0" applyBorder="0" applyAlignment="0" applyProtection="0"/>
    <xf numFmtId="286" fontId="272" fillId="0" borderId="0" applyFont="0" applyFill="0" applyBorder="0" applyAlignment="0" applyProtection="0"/>
    <xf numFmtId="286" fontId="272" fillId="0" borderId="0" applyFont="0" applyFill="0" applyBorder="0" applyAlignment="0" applyProtection="0"/>
    <xf numFmtId="286" fontId="272" fillId="0" borderId="0" applyFont="0" applyFill="0" applyBorder="0" applyAlignment="0" applyProtection="0"/>
    <xf numFmtId="286" fontId="272" fillId="0" borderId="0" applyFont="0" applyFill="0" applyBorder="0" applyAlignment="0" applyProtection="0"/>
    <xf numFmtId="286" fontId="272" fillId="0" borderId="0" applyFont="0" applyFill="0" applyBorder="0" applyAlignment="0" applyProtection="0"/>
    <xf numFmtId="286" fontId="272" fillId="0" borderId="0" applyFont="0" applyFill="0" applyBorder="0" applyAlignment="0" applyProtection="0"/>
    <xf numFmtId="286" fontId="272" fillId="0" borderId="0" applyFont="0" applyFill="0" applyBorder="0" applyAlignment="0" applyProtection="0"/>
    <xf numFmtId="297"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5" fillId="0" borderId="0" applyFont="0" applyFill="0" applyBorder="0" applyAlignment="0" applyProtection="0"/>
    <xf numFmtId="4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3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43" fontId="135"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ont="0" applyFill="0" applyBorder="0" applyAlignment="0" applyProtection="0"/>
    <xf numFmtId="203" fontId="4" fillId="0" borderId="0" applyFill="0" applyBorder="0">
      <protection locked="0"/>
    </xf>
    <xf numFmtId="252" fontId="272" fillId="0" borderId="0" applyFont="0" applyFill="0" applyBorder="0" applyAlignment="0" applyProtection="0"/>
    <xf numFmtId="252" fontId="272" fillId="0" borderId="0" applyFont="0" applyFill="0" applyBorder="0" applyAlignment="0" applyProtection="0"/>
    <xf numFmtId="252" fontId="272" fillId="0" borderId="0" applyFont="0" applyFill="0" applyBorder="0" applyAlignment="0" applyProtection="0"/>
    <xf numFmtId="252" fontId="272" fillId="0" borderId="0" applyFont="0" applyFill="0" applyBorder="0" applyAlignment="0" applyProtection="0"/>
    <xf numFmtId="252" fontId="272" fillId="0" borderId="0" applyFont="0" applyFill="0" applyBorder="0" applyAlignment="0" applyProtection="0"/>
    <xf numFmtId="252" fontId="272" fillId="0" borderId="0" applyFont="0" applyFill="0" applyBorder="0" applyAlignment="0" applyProtection="0"/>
    <xf numFmtId="252" fontId="272" fillId="0" borderId="0" applyFont="0" applyFill="0" applyBorder="0" applyAlignment="0" applyProtection="0"/>
    <xf numFmtId="252" fontId="272" fillId="0" borderId="0" applyFont="0" applyFill="0" applyBorder="0" applyAlignment="0" applyProtection="0"/>
    <xf numFmtId="252" fontId="272" fillId="0" borderId="0" applyFont="0" applyFill="0" applyBorder="0" applyAlignment="0" applyProtection="0"/>
    <xf numFmtId="252" fontId="272" fillId="0" borderId="0" applyFont="0" applyFill="0" applyBorder="0" applyAlignment="0" applyProtection="0"/>
    <xf numFmtId="252" fontId="272" fillId="0" borderId="0" applyFont="0" applyFill="0" applyBorder="0" applyAlignment="0" applyProtection="0"/>
    <xf numFmtId="252" fontId="272" fillId="0" borderId="0" applyFont="0" applyFill="0" applyBorder="0" applyAlignment="0" applyProtection="0"/>
    <xf numFmtId="252" fontId="272" fillId="0" borderId="0" applyFont="0" applyFill="0" applyBorder="0" applyAlignment="0" applyProtection="0"/>
    <xf numFmtId="252" fontId="272" fillId="0" borderId="0" applyFont="0" applyFill="0" applyBorder="0" applyAlignment="0" applyProtection="0"/>
    <xf numFmtId="252" fontId="272" fillId="0" borderId="0" applyFont="0" applyFill="0" applyBorder="0" applyAlignment="0" applyProtection="0"/>
    <xf numFmtId="252" fontId="272" fillId="0" borderId="0" applyFont="0" applyFill="0" applyBorder="0" applyAlignment="0" applyProtection="0"/>
    <xf numFmtId="252" fontId="272" fillId="0" borderId="0" applyFont="0" applyFill="0" applyBorder="0" applyAlignment="0" applyProtection="0"/>
    <xf numFmtId="252" fontId="272" fillId="0" borderId="0" applyFont="0" applyFill="0" applyBorder="0" applyAlignment="0" applyProtection="0"/>
    <xf numFmtId="252" fontId="272" fillId="0" borderId="0" applyFont="0" applyFill="0" applyBorder="0" applyAlignment="0" applyProtection="0"/>
    <xf numFmtId="252" fontId="272" fillId="0" borderId="0" applyFont="0" applyFill="0" applyBorder="0" applyAlignment="0" applyProtection="0"/>
    <xf numFmtId="252" fontId="272" fillId="0" borderId="0" applyFont="0" applyFill="0" applyBorder="0" applyAlignment="0" applyProtection="0"/>
    <xf numFmtId="252" fontId="272" fillId="0" borderId="0" applyFont="0" applyFill="0" applyBorder="0" applyAlignment="0" applyProtection="0"/>
    <xf numFmtId="252" fontId="272" fillId="0" borderId="0" applyFont="0" applyFill="0" applyBorder="0" applyAlignment="0" applyProtection="0"/>
    <xf numFmtId="252" fontId="272" fillId="0" borderId="0" applyFont="0" applyFill="0" applyBorder="0" applyAlignment="0" applyProtection="0"/>
    <xf numFmtId="252" fontId="272" fillId="0" borderId="0" applyFont="0" applyFill="0" applyBorder="0" applyAlignment="0" applyProtection="0"/>
    <xf numFmtId="252" fontId="272" fillId="0" borderId="0" applyFont="0" applyFill="0" applyBorder="0" applyAlignment="0" applyProtection="0"/>
    <xf numFmtId="252" fontId="272" fillId="0" borderId="0" applyFont="0" applyFill="0" applyBorder="0" applyAlignment="0" applyProtection="0"/>
    <xf numFmtId="252" fontId="272" fillId="0" borderId="0" applyFont="0" applyFill="0" applyBorder="0" applyAlignment="0" applyProtection="0"/>
    <xf numFmtId="298" fontId="4" fillId="0" borderId="0" applyFill="0" applyBorder="0"/>
    <xf numFmtId="298" fontId="4" fillId="0" borderId="0" applyFill="0" applyBorder="0"/>
    <xf numFmtId="298" fontId="151" fillId="0" borderId="0" applyFill="0" applyBorder="0">
      <protection locked="0"/>
    </xf>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2" fillId="0" borderId="0" applyFont="0" applyFill="0" applyBorder="0" applyAlignment="0" applyProtection="0"/>
    <xf numFmtId="44" fontId="4"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35"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2" fillId="0" borderId="0" applyFont="0" applyFill="0" applyBorder="0" applyAlignment="0" applyProtection="0"/>
    <xf numFmtId="44" fontId="4" fillId="0" borderId="0" applyFont="0" applyFill="0" applyBorder="0" applyAlignment="0" applyProtection="0"/>
    <xf numFmtId="44"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1" fontId="114" fillId="0" borderId="0" applyFont="0" applyFill="0" applyBorder="0" applyAlignment="0" applyProtection="0"/>
    <xf numFmtId="171" fontId="114" fillId="0" borderId="0" applyFont="0" applyFill="0" applyBorder="0" applyAlignment="0" applyProtection="0"/>
    <xf numFmtId="299" fontId="52" fillId="0" borderId="0" applyFont="0" applyFill="0" applyBorder="0" applyAlignment="0" applyProtection="0"/>
    <xf numFmtId="300" fontId="4" fillId="0" borderId="0" applyFont="0" applyFill="0" applyBorder="0" applyAlignment="0" applyProtection="0"/>
    <xf numFmtId="14" fontId="4" fillId="0" borderId="0" applyFont="0" applyFill="0" applyBorder="0" applyAlignment="0" applyProtection="0"/>
    <xf numFmtId="301" fontId="280" fillId="0" borderId="0" applyFont="0" applyFill="0" applyBorder="0" applyAlignment="0" applyProtection="0"/>
    <xf numFmtId="14" fontId="4" fillId="0" borderId="0" applyFont="0" applyFill="0" applyBorder="0" applyAlignment="0" applyProtection="0"/>
    <xf numFmtId="14" fontId="135" fillId="0" borderId="0" applyFill="0" applyBorder="0" applyAlignment="0"/>
    <xf numFmtId="14" fontId="135" fillId="0" borderId="0" applyFill="0" applyBorder="0" applyAlignment="0"/>
    <xf numFmtId="14" fontId="135" fillId="0" borderId="0" applyFill="0" applyBorder="0" applyAlignment="0"/>
    <xf numFmtId="14" fontId="135" fillId="0" borderId="0" applyFill="0" applyBorder="0" applyAlignment="0"/>
    <xf numFmtId="14" fontId="135" fillId="0" borderId="0" applyFill="0" applyBorder="0" applyAlignment="0"/>
    <xf numFmtId="14" fontId="135" fillId="0" borderId="0" applyFill="0" applyBorder="0" applyAlignment="0"/>
    <xf numFmtId="14" fontId="135" fillId="0" borderId="0" applyFill="0" applyBorder="0" applyAlignment="0"/>
    <xf numFmtId="14" fontId="135" fillId="0" borderId="0" applyFill="0" applyBorder="0" applyAlignment="0"/>
    <xf numFmtId="14" fontId="135" fillId="0" borderId="0" applyFill="0" applyBorder="0" applyAlignment="0"/>
    <xf numFmtId="14" fontId="135" fillId="0" borderId="0" applyFill="0" applyBorder="0" applyAlignment="0"/>
    <xf numFmtId="14" fontId="135" fillId="0" borderId="0" applyFill="0" applyBorder="0" applyAlignment="0"/>
    <xf numFmtId="14" fontId="135" fillId="0" borderId="0" applyFill="0" applyBorder="0" applyAlignment="0"/>
    <xf numFmtId="14" fontId="135" fillId="0" borderId="0" applyFill="0" applyBorder="0" applyAlignment="0"/>
    <xf numFmtId="14" fontId="135" fillId="0" borderId="0" applyFill="0" applyBorder="0" applyAlignment="0"/>
    <xf numFmtId="14" fontId="135" fillId="0" borderId="0" applyFill="0" applyBorder="0" applyAlignment="0"/>
    <xf numFmtId="14" fontId="135" fillId="0" borderId="0" applyFill="0" applyBorder="0" applyAlignment="0"/>
    <xf numFmtId="14" fontId="135" fillId="0" borderId="0" applyFill="0" applyBorder="0" applyAlignment="0"/>
    <xf numFmtId="14" fontId="135" fillId="0" borderId="0" applyFill="0" applyBorder="0" applyAlignment="0"/>
    <xf numFmtId="14" fontId="135" fillId="0" borderId="0" applyFill="0" applyBorder="0" applyAlignment="0"/>
    <xf numFmtId="1" fontId="4" fillId="0" borderId="0" applyFill="0" applyBorder="0">
      <alignment horizontal="right"/>
    </xf>
    <xf numFmtId="0" fontId="4" fillId="0" borderId="0" applyFont="0" applyFill="0" applyBorder="0" applyAlignment="0"/>
    <xf numFmtId="2" fontId="4" fillId="0" borderId="0" applyFill="0" applyBorder="0">
      <alignment horizontal="right"/>
    </xf>
    <xf numFmtId="200" fontId="4" fillId="0" borderId="0" applyFill="0" applyBorder="0">
      <alignment horizontal="right"/>
    </xf>
    <xf numFmtId="200" fontId="151" fillId="0" borderId="0" applyFill="0" applyBorder="0">
      <protection locked="0"/>
    </xf>
    <xf numFmtId="200" fontId="4" fillId="0" borderId="0" applyFill="0" applyBorder="0">
      <alignment horizontal="right"/>
    </xf>
    <xf numFmtId="204" fontId="4" fillId="0" borderId="0" applyFill="0" applyBorder="0">
      <alignment horizontal="right"/>
    </xf>
    <xf numFmtId="256" fontId="4" fillId="0" borderId="0"/>
    <xf numFmtId="38" fontId="55" fillId="0" borderId="102">
      <alignment vertical="center"/>
    </xf>
    <xf numFmtId="38" fontId="55" fillId="0" borderId="102">
      <alignment vertical="center"/>
    </xf>
    <xf numFmtId="38" fontId="55" fillId="0" borderId="102">
      <alignment vertical="center"/>
    </xf>
    <xf numFmtId="38" fontId="55" fillId="0" borderId="102">
      <alignment vertical="center"/>
    </xf>
    <xf numFmtId="38" fontId="55" fillId="0" borderId="102">
      <alignment vertical="center"/>
    </xf>
    <xf numFmtId="38" fontId="55" fillId="0" borderId="102">
      <alignment vertical="center"/>
    </xf>
    <xf numFmtId="38" fontId="55" fillId="0" borderId="102">
      <alignment vertical="center"/>
    </xf>
    <xf numFmtId="38" fontId="55" fillId="0" borderId="102">
      <alignment vertical="center"/>
    </xf>
    <xf numFmtId="38" fontId="55" fillId="0" borderId="102">
      <alignment vertical="center"/>
    </xf>
    <xf numFmtId="38" fontId="55" fillId="0" borderId="102">
      <alignment vertical="center"/>
    </xf>
    <xf numFmtId="38" fontId="55" fillId="0" borderId="102">
      <alignment vertical="center"/>
    </xf>
    <xf numFmtId="38" fontId="55" fillId="0" borderId="102">
      <alignment vertical="center"/>
    </xf>
    <xf numFmtId="38" fontId="55" fillId="0" borderId="102">
      <alignment vertical="center"/>
    </xf>
    <xf numFmtId="38" fontId="55" fillId="0" borderId="102">
      <alignment vertical="center"/>
    </xf>
    <xf numFmtId="38" fontId="55" fillId="0" borderId="102">
      <alignment vertical="center"/>
    </xf>
    <xf numFmtId="38" fontId="55" fillId="0" borderId="102">
      <alignment vertical="center"/>
    </xf>
    <xf numFmtId="38" fontId="55" fillId="0" borderId="102">
      <alignment vertical="center"/>
    </xf>
    <xf numFmtId="38" fontId="55" fillId="0" borderId="102">
      <alignment vertical="center"/>
    </xf>
    <xf numFmtId="38" fontId="55" fillId="0" borderId="102">
      <alignment vertical="center"/>
    </xf>
    <xf numFmtId="38" fontId="55" fillId="0" borderId="102">
      <alignment vertical="center"/>
    </xf>
    <xf numFmtId="38" fontId="55" fillId="0" borderId="102">
      <alignment vertical="center"/>
    </xf>
    <xf numFmtId="38" fontId="55" fillId="0" borderId="102">
      <alignment vertical="center"/>
    </xf>
    <xf numFmtId="38" fontId="55" fillId="0" borderId="102">
      <alignment vertical="center"/>
    </xf>
    <xf numFmtId="38" fontId="55" fillId="0" borderId="102">
      <alignment vertical="center"/>
    </xf>
    <xf numFmtId="38" fontId="55" fillId="0" borderId="102">
      <alignment vertical="center"/>
    </xf>
    <xf numFmtId="38" fontId="55" fillId="0" borderId="102">
      <alignment vertical="center"/>
    </xf>
    <xf numFmtId="38" fontId="55" fillId="0" borderId="102">
      <alignment vertical="center"/>
    </xf>
    <xf numFmtId="38" fontId="55" fillId="0" borderId="102">
      <alignment vertical="center"/>
    </xf>
    <xf numFmtId="0" fontId="281" fillId="0" borderId="99" applyNumberFormat="0" applyBorder="0" applyAlignment="0" applyProtection="0">
      <alignment horizontal="right" vertical="center"/>
    </xf>
    <xf numFmtId="38" fontId="282" fillId="0" borderId="103" applyNumberFormat="0" applyFont="0" applyFill="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0" fontId="4" fillId="94" borderId="104" applyNumberFormat="0">
      <alignment vertical="center"/>
    </xf>
    <xf numFmtId="302" fontId="21" fillId="0" borderId="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303" fontId="186" fillId="0" borderId="0"/>
    <xf numFmtId="0" fontId="4" fillId="20" borderId="17" applyNumberFormat="0">
      <alignment vertical="center"/>
    </xf>
    <xf numFmtId="182" fontId="283" fillId="0" borderId="0" applyNumberFormat="0" applyFill="0" applyBorder="0" applyAlignment="0" applyProtection="0"/>
    <xf numFmtId="0" fontId="284" fillId="0" borderId="2" applyProtection="0">
      <alignment horizontal="center"/>
    </xf>
    <xf numFmtId="0" fontId="118" fillId="0" borderId="0"/>
    <xf numFmtId="0" fontId="119" fillId="0" borderId="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153" fillId="20" borderId="105" applyNumberFormat="0">
      <alignment vertical="center"/>
    </xf>
    <xf numFmtId="0" fontId="285" fillId="0" borderId="0"/>
    <xf numFmtId="0" fontId="40" fillId="0" borderId="0"/>
    <xf numFmtId="0" fontId="286" fillId="0" borderId="0" applyNumberFormat="0">
      <alignment horizontal="center"/>
    </xf>
    <xf numFmtId="0" fontId="132" fillId="0" borderId="0" applyAlignment="0" applyProtection="0"/>
    <xf numFmtId="0" fontId="287" fillId="0" borderId="0" applyAlignment="0" applyProtection="0"/>
    <xf numFmtId="0" fontId="288" fillId="0" borderId="0" applyAlignment="0" applyProtection="0"/>
    <xf numFmtId="0" fontId="289" fillId="0" borderId="2">
      <alignment horizontal="left"/>
    </xf>
    <xf numFmtId="0" fontId="290" fillId="0" borderId="0">
      <alignment horizontal="right"/>
    </xf>
    <xf numFmtId="37" fontId="291" fillId="0" borderId="0">
      <alignment horizontal="right"/>
    </xf>
    <xf numFmtId="0" fontId="292" fillId="0" borderId="0">
      <alignment horizontal="left"/>
    </xf>
    <xf numFmtId="37" fontId="293" fillId="0" borderId="0">
      <alignment horizontal="right"/>
    </xf>
    <xf numFmtId="0" fontId="294" fillId="0" borderId="0" applyFill="0" applyBorder="0" applyProtection="0">
      <alignment horizontal="right"/>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295" fillId="26" borderId="0"/>
    <xf numFmtId="0" fontId="166" fillId="0" borderId="49" applyNumberFormat="0" applyFill="0" applyAlignment="0" applyProtection="0"/>
    <xf numFmtId="0" fontId="166" fillId="0" borderId="49" applyNumberFormat="0" applyFill="0" applyAlignment="0" applyProtection="0"/>
    <xf numFmtId="0" fontId="63" fillId="0" borderId="12" applyNumberFormat="0" applyFill="0" applyAlignment="0" applyProtection="0"/>
    <xf numFmtId="0" fontId="40" fillId="0" borderId="0" applyFill="0" applyBorder="0">
      <alignment vertical="center"/>
    </xf>
    <xf numFmtId="0" fontId="166" fillId="0" borderId="49" applyNumberFormat="0" applyFill="0" applyAlignment="0" applyProtection="0"/>
    <xf numFmtId="0" fontId="166" fillId="0" borderId="49" applyNumberFormat="0" applyFill="0" applyAlignment="0" applyProtection="0"/>
    <xf numFmtId="0" fontId="166" fillId="0" borderId="49" applyNumberFormat="0" applyFill="0" applyAlignment="0" applyProtection="0"/>
    <xf numFmtId="0" fontId="166" fillId="0" borderId="49" applyNumberFormat="0" applyFill="0" applyAlignment="0" applyProtection="0"/>
    <xf numFmtId="0" fontId="166" fillId="0" borderId="49" applyNumberFormat="0" applyFill="0" applyAlignment="0" applyProtection="0"/>
    <xf numFmtId="304" fontId="267" fillId="59" borderId="0"/>
    <xf numFmtId="0" fontId="296" fillId="0" borderId="50" applyNumberFormat="0" applyFill="0" applyAlignment="0" applyProtection="0"/>
    <xf numFmtId="0" fontId="296" fillId="0" borderId="50" applyNumberFormat="0" applyFill="0" applyAlignment="0" applyProtection="0"/>
    <xf numFmtId="0" fontId="64" fillId="0" borderId="13" applyNumberFormat="0" applyFill="0" applyAlignment="0" applyProtection="0"/>
    <xf numFmtId="0" fontId="26" fillId="0" borderId="0" applyFill="0" applyBorder="0">
      <alignment vertical="center"/>
    </xf>
    <xf numFmtId="0" fontId="296" fillId="0" borderId="50" applyNumberFormat="0" applyFill="0" applyAlignment="0" applyProtection="0"/>
    <xf numFmtId="0" fontId="296" fillId="0" borderId="50" applyNumberFormat="0" applyFill="0" applyAlignment="0" applyProtection="0"/>
    <xf numFmtId="0" fontId="296" fillId="0" borderId="50" applyNumberFormat="0" applyFill="0" applyAlignment="0" applyProtection="0"/>
    <xf numFmtId="0" fontId="296" fillId="0" borderId="50" applyNumberFormat="0" applyFill="0" applyAlignment="0" applyProtection="0"/>
    <xf numFmtId="0" fontId="296" fillId="0" borderId="50" applyNumberFormat="0" applyFill="0" applyAlignment="0" applyProtection="0"/>
    <xf numFmtId="0" fontId="296" fillId="0" borderId="50" applyNumberFormat="0" applyFill="0" applyAlignment="0" applyProtection="0"/>
    <xf numFmtId="0" fontId="174" fillId="0" borderId="52" applyNumberFormat="0" applyFill="0" applyAlignment="0" applyProtection="0"/>
    <xf numFmtId="0" fontId="174" fillId="0" borderId="52" applyNumberFormat="0" applyFill="0" applyAlignment="0" applyProtection="0"/>
    <xf numFmtId="0" fontId="65" fillId="0" borderId="14" applyNumberFormat="0" applyFill="0" applyAlignment="0" applyProtection="0"/>
    <xf numFmtId="0" fontId="42" fillId="0" borderId="0" applyFill="0" applyBorder="0">
      <alignment vertical="center"/>
    </xf>
    <xf numFmtId="0" fontId="174" fillId="0" borderId="52" applyNumberFormat="0" applyFill="0" applyAlignment="0" applyProtection="0"/>
    <xf numFmtId="0" fontId="174" fillId="0" borderId="52" applyNumberFormat="0" applyFill="0" applyAlignment="0" applyProtection="0"/>
    <xf numFmtId="0" fontId="174" fillId="0" borderId="52" applyNumberFormat="0" applyFill="0" applyAlignment="0" applyProtection="0"/>
    <xf numFmtId="0" fontId="174" fillId="0" borderId="52" applyNumberFormat="0" applyFill="0" applyAlignment="0" applyProtection="0"/>
    <xf numFmtId="0" fontId="174" fillId="0" borderId="52" applyNumberFormat="0" applyFill="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65" fillId="0" borderId="0" applyNumberFormat="0" applyFill="0" applyBorder="0" applyAlignment="0" applyProtection="0"/>
    <xf numFmtId="0" fontId="37" fillId="0" borderId="0" applyFill="0" applyBorder="0">
      <alignment vertical="center"/>
    </xf>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295" fillId="26" borderId="0"/>
    <xf numFmtId="182" fontId="297" fillId="0" borderId="0" applyNumberFormat="0" applyFill="0" applyBorder="0" applyAlignment="0" applyProtection="0"/>
    <xf numFmtId="182" fontId="294" fillId="0" borderId="0" applyNumberFormat="0" applyFill="0" applyBorder="0" applyAlignment="0" applyProtection="0"/>
    <xf numFmtId="0" fontId="298" fillId="59" borderId="0">
      <alignment horizontal="center"/>
    </xf>
    <xf numFmtId="305" fontId="4" fillId="0" borderId="0" applyFont="0" applyFill="0" applyBorder="0" applyAlignment="0" applyProtection="0"/>
    <xf numFmtId="305" fontId="4" fillId="0" borderId="0" applyFont="0" applyFill="0" applyBorder="0" applyAlignment="0" applyProtection="0"/>
    <xf numFmtId="267" fontId="151" fillId="19" borderId="0">
      <alignment horizontal="center"/>
    </xf>
    <xf numFmtId="0" fontId="90" fillId="0" borderId="0" applyNumberFormat="0" applyFill="0" applyBorder="0" applyAlignment="0" applyProtection="0">
      <alignment vertical="top"/>
      <protection locked="0"/>
    </xf>
    <xf numFmtId="0" fontId="93" fillId="0" borderId="0" applyNumberFormat="0" applyFill="0" applyBorder="0" applyAlignment="0" applyProtection="0">
      <alignment vertical="top"/>
      <protection locked="0"/>
    </xf>
    <xf numFmtId="306" fontId="4" fillId="0" borderId="0" applyFont="0" applyFill="0" applyBorder="0" applyAlignment="0" applyProtection="0"/>
    <xf numFmtId="306" fontId="4" fillId="0" borderId="0" applyFont="0" applyFill="0" applyBorder="0" applyAlignment="0" applyProtection="0"/>
    <xf numFmtId="307" fontId="299" fillId="82" borderId="0"/>
    <xf numFmtId="308" fontId="299" fillId="82" borderId="0">
      <alignment vertical="top"/>
    </xf>
    <xf numFmtId="15" fontId="299" fillId="82" borderId="0" applyBorder="0" applyProtection="0">
      <alignment vertical="top"/>
    </xf>
    <xf numFmtId="309" fontId="299" fillId="82" borderId="0">
      <alignment vertical="top"/>
    </xf>
    <xf numFmtId="310" fontId="273" fillId="15" borderId="28" applyNumberFormat="0" applyAlignment="0" applyProtection="0"/>
    <xf numFmtId="271" fontId="57" fillId="15" borderId="106" applyNumberFormat="0">
      <alignment vertical="center"/>
      <protection locked="0"/>
    </xf>
    <xf numFmtId="0" fontId="70" fillId="30" borderId="10" applyNumberFormat="0" applyAlignment="0" applyProtection="0"/>
    <xf numFmtId="0" fontId="70" fillId="30" borderId="10" applyNumberFormat="0" applyAlignment="0" applyProtection="0"/>
    <xf numFmtId="0" fontId="57" fillId="109" borderId="106" applyNumberFormat="0">
      <alignment vertical="center"/>
      <protection locked="0"/>
    </xf>
    <xf numFmtId="311" fontId="299" fillId="82" borderId="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37" fillId="23" borderId="28" applyNumberFormat="0" applyAlignment="0">
      <protection locked="0"/>
    </xf>
    <xf numFmtId="0" fontId="37" fillId="15" borderId="107" applyNumberFormat="0" applyAlignment="0">
      <protection locked="0"/>
    </xf>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0" fontId="71" fillId="0" borderId="15" applyNumberFormat="0" applyFill="0" applyAlignment="0" applyProtection="0"/>
    <xf numFmtId="0" fontId="71" fillId="0" borderId="15" applyNumberFormat="0" applyFill="0" applyAlignment="0" applyProtection="0"/>
    <xf numFmtId="0" fontId="71" fillId="0" borderId="15" applyNumberFormat="0" applyFill="0" applyAlignment="0" applyProtection="0"/>
    <xf numFmtId="0" fontId="71" fillId="0" borderId="15" applyNumberFormat="0" applyFill="0" applyAlignment="0" applyProtection="0"/>
    <xf numFmtId="0" fontId="71" fillId="0" borderId="15" applyNumberFormat="0" applyFill="0" applyAlignment="0" applyProtection="0"/>
    <xf numFmtId="0" fontId="71" fillId="0" borderId="15" applyNumberFormat="0" applyFill="0" applyAlignment="0" applyProtection="0"/>
    <xf numFmtId="0" fontId="71" fillId="0" borderId="15" applyNumberFormat="0" applyFill="0" applyAlignment="0" applyProtection="0"/>
    <xf numFmtId="0" fontId="71" fillId="0" borderId="15" applyNumberFormat="0" applyFill="0" applyAlignment="0" applyProtection="0"/>
    <xf numFmtId="0" fontId="71" fillId="0" borderId="15" applyNumberFormat="0" applyFill="0" applyAlignment="0" applyProtection="0"/>
    <xf numFmtId="312" fontId="151" fillId="0" borderId="0" applyNumberFormat="0" applyFill="0" applyBorder="0" applyAlignment="0">
      <protection locked="0"/>
    </xf>
    <xf numFmtId="313" fontId="124" fillId="0" borderId="0" applyFont="0" applyFill="0" applyBorder="0" applyProtection="0">
      <alignment horizontal="right"/>
    </xf>
    <xf numFmtId="0" fontId="57" fillId="54" borderId="108" applyNumberFormat="0" applyFont="0" applyFill="0" applyAlignment="0" applyProtection="0">
      <alignment vertical="center"/>
      <protection locked="0"/>
    </xf>
    <xf numFmtId="0" fontId="283" fillId="0" borderId="0" applyNumberFormat="0" applyBorder="0">
      <alignment horizontal="left" vertical="top"/>
    </xf>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300" fillId="0" borderId="0"/>
    <xf numFmtId="0" fontId="203" fillId="0" borderId="0"/>
    <xf numFmtId="191" fontId="74" fillId="0" borderId="0"/>
    <xf numFmtId="0" fontId="203" fillId="0" borderId="0"/>
    <xf numFmtId="0" fontId="203" fillId="0" borderId="0"/>
    <xf numFmtId="0" fontId="203" fillId="0" borderId="0"/>
    <xf numFmtId="0" fontId="2" fillId="0" borderId="0"/>
    <xf numFmtId="0" fontId="2" fillId="0" borderId="0"/>
    <xf numFmtId="0" fontId="2" fillId="0" borderId="0"/>
    <xf numFmtId="0" fontId="4" fillId="0" borderId="0" applyFill="0"/>
    <xf numFmtId="0" fontId="2" fillId="0" borderId="0"/>
    <xf numFmtId="0" fontId="2" fillId="0" borderId="0"/>
    <xf numFmtId="0" fontId="2" fillId="0" borderId="0"/>
    <xf numFmtId="0" fontId="2" fillId="0" borderId="0"/>
    <xf numFmtId="0" fontId="4" fillId="0" borderId="0"/>
    <xf numFmtId="0" fontId="22" fillId="0" borderId="0"/>
    <xf numFmtId="0" fontId="22" fillId="0" borderId="0"/>
    <xf numFmtId="0" fontId="22" fillId="0" borderId="0"/>
    <xf numFmtId="0" fontId="4" fillId="0" borderId="0"/>
    <xf numFmtId="0" fontId="2" fillId="0" borderId="0"/>
    <xf numFmtId="0" fontId="22" fillId="0" borderId="0"/>
    <xf numFmtId="0" fontId="22" fillId="0" borderId="0"/>
    <xf numFmtId="0" fontId="22" fillId="0" borderId="0"/>
    <xf numFmtId="0" fontId="22" fillId="0" borderId="0"/>
    <xf numFmtId="0" fontId="22" fillId="0" borderId="0"/>
    <xf numFmtId="0" fontId="247" fillId="0" borderId="0"/>
    <xf numFmtId="0" fontId="22" fillId="0" borderId="0"/>
    <xf numFmtId="0" fontId="22" fillId="0" borderId="0"/>
    <xf numFmtId="0" fontId="22" fillId="0" borderId="0"/>
    <xf numFmtId="0" fontId="2" fillId="0" borderId="0"/>
    <xf numFmtId="0" fontId="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0" borderId="0"/>
    <xf numFmtId="0" fontId="4" fillId="0" borderId="0"/>
    <xf numFmtId="0" fontId="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0" borderId="0"/>
    <xf numFmtId="0" fontId="4" fillId="0" borderId="0"/>
    <xf numFmtId="0" fontId="4" fillId="0" borderId="0"/>
    <xf numFmtId="0" fontId="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0" borderId="0"/>
    <xf numFmtId="0" fontId="4" fillId="0" borderId="0"/>
    <xf numFmtId="0" fontId="124" fillId="0" borderId="0"/>
    <xf numFmtId="0" fontId="124" fillId="0" borderId="0"/>
    <xf numFmtId="0" fontId="124" fillId="0" borderId="0"/>
    <xf numFmtId="0" fontId="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0" borderId="0"/>
    <xf numFmtId="0" fontId="2" fillId="0" borderId="0"/>
    <xf numFmtId="0" fontId="4" fillId="0" borderId="0"/>
    <xf numFmtId="0" fontId="4" fillId="0" borderId="0"/>
    <xf numFmtId="0" fontId="45" fillId="0" borderId="0"/>
    <xf numFmtId="0" fontId="2" fillId="0" borderId="0"/>
    <xf numFmtId="0" fontId="2" fillId="0" borderId="0"/>
    <xf numFmtId="0" fontId="2" fillId="0" borderId="0"/>
    <xf numFmtId="0" fontId="22" fillId="0" borderId="0"/>
    <xf numFmtId="0" fontId="4" fillId="0" borderId="0"/>
    <xf numFmtId="0" fontId="4" fillId="0" borderId="0"/>
    <xf numFmtId="0" fontId="22" fillId="0" borderId="0"/>
    <xf numFmtId="0" fontId="22" fillId="0" borderId="0"/>
    <xf numFmtId="0" fontId="2" fillId="0" borderId="0"/>
    <xf numFmtId="0" fontId="22"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2" fillId="0" borderId="0"/>
    <xf numFmtId="0" fontId="22" fillId="0" borderId="0"/>
    <xf numFmtId="0" fontId="22" fillId="0" borderId="0"/>
    <xf numFmtId="0" fontId="4" fillId="0" borderId="0"/>
    <xf numFmtId="0" fontId="4" fillId="0" borderId="0"/>
    <xf numFmtId="0" fontId="2" fillId="0" borderId="0"/>
    <xf numFmtId="0" fontId="4" fillId="0" borderId="0"/>
    <xf numFmtId="0" fontId="2" fillId="0" borderId="0"/>
    <xf numFmtId="0" fontId="2" fillId="0" borderId="0"/>
    <xf numFmtId="0" fontId="2" fillId="0" borderId="0"/>
    <xf numFmtId="0" fontId="4" fillId="0" borderId="0"/>
    <xf numFmtId="0" fontId="247" fillId="0" borderId="0"/>
    <xf numFmtId="0" fontId="4" fillId="0" borderId="0"/>
    <xf numFmtId="0" fontId="4" fillId="0" borderId="0"/>
    <xf numFmtId="0" fontId="4" fillId="0" borderId="0"/>
    <xf numFmtId="0" fontId="22" fillId="0" borderId="0"/>
    <xf numFmtId="0" fontId="22"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0" fillId="0" borderId="0"/>
    <xf numFmtId="0" fontId="2" fillId="0" borderId="0"/>
    <xf numFmtId="0" fontId="4" fillId="0" borderId="0"/>
    <xf numFmtId="0" fontId="2" fillId="0" borderId="0"/>
    <xf numFmtId="0" fontId="2" fillId="0" borderId="0"/>
    <xf numFmtId="0" fontId="4" fillId="0" borderId="0"/>
    <xf numFmtId="0" fontId="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0" borderId="0" applyFill="0"/>
    <xf numFmtId="0" fontId="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0" borderId="0"/>
    <xf numFmtId="0" fontId="2" fillId="0" borderId="0"/>
    <xf numFmtId="0" fontId="22" fillId="0" borderId="0"/>
    <xf numFmtId="0" fontId="22" fillId="0" borderId="0"/>
    <xf numFmtId="0" fontId="22" fillId="0" borderId="0"/>
    <xf numFmtId="0" fontId="4" fillId="0" borderId="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14" fontId="37" fillId="0" borderId="0" applyFont="0" applyFill="0" applyBorder="0" applyAlignment="0" applyProtection="0"/>
    <xf numFmtId="0" fontId="75" fillId="34" borderId="17" applyNumberFormat="0" applyAlignment="0" applyProtection="0"/>
    <xf numFmtId="0" fontId="75" fillId="34" borderId="17" applyNumberFormat="0" applyAlignment="0" applyProtection="0"/>
    <xf numFmtId="0" fontId="75" fillId="32" borderId="17" applyNumberFormat="0" applyAlignment="0" applyProtection="0"/>
    <xf numFmtId="0" fontId="75" fillId="34" borderId="17" applyNumberFormat="0" applyAlignment="0" applyProtection="0"/>
    <xf numFmtId="0" fontId="75" fillId="34" borderId="17" applyNumberFormat="0" applyAlignment="0" applyProtection="0"/>
    <xf numFmtId="0" fontId="75" fillId="34" borderId="17" applyNumberFormat="0" applyAlignment="0" applyProtection="0"/>
    <xf numFmtId="0" fontId="75" fillId="34" borderId="17" applyNumberFormat="0" applyAlignment="0" applyProtection="0"/>
    <xf numFmtId="0" fontId="75" fillId="34" borderId="17" applyNumberFormat="0" applyAlignment="0" applyProtection="0"/>
    <xf numFmtId="0" fontId="75" fillId="34" borderId="17" applyNumberFormat="0" applyAlignment="0" applyProtection="0"/>
    <xf numFmtId="0" fontId="75" fillId="34" borderId="17" applyNumberFormat="0" applyAlignment="0" applyProtection="0"/>
    <xf numFmtId="0" fontId="75" fillId="34" borderId="17" applyNumberFormat="0" applyAlignment="0" applyProtection="0"/>
    <xf numFmtId="0" fontId="301" fillId="0" borderId="0" applyFill="0" applyBorder="0" applyProtection="0">
      <alignment horizontal="left"/>
    </xf>
    <xf numFmtId="0" fontId="302" fillId="0" borderId="0" applyFill="0" applyBorder="0" applyProtection="0">
      <alignment horizontal="left"/>
    </xf>
    <xf numFmtId="182" fontId="37" fillId="110" borderId="0" applyNumberFormat="0" applyFont="0" applyBorder="0" applyAlignment="0" applyProtection="0"/>
    <xf numFmtId="288" fontId="272" fillId="0" borderId="0" applyFont="0" applyFill="0" applyBorder="0" applyAlignment="0" applyProtection="0"/>
    <xf numFmtId="288" fontId="272" fillId="0" borderId="0" applyFont="0" applyFill="0" applyBorder="0" applyAlignment="0" applyProtection="0"/>
    <xf numFmtId="288" fontId="272" fillId="0" borderId="0" applyFont="0" applyFill="0" applyBorder="0" applyAlignment="0" applyProtection="0"/>
    <xf numFmtId="288" fontId="272" fillId="0" borderId="0" applyFont="0" applyFill="0" applyBorder="0" applyAlignment="0" applyProtection="0"/>
    <xf numFmtId="288" fontId="272" fillId="0" borderId="0" applyFont="0" applyFill="0" applyBorder="0" applyAlignment="0" applyProtection="0"/>
    <xf numFmtId="288" fontId="272" fillId="0" borderId="0" applyFont="0" applyFill="0" applyBorder="0" applyAlignment="0" applyProtection="0"/>
    <xf numFmtId="288" fontId="272" fillId="0" borderId="0" applyFont="0" applyFill="0" applyBorder="0" applyAlignment="0" applyProtection="0"/>
    <xf numFmtId="288" fontId="272" fillId="0" borderId="0" applyFont="0" applyFill="0" applyBorder="0" applyAlignment="0" applyProtection="0"/>
    <xf numFmtId="288" fontId="272" fillId="0" borderId="0" applyFont="0" applyFill="0" applyBorder="0" applyAlignment="0" applyProtection="0"/>
    <xf numFmtId="288" fontId="272" fillId="0" borderId="0" applyFont="0" applyFill="0" applyBorder="0" applyAlignment="0" applyProtection="0"/>
    <xf numFmtId="288" fontId="272" fillId="0" borderId="0" applyFont="0" applyFill="0" applyBorder="0" applyAlignment="0" applyProtection="0"/>
    <xf numFmtId="288" fontId="272" fillId="0" borderId="0" applyFont="0" applyFill="0" applyBorder="0" applyAlignment="0" applyProtection="0"/>
    <xf numFmtId="288" fontId="272" fillId="0" borderId="0" applyFont="0" applyFill="0" applyBorder="0" applyAlignment="0" applyProtection="0"/>
    <xf numFmtId="288" fontId="272" fillId="0" borderId="0" applyFont="0" applyFill="0" applyBorder="0" applyAlignment="0" applyProtection="0"/>
    <xf numFmtId="288" fontId="272" fillId="0" borderId="0" applyFont="0" applyFill="0" applyBorder="0" applyAlignment="0" applyProtection="0"/>
    <xf numFmtId="288" fontId="272" fillId="0" borderId="0" applyFont="0" applyFill="0" applyBorder="0" applyAlignment="0" applyProtection="0"/>
    <xf numFmtId="288" fontId="272" fillId="0" borderId="0" applyFont="0" applyFill="0" applyBorder="0" applyAlignment="0" applyProtection="0"/>
    <xf numFmtId="288" fontId="272" fillId="0" borderId="0" applyFont="0" applyFill="0" applyBorder="0" applyAlignment="0" applyProtection="0"/>
    <xf numFmtId="288" fontId="272" fillId="0" borderId="0" applyFont="0" applyFill="0" applyBorder="0" applyAlignment="0" applyProtection="0"/>
    <xf numFmtId="288" fontId="272" fillId="0" borderId="0" applyFont="0" applyFill="0" applyBorder="0" applyAlignment="0" applyProtection="0"/>
    <xf numFmtId="288" fontId="272" fillId="0" borderId="0" applyFont="0" applyFill="0" applyBorder="0" applyAlignment="0" applyProtection="0"/>
    <xf numFmtId="288" fontId="272" fillId="0" borderId="0" applyFont="0" applyFill="0" applyBorder="0" applyAlignment="0" applyProtection="0"/>
    <xf numFmtId="288" fontId="272" fillId="0" borderId="0" applyFont="0" applyFill="0" applyBorder="0" applyAlignment="0" applyProtection="0"/>
    <xf numFmtId="288" fontId="272" fillId="0" borderId="0" applyFont="0" applyFill="0" applyBorder="0" applyAlignment="0" applyProtection="0"/>
    <xf numFmtId="288" fontId="272" fillId="0" borderId="0" applyFont="0" applyFill="0" applyBorder="0" applyAlignment="0" applyProtection="0"/>
    <xf numFmtId="288" fontId="272" fillId="0" borderId="0" applyFont="0" applyFill="0" applyBorder="0" applyAlignment="0" applyProtection="0"/>
    <xf numFmtId="288" fontId="272" fillId="0" borderId="0" applyFont="0" applyFill="0" applyBorder="0" applyAlignment="0" applyProtection="0"/>
    <xf numFmtId="288" fontId="272" fillId="0" borderId="0" applyFont="0" applyFill="0" applyBorder="0" applyAlignment="0" applyProtection="0"/>
    <xf numFmtId="314" fontId="272" fillId="0" borderId="0" applyFont="0" applyFill="0" applyBorder="0" applyAlignment="0" applyProtection="0"/>
    <xf numFmtId="314" fontId="272" fillId="0" borderId="0" applyFont="0" applyFill="0" applyBorder="0" applyAlignment="0" applyProtection="0"/>
    <xf numFmtId="314" fontId="272" fillId="0" borderId="0" applyFont="0" applyFill="0" applyBorder="0" applyAlignment="0" applyProtection="0"/>
    <xf numFmtId="314" fontId="272" fillId="0" borderId="0" applyFont="0" applyFill="0" applyBorder="0" applyAlignment="0" applyProtection="0"/>
    <xf numFmtId="314" fontId="272" fillId="0" borderId="0" applyFont="0" applyFill="0" applyBorder="0" applyAlignment="0" applyProtection="0"/>
    <xf numFmtId="314" fontId="272" fillId="0" borderId="0" applyFont="0" applyFill="0" applyBorder="0" applyAlignment="0" applyProtection="0"/>
    <xf numFmtId="314" fontId="272" fillId="0" borderId="0" applyFont="0" applyFill="0" applyBorder="0" applyAlignment="0" applyProtection="0"/>
    <xf numFmtId="314" fontId="272" fillId="0" borderId="0" applyFont="0" applyFill="0" applyBorder="0" applyAlignment="0" applyProtection="0"/>
    <xf numFmtId="314" fontId="272" fillId="0" borderId="0" applyFont="0" applyFill="0" applyBorder="0" applyAlignment="0" applyProtection="0"/>
    <xf numFmtId="314" fontId="272" fillId="0" borderId="0" applyFont="0" applyFill="0" applyBorder="0" applyAlignment="0" applyProtection="0"/>
    <xf numFmtId="314" fontId="272" fillId="0" borderId="0" applyFont="0" applyFill="0" applyBorder="0" applyAlignment="0" applyProtection="0"/>
    <xf numFmtId="314" fontId="272" fillId="0" borderId="0" applyFont="0" applyFill="0" applyBorder="0" applyAlignment="0" applyProtection="0"/>
    <xf numFmtId="314" fontId="272" fillId="0" borderId="0" applyFont="0" applyFill="0" applyBorder="0" applyAlignment="0" applyProtection="0"/>
    <xf numFmtId="314" fontId="272" fillId="0" borderId="0" applyFont="0" applyFill="0" applyBorder="0" applyAlignment="0" applyProtection="0"/>
    <xf numFmtId="314" fontId="272" fillId="0" borderId="0" applyFont="0" applyFill="0" applyBorder="0" applyAlignment="0" applyProtection="0"/>
    <xf numFmtId="314" fontId="272" fillId="0" borderId="0" applyFont="0" applyFill="0" applyBorder="0" applyAlignment="0" applyProtection="0"/>
    <xf numFmtId="314" fontId="272" fillId="0" borderId="0" applyFont="0" applyFill="0" applyBorder="0" applyAlignment="0" applyProtection="0"/>
    <xf numFmtId="314" fontId="272" fillId="0" borderId="0" applyFont="0" applyFill="0" applyBorder="0" applyAlignment="0" applyProtection="0"/>
    <xf numFmtId="314" fontId="272" fillId="0" borderId="0" applyFont="0" applyFill="0" applyBorder="0" applyAlignment="0" applyProtection="0"/>
    <xf numFmtId="314" fontId="272" fillId="0" borderId="0" applyFont="0" applyFill="0" applyBorder="0" applyAlignment="0" applyProtection="0"/>
    <xf numFmtId="314" fontId="272" fillId="0" borderId="0" applyFont="0" applyFill="0" applyBorder="0" applyAlignment="0" applyProtection="0"/>
    <xf numFmtId="314" fontId="272" fillId="0" borderId="0" applyFont="0" applyFill="0" applyBorder="0" applyAlignment="0" applyProtection="0"/>
    <xf numFmtId="314" fontId="272" fillId="0" borderId="0" applyFont="0" applyFill="0" applyBorder="0" applyAlignment="0" applyProtection="0"/>
    <xf numFmtId="314" fontId="272" fillId="0" borderId="0" applyFont="0" applyFill="0" applyBorder="0" applyAlignment="0" applyProtection="0"/>
    <xf numFmtId="314" fontId="272" fillId="0" borderId="0" applyFont="0" applyFill="0" applyBorder="0" applyAlignment="0" applyProtection="0"/>
    <xf numFmtId="314" fontId="272" fillId="0" borderId="0" applyFont="0" applyFill="0" applyBorder="0" applyAlignment="0" applyProtection="0"/>
    <xf numFmtId="314" fontId="272" fillId="0" borderId="0" applyFont="0" applyFill="0" applyBorder="0" applyAlignment="0" applyProtection="0"/>
    <xf numFmtId="314" fontId="272" fillId="0" borderId="0" applyFont="0" applyFill="0" applyBorder="0" applyAlignment="0" applyProtection="0"/>
    <xf numFmtId="183" fontId="4" fillId="0" borderId="0" applyFont="0" applyFill="0" applyBorder="0" applyAlignment="0" applyProtection="0"/>
    <xf numFmtId="309" fontId="4" fillId="0" borderId="0" applyFill="0" applyBorder="0"/>
    <xf numFmtId="309" fontId="151" fillId="0" borderId="0" applyFill="0" applyBorder="0">
      <protection locked="0"/>
    </xf>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2" fillId="0" borderId="0" applyFont="0" applyFill="0" applyBorder="0" applyAlignment="0" applyProtection="0"/>
    <xf numFmtId="9" fontId="4" fillId="0" borderId="0" applyFont="0" applyFill="0" applyBorder="0" applyAlignment="0" applyProtection="0"/>
    <xf numFmtId="9" fontId="2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3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315" fontId="124" fillId="0" borderId="0" applyFont="0" applyFill="0" applyBorder="0" applyProtection="0">
      <alignment horizontal="right"/>
    </xf>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6"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89"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252" fontId="272" fillId="0" borderId="0" applyFill="0" applyBorder="0" applyAlignment="0"/>
    <xf numFmtId="0" fontId="55" fillId="0" borderId="0" applyNumberFormat="0" applyFont="0" applyFill="0" applyBorder="0" applyAlignment="0" applyProtection="0">
      <alignment horizontal="left"/>
    </xf>
    <xf numFmtId="15" fontId="55" fillId="0" borderId="0" applyFont="0" applyFill="0" applyBorder="0" applyAlignment="0" applyProtection="0"/>
    <xf numFmtId="15" fontId="55" fillId="0" borderId="0" applyFont="0" applyFill="0" applyBorder="0" applyAlignment="0" applyProtection="0"/>
    <xf numFmtId="4" fontId="55" fillId="0" borderId="0" applyFont="0" applyFill="0" applyBorder="0" applyAlignment="0" applyProtection="0"/>
    <xf numFmtId="3" fontId="55" fillId="0" borderId="0" applyFont="0" applyFill="0" applyBorder="0" applyAlignment="0" applyProtection="0"/>
    <xf numFmtId="316" fontId="4" fillId="0" borderId="18" applyFont="0" applyFill="0" applyBorder="0" applyAlignment="0" applyProtection="0"/>
    <xf numFmtId="317" fontId="4" fillId="0" borderId="0" applyFont="0" applyFill="0" applyBorder="0" applyAlignment="0" applyProtection="0"/>
    <xf numFmtId="0" fontId="4" fillId="111" borderId="0" applyNumberFormat="0" applyFont="0" applyBorder="0" applyAlignment="0" applyProtection="0"/>
    <xf numFmtId="2" fontId="303" fillId="112" borderId="69" applyAlignment="0" applyProtection="0">
      <protection locked="0"/>
    </xf>
    <xf numFmtId="0" fontId="304" fillId="21" borderId="69" applyNumberFormat="0" applyAlignment="0" applyProtection="0"/>
    <xf numFmtId="0" fontId="305" fillId="81" borderId="28" applyNumberFormat="0" applyAlignment="0" applyProtection="0">
      <alignment horizontal="center" vertical="center"/>
    </xf>
    <xf numFmtId="318" fontId="40" fillId="0" borderId="0" applyNumberFormat="0" applyFill="0" applyBorder="0" applyAlignment="0" applyProtection="0"/>
    <xf numFmtId="318" fontId="111" fillId="0" borderId="0" applyNumberFormat="0" applyFill="0" applyBorder="0" applyAlignment="0" applyProtection="0"/>
    <xf numFmtId="0" fontId="306" fillId="55" borderId="0" applyNumberFormat="0" applyBorder="0" applyAlignment="0"/>
    <xf numFmtId="0" fontId="50" fillId="93" borderId="0" applyNumberFormat="0" applyFont="0" applyBorder="0" applyAlignment="0" applyProtection="0"/>
    <xf numFmtId="0" fontId="46" fillId="0" borderId="0"/>
    <xf numFmtId="0" fontId="307" fillId="113" borderId="109" applyNumberFormat="0" applyAlignment="0" applyProtection="0"/>
    <xf numFmtId="0" fontId="307" fillId="113" borderId="109" applyNumberFormat="0" applyAlignment="0" applyProtection="0"/>
    <xf numFmtId="0" fontId="307" fillId="114" borderId="109" applyNumberFormat="0" applyAlignment="0" applyProtection="0"/>
    <xf numFmtId="0" fontId="135" fillId="0" borderId="0" applyNumberFormat="0" applyBorder="0" applyAlignment="0"/>
    <xf numFmtId="0" fontId="135" fillId="0" borderId="0" applyNumberFormat="0" applyBorder="0" applyAlignment="0"/>
    <xf numFmtId="3" fontId="308" fillId="0" borderId="0"/>
    <xf numFmtId="3" fontId="309" fillId="0" borderId="42"/>
    <xf numFmtId="3" fontId="309" fillId="0" borderId="110"/>
    <xf numFmtId="3" fontId="309" fillId="0" borderId="111"/>
    <xf numFmtId="3" fontId="308" fillId="0" borderId="0"/>
    <xf numFmtId="0" fontId="26" fillId="0" borderId="0" applyFill="0" applyBorder="0" applyProtection="0">
      <alignment horizontal="center" vertical="center"/>
    </xf>
    <xf numFmtId="0" fontId="26" fillId="0" borderId="0" applyFill="0" applyBorder="0" applyProtection="0"/>
    <xf numFmtId="0" fontId="40" fillId="0" borderId="0" applyFill="0" applyBorder="0" applyProtection="0">
      <alignment horizontal="left"/>
    </xf>
    <xf numFmtId="49" fontId="135" fillId="0" borderId="0" applyFill="0" applyBorder="0" applyAlignment="0"/>
    <xf numFmtId="49" fontId="135" fillId="0" borderId="0" applyFill="0" applyBorder="0" applyAlignment="0"/>
    <xf numFmtId="49" fontId="135" fillId="0" borderId="0" applyFill="0" applyBorder="0" applyAlignment="0"/>
    <xf numFmtId="49" fontId="135" fillId="0" borderId="0" applyFill="0" applyBorder="0" applyAlignment="0"/>
    <xf numFmtId="49" fontId="135" fillId="0" borderId="0" applyFill="0" applyBorder="0" applyAlignment="0"/>
    <xf numFmtId="49" fontId="135" fillId="0" borderId="0" applyFill="0" applyBorder="0" applyAlignment="0"/>
    <xf numFmtId="49" fontId="135" fillId="0" borderId="0" applyFill="0" applyBorder="0" applyAlignment="0"/>
    <xf numFmtId="49" fontId="135" fillId="0" borderId="0" applyFill="0" applyBorder="0" applyAlignment="0"/>
    <xf numFmtId="49" fontId="135" fillId="0" borderId="0" applyFill="0" applyBorder="0" applyAlignment="0"/>
    <xf numFmtId="49" fontId="135" fillId="0" borderId="0" applyFill="0" applyBorder="0" applyAlignment="0"/>
    <xf numFmtId="49" fontId="135" fillId="0" borderId="0" applyFill="0" applyBorder="0" applyAlignment="0"/>
    <xf numFmtId="49" fontId="135" fillId="0" borderId="0" applyFill="0" applyBorder="0" applyAlignment="0"/>
    <xf numFmtId="49" fontId="135" fillId="0" borderId="0" applyFill="0" applyBorder="0" applyAlignment="0"/>
    <xf numFmtId="49" fontId="135" fillId="0" borderId="0" applyFill="0" applyBorder="0" applyAlignment="0"/>
    <xf numFmtId="49" fontId="135" fillId="0" borderId="0" applyFill="0" applyBorder="0" applyAlignment="0"/>
    <xf numFmtId="49" fontId="135" fillId="0" borderId="0" applyFill="0" applyBorder="0" applyAlignment="0"/>
    <xf numFmtId="49" fontId="135" fillId="0" borderId="0" applyFill="0" applyBorder="0" applyAlignment="0"/>
    <xf numFmtId="49" fontId="135" fillId="0" borderId="0" applyFill="0" applyBorder="0" applyAlignment="0"/>
    <xf numFmtId="49" fontId="135" fillId="0" borderId="0" applyFill="0" applyBorder="0" applyAlignment="0"/>
    <xf numFmtId="319" fontId="272" fillId="0" borderId="0" applyFill="0" applyBorder="0" applyAlignment="0"/>
    <xf numFmtId="319" fontId="272" fillId="0" borderId="0" applyFill="0" applyBorder="0" applyAlignment="0"/>
    <xf numFmtId="319" fontId="272" fillId="0" borderId="0" applyFill="0" applyBorder="0" applyAlignment="0"/>
    <xf numFmtId="319" fontId="272" fillId="0" borderId="0" applyFill="0" applyBorder="0" applyAlignment="0"/>
    <xf numFmtId="319" fontId="272" fillId="0" borderId="0" applyFill="0" applyBorder="0" applyAlignment="0"/>
    <xf numFmtId="319" fontId="272" fillId="0" borderId="0" applyFill="0" applyBorder="0" applyAlignment="0"/>
    <xf numFmtId="319" fontId="272" fillId="0" borderId="0" applyFill="0" applyBorder="0" applyAlignment="0"/>
    <xf numFmtId="319" fontId="272" fillId="0" borderId="0" applyFill="0" applyBorder="0" applyAlignment="0"/>
    <xf numFmtId="319" fontId="272" fillId="0" borderId="0" applyFill="0" applyBorder="0" applyAlignment="0"/>
    <xf numFmtId="319" fontId="272" fillId="0" borderId="0" applyFill="0" applyBorder="0" applyAlignment="0"/>
    <xf numFmtId="319" fontId="272" fillId="0" borderId="0" applyFill="0" applyBorder="0" applyAlignment="0"/>
    <xf numFmtId="319" fontId="272" fillId="0" borderId="0" applyFill="0" applyBorder="0" applyAlignment="0"/>
    <xf numFmtId="319" fontId="272" fillId="0" borderId="0" applyFill="0" applyBorder="0" applyAlignment="0"/>
    <xf numFmtId="319" fontId="272" fillId="0" borderId="0" applyFill="0" applyBorder="0" applyAlignment="0"/>
    <xf numFmtId="319" fontId="272" fillId="0" borderId="0" applyFill="0" applyBorder="0" applyAlignment="0"/>
    <xf numFmtId="319" fontId="272" fillId="0" borderId="0" applyFill="0" applyBorder="0" applyAlignment="0"/>
    <xf numFmtId="319" fontId="272" fillId="0" borderId="0" applyFill="0" applyBorder="0" applyAlignment="0"/>
    <xf numFmtId="319" fontId="272" fillId="0" borderId="0" applyFill="0" applyBorder="0" applyAlignment="0"/>
    <xf numFmtId="319" fontId="272" fillId="0" borderId="0" applyFill="0" applyBorder="0" applyAlignment="0"/>
    <xf numFmtId="319" fontId="272" fillId="0" borderId="0" applyFill="0" applyBorder="0" applyAlignment="0"/>
    <xf numFmtId="319" fontId="272" fillId="0" borderId="0" applyFill="0" applyBorder="0" applyAlignment="0"/>
    <xf numFmtId="319" fontId="272" fillId="0" borderId="0" applyFill="0" applyBorder="0" applyAlignment="0"/>
    <xf numFmtId="319" fontId="272" fillId="0" borderId="0" applyFill="0" applyBorder="0" applyAlignment="0"/>
    <xf numFmtId="319" fontId="272" fillId="0" borderId="0" applyFill="0" applyBorder="0" applyAlignment="0"/>
    <xf numFmtId="319" fontId="272" fillId="0" borderId="0" applyFill="0" applyBorder="0" applyAlignment="0"/>
    <xf numFmtId="319" fontId="272" fillId="0" borderId="0" applyFill="0" applyBorder="0" applyAlignment="0"/>
    <xf numFmtId="319" fontId="272" fillId="0" borderId="0" applyFill="0" applyBorder="0" applyAlignment="0"/>
    <xf numFmtId="319" fontId="272" fillId="0" borderId="0" applyFill="0" applyBorder="0" applyAlignment="0"/>
    <xf numFmtId="320" fontId="272" fillId="0" borderId="0" applyFill="0" applyBorder="0" applyAlignment="0"/>
    <xf numFmtId="320" fontId="272" fillId="0" borderId="0" applyFill="0" applyBorder="0" applyAlignment="0"/>
    <xf numFmtId="320" fontId="272" fillId="0" borderId="0" applyFill="0" applyBorder="0" applyAlignment="0"/>
    <xf numFmtId="320" fontId="272" fillId="0" borderId="0" applyFill="0" applyBorder="0" applyAlignment="0"/>
    <xf numFmtId="320" fontId="272" fillId="0" borderId="0" applyFill="0" applyBorder="0" applyAlignment="0"/>
    <xf numFmtId="320" fontId="272" fillId="0" borderId="0" applyFill="0" applyBorder="0" applyAlignment="0"/>
    <xf numFmtId="320" fontId="272" fillId="0" borderId="0" applyFill="0" applyBorder="0" applyAlignment="0"/>
    <xf numFmtId="320" fontId="272" fillId="0" borderId="0" applyFill="0" applyBorder="0" applyAlignment="0"/>
    <xf numFmtId="320" fontId="272" fillId="0" borderId="0" applyFill="0" applyBorder="0" applyAlignment="0"/>
    <xf numFmtId="320" fontId="272" fillId="0" borderId="0" applyFill="0" applyBorder="0" applyAlignment="0"/>
    <xf numFmtId="320" fontId="272" fillId="0" borderId="0" applyFill="0" applyBorder="0" applyAlignment="0"/>
    <xf numFmtId="320" fontId="272" fillId="0" borderId="0" applyFill="0" applyBorder="0" applyAlignment="0"/>
    <xf numFmtId="320" fontId="272" fillId="0" borderId="0" applyFill="0" applyBorder="0" applyAlignment="0"/>
    <xf numFmtId="320" fontId="272" fillId="0" borderId="0" applyFill="0" applyBorder="0" applyAlignment="0"/>
    <xf numFmtId="320" fontId="272" fillId="0" borderId="0" applyFill="0" applyBorder="0" applyAlignment="0"/>
    <xf numFmtId="320" fontId="272" fillId="0" borderId="0" applyFill="0" applyBorder="0" applyAlignment="0"/>
    <xf numFmtId="320" fontId="272" fillId="0" borderId="0" applyFill="0" applyBorder="0" applyAlignment="0"/>
    <xf numFmtId="320" fontId="272" fillId="0" borderId="0" applyFill="0" applyBorder="0" applyAlignment="0"/>
    <xf numFmtId="320" fontId="272" fillId="0" borderId="0" applyFill="0" applyBorder="0" applyAlignment="0"/>
    <xf numFmtId="320" fontId="272" fillId="0" borderId="0" applyFill="0" applyBorder="0" applyAlignment="0"/>
    <xf numFmtId="320" fontId="272" fillId="0" borderId="0" applyFill="0" applyBorder="0" applyAlignment="0"/>
    <xf numFmtId="320" fontId="272" fillId="0" borderId="0" applyFill="0" applyBorder="0" applyAlignment="0"/>
    <xf numFmtId="320" fontId="272" fillId="0" borderId="0" applyFill="0" applyBorder="0" applyAlignment="0"/>
    <xf numFmtId="320" fontId="272" fillId="0" borderId="0" applyFill="0" applyBorder="0" applyAlignment="0"/>
    <xf numFmtId="320" fontId="272" fillId="0" borderId="0" applyFill="0" applyBorder="0" applyAlignment="0"/>
    <xf numFmtId="320" fontId="272" fillId="0" borderId="0" applyFill="0" applyBorder="0" applyAlignment="0"/>
    <xf numFmtId="320" fontId="272" fillId="0" borderId="0" applyFill="0" applyBorder="0" applyAlignment="0"/>
    <xf numFmtId="320" fontId="272" fillId="0" borderId="0" applyFill="0" applyBorder="0" applyAlignment="0"/>
    <xf numFmtId="0" fontId="4" fillId="0" borderId="0" applyFill="0" applyBorder="0">
      <alignment horizontal="right"/>
    </xf>
    <xf numFmtId="15" fontId="269" fillId="26" borderId="0" applyBorder="0" applyProtection="0">
      <alignment horizontal="centerContinuous"/>
    </xf>
    <xf numFmtId="271" fontId="43" fillId="80" borderId="0" applyNumberFormat="0">
      <alignment vertical="center"/>
    </xf>
    <xf numFmtId="271" fontId="43" fillId="80" borderId="0" applyNumberFormat="0">
      <alignment vertical="center"/>
    </xf>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79" fillId="0" borderId="0" applyNumberFormat="0" applyFill="0" applyBorder="0" applyAlignment="0" applyProtection="0"/>
    <xf numFmtId="0" fontId="244" fillId="0" borderId="0" applyNumberFormat="0" applyFill="0" applyBorder="0" applyAlignment="0" applyProtection="0"/>
    <xf numFmtId="271" fontId="310" fillId="54" borderId="0" applyNumberFormat="0">
      <alignment vertical="center"/>
    </xf>
    <xf numFmtId="0" fontId="311" fillId="59" borderId="0" applyNumberFormat="0" applyBorder="0" applyProtection="0">
      <alignment horizontal="center" vertical="top" wrapText="1"/>
    </xf>
    <xf numFmtId="271" fontId="80" fillId="0" borderId="0" applyNumberFormat="0">
      <alignment vertical="center"/>
    </xf>
    <xf numFmtId="271" fontId="80" fillId="0" borderId="0" applyNumberFormat="0">
      <alignment vertical="center"/>
    </xf>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182" fontId="37" fillId="0" borderId="0" applyNumberFormat="0" applyFont="0" applyBorder="0" applyAlignment="0" applyProtection="0"/>
    <xf numFmtId="1" fontId="37" fillId="20" borderId="0" applyFont="0" applyBorder="0" applyAlignment="0" applyProtection="0"/>
    <xf numFmtId="203" fontId="4" fillId="0" borderId="33" applyFill="0"/>
    <xf numFmtId="0" fontId="58" fillId="0" borderId="60" applyNumberFormat="0" applyFill="0" applyAlignment="0" applyProtection="0"/>
    <xf numFmtId="0" fontId="58" fillId="0" borderId="60" applyNumberFormat="0" applyFill="0" applyAlignment="0" applyProtection="0"/>
    <xf numFmtId="0" fontId="58" fillId="0" borderId="19" applyNumberFormat="0" applyFill="0" applyAlignment="0" applyProtection="0"/>
    <xf numFmtId="0" fontId="58" fillId="0" borderId="60" applyNumberFormat="0" applyFill="0" applyAlignment="0" applyProtection="0"/>
    <xf numFmtId="203" fontId="4" fillId="0" borderId="36" applyFill="0"/>
    <xf numFmtId="0" fontId="58" fillId="0" borderId="112" applyNumberFormat="0" applyFill="0" applyAlignment="0" applyProtection="0"/>
    <xf numFmtId="0" fontId="58" fillId="0" borderId="60" applyNumberFormat="0" applyFill="0" applyAlignment="0" applyProtection="0"/>
    <xf numFmtId="0" fontId="58" fillId="0" borderId="60" applyNumberFormat="0" applyFill="0" applyAlignment="0" applyProtection="0"/>
    <xf numFmtId="0" fontId="58" fillId="0" borderId="60" applyNumberFormat="0" applyFill="0" applyAlignment="0" applyProtection="0"/>
    <xf numFmtId="0" fontId="58" fillId="0" borderId="60" applyNumberFormat="0" applyFill="0" applyAlignment="0" applyProtection="0"/>
    <xf numFmtId="0" fontId="58" fillId="0" borderId="60" applyNumberFormat="0" applyFill="0" applyAlignment="0" applyProtection="0"/>
    <xf numFmtId="0" fontId="58" fillId="0" borderId="60" applyNumberFormat="0" applyFill="0" applyAlignment="0" applyProtection="0"/>
    <xf numFmtId="38" fontId="282" fillId="0" borderId="2" applyNumberFormat="0" applyFont="0" applyFill="0" applyAlignment="0"/>
    <xf numFmtId="37" fontId="151" fillId="112" borderId="0" applyNumberFormat="0" applyBorder="0" applyAlignment="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0" fontId="50" fillId="0" borderId="0" applyFont="0" applyFill="0" applyBorder="0" applyAlignment="0" applyProtection="0"/>
    <xf numFmtId="37" fontId="50" fillId="0" borderId="0" applyFon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321" fontId="4" fillId="0" borderId="0" applyFont="0" applyFill="0" applyBorder="0" applyProtection="0">
      <alignment horizontal="right"/>
    </xf>
    <xf numFmtId="322" fontId="4" fillId="0" borderId="0" applyFont="0" applyFill="0" applyBorder="0" applyAlignment="0" applyProtection="0"/>
    <xf numFmtId="41" fontId="4" fillId="20" borderId="0" applyNumberFormat="0" applyFont="0" applyBorder="0" applyAlignment="0">
      <alignment horizontal="right"/>
    </xf>
    <xf numFmtId="41" fontId="4" fillId="20" borderId="0" applyNumberFormat="0" applyFont="0" applyBorder="0" applyAlignment="0">
      <alignment horizontal="right"/>
    </xf>
    <xf numFmtId="0" fontId="2" fillId="0" borderId="0"/>
    <xf numFmtId="0" fontId="2" fillId="0" borderId="0"/>
    <xf numFmtId="0" fontId="48" fillId="118" borderId="0" applyNumberFormat="0" applyBorder="0" applyAlignment="0" applyProtection="0"/>
    <xf numFmtId="0" fontId="22" fillId="119" borderId="0" applyNumberFormat="0" applyBorder="0" applyAlignment="0" applyProtection="0"/>
    <xf numFmtId="0" fontId="22" fillId="120" borderId="0" applyNumberFormat="0" applyBorder="0" applyAlignment="0" applyProtection="0"/>
    <xf numFmtId="0" fontId="48" fillId="121" borderId="0" applyNumberFormat="0" applyBorder="0" applyAlignment="0" applyProtection="0"/>
    <xf numFmtId="0" fontId="22" fillId="40" borderId="0" applyNumberFormat="0" applyBorder="0" applyAlignment="0" applyProtection="0"/>
    <xf numFmtId="0" fontId="48" fillId="117" borderId="0" applyNumberFormat="0" applyBorder="0" applyAlignment="0" applyProtection="0"/>
    <xf numFmtId="0" fontId="22" fillId="122" borderId="0" applyNumberFormat="0" applyBorder="0" applyAlignment="0" applyProtection="0"/>
    <xf numFmtId="0" fontId="22" fillId="123" borderId="0" applyNumberFormat="0" applyBorder="0" applyAlignment="0" applyProtection="0"/>
    <xf numFmtId="0" fontId="48" fillId="116" borderId="0" applyNumberFormat="0" applyBorder="0" applyAlignment="0" applyProtection="0"/>
    <xf numFmtId="43" fontId="22" fillId="0" borderId="0" applyFont="0" applyFill="0" applyBorder="0" applyAlignment="0" applyProtection="0"/>
    <xf numFmtId="0" fontId="48" fillId="124" borderId="0" applyNumberFormat="0" applyBorder="0" applyAlignment="0" applyProtection="0"/>
    <xf numFmtId="43" fontId="22" fillId="0" borderId="0" applyFont="0" applyFill="0" applyBorder="0" applyAlignment="0" applyProtection="0"/>
    <xf numFmtId="0" fontId="58" fillId="125" borderId="0" applyNumberFormat="0" applyBorder="0" applyAlignment="0" applyProtection="0"/>
    <xf numFmtId="0" fontId="58" fillId="126" borderId="0" applyNumberFormat="0" applyBorder="0" applyAlignment="0" applyProtection="0"/>
    <xf numFmtId="0" fontId="58" fillId="127" borderId="0" applyNumberFormat="0" applyBorder="0" applyAlignment="0" applyProtection="0"/>
    <xf numFmtId="211" fontId="4" fillId="0" borderId="0" applyFont="0" applyFill="0" applyBorder="0" applyAlignment="0" applyProtection="0"/>
    <xf numFmtId="0" fontId="67" fillId="0" borderId="0" applyNumberFormat="0" applyFill="0" applyBorder="0" applyAlignment="0" applyProtection="0"/>
    <xf numFmtId="9" fontId="22" fillId="0" borderId="0" applyFont="0" applyFill="0" applyBorder="0" applyAlignment="0" applyProtection="0"/>
    <xf numFmtId="252" fontId="186" fillId="0" borderId="31"/>
    <xf numFmtId="4" fontId="37" fillId="33" borderId="75" applyNumberFormat="0" applyProtection="0">
      <alignment vertical="center"/>
    </xf>
    <xf numFmtId="4" fontId="313" fillId="15" borderId="75" applyNumberFormat="0" applyProtection="0">
      <alignment vertical="center"/>
    </xf>
    <xf numFmtId="4" fontId="37" fillId="15" borderId="75" applyNumberFormat="0" applyProtection="0">
      <alignment horizontal="left" vertical="center" indent="1"/>
    </xf>
    <xf numFmtId="0" fontId="294" fillId="33" borderId="113" applyNumberFormat="0" applyProtection="0">
      <alignment horizontal="left" vertical="top" indent="1"/>
    </xf>
    <xf numFmtId="4" fontId="37" fillId="37" borderId="75" applyNumberFormat="0" applyProtection="0">
      <alignment horizontal="left" vertical="center" indent="1"/>
    </xf>
    <xf numFmtId="4" fontId="37" fillId="48" borderId="75" applyNumberFormat="0" applyProtection="0">
      <alignment horizontal="right" vertical="center"/>
    </xf>
    <xf numFmtId="4" fontId="37" fillId="128" borderId="75" applyNumberFormat="0" applyProtection="0">
      <alignment horizontal="right" vertical="center"/>
    </xf>
    <xf numFmtId="4" fontId="37" fillId="41" borderId="114" applyNumberFormat="0" applyProtection="0">
      <alignment horizontal="right" vertical="center"/>
    </xf>
    <xf numFmtId="4" fontId="37" fillId="99" borderId="75" applyNumberFormat="0" applyProtection="0">
      <alignment horizontal="right" vertical="center"/>
    </xf>
    <xf numFmtId="4" fontId="37" fillId="102" borderId="75" applyNumberFormat="0" applyProtection="0">
      <alignment horizontal="right" vertical="center"/>
    </xf>
    <xf numFmtId="4" fontId="37" fillId="47" borderId="75" applyNumberFormat="0" applyProtection="0">
      <alignment horizontal="right" vertical="center"/>
    </xf>
    <xf numFmtId="4" fontId="37" fillId="43" borderId="75" applyNumberFormat="0" applyProtection="0">
      <alignment horizontal="right" vertical="center"/>
    </xf>
    <xf numFmtId="4" fontId="37" fillId="129" borderId="75" applyNumberFormat="0" applyProtection="0">
      <alignment horizontal="right" vertical="center"/>
    </xf>
    <xf numFmtId="4" fontId="37" fillId="98" borderId="75" applyNumberFormat="0" applyProtection="0">
      <alignment horizontal="right" vertical="center"/>
    </xf>
    <xf numFmtId="4" fontId="37" fillId="130" borderId="114" applyNumberFormat="0" applyProtection="0">
      <alignment horizontal="left" vertical="center" indent="1"/>
    </xf>
    <xf numFmtId="4" fontId="4" fillId="44" borderId="114" applyNumberFormat="0" applyProtection="0">
      <alignment horizontal="left" vertical="center" indent="1"/>
    </xf>
    <xf numFmtId="4" fontId="4" fillId="44" borderId="114" applyNumberFormat="0" applyProtection="0">
      <alignment horizontal="left" vertical="center" indent="1"/>
    </xf>
    <xf numFmtId="4" fontId="37" fillId="131" borderId="75" applyNumberFormat="0" applyProtection="0">
      <alignment horizontal="right" vertical="center"/>
    </xf>
    <xf numFmtId="4" fontId="37" fillId="132" borderId="114" applyNumberFormat="0" applyProtection="0">
      <alignment horizontal="left" vertical="center" indent="1"/>
    </xf>
    <xf numFmtId="4" fontId="37" fillId="131" borderId="114" applyNumberFormat="0" applyProtection="0">
      <alignment horizontal="left" vertical="center" indent="1"/>
    </xf>
    <xf numFmtId="0" fontId="37" fillId="34" borderId="75" applyNumberFormat="0" applyProtection="0">
      <alignment horizontal="left" vertical="center" indent="1"/>
    </xf>
    <xf numFmtId="0" fontId="37" fillId="44" borderId="113" applyNumberFormat="0" applyProtection="0">
      <alignment horizontal="left" vertical="top" indent="1"/>
    </xf>
    <xf numFmtId="0" fontId="37" fillId="133" borderId="75" applyNumberFormat="0" applyProtection="0">
      <alignment horizontal="left" vertical="center" indent="1"/>
    </xf>
    <xf numFmtId="0" fontId="37" fillId="131" borderId="113" applyNumberFormat="0" applyProtection="0">
      <alignment horizontal="left" vertical="top" indent="1"/>
    </xf>
    <xf numFmtId="0" fontId="37" fillId="79" borderId="75" applyNumberFormat="0" applyProtection="0">
      <alignment horizontal="left" vertical="center" indent="1"/>
    </xf>
    <xf numFmtId="0" fontId="37" fillId="79" borderId="113" applyNumberFormat="0" applyProtection="0">
      <alignment horizontal="left" vertical="top" indent="1"/>
    </xf>
    <xf numFmtId="0" fontId="37" fillId="132" borderId="75" applyNumberFormat="0" applyProtection="0">
      <alignment horizontal="left" vertical="center" indent="1"/>
    </xf>
    <xf numFmtId="0" fontId="37" fillId="132" borderId="113" applyNumberFormat="0" applyProtection="0">
      <alignment horizontal="left" vertical="top" indent="1"/>
    </xf>
    <xf numFmtId="0" fontId="37" fillId="32" borderId="115" applyNumberFormat="0">
      <protection locked="0"/>
    </xf>
    <xf numFmtId="0" fontId="42" fillId="44" borderId="116" applyBorder="0"/>
    <xf numFmtId="4" fontId="142" fillId="31" borderId="113" applyNumberFormat="0" applyProtection="0">
      <alignment vertical="center"/>
    </xf>
    <xf numFmtId="4" fontId="313" fillId="21" borderId="28" applyNumberFormat="0" applyProtection="0">
      <alignment vertical="center"/>
    </xf>
    <xf numFmtId="4" fontId="142" fillId="34" borderId="113" applyNumberFormat="0" applyProtection="0">
      <alignment horizontal="left" vertical="center" indent="1"/>
    </xf>
    <xf numFmtId="0" fontId="142" fillId="31" borderId="113" applyNumberFormat="0" applyProtection="0">
      <alignment horizontal="left" vertical="top" indent="1"/>
    </xf>
    <xf numFmtId="4" fontId="37" fillId="0" borderId="75" applyNumberFormat="0" applyProtection="0">
      <alignment horizontal="right" vertical="center"/>
    </xf>
    <xf numFmtId="4" fontId="313" fillId="19" borderId="75" applyNumberFormat="0" applyProtection="0">
      <alignment horizontal="right" vertical="center"/>
    </xf>
    <xf numFmtId="4" fontId="37" fillId="37" borderId="75" applyNumberFormat="0" applyProtection="0">
      <alignment horizontal="left" vertical="center" indent="1"/>
    </xf>
    <xf numFmtId="0" fontId="142" fillId="131" borderId="113" applyNumberFormat="0" applyProtection="0">
      <alignment horizontal="left" vertical="top" indent="1"/>
    </xf>
    <xf numFmtId="4" fontId="314" fillId="110" borderId="114" applyNumberFormat="0" applyProtection="0">
      <alignment horizontal="left" vertical="center" indent="1"/>
    </xf>
    <xf numFmtId="0" fontId="37" fillId="134" borderId="28"/>
    <xf numFmtId="4" fontId="315" fillId="32" borderId="75" applyNumberFormat="0" applyProtection="0">
      <alignment horizontal="right" vertical="center"/>
    </xf>
    <xf numFmtId="323" fontId="135" fillId="0" borderId="30">
      <alignment horizontal="justify" vertical="top" wrapText="1"/>
    </xf>
    <xf numFmtId="14" fontId="22" fillId="0" borderId="18"/>
    <xf numFmtId="2" fontId="109" fillId="0" borderId="0" applyBorder="0"/>
    <xf numFmtId="0" fontId="22" fillId="115" borderId="0" applyNumberFormat="0" applyBorder="0" applyAlignment="0" applyProtection="0"/>
    <xf numFmtId="0" fontId="22" fillId="39" borderId="0" applyNumberFormat="0" applyBorder="0" applyAlignment="0" applyProtection="0"/>
    <xf numFmtId="0" fontId="22" fillId="35" borderId="0" applyNumberFormat="0" applyBorder="0" applyAlignment="0" applyProtection="0"/>
    <xf numFmtId="0" fontId="22" fillId="117" borderId="0" applyNumberFormat="0" applyBorder="0" applyAlignment="0" applyProtection="0"/>
    <xf numFmtId="0" fontId="22" fillId="119" borderId="0" applyNumberFormat="0" applyBorder="0" applyAlignment="0" applyProtection="0"/>
    <xf numFmtId="0" fontId="22" fillId="120" borderId="0" applyNumberFormat="0" applyBorder="0" applyAlignment="0" applyProtection="0"/>
    <xf numFmtId="0" fontId="22" fillId="35" borderId="0" applyNumberFormat="0" applyBorder="0" applyAlignment="0" applyProtection="0"/>
    <xf numFmtId="0" fontId="22" fillId="40" borderId="0" applyNumberFormat="0" applyBorder="0" applyAlignment="0" applyProtection="0"/>
    <xf numFmtId="0" fontId="22" fillId="122" borderId="0" applyNumberFormat="0" applyBorder="0" applyAlignment="0" applyProtection="0"/>
    <xf numFmtId="0" fontId="22" fillId="123" borderId="0" applyNumberFormat="0" applyBorder="0" applyAlignment="0" applyProtection="0"/>
    <xf numFmtId="0" fontId="22" fillId="38" borderId="0" applyNumberFormat="0" applyBorder="0" applyAlignment="0" applyProtection="0"/>
    <xf numFmtId="0" fontId="22" fillId="46" borderId="0" applyNumberFormat="0" applyBorder="0" applyAlignment="0" applyProtection="0"/>
    <xf numFmtId="43" fontId="22" fillId="0" borderId="0" applyFont="0" applyFill="0" applyBorder="0" applyAlignment="0" applyProtection="0"/>
    <xf numFmtId="211" fontId="4" fillId="0" borderId="0" applyFont="0" applyFill="0" applyBorder="0" applyAlignment="0" applyProtection="0"/>
    <xf numFmtId="0" fontId="22" fillId="0" borderId="0"/>
    <xf numFmtId="9" fontId="22" fillId="0" borderId="0" applyFont="0" applyFill="0" applyBorder="0" applyAlignment="0" applyProtection="0"/>
    <xf numFmtId="14" fontId="22" fillId="0" borderId="18"/>
    <xf numFmtId="0" fontId="312" fillId="0" borderId="0"/>
    <xf numFmtId="9" fontId="22" fillId="0" borderId="0" applyFont="0" applyFill="0" applyBorder="0" applyAlignment="0" applyProtection="0"/>
    <xf numFmtId="0" fontId="6" fillId="0" borderId="0"/>
    <xf numFmtId="0" fontId="6" fillId="0" borderId="0"/>
    <xf numFmtId="0" fontId="2" fillId="0" borderId="0"/>
    <xf numFmtId="0" fontId="6" fillId="0" borderId="0"/>
    <xf numFmtId="43" fontId="2" fillId="0" borderId="0" applyFont="0" applyFill="0" applyBorder="0" applyAlignment="0" applyProtection="0"/>
    <xf numFmtId="0" fontId="48" fillId="36" borderId="0" applyNumberFormat="0" applyBorder="0" applyAlignment="0" applyProtection="0"/>
    <xf numFmtId="0" fontId="22" fillId="38" borderId="0" applyNumberFormat="0" applyBorder="0" applyAlignment="0" applyProtection="0"/>
    <xf numFmtId="43"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2" fillId="0" borderId="0"/>
    <xf numFmtId="0" fontId="135" fillId="0" borderId="0"/>
    <xf numFmtId="0" fontId="48" fillId="39" borderId="0" applyNumberFormat="0" applyBorder="0" applyAlignment="0" applyProtection="0"/>
    <xf numFmtId="0" fontId="6"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9" borderId="0" applyNumberFormat="0" applyBorder="0" applyAlignment="0" applyProtection="0"/>
    <xf numFmtId="0" fontId="48" fillId="40" borderId="0" applyNumberFormat="0" applyBorder="0" applyAlignment="0" applyProtection="0"/>
    <xf numFmtId="0" fontId="22" fillId="38" borderId="0" applyNumberFormat="0" applyBorder="0" applyAlignment="0" applyProtection="0"/>
    <xf numFmtId="0" fontId="22" fillId="42" borderId="0" applyNumberFormat="0" applyBorder="0" applyAlignment="0" applyProtection="0"/>
    <xf numFmtId="0" fontId="48" fillId="39" borderId="0" applyNumberFormat="0" applyBorder="0" applyAlignment="0" applyProtection="0"/>
    <xf numFmtId="0" fontId="22" fillId="39" borderId="0" applyNumberFormat="0" applyBorder="0" applyAlignment="0" applyProtection="0"/>
    <xf numFmtId="0" fontId="22" fillId="45" borderId="0" applyNumberFormat="0" applyBorder="0" applyAlignment="0" applyProtection="0"/>
    <xf numFmtId="0" fontId="48" fillId="36" borderId="0" applyNumberFormat="0" applyBorder="0" applyAlignment="0" applyProtection="0"/>
    <xf numFmtId="0" fontId="48" fillId="46" borderId="0" applyNumberFormat="0" applyBorder="0" applyAlignment="0" applyProtection="0"/>
    <xf numFmtId="0" fontId="58" fillId="50" borderId="0" applyNumberFormat="0" applyBorder="0" applyAlignment="0" applyProtection="0"/>
    <xf numFmtId="0" fontId="58" fillId="51" borderId="0" applyNumberFormat="0" applyBorder="0" applyAlignment="0" applyProtection="0"/>
    <xf numFmtId="0" fontId="58" fillId="52" borderId="0" applyNumberFormat="0" applyBorder="0" applyAlignment="0" applyProtection="0"/>
    <xf numFmtId="184" fontId="22" fillId="0" borderId="0" applyFont="0" applyFill="0" applyBorder="0" applyAlignment="0" applyProtection="0"/>
    <xf numFmtId="0" fontId="22" fillId="0" borderId="0"/>
    <xf numFmtId="0" fontId="22" fillId="0" borderId="0"/>
    <xf numFmtId="0" fontId="4" fillId="0" borderId="0"/>
    <xf numFmtId="0" fontId="2" fillId="0" borderId="0"/>
    <xf numFmtId="43" fontId="22" fillId="0" borderId="0" applyFont="0" applyFill="0" applyBorder="0" applyAlignment="0" applyProtection="0"/>
    <xf numFmtId="43" fontId="22" fillId="0" borderId="0" applyFont="0" applyFill="0" applyBorder="0" applyAlignment="0" applyProtection="0"/>
    <xf numFmtId="0" fontId="135" fillId="0" borderId="0"/>
    <xf numFmtId="0" fontId="22" fillId="35" borderId="0" applyNumberFormat="0" applyBorder="0" applyAlignment="0" applyProtection="0"/>
    <xf numFmtId="9" fontId="22" fillId="0" borderId="0" applyFont="0" applyFill="0" applyBorder="0" applyAlignment="0" applyProtection="0"/>
    <xf numFmtId="9" fontId="4" fillId="0" borderId="0" applyFont="0" applyFill="0" applyBorder="0" applyAlignment="0" applyProtection="0"/>
    <xf numFmtId="0" fontId="46" fillId="0" borderId="0"/>
    <xf numFmtId="0" fontId="135" fillId="0" borderId="0"/>
    <xf numFmtId="9" fontId="22" fillId="0" borderId="0" applyFont="0" applyFill="0" applyBorder="0" applyAlignment="0" applyProtection="0"/>
    <xf numFmtId="252" fontId="186" fillId="0" borderId="31"/>
    <xf numFmtId="9" fontId="22" fillId="0" borderId="0" applyFont="0" applyFill="0" applyBorder="0" applyAlignment="0" applyProtection="0"/>
    <xf numFmtId="0" fontId="135" fillId="0" borderId="0"/>
    <xf numFmtId="43" fontId="2" fillId="0" borderId="0" applyFont="0" applyFill="0" applyBorder="0" applyAlignment="0" applyProtection="0"/>
    <xf numFmtId="41" fontId="4" fillId="20" borderId="0" applyNumberFormat="0" applyFont="0" applyBorder="0" applyAlignment="0">
      <alignment horizontal="right"/>
    </xf>
    <xf numFmtId="41" fontId="4" fillId="20" borderId="0" applyNumberFormat="0" applyFont="0" applyBorder="0" applyAlignment="0">
      <alignment horizontal="right"/>
    </xf>
    <xf numFmtId="0" fontId="135" fillId="0" borderId="0"/>
    <xf numFmtId="0" fontId="135" fillId="0" borderId="0"/>
    <xf numFmtId="190" fontId="4" fillId="0" borderId="34" applyNumberFormat="0" applyBorder="0" applyAlignment="0" applyProtection="0"/>
    <xf numFmtId="182" fontId="37" fillId="0" borderId="34" applyBorder="0">
      <alignment horizontal="right"/>
    </xf>
    <xf numFmtId="182" fontId="37" fillId="0" borderId="34" applyBorder="0">
      <alignment horizontal="right"/>
    </xf>
    <xf numFmtId="182" fontId="37" fillId="0" borderId="34" applyBorder="0">
      <alignment horizontal="right"/>
    </xf>
    <xf numFmtId="182" fontId="37" fillId="0" borderId="34" applyBorder="0">
      <alignment horizontal="right"/>
    </xf>
    <xf numFmtId="182" fontId="37" fillId="0" borderId="34" applyBorder="0">
      <alignment horizontal="right"/>
    </xf>
    <xf numFmtId="182" fontId="37" fillId="0" borderId="34" applyBorder="0">
      <alignment horizontal="right"/>
    </xf>
    <xf numFmtId="182" fontId="37" fillId="0" borderId="34" applyBorder="0">
      <alignment horizontal="right"/>
    </xf>
    <xf numFmtId="182" fontId="37" fillId="0" borderId="34" applyBorder="0">
      <alignment horizontal="right"/>
    </xf>
    <xf numFmtId="182" fontId="37" fillId="0" borderId="34" applyBorder="0">
      <alignment horizontal="right"/>
    </xf>
    <xf numFmtId="182" fontId="37" fillId="0" borderId="34" applyBorder="0">
      <alignment horizontal="right"/>
    </xf>
    <xf numFmtId="182" fontId="37" fillId="0" borderId="34" applyBorder="0">
      <alignment horizontal="right"/>
    </xf>
    <xf numFmtId="182" fontId="37" fillId="0" borderId="34" applyBorder="0">
      <alignment horizontal="right"/>
    </xf>
    <xf numFmtId="182" fontId="37" fillId="0" borderId="34" applyBorder="0">
      <alignment horizontal="right"/>
    </xf>
    <xf numFmtId="182" fontId="37" fillId="0" borderId="34" applyBorder="0">
      <alignment horizontal="right"/>
    </xf>
    <xf numFmtId="182" fontId="37" fillId="0" borderId="34" applyBorder="0">
      <alignment horizontal="right"/>
    </xf>
    <xf numFmtId="190" fontId="4" fillId="0" borderId="34" applyNumberFormat="0" applyBorder="0" applyAlignment="0" applyProtection="0"/>
    <xf numFmtId="190" fontId="4" fillId="0" borderId="34" applyNumberFormat="0" applyBorder="0" applyAlignment="0" applyProtection="0"/>
    <xf numFmtId="190" fontId="4" fillId="0" borderId="34" applyNumberFormat="0" applyBorder="0" applyAlignment="0" applyProtection="0"/>
    <xf numFmtId="190" fontId="4" fillId="0" borderId="34" applyNumberFormat="0" applyBorder="0" applyAlignment="0" applyProtection="0"/>
    <xf numFmtId="190" fontId="4" fillId="0" borderId="34" applyNumberFormat="0" applyBorder="0" applyAlignment="0" applyProtection="0"/>
    <xf numFmtId="190" fontId="4" fillId="0" borderId="34" applyNumberFormat="0" applyBorder="0" applyAlignment="0" applyProtection="0"/>
    <xf numFmtId="190" fontId="4" fillId="0" borderId="34" applyNumberFormat="0" applyBorder="0" applyAlignment="0" applyProtection="0"/>
    <xf numFmtId="190" fontId="4" fillId="0" borderId="34" applyNumberFormat="0" applyBorder="0" applyAlignment="0" applyProtection="0"/>
    <xf numFmtId="190" fontId="4" fillId="0" borderId="34" applyNumberFormat="0" applyBorder="0" applyAlignment="0" applyProtection="0"/>
    <xf numFmtId="190" fontId="4" fillId="0" borderId="34" applyNumberFormat="0" applyBorder="0" applyAlignment="0" applyProtection="0"/>
    <xf numFmtId="190" fontId="4" fillId="0" borderId="34" applyNumberFormat="0" applyBorder="0" applyAlignment="0" applyProtection="0"/>
    <xf numFmtId="190" fontId="4" fillId="0" borderId="34" applyNumberFormat="0" applyBorder="0" applyAlignment="0" applyProtection="0"/>
    <xf numFmtId="190" fontId="4" fillId="0" borderId="34" applyNumberFormat="0" applyBorder="0" applyAlignment="0" applyProtection="0"/>
    <xf numFmtId="190" fontId="4" fillId="0" borderId="34" applyNumberFormat="0" applyBorder="0" applyAlignment="0" applyProtection="0"/>
    <xf numFmtId="183" fontId="275" fillId="0" borderId="34" applyBorder="0">
      <alignment horizontal="right"/>
    </xf>
    <xf numFmtId="190" fontId="3" fillId="15" borderId="34" applyNumberFormat="0" applyFont="0" applyBorder="0" applyAlignment="0" applyProtection="0"/>
    <xf numFmtId="190" fontId="21" fillId="0" borderId="34" applyNumberFormat="0" applyBorder="0" applyAlignment="0" applyProtection="0"/>
    <xf numFmtId="0" fontId="133" fillId="0" borderId="32" applyNumberFormat="0" applyFont="0" applyFill="0" applyAlignment="0" applyProtection="0"/>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78" fillId="0" borderId="32">
      <alignment horizontal="center"/>
    </xf>
    <xf numFmtId="0" fontId="78" fillId="0" borderId="32">
      <alignment horizontal="center"/>
    </xf>
    <xf numFmtId="0" fontId="307" fillId="113" borderId="109" applyNumberFormat="0" applyAlignment="0" applyProtection="0"/>
    <xf numFmtId="0" fontId="307" fillId="113" borderId="109" applyNumberFormat="0" applyAlignment="0" applyProtection="0"/>
    <xf numFmtId="0" fontId="307" fillId="114" borderId="109" applyNumberFormat="0" applyAlignment="0" applyProtection="0"/>
    <xf numFmtId="252" fontId="186" fillId="0" borderId="31"/>
    <xf numFmtId="0" fontId="37" fillId="32" borderId="115" applyNumberFormat="0">
      <protection locked="0"/>
    </xf>
    <xf numFmtId="252" fontId="186" fillId="0" borderId="31"/>
    <xf numFmtId="0" fontId="78" fillId="0" borderId="32">
      <alignment horizontal="center"/>
    </xf>
    <xf numFmtId="0" fontId="78" fillId="0" borderId="32">
      <alignment horizontal="center"/>
    </xf>
    <xf numFmtId="9" fontId="4" fillId="21" borderId="48"/>
    <xf numFmtId="0" fontId="75" fillId="34" borderId="17" applyNumberFormat="0" applyAlignment="0" applyProtection="0"/>
    <xf numFmtId="0" fontId="75" fillId="34" borderId="17" applyNumberFormat="0" applyAlignment="0" applyProtection="0"/>
    <xf numFmtId="0" fontId="75" fillId="34" borderId="17" applyNumberFormat="0" applyAlignment="0" applyProtection="0"/>
    <xf numFmtId="0" fontId="75" fillId="34" borderId="17" applyNumberFormat="0" applyAlignment="0" applyProtection="0"/>
    <xf numFmtId="0" fontId="75" fillId="34" borderId="17" applyNumberFormat="0" applyAlignment="0" applyProtection="0"/>
    <xf numFmtId="0" fontId="75" fillId="34" borderId="17" applyNumberFormat="0" applyAlignment="0" applyProtection="0"/>
    <xf numFmtId="0" fontId="75" fillId="34" borderId="17" applyNumberFormat="0" applyAlignment="0" applyProtection="0"/>
    <xf numFmtId="0" fontId="75" fillId="34" borderId="17" applyNumberFormat="0" applyAlignment="0" applyProtection="0"/>
    <xf numFmtId="0" fontId="75" fillId="32" borderId="17" applyNumberFormat="0" applyAlignment="0" applyProtection="0"/>
    <xf numFmtId="0" fontId="75" fillId="34" borderId="17" applyNumberFormat="0" applyAlignment="0" applyProtection="0"/>
    <xf numFmtId="0" fontId="75" fillId="34" borderId="17" applyNumberFormat="0" applyAlignment="0" applyProtection="0"/>
    <xf numFmtId="0" fontId="4" fillId="20" borderId="17" applyNumberFormat="0">
      <alignment vertical="center"/>
    </xf>
    <xf numFmtId="0" fontId="174" fillId="0" borderId="52" applyNumberFormat="0" applyFill="0" applyAlignment="0" applyProtection="0"/>
    <xf numFmtId="0" fontId="174" fillId="0" borderId="52" applyNumberFormat="0" applyFill="0" applyAlignment="0" applyProtection="0"/>
    <xf numFmtId="0" fontId="65" fillId="0" borderId="14" applyNumberFormat="0" applyFill="0" applyAlignment="0" applyProtection="0"/>
    <xf numFmtId="0" fontId="174" fillId="0" borderId="52" applyNumberFormat="0" applyFill="0" applyAlignment="0" applyProtection="0"/>
    <xf numFmtId="0" fontId="174" fillId="0" borderId="52" applyNumberFormat="0" applyFill="0" applyAlignment="0" applyProtection="0"/>
    <xf numFmtId="0" fontId="174" fillId="0" borderId="52" applyNumberFormat="0" applyFill="0" applyAlignment="0" applyProtection="0"/>
    <xf numFmtId="0" fontId="174" fillId="0" borderId="52" applyNumberFormat="0" applyFill="0" applyAlignment="0" applyProtection="0"/>
    <xf numFmtId="0" fontId="174" fillId="0" borderId="52" applyNumberFormat="0" applyFill="0" applyAlignment="0" applyProtection="0"/>
    <xf numFmtId="0" fontId="133" fillId="0" borderId="32" applyNumberFormat="0" applyFont="0" applyFill="0" applyAlignment="0" applyProtection="0"/>
    <xf numFmtId="0" fontId="307" fillId="113" borderId="109" applyNumberFormat="0" applyAlignment="0" applyProtection="0"/>
    <xf numFmtId="0" fontId="307" fillId="113" borderId="109" applyNumberFormat="0" applyAlignment="0" applyProtection="0"/>
    <xf numFmtId="0" fontId="307" fillId="114" borderId="109" applyNumberFormat="0" applyAlignment="0" applyProtection="0"/>
    <xf numFmtId="0" fontId="58" fillId="0" borderId="60" applyNumberFormat="0" applyFill="0" applyAlignment="0" applyProtection="0"/>
    <xf numFmtId="0" fontId="58" fillId="0" borderId="60" applyNumberFormat="0" applyFill="0" applyAlignment="0" applyProtection="0"/>
    <xf numFmtId="0" fontId="58" fillId="0" borderId="60" applyNumberFormat="0" applyFill="0" applyAlignment="0" applyProtection="0"/>
    <xf numFmtId="0" fontId="58" fillId="0" borderId="60" applyNumberFormat="0" applyFill="0" applyAlignment="0" applyProtection="0"/>
    <xf numFmtId="0" fontId="58" fillId="0" borderId="60" applyNumberFormat="0" applyFill="0" applyAlignment="0" applyProtection="0"/>
    <xf numFmtId="0" fontId="58" fillId="0" borderId="60" applyNumberFormat="0" applyFill="0" applyAlignment="0" applyProtection="0"/>
    <xf numFmtId="0" fontId="58" fillId="0" borderId="60" applyNumberFormat="0" applyFill="0" applyAlignment="0" applyProtection="0"/>
    <xf numFmtId="0" fontId="58" fillId="0" borderId="60" applyNumberFormat="0" applyFill="0" applyAlignment="0" applyProtection="0"/>
    <xf numFmtId="0" fontId="58" fillId="0" borderId="60" applyNumberFormat="0" applyFill="0" applyAlignment="0" applyProtection="0"/>
    <xf numFmtId="0" fontId="58" fillId="0" borderId="60" applyNumberFormat="0" applyFill="0" applyAlignment="0" applyProtection="0"/>
    <xf numFmtId="0" fontId="37" fillId="32" borderId="115" applyNumberFormat="0">
      <protection locked="0"/>
    </xf>
    <xf numFmtId="0" fontId="78" fillId="0" borderId="32">
      <alignment horizontal="center"/>
    </xf>
    <xf numFmtId="0" fontId="78" fillId="0" borderId="32">
      <alignment horizontal="center"/>
    </xf>
    <xf numFmtId="0" fontId="133" fillId="0" borderId="32" applyNumberFormat="0" applyFont="0" applyFill="0" applyAlignment="0" applyProtection="0"/>
    <xf numFmtId="0" fontId="281" fillId="0" borderId="99" applyNumberFormat="0" applyBorder="0" applyAlignment="0" applyProtection="0">
      <alignment horizontal="right" vertical="center"/>
    </xf>
    <xf numFmtId="0" fontId="284" fillId="0" borderId="2" applyProtection="0">
      <alignment horizontal="center"/>
    </xf>
    <xf numFmtId="0" fontId="289" fillId="0" borderId="2">
      <alignment horizontal="left"/>
    </xf>
    <xf numFmtId="0" fontId="174" fillId="0" borderId="52" applyNumberFormat="0" applyFill="0" applyAlignment="0" applyProtection="0"/>
    <xf numFmtId="0" fontId="174" fillId="0" borderId="52" applyNumberFormat="0" applyFill="0" applyAlignment="0" applyProtection="0"/>
    <xf numFmtId="0" fontId="65" fillId="0" borderId="14" applyNumberFormat="0" applyFill="0" applyAlignment="0" applyProtection="0"/>
    <xf numFmtId="0" fontId="174" fillId="0" borderId="52" applyNumberFormat="0" applyFill="0" applyAlignment="0" applyProtection="0"/>
    <xf numFmtId="0" fontId="174" fillId="0" borderId="52" applyNumberFormat="0" applyFill="0" applyAlignment="0" applyProtection="0"/>
    <xf numFmtId="0" fontId="174" fillId="0" borderId="52" applyNumberFormat="0" applyFill="0" applyAlignment="0" applyProtection="0"/>
    <xf numFmtId="0" fontId="174" fillId="0" borderId="52" applyNumberFormat="0" applyFill="0" applyAlignment="0" applyProtection="0"/>
    <xf numFmtId="0" fontId="174" fillId="0" borderId="52" applyNumberFormat="0" applyFill="0" applyAlignment="0" applyProtection="0"/>
    <xf numFmtId="0" fontId="174" fillId="0" borderId="52" applyNumberFormat="0" applyFill="0" applyAlignment="0" applyProtection="0"/>
    <xf numFmtId="0" fontId="133" fillId="0" borderId="32" applyNumberFormat="0" applyFont="0" applyFill="0" applyAlignment="0" applyProtection="0"/>
    <xf numFmtId="0" fontId="307" fillId="113" borderId="109" applyNumberFormat="0" applyAlignment="0" applyProtection="0"/>
    <xf numFmtId="0" fontId="307" fillId="113" borderId="109" applyNumberFormat="0" applyAlignment="0" applyProtection="0"/>
    <xf numFmtId="0" fontId="307" fillId="114" borderId="109" applyNumberFormat="0" applyAlignment="0" applyProtection="0"/>
    <xf numFmtId="0" fontId="265" fillId="26" borderId="2" applyBorder="0" applyProtection="0">
      <alignment horizontal="centerContinuous" vertical="center"/>
    </xf>
    <xf numFmtId="38" fontId="282" fillId="0" borderId="2" applyNumberFormat="0" applyFont="0" applyFill="0" applyAlignment="0"/>
    <xf numFmtId="198" fontId="4" fillId="0" borderId="2" applyBorder="0" applyProtection="0">
      <alignment horizontal="right"/>
    </xf>
    <xf numFmtId="0" fontId="37" fillId="32" borderId="115" applyNumberFormat="0">
      <protection locked="0"/>
    </xf>
    <xf numFmtId="323" fontId="135" fillId="0" borderId="30">
      <alignment horizontal="justify" vertical="top" wrapText="1"/>
    </xf>
    <xf numFmtId="0" fontId="78" fillId="0" borderId="32">
      <alignment horizontal="center"/>
    </xf>
    <xf numFmtId="0" fontId="78" fillId="0" borderId="32">
      <alignment horizontal="center"/>
    </xf>
    <xf numFmtId="0" fontId="174" fillId="0" borderId="52" applyNumberFormat="0" applyFill="0" applyAlignment="0" applyProtection="0"/>
    <xf numFmtId="0" fontId="174" fillId="0" borderId="52" applyNumberFormat="0" applyFill="0" applyAlignment="0" applyProtection="0"/>
    <xf numFmtId="0" fontId="65" fillId="0" borderId="14" applyNumberFormat="0" applyFill="0" applyAlignment="0" applyProtection="0"/>
    <xf numFmtId="0" fontId="174" fillId="0" borderId="52" applyNumberFormat="0" applyFill="0" applyAlignment="0" applyProtection="0"/>
    <xf numFmtId="0" fontId="174" fillId="0" borderId="52" applyNumberFormat="0" applyFill="0" applyAlignment="0" applyProtection="0"/>
    <xf numFmtId="0" fontId="174" fillId="0" borderId="52" applyNumberFormat="0" applyFill="0" applyAlignment="0" applyProtection="0"/>
    <xf numFmtId="0" fontId="174" fillId="0" borderId="52" applyNumberFormat="0" applyFill="0" applyAlignment="0" applyProtection="0"/>
    <xf numFmtId="0" fontId="174" fillId="0" borderId="52" applyNumberFormat="0" applyFill="0" applyAlignment="0" applyProtection="0"/>
    <xf numFmtId="0" fontId="174" fillId="0" borderId="52" applyNumberFormat="0" applyFill="0" applyAlignment="0" applyProtection="0"/>
    <xf numFmtId="0" fontId="133" fillId="0" borderId="32" applyNumberFormat="0" applyFont="0" applyFill="0" applyAlignment="0" applyProtection="0"/>
    <xf numFmtId="0" fontId="307" fillId="113" borderId="109" applyNumberFormat="0" applyAlignment="0" applyProtection="0"/>
    <xf numFmtId="0" fontId="307" fillId="113" borderId="109" applyNumberFormat="0" applyAlignment="0" applyProtection="0"/>
    <xf numFmtId="0" fontId="307" fillId="114" borderId="109" applyNumberFormat="0" applyAlignment="0" applyProtection="0"/>
    <xf numFmtId="0" fontId="37" fillId="32" borderId="115" applyNumberFormat="0">
      <protection locked="0"/>
    </xf>
    <xf numFmtId="15" fontId="277" fillId="23" borderId="28"/>
    <xf numFmtId="3" fontId="151" fillId="21" borderId="79">
      <alignment horizontal="right"/>
    </xf>
    <xf numFmtId="0" fontId="78" fillId="0" borderId="32">
      <alignment horizontal="center"/>
    </xf>
    <xf numFmtId="0" fontId="75" fillId="32" borderId="17" applyNumberFormat="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265" fillId="26" borderId="2" applyBorder="0" applyProtection="0">
      <alignment horizontal="centerContinuous" vertical="center"/>
    </xf>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198" fontId="4" fillId="0" borderId="2" applyBorder="0" applyProtection="0">
      <alignment horizontal="right"/>
    </xf>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265" fillId="26" borderId="2" applyBorder="0" applyProtection="0">
      <alignment horizontal="centerContinuous" vertical="center"/>
    </xf>
    <xf numFmtId="0" fontId="265" fillId="26" borderId="2" applyBorder="0" applyProtection="0">
      <alignment horizontal="centerContinuous" vertical="center"/>
    </xf>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198" fontId="4" fillId="0" borderId="2" applyBorder="0" applyProtection="0">
      <alignment horizontal="right"/>
    </xf>
    <xf numFmtId="198" fontId="4" fillId="0" borderId="2" applyBorder="0" applyProtection="0">
      <alignment horizontal="right"/>
    </xf>
    <xf numFmtId="0" fontId="54" fillId="32"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75" fillId="32" borderId="17" applyNumberFormat="0" applyAlignment="0" applyProtection="0"/>
    <xf numFmtId="0" fontId="58" fillId="0" borderId="19" applyNumberFormat="0" applyFill="0" applyAlignment="0" applyProtection="0"/>
    <xf numFmtId="0" fontId="75" fillId="32" borderId="17" applyNumberFormat="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75" fillId="32" borderId="17" applyNumberFormat="0" applyAlignment="0" applyProtection="0"/>
    <xf numFmtId="0" fontId="78" fillId="0" borderId="32">
      <alignment horizontal="center"/>
    </xf>
    <xf numFmtId="0" fontId="58" fillId="0" borderId="19" applyNumberFormat="0" applyFill="0" applyAlignment="0" applyProtection="0"/>
    <xf numFmtId="0" fontId="75" fillId="32" borderId="17" applyNumberFormat="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8" fillId="0" borderId="32">
      <alignment horizontal="center"/>
    </xf>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184" fontId="54" fillId="32" borderId="10" applyNumberFormat="0" applyAlignment="0" applyProtection="0"/>
    <xf numFmtId="9" fontId="4" fillId="21" borderId="48"/>
    <xf numFmtId="184" fontId="65" fillId="0" borderId="51" applyNumberFormat="0" applyFill="0" applyAlignment="0" applyProtection="0"/>
    <xf numFmtId="182" fontId="26" fillId="94" borderId="36" applyBorder="0">
      <alignment horizontal="right"/>
    </xf>
    <xf numFmtId="184" fontId="70" fillId="30" borderId="10" applyNumberFormat="0" applyAlignment="0" applyProtection="0"/>
    <xf numFmtId="0" fontId="78" fillId="0" borderId="32">
      <alignment horizontal="center"/>
    </xf>
    <xf numFmtId="184" fontId="4" fillId="31" borderId="79" applyNumberFormat="0" applyFont="0" applyAlignment="0" applyProtection="0"/>
    <xf numFmtId="184" fontId="75" fillId="32" borderId="17" applyNumberFormat="0" applyAlignment="0" applyProtection="0"/>
    <xf numFmtId="184" fontId="78" fillId="0" borderId="32">
      <alignment horizontal="center"/>
    </xf>
    <xf numFmtId="184" fontId="265" fillId="26" borderId="2" applyBorder="0" applyProtection="0">
      <alignment horizontal="centerContinuous" vertical="center"/>
    </xf>
    <xf numFmtId="184" fontId="58" fillId="0" borderId="19" applyNumberFormat="0" applyFill="0" applyAlignment="0" applyProtection="0"/>
    <xf numFmtId="184" fontId="75" fillId="32" borderId="17" applyNumberFormat="0" applyAlignment="0" applyProtection="0"/>
    <xf numFmtId="184" fontId="58" fillId="0" borderId="19" applyNumberFormat="0" applyFill="0" applyAlignment="0" applyProtection="0"/>
    <xf numFmtId="184" fontId="54" fillId="32" borderId="10" applyNumberFormat="0" applyAlignment="0" applyProtection="0"/>
    <xf numFmtId="184" fontId="54" fillId="32" borderId="10" applyNumberFormat="0" applyAlignment="0" applyProtection="0"/>
    <xf numFmtId="184" fontId="54" fillId="32" borderId="10" applyNumberFormat="0" applyAlignment="0" applyProtection="0"/>
    <xf numFmtId="184" fontId="54" fillId="32" borderId="10" applyNumberFormat="0" applyAlignment="0" applyProtection="0"/>
    <xf numFmtId="184" fontId="65" fillId="0" borderId="51" applyNumberFormat="0" applyFill="0" applyAlignment="0" applyProtection="0"/>
    <xf numFmtId="184" fontId="70" fillId="30" borderId="10" applyNumberFormat="0" applyAlignment="0" applyProtection="0"/>
    <xf numFmtId="184" fontId="70" fillId="30" borderId="10" applyNumberFormat="0" applyAlignment="0" applyProtection="0"/>
    <xf numFmtId="184" fontId="70" fillId="30" borderId="10" applyNumberFormat="0" applyAlignment="0" applyProtection="0"/>
    <xf numFmtId="184" fontId="70" fillId="30" borderId="10" applyNumberFormat="0" applyAlignment="0" applyProtection="0"/>
    <xf numFmtId="184" fontId="4" fillId="31" borderId="79" applyNumberFormat="0" applyFont="0" applyAlignment="0" applyProtection="0"/>
    <xf numFmtId="184" fontId="4" fillId="31" borderId="79" applyNumberFormat="0" applyFont="0" applyAlignment="0" applyProtection="0"/>
    <xf numFmtId="184" fontId="4" fillId="31" borderId="79" applyNumberFormat="0" applyFont="0" applyAlignment="0" applyProtection="0"/>
    <xf numFmtId="184" fontId="4" fillId="31" borderId="79" applyNumberFormat="0" applyFont="0" applyAlignment="0" applyProtection="0"/>
    <xf numFmtId="184" fontId="4" fillId="31" borderId="79" applyNumberFormat="0" applyFon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265" fillId="26" borderId="2" applyBorder="0" applyProtection="0">
      <alignment horizontal="centerContinuous" vertical="center"/>
    </xf>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4" fillId="32" borderId="10" applyNumberFormat="0" applyAlignment="0" applyProtection="0"/>
    <xf numFmtId="184" fontId="54" fillId="32" borderId="10" applyNumberFormat="0" applyAlignment="0" applyProtection="0"/>
    <xf numFmtId="184" fontId="54" fillId="32" borderId="10" applyNumberFormat="0" applyAlignment="0" applyProtection="0"/>
    <xf numFmtId="184" fontId="54" fillId="32" borderId="10" applyNumberFormat="0" applyAlignment="0" applyProtection="0"/>
    <xf numFmtId="184" fontId="54" fillId="32" borderId="10" applyNumberFormat="0" applyAlignment="0" applyProtection="0"/>
    <xf numFmtId="184" fontId="54" fillId="32" borderId="10" applyNumberFormat="0" applyAlignment="0" applyProtection="0"/>
    <xf numFmtId="184" fontId="54" fillId="32" borderId="10" applyNumberFormat="0" applyAlignment="0" applyProtection="0"/>
    <xf numFmtId="184" fontId="54" fillId="32" borderId="10" applyNumberFormat="0" applyAlignment="0" applyProtection="0"/>
    <xf numFmtId="184" fontId="70" fillId="30" borderId="10" applyNumberFormat="0" applyAlignment="0" applyProtection="0"/>
    <xf numFmtId="184" fontId="70" fillId="30" borderId="10" applyNumberFormat="0" applyAlignment="0" applyProtection="0"/>
    <xf numFmtId="184" fontId="70" fillId="30" borderId="10" applyNumberFormat="0" applyAlignment="0" applyProtection="0"/>
    <xf numFmtId="184" fontId="70" fillId="30" borderId="10" applyNumberFormat="0" applyAlignment="0" applyProtection="0"/>
    <xf numFmtId="184" fontId="70" fillId="30" borderId="10" applyNumberFormat="0" applyAlignment="0" applyProtection="0"/>
    <xf numFmtId="184" fontId="70" fillId="30" borderId="10" applyNumberFormat="0" applyAlignment="0" applyProtection="0"/>
    <xf numFmtId="184" fontId="70" fillId="30" borderId="10" applyNumberFormat="0" applyAlignment="0" applyProtection="0"/>
    <xf numFmtId="184" fontId="70" fillId="30" borderId="10" applyNumberFormat="0" applyAlignment="0" applyProtection="0"/>
    <xf numFmtId="184" fontId="4" fillId="31" borderId="79" applyNumberFormat="0" applyFont="0" applyAlignment="0" applyProtection="0"/>
    <xf numFmtId="184" fontId="4" fillId="31" borderId="79" applyNumberFormat="0" applyFont="0" applyAlignment="0" applyProtection="0"/>
    <xf numFmtId="184" fontId="4" fillId="31" borderId="79" applyNumberFormat="0" applyFont="0" applyAlignment="0" applyProtection="0"/>
    <xf numFmtId="184" fontId="4" fillId="31" borderId="79" applyNumberFormat="0" applyFont="0" applyAlignment="0" applyProtection="0"/>
    <xf numFmtId="184" fontId="4" fillId="31" borderId="79" applyNumberFormat="0" applyFon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4" fillId="32" borderId="10" applyNumberFormat="0" applyAlignment="0" applyProtection="0"/>
    <xf numFmtId="3" fontId="278" fillId="107" borderId="35" applyNumberFormat="0" applyBorder="0" applyAlignment="0">
      <alignment vertical="center"/>
    </xf>
    <xf numFmtId="9" fontId="151" fillId="21" borderId="79"/>
    <xf numFmtId="184" fontId="65" fillId="0" borderId="51" applyNumberFormat="0" applyFill="0" applyAlignment="0" applyProtection="0"/>
    <xf numFmtId="182" fontId="26" fillId="0" borderId="36" applyBorder="0">
      <alignment horizontal="right"/>
    </xf>
    <xf numFmtId="190" fontId="129" fillId="0" borderId="36" applyBorder="0"/>
    <xf numFmtId="184" fontId="70" fillId="30" borderId="10" applyNumberFormat="0" applyAlignment="0" applyProtection="0"/>
    <xf numFmtId="184" fontId="4" fillId="31" borderId="79" applyNumberFormat="0" applyFont="0" applyAlignment="0" applyProtection="0"/>
    <xf numFmtId="184" fontId="75" fillId="32" borderId="17" applyNumberFormat="0" applyAlignment="0" applyProtection="0"/>
    <xf numFmtId="184" fontId="78" fillId="0" borderId="32">
      <alignment horizontal="center"/>
    </xf>
    <xf numFmtId="184" fontId="265" fillId="26" borderId="2" applyBorder="0" applyProtection="0">
      <alignment horizontal="centerContinuous" vertical="center"/>
    </xf>
    <xf numFmtId="184" fontId="58" fillId="0" borderId="19" applyNumberFormat="0" applyFill="0" applyAlignment="0" applyProtection="0"/>
    <xf numFmtId="184" fontId="75" fillId="32" borderId="17" applyNumberFormat="0" applyAlignment="0" applyProtection="0"/>
    <xf numFmtId="184" fontId="58" fillId="0" borderId="19" applyNumberFormat="0" applyFill="0" applyAlignment="0" applyProtection="0"/>
    <xf numFmtId="184" fontId="54" fillId="32" borderId="10" applyNumberFormat="0" applyAlignment="0" applyProtection="0"/>
    <xf numFmtId="184" fontId="54" fillId="32" borderId="10" applyNumberFormat="0" applyAlignment="0" applyProtection="0"/>
    <xf numFmtId="184" fontId="54" fillId="32" borderId="10" applyNumberFormat="0" applyAlignment="0" applyProtection="0"/>
    <xf numFmtId="184" fontId="54" fillId="32" borderId="10" applyNumberFormat="0" applyAlignment="0" applyProtection="0"/>
    <xf numFmtId="184" fontId="65" fillId="0" borderId="51" applyNumberFormat="0" applyFill="0" applyAlignment="0" applyProtection="0"/>
    <xf numFmtId="184" fontId="70" fillId="30" borderId="10" applyNumberFormat="0" applyAlignment="0" applyProtection="0"/>
    <xf numFmtId="184" fontId="70" fillId="30" borderId="10" applyNumberFormat="0" applyAlignment="0" applyProtection="0"/>
    <xf numFmtId="184" fontId="70" fillId="30" borderId="10" applyNumberFormat="0" applyAlignment="0" applyProtection="0"/>
    <xf numFmtId="184" fontId="70" fillId="30" borderId="10" applyNumberFormat="0" applyAlignment="0" applyProtection="0"/>
    <xf numFmtId="184" fontId="4" fillId="31" borderId="79" applyNumberFormat="0" applyFont="0" applyAlignment="0" applyProtection="0"/>
    <xf numFmtId="184" fontId="4" fillId="31" borderId="79" applyNumberFormat="0" applyFont="0" applyAlignment="0" applyProtection="0"/>
    <xf numFmtId="184" fontId="4" fillId="31" borderId="79" applyNumberFormat="0" applyFont="0" applyAlignment="0" applyProtection="0"/>
    <xf numFmtId="184" fontId="4" fillId="31" borderId="79" applyNumberFormat="0" applyFont="0" applyAlignment="0" applyProtection="0"/>
    <xf numFmtId="184" fontId="4" fillId="31" borderId="79" applyNumberFormat="0" applyFon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265" fillId="26" borderId="2" applyBorder="0" applyProtection="0">
      <alignment horizontal="centerContinuous" vertical="center"/>
    </xf>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4" fillId="32" borderId="10" applyNumberFormat="0" applyAlignment="0" applyProtection="0"/>
    <xf numFmtId="184" fontId="54" fillId="32" borderId="10" applyNumberFormat="0" applyAlignment="0" applyProtection="0"/>
    <xf numFmtId="184" fontId="54" fillId="32" borderId="10" applyNumberFormat="0" applyAlignment="0" applyProtection="0"/>
    <xf numFmtId="184" fontId="54" fillId="32" borderId="10" applyNumberFormat="0" applyAlignment="0" applyProtection="0"/>
    <xf numFmtId="184" fontId="54" fillId="32" borderId="10" applyNumberFormat="0" applyAlignment="0" applyProtection="0"/>
    <xf numFmtId="184" fontId="54" fillId="32" borderId="10" applyNumberFormat="0" applyAlignment="0" applyProtection="0"/>
    <xf numFmtId="184" fontId="54" fillId="32" borderId="10" applyNumberFormat="0" applyAlignment="0" applyProtection="0"/>
    <xf numFmtId="184" fontId="54" fillId="32" borderId="10" applyNumberFormat="0" applyAlignment="0" applyProtection="0"/>
    <xf numFmtId="184" fontId="70" fillId="30" borderId="10" applyNumberFormat="0" applyAlignment="0" applyProtection="0"/>
    <xf numFmtId="184" fontId="70" fillId="30" borderId="10" applyNumberFormat="0" applyAlignment="0" applyProtection="0"/>
    <xf numFmtId="184" fontId="70" fillId="30" borderId="10" applyNumberFormat="0" applyAlignment="0" applyProtection="0"/>
    <xf numFmtId="184" fontId="70" fillId="30" borderId="10" applyNumberFormat="0" applyAlignment="0" applyProtection="0"/>
    <xf numFmtId="184" fontId="70" fillId="30" borderId="10" applyNumberFormat="0" applyAlignment="0" applyProtection="0"/>
    <xf numFmtId="184" fontId="70" fillId="30" borderId="10" applyNumberFormat="0" applyAlignment="0" applyProtection="0"/>
    <xf numFmtId="184" fontId="70" fillId="30" borderId="10" applyNumberFormat="0" applyAlignment="0" applyProtection="0"/>
    <xf numFmtId="184" fontId="70" fillId="30" borderId="10" applyNumberFormat="0" applyAlignment="0" applyProtection="0"/>
    <xf numFmtId="184" fontId="4" fillId="31" borderId="79" applyNumberFormat="0" applyFont="0" applyAlignment="0" applyProtection="0"/>
    <xf numFmtId="184" fontId="4" fillId="31" borderId="79" applyNumberFormat="0" applyFont="0" applyAlignment="0" applyProtection="0"/>
    <xf numFmtId="184" fontId="4" fillId="31" borderId="79" applyNumberFormat="0" applyFont="0" applyAlignment="0" applyProtection="0"/>
    <xf numFmtId="184" fontId="4" fillId="31" borderId="79" applyNumberFormat="0" applyFont="0" applyAlignment="0" applyProtection="0"/>
    <xf numFmtId="184" fontId="4" fillId="31" borderId="79" applyNumberFormat="0" applyFon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78" fillId="0" borderId="32">
      <alignment horizontal="center"/>
    </xf>
    <xf numFmtId="184" fontId="78" fillId="0" borderId="32">
      <alignment horizontal="center"/>
    </xf>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0" fillId="30" borderId="10" applyNumberFormat="0" applyAlignment="0" applyProtection="0"/>
    <xf numFmtId="0" fontId="70" fillId="30" borderId="10" applyNumberFormat="0" applyAlignment="0" applyProtection="0"/>
    <xf numFmtId="0" fontId="54" fillId="32" borderId="10" applyNumberFormat="0" applyAlignment="0" applyProtection="0"/>
    <xf numFmtId="0" fontId="58" fillId="0" borderId="19" applyNumberFormat="0" applyFill="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65" fillId="0" borderId="51" applyNumberFormat="0" applyFill="0" applyAlignment="0" applyProtection="0"/>
    <xf numFmtId="0" fontId="65" fillId="0" borderId="51"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0" fillId="30" borderId="10" applyNumberFormat="0" applyAlignment="0" applyProtection="0"/>
    <xf numFmtId="0" fontId="54" fillId="32" borderId="10" applyNumberFormat="0" applyAlignment="0" applyProtection="0"/>
    <xf numFmtId="0" fontId="54" fillId="32" borderId="10" applyNumberFormat="0" applyAlignment="0" applyProtection="0"/>
    <xf numFmtId="0" fontId="58" fillId="0" borderId="19" applyNumberFormat="0" applyFill="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5" fillId="32" borderId="17" applyNumberFormat="0" applyAlignment="0" applyProtection="0"/>
    <xf numFmtId="0" fontId="4" fillId="31" borderId="79" applyNumberFormat="0" applyFont="0" applyAlignment="0" applyProtection="0"/>
    <xf numFmtId="0" fontId="75" fillId="32" borderId="17" applyNumberFormat="0" applyAlignment="0" applyProtection="0"/>
    <xf numFmtId="0" fontId="78" fillId="0" borderId="32">
      <alignment horizontal="center"/>
    </xf>
    <xf numFmtId="0" fontId="54" fillId="32" borderId="10" applyNumberFormat="0" applyAlignment="0" applyProtection="0"/>
    <xf numFmtId="0" fontId="58" fillId="0" borderId="19" applyNumberFormat="0" applyFill="0" applyAlignment="0" applyProtection="0"/>
    <xf numFmtId="0" fontId="70" fillId="30" borderId="10" applyNumberFormat="0" applyAlignment="0" applyProtection="0"/>
    <xf numFmtId="0" fontId="70" fillId="30" borderId="10" applyNumberFormat="0" applyAlignment="0" applyProtection="0"/>
    <xf numFmtId="0" fontId="54" fillId="32" borderId="10" applyNumberFormat="0" applyAlignment="0" applyProtection="0"/>
    <xf numFmtId="0" fontId="58" fillId="0" borderId="19" applyNumberFormat="0" applyFill="0" applyAlignment="0" applyProtection="0"/>
    <xf numFmtId="0" fontId="75" fillId="32" borderId="17" applyNumberFormat="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5" fillId="32" borderId="17"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70" fillId="30" borderId="10"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5" fillId="32" borderId="17" applyNumberFormat="0" applyAlignment="0" applyProtection="0"/>
    <xf numFmtId="0" fontId="75" fillId="32" borderId="17"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8" fillId="0" borderId="32">
      <alignment horizontal="center"/>
    </xf>
    <xf numFmtId="0" fontId="75" fillId="32" borderId="17" applyNumberFormat="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4" fillId="31" borderId="79" applyNumberFormat="0" applyFont="0" applyAlignment="0" applyProtection="0"/>
    <xf numFmtId="0" fontId="54" fillId="32" borderId="10" applyNumberFormat="0" applyAlignment="0" applyProtection="0"/>
    <xf numFmtId="0" fontId="65" fillId="0" borderId="51" applyNumberFormat="0" applyFill="0" applyAlignment="0" applyProtection="0"/>
    <xf numFmtId="0" fontId="70" fillId="30" borderId="10" applyNumberFormat="0" applyAlignment="0" applyProtection="0"/>
    <xf numFmtId="0" fontId="4" fillId="31" borderId="79" applyNumberFormat="0" applyFont="0" applyAlignment="0" applyProtection="0"/>
    <xf numFmtId="0" fontId="75" fillId="32" borderId="17" applyNumberFormat="0" applyAlignment="0" applyProtection="0"/>
    <xf numFmtId="0" fontId="58" fillId="0" borderId="19" applyNumberFormat="0" applyFill="0" applyAlignment="0" applyProtection="0"/>
    <xf numFmtId="0" fontId="75" fillId="32" borderId="17" applyNumberFormat="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65" fillId="0" borderId="51" applyNumberFormat="0" applyFill="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5" fillId="32" borderId="17" applyNumberFormat="0" applyAlignment="0" applyProtection="0"/>
    <xf numFmtId="0" fontId="4" fillId="31" borderId="79" applyNumberFormat="0" applyFon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75" fillId="32" borderId="17" applyNumberFormat="0" applyAlignment="0" applyProtection="0"/>
    <xf numFmtId="0" fontId="78" fillId="0" borderId="32">
      <alignment horizontal="center"/>
    </xf>
    <xf numFmtId="0" fontId="58" fillId="0" borderId="19" applyNumberFormat="0" applyFill="0" applyAlignment="0" applyProtection="0"/>
    <xf numFmtId="0" fontId="75" fillId="32" borderId="17" applyNumberFormat="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8" fillId="0" borderId="32">
      <alignment horizontal="center"/>
    </xf>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70" fillId="30" borderId="10"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75" fillId="32" borderId="17" applyNumberFormat="0" applyAlignment="0" applyProtection="0"/>
    <xf numFmtId="0" fontId="58" fillId="0" borderId="19" applyNumberFormat="0" applyFill="0" applyAlignment="0" applyProtection="0"/>
    <xf numFmtId="0" fontId="75" fillId="32" borderId="17" applyNumberFormat="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75" fillId="32" borderId="17" applyNumberFormat="0" applyAlignment="0" applyProtection="0"/>
    <xf numFmtId="0" fontId="78" fillId="0" borderId="32">
      <alignment horizontal="center"/>
    </xf>
    <xf numFmtId="0" fontId="58" fillId="0" borderId="19" applyNumberFormat="0" applyFill="0" applyAlignment="0" applyProtection="0"/>
    <xf numFmtId="0" fontId="75" fillId="32" borderId="17" applyNumberFormat="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8" fillId="0" borderId="32">
      <alignment horizontal="center"/>
    </xf>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65" fillId="0" borderId="51" applyNumberFormat="0" applyFill="0" applyAlignment="0" applyProtection="0"/>
    <xf numFmtId="0" fontId="65" fillId="0" borderId="51" applyNumberFormat="0" applyFill="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65" fillId="0" borderId="51" applyNumberFormat="0" applyFill="0" applyAlignment="0" applyProtection="0"/>
    <xf numFmtId="0" fontId="70" fillId="30" borderId="10" applyNumberFormat="0" applyAlignment="0" applyProtection="0"/>
    <xf numFmtId="0" fontId="4" fillId="31" borderId="79" applyNumberFormat="0" applyFont="0" applyAlignment="0" applyProtection="0"/>
    <xf numFmtId="0" fontId="75" fillId="32" borderId="17" applyNumberFormat="0" applyAlignment="0" applyProtection="0"/>
    <xf numFmtId="0" fontId="58" fillId="0" borderId="19" applyNumberFormat="0" applyFill="0" applyAlignment="0" applyProtection="0"/>
    <xf numFmtId="0" fontId="75" fillId="32" borderId="17" applyNumberFormat="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65" fillId="0" borderId="51" applyNumberFormat="0" applyFill="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65" fillId="0" borderId="51" applyNumberFormat="0" applyFill="0" applyAlignment="0" applyProtection="0"/>
    <xf numFmtId="0" fontId="65" fillId="0" borderId="51" applyNumberFormat="0" applyFill="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75" fillId="32" borderId="17" applyNumberFormat="0" applyAlignment="0" applyProtection="0"/>
    <xf numFmtId="0" fontId="78" fillId="0" borderId="32">
      <alignment horizontal="center"/>
    </xf>
    <xf numFmtId="0" fontId="58" fillId="0" borderId="19" applyNumberFormat="0" applyFill="0" applyAlignment="0" applyProtection="0"/>
    <xf numFmtId="0" fontId="75" fillId="32" borderId="17" applyNumberFormat="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8" fillId="0" borderId="32">
      <alignment horizontal="center"/>
    </xf>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75" fillId="32" borderId="17" applyNumberFormat="0" applyAlignment="0" applyProtection="0"/>
    <xf numFmtId="0" fontId="58" fillId="0" borderId="19" applyNumberFormat="0" applyFill="0" applyAlignment="0" applyProtection="0"/>
    <xf numFmtId="0" fontId="75" fillId="32" borderId="17" applyNumberFormat="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75" fillId="32" borderId="17" applyNumberFormat="0" applyAlignment="0" applyProtection="0"/>
    <xf numFmtId="0" fontId="78" fillId="0" borderId="32">
      <alignment horizontal="center"/>
    </xf>
    <xf numFmtId="0" fontId="58" fillId="0" borderId="19" applyNumberFormat="0" applyFill="0" applyAlignment="0" applyProtection="0"/>
    <xf numFmtId="0" fontId="75" fillId="32" borderId="17" applyNumberFormat="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8" fillId="0" borderId="32">
      <alignment horizontal="center"/>
    </xf>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4" borderId="10" applyNumberFormat="0" applyAlignment="0" applyProtection="0"/>
    <xf numFmtId="0" fontId="54" fillId="34" borderId="10" applyNumberFormat="0" applyAlignment="0" applyProtection="0"/>
    <xf numFmtId="0" fontId="54" fillId="32" borderId="10" applyNumberFormat="0" applyAlignment="0" applyProtection="0"/>
    <xf numFmtId="0" fontId="54" fillId="34" borderId="10" applyNumberFormat="0" applyAlignment="0" applyProtection="0"/>
    <xf numFmtId="0" fontId="54" fillId="34" borderId="10" applyNumberFormat="0" applyAlignment="0" applyProtection="0"/>
    <xf numFmtId="0" fontId="54" fillId="34" borderId="10" applyNumberFormat="0" applyAlignment="0" applyProtection="0"/>
    <xf numFmtId="0" fontId="54" fillId="34" borderId="10" applyNumberFormat="0" applyAlignment="0" applyProtection="0"/>
    <xf numFmtId="0" fontId="54" fillId="34" borderId="10" applyNumberFormat="0" applyAlignment="0" applyProtection="0"/>
    <xf numFmtId="0" fontId="54" fillId="34" borderId="10" applyNumberFormat="0" applyAlignment="0" applyProtection="0"/>
    <xf numFmtId="0" fontId="54" fillId="34" borderId="10" applyNumberFormat="0" applyAlignment="0" applyProtection="0"/>
    <xf numFmtId="0" fontId="54" fillId="34" borderId="10" applyNumberFormat="0" applyAlignment="0" applyProtection="0"/>
    <xf numFmtId="0" fontId="4" fillId="20" borderId="17" applyNumberFormat="0">
      <alignmen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174" fillId="0" borderId="52" applyNumberFormat="0" applyFill="0" applyAlignment="0" applyProtection="0"/>
    <xf numFmtId="0" fontId="174" fillId="0" borderId="52" applyNumberFormat="0" applyFill="0" applyAlignment="0" applyProtection="0"/>
    <xf numFmtId="0" fontId="65" fillId="0" borderId="14" applyNumberFormat="0" applyFill="0" applyAlignment="0" applyProtection="0"/>
    <xf numFmtId="0" fontId="174" fillId="0" borderId="52" applyNumberFormat="0" applyFill="0" applyAlignment="0" applyProtection="0"/>
    <xf numFmtId="0" fontId="174" fillId="0" borderId="52" applyNumberFormat="0" applyFill="0" applyAlignment="0" applyProtection="0"/>
    <xf numFmtId="0" fontId="174" fillId="0" borderId="52" applyNumberFormat="0" applyFill="0" applyAlignment="0" applyProtection="0"/>
    <xf numFmtId="0" fontId="174" fillId="0" borderId="52" applyNumberFormat="0" applyFill="0" applyAlignment="0" applyProtection="0"/>
    <xf numFmtId="0" fontId="174" fillId="0" borderId="52" applyNumberFormat="0" applyFill="0" applyAlignment="0" applyProtection="0"/>
    <xf numFmtId="0" fontId="174" fillId="0" borderId="52" applyNumberFormat="0" applyFill="0" applyAlignment="0" applyProtection="0"/>
    <xf numFmtId="310" fontId="273" fillId="15" borderId="28"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37" fillId="23" borderId="28" applyNumberFormat="0" applyAlignment="0">
      <protection locked="0"/>
    </xf>
    <xf numFmtId="0" fontId="37" fillId="15" borderId="107" applyNumberFormat="0" applyAlignment="0">
      <protection locked="0"/>
    </xf>
    <xf numFmtId="0" fontId="133" fillId="0" borderId="32" applyNumberFormat="0" applyFont="0" applyFill="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4" borderId="17" applyNumberFormat="0" applyAlignment="0" applyProtection="0"/>
    <xf numFmtId="0" fontId="75" fillId="34" borderId="17" applyNumberFormat="0" applyAlignment="0" applyProtection="0"/>
    <xf numFmtId="0" fontId="75" fillId="32" borderId="17" applyNumberFormat="0" applyAlignment="0" applyProtection="0"/>
    <xf numFmtId="0" fontId="75" fillId="34" borderId="17" applyNumberFormat="0" applyAlignment="0" applyProtection="0"/>
    <xf numFmtId="0" fontId="75" fillId="34" borderId="17" applyNumberFormat="0" applyAlignment="0" applyProtection="0"/>
    <xf numFmtId="0" fontId="75" fillId="34" borderId="17" applyNumberFormat="0" applyAlignment="0" applyProtection="0"/>
    <xf numFmtId="0" fontId="75" fillId="34" borderId="17" applyNumberFormat="0" applyAlignment="0" applyProtection="0"/>
    <xf numFmtId="0" fontId="75" fillId="34" borderId="17" applyNumberFormat="0" applyAlignment="0" applyProtection="0"/>
    <xf numFmtId="0" fontId="75" fillId="34" borderId="17" applyNumberFormat="0" applyAlignment="0" applyProtection="0"/>
    <xf numFmtId="0" fontId="75" fillId="34" borderId="17" applyNumberFormat="0" applyAlignment="0" applyProtection="0"/>
    <xf numFmtId="0" fontId="75" fillId="34" borderId="17" applyNumberFormat="0" applyAlignment="0" applyProtection="0"/>
    <xf numFmtId="0" fontId="305" fillId="81" borderId="28" applyNumberFormat="0" applyAlignment="0" applyProtection="0">
      <alignment horizontal="center" vertical="center"/>
    </xf>
    <xf numFmtId="0" fontId="307" fillId="113" borderId="109" applyNumberFormat="0" applyAlignment="0" applyProtection="0"/>
    <xf numFmtId="0" fontId="307" fillId="113" borderId="109" applyNumberFormat="0" applyAlignment="0" applyProtection="0"/>
    <xf numFmtId="0" fontId="307" fillId="114" borderId="109" applyNumberFormat="0" applyAlignment="0" applyProtection="0"/>
    <xf numFmtId="203" fontId="4" fillId="0" borderId="33" applyFill="0"/>
    <xf numFmtId="0" fontId="58" fillId="0" borderId="60" applyNumberFormat="0" applyFill="0" applyAlignment="0" applyProtection="0"/>
    <xf numFmtId="0" fontId="58" fillId="0" borderId="60" applyNumberFormat="0" applyFill="0" applyAlignment="0" applyProtection="0"/>
    <xf numFmtId="0" fontId="58" fillId="0" borderId="19" applyNumberFormat="0" applyFill="0" applyAlignment="0" applyProtection="0"/>
    <xf numFmtId="0" fontId="58" fillId="0" borderId="60" applyNumberFormat="0" applyFill="0" applyAlignment="0" applyProtection="0"/>
    <xf numFmtId="203" fontId="4" fillId="0" borderId="36" applyFill="0"/>
    <xf numFmtId="0" fontId="58" fillId="0" borderId="60" applyNumberFormat="0" applyFill="0" applyAlignment="0" applyProtection="0"/>
    <xf numFmtId="0" fontId="58" fillId="0" borderId="60" applyNumberFormat="0" applyFill="0" applyAlignment="0" applyProtection="0"/>
    <xf numFmtId="0" fontId="58" fillId="0" borderId="60" applyNumberFormat="0" applyFill="0" applyAlignment="0" applyProtection="0"/>
    <xf numFmtId="0" fontId="58" fillId="0" borderId="60" applyNumberFormat="0" applyFill="0" applyAlignment="0" applyProtection="0"/>
    <xf numFmtId="0" fontId="58" fillId="0" borderId="60" applyNumberFormat="0" applyFill="0" applyAlignment="0" applyProtection="0"/>
    <xf numFmtId="0" fontId="58" fillId="0" borderId="60" applyNumberFormat="0" applyFill="0" applyAlignment="0" applyProtection="0"/>
    <xf numFmtId="0" fontId="58" fillId="0" borderId="60" applyNumberFormat="0" applyFill="0" applyAlignment="0" applyProtection="0"/>
    <xf numFmtId="4" fontId="37" fillId="33" borderId="75" applyNumberFormat="0" applyProtection="0">
      <alignment vertical="center"/>
    </xf>
    <xf numFmtId="4" fontId="313" fillId="15" borderId="75" applyNumberFormat="0" applyProtection="0">
      <alignment vertical="center"/>
    </xf>
    <xf numFmtId="4" fontId="37" fillId="15" borderId="75" applyNumberFormat="0" applyProtection="0">
      <alignment horizontal="left" vertical="center" indent="1"/>
    </xf>
    <xf numFmtId="0" fontId="294" fillId="33" borderId="113" applyNumberFormat="0" applyProtection="0">
      <alignment horizontal="left" vertical="top" indent="1"/>
    </xf>
    <xf numFmtId="4" fontId="37" fillId="37" borderId="75" applyNumberFormat="0" applyProtection="0">
      <alignment horizontal="left" vertical="center" indent="1"/>
    </xf>
    <xf numFmtId="4" fontId="37" fillId="48" borderId="75" applyNumberFormat="0" applyProtection="0">
      <alignment horizontal="right" vertical="center"/>
    </xf>
    <xf numFmtId="4" fontId="37" fillId="128" borderId="75" applyNumberFormat="0" applyProtection="0">
      <alignment horizontal="right" vertical="center"/>
    </xf>
    <xf numFmtId="4" fontId="37" fillId="41" borderId="114" applyNumberFormat="0" applyProtection="0">
      <alignment horizontal="right" vertical="center"/>
    </xf>
    <xf numFmtId="4" fontId="37" fillId="99" borderId="75" applyNumberFormat="0" applyProtection="0">
      <alignment horizontal="right" vertical="center"/>
    </xf>
    <xf numFmtId="4" fontId="37" fillId="102" borderId="75" applyNumberFormat="0" applyProtection="0">
      <alignment horizontal="right" vertical="center"/>
    </xf>
    <xf numFmtId="4" fontId="37" fillId="47" borderId="75" applyNumberFormat="0" applyProtection="0">
      <alignment horizontal="right" vertical="center"/>
    </xf>
    <xf numFmtId="4" fontId="37" fillId="43" borderId="75" applyNumberFormat="0" applyProtection="0">
      <alignment horizontal="right" vertical="center"/>
    </xf>
    <xf numFmtId="4" fontId="37" fillId="129" borderId="75" applyNumberFormat="0" applyProtection="0">
      <alignment horizontal="right" vertical="center"/>
    </xf>
    <xf numFmtId="4" fontId="37" fillId="98" borderId="75" applyNumberFormat="0" applyProtection="0">
      <alignment horizontal="right" vertical="center"/>
    </xf>
    <xf numFmtId="4" fontId="37" fillId="130" borderId="114" applyNumberFormat="0" applyProtection="0">
      <alignment horizontal="left" vertical="center" indent="1"/>
    </xf>
    <xf numFmtId="4" fontId="4" fillId="44" borderId="114" applyNumberFormat="0" applyProtection="0">
      <alignment horizontal="left" vertical="center" indent="1"/>
    </xf>
    <xf numFmtId="4" fontId="4" fillId="44" borderId="114" applyNumberFormat="0" applyProtection="0">
      <alignment horizontal="left" vertical="center" indent="1"/>
    </xf>
    <xf numFmtId="4" fontId="37" fillId="131" borderId="75" applyNumberFormat="0" applyProtection="0">
      <alignment horizontal="right" vertical="center"/>
    </xf>
    <xf numFmtId="4" fontId="37" fillId="132" borderId="114" applyNumberFormat="0" applyProtection="0">
      <alignment horizontal="left" vertical="center" indent="1"/>
    </xf>
    <xf numFmtId="4" fontId="37" fillId="131" borderId="114" applyNumberFormat="0" applyProtection="0">
      <alignment horizontal="left" vertical="center" indent="1"/>
    </xf>
    <xf numFmtId="0" fontId="37" fillId="34" borderId="75" applyNumberFormat="0" applyProtection="0">
      <alignment horizontal="left" vertical="center" indent="1"/>
    </xf>
    <xf numFmtId="0" fontId="37" fillId="44" borderId="113" applyNumberFormat="0" applyProtection="0">
      <alignment horizontal="left" vertical="top" indent="1"/>
    </xf>
    <xf numFmtId="0" fontId="37" fillId="133" borderId="75" applyNumberFormat="0" applyProtection="0">
      <alignment horizontal="left" vertical="center" indent="1"/>
    </xf>
    <xf numFmtId="0" fontId="37" fillId="131" borderId="113" applyNumberFormat="0" applyProtection="0">
      <alignment horizontal="left" vertical="top" indent="1"/>
    </xf>
    <xf numFmtId="0" fontId="37" fillId="79" borderId="75" applyNumberFormat="0" applyProtection="0">
      <alignment horizontal="left" vertical="center" indent="1"/>
    </xf>
    <xf numFmtId="0" fontId="37" fillId="79" borderId="113" applyNumberFormat="0" applyProtection="0">
      <alignment horizontal="left" vertical="top" indent="1"/>
    </xf>
    <xf numFmtId="0" fontId="37" fillId="132" borderId="75" applyNumberFormat="0" applyProtection="0">
      <alignment horizontal="left" vertical="center" indent="1"/>
    </xf>
    <xf numFmtId="0" fontId="37" fillId="132" borderId="113" applyNumberFormat="0" applyProtection="0">
      <alignment horizontal="left" vertical="top" indent="1"/>
    </xf>
    <xf numFmtId="0" fontId="37" fillId="32" borderId="115" applyNumberFormat="0">
      <protection locked="0"/>
    </xf>
    <xf numFmtId="0" fontId="42" fillId="44" borderId="116" applyBorder="0"/>
    <xf numFmtId="4" fontId="142" fillId="31" borderId="113" applyNumberFormat="0" applyProtection="0">
      <alignment vertical="center"/>
    </xf>
    <xf numFmtId="4" fontId="313" fillId="21" borderId="28" applyNumberFormat="0" applyProtection="0">
      <alignment vertical="center"/>
    </xf>
    <xf numFmtId="4" fontId="142" fillId="34" borderId="113" applyNumberFormat="0" applyProtection="0">
      <alignment horizontal="left" vertical="center" indent="1"/>
    </xf>
    <xf numFmtId="0" fontId="142" fillId="31" borderId="113" applyNumberFormat="0" applyProtection="0">
      <alignment horizontal="left" vertical="top" indent="1"/>
    </xf>
    <xf numFmtId="4" fontId="37" fillId="0" borderId="75" applyNumberFormat="0" applyProtection="0">
      <alignment horizontal="right" vertical="center"/>
    </xf>
    <xf numFmtId="4" fontId="313" fillId="19" borderId="75" applyNumberFormat="0" applyProtection="0">
      <alignment horizontal="right" vertical="center"/>
    </xf>
    <xf numFmtId="4" fontId="37" fillId="37" borderId="75" applyNumberFormat="0" applyProtection="0">
      <alignment horizontal="left" vertical="center" indent="1"/>
    </xf>
    <xf numFmtId="0" fontId="142" fillId="131" borderId="113" applyNumberFormat="0" applyProtection="0">
      <alignment horizontal="left" vertical="top" indent="1"/>
    </xf>
    <xf numFmtId="4" fontId="314" fillId="110" borderId="114" applyNumberFormat="0" applyProtection="0">
      <alignment horizontal="left" vertical="center" indent="1"/>
    </xf>
    <xf numFmtId="0" fontId="37" fillId="134" borderId="28"/>
    <xf numFmtId="4" fontId="315" fillId="32" borderId="75" applyNumberFormat="0" applyProtection="0">
      <alignment horizontal="right" vertical="center"/>
    </xf>
    <xf numFmtId="0" fontId="133" fillId="0" borderId="32" applyNumberFormat="0" applyFont="0" applyFill="0" applyAlignment="0" applyProtection="0"/>
    <xf numFmtId="0" fontId="174" fillId="0" borderId="52" applyNumberFormat="0" applyFill="0" applyAlignment="0" applyProtection="0"/>
    <xf numFmtId="0" fontId="174" fillId="0" borderId="52" applyNumberFormat="0" applyFill="0" applyAlignment="0" applyProtection="0"/>
    <xf numFmtId="0" fontId="65" fillId="0" borderId="14" applyNumberFormat="0" applyFill="0" applyAlignment="0" applyProtection="0"/>
    <xf numFmtId="0" fontId="174" fillId="0" borderId="52" applyNumberFormat="0" applyFill="0" applyAlignment="0" applyProtection="0"/>
    <xf numFmtId="0" fontId="174" fillId="0" borderId="52" applyNumberFormat="0" applyFill="0" applyAlignment="0" applyProtection="0"/>
    <xf numFmtId="0" fontId="174" fillId="0" borderId="52" applyNumberFormat="0" applyFill="0" applyAlignment="0" applyProtection="0"/>
    <xf numFmtId="0" fontId="174" fillId="0" borderId="52" applyNumberFormat="0" applyFill="0" applyAlignment="0" applyProtection="0"/>
    <xf numFmtId="0" fontId="174" fillId="0" borderId="52" applyNumberFormat="0" applyFill="0" applyAlignment="0" applyProtection="0"/>
    <xf numFmtId="0" fontId="174" fillId="0" borderId="52" applyNumberFormat="0" applyFill="0" applyAlignment="0" applyProtection="0"/>
    <xf numFmtId="0" fontId="78" fillId="0" borderId="32">
      <alignment horizontal="center"/>
    </xf>
    <xf numFmtId="0" fontId="78" fillId="0" borderId="32">
      <alignment horizontal="center"/>
    </xf>
    <xf numFmtId="0" fontId="307" fillId="113" borderId="109" applyNumberFormat="0" applyAlignment="0" applyProtection="0"/>
    <xf numFmtId="0" fontId="307" fillId="113" borderId="109" applyNumberFormat="0" applyAlignment="0" applyProtection="0"/>
    <xf numFmtId="0" fontId="307" fillId="114" borderId="109" applyNumberFormat="0" applyAlignment="0" applyProtection="0"/>
    <xf numFmtId="0" fontId="37" fillId="32" borderId="115" applyNumberFormat="0">
      <protection locked="0"/>
    </xf>
    <xf numFmtId="0" fontId="54" fillId="32"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75" fillId="32" borderId="17" applyNumberFormat="0" applyAlignment="0" applyProtection="0"/>
    <xf numFmtId="0" fontId="58" fillId="0" borderId="19" applyNumberFormat="0" applyFill="0" applyAlignment="0" applyProtection="0"/>
    <xf numFmtId="0" fontId="75" fillId="32" borderId="17" applyNumberFormat="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65" fillId="0" borderId="51" applyNumberFormat="0" applyFill="0" applyAlignment="0" applyProtection="0"/>
    <xf numFmtId="0" fontId="70" fillId="30" borderId="10" applyNumberFormat="0" applyAlignment="0" applyProtection="0"/>
    <xf numFmtId="0" fontId="4" fillId="31" borderId="79" applyNumberFormat="0" applyFont="0" applyAlignment="0" applyProtection="0"/>
    <xf numFmtId="0" fontId="75" fillId="32" borderId="17" applyNumberFormat="0" applyAlignment="0" applyProtection="0"/>
    <xf numFmtId="0" fontId="58" fillId="0" borderId="19" applyNumberFormat="0" applyFill="0" applyAlignment="0" applyProtection="0"/>
    <xf numFmtId="0" fontId="75" fillId="32" borderId="17" applyNumberFormat="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65" fillId="0" borderId="51" applyNumberFormat="0" applyFill="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65" fillId="0" borderId="51" applyNumberFormat="0" applyFill="0" applyAlignment="0" applyProtection="0"/>
    <xf numFmtId="0" fontId="65" fillId="0" borderId="51" applyNumberFormat="0" applyFill="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75" fillId="32" borderId="17" applyNumberFormat="0" applyAlignment="0" applyProtection="0"/>
    <xf numFmtId="0" fontId="78" fillId="0" borderId="32">
      <alignment horizontal="center"/>
    </xf>
    <xf numFmtId="0" fontId="58" fillId="0" borderId="19" applyNumberFormat="0" applyFill="0" applyAlignment="0" applyProtection="0"/>
    <xf numFmtId="0" fontId="75" fillId="32" borderId="17" applyNumberFormat="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8" fillId="0" borderId="32">
      <alignment horizontal="center"/>
    </xf>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44" fontId="2" fillId="0" borderId="0" applyFont="0" applyFill="0" applyBorder="0" applyAlignment="0" applyProtection="0"/>
    <xf numFmtId="0" fontId="2" fillId="0" borderId="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75" fillId="32" borderId="17" applyNumberFormat="0" applyAlignment="0" applyProtection="0"/>
    <xf numFmtId="0" fontId="58" fillId="0" borderId="19" applyNumberFormat="0" applyFill="0" applyAlignment="0" applyProtection="0"/>
    <xf numFmtId="0" fontId="75" fillId="32" borderId="17" applyNumberFormat="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75" fillId="32" borderId="17" applyNumberFormat="0" applyAlignment="0" applyProtection="0"/>
    <xf numFmtId="0" fontId="58" fillId="0" borderId="19" applyNumberFormat="0" applyFill="0" applyAlignment="0" applyProtection="0"/>
    <xf numFmtId="0" fontId="75" fillId="32" borderId="17" applyNumberFormat="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70" fillId="30" borderId="10" applyNumberFormat="0" applyAlignment="0" applyProtection="0"/>
    <xf numFmtId="0" fontId="75" fillId="32" borderId="17" applyNumberFormat="0" applyAlignment="0" applyProtection="0"/>
    <xf numFmtId="0" fontId="58" fillId="0" borderId="19" applyNumberFormat="0" applyFill="0" applyAlignment="0" applyProtection="0"/>
    <xf numFmtId="0" fontId="75" fillId="32" borderId="17" applyNumberFormat="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65" fillId="0" borderId="51" applyNumberFormat="0" applyFill="0" applyAlignment="0" applyProtection="0"/>
    <xf numFmtId="0" fontId="65" fillId="0" borderId="51" applyNumberFormat="0" applyFill="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65" fillId="0" borderId="51" applyNumberFormat="0" applyFill="0" applyAlignment="0" applyProtection="0"/>
    <xf numFmtId="0" fontId="70" fillId="30" borderId="10" applyNumberFormat="0" applyAlignment="0" applyProtection="0"/>
    <xf numFmtId="0" fontId="4" fillId="31" borderId="79" applyNumberFormat="0" applyFont="0" applyAlignment="0" applyProtection="0"/>
    <xf numFmtId="0" fontId="75" fillId="32" borderId="17" applyNumberFormat="0" applyAlignment="0" applyProtection="0"/>
    <xf numFmtId="0" fontId="58" fillId="0" borderId="19" applyNumberFormat="0" applyFill="0" applyAlignment="0" applyProtection="0"/>
    <xf numFmtId="0" fontId="75" fillId="32" borderId="17" applyNumberFormat="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65" fillId="0" borderId="51" applyNumberFormat="0" applyFill="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65" fillId="0" borderId="51" applyNumberFormat="0" applyFill="0" applyAlignment="0" applyProtection="0"/>
    <xf numFmtId="0" fontId="65" fillId="0" borderId="51" applyNumberFormat="0" applyFill="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75" fillId="32" borderId="17" applyNumberFormat="0" applyAlignment="0" applyProtection="0"/>
    <xf numFmtId="0" fontId="78" fillId="0" borderId="32">
      <alignment horizontal="center"/>
    </xf>
    <xf numFmtId="0" fontId="58" fillId="0" borderId="19" applyNumberFormat="0" applyFill="0" applyAlignment="0" applyProtection="0"/>
    <xf numFmtId="0" fontId="75" fillId="32" borderId="17" applyNumberFormat="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8" fillId="0" borderId="32">
      <alignment horizontal="center"/>
    </xf>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4" fillId="0" borderId="0"/>
    <xf numFmtId="0" fontId="22" fillId="95" borderId="0" applyNumberFormat="0" applyBorder="0" applyAlignment="0" applyProtection="0"/>
    <xf numFmtId="0" fontId="22" fillId="48" borderId="0" applyNumberFormat="0" applyBorder="0" applyAlignment="0" applyProtection="0"/>
    <xf numFmtId="0" fontId="22" fillId="53" borderId="0" applyNumberFormat="0" applyBorder="0" applyAlignment="0" applyProtection="0"/>
    <xf numFmtId="0" fontId="22" fillId="96" borderId="0" applyNumberFormat="0" applyBorder="0" applyAlignment="0" applyProtection="0"/>
    <xf numFmtId="0" fontId="22" fillId="79" borderId="0" applyNumberFormat="0" applyBorder="0" applyAlignment="0" applyProtection="0"/>
    <xf numFmtId="0" fontId="22" fillId="97" borderId="0" applyNumberFormat="0" applyBorder="0" applyAlignment="0" applyProtection="0"/>
    <xf numFmtId="0" fontId="22" fillId="98" borderId="0" applyNumberFormat="0" applyBorder="0" applyAlignment="0" applyProtection="0"/>
    <xf numFmtId="0" fontId="22" fillId="96" borderId="0" applyNumberFormat="0" applyBorder="0" applyAlignment="0" applyProtection="0"/>
    <xf numFmtId="0" fontId="22" fillId="99" borderId="0" applyNumberFormat="0" applyBorder="0" applyAlignment="0" applyProtection="0"/>
    <xf numFmtId="0" fontId="48" fillId="100" borderId="0" applyNumberFormat="0" applyBorder="0" applyAlignment="0" applyProtection="0"/>
    <xf numFmtId="0" fontId="48" fillId="97" borderId="0" applyNumberFormat="0" applyBorder="0" applyAlignment="0" applyProtection="0"/>
    <xf numFmtId="0" fontId="48" fillId="98" borderId="0" applyNumberFormat="0" applyBorder="0" applyAlignment="0" applyProtection="0"/>
    <xf numFmtId="0" fontId="48" fillId="101" borderId="0" applyNumberFormat="0" applyBorder="0" applyAlignment="0" applyProtection="0"/>
    <xf numFmtId="0" fontId="48" fillId="102" borderId="0" applyNumberFormat="0" applyBorder="0" applyAlignment="0" applyProtection="0"/>
    <xf numFmtId="190" fontId="129" fillId="0" borderId="36" applyBorder="0"/>
    <xf numFmtId="182" fontId="26" fillId="94" borderId="36" applyBorder="0">
      <alignment horizontal="right"/>
    </xf>
    <xf numFmtId="182" fontId="26" fillId="0" borderId="36" applyBorder="0">
      <alignment horizontal="right"/>
    </xf>
    <xf numFmtId="0" fontId="48" fillId="106" borderId="0" applyNumberFormat="0" applyBorder="0" applyAlignment="0" applyProtection="0"/>
    <xf numFmtId="0" fontId="48" fillId="101" borderId="0" applyNumberFormat="0" applyBorder="0" applyAlignment="0" applyProtection="0"/>
    <xf numFmtId="3" fontId="151" fillId="21" borderId="79">
      <alignment horizontal="right"/>
    </xf>
    <xf numFmtId="9" fontId="4" fillId="21" borderId="48"/>
    <xf numFmtId="9" fontId="151" fillId="21" borderId="79"/>
    <xf numFmtId="15" fontId="277" fillId="23" borderId="28"/>
    <xf numFmtId="3" fontId="278" fillId="107" borderId="35" applyNumberFormat="0" applyBorder="0" applyAlignment="0">
      <alignment vertical="center"/>
    </xf>
    <xf numFmtId="0" fontId="133" fillId="0" borderId="32" applyNumberFormat="0" applyFont="0" applyFill="0" applyAlignment="0" applyProtection="0"/>
    <xf numFmtId="0" fontId="133" fillId="0" borderId="72" applyNumberFormat="0" applyFont="0" applyFill="0" applyAlignment="0" applyProtection="0"/>
    <xf numFmtId="0" fontId="54" fillId="34" borderId="10" applyNumberFormat="0" applyAlignment="0" applyProtection="0"/>
    <xf numFmtId="0" fontId="54" fillId="34" borderId="10" applyNumberFormat="0" applyAlignment="0" applyProtection="0"/>
    <xf numFmtId="0" fontId="54" fillId="32" borderId="10" applyNumberFormat="0" applyAlignment="0" applyProtection="0"/>
    <xf numFmtId="0" fontId="54" fillId="34" borderId="10" applyNumberFormat="0" applyAlignment="0" applyProtection="0"/>
    <xf numFmtId="0" fontId="54" fillId="34" borderId="10" applyNumberFormat="0" applyAlignment="0" applyProtection="0"/>
    <xf numFmtId="0" fontId="54" fillId="34" borderId="10" applyNumberFormat="0" applyAlignment="0" applyProtection="0"/>
    <xf numFmtId="0" fontId="54" fillId="34" borderId="10" applyNumberFormat="0" applyAlignment="0" applyProtection="0"/>
    <xf numFmtId="0" fontId="54" fillId="34" borderId="10" applyNumberFormat="0" applyAlignment="0" applyProtection="0"/>
    <xf numFmtId="0" fontId="54" fillId="34" borderId="10" applyNumberFormat="0" applyAlignment="0" applyProtection="0"/>
    <xf numFmtId="0" fontId="54" fillId="34" borderId="10" applyNumberFormat="0" applyAlignment="0" applyProtection="0"/>
    <xf numFmtId="0" fontId="54" fillId="34" borderId="10" applyNumberFormat="0" applyAlignment="0" applyProtection="0"/>
    <xf numFmtId="0" fontId="4" fillId="20" borderId="17" applyNumberFormat="0">
      <alignment vertical="center"/>
    </xf>
    <xf numFmtId="0" fontId="118" fillId="0" borderId="0"/>
    <xf numFmtId="0" fontId="119" fillId="0" borderId="0"/>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0" fillId="0" borderId="0" applyFill="0" applyBorder="0">
      <alignment vertical="center"/>
    </xf>
    <xf numFmtId="0" fontId="26" fillId="0" borderId="0" applyFill="0" applyBorder="0">
      <alignment vertical="center"/>
    </xf>
    <xf numFmtId="0" fontId="174" fillId="0" borderId="52" applyNumberFormat="0" applyFill="0" applyAlignment="0" applyProtection="0"/>
    <xf numFmtId="0" fontId="174" fillId="0" borderId="52" applyNumberFormat="0" applyFill="0" applyAlignment="0" applyProtection="0"/>
    <xf numFmtId="0" fontId="65" fillId="0" borderId="14" applyNumberFormat="0" applyFill="0" applyAlignment="0" applyProtection="0"/>
    <xf numFmtId="0" fontId="42" fillId="0" borderId="0" applyFill="0" applyBorder="0">
      <alignment vertical="center"/>
    </xf>
    <xf numFmtId="0" fontId="174" fillId="0" borderId="52" applyNumberFormat="0" applyFill="0" applyAlignment="0" applyProtection="0"/>
    <xf numFmtId="0" fontId="174" fillId="0" borderId="52" applyNumberFormat="0" applyFill="0" applyAlignment="0" applyProtection="0"/>
    <xf numFmtId="0" fontId="174" fillId="0" borderId="52" applyNumberFormat="0" applyFill="0" applyAlignment="0" applyProtection="0"/>
    <xf numFmtId="0" fontId="174" fillId="0" borderId="52" applyNumberFormat="0" applyFill="0" applyAlignment="0" applyProtection="0"/>
    <xf numFmtId="0" fontId="174" fillId="0" borderId="52" applyNumberFormat="0" applyFill="0" applyAlignment="0" applyProtection="0"/>
    <xf numFmtId="0" fontId="174" fillId="0" borderId="52" applyNumberFormat="0" applyFill="0" applyAlignment="0" applyProtection="0"/>
    <xf numFmtId="0" fontId="37" fillId="0" borderId="0" applyFill="0" applyBorder="0">
      <alignment vertical="center"/>
    </xf>
    <xf numFmtId="0" fontId="90" fillId="0" borderId="0" applyNumberFormat="0" applyFill="0" applyBorder="0" applyAlignment="0" applyProtection="0">
      <alignment vertical="top"/>
      <protection locked="0"/>
    </xf>
    <xf numFmtId="310" fontId="273" fillId="15" borderId="28" applyNumberFormat="0" applyAlignment="0" applyProtection="0"/>
    <xf numFmtId="10" fontId="37" fillId="21" borderId="28" applyNumberFormat="0" applyBorder="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57" fillId="109" borderId="106" applyNumberFormat="0">
      <alignment vertical="center"/>
      <protection locked="0"/>
    </xf>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37" fillId="23" borderId="28" applyNumberFormat="0" applyAlignment="0">
      <protection locked="0"/>
    </xf>
    <xf numFmtId="0" fontId="37" fillId="15" borderId="107" applyNumberFormat="0" applyAlignment="0">
      <protection locked="0"/>
    </xf>
    <xf numFmtId="0" fontId="2" fillId="0" borderId="0"/>
    <xf numFmtId="0" fontId="2" fillId="0" borderId="0"/>
    <xf numFmtId="0" fontId="2" fillId="0" borderId="0"/>
    <xf numFmtId="0" fontId="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4" borderId="17" applyNumberFormat="0" applyAlignment="0" applyProtection="0"/>
    <xf numFmtId="0" fontId="75" fillId="34" borderId="17" applyNumberFormat="0" applyAlignment="0" applyProtection="0"/>
    <xf numFmtId="0" fontId="75" fillId="32" borderId="17" applyNumberFormat="0" applyAlignment="0" applyProtection="0"/>
    <xf numFmtId="0" fontId="75" fillId="34" borderId="17" applyNumberFormat="0" applyAlignment="0" applyProtection="0"/>
    <xf numFmtId="0" fontId="75" fillId="34" borderId="17" applyNumberFormat="0" applyAlignment="0" applyProtection="0"/>
    <xf numFmtId="0" fontId="75" fillId="34" borderId="17" applyNumberFormat="0" applyAlignment="0" applyProtection="0"/>
    <xf numFmtId="0" fontId="75" fillId="34" borderId="17" applyNumberFormat="0" applyAlignment="0" applyProtection="0"/>
    <xf numFmtId="0" fontId="75" fillId="34" borderId="17" applyNumberFormat="0" applyAlignment="0" applyProtection="0"/>
    <xf numFmtId="0" fontId="75" fillId="34" borderId="17" applyNumberFormat="0" applyAlignment="0" applyProtection="0"/>
    <xf numFmtId="0" fontId="75" fillId="34" borderId="17" applyNumberFormat="0" applyAlignment="0" applyProtection="0"/>
    <xf numFmtId="0" fontId="75" fillId="34" borderId="17" applyNumberFormat="0" applyAlignment="0" applyProtection="0"/>
    <xf numFmtId="0" fontId="305" fillId="81" borderId="28" applyNumberFormat="0" applyAlignment="0" applyProtection="0">
      <alignment horizontal="center" vertical="center"/>
    </xf>
    <xf numFmtId="0" fontId="244" fillId="0" borderId="0" applyNumberFormat="0" applyFill="0" applyBorder="0" applyAlignment="0" applyProtection="0"/>
    <xf numFmtId="203" fontId="4" fillId="0" borderId="33" applyFill="0"/>
    <xf numFmtId="0" fontId="58" fillId="0" borderId="60" applyNumberFormat="0" applyFill="0" applyAlignment="0" applyProtection="0"/>
    <xf numFmtId="0" fontId="58" fillId="0" borderId="60" applyNumberFormat="0" applyFill="0" applyAlignment="0" applyProtection="0"/>
    <xf numFmtId="0" fontId="58" fillId="0" borderId="19" applyNumberFormat="0" applyFill="0" applyAlignment="0" applyProtection="0"/>
    <xf numFmtId="0" fontId="58" fillId="0" borderId="60" applyNumberFormat="0" applyFill="0" applyAlignment="0" applyProtection="0"/>
    <xf numFmtId="203" fontId="4" fillId="0" borderId="36" applyFill="0"/>
    <xf numFmtId="0" fontId="58" fillId="0" borderId="60" applyNumberFormat="0" applyFill="0" applyAlignment="0" applyProtection="0"/>
    <xf numFmtId="0" fontId="58" fillId="0" borderId="60" applyNumberFormat="0" applyFill="0" applyAlignment="0" applyProtection="0"/>
    <xf numFmtId="0" fontId="58" fillId="0" borderId="60" applyNumberFormat="0" applyFill="0" applyAlignment="0" applyProtection="0"/>
    <xf numFmtId="0" fontId="58" fillId="0" borderId="60" applyNumberFormat="0" applyFill="0" applyAlignment="0" applyProtection="0"/>
    <xf numFmtId="0" fontId="58" fillId="0" borderId="60" applyNumberFormat="0" applyFill="0" applyAlignment="0" applyProtection="0"/>
    <xf numFmtId="0" fontId="58" fillId="0" borderId="60" applyNumberFormat="0" applyFill="0" applyAlignment="0" applyProtection="0"/>
    <xf numFmtId="0" fontId="58" fillId="0" borderId="60" applyNumberFormat="0" applyFill="0" applyAlignment="0" applyProtection="0"/>
    <xf numFmtId="4" fontId="37" fillId="33" borderId="75" applyNumberFormat="0" applyProtection="0">
      <alignment vertical="center"/>
    </xf>
    <xf numFmtId="4" fontId="313" fillId="15" borderId="75" applyNumberFormat="0" applyProtection="0">
      <alignment vertical="center"/>
    </xf>
    <xf numFmtId="4" fontId="37" fillId="15" borderId="75" applyNumberFormat="0" applyProtection="0">
      <alignment horizontal="left" vertical="center" indent="1"/>
    </xf>
    <xf numFmtId="0" fontId="294" fillId="33" borderId="113" applyNumberFormat="0" applyProtection="0">
      <alignment horizontal="left" vertical="top" indent="1"/>
    </xf>
    <xf numFmtId="4" fontId="37" fillId="37" borderId="75" applyNumberFormat="0" applyProtection="0">
      <alignment horizontal="left" vertical="center" indent="1"/>
    </xf>
    <xf numFmtId="4" fontId="37" fillId="48" borderId="75" applyNumberFormat="0" applyProtection="0">
      <alignment horizontal="right" vertical="center"/>
    </xf>
    <xf numFmtId="4" fontId="37" fillId="128" borderId="75" applyNumberFormat="0" applyProtection="0">
      <alignment horizontal="right" vertical="center"/>
    </xf>
    <xf numFmtId="4" fontId="37" fillId="41" borderId="114" applyNumberFormat="0" applyProtection="0">
      <alignment horizontal="right" vertical="center"/>
    </xf>
    <xf numFmtId="4" fontId="37" fillId="99" borderId="75" applyNumberFormat="0" applyProtection="0">
      <alignment horizontal="right" vertical="center"/>
    </xf>
    <xf numFmtId="4" fontId="37" fillId="102" borderId="75" applyNumberFormat="0" applyProtection="0">
      <alignment horizontal="right" vertical="center"/>
    </xf>
    <xf numFmtId="4" fontId="37" fillId="47" borderId="75" applyNumberFormat="0" applyProtection="0">
      <alignment horizontal="right" vertical="center"/>
    </xf>
    <xf numFmtId="4" fontId="37" fillId="43" borderId="75" applyNumberFormat="0" applyProtection="0">
      <alignment horizontal="right" vertical="center"/>
    </xf>
    <xf numFmtId="4" fontId="37" fillId="129" borderId="75" applyNumberFormat="0" applyProtection="0">
      <alignment horizontal="right" vertical="center"/>
    </xf>
    <xf numFmtId="4" fontId="37" fillId="98" borderId="75" applyNumberFormat="0" applyProtection="0">
      <alignment horizontal="right" vertical="center"/>
    </xf>
    <xf numFmtId="4" fontId="37" fillId="130" borderId="114" applyNumberFormat="0" applyProtection="0">
      <alignment horizontal="left" vertical="center" indent="1"/>
    </xf>
    <xf numFmtId="4" fontId="4" fillId="44" borderId="114" applyNumberFormat="0" applyProtection="0">
      <alignment horizontal="left" vertical="center" indent="1"/>
    </xf>
    <xf numFmtId="4" fontId="4" fillId="44" borderId="114" applyNumberFormat="0" applyProtection="0">
      <alignment horizontal="left" vertical="center" indent="1"/>
    </xf>
    <xf numFmtId="4" fontId="37" fillId="131" borderId="75" applyNumberFormat="0" applyProtection="0">
      <alignment horizontal="right" vertical="center"/>
    </xf>
    <xf numFmtId="4" fontId="37" fillId="132" borderId="114" applyNumberFormat="0" applyProtection="0">
      <alignment horizontal="left" vertical="center" indent="1"/>
    </xf>
    <xf numFmtId="4" fontId="37" fillId="131" borderId="114" applyNumberFormat="0" applyProtection="0">
      <alignment horizontal="left" vertical="center" indent="1"/>
    </xf>
    <xf numFmtId="0" fontId="37" fillId="34" borderId="75" applyNumberFormat="0" applyProtection="0">
      <alignment horizontal="left" vertical="center" indent="1"/>
    </xf>
    <xf numFmtId="0" fontId="37" fillId="44" borderId="113" applyNumberFormat="0" applyProtection="0">
      <alignment horizontal="left" vertical="top" indent="1"/>
    </xf>
    <xf numFmtId="0" fontId="37" fillId="133" borderId="75" applyNumberFormat="0" applyProtection="0">
      <alignment horizontal="left" vertical="center" indent="1"/>
    </xf>
    <xf numFmtId="0" fontId="37" fillId="131" borderId="113" applyNumberFormat="0" applyProtection="0">
      <alignment horizontal="left" vertical="top" indent="1"/>
    </xf>
    <xf numFmtId="0" fontId="37" fillId="79" borderId="75" applyNumberFormat="0" applyProtection="0">
      <alignment horizontal="left" vertical="center" indent="1"/>
    </xf>
    <xf numFmtId="0" fontId="37" fillId="79" borderId="113" applyNumberFormat="0" applyProtection="0">
      <alignment horizontal="left" vertical="top" indent="1"/>
    </xf>
    <xf numFmtId="0" fontId="37" fillId="132" borderId="75" applyNumberFormat="0" applyProtection="0">
      <alignment horizontal="left" vertical="center" indent="1"/>
    </xf>
    <xf numFmtId="0" fontId="37" fillId="132" borderId="113" applyNumberFormat="0" applyProtection="0">
      <alignment horizontal="left" vertical="top" indent="1"/>
    </xf>
    <xf numFmtId="0" fontId="42" fillId="44" borderId="116" applyBorder="0"/>
    <xf numFmtId="4" fontId="142" fillId="31" borderId="113" applyNumberFormat="0" applyProtection="0">
      <alignment vertical="center"/>
    </xf>
    <xf numFmtId="4" fontId="313" fillId="21" borderId="28" applyNumberFormat="0" applyProtection="0">
      <alignment vertical="center"/>
    </xf>
    <xf numFmtId="4" fontId="142" fillId="34" borderId="113" applyNumberFormat="0" applyProtection="0">
      <alignment horizontal="left" vertical="center" indent="1"/>
    </xf>
    <xf numFmtId="0" fontId="142" fillId="31" borderId="113" applyNumberFormat="0" applyProtection="0">
      <alignment horizontal="left" vertical="top" indent="1"/>
    </xf>
    <xf numFmtId="4" fontId="37" fillId="0" borderId="75" applyNumberFormat="0" applyProtection="0">
      <alignment horizontal="right" vertical="center"/>
    </xf>
    <xf numFmtId="4" fontId="313" fillId="19" borderId="75" applyNumberFormat="0" applyProtection="0">
      <alignment horizontal="right" vertical="center"/>
    </xf>
    <xf numFmtId="4" fontId="37" fillId="37" borderId="75" applyNumberFormat="0" applyProtection="0">
      <alignment horizontal="left" vertical="center" indent="1"/>
    </xf>
    <xf numFmtId="0" fontId="142" fillId="131" borderId="113" applyNumberFormat="0" applyProtection="0">
      <alignment horizontal="left" vertical="top" indent="1"/>
    </xf>
    <xf numFmtId="4" fontId="314" fillId="110" borderId="114" applyNumberFormat="0" applyProtection="0">
      <alignment horizontal="left" vertical="center" indent="1"/>
    </xf>
    <xf numFmtId="0" fontId="37" fillId="134" borderId="28"/>
    <xf numFmtId="4" fontId="315" fillId="32" borderId="75" applyNumberFormat="0" applyProtection="0">
      <alignment horizontal="right" vertical="center"/>
    </xf>
    <xf numFmtId="0" fontId="22" fillId="0" borderId="0"/>
    <xf numFmtId="0" fontId="133" fillId="0" borderId="32" applyNumberFormat="0" applyFont="0" applyFill="0" applyAlignment="0" applyProtection="0"/>
    <xf numFmtId="0" fontId="78" fillId="0" borderId="32">
      <alignment horizontal="center"/>
    </xf>
    <xf numFmtId="0" fontId="78" fillId="0" borderId="32">
      <alignment horizontal="center"/>
    </xf>
    <xf numFmtId="0" fontId="78" fillId="0" borderId="32">
      <alignment horizontal="center"/>
    </xf>
    <xf numFmtId="0" fontId="78" fillId="0" borderId="32">
      <alignment horizontal="center"/>
    </xf>
    <xf numFmtId="0" fontId="133" fillId="0" borderId="32" applyNumberFormat="0" applyFont="0" applyFill="0" applyAlignment="0" applyProtection="0"/>
    <xf numFmtId="0" fontId="174" fillId="0" borderId="52" applyNumberFormat="0" applyFill="0" applyAlignment="0" applyProtection="0"/>
    <xf numFmtId="0" fontId="174" fillId="0" borderId="52" applyNumberFormat="0" applyFill="0" applyAlignment="0" applyProtection="0"/>
    <xf numFmtId="0" fontId="65" fillId="0" borderId="14" applyNumberFormat="0" applyFill="0" applyAlignment="0" applyProtection="0"/>
    <xf numFmtId="0" fontId="174" fillId="0" borderId="52" applyNumberFormat="0" applyFill="0" applyAlignment="0" applyProtection="0"/>
    <xf numFmtId="0" fontId="174" fillId="0" borderId="52" applyNumberFormat="0" applyFill="0" applyAlignment="0" applyProtection="0"/>
    <xf numFmtId="0" fontId="174" fillId="0" borderId="52" applyNumberFormat="0" applyFill="0" applyAlignment="0" applyProtection="0"/>
    <xf numFmtId="0" fontId="174" fillId="0" borderId="52" applyNumberFormat="0" applyFill="0" applyAlignment="0" applyProtection="0"/>
    <xf numFmtId="0" fontId="174" fillId="0" borderId="52" applyNumberFormat="0" applyFill="0" applyAlignment="0" applyProtection="0"/>
    <xf numFmtId="0" fontId="174" fillId="0" borderId="52" applyNumberFormat="0" applyFill="0" applyAlignment="0" applyProtection="0"/>
    <xf numFmtId="0" fontId="133" fillId="0" borderId="32" applyNumberFormat="0" applyFont="0" applyFill="0" applyAlignment="0" applyProtection="0"/>
    <xf numFmtId="0" fontId="307" fillId="113" borderId="109" applyNumberFormat="0" applyAlignment="0" applyProtection="0"/>
    <xf numFmtId="0" fontId="307" fillId="113" borderId="109" applyNumberFormat="0" applyAlignment="0" applyProtection="0"/>
    <xf numFmtId="0" fontId="307" fillId="114" borderId="109" applyNumberFormat="0" applyAlignment="0" applyProtection="0"/>
    <xf numFmtId="0" fontId="265" fillId="26" borderId="2" applyBorder="0" applyProtection="0">
      <alignment horizontal="centerContinuous" vertical="center"/>
    </xf>
    <xf numFmtId="0" fontId="37" fillId="32" borderId="115" applyNumberFormat="0">
      <protection locked="0"/>
    </xf>
    <xf numFmtId="0" fontId="78" fillId="0" borderId="32">
      <alignment horizontal="center"/>
    </xf>
    <xf numFmtId="0" fontId="78" fillId="0" borderId="32">
      <alignment horizontal="center"/>
    </xf>
    <xf numFmtId="0" fontId="174" fillId="0" borderId="52" applyNumberFormat="0" applyFill="0" applyAlignment="0" applyProtection="0"/>
    <xf numFmtId="0" fontId="174" fillId="0" borderId="52" applyNumberFormat="0" applyFill="0" applyAlignment="0" applyProtection="0"/>
    <xf numFmtId="0" fontId="65" fillId="0" borderId="14" applyNumberFormat="0" applyFill="0" applyAlignment="0" applyProtection="0"/>
    <xf numFmtId="0" fontId="174" fillId="0" borderId="52" applyNumberFormat="0" applyFill="0" applyAlignment="0" applyProtection="0"/>
    <xf numFmtId="0" fontId="174" fillId="0" borderId="52" applyNumberFormat="0" applyFill="0" applyAlignment="0" applyProtection="0"/>
    <xf numFmtId="0" fontId="174" fillId="0" borderId="52" applyNumberFormat="0" applyFill="0" applyAlignment="0" applyProtection="0"/>
    <xf numFmtId="0" fontId="174" fillId="0" borderId="52" applyNumberFormat="0" applyFill="0" applyAlignment="0" applyProtection="0"/>
    <xf numFmtId="0" fontId="174" fillId="0" borderId="52" applyNumberFormat="0" applyFill="0" applyAlignment="0" applyProtection="0"/>
    <xf numFmtId="0" fontId="174" fillId="0" borderId="52" applyNumberFormat="0" applyFill="0" applyAlignment="0" applyProtection="0"/>
    <xf numFmtId="0" fontId="133" fillId="0" borderId="32" applyNumberFormat="0" applyFont="0" applyFill="0" applyAlignment="0" applyProtection="0"/>
    <xf numFmtId="0" fontId="307" fillId="113" borderId="109" applyNumberFormat="0" applyAlignment="0" applyProtection="0"/>
    <xf numFmtId="0" fontId="307" fillId="113" borderId="109" applyNumberFormat="0" applyAlignment="0" applyProtection="0"/>
    <xf numFmtId="0" fontId="307" fillId="114" borderId="109" applyNumberFormat="0" applyAlignment="0" applyProtection="0"/>
    <xf numFmtId="0" fontId="37" fillId="32" borderId="115" applyNumberFormat="0">
      <protection locked="0"/>
    </xf>
    <xf numFmtId="0" fontId="78" fillId="0" borderId="32">
      <alignment horizontal="center"/>
    </xf>
    <xf numFmtId="0" fontId="78" fillId="0" borderId="32">
      <alignment horizontal="center"/>
    </xf>
    <xf numFmtId="0" fontId="174" fillId="0" borderId="52" applyNumberFormat="0" applyFill="0" applyAlignment="0" applyProtection="0"/>
    <xf numFmtId="0" fontId="174" fillId="0" borderId="52" applyNumberFormat="0" applyFill="0" applyAlignment="0" applyProtection="0"/>
    <xf numFmtId="0" fontId="65" fillId="0" borderId="14" applyNumberFormat="0" applyFill="0" applyAlignment="0" applyProtection="0"/>
    <xf numFmtId="0" fontId="174" fillId="0" borderId="52" applyNumberFormat="0" applyFill="0" applyAlignment="0" applyProtection="0"/>
    <xf numFmtId="0" fontId="174" fillId="0" borderId="52" applyNumberFormat="0" applyFill="0" applyAlignment="0" applyProtection="0"/>
    <xf numFmtId="0" fontId="174" fillId="0" borderId="52" applyNumberFormat="0" applyFill="0" applyAlignment="0" applyProtection="0"/>
    <xf numFmtId="0" fontId="174" fillId="0" borderId="52" applyNumberFormat="0" applyFill="0" applyAlignment="0" applyProtection="0"/>
    <xf numFmtId="0" fontId="174" fillId="0" borderId="52" applyNumberFormat="0" applyFill="0" applyAlignment="0" applyProtection="0"/>
    <xf numFmtId="0" fontId="174" fillId="0" borderId="52" applyNumberFormat="0" applyFill="0" applyAlignment="0" applyProtection="0"/>
    <xf numFmtId="0" fontId="133" fillId="0" borderId="32" applyNumberFormat="0" applyFont="0" applyFill="0" applyAlignment="0" applyProtection="0"/>
    <xf numFmtId="0" fontId="307" fillId="113" borderId="109" applyNumberFormat="0" applyAlignment="0" applyProtection="0"/>
    <xf numFmtId="0" fontId="307" fillId="113" borderId="109" applyNumberFormat="0" applyAlignment="0" applyProtection="0"/>
    <xf numFmtId="0" fontId="307" fillId="114" borderId="109" applyNumberFormat="0" applyAlignment="0" applyProtection="0"/>
    <xf numFmtId="0" fontId="37" fillId="32" borderId="115" applyNumberFormat="0">
      <protection locked="0"/>
    </xf>
    <xf numFmtId="0" fontId="78" fillId="0" borderId="32">
      <alignment horizontal="center"/>
    </xf>
    <xf numFmtId="0" fontId="78" fillId="0" borderId="32">
      <alignment horizontal="center"/>
    </xf>
    <xf numFmtId="0" fontId="174" fillId="0" borderId="52" applyNumberFormat="0" applyFill="0" applyAlignment="0" applyProtection="0"/>
    <xf numFmtId="0" fontId="174" fillId="0" borderId="52" applyNumberFormat="0" applyFill="0" applyAlignment="0" applyProtection="0"/>
    <xf numFmtId="0" fontId="65" fillId="0" borderId="14" applyNumberFormat="0" applyFill="0" applyAlignment="0" applyProtection="0"/>
    <xf numFmtId="0" fontId="174" fillId="0" borderId="52" applyNumberFormat="0" applyFill="0" applyAlignment="0" applyProtection="0"/>
    <xf numFmtId="0" fontId="174" fillId="0" borderId="52" applyNumberFormat="0" applyFill="0" applyAlignment="0" applyProtection="0"/>
    <xf numFmtId="0" fontId="174" fillId="0" borderId="52" applyNumberFormat="0" applyFill="0" applyAlignment="0" applyProtection="0"/>
    <xf numFmtId="0" fontId="174" fillId="0" borderId="52" applyNumberFormat="0" applyFill="0" applyAlignment="0" applyProtection="0"/>
    <xf numFmtId="0" fontId="174" fillId="0" borderId="52" applyNumberFormat="0" applyFill="0" applyAlignment="0" applyProtection="0"/>
    <xf numFmtId="0" fontId="174" fillId="0" borderId="52" applyNumberFormat="0" applyFill="0" applyAlignment="0" applyProtection="0"/>
    <xf numFmtId="0" fontId="133" fillId="0" borderId="32" applyNumberFormat="0" applyFont="0" applyFill="0" applyAlignment="0" applyProtection="0"/>
    <xf numFmtId="0" fontId="307" fillId="113" borderId="109" applyNumberFormat="0" applyAlignment="0" applyProtection="0"/>
    <xf numFmtId="0" fontId="307" fillId="113" borderId="109" applyNumberFormat="0" applyAlignment="0" applyProtection="0"/>
    <xf numFmtId="0" fontId="307" fillId="114" borderId="109" applyNumberFormat="0" applyAlignment="0" applyProtection="0"/>
    <xf numFmtId="0" fontId="37" fillId="32" borderId="115" applyNumberFormat="0">
      <protection locked="0"/>
    </xf>
    <xf numFmtId="0" fontId="54" fillId="32"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75" fillId="32" borderId="17" applyNumberFormat="0" applyAlignment="0" applyProtection="0"/>
    <xf numFmtId="0" fontId="265" fillId="26" borderId="2" applyBorder="0" applyProtection="0">
      <alignment horizontal="centerContinuous" vertical="center"/>
    </xf>
    <xf numFmtId="0" fontId="58" fillId="0" borderId="19" applyNumberFormat="0" applyFill="0" applyAlignment="0" applyProtection="0"/>
    <xf numFmtId="198" fontId="4" fillId="0" borderId="2" applyBorder="0" applyProtection="0">
      <alignment horizontal="right"/>
    </xf>
    <xf numFmtId="0" fontId="75" fillId="32" borderId="17" applyNumberFormat="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265" fillId="26" borderId="2" applyBorder="0" applyProtection="0">
      <alignment horizontal="centerContinuous" vertical="center"/>
    </xf>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198" fontId="4" fillId="0" borderId="2" applyBorder="0" applyProtection="0">
      <alignment horizontal="right"/>
    </xf>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265" fillId="26" borderId="2" applyBorder="0" applyProtection="0">
      <alignment horizontal="centerContinuous" vertical="center"/>
    </xf>
    <xf numFmtId="0" fontId="265" fillId="26" borderId="2" applyBorder="0" applyProtection="0">
      <alignment horizontal="centerContinuous" vertical="center"/>
    </xf>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198" fontId="4" fillId="0" borderId="2" applyBorder="0" applyProtection="0">
      <alignment horizontal="right"/>
    </xf>
    <xf numFmtId="198" fontId="4" fillId="0" borderId="2" applyBorder="0" applyProtection="0">
      <alignment horizontal="right"/>
    </xf>
    <xf numFmtId="0" fontId="54" fillId="32"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75" fillId="32" borderId="17" applyNumberFormat="0" applyAlignment="0" applyProtection="0"/>
    <xf numFmtId="0" fontId="58" fillId="0" borderId="19" applyNumberFormat="0" applyFill="0" applyAlignment="0" applyProtection="0"/>
    <xf numFmtId="0" fontId="75" fillId="32" borderId="17" applyNumberFormat="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75" fillId="32" borderId="17" applyNumberFormat="0" applyAlignment="0" applyProtection="0"/>
    <xf numFmtId="0" fontId="78" fillId="0" borderId="32">
      <alignment horizontal="center"/>
    </xf>
    <xf numFmtId="0" fontId="58" fillId="0" borderId="19" applyNumberFormat="0" applyFill="0" applyAlignment="0" applyProtection="0"/>
    <xf numFmtId="0" fontId="75" fillId="32" borderId="17" applyNumberFormat="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8" fillId="0" borderId="32">
      <alignment horizontal="center"/>
    </xf>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184" fontId="54" fillId="32" borderId="10" applyNumberFormat="0" applyAlignment="0" applyProtection="0"/>
    <xf numFmtId="184" fontId="65" fillId="0" borderId="51" applyNumberFormat="0" applyFill="0" applyAlignment="0" applyProtection="0"/>
    <xf numFmtId="184" fontId="70" fillId="30" borderId="10" applyNumberFormat="0" applyAlignment="0" applyProtection="0"/>
    <xf numFmtId="184" fontId="4" fillId="31" borderId="79" applyNumberFormat="0" applyFont="0" applyAlignment="0" applyProtection="0"/>
    <xf numFmtId="184" fontId="75" fillId="32" borderId="17" applyNumberFormat="0" applyAlignment="0" applyProtection="0"/>
    <xf numFmtId="184" fontId="78" fillId="0" borderId="32">
      <alignment horizontal="center"/>
    </xf>
    <xf numFmtId="184" fontId="265" fillId="26" borderId="2" applyBorder="0" applyProtection="0">
      <alignment horizontal="centerContinuous" vertical="center"/>
    </xf>
    <xf numFmtId="184" fontId="58" fillId="0" borderId="19" applyNumberFormat="0" applyFill="0" applyAlignment="0" applyProtection="0"/>
    <xf numFmtId="184" fontId="75" fillId="32" borderId="17" applyNumberFormat="0" applyAlignment="0" applyProtection="0"/>
    <xf numFmtId="184" fontId="58" fillId="0" borderId="19" applyNumberFormat="0" applyFill="0" applyAlignment="0" applyProtection="0"/>
    <xf numFmtId="184" fontId="54" fillId="32" borderId="10" applyNumberFormat="0" applyAlignment="0" applyProtection="0"/>
    <xf numFmtId="184" fontId="54" fillId="32" borderId="10" applyNumberFormat="0" applyAlignment="0" applyProtection="0"/>
    <xf numFmtId="184" fontId="54" fillId="32" borderId="10" applyNumberFormat="0" applyAlignment="0" applyProtection="0"/>
    <xf numFmtId="184" fontId="54" fillId="32" borderId="10" applyNumberFormat="0" applyAlignment="0" applyProtection="0"/>
    <xf numFmtId="184" fontId="65" fillId="0" borderId="51" applyNumberFormat="0" applyFill="0" applyAlignment="0" applyProtection="0"/>
    <xf numFmtId="184" fontId="70" fillId="30" borderId="10" applyNumberFormat="0" applyAlignment="0" applyProtection="0"/>
    <xf numFmtId="184" fontId="70" fillId="30" borderId="10" applyNumberFormat="0" applyAlignment="0" applyProtection="0"/>
    <xf numFmtId="184" fontId="70" fillId="30" borderId="10" applyNumberFormat="0" applyAlignment="0" applyProtection="0"/>
    <xf numFmtId="184" fontId="70" fillId="30" borderId="10" applyNumberFormat="0" applyAlignment="0" applyProtection="0"/>
    <xf numFmtId="184" fontId="4" fillId="31" borderId="79" applyNumberFormat="0" applyFont="0" applyAlignment="0" applyProtection="0"/>
    <xf numFmtId="184" fontId="4" fillId="31" borderId="79" applyNumberFormat="0" applyFont="0" applyAlignment="0" applyProtection="0"/>
    <xf numFmtId="184" fontId="4" fillId="31" borderId="79" applyNumberFormat="0" applyFont="0" applyAlignment="0" applyProtection="0"/>
    <xf numFmtId="184" fontId="4" fillId="31" borderId="79" applyNumberFormat="0" applyFont="0" applyAlignment="0" applyProtection="0"/>
    <xf numFmtId="184" fontId="4" fillId="31" borderId="79" applyNumberFormat="0" applyFon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265" fillId="26" borderId="2" applyBorder="0" applyProtection="0">
      <alignment horizontal="centerContinuous" vertical="center"/>
    </xf>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4" fillId="32" borderId="10" applyNumberFormat="0" applyAlignment="0" applyProtection="0"/>
    <xf numFmtId="184" fontId="54" fillId="32" borderId="10" applyNumberFormat="0" applyAlignment="0" applyProtection="0"/>
    <xf numFmtId="184" fontId="54" fillId="32" borderId="10" applyNumberFormat="0" applyAlignment="0" applyProtection="0"/>
    <xf numFmtId="184" fontId="54" fillId="32" borderId="10" applyNumberFormat="0" applyAlignment="0" applyProtection="0"/>
    <xf numFmtId="184" fontId="54" fillId="32" borderId="10" applyNumberFormat="0" applyAlignment="0" applyProtection="0"/>
    <xf numFmtId="184" fontId="54" fillId="32" borderId="10" applyNumberFormat="0" applyAlignment="0" applyProtection="0"/>
    <xf numFmtId="184" fontId="54" fillId="32" borderId="10" applyNumberFormat="0" applyAlignment="0" applyProtection="0"/>
    <xf numFmtId="184" fontId="54" fillId="32" borderId="10" applyNumberFormat="0" applyAlignment="0" applyProtection="0"/>
    <xf numFmtId="184" fontId="70" fillId="30" borderId="10" applyNumberFormat="0" applyAlignment="0" applyProtection="0"/>
    <xf numFmtId="184" fontId="70" fillId="30" borderId="10" applyNumberFormat="0" applyAlignment="0" applyProtection="0"/>
    <xf numFmtId="184" fontId="70" fillId="30" borderId="10" applyNumberFormat="0" applyAlignment="0" applyProtection="0"/>
    <xf numFmtId="184" fontId="70" fillId="30" borderId="10" applyNumberFormat="0" applyAlignment="0" applyProtection="0"/>
    <xf numFmtId="184" fontId="70" fillId="30" borderId="10" applyNumberFormat="0" applyAlignment="0" applyProtection="0"/>
    <xf numFmtId="184" fontId="70" fillId="30" borderId="10" applyNumberFormat="0" applyAlignment="0" applyProtection="0"/>
    <xf numFmtId="184" fontId="70" fillId="30" borderId="10" applyNumberFormat="0" applyAlignment="0" applyProtection="0"/>
    <xf numFmtId="184" fontId="70" fillId="30" borderId="10" applyNumberFormat="0" applyAlignment="0" applyProtection="0"/>
    <xf numFmtId="184" fontId="4" fillId="31" borderId="79" applyNumberFormat="0" applyFont="0" applyAlignment="0" applyProtection="0"/>
    <xf numFmtId="184" fontId="4" fillId="31" borderId="79" applyNumberFormat="0" applyFont="0" applyAlignment="0" applyProtection="0"/>
    <xf numFmtId="184" fontId="4" fillId="31" borderId="79" applyNumberFormat="0" applyFont="0" applyAlignment="0" applyProtection="0"/>
    <xf numFmtId="184" fontId="4" fillId="31" borderId="79" applyNumberFormat="0" applyFont="0" applyAlignment="0" applyProtection="0"/>
    <xf numFmtId="184" fontId="4" fillId="31" borderId="79" applyNumberFormat="0" applyFon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4" fillId="32" borderId="10" applyNumberFormat="0" applyAlignment="0" applyProtection="0"/>
    <xf numFmtId="184" fontId="65" fillId="0" borderId="51" applyNumberFormat="0" applyFill="0" applyAlignment="0" applyProtection="0"/>
    <xf numFmtId="184" fontId="70" fillId="30" borderId="10" applyNumberFormat="0" applyAlignment="0" applyProtection="0"/>
    <xf numFmtId="184" fontId="4" fillId="31" borderId="79" applyNumberFormat="0" applyFont="0" applyAlignment="0" applyProtection="0"/>
    <xf numFmtId="184" fontId="75" fillId="32" borderId="17" applyNumberFormat="0" applyAlignment="0" applyProtection="0"/>
    <xf numFmtId="184" fontId="78" fillId="0" borderId="32">
      <alignment horizontal="center"/>
    </xf>
    <xf numFmtId="184" fontId="265" fillId="26" borderId="2" applyBorder="0" applyProtection="0">
      <alignment horizontal="centerContinuous" vertical="center"/>
    </xf>
    <xf numFmtId="184" fontId="58" fillId="0" borderId="19" applyNumberFormat="0" applyFill="0" applyAlignment="0" applyProtection="0"/>
    <xf numFmtId="184" fontId="75" fillId="32" borderId="17" applyNumberFormat="0" applyAlignment="0" applyProtection="0"/>
    <xf numFmtId="184" fontId="58" fillId="0" borderId="19" applyNumberFormat="0" applyFill="0" applyAlignment="0" applyProtection="0"/>
    <xf numFmtId="184" fontId="54" fillId="32" borderId="10" applyNumberFormat="0" applyAlignment="0" applyProtection="0"/>
    <xf numFmtId="184" fontId="54" fillId="32" borderId="10" applyNumberFormat="0" applyAlignment="0" applyProtection="0"/>
    <xf numFmtId="184" fontId="54" fillId="32" borderId="10" applyNumberFormat="0" applyAlignment="0" applyProtection="0"/>
    <xf numFmtId="184" fontId="54" fillId="32" borderId="10" applyNumberFormat="0" applyAlignment="0" applyProtection="0"/>
    <xf numFmtId="184" fontId="65" fillId="0" borderId="51" applyNumberFormat="0" applyFill="0" applyAlignment="0" applyProtection="0"/>
    <xf numFmtId="184" fontId="70" fillId="30" borderId="10" applyNumberFormat="0" applyAlignment="0" applyProtection="0"/>
    <xf numFmtId="184" fontId="70" fillId="30" borderId="10" applyNumberFormat="0" applyAlignment="0" applyProtection="0"/>
    <xf numFmtId="184" fontId="70" fillId="30" borderId="10" applyNumberFormat="0" applyAlignment="0" applyProtection="0"/>
    <xf numFmtId="184" fontId="70" fillId="30" borderId="10" applyNumberFormat="0" applyAlignment="0" applyProtection="0"/>
    <xf numFmtId="184" fontId="4" fillId="31" borderId="79" applyNumberFormat="0" applyFont="0" applyAlignment="0" applyProtection="0"/>
    <xf numFmtId="184" fontId="4" fillId="31" borderId="79" applyNumberFormat="0" applyFont="0" applyAlignment="0" applyProtection="0"/>
    <xf numFmtId="184" fontId="4" fillId="31" borderId="79" applyNumberFormat="0" applyFont="0" applyAlignment="0" applyProtection="0"/>
    <xf numFmtId="184" fontId="4" fillId="31" borderId="79" applyNumberFormat="0" applyFont="0" applyAlignment="0" applyProtection="0"/>
    <xf numFmtId="184" fontId="4" fillId="31" borderId="79" applyNumberFormat="0" applyFon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265" fillId="26" borderId="2" applyBorder="0" applyProtection="0">
      <alignment horizontal="centerContinuous" vertical="center"/>
    </xf>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4" fillId="32" borderId="10" applyNumberFormat="0" applyAlignment="0" applyProtection="0"/>
    <xf numFmtId="184" fontId="54" fillId="32" borderId="10" applyNumberFormat="0" applyAlignment="0" applyProtection="0"/>
    <xf numFmtId="184" fontId="54" fillId="32" borderId="10" applyNumberFormat="0" applyAlignment="0" applyProtection="0"/>
    <xf numFmtId="184" fontId="54" fillId="32" borderId="10" applyNumberFormat="0" applyAlignment="0" applyProtection="0"/>
    <xf numFmtId="184" fontId="54" fillId="32" borderId="10" applyNumberFormat="0" applyAlignment="0" applyProtection="0"/>
    <xf numFmtId="184" fontId="54" fillId="32" borderId="10" applyNumberFormat="0" applyAlignment="0" applyProtection="0"/>
    <xf numFmtId="184" fontId="54" fillId="32" borderId="10" applyNumberFormat="0" applyAlignment="0" applyProtection="0"/>
    <xf numFmtId="184" fontId="54" fillId="32" borderId="10" applyNumberFormat="0" applyAlignment="0" applyProtection="0"/>
    <xf numFmtId="184" fontId="70" fillId="30" borderId="10" applyNumberFormat="0" applyAlignment="0" applyProtection="0"/>
    <xf numFmtId="184" fontId="70" fillId="30" borderId="10" applyNumberFormat="0" applyAlignment="0" applyProtection="0"/>
    <xf numFmtId="184" fontId="70" fillId="30" borderId="10" applyNumberFormat="0" applyAlignment="0" applyProtection="0"/>
    <xf numFmtId="184" fontId="70" fillId="30" borderId="10" applyNumberFormat="0" applyAlignment="0" applyProtection="0"/>
    <xf numFmtId="184" fontId="70" fillId="30" borderId="10" applyNumberFormat="0" applyAlignment="0" applyProtection="0"/>
    <xf numFmtId="184" fontId="70" fillId="30" borderId="10" applyNumberFormat="0" applyAlignment="0" applyProtection="0"/>
    <xf numFmtId="184" fontId="70" fillId="30" borderId="10" applyNumberFormat="0" applyAlignment="0" applyProtection="0"/>
    <xf numFmtId="184" fontId="70" fillId="30" borderId="10" applyNumberFormat="0" applyAlignment="0" applyProtection="0"/>
    <xf numFmtId="184" fontId="4" fillId="31" borderId="79" applyNumberFormat="0" applyFont="0" applyAlignment="0" applyProtection="0"/>
    <xf numFmtId="184" fontId="4" fillId="31" borderId="79" applyNumberFormat="0" applyFont="0" applyAlignment="0" applyProtection="0"/>
    <xf numFmtId="184" fontId="4" fillId="31" borderId="79" applyNumberFormat="0" applyFont="0" applyAlignment="0" applyProtection="0"/>
    <xf numFmtId="184" fontId="4" fillId="31" borderId="79" applyNumberFormat="0" applyFont="0" applyAlignment="0" applyProtection="0"/>
    <xf numFmtId="184" fontId="4" fillId="31" borderId="79" applyNumberFormat="0" applyFon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0" fillId="30" borderId="10" applyNumberFormat="0" applyAlignment="0" applyProtection="0"/>
    <xf numFmtId="0" fontId="70" fillId="30" borderId="10" applyNumberFormat="0" applyAlignment="0" applyProtection="0"/>
    <xf numFmtId="0" fontId="54" fillId="32" borderId="10" applyNumberFormat="0" applyAlignment="0" applyProtection="0"/>
    <xf numFmtId="0" fontId="58" fillId="0" borderId="19" applyNumberFormat="0" applyFill="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65" fillId="0" borderId="51" applyNumberFormat="0" applyFill="0" applyAlignment="0" applyProtection="0"/>
    <xf numFmtId="0" fontId="65" fillId="0" borderId="51"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0" fillId="30" borderId="10" applyNumberFormat="0" applyAlignment="0" applyProtection="0"/>
    <xf numFmtId="0" fontId="54" fillId="32" borderId="10" applyNumberFormat="0" applyAlignment="0" applyProtection="0"/>
    <xf numFmtId="0" fontId="54" fillId="32" borderId="10" applyNumberFormat="0" applyAlignment="0" applyProtection="0"/>
    <xf numFmtId="0" fontId="58" fillId="0" borderId="19" applyNumberFormat="0" applyFill="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5" fillId="32" borderId="17" applyNumberFormat="0" applyAlignment="0" applyProtection="0"/>
    <xf numFmtId="0" fontId="4" fillId="31" borderId="79" applyNumberFormat="0" applyFont="0" applyAlignment="0" applyProtection="0"/>
    <xf numFmtId="0" fontId="75" fillId="32" borderId="17" applyNumberFormat="0" applyAlignment="0" applyProtection="0"/>
    <xf numFmtId="0" fontId="78" fillId="0" borderId="32">
      <alignment horizontal="center"/>
    </xf>
    <xf numFmtId="0" fontId="54" fillId="32" borderId="10" applyNumberFormat="0" applyAlignment="0" applyProtection="0"/>
    <xf numFmtId="0" fontId="58" fillId="0" borderId="19" applyNumberFormat="0" applyFill="0" applyAlignment="0" applyProtection="0"/>
    <xf numFmtId="0" fontId="70" fillId="30" borderId="10" applyNumberFormat="0" applyAlignment="0" applyProtection="0"/>
    <xf numFmtId="0" fontId="70" fillId="30" borderId="10" applyNumberFormat="0" applyAlignment="0" applyProtection="0"/>
    <xf numFmtId="0" fontId="54" fillId="32" borderId="10" applyNumberFormat="0" applyAlignment="0" applyProtection="0"/>
    <xf numFmtId="0" fontId="58" fillId="0" borderId="19" applyNumberFormat="0" applyFill="0" applyAlignment="0" applyProtection="0"/>
    <xf numFmtId="0" fontId="75" fillId="32" borderId="17" applyNumberFormat="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5" fillId="32" borderId="17"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70" fillId="30" borderId="10"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5" fillId="32" borderId="17" applyNumberFormat="0" applyAlignment="0" applyProtection="0"/>
    <xf numFmtId="0" fontId="75" fillId="32" borderId="17"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8" fillId="0" borderId="32">
      <alignment horizontal="center"/>
    </xf>
    <xf numFmtId="0" fontId="75" fillId="32" borderId="17" applyNumberFormat="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4" fillId="31" borderId="79" applyNumberFormat="0" applyFont="0" applyAlignment="0" applyProtection="0"/>
    <xf numFmtId="0" fontId="54" fillId="32" borderId="10" applyNumberFormat="0" applyAlignment="0" applyProtection="0"/>
    <xf numFmtId="0" fontId="65" fillId="0" borderId="51" applyNumberFormat="0" applyFill="0" applyAlignment="0" applyProtection="0"/>
    <xf numFmtId="0" fontId="70" fillId="30" borderId="10" applyNumberFormat="0" applyAlignment="0" applyProtection="0"/>
    <xf numFmtId="0" fontId="4" fillId="31" borderId="79" applyNumberFormat="0" applyFont="0" applyAlignment="0" applyProtection="0"/>
    <xf numFmtId="0" fontId="75" fillId="32" borderId="17" applyNumberFormat="0" applyAlignment="0" applyProtection="0"/>
    <xf numFmtId="0" fontId="58" fillId="0" borderId="19" applyNumberFormat="0" applyFill="0" applyAlignment="0" applyProtection="0"/>
    <xf numFmtId="0" fontId="75" fillId="32" borderId="17" applyNumberFormat="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65" fillId="0" borderId="51" applyNumberFormat="0" applyFill="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5" fillId="32" borderId="17" applyNumberFormat="0" applyAlignment="0" applyProtection="0"/>
    <xf numFmtId="0" fontId="4" fillId="31" borderId="79" applyNumberFormat="0" applyFon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75" fillId="32" borderId="17" applyNumberFormat="0" applyAlignment="0" applyProtection="0"/>
    <xf numFmtId="0" fontId="78" fillId="0" borderId="32">
      <alignment horizontal="center"/>
    </xf>
    <xf numFmtId="0" fontId="58" fillId="0" borderId="19" applyNumberFormat="0" applyFill="0" applyAlignment="0" applyProtection="0"/>
    <xf numFmtId="0" fontId="75" fillId="32" borderId="17" applyNumberFormat="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8" fillId="0" borderId="32">
      <alignment horizontal="center"/>
    </xf>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70" fillId="30" borderId="10"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75" fillId="32" borderId="17" applyNumberFormat="0" applyAlignment="0" applyProtection="0"/>
    <xf numFmtId="0" fontId="58" fillId="0" borderId="19" applyNumberFormat="0" applyFill="0" applyAlignment="0" applyProtection="0"/>
    <xf numFmtId="0" fontId="75" fillId="32" borderId="17" applyNumberFormat="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75" fillId="32" borderId="17" applyNumberFormat="0" applyAlignment="0" applyProtection="0"/>
    <xf numFmtId="0" fontId="78" fillId="0" borderId="32">
      <alignment horizontal="center"/>
    </xf>
    <xf numFmtId="0" fontId="58" fillId="0" borderId="19" applyNumberFormat="0" applyFill="0" applyAlignment="0" applyProtection="0"/>
    <xf numFmtId="0" fontId="75" fillId="32" borderId="17" applyNumberFormat="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8" fillId="0" borderId="32">
      <alignment horizontal="center"/>
    </xf>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65" fillId="0" borderId="51" applyNumberFormat="0" applyFill="0" applyAlignment="0" applyProtection="0"/>
    <xf numFmtId="0" fontId="65" fillId="0" borderId="51" applyNumberFormat="0" applyFill="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65" fillId="0" borderId="51" applyNumberFormat="0" applyFill="0" applyAlignment="0" applyProtection="0"/>
    <xf numFmtId="0" fontId="70" fillId="30" borderId="10" applyNumberFormat="0" applyAlignment="0" applyProtection="0"/>
    <xf numFmtId="0" fontId="4" fillId="31" borderId="79" applyNumberFormat="0" applyFont="0" applyAlignment="0" applyProtection="0"/>
    <xf numFmtId="0" fontId="75" fillId="32" borderId="17" applyNumberFormat="0" applyAlignment="0" applyProtection="0"/>
    <xf numFmtId="0" fontId="58" fillId="0" borderId="19" applyNumberFormat="0" applyFill="0" applyAlignment="0" applyProtection="0"/>
    <xf numFmtId="0" fontId="75" fillId="32" borderId="17" applyNumberFormat="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65" fillId="0" borderId="51" applyNumberFormat="0" applyFill="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65" fillId="0" borderId="51" applyNumberFormat="0" applyFill="0" applyAlignment="0" applyProtection="0"/>
    <xf numFmtId="0" fontId="65" fillId="0" borderId="51" applyNumberFormat="0" applyFill="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75" fillId="32" borderId="17" applyNumberFormat="0" applyAlignment="0" applyProtection="0"/>
    <xf numFmtId="0" fontId="78" fillId="0" borderId="32">
      <alignment horizontal="center"/>
    </xf>
    <xf numFmtId="0" fontId="58" fillId="0" borderId="19" applyNumberFormat="0" applyFill="0" applyAlignment="0" applyProtection="0"/>
    <xf numFmtId="0" fontId="75" fillId="32" borderId="17" applyNumberFormat="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8" fillId="0" borderId="32">
      <alignment horizontal="center"/>
    </xf>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65" fillId="0" borderId="51" applyNumberFormat="0" applyFill="0" applyAlignment="0" applyProtection="0"/>
    <xf numFmtId="0" fontId="65" fillId="0" borderId="51" applyNumberFormat="0" applyFill="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65" fillId="0" borderId="51" applyNumberFormat="0" applyFill="0" applyAlignment="0" applyProtection="0"/>
    <xf numFmtId="0" fontId="70" fillId="30" borderId="10" applyNumberFormat="0" applyAlignment="0" applyProtection="0"/>
    <xf numFmtId="0" fontId="4" fillId="31" borderId="79" applyNumberFormat="0" applyFont="0" applyAlignment="0" applyProtection="0"/>
    <xf numFmtId="0" fontId="75" fillId="32" borderId="17" applyNumberFormat="0" applyAlignment="0" applyProtection="0"/>
    <xf numFmtId="0" fontId="58" fillId="0" borderId="19" applyNumberFormat="0" applyFill="0" applyAlignment="0" applyProtection="0"/>
    <xf numFmtId="0" fontId="75" fillId="32" borderId="17" applyNumberFormat="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65" fillId="0" borderId="51" applyNumberFormat="0" applyFill="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65" fillId="0" borderId="51" applyNumberFormat="0" applyFill="0" applyAlignment="0" applyProtection="0"/>
    <xf numFmtId="0" fontId="65" fillId="0" borderId="51" applyNumberFormat="0" applyFill="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75" fillId="32" borderId="17" applyNumberFormat="0" applyAlignment="0" applyProtection="0"/>
    <xf numFmtId="0" fontId="78" fillId="0" borderId="32">
      <alignment horizontal="center"/>
    </xf>
    <xf numFmtId="0" fontId="58" fillId="0" borderId="19" applyNumberFormat="0" applyFill="0" applyAlignment="0" applyProtection="0"/>
    <xf numFmtId="0" fontId="75" fillId="32" borderId="17" applyNumberFormat="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8" fillId="0" borderId="32">
      <alignment horizontal="center"/>
    </xf>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190" fontId="129" fillId="0" borderId="36" applyBorder="0"/>
    <xf numFmtId="182" fontId="26" fillId="94" borderId="36" applyBorder="0">
      <alignment horizontal="right"/>
    </xf>
    <xf numFmtId="182" fontId="26" fillId="0" borderId="36" applyBorder="0">
      <alignment horizontal="right"/>
    </xf>
    <xf numFmtId="3" fontId="151" fillId="21" borderId="79">
      <alignment horizontal="right"/>
    </xf>
    <xf numFmtId="9" fontId="4" fillId="21" borderId="48"/>
    <xf numFmtId="9" fontId="151" fillId="21" borderId="79"/>
    <xf numFmtId="15" fontId="277" fillId="23" borderId="28"/>
    <xf numFmtId="3" fontId="278" fillId="107" borderId="35" applyNumberFormat="0" applyBorder="0" applyAlignment="0">
      <alignment vertical="center"/>
    </xf>
    <xf numFmtId="0" fontId="133" fillId="0" borderId="32" applyNumberFormat="0" applyFont="0" applyFill="0" applyAlignment="0" applyProtection="0"/>
    <xf numFmtId="0" fontId="54" fillId="34" borderId="10" applyNumberFormat="0" applyAlignment="0" applyProtection="0"/>
    <xf numFmtId="0" fontId="54" fillId="34" borderId="10" applyNumberFormat="0" applyAlignment="0" applyProtection="0"/>
    <xf numFmtId="0" fontId="54" fillId="32" borderId="10" applyNumberFormat="0" applyAlignment="0" applyProtection="0"/>
    <xf numFmtId="0" fontId="54" fillId="34" borderId="10" applyNumberFormat="0" applyAlignment="0" applyProtection="0"/>
    <xf numFmtId="0" fontId="54" fillId="34" borderId="10" applyNumberFormat="0" applyAlignment="0" applyProtection="0"/>
    <xf numFmtId="0" fontId="54" fillId="34" borderId="10" applyNumberFormat="0" applyAlignment="0" applyProtection="0"/>
    <xf numFmtId="0" fontId="54" fillId="34" borderId="10" applyNumberFormat="0" applyAlignment="0" applyProtection="0"/>
    <xf numFmtId="0" fontId="54" fillId="34" borderId="10" applyNumberFormat="0" applyAlignment="0" applyProtection="0"/>
    <xf numFmtId="0" fontId="54" fillId="34" borderId="10" applyNumberFormat="0" applyAlignment="0" applyProtection="0"/>
    <xf numFmtId="0" fontId="54" fillId="34" borderId="10" applyNumberFormat="0" applyAlignment="0" applyProtection="0"/>
    <xf numFmtId="0" fontId="54" fillId="34" borderId="10" applyNumberFormat="0" applyAlignment="0" applyProtection="0"/>
    <xf numFmtId="0" fontId="281" fillId="0" borderId="99" applyNumberFormat="0" applyBorder="0" applyAlignment="0" applyProtection="0">
      <alignment horizontal="right" vertical="center"/>
    </xf>
    <xf numFmtId="0" fontId="4" fillId="20" borderId="17" applyNumberFormat="0">
      <alignment vertical="center"/>
    </xf>
    <xf numFmtId="0" fontId="284" fillId="0" borderId="2" applyProtection="0">
      <alignment horizontal="center"/>
    </xf>
    <xf numFmtId="0" fontId="289" fillId="0" borderId="2">
      <alignment horizontal="left"/>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174" fillId="0" borderId="52" applyNumberFormat="0" applyFill="0" applyAlignment="0" applyProtection="0"/>
    <xf numFmtId="0" fontId="174" fillId="0" borderId="52" applyNumberFormat="0" applyFill="0" applyAlignment="0" applyProtection="0"/>
    <xf numFmtId="0" fontId="65" fillId="0" borderId="14" applyNumberFormat="0" applyFill="0" applyAlignment="0" applyProtection="0"/>
    <xf numFmtId="0" fontId="174" fillId="0" borderId="52" applyNumberFormat="0" applyFill="0" applyAlignment="0" applyProtection="0"/>
    <xf numFmtId="0" fontId="174" fillId="0" borderId="52" applyNumberFormat="0" applyFill="0" applyAlignment="0" applyProtection="0"/>
    <xf numFmtId="0" fontId="174" fillId="0" borderId="52" applyNumberFormat="0" applyFill="0" applyAlignment="0" applyProtection="0"/>
    <xf numFmtId="0" fontId="174" fillId="0" borderId="52" applyNumberFormat="0" applyFill="0" applyAlignment="0" applyProtection="0"/>
    <xf numFmtId="0" fontId="174" fillId="0" borderId="52" applyNumberFormat="0" applyFill="0" applyAlignment="0" applyProtection="0"/>
    <xf numFmtId="0" fontId="174" fillId="0" borderId="52" applyNumberFormat="0" applyFill="0" applyAlignment="0" applyProtection="0"/>
    <xf numFmtId="310" fontId="273" fillId="15" borderId="28" applyNumberFormat="0" applyAlignment="0" applyProtection="0"/>
    <xf numFmtId="10" fontId="37" fillId="21" borderId="28" applyNumberFormat="0" applyBorder="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37" fillId="23" borderId="28" applyNumberFormat="0" applyAlignment="0">
      <protection locked="0"/>
    </xf>
    <xf numFmtId="0" fontId="37" fillId="15" borderId="107" applyNumberFormat="0" applyAlignment="0">
      <protection locked="0"/>
    </xf>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4" borderId="17" applyNumberFormat="0" applyAlignment="0" applyProtection="0"/>
    <xf numFmtId="0" fontId="75" fillId="34" borderId="17" applyNumberFormat="0" applyAlignment="0" applyProtection="0"/>
    <xf numFmtId="0" fontId="75" fillId="32" borderId="17" applyNumberFormat="0" applyAlignment="0" applyProtection="0"/>
    <xf numFmtId="0" fontId="75" fillId="34" borderId="17" applyNumberFormat="0" applyAlignment="0" applyProtection="0"/>
    <xf numFmtId="0" fontId="75" fillId="34" borderId="17" applyNumberFormat="0" applyAlignment="0" applyProtection="0"/>
    <xf numFmtId="0" fontId="75" fillId="34" borderId="17" applyNumberFormat="0" applyAlignment="0" applyProtection="0"/>
    <xf numFmtId="0" fontId="75" fillId="34" borderId="17" applyNumberFormat="0" applyAlignment="0" applyProtection="0"/>
    <xf numFmtId="0" fontId="75" fillId="34" borderId="17" applyNumberFormat="0" applyAlignment="0" applyProtection="0"/>
    <xf numFmtId="0" fontId="75" fillId="34" borderId="17" applyNumberFormat="0" applyAlignment="0" applyProtection="0"/>
    <xf numFmtId="0" fontId="75" fillId="34" borderId="17" applyNumberFormat="0" applyAlignment="0" applyProtection="0"/>
    <xf numFmtId="0" fontId="75" fillId="34" borderId="17" applyNumberFormat="0" applyAlignment="0" applyProtection="0"/>
    <xf numFmtId="0" fontId="305" fillId="81" borderId="28" applyNumberFormat="0" applyAlignment="0" applyProtection="0">
      <alignment horizontal="center" vertical="center"/>
    </xf>
    <xf numFmtId="0" fontId="307" fillId="113" borderId="109" applyNumberFormat="0" applyAlignment="0" applyProtection="0"/>
    <xf numFmtId="0" fontId="307" fillId="113" borderId="109" applyNumberFormat="0" applyAlignment="0" applyProtection="0"/>
    <xf numFmtId="0" fontId="307" fillId="114" borderId="109" applyNumberFormat="0" applyAlignment="0" applyProtection="0"/>
    <xf numFmtId="203" fontId="4" fillId="0" borderId="33" applyFill="0"/>
    <xf numFmtId="0" fontId="58" fillId="0" borderId="60" applyNumberFormat="0" applyFill="0" applyAlignment="0" applyProtection="0"/>
    <xf numFmtId="0" fontId="58" fillId="0" borderId="60" applyNumberFormat="0" applyFill="0" applyAlignment="0" applyProtection="0"/>
    <xf numFmtId="0" fontId="58" fillId="0" borderId="19" applyNumberFormat="0" applyFill="0" applyAlignment="0" applyProtection="0"/>
    <xf numFmtId="0" fontId="58" fillId="0" borderId="60" applyNumberFormat="0" applyFill="0" applyAlignment="0" applyProtection="0"/>
    <xf numFmtId="203" fontId="4" fillId="0" borderId="36" applyFill="0"/>
    <xf numFmtId="0" fontId="58" fillId="0" borderId="60" applyNumberFormat="0" applyFill="0" applyAlignment="0" applyProtection="0"/>
    <xf numFmtId="0" fontId="58" fillId="0" borderId="60" applyNumberFormat="0" applyFill="0" applyAlignment="0" applyProtection="0"/>
    <xf numFmtId="0" fontId="58" fillId="0" borderId="60" applyNumberFormat="0" applyFill="0" applyAlignment="0" applyProtection="0"/>
    <xf numFmtId="0" fontId="58" fillId="0" borderId="60" applyNumberFormat="0" applyFill="0" applyAlignment="0" applyProtection="0"/>
    <xf numFmtId="0" fontId="58" fillId="0" borderId="60" applyNumberFormat="0" applyFill="0" applyAlignment="0" applyProtection="0"/>
    <xf numFmtId="0" fontId="58" fillId="0" borderId="60" applyNumberFormat="0" applyFill="0" applyAlignment="0" applyProtection="0"/>
    <xf numFmtId="0" fontId="58" fillId="0" borderId="60" applyNumberFormat="0" applyFill="0" applyAlignment="0" applyProtection="0"/>
    <xf numFmtId="38" fontId="282" fillId="0" borderId="2" applyNumberFormat="0" applyFont="0" applyFill="0" applyAlignment="0"/>
    <xf numFmtId="4" fontId="37" fillId="33" borderId="75" applyNumberFormat="0" applyProtection="0">
      <alignment vertical="center"/>
    </xf>
    <xf numFmtId="4" fontId="313" fillId="15" borderId="75" applyNumberFormat="0" applyProtection="0">
      <alignment vertical="center"/>
    </xf>
    <xf numFmtId="4" fontId="37" fillId="15" borderId="75" applyNumberFormat="0" applyProtection="0">
      <alignment horizontal="left" vertical="center" indent="1"/>
    </xf>
    <xf numFmtId="0" fontId="294" fillId="33" borderId="113" applyNumberFormat="0" applyProtection="0">
      <alignment horizontal="left" vertical="top" indent="1"/>
    </xf>
    <xf numFmtId="4" fontId="37" fillId="37" borderId="75" applyNumberFormat="0" applyProtection="0">
      <alignment horizontal="left" vertical="center" indent="1"/>
    </xf>
    <xf numFmtId="4" fontId="37" fillId="48" borderId="75" applyNumberFormat="0" applyProtection="0">
      <alignment horizontal="right" vertical="center"/>
    </xf>
    <xf numFmtId="4" fontId="37" fillId="128" borderId="75" applyNumberFormat="0" applyProtection="0">
      <alignment horizontal="right" vertical="center"/>
    </xf>
    <xf numFmtId="4" fontId="37" fillId="41" borderId="114" applyNumberFormat="0" applyProtection="0">
      <alignment horizontal="right" vertical="center"/>
    </xf>
    <xf numFmtId="4" fontId="37" fillId="99" borderId="75" applyNumberFormat="0" applyProtection="0">
      <alignment horizontal="right" vertical="center"/>
    </xf>
    <xf numFmtId="4" fontId="37" fillId="102" borderId="75" applyNumberFormat="0" applyProtection="0">
      <alignment horizontal="right" vertical="center"/>
    </xf>
    <xf numFmtId="4" fontId="37" fillId="47" borderId="75" applyNumberFormat="0" applyProtection="0">
      <alignment horizontal="right" vertical="center"/>
    </xf>
    <xf numFmtId="4" fontId="37" fillId="43" borderId="75" applyNumberFormat="0" applyProtection="0">
      <alignment horizontal="right" vertical="center"/>
    </xf>
    <xf numFmtId="4" fontId="37" fillId="129" borderId="75" applyNumberFormat="0" applyProtection="0">
      <alignment horizontal="right" vertical="center"/>
    </xf>
    <xf numFmtId="4" fontId="37" fillId="98" borderId="75" applyNumberFormat="0" applyProtection="0">
      <alignment horizontal="right" vertical="center"/>
    </xf>
    <xf numFmtId="4" fontId="37" fillId="130" borderId="114" applyNumberFormat="0" applyProtection="0">
      <alignment horizontal="left" vertical="center" indent="1"/>
    </xf>
    <xf numFmtId="4" fontId="4" fillId="44" borderId="114" applyNumberFormat="0" applyProtection="0">
      <alignment horizontal="left" vertical="center" indent="1"/>
    </xf>
    <xf numFmtId="4" fontId="4" fillId="44" borderId="114" applyNumberFormat="0" applyProtection="0">
      <alignment horizontal="left" vertical="center" indent="1"/>
    </xf>
    <xf numFmtId="4" fontId="37" fillId="131" borderId="75" applyNumberFormat="0" applyProtection="0">
      <alignment horizontal="right" vertical="center"/>
    </xf>
    <xf numFmtId="4" fontId="37" fillId="132" borderId="114" applyNumberFormat="0" applyProtection="0">
      <alignment horizontal="left" vertical="center" indent="1"/>
    </xf>
    <xf numFmtId="4" fontId="37" fillId="131" borderId="114" applyNumberFormat="0" applyProtection="0">
      <alignment horizontal="left" vertical="center" indent="1"/>
    </xf>
    <xf numFmtId="0" fontId="37" fillId="34" borderId="75" applyNumberFormat="0" applyProtection="0">
      <alignment horizontal="left" vertical="center" indent="1"/>
    </xf>
    <xf numFmtId="0" fontId="37" fillId="44" borderId="113" applyNumberFormat="0" applyProtection="0">
      <alignment horizontal="left" vertical="top" indent="1"/>
    </xf>
    <xf numFmtId="0" fontId="37" fillId="133" borderId="75" applyNumberFormat="0" applyProtection="0">
      <alignment horizontal="left" vertical="center" indent="1"/>
    </xf>
    <xf numFmtId="0" fontId="37" fillId="131" borderId="113" applyNumberFormat="0" applyProtection="0">
      <alignment horizontal="left" vertical="top" indent="1"/>
    </xf>
    <xf numFmtId="0" fontId="37" fillId="79" borderId="75" applyNumberFormat="0" applyProtection="0">
      <alignment horizontal="left" vertical="center" indent="1"/>
    </xf>
    <xf numFmtId="0" fontId="37" fillId="79" borderId="113" applyNumberFormat="0" applyProtection="0">
      <alignment horizontal="left" vertical="top" indent="1"/>
    </xf>
    <xf numFmtId="0" fontId="37" fillId="132" borderId="75" applyNumberFormat="0" applyProtection="0">
      <alignment horizontal="left" vertical="center" indent="1"/>
    </xf>
    <xf numFmtId="0" fontId="37" fillId="132" borderId="113" applyNumberFormat="0" applyProtection="0">
      <alignment horizontal="left" vertical="top" indent="1"/>
    </xf>
    <xf numFmtId="0" fontId="37" fillId="32" borderId="115" applyNumberFormat="0">
      <protection locked="0"/>
    </xf>
    <xf numFmtId="0" fontId="42" fillId="44" borderId="116" applyBorder="0"/>
    <xf numFmtId="4" fontId="142" fillId="31" borderId="113" applyNumberFormat="0" applyProtection="0">
      <alignment vertical="center"/>
    </xf>
    <xf numFmtId="4" fontId="313" fillId="21" borderId="28" applyNumberFormat="0" applyProtection="0">
      <alignment vertical="center"/>
    </xf>
    <xf numFmtId="4" fontId="142" fillId="34" borderId="113" applyNumberFormat="0" applyProtection="0">
      <alignment horizontal="left" vertical="center" indent="1"/>
    </xf>
    <xf numFmtId="0" fontId="142" fillId="31" borderId="113" applyNumberFormat="0" applyProtection="0">
      <alignment horizontal="left" vertical="top" indent="1"/>
    </xf>
    <xf numFmtId="4" fontId="37" fillId="0" borderId="75" applyNumberFormat="0" applyProtection="0">
      <alignment horizontal="right" vertical="center"/>
    </xf>
    <xf numFmtId="4" fontId="313" fillId="19" borderId="75" applyNumberFormat="0" applyProtection="0">
      <alignment horizontal="right" vertical="center"/>
    </xf>
    <xf numFmtId="4" fontId="37" fillId="37" borderId="75" applyNumberFormat="0" applyProtection="0">
      <alignment horizontal="left" vertical="center" indent="1"/>
    </xf>
    <xf numFmtId="0" fontId="142" fillId="131" borderId="113" applyNumberFormat="0" applyProtection="0">
      <alignment horizontal="left" vertical="top" indent="1"/>
    </xf>
    <xf numFmtId="4" fontId="314" fillId="110" borderId="114" applyNumberFormat="0" applyProtection="0">
      <alignment horizontal="left" vertical="center" indent="1"/>
    </xf>
    <xf numFmtId="0" fontId="37" fillId="134" borderId="28"/>
    <xf numFmtId="4" fontId="315" fillId="32" borderId="75" applyNumberFormat="0" applyProtection="0">
      <alignment horizontal="right" vertical="center"/>
    </xf>
    <xf numFmtId="0" fontId="133" fillId="0" borderId="32" applyNumberFormat="0" applyFont="0" applyFill="0" applyAlignment="0" applyProtection="0"/>
    <xf numFmtId="0" fontId="78" fillId="0" borderId="32">
      <alignment horizontal="center"/>
    </xf>
    <xf numFmtId="0" fontId="78" fillId="0" borderId="32">
      <alignment horizontal="center"/>
    </xf>
    <xf numFmtId="0" fontId="307" fillId="113" borderId="109" applyNumberFormat="0" applyAlignment="0" applyProtection="0"/>
    <xf numFmtId="0" fontId="307" fillId="113" borderId="109" applyNumberFormat="0" applyAlignment="0" applyProtection="0"/>
    <xf numFmtId="0" fontId="307" fillId="114" borderId="109" applyNumberFormat="0" applyAlignment="0" applyProtection="0"/>
    <xf numFmtId="0" fontId="37" fillId="32" borderId="115" applyNumberFormat="0">
      <protection locked="0"/>
    </xf>
    <xf numFmtId="0" fontId="78" fillId="0" borderId="32">
      <alignment horizontal="center"/>
    </xf>
    <xf numFmtId="0" fontId="78" fillId="0" borderId="32">
      <alignment horizontal="center"/>
    </xf>
    <xf numFmtId="9" fontId="4" fillId="21" borderId="48"/>
    <xf numFmtId="0" fontId="75" fillId="34" borderId="17" applyNumberFormat="0" applyAlignment="0" applyProtection="0"/>
    <xf numFmtId="0" fontId="75" fillId="34" borderId="17" applyNumberFormat="0" applyAlignment="0" applyProtection="0"/>
    <xf numFmtId="0" fontId="75" fillId="34" borderId="17" applyNumberFormat="0" applyAlignment="0" applyProtection="0"/>
    <xf numFmtId="0" fontId="75" fillId="34" borderId="17" applyNumberFormat="0" applyAlignment="0" applyProtection="0"/>
    <xf numFmtId="0" fontId="75" fillId="34" borderId="17" applyNumberFormat="0" applyAlignment="0" applyProtection="0"/>
    <xf numFmtId="0" fontId="75" fillId="34" borderId="17" applyNumberFormat="0" applyAlignment="0" applyProtection="0"/>
    <xf numFmtId="0" fontId="75" fillId="34" borderId="17" applyNumberFormat="0" applyAlignment="0" applyProtection="0"/>
    <xf numFmtId="0" fontId="75" fillId="34" borderId="17" applyNumberFormat="0" applyAlignment="0" applyProtection="0"/>
    <xf numFmtId="0" fontId="75" fillId="32" borderId="17" applyNumberFormat="0" applyAlignment="0" applyProtection="0"/>
    <xf numFmtId="0" fontId="75" fillId="34" borderId="17" applyNumberFormat="0" applyAlignment="0" applyProtection="0"/>
    <xf numFmtId="0" fontId="75" fillId="34" borderId="17" applyNumberFormat="0" applyAlignment="0" applyProtection="0"/>
    <xf numFmtId="0" fontId="4" fillId="20" borderId="17" applyNumberFormat="0">
      <alignment vertical="center"/>
    </xf>
    <xf numFmtId="0" fontId="174" fillId="0" borderId="52" applyNumberFormat="0" applyFill="0" applyAlignment="0" applyProtection="0"/>
    <xf numFmtId="0" fontId="174" fillId="0" borderId="52" applyNumberFormat="0" applyFill="0" applyAlignment="0" applyProtection="0"/>
    <xf numFmtId="0" fontId="65" fillId="0" borderId="14" applyNumberFormat="0" applyFill="0" applyAlignment="0" applyProtection="0"/>
    <xf numFmtId="0" fontId="174" fillId="0" borderId="52" applyNumberFormat="0" applyFill="0" applyAlignment="0" applyProtection="0"/>
    <xf numFmtId="0" fontId="174" fillId="0" borderId="52" applyNumberFormat="0" applyFill="0" applyAlignment="0" applyProtection="0"/>
    <xf numFmtId="0" fontId="174" fillId="0" borderId="52" applyNumberFormat="0" applyFill="0" applyAlignment="0" applyProtection="0"/>
    <xf numFmtId="0" fontId="174" fillId="0" borderId="52" applyNumberFormat="0" applyFill="0" applyAlignment="0" applyProtection="0"/>
    <xf numFmtId="0" fontId="174" fillId="0" borderId="52" applyNumberFormat="0" applyFill="0" applyAlignment="0" applyProtection="0"/>
    <xf numFmtId="0" fontId="174" fillId="0" borderId="52" applyNumberFormat="0" applyFill="0" applyAlignment="0" applyProtection="0"/>
    <xf numFmtId="0" fontId="133" fillId="0" borderId="32" applyNumberFormat="0" applyFont="0" applyFill="0" applyAlignment="0" applyProtection="0"/>
    <xf numFmtId="0" fontId="307" fillId="113" borderId="109" applyNumberFormat="0" applyAlignment="0" applyProtection="0"/>
    <xf numFmtId="0" fontId="307" fillId="113" borderId="109" applyNumberFormat="0" applyAlignment="0" applyProtection="0"/>
    <xf numFmtId="0" fontId="307" fillId="114" borderId="109" applyNumberFormat="0" applyAlignment="0" applyProtection="0"/>
    <xf numFmtId="0" fontId="58" fillId="0" borderId="60" applyNumberFormat="0" applyFill="0" applyAlignment="0" applyProtection="0"/>
    <xf numFmtId="0" fontId="58" fillId="0" borderId="60" applyNumberFormat="0" applyFill="0" applyAlignment="0" applyProtection="0"/>
    <xf numFmtId="0" fontId="58" fillId="0" borderId="60" applyNumberFormat="0" applyFill="0" applyAlignment="0" applyProtection="0"/>
    <xf numFmtId="0" fontId="58" fillId="0" borderId="60" applyNumberFormat="0" applyFill="0" applyAlignment="0" applyProtection="0"/>
    <xf numFmtId="0" fontId="58" fillId="0" borderId="60" applyNumberFormat="0" applyFill="0" applyAlignment="0" applyProtection="0"/>
    <xf numFmtId="0" fontId="58" fillId="0" borderId="60" applyNumberFormat="0" applyFill="0" applyAlignment="0" applyProtection="0"/>
    <xf numFmtId="0" fontId="58" fillId="0" borderId="60" applyNumberFormat="0" applyFill="0" applyAlignment="0" applyProtection="0"/>
    <xf numFmtId="0" fontId="58" fillId="0" borderId="60" applyNumberFormat="0" applyFill="0" applyAlignment="0" applyProtection="0"/>
    <xf numFmtId="0" fontId="58" fillId="0" borderId="60" applyNumberFormat="0" applyFill="0" applyAlignment="0" applyProtection="0"/>
    <xf numFmtId="0" fontId="58" fillId="0" borderId="60" applyNumberFormat="0" applyFill="0" applyAlignment="0" applyProtection="0"/>
    <xf numFmtId="0" fontId="37" fillId="32" borderId="115" applyNumberFormat="0">
      <protection locked="0"/>
    </xf>
    <xf numFmtId="0" fontId="78" fillId="0" borderId="32">
      <alignment horizontal="center"/>
    </xf>
    <xf numFmtId="0" fontId="78" fillId="0" borderId="32">
      <alignment horizontal="center"/>
    </xf>
    <xf numFmtId="0" fontId="281" fillId="0" borderId="99" applyNumberFormat="0" applyBorder="0" applyAlignment="0" applyProtection="0">
      <alignment horizontal="right" vertical="center"/>
    </xf>
    <xf numFmtId="0" fontId="284" fillId="0" borderId="2" applyProtection="0">
      <alignment horizontal="center"/>
    </xf>
    <xf numFmtId="0" fontId="289" fillId="0" borderId="2">
      <alignment horizontal="left"/>
    </xf>
    <xf numFmtId="0" fontId="174" fillId="0" borderId="52" applyNumberFormat="0" applyFill="0" applyAlignment="0" applyProtection="0"/>
    <xf numFmtId="0" fontId="174" fillId="0" borderId="52" applyNumberFormat="0" applyFill="0" applyAlignment="0" applyProtection="0"/>
    <xf numFmtId="0" fontId="65" fillId="0" borderId="14" applyNumberFormat="0" applyFill="0" applyAlignment="0" applyProtection="0"/>
    <xf numFmtId="0" fontId="174" fillId="0" borderId="52" applyNumberFormat="0" applyFill="0" applyAlignment="0" applyProtection="0"/>
    <xf numFmtId="0" fontId="174" fillId="0" borderId="52" applyNumberFormat="0" applyFill="0" applyAlignment="0" applyProtection="0"/>
    <xf numFmtId="0" fontId="174" fillId="0" borderId="52" applyNumberFormat="0" applyFill="0" applyAlignment="0" applyProtection="0"/>
    <xf numFmtId="0" fontId="174" fillId="0" borderId="52" applyNumberFormat="0" applyFill="0" applyAlignment="0" applyProtection="0"/>
    <xf numFmtId="0" fontId="174" fillId="0" borderId="52" applyNumberFormat="0" applyFill="0" applyAlignment="0" applyProtection="0"/>
    <xf numFmtId="0" fontId="174" fillId="0" borderId="52" applyNumberFormat="0" applyFill="0" applyAlignment="0" applyProtection="0"/>
    <xf numFmtId="0" fontId="133" fillId="0" borderId="32" applyNumberFormat="0" applyFont="0" applyFill="0" applyAlignment="0" applyProtection="0"/>
    <xf numFmtId="0" fontId="307" fillId="113" borderId="109" applyNumberFormat="0" applyAlignment="0" applyProtection="0"/>
    <xf numFmtId="0" fontId="307" fillId="113" borderId="109" applyNumberFormat="0" applyAlignment="0" applyProtection="0"/>
    <xf numFmtId="0" fontId="307" fillId="114" borderId="109" applyNumberFormat="0" applyAlignment="0" applyProtection="0"/>
    <xf numFmtId="0" fontId="265" fillId="26" borderId="2" applyBorder="0" applyProtection="0">
      <alignment horizontal="centerContinuous" vertical="center"/>
    </xf>
    <xf numFmtId="38" fontId="282" fillId="0" borderId="2" applyNumberFormat="0" applyFont="0" applyFill="0" applyAlignment="0"/>
    <xf numFmtId="198" fontId="4" fillId="0" borderId="2" applyBorder="0" applyProtection="0">
      <alignment horizontal="right"/>
    </xf>
    <xf numFmtId="0" fontId="37" fillId="32" borderId="115" applyNumberFormat="0">
      <protection locked="0"/>
    </xf>
    <xf numFmtId="323" fontId="135" fillId="0" borderId="30">
      <alignment horizontal="justify" vertical="top" wrapText="1"/>
    </xf>
    <xf numFmtId="0" fontId="78" fillId="0" borderId="32">
      <alignment horizontal="center"/>
    </xf>
    <xf numFmtId="0" fontId="78" fillId="0" borderId="32">
      <alignment horizontal="center"/>
    </xf>
    <xf numFmtId="0" fontId="174" fillId="0" borderId="52" applyNumberFormat="0" applyFill="0" applyAlignment="0" applyProtection="0"/>
    <xf numFmtId="0" fontId="174" fillId="0" borderId="52" applyNumberFormat="0" applyFill="0" applyAlignment="0" applyProtection="0"/>
    <xf numFmtId="0" fontId="65" fillId="0" borderId="14" applyNumberFormat="0" applyFill="0" applyAlignment="0" applyProtection="0"/>
    <xf numFmtId="0" fontId="174" fillId="0" borderId="52" applyNumberFormat="0" applyFill="0" applyAlignment="0" applyProtection="0"/>
    <xf numFmtId="0" fontId="174" fillId="0" borderId="52" applyNumberFormat="0" applyFill="0" applyAlignment="0" applyProtection="0"/>
    <xf numFmtId="0" fontId="174" fillId="0" borderId="52" applyNumberFormat="0" applyFill="0" applyAlignment="0" applyProtection="0"/>
    <xf numFmtId="0" fontId="174" fillId="0" borderId="52" applyNumberFormat="0" applyFill="0" applyAlignment="0" applyProtection="0"/>
    <xf numFmtId="0" fontId="174" fillId="0" borderId="52" applyNumberFormat="0" applyFill="0" applyAlignment="0" applyProtection="0"/>
    <xf numFmtId="0" fontId="174" fillId="0" borderId="52" applyNumberFormat="0" applyFill="0" applyAlignment="0" applyProtection="0"/>
    <xf numFmtId="0" fontId="133" fillId="0" borderId="32" applyNumberFormat="0" applyFont="0" applyFill="0" applyAlignment="0" applyProtection="0"/>
    <xf numFmtId="0" fontId="307" fillId="113" borderId="109" applyNumberFormat="0" applyAlignment="0" applyProtection="0"/>
    <xf numFmtId="0" fontId="307" fillId="113" borderId="109" applyNumberFormat="0" applyAlignment="0" applyProtection="0"/>
    <xf numFmtId="0" fontId="307" fillId="114" borderId="109" applyNumberFormat="0" applyAlignment="0" applyProtection="0"/>
    <xf numFmtId="0" fontId="37" fillId="32" borderId="115" applyNumberFormat="0">
      <protection locked="0"/>
    </xf>
    <xf numFmtId="15" fontId="277" fillId="23" borderId="28"/>
    <xf numFmtId="3" fontId="151" fillId="21" borderId="79">
      <alignment horizontal="right"/>
    </xf>
    <xf numFmtId="0" fontId="78" fillId="0" borderId="32">
      <alignment horizontal="center"/>
    </xf>
    <xf numFmtId="0" fontId="75" fillId="32" borderId="17" applyNumberFormat="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265" fillId="26" borderId="2" applyBorder="0" applyProtection="0">
      <alignment horizontal="centerContinuous" vertical="center"/>
    </xf>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198" fontId="4" fillId="0" borderId="2" applyBorder="0" applyProtection="0">
      <alignment horizontal="right"/>
    </xf>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265" fillId="26" borderId="2" applyBorder="0" applyProtection="0">
      <alignment horizontal="centerContinuous" vertical="center"/>
    </xf>
    <xf numFmtId="0" fontId="265" fillId="26" borderId="2" applyBorder="0" applyProtection="0">
      <alignment horizontal="centerContinuous" vertical="center"/>
    </xf>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198" fontId="4" fillId="0" borderId="2" applyBorder="0" applyProtection="0">
      <alignment horizontal="right"/>
    </xf>
    <xf numFmtId="198" fontId="4" fillId="0" borderId="2" applyBorder="0" applyProtection="0">
      <alignment horizontal="right"/>
    </xf>
    <xf numFmtId="0" fontId="54" fillId="32"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75" fillId="32" borderId="17" applyNumberFormat="0" applyAlignment="0" applyProtection="0"/>
    <xf numFmtId="0" fontId="58" fillId="0" borderId="19" applyNumberFormat="0" applyFill="0" applyAlignment="0" applyProtection="0"/>
    <xf numFmtId="0" fontId="75" fillId="32" borderId="17" applyNumberFormat="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75" fillId="32" borderId="17" applyNumberFormat="0" applyAlignment="0" applyProtection="0"/>
    <xf numFmtId="0" fontId="78" fillId="0" borderId="32">
      <alignment horizontal="center"/>
    </xf>
    <xf numFmtId="0" fontId="58" fillId="0" borderId="19" applyNumberFormat="0" applyFill="0" applyAlignment="0" applyProtection="0"/>
    <xf numFmtId="0" fontId="75" fillId="32" borderId="17" applyNumberFormat="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8" fillId="0" borderId="32">
      <alignment horizontal="center"/>
    </xf>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184" fontId="54" fillId="32" borderId="10" applyNumberFormat="0" applyAlignment="0" applyProtection="0"/>
    <xf numFmtId="9" fontId="4" fillId="21" borderId="48"/>
    <xf numFmtId="184" fontId="65" fillId="0" borderId="51" applyNumberFormat="0" applyFill="0" applyAlignment="0" applyProtection="0"/>
    <xf numFmtId="182" fontId="26" fillId="94" borderId="36" applyBorder="0">
      <alignment horizontal="right"/>
    </xf>
    <xf numFmtId="184" fontId="70" fillId="30" borderId="10" applyNumberFormat="0" applyAlignment="0" applyProtection="0"/>
    <xf numFmtId="0" fontId="78" fillId="0" borderId="32">
      <alignment horizontal="center"/>
    </xf>
    <xf numFmtId="184" fontId="4" fillId="31" borderId="79" applyNumberFormat="0" applyFont="0" applyAlignment="0" applyProtection="0"/>
    <xf numFmtId="184" fontId="75" fillId="32" borderId="17" applyNumberFormat="0" applyAlignment="0" applyProtection="0"/>
    <xf numFmtId="184" fontId="78" fillId="0" borderId="32">
      <alignment horizontal="center"/>
    </xf>
    <xf numFmtId="184" fontId="265" fillId="26" borderId="2" applyBorder="0" applyProtection="0">
      <alignment horizontal="centerContinuous" vertical="center"/>
    </xf>
    <xf numFmtId="184" fontId="58" fillId="0" borderId="19" applyNumberFormat="0" applyFill="0" applyAlignment="0" applyProtection="0"/>
    <xf numFmtId="184" fontId="75" fillId="32" borderId="17" applyNumberFormat="0" applyAlignment="0" applyProtection="0"/>
    <xf numFmtId="184" fontId="58" fillId="0" borderId="19" applyNumberFormat="0" applyFill="0" applyAlignment="0" applyProtection="0"/>
    <xf numFmtId="184" fontId="54" fillId="32" borderId="10" applyNumberFormat="0" applyAlignment="0" applyProtection="0"/>
    <xf numFmtId="184" fontId="54" fillId="32" borderId="10" applyNumberFormat="0" applyAlignment="0" applyProtection="0"/>
    <xf numFmtId="184" fontId="54" fillId="32" borderId="10" applyNumberFormat="0" applyAlignment="0" applyProtection="0"/>
    <xf numFmtId="184" fontId="54" fillId="32" borderId="10" applyNumberFormat="0" applyAlignment="0" applyProtection="0"/>
    <xf numFmtId="184" fontId="65" fillId="0" borderId="51" applyNumberFormat="0" applyFill="0" applyAlignment="0" applyProtection="0"/>
    <xf numFmtId="184" fontId="70" fillId="30" borderId="10" applyNumberFormat="0" applyAlignment="0" applyProtection="0"/>
    <xf numFmtId="184" fontId="70" fillId="30" borderId="10" applyNumberFormat="0" applyAlignment="0" applyProtection="0"/>
    <xf numFmtId="184" fontId="70" fillId="30" borderId="10" applyNumberFormat="0" applyAlignment="0" applyProtection="0"/>
    <xf numFmtId="184" fontId="70" fillId="30" borderId="10" applyNumberFormat="0" applyAlignment="0" applyProtection="0"/>
    <xf numFmtId="184" fontId="4" fillId="31" borderId="79" applyNumberFormat="0" applyFont="0" applyAlignment="0" applyProtection="0"/>
    <xf numFmtId="184" fontId="4" fillId="31" borderId="79" applyNumberFormat="0" applyFont="0" applyAlignment="0" applyProtection="0"/>
    <xf numFmtId="184" fontId="4" fillId="31" borderId="79" applyNumberFormat="0" applyFont="0" applyAlignment="0" applyProtection="0"/>
    <xf numFmtId="184" fontId="4" fillId="31" borderId="79" applyNumberFormat="0" applyFont="0" applyAlignment="0" applyProtection="0"/>
    <xf numFmtId="184" fontId="4" fillId="31" borderId="79" applyNumberFormat="0" applyFon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265" fillId="26" borderId="2" applyBorder="0" applyProtection="0">
      <alignment horizontal="centerContinuous" vertical="center"/>
    </xf>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4" fillId="32" borderId="10" applyNumberFormat="0" applyAlignment="0" applyProtection="0"/>
    <xf numFmtId="184" fontId="54" fillId="32" borderId="10" applyNumberFormat="0" applyAlignment="0" applyProtection="0"/>
    <xf numFmtId="184" fontId="54" fillId="32" borderId="10" applyNumberFormat="0" applyAlignment="0" applyProtection="0"/>
    <xf numFmtId="184" fontId="54" fillId="32" borderId="10" applyNumberFormat="0" applyAlignment="0" applyProtection="0"/>
    <xf numFmtId="184" fontId="54" fillId="32" borderId="10" applyNumberFormat="0" applyAlignment="0" applyProtection="0"/>
    <xf numFmtId="184" fontId="54" fillId="32" borderId="10" applyNumberFormat="0" applyAlignment="0" applyProtection="0"/>
    <xf numFmtId="184" fontId="54" fillId="32" borderId="10" applyNumberFormat="0" applyAlignment="0" applyProtection="0"/>
    <xf numFmtId="184" fontId="54" fillId="32" borderId="10" applyNumberFormat="0" applyAlignment="0" applyProtection="0"/>
    <xf numFmtId="184" fontId="70" fillId="30" borderId="10" applyNumberFormat="0" applyAlignment="0" applyProtection="0"/>
    <xf numFmtId="184" fontId="70" fillId="30" borderId="10" applyNumberFormat="0" applyAlignment="0" applyProtection="0"/>
    <xf numFmtId="184" fontId="70" fillId="30" borderId="10" applyNumberFormat="0" applyAlignment="0" applyProtection="0"/>
    <xf numFmtId="184" fontId="70" fillId="30" borderId="10" applyNumberFormat="0" applyAlignment="0" applyProtection="0"/>
    <xf numFmtId="184" fontId="70" fillId="30" borderId="10" applyNumberFormat="0" applyAlignment="0" applyProtection="0"/>
    <xf numFmtId="184" fontId="70" fillId="30" borderId="10" applyNumberFormat="0" applyAlignment="0" applyProtection="0"/>
    <xf numFmtId="184" fontId="70" fillId="30" borderId="10" applyNumberFormat="0" applyAlignment="0" applyProtection="0"/>
    <xf numFmtId="184" fontId="70" fillId="30" borderId="10" applyNumberFormat="0" applyAlignment="0" applyProtection="0"/>
    <xf numFmtId="184" fontId="4" fillId="31" borderId="79" applyNumberFormat="0" applyFont="0" applyAlignment="0" applyProtection="0"/>
    <xf numFmtId="184" fontId="4" fillId="31" borderId="79" applyNumberFormat="0" applyFont="0" applyAlignment="0" applyProtection="0"/>
    <xf numFmtId="184" fontId="4" fillId="31" borderId="79" applyNumberFormat="0" applyFont="0" applyAlignment="0" applyProtection="0"/>
    <xf numFmtId="184" fontId="4" fillId="31" borderId="79" applyNumberFormat="0" applyFont="0" applyAlignment="0" applyProtection="0"/>
    <xf numFmtId="184" fontId="4" fillId="31" borderId="79" applyNumberFormat="0" applyFon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4" fillId="32" borderId="10" applyNumberFormat="0" applyAlignment="0" applyProtection="0"/>
    <xf numFmtId="3" fontId="278" fillId="107" borderId="35" applyNumberFormat="0" applyBorder="0" applyAlignment="0">
      <alignment vertical="center"/>
    </xf>
    <xf numFmtId="9" fontId="151" fillId="21" borderId="79"/>
    <xf numFmtId="184" fontId="65" fillId="0" borderId="51" applyNumberFormat="0" applyFill="0" applyAlignment="0" applyProtection="0"/>
    <xf numFmtId="182" fontId="26" fillId="0" borderId="36" applyBorder="0">
      <alignment horizontal="right"/>
    </xf>
    <xf numFmtId="190" fontId="129" fillId="0" borderId="36" applyBorder="0"/>
    <xf numFmtId="184" fontId="70" fillId="30" borderId="10" applyNumberFormat="0" applyAlignment="0" applyProtection="0"/>
    <xf numFmtId="184" fontId="4" fillId="31" borderId="79" applyNumberFormat="0" applyFont="0" applyAlignment="0" applyProtection="0"/>
    <xf numFmtId="184" fontId="75" fillId="32" borderId="17" applyNumberFormat="0" applyAlignment="0" applyProtection="0"/>
    <xf numFmtId="184" fontId="78" fillId="0" borderId="32">
      <alignment horizontal="center"/>
    </xf>
    <xf numFmtId="184" fontId="265" fillId="26" borderId="2" applyBorder="0" applyProtection="0">
      <alignment horizontal="centerContinuous" vertical="center"/>
    </xf>
    <xf numFmtId="184" fontId="58" fillId="0" borderId="19" applyNumberFormat="0" applyFill="0" applyAlignment="0" applyProtection="0"/>
    <xf numFmtId="184" fontId="75" fillId="32" borderId="17" applyNumberFormat="0" applyAlignment="0" applyProtection="0"/>
    <xf numFmtId="184" fontId="58" fillId="0" borderId="19" applyNumberFormat="0" applyFill="0" applyAlignment="0" applyProtection="0"/>
    <xf numFmtId="184" fontId="54" fillId="32" borderId="10" applyNumberFormat="0" applyAlignment="0" applyProtection="0"/>
    <xf numFmtId="184" fontId="54" fillId="32" borderId="10" applyNumberFormat="0" applyAlignment="0" applyProtection="0"/>
    <xf numFmtId="184" fontId="54" fillId="32" borderId="10" applyNumberFormat="0" applyAlignment="0" applyProtection="0"/>
    <xf numFmtId="184" fontId="54" fillId="32" borderId="10" applyNumberFormat="0" applyAlignment="0" applyProtection="0"/>
    <xf numFmtId="184" fontId="65" fillId="0" borderId="51" applyNumberFormat="0" applyFill="0" applyAlignment="0" applyProtection="0"/>
    <xf numFmtId="184" fontId="70" fillId="30" borderId="10" applyNumberFormat="0" applyAlignment="0" applyProtection="0"/>
    <xf numFmtId="184" fontId="70" fillId="30" borderId="10" applyNumberFormat="0" applyAlignment="0" applyProtection="0"/>
    <xf numFmtId="184" fontId="70" fillId="30" borderId="10" applyNumberFormat="0" applyAlignment="0" applyProtection="0"/>
    <xf numFmtId="184" fontId="70" fillId="30" borderId="10" applyNumberFormat="0" applyAlignment="0" applyProtection="0"/>
    <xf numFmtId="184" fontId="4" fillId="31" borderId="79" applyNumberFormat="0" applyFont="0" applyAlignment="0" applyProtection="0"/>
    <xf numFmtId="184" fontId="4" fillId="31" borderId="79" applyNumberFormat="0" applyFont="0" applyAlignment="0" applyProtection="0"/>
    <xf numFmtId="184" fontId="4" fillId="31" borderId="79" applyNumberFormat="0" applyFont="0" applyAlignment="0" applyProtection="0"/>
    <xf numFmtId="184" fontId="4" fillId="31" borderId="79" applyNumberFormat="0" applyFont="0" applyAlignment="0" applyProtection="0"/>
    <xf numFmtId="184" fontId="4" fillId="31" borderId="79" applyNumberFormat="0" applyFon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265" fillId="26" borderId="2" applyBorder="0" applyProtection="0">
      <alignment horizontal="centerContinuous" vertical="center"/>
    </xf>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4" fillId="32" borderId="10" applyNumberFormat="0" applyAlignment="0" applyProtection="0"/>
    <xf numFmtId="184" fontId="54" fillId="32" borderId="10" applyNumberFormat="0" applyAlignment="0" applyProtection="0"/>
    <xf numFmtId="184" fontId="54" fillId="32" borderId="10" applyNumberFormat="0" applyAlignment="0" applyProtection="0"/>
    <xf numFmtId="184" fontId="54" fillId="32" borderId="10" applyNumberFormat="0" applyAlignment="0" applyProtection="0"/>
    <xf numFmtId="184" fontId="54" fillId="32" borderId="10" applyNumberFormat="0" applyAlignment="0" applyProtection="0"/>
    <xf numFmtId="184" fontId="54" fillId="32" borderId="10" applyNumberFormat="0" applyAlignment="0" applyProtection="0"/>
    <xf numFmtId="184" fontId="54" fillId="32" borderId="10" applyNumberFormat="0" applyAlignment="0" applyProtection="0"/>
    <xf numFmtId="184" fontId="54" fillId="32" borderId="10" applyNumberFormat="0" applyAlignment="0" applyProtection="0"/>
    <xf numFmtId="184" fontId="70" fillId="30" borderId="10" applyNumberFormat="0" applyAlignment="0" applyProtection="0"/>
    <xf numFmtId="184" fontId="70" fillId="30" borderId="10" applyNumberFormat="0" applyAlignment="0" applyProtection="0"/>
    <xf numFmtId="184" fontId="70" fillId="30" borderId="10" applyNumberFormat="0" applyAlignment="0" applyProtection="0"/>
    <xf numFmtId="184" fontId="70" fillId="30" borderId="10" applyNumberFormat="0" applyAlignment="0" applyProtection="0"/>
    <xf numFmtId="184" fontId="70" fillId="30" borderId="10" applyNumberFormat="0" applyAlignment="0" applyProtection="0"/>
    <xf numFmtId="184" fontId="70" fillId="30" borderId="10" applyNumberFormat="0" applyAlignment="0" applyProtection="0"/>
    <xf numFmtId="184" fontId="70" fillId="30" borderId="10" applyNumberFormat="0" applyAlignment="0" applyProtection="0"/>
    <xf numFmtId="184" fontId="70" fillId="30" borderId="10" applyNumberFormat="0" applyAlignment="0" applyProtection="0"/>
    <xf numFmtId="184" fontId="4" fillId="31" borderId="79" applyNumberFormat="0" applyFont="0" applyAlignment="0" applyProtection="0"/>
    <xf numFmtId="184" fontId="4" fillId="31" borderId="79" applyNumberFormat="0" applyFont="0" applyAlignment="0" applyProtection="0"/>
    <xf numFmtId="184" fontId="4" fillId="31" borderId="79" applyNumberFormat="0" applyFont="0" applyAlignment="0" applyProtection="0"/>
    <xf numFmtId="184" fontId="4" fillId="31" borderId="79" applyNumberFormat="0" applyFont="0" applyAlignment="0" applyProtection="0"/>
    <xf numFmtId="184" fontId="4" fillId="31" borderId="79" applyNumberFormat="0" applyFon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75" fillId="32" borderId="17" applyNumberFormat="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58" fillId="0" borderId="19" applyNumberFormat="0" applyFill="0" applyAlignment="0" applyProtection="0"/>
    <xf numFmtId="184" fontId="78" fillId="0" borderId="32">
      <alignment horizontal="center"/>
    </xf>
    <xf numFmtId="184" fontId="78" fillId="0" borderId="32">
      <alignment horizontal="center"/>
    </xf>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0" fillId="30" borderId="10" applyNumberFormat="0" applyAlignment="0" applyProtection="0"/>
    <xf numFmtId="0" fontId="70" fillId="30" borderId="10" applyNumberFormat="0" applyAlignment="0" applyProtection="0"/>
    <xf numFmtId="0" fontId="54" fillId="32" borderId="10" applyNumberFormat="0" applyAlignment="0" applyProtection="0"/>
    <xf numFmtId="0" fontId="58" fillId="0" borderId="19" applyNumberFormat="0" applyFill="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65" fillId="0" borderId="51" applyNumberFormat="0" applyFill="0" applyAlignment="0" applyProtection="0"/>
    <xf numFmtId="0" fontId="65" fillId="0" borderId="51"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0" fillId="30" borderId="10" applyNumberFormat="0" applyAlignment="0" applyProtection="0"/>
    <xf numFmtId="0" fontId="54" fillId="32" borderId="10" applyNumberFormat="0" applyAlignment="0" applyProtection="0"/>
    <xf numFmtId="0" fontId="54" fillId="32" borderId="10" applyNumberFormat="0" applyAlignment="0" applyProtection="0"/>
    <xf numFmtId="0" fontId="58" fillId="0" borderId="19" applyNumberFormat="0" applyFill="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5" fillId="32" borderId="17" applyNumberFormat="0" applyAlignment="0" applyProtection="0"/>
    <xf numFmtId="0" fontId="4" fillId="31" borderId="79" applyNumberFormat="0" applyFont="0" applyAlignment="0" applyProtection="0"/>
    <xf numFmtId="0" fontId="75" fillId="32" borderId="17" applyNumberFormat="0" applyAlignment="0" applyProtection="0"/>
    <xf numFmtId="0" fontId="78" fillId="0" borderId="32">
      <alignment horizontal="center"/>
    </xf>
    <xf numFmtId="0" fontId="54" fillId="32" borderId="10" applyNumberFormat="0" applyAlignment="0" applyProtection="0"/>
    <xf numFmtId="0" fontId="58" fillId="0" borderId="19" applyNumberFormat="0" applyFill="0" applyAlignment="0" applyProtection="0"/>
    <xf numFmtId="0" fontId="70" fillId="30" borderId="10" applyNumberFormat="0" applyAlignment="0" applyProtection="0"/>
    <xf numFmtId="0" fontId="70" fillId="30" borderId="10" applyNumberFormat="0" applyAlignment="0" applyProtection="0"/>
    <xf numFmtId="0" fontId="54" fillId="32" borderId="10" applyNumberFormat="0" applyAlignment="0" applyProtection="0"/>
    <xf numFmtId="0" fontId="58" fillId="0" borderId="19" applyNumberFormat="0" applyFill="0" applyAlignment="0" applyProtection="0"/>
    <xf numFmtId="0" fontId="75" fillId="32" borderId="17" applyNumberFormat="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5" fillId="32" borderId="17"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70" fillId="30" borderId="10"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5" fillId="32" borderId="17" applyNumberFormat="0" applyAlignment="0" applyProtection="0"/>
    <xf numFmtId="0" fontId="75" fillId="32" borderId="17"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8" fillId="0" borderId="32">
      <alignment horizontal="center"/>
    </xf>
    <xf numFmtId="0" fontId="75" fillId="32" borderId="17" applyNumberFormat="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4" fillId="31" borderId="79" applyNumberFormat="0" applyFont="0" applyAlignment="0" applyProtection="0"/>
    <xf numFmtId="0" fontId="54" fillId="32" borderId="10" applyNumberFormat="0" applyAlignment="0" applyProtection="0"/>
    <xf numFmtId="0" fontId="65" fillId="0" borderId="51" applyNumberFormat="0" applyFill="0" applyAlignment="0" applyProtection="0"/>
    <xf numFmtId="0" fontId="70" fillId="30" borderId="10" applyNumberFormat="0" applyAlignment="0" applyProtection="0"/>
    <xf numFmtId="0" fontId="4" fillId="31" borderId="79" applyNumberFormat="0" applyFont="0" applyAlignment="0" applyProtection="0"/>
    <xf numFmtId="0" fontId="75" fillId="32" borderId="17" applyNumberFormat="0" applyAlignment="0" applyProtection="0"/>
    <xf numFmtId="0" fontId="58" fillId="0" borderId="19" applyNumberFormat="0" applyFill="0" applyAlignment="0" applyProtection="0"/>
    <xf numFmtId="0" fontId="75" fillId="32" borderId="17" applyNumberFormat="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65" fillId="0" borderId="51" applyNumberFormat="0" applyFill="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5" fillId="32" borderId="17" applyNumberFormat="0" applyAlignment="0" applyProtection="0"/>
    <xf numFmtId="0" fontId="4" fillId="31" borderId="79" applyNumberFormat="0" applyFon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75" fillId="32" borderId="17" applyNumberFormat="0" applyAlignment="0" applyProtection="0"/>
    <xf numFmtId="0" fontId="78" fillId="0" borderId="32">
      <alignment horizontal="center"/>
    </xf>
    <xf numFmtId="0" fontId="58" fillId="0" borderId="19" applyNumberFormat="0" applyFill="0" applyAlignment="0" applyProtection="0"/>
    <xf numFmtId="0" fontId="75" fillId="32" borderId="17" applyNumberFormat="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8" fillId="0" borderId="32">
      <alignment horizontal="center"/>
    </xf>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70" fillId="30" borderId="10"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75" fillId="32" borderId="17" applyNumberFormat="0" applyAlignment="0" applyProtection="0"/>
    <xf numFmtId="0" fontId="58" fillId="0" borderId="19" applyNumberFormat="0" applyFill="0" applyAlignment="0" applyProtection="0"/>
    <xf numFmtId="0" fontId="75" fillId="32" borderId="17" applyNumberFormat="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75" fillId="32" borderId="17" applyNumberFormat="0" applyAlignment="0" applyProtection="0"/>
    <xf numFmtId="0" fontId="78" fillId="0" borderId="32">
      <alignment horizontal="center"/>
    </xf>
    <xf numFmtId="0" fontId="58" fillId="0" borderId="19" applyNumberFormat="0" applyFill="0" applyAlignment="0" applyProtection="0"/>
    <xf numFmtId="0" fontId="75" fillId="32" borderId="17" applyNumberFormat="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8" fillId="0" borderId="32">
      <alignment horizontal="center"/>
    </xf>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65" fillId="0" borderId="51" applyNumberFormat="0" applyFill="0" applyAlignment="0" applyProtection="0"/>
    <xf numFmtId="0" fontId="65" fillId="0" borderId="51" applyNumberFormat="0" applyFill="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65" fillId="0" borderId="51" applyNumberFormat="0" applyFill="0" applyAlignment="0" applyProtection="0"/>
    <xf numFmtId="0" fontId="70" fillId="30" borderId="10" applyNumberFormat="0" applyAlignment="0" applyProtection="0"/>
    <xf numFmtId="0" fontId="4" fillId="31" borderId="79" applyNumberFormat="0" applyFont="0" applyAlignment="0" applyProtection="0"/>
    <xf numFmtId="0" fontId="75" fillId="32" borderId="17" applyNumberFormat="0" applyAlignment="0" applyProtection="0"/>
    <xf numFmtId="0" fontId="58" fillId="0" borderId="19" applyNumberFormat="0" applyFill="0" applyAlignment="0" applyProtection="0"/>
    <xf numFmtId="0" fontId="75" fillId="32" borderId="17" applyNumberFormat="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65" fillId="0" borderId="51" applyNumberFormat="0" applyFill="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65" fillId="0" borderId="51" applyNumberFormat="0" applyFill="0" applyAlignment="0" applyProtection="0"/>
    <xf numFmtId="0" fontId="65" fillId="0" borderId="51" applyNumberFormat="0" applyFill="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75" fillId="32" borderId="17" applyNumberFormat="0" applyAlignment="0" applyProtection="0"/>
    <xf numFmtId="0" fontId="78" fillId="0" borderId="32">
      <alignment horizontal="center"/>
    </xf>
    <xf numFmtId="0" fontId="58" fillId="0" borderId="19" applyNumberFormat="0" applyFill="0" applyAlignment="0" applyProtection="0"/>
    <xf numFmtId="0" fontId="75" fillId="32" borderId="17" applyNumberFormat="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8" fillId="0" borderId="32">
      <alignment horizontal="center"/>
    </xf>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75" fillId="32" borderId="17" applyNumberFormat="0" applyAlignment="0" applyProtection="0"/>
    <xf numFmtId="0" fontId="58" fillId="0" borderId="19" applyNumberFormat="0" applyFill="0" applyAlignment="0" applyProtection="0"/>
    <xf numFmtId="0" fontId="75" fillId="32" borderId="17" applyNumberFormat="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75" fillId="32" borderId="17" applyNumberFormat="0" applyAlignment="0" applyProtection="0"/>
    <xf numFmtId="0" fontId="78" fillId="0" borderId="32">
      <alignment horizontal="center"/>
    </xf>
    <xf numFmtId="0" fontId="58" fillId="0" borderId="19" applyNumberFormat="0" applyFill="0" applyAlignment="0" applyProtection="0"/>
    <xf numFmtId="0" fontId="75" fillId="32" borderId="17" applyNumberFormat="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8" fillId="0" borderId="32">
      <alignment horizontal="center"/>
    </xf>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4" borderId="10" applyNumberFormat="0" applyAlignment="0" applyProtection="0"/>
    <xf numFmtId="0" fontId="54" fillId="34" borderId="10" applyNumberFormat="0" applyAlignment="0" applyProtection="0"/>
    <xf numFmtId="0" fontId="54" fillId="32" borderId="10" applyNumberFormat="0" applyAlignment="0" applyProtection="0"/>
    <xf numFmtId="0" fontId="54" fillId="34" borderId="10" applyNumberFormat="0" applyAlignment="0" applyProtection="0"/>
    <xf numFmtId="0" fontId="54" fillId="34" borderId="10" applyNumberFormat="0" applyAlignment="0" applyProtection="0"/>
    <xf numFmtId="0" fontId="54" fillId="34" borderId="10" applyNumberFormat="0" applyAlignment="0" applyProtection="0"/>
    <xf numFmtId="0" fontId="54" fillId="34" borderId="10" applyNumberFormat="0" applyAlignment="0" applyProtection="0"/>
    <xf numFmtId="0" fontId="54" fillId="34" borderId="10" applyNumberFormat="0" applyAlignment="0" applyProtection="0"/>
    <xf numFmtId="0" fontId="54" fillId="34" borderId="10" applyNumberFormat="0" applyAlignment="0" applyProtection="0"/>
    <xf numFmtId="0" fontId="54" fillId="34" borderId="10" applyNumberFormat="0" applyAlignment="0" applyProtection="0"/>
    <xf numFmtId="0" fontId="54" fillId="34" borderId="10" applyNumberFormat="0" applyAlignment="0" applyProtection="0"/>
    <xf numFmtId="0" fontId="4" fillId="20" borderId="17" applyNumberFormat="0">
      <alignmen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174" fillId="0" borderId="52" applyNumberFormat="0" applyFill="0" applyAlignment="0" applyProtection="0"/>
    <xf numFmtId="0" fontId="174" fillId="0" borderId="52" applyNumberFormat="0" applyFill="0" applyAlignment="0" applyProtection="0"/>
    <xf numFmtId="0" fontId="65" fillId="0" borderId="14" applyNumberFormat="0" applyFill="0" applyAlignment="0" applyProtection="0"/>
    <xf numFmtId="0" fontId="174" fillId="0" borderId="52" applyNumberFormat="0" applyFill="0" applyAlignment="0" applyProtection="0"/>
    <xf numFmtId="0" fontId="174" fillId="0" borderId="52" applyNumberFormat="0" applyFill="0" applyAlignment="0" applyProtection="0"/>
    <xf numFmtId="0" fontId="174" fillId="0" borderId="52" applyNumberFormat="0" applyFill="0" applyAlignment="0" applyProtection="0"/>
    <xf numFmtId="0" fontId="174" fillId="0" borderId="52" applyNumberFormat="0" applyFill="0" applyAlignment="0" applyProtection="0"/>
    <xf numFmtId="0" fontId="174" fillId="0" borderId="52" applyNumberFormat="0" applyFill="0" applyAlignment="0" applyProtection="0"/>
    <xf numFmtId="0" fontId="174" fillId="0" borderId="52" applyNumberFormat="0" applyFill="0" applyAlignment="0" applyProtection="0"/>
    <xf numFmtId="310" fontId="273" fillId="15" borderId="28" applyNumberFormat="0" applyAlignment="0" applyProtection="0"/>
    <xf numFmtId="10" fontId="37" fillId="21" borderId="28" applyNumberFormat="0" applyBorder="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37" fillId="23" borderId="28" applyNumberFormat="0" applyAlignment="0">
      <protection locked="0"/>
    </xf>
    <xf numFmtId="0" fontId="37" fillId="15" borderId="107" applyNumberFormat="0" applyAlignment="0">
      <protection locked="0"/>
    </xf>
    <xf numFmtId="0" fontId="133" fillId="0" borderId="32" applyNumberFormat="0" applyFont="0" applyFill="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4" borderId="17" applyNumberFormat="0" applyAlignment="0" applyProtection="0"/>
    <xf numFmtId="0" fontId="75" fillId="34" borderId="17" applyNumberFormat="0" applyAlignment="0" applyProtection="0"/>
    <xf numFmtId="0" fontId="75" fillId="32" borderId="17" applyNumberFormat="0" applyAlignment="0" applyProtection="0"/>
    <xf numFmtId="0" fontId="75" fillId="34" borderId="17" applyNumberFormat="0" applyAlignment="0" applyProtection="0"/>
    <xf numFmtId="0" fontId="75" fillId="34" borderId="17" applyNumberFormat="0" applyAlignment="0" applyProtection="0"/>
    <xf numFmtId="0" fontId="75" fillId="34" borderId="17" applyNumberFormat="0" applyAlignment="0" applyProtection="0"/>
    <xf numFmtId="0" fontId="75" fillId="34" borderId="17" applyNumberFormat="0" applyAlignment="0" applyProtection="0"/>
    <xf numFmtId="0" fontId="75" fillId="34" borderId="17" applyNumberFormat="0" applyAlignment="0" applyProtection="0"/>
    <xf numFmtId="0" fontId="75" fillId="34" borderId="17" applyNumberFormat="0" applyAlignment="0" applyProtection="0"/>
    <xf numFmtId="0" fontId="75" fillId="34" borderId="17" applyNumberFormat="0" applyAlignment="0" applyProtection="0"/>
    <xf numFmtId="0" fontId="75" fillId="34" borderId="17" applyNumberFormat="0" applyAlignment="0" applyProtection="0"/>
    <xf numFmtId="0" fontId="305" fillId="81" borderId="28" applyNumberFormat="0" applyAlignment="0" applyProtection="0">
      <alignment horizontal="center" vertical="center"/>
    </xf>
    <xf numFmtId="0" fontId="307" fillId="113" borderId="109" applyNumberFormat="0" applyAlignment="0" applyProtection="0"/>
    <xf numFmtId="0" fontId="307" fillId="113" borderId="109" applyNumberFormat="0" applyAlignment="0" applyProtection="0"/>
    <xf numFmtId="0" fontId="307" fillId="114" borderId="109" applyNumberFormat="0" applyAlignment="0" applyProtection="0"/>
    <xf numFmtId="203" fontId="4" fillId="0" borderId="33" applyFill="0"/>
    <xf numFmtId="0" fontId="58" fillId="0" borderId="60" applyNumberFormat="0" applyFill="0" applyAlignment="0" applyProtection="0"/>
    <xf numFmtId="0" fontId="58" fillId="0" borderId="60" applyNumberFormat="0" applyFill="0" applyAlignment="0" applyProtection="0"/>
    <xf numFmtId="0" fontId="58" fillId="0" borderId="19" applyNumberFormat="0" applyFill="0" applyAlignment="0" applyProtection="0"/>
    <xf numFmtId="0" fontId="58" fillId="0" borderId="60" applyNumberFormat="0" applyFill="0" applyAlignment="0" applyProtection="0"/>
    <xf numFmtId="203" fontId="4" fillId="0" borderId="36" applyFill="0"/>
    <xf numFmtId="0" fontId="58" fillId="0" borderId="60" applyNumberFormat="0" applyFill="0" applyAlignment="0" applyProtection="0"/>
    <xf numFmtId="0" fontId="58" fillId="0" borderId="60" applyNumberFormat="0" applyFill="0" applyAlignment="0" applyProtection="0"/>
    <xf numFmtId="0" fontId="58" fillId="0" borderId="60" applyNumberFormat="0" applyFill="0" applyAlignment="0" applyProtection="0"/>
    <xf numFmtId="0" fontId="58" fillId="0" borderId="60" applyNumberFormat="0" applyFill="0" applyAlignment="0" applyProtection="0"/>
    <xf numFmtId="0" fontId="58" fillId="0" borderId="60" applyNumberFormat="0" applyFill="0" applyAlignment="0" applyProtection="0"/>
    <xf numFmtId="0" fontId="58" fillId="0" borderId="60" applyNumberFormat="0" applyFill="0" applyAlignment="0" applyProtection="0"/>
    <xf numFmtId="0" fontId="58" fillId="0" borderId="60" applyNumberFormat="0" applyFill="0" applyAlignment="0" applyProtection="0"/>
    <xf numFmtId="4" fontId="37" fillId="33" borderId="75" applyNumberFormat="0" applyProtection="0">
      <alignment vertical="center"/>
    </xf>
    <xf numFmtId="4" fontId="313" fillId="15" borderId="75" applyNumberFormat="0" applyProtection="0">
      <alignment vertical="center"/>
    </xf>
    <xf numFmtId="4" fontId="37" fillId="15" borderId="75" applyNumberFormat="0" applyProtection="0">
      <alignment horizontal="left" vertical="center" indent="1"/>
    </xf>
    <xf numFmtId="0" fontId="294" fillId="33" borderId="113" applyNumberFormat="0" applyProtection="0">
      <alignment horizontal="left" vertical="top" indent="1"/>
    </xf>
    <xf numFmtId="4" fontId="37" fillId="37" borderId="75" applyNumberFormat="0" applyProtection="0">
      <alignment horizontal="left" vertical="center" indent="1"/>
    </xf>
    <xf numFmtId="4" fontId="37" fillId="48" borderId="75" applyNumberFormat="0" applyProtection="0">
      <alignment horizontal="right" vertical="center"/>
    </xf>
    <xf numFmtId="4" fontId="37" fillId="128" borderId="75" applyNumberFormat="0" applyProtection="0">
      <alignment horizontal="right" vertical="center"/>
    </xf>
    <xf numFmtId="4" fontId="37" fillId="41" borderId="114" applyNumberFormat="0" applyProtection="0">
      <alignment horizontal="right" vertical="center"/>
    </xf>
    <xf numFmtId="4" fontId="37" fillId="99" borderId="75" applyNumberFormat="0" applyProtection="0">
      <alignment horizontal="right" vertical="center"/>
    </xf>
    <xf numFmtId="4" fontId="37" fillId="102" borderId="75" applyNumberFormat="0" applyProtection="0">
      <alignment horizontal="right" vertical="center"/>
    </xf>
    <xf numFmtId="4" fontId="37" fillId="47" borderId="75" applyNumberFormat="0" applyProtection="0">
      <alignment horizontal="right" vertical="center"/>
    </xf>
    <xf numFmtId="4" fontId="37" fillId="43" borderId="75" applyNumberFormat="0" applyProtection="0">
      <alignment horizontal="right" vertical="center"/>
    </xf>
    <xf numFmtId="4" fontId="37" fillId="129" borderId="75" applyNumberFormat="0" applyProtection="0">
      <alignment horizontal="right" vertical="center"/>
    </xf>
    <xf numFmtId="4" fontId="37" fillId="98" borderId="75" applyNumberFormat="0" applyProtection="0">
      <alignment horizontal="right" vertical="center"/>
    </xf>
    <xf numFmtId="4" fontId="37" fillId="130" borderId="114" applyNumberFormat="0" applyProtection="0">
      <alignment horizontal="left" vertical="center" indent="1"/>
    </xf>
    <xf numFmtId="4" fontId="4" fillId="44" borderId="114" applyNumberFormat="0" applyProtection="0">
      <alignment horizontal="left" vertical="center" indent="1"/>
    </xf>
    <xf numFmtId="4" fontId="4" fillId="44" borderId="114" applyNumberFormat="0" applyProtection="0">
      <alignment horizontal="left" vertical="center" indent="1"/>
    </xf>
    <xf numFmtId="4" fontId="37" fillId="131" borderId="75" applyNumberFormat="0" applyProtection="0">
      <alignment horizontal="right" vertical="center"/>
    </xf>
    <xf numFmtId="4" fontId="37" fillId="132" borderId="114" applyNumberFormat="0" applyProtection="0">
      <alignment horizontal="left" vertical="center" indent="1"/>
    </xf>
    <xf numFmtId="4" fontId="37" fillId="131" borderId="114" applyNumberFormat="0" applyProtection="0">
      <alignment horizontal="left" vertical="center" indent="1"/>
    </xf>
    <xf numFmtId="0" fontId="37" fillId="34" borderId="75" applyNumberFormat="0" applyProtection="0">
      <alignment horizontal="left" vertical="center" indent="1"/>
    </xf>
    <xf numFmtId="0" fontId="37" fillId="44" borderId="113" applyNumberFormat="0" applyProtection="0">
      <alignment horizontal="left" vertical="top" indent="1"/>
    </xf>
    <xf numFmtId="0" fontId="37" fillId="133" borderId="75" applyNumberFormat="0" applyProtection="0">
      <alignment horizontal="left" vertical="center" indent="1"/>
    </xf>
    <xf numFmtId="0" fontId="37" fillId="131" borderId="113" applyNumberFormat="0" applyProtection="0">
      <alignment horizontal="left" vertical="top" indent="1"/>
    </xf>
    <xf numFmtId="0" fontId="37" fillId="79" borderId="75" applyNumberFormat="0" applyProtection="0">
      <alignment horizontal="left" vertical="center" indent="1"/>
    </xf>
    <xf numFmtId="0" fontId="37" fillId="79" borderId="113" applyNumberFormat="0" applyProtection="0">
      <alignment horizontal="left" vertical="top" indent="1"/>
    </xf>
    <xf numFmtId="0" fontId="37" fillId="132" borderId="75" applyNumberFormat="0" applyProtection="0">
      <alignment horizontal="left" vertical="center" indent="1"/>
    </xf>
    <xf numFmtId="0" fontId="37" fillId="132" borderId="113" applyNumberFormat="0" applyProtection="0">
      <alignment horizontal="left" vertical="top" indent="1"/>
    </xf>
    <xf numFmtId="0" fontId="37" fillId="32" borderId="115" applyNumberFormat="0">
      <protection locked="0"/>
    </xf>
    <xf numFmtId="0" fontId="42" fillId="44" borderId="116" applyBorder="0"/>
    <xf numFmtId="4" fontId="142" fillId="31" borderId="113" applyNumberFormat="0" applyProtection="0">
      <alignment vertical="center"/>
    </xf>
    <xf numFmtId="4" fontId="313" fillId="21" borderId="28" applyNumberFormat="0" applyProtection="0">
      <alignment vertical="center"/>
    </xf>
    <xf numFmtId="4" fontId="142" fillId="34" borderId="113" applyNumberFormat="0" applyProtection="0">
      <alignment horizontal="left" vertical="center" indent="1"/>
    </xf>
    <xf numFmtId="0" fontId="142" fillId="31" borderId="113" applyNumberFormat="0" applyProtection="0">
      <alignment horizontal="left" vertical="top" indent="1"/>
    </xf>
    <xf numFmtId="4" fontId="37" fillId="0" borderId="75" applyNumberFormat="0" applyProtection="0">
      <alignment horizontal="right" vertical="center"/>
    </xf>
    <xf numFmtId="4" fontId="313" fillId="19" borderId="75" applyNumberFormat="0" applyProtection="0">
      <alignment horizontal="right" vertical="center"/>
    </xf>
    <xf numFmtId="4" fontId="37" fillId="37" borderId="75" applyNumberFormat="0" applyProtection="0">
      <alignment horizontal="left" vertical="center" indent="1"/>
    </xf>
    <xf numFmtId="0" fontId="142" fillId="131" borderId="113" applyNumberFormat="0" applyProtection="0">
      <alignment horizontal="left" vertical="top" indent="1"/>
    </xf>
    <xf numFmtId="4" fontId="314" fillId="110" borderId="114" applyNumberFormat="0" applyProtection="0">
      <alignment horizontal="left" vertical="center" indent="1"/>
    </xf>
    <xf numFmtId="0" fontId="37" fillId="134" borderId="28"/>
    <xf numFmtId="4" fontId="315" fillId="32" borderId="75" applyNumberFormat="0" applyProtection="0">
      <alignment horizontal="right" vertical="center"/>
    </xf>
    <xf numFmtId="0" fontId="133" fillId="0" borderId="32" applyNumberFormat="0" applyFont="0" applyFill="0" applyAlignment="0" applyProtection="0"/>
    <xf numFmtId="0" fontId="174" fillId="0" borderId="52" applyNumberFormat="0" applyFill="0" applyAlignment="0" applyProtection="0"/>
    <xf numFmtId="0" fontId="174" fillId="0" borderId="52" applyNumberFormat="0" applyFill="0" applyAlignment="0" applyProtection="0"/>
    <xf numFmtId="0" fontId="65" fillId="0" borderId="14" applyNumberFormat="0" applyFill="0" applyAlignment="0" applyProtection="0"/>
    <xf numFmtId="0" fontId="174" fillId="0" borderId="52" applyNumberFormat="0" applyFill="0" applyAlignment="0" applyProtection="0"/>
    <xf numFmtId="0" fontId="174" fillId="0" borderId="52" applyNumberFormat="0" applyFill="0" applyAlignment="0" applyProtection="0"/>
    <xf numFmtId="0" fontId="174" fillId="0" borderId="52" applyNumberFormat="0" applyFill="0" applyAlignment="0" applyProtection="0"/>
    <xf numFmtId="0" fontId="174" fillId="0" borderId="52" applyNumberFormat="0" applyFill="0" applyAlignment="0" applyProtection="0"/>
    <xf numFmtId="0" fontId="174" fillId="0" borderId="52" applyNumberFormat="0" applyFill="0" applyAlignment="0" applyProtection="0"/>
    <xf numFmtId="0" fontId="174" fillId="0" borderId="52" applyNumberFormat="0" applyFill="0" applyAlignment="0" applyProtection="0"/>
    <xf numFmtId="0" fontId="78" fillId="0" borderId="32">
      <alignment horizontal="center"/>
    </xf>
    <xf numFmtId="0" fontId="78" fillId="0" borderId="32">
      <alignment horizontal="center"/>
    </xf>
    <xf numFmtId="0" fontId="307" fillId="113" borderId="109" applyNumberFormat="0" applyAlignment="0" applyProtection="0"/>
    <xf numFmtId="0" fontId="307" fillId="113" borderId="109" applyNumberFormat="0" applyAlignment="0" applyProtection="0"/>
    <xf numFmtId="0" fontId="307" fillId="114" borderId="109" applyNumberFormat="0" applyAlignment="0" applyProtection="0"/>
    <xf numFmtId="0" fontId="37" fillId="32" borderId="115" applyNumberFormat="0">
      <protection locked="0"/>
    </xf>
    <xf numFmtId="0" fontId="265" fillId="26" borderId="2" applyBorder="0" applyProtection="0">
      <alignment horizontal="centerContinuous" vertical="center"/>
    </xf>
    <xf numFmtId="198" fontId="4" fillId="0" borderId="2" applyBorder="0" applyProtection="0">
      <alignment horizontal="right"/>
    </xf>
    <xf numFmtId="0" fontId="75" fillId="32" borderId="17" applyNumberFormat="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265" fillId="26" borderId="2" applyBorder="0" applyProtection="0">
      <alignment horizontal="centerContinuous" vertical="center"/>
    </xf>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198" fontId="4" fillId="0" borderId="2" applyBorder="0" applyProtection="0">
      <alignment horizontal="right"/>
    </xf>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65" fillId="0" borderId="51" applyNumberFormat="0" applyFill="0" applyAlignment="0" applyProtection="0"/>
    <xf numFmtId="0" fontId="70" fillId="30" borderId="10" applyNumberFormat="0" applyAlignment="0" applyProtection="0"/>
    <xf numFmtId="0" fontId="4" fillId="31" borderId="79" applyNumberFormat="0" applyFont="0" applyAlignment="0" applyProtection="0"/>
    <xf numFmtId="0" fontId="75" fillId="32" borderId="17" applyNumberFormat="0" applyAlignment="0" applyProtection="0"/>
    <xf numFmtId="0" fontId="58" fillId="0" borderId="19" applyNumberFormat="0" applyFill="0" applyAlignment="0" applyProtection="0"/>
    <xf numFmtId="0" fontId="75" fillId="32" borderId="17" applyNumberFormat="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65" fillId="0" borderId="51" applyNumberFormat="0" applyFill="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65" fillId="0" borderId="51" applyNumberFormat="0" applyFill="0" applyAlignment="0" applyProtection="0"/>
    <xf numFmtId="0" fontId="65" fillId="0" borderId="51" applyNumberFormat="0" applyFill="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75" fillId="32" borderId="17" applyNumberFormat="0" applyAlignment="0" applyProtection="0"/>
    <xf numFmtId="0" fontId="58" fillId="0" borderId="19" applyNumberFormat="0" applyFill="0" applyAlignment="0" applyProtection="0"/>
    <xf numFmtId="0" fontId="75" fillId="32" borderId="17" applyNumberFormat="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43" fontId="2" fillId="0" borderId="0" applyFont="0" applyFill="0" applyBorder="0" applyAlignment="0" applyProtection="0"/>
    <xf numFmtId="0" fontId="75" fillId="32" borderId="17" applyNumberFormat="0" applyAlignment="0" applyProtection="0"/>
    <xf numFmtId="0" fontId="4" fillId="31" borderId="79" applyNumberFormat="0" applyFont="0" applyAlignment="0" applyProtection="0"/>
    <xf numFmtId="0" fontId="75" fillId="32" borderId="17" applyNumberFormat="0" applyAlignment="0" applyProtection="0"/>
    <xf numFmtId="0" fontId="54" fillId="32"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58" fillId="0" borderId="19" applyNumberFormat="0" applyFill="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65" fillId="0" borderId="51" applyNumberFormat="0" applyFill="0" applyAlignment="0" applyProtection="0"/>
    <xf numFmtId="0" fontId="65" fillId="0" borderId="51" applyNumberFormat="0" applyFill="0" applyAlignment="0" applyProtection="0"/>
    <xf numFmtId="0" fontId="54" fillId="32" borderId="10" applyNumberFormat="0" applyAlignment="0" applyProtection="0"/>
    <xf numFmtId="0" fontId="54" fillId="32" borderId="10"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65" fillId="0" borderId="51" applyNumberFormat="0" applyFill="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70" fillId="30" borderId="10" applyNumberFormat="0" applyAlignment="0" applyProtection="0"/>
    <xf numFmtId="0" fontId="54" fillId="32" borderId="10" applyNumberFormat="0" applyAlignment="0" applyProtection="0"/>
    <xf numFmtId="0" fontId="54" fillId="32" borderId="10"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65" fillId="0" borderId="51"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8" fillId="0" borderId="19" applyNumberFormat="0" applyFill="0" applyAlignment="0" applyProtection="0"/>
    <xf numFmtId="0" fontId="75" fillId="32" borderId="17" applyNumberFormat="0" applyAlignment="0" applyProtection="0"/>
    <xf numFmtId="0" fontId="58" fillId="0" borderId="19" applyNumberFormat="0" applyFill="0" applyAlignment="0" applyProtection="0"/>
    <xf numFmtId="0" fontId="75" fillId="32" borderId="17"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58" fillId="0" borderId="19" applyNumberFormat="0" applyFill="0" applyAlignment="0" applyProtection="0"/>
    <xf numFmtId="0" fontId="4" fillId="31" borderId="79" applyNumberFormat="0" applyFont="0" applyAlignment="0" applyProtection="0"/>
    <xf numFmtId="0" fontId="75" fillId="32" borderId="17" applyNumberFormat="0" applyAlignment="0" applyProtection="0"/>
    <xf numFmtId="0" fontId="4" fillId="31" borderId="79" applyNumberFormat="0" applyFont="0" applyAlignment="0" applyProtection="0"/>
    <xf numFmtId="0" fontId="75" fillId="32" borderId="17" applyNumberFormat="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65" fillId="0" borderId="51" applyNumberFormat="0" applyFill="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4" fillId="31" borderId="79" applyNumberFormat="0" applyFont="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65" fillId="0" borderId="51" applyNumberFormat="0" applyFill="0" applyAlignment="0" applyProtection="0"/>
    <xf numFmtId="0" fontId="65" fillId="0" borderId="51" applyNumberFormat="0" applyFill="0" applyAlignment="0" applyProtection="0"/>
    <xf numFmtId="0" fontId="4" fillId="31" borderId="79" applyNumberFormat="0" applyFon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65" fillId="0" borderId="51" applyNumberFormat="0" applyFill="0" applyAlignment="0" applyProtection="0"/>
    <xf numFmtId="0" fontId="54" fillId="32" borderId="10" applyNumberFormat="0" applyAlignment="0" applyProtection="0"/>
    <xf numFmtId="0" fontId="65" fillId="0" borderId="51" applyNumberFormat="0" applyFill="0" applyAlignment="0" applyProtection="0"/>
    <xf numFmtId="0" fontId="70" fillId="30" borderId="10" applyNumberFormat="0" applyAlignment="0" applyProtection="0"/>
    <xf numFmtId="0" fontId="4" fillId="31" borderId="79" applyNumberFormat="0" applyFont="0" applyAlignment="0" applyProtection="0"/>
    <xf numFmtId="0" fontId="75" fillId="32" borderId="17" applyNumberFormat="0" applyAlignment="0" applyProtection="0"/>
    <xf numFmtId="0" fontId="58" fillId="0" borderId="19" applyNumberFormat="0" applyFill="0" applyAlignment="0" applyProtection="0"/>
    <xf numFmtId="0" fontId="75" fillId="32" borderId="17" applyNumberFormat="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65" fillId="0" borderId="51" applyNumberFormat="0" applyFill="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65" fillId="0" borderId="51" applyNumberFormat="0" applyFill="0" applyAlignment="0" applyProtection="0"/>
    <xf numFmtId="0" fontId="65" fillId="0" borderId="51" applyNumberFormat="0" applyFill="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75" fillId="32" borderId="17" applyNumberFormat="0" applyAlignment="0" applyProtection="0"/>
    <xf numFmtId="0" fontId="58" fillId="0" borderId="19" applyNumberFormat="0" applyFill="0" applyAlignment="0" applyProtection="0"/>
    <xf numFmtId="0" fontId="75" fillId="32" borderId="17" applyNumberFormat="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65" fillId="0" borderId="51" applyNumberFormat="0" applyFill="0" applyAlignment="0" applyProtection="0"/>
    <xf numFmtId="0" fontId="70" fillId="30" borderId="10" applyNumberFormat="0" applyAlignment="0" applyProtection="0"/>
    <xf numFmtId="0" fontId="4" fillId="31" borderId="79" applyNumberFormat="0" applyFont="0" applyAlignment="0" applyProtection="0"/>
    <xf numFmtId="0" fontId="75" fillId="32" borderId="17" applyNumberFormat="0" applyAlignment="0" applyProtection="0"/>
    <xf numFmtId="0" fontId="58" fillId="0" borderId="19" applyNumberFormat="0" applyFill="0" applyAlignment="0" applyProtection="0"/>
    <xf numFmtId="0" fontId="75" fillId="32" borderId="17" applyNumberFormat="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65" fillId="0" borderId="51" applyNumberFormat="0" applyFill="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65" fillId="0" borderId="51" applyNumberFormat="0" applyFill="0" applyAlignment="0" applyProtection="0"/>
    <xf numFmtId="0" fontId="65" fillId="0" borderId="51" applyNumberFormat="0" applyFill="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75" fillId="32" borderId="17" applyNumberFormat="0" applyAlignment="0" applyProtection="0"/>
    <xf numFmtId="0" fontId="58" fillId="0" borderId="19" applyNumberFormat="0" applyFill="0" applyAlignment="0" applyProtection="0"/>
    <xf numFmtId="0" fontId="75" fillId="32" borderId="17" applyNumberFormat="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43" fontId="4" fillId="0" borderId="117"/>
    <xf numFmtId="43" fontId="4" fillId="0" borderId="117"/>
    <xf numFmtId="164" fontId="4" fillId="0" borderId="0" applyFont="0" applyFill="0" applyBorder="0" applyAlignment="0" applyProtection="0"/>
    <xf numFmtId="164" fontId="4" fillId="0" borderId="0" applyFont="0" applyFill="0" applyBorder="0" applyAlignment="0" applyProtection="0"/>
    <xf numFmtId="0" fontId="2" fillId="0" borderId="0"/>
    <xf numFmtId="0" fontId="37" fillId="32" borderId="115" applyNumberFormat="0">
      <protection locked="0"/>
    </xf>
    <xf numFmtId="190" fontId="129" fillId="0" borderId="36" applyBorder="0"/>
    <xf numFmtId="182" fontId="26" fillId="94" borderId="36" applyBorder="0">
      <alignment horizontal="right"/>
    </xf>
    <xf numFmtId="182" fontId="26" fillId="0" borderId="36" applyBorder="0">
      <alignment horizontal="right"/>
    </xf>
    <xf numFmtId="3" fontId="151" fillId="21" borderId="79">
      <alignment horizontal="right"/>
    </xf>
    <xf numFmtId="9" fontId="4" fillId="21" borderId="48"/>
    <xf numFmtId="9" fontId="151" fillId="21" borderId="79"/>
    <xf numFmtId="15" fontId="277" fillId="23" borderId="28"/>
    <xf numFmtId="3" fontId="278" fillId="107" borderId="35" applyNumberFormat="0" applyBorder="0" applyAlignment="0">
      <alignment vertical="center"/>
    </xf>
    <xf numFmtId="0" fontId="133" fillId="0" borderId="72" applyNumberFormat="0" applyFont="0" applyFill="0" applyAlignment="0" applyProtection="0"/>
    <xf numFmtId="0" fontId="54" fillId="34" borderId="10" applyNumberFormat="0" applyAlignment="0" applyProtection="0"/>
    <xf numFmtId="0" fontId="54" fillId="34" borderId="10" applyNumberFormat="0" applyAlignment="0" applyProtection="0"/>
    <xf numFmtId="0" fontId="54" fillId="32" borderId="10" applyNumberFormat="0" applyAlignment="0" applyProtection="0"/>
    <xf numFmtId="0" fontId="54" fillId="34" borderId="10" applyNumberFormat="0" applyAlignment="0" applyProtection="0"/>
    <xf numFmtId="0" fontId="54" fillId="34" borderId="10" applyNumberFormat="0" applyAlignment="0" applyProtection="0"/>
    <xf numFmtId="0" fontId="54" fillId="34" borderId="10" applyNumberFormat="0" applyAlignment="0" applyProtection="0"/>
    <xf numFmtId="0" fontId="54" fillId="34" borderId="10" applyNumberFormat="0" applyAlignment="0" applyProtection="0"/>
    <xf numFmtId="0" fontId="54" fillId="34" borderId="10" applyNumberFormat="0" applyAlignment="0" applyProtection="0"/>
    <xf numFmtId="0" fontId="54" fillId="34" borderId="10" applyNumberFormat="0" applyAlignment="0" applyProtection="0"/>
    <xf numFmtId="0" fontId="54" fillId="34" borderId="10" applyNumberFormat="0" applyAlignment="0" applyProtection="0"/>
    <xf numFmtId="0" fontId="54" fillId="34" borderId="10"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20" borderId="17" applyNumberFormat="0">
      <alignmen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2" fillId="0" borderId="0" applyFill="0" applyBorder="0">
      <alignment vertical="center"/>
    </xf>
    <xf numFmtId="310" fontId="273" fillId="15" borderId="28" applyNumberFormat="0" applyAlignment="0" applyProtection="0"/>
    <xf numFmtId="10" fontId="37" fillId="21" borderId="28" applyNumberFormat="0" applyBorder="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57" fillId="109" borderId="106" applyNumberFormat="0">
      <alignment vertical="center"/>
      <protection locked="0"/>
    </xf>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37" fillId="23" borderId="28" applyNumberFormat="0" applyAlignment="0">
      <protection locked="0"/>
    </xf>
    <xf numFmtId="0" fontId="37" fillId="15" borderId="107" applyNumberFormat="0" applyAlignment="0">
      <protection locked="0"/>
    </xf>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4" borderId="17" applyNumberFormat="0" applyAlignment="0" applyProtection="0"/>
    <xf numFmtId="0" fontId="75" fillId="34" borderId="17" applyNumberFormat="0" applyAlignment="0" applyProtection="0"/>
    <xf numFmtId="0" fontId="75" fillId="32" borderId="17" applyNumberFormat="0" applyAlignment="0" applyProtection="0"/>
    <xf numFmtId="0" fontId="75" fillId="34" borderId="17" applyNumberFormat="0" applyAlignment="0" applyProtection="0"/>
    <xf numFmtId="0" fontId="75" fillId="34" borderId="17" applyNumberFormat="0" applyAlignment="0" applyProtection="0"/>
    <xf numFmtId="0" fontId="75" fillId="34" borderId="17" applyNumberFormat="0" applyAlignment="0" applyProtection="0"/>
    <xf numFmtId="0" fontId="75" fillId="34" borderId="17" applyNumberFormat="0" applyAlignment="0" applyProtection="0"/>
    <xf numFmtId="0" fontId="75" fillId="34" borderId="17" applyNumberFormat="0" applyAlignment="0" applyProtection="0"/>
    <xf numFmtId="0" fontId="75" fillId="34" borderId="17" applyNumberFormat="0" applyAlignment="0" applyProtection="0"/>
    <xf numFmtId="0" fontId="75" fillId="34" borderId="17" applyNumberFormat="0" applyAlignment="0" applyProtection="0"/>
    <xf numFmtId="0" fontId="75" fillId="34" borderId="17" applyNumberFormat="0" applyAlignment="0" applyProtection="0"/>
    <xf numFmtId="9" fontId="22" fillId="0" borderId="0" applyFont="0" applyFill="0" applyBorder="0" applyAlignment="0" applyProtection="0"/>
    <xf numFmtId="0" fontId="305" fillId="81" borderId="28" applyNumberFormat="0" applyAlignment="0" applyProtection="0">
      <alignment horizontal="center" vertical="center"/>
    </xf>
    <xf numFmtId="203" fontId="4" fillId="0" borderId="33" applyFill="0"/>
    <xf numFmtId="0" fontId="58" fillId="0" borderId="60" applyNumberFormat="0" applyFill="0" applyAlignment="0" applyProtection="0"/>
    <xf numFmtId="0" fontId="58" fillId="0" borderId="60" applyNumberFormat="0" applyFill="0" applyAlignment="0" applyProtection="0"/>
    <xf numFmtId="0" fontId="58" fillId="0" borderId="19" applyNumberFormat="0" applyFill="0" applyAlignment="0" applyProtection="0"/>
    <xf numFmtId="0" fontId="58" fillId="0" borderId="60" applyNumberFormat="0" applyFill="0" applyAlignment="0" applyProtection="0"/>
    <xf numFmtId="203" fontId="4" fillId="0" borderId="36" applyFill="0"/>
    <xf numFmtId="0" fontId="58" fillId="0" borderId="60" applyNumberFormat="0" applyFill="0" applyAlignment="0" applyProtection="0"/>
    <xf numFmtId="0" fontId="58" fillId="0" borderId="60" applyNumberFormat="0" applyFill="0" applyAlignment="0" applyProtection="0"/>
    <xf numFmtId="0" fontId="58" fillId="0" borderId="60" applyNumberFormat="0" applyFill="0" applyAlignment="0" applyProtection="0"/>
    <xf numFmtId="0" fontId="58" fillId="0" borderId="60" applyNumberFormat="0" applyFill="0" applyAlignment="0" applyProtection="0"/>
    <xf numFmtId="0" fontId="58" fillId="0" borderId="60" applyNumberFormat="0" applyFill="0" applyAlignment="0" applyProtection="0"/>
    <xf numFmtId="0" fontId="58" fillId="0" borderId="60" applyNumberFormat="0" applyFill="0" applyAlignment="0" applyProtection="0"/>
    <xf numFmtId="0" fontId="58" fillId="0" borderId="60" applyNumberFormat="0" applyFill="0" applyAlignment="0" applyProtection="0"/>
    <xf numFmtId="4" fontId="37" fillId="33" borderId="75" applyNumberFormat="0" applyProtection="0">
      <alignment vertical="center"/>
    </xf>
    <xf numFmtId="4" fontId="313" fillId="15" borderId="75" applyNumberFormat="0" applyProtection="0">
      <alignment vertical="center"/>
    </xf>
    <xf numFmtId="4" fontId="37" fillId="15" borderId="75" applyNumberFormat="0" applyProtection="0">
      <alignment horizontal="left" vertical="center" indent="1"/>
    </xf>
    <xf numFmtId="0" fontId="294" fillId="33" borderId="113" applyNumberFormat="0" applyProtection="0">
      <alignment horizontal="left" vertical="top" indent="1"/>
    </xf>
    <xf numFmtId="4" fontId="37" fillId="37" borderId="75" applyNumberFormat="0" applyProtection="0">
      <alignment horizontal="left" vertical="center" indent="1"/>
    </xf>
    <xf numFmtId="4" fontId="37" fillId="48" borderId="75" applyNumberFormat="0" applyProtection="0">
      <alignment horizontal="right" vertical="center"/>
    </xf>
    <xf numFmtId="4" fontId="37" fillId="128" borderId="75" applyNumberFormat="0" applyProtection="0">
      <alignment horizontal="right" vertical="center"/>
    </xf>
    <xf numFmtId="4" fontId="37" fillId="41" borderId="114" applyNumberFormat="0" applyProtection="0">
      <alignment horizontal="right" vertical="center"/>
    </xf>
    <xf numFmtId="4" fontId="37" fillId="99" borderId="75" applyNumberFormat="0" applyProtection="0">
      <alignment horizontal="right" vertical="center"/>
    </xf>
    <xf numFmtId="4" fontId="37" fillId="102" borderId="75" applyNumberFormat="0" applyProtection="0">
      <alignment horizontal="right" vertical="center"/>
    </xf>
    <xf numFmtId="4" fontId="37" fillId="47" borderId="75" applyNumberFormat="0" applyProtection="0">
      <alignment horizontal="right" vertical="center"/>
    </xf>
    <xf numFmtId="4" fontId="37" fillId="43" borderId="75" applyNumberFormat="0" applyProtection="0">
      <alignment horizontal="right" vertical="center"/>
    </xf>
    <xf numFmtId="4" fontId="37" fillId="129" borderId="75" applyNumberFormat="0" applyProtection="0">
      <alignment horizontal="right" vertical="center"/>
    </xf>
    <xf numFmtId="4" fontId="37" fillId="98" borderId="75" applyNumberFormat="0" applyProtection="0">
      <alignment horizontal="right" vertical="center"/>
    </xf>
    <xf numFmtId="4" fontId="37" fillId="130" borderId="114" applyNumberFormat="0" applyProtection="0">
      <alignment horizontal="left" vertical="center" indent="1"/>
    </xf>
    <xf numFmtId="4" fontId="4" fillId="44" borderId="114" applyNumberFormat="0" applyProtection="0">
      <alignment horizontal="left" vertical="center" indent="1"/>
    </xf>
    <xf numFmtId="4" fontId="4" fillId="44" borderId="114" applyNumberFormat="0" applyProtection="0">
      <alignment horizontal="left" vertical="center" indent="1"/>
    </xf>
    <xf numFmtId="4" fontId="37" fillId="131" borderId="75" applyNumberFormat="0" applyProtection="0">
      <alignment horizontal="right" vertical="center"/>
    </xf>
    <xf numFmtId="4" fontId="37" fillId="132" borderId="114" applyNumberFormat="0" applyProtection="0">
      <alignment horizontal="left" vertical="center" indent="1"/>
    </xf>
    <xf numFmtId="4" fontId="37" fillId="131" borderId="114" applyNumberFormat="0" applyProtection="0">
      <alignment horizontal="left" vertical="center" indent="1"/>
    </xf>
    <xf numFmtId="0" fontId="37" fillId="34" borderId="75" applyNumberFormat="0" applyProtection="0">
      <alignment horizontal="left" vertical="center" indent="1"/>
    </xf>
    <xf numFmtId="0" fontId="37" fillId="44" borderId="113" applyNumberFormat="0" applyProtection="0">
      <alignment horizontal="left" vertical="top" indent="1"/>
    </xf>
    <xf numFmtId="0" fontId="37" fillId="133" borderId="75" applyNumberFormat="0" applyProtection="0">
      <alignment horizontal="left" vertical="center" indent="1"/>
    </xf>
    <xf numFmtId="0" fontId="37" fillId="131" borderId="113" applyNumberFormat="0" applyProtection="0">
      <alignment horizontal="left" vertical="top" indent="1"/>
    </xf>
    <xf numFmtId="0" fontId="37" fillId="79" borderId="75" applyNumberFormat="0" applyProtection="0">
      <alignment horizontal="left" vertical="center" indent="1"/>
    </xf>
    <xf numFmtId="0" fontId="37" fillId="79" borderId="113" applyNumberFormat="0" applyProtection="0">
      <alignment horizontal="left" vertical="top" indent="1"/>
    </xf>
    <xf numFmtId="0" fontId="37" fillId="132" borderId="75" applyNumberFormat="0" applyProtection="0">
      <alignment horizontal="left" vertical="center" indent="1"/>
    </xf>
    <xf numFmtId="0" fontId="37" fillId="132" borderId="113" applyNumberFormat="0" applyProtection="0">
      <alignment horizontal="left" vertical="top" indent="1"/>
    </xf>
    <xf numFmtId="0" fontId="42" fillId="44" borderId="116" applyBorder="0"/>
    <xf numFmtId="4" fontId="142" fillId="31" borderId="113" applyNumberFormat="0" applyProtection="0">
      <alignment vertical="center"/>
    </xf>
    <xf numFmtId="4" fontId="313" fillId="21" borderId="28" applyNumberFormat="0" applyProtection="0">
      <alignment vertical="center"/>
    </xf>
    <xf numFmtId="4" fontId="142" fillId="34" borderId="113" applyNumberFormat="0" applyProtection="0">
      <alignment horizontal="left" vertical="center" indent="1"/>
    </xf>
    <xf numFmtId="0" fontId="142" fillId="31" borderId="113" applyNumberFormat="0" applyProtection="0">
      <alignment horizontal="left" vertical="top" indent="1"/>
    </xf>
    <xf numFmtId="4" fontId="37" fillId="0" borderId="75" applyNumberFormat="0" applyProtection="0">
      <alignment horizontal="right" vertical="center"/>
    </xf>
    <xf numFmtId="4" fontId="313" fillId="19" borderId="75" applyNumberFormat="0" applyProtection="0">
      <alignment horizontal="right" vertical="center"/>
    </xf>
    <xf numFmtId="4" fontId="37" fillId="37" borderId="75" applyNumberFormat="0" applyProtection="0">
      <alignment horizontal="left" vertical="center" indent="1"/>
    </xf>
    <xf numFmtId="0" fontId="142" fillId="131" borderId="113" applyNumberFormat="0" applyProtection="0">
      <alignment horizontal="left" vertical="top" indent="1"/>
    </xf>
    <xf numFmtId="4" fontId="314" fillId="110" borderId="114" applyNumberFormat="0" applyProtection="0">
      <alignment horizontal="left" vertical="center" indent="1"/>
    </xf>
    <xf numFmtId="0" fontId="37" fillId="134" borderId="28"/>
    <xf numFmtId="4" fontId="315" fillId="32" borderId="75" applyNumberFormat="0" applyProtection="0">
      <alignment horizontal="right" vertical="center"/>
    </xf>
    <xf numFmtId="0" fontId="307" fillId="114" borderId="109" applyNumberFormat="0" applyAlignment="0" applyProtection="0"/>
    <xf numFmtId="0" fontId="307" fillId="113" borderId="109" applyNumberFormat="0" applyAlignment="0" applyProtection="0"/>
    <xf numFmtId="0" fontId="307" fillId="113" borderId="109" applyNumberFormat="0" applyAlignment="0" applyProtection="0"/>
    <xf numFmtId="190" fontId="129" fillId="0" borderId="36" applyBorder="0"/>
    <xf numFmtId="182" fontId="26" fillId="94" borderId="36" applyBorder="0">
      <alignment horizontal="right"/>
    </xf>
    <xf numFmtId="182" fontId="26" fillId="0" borderId="36" applyBorder="0">
      <alignment horizontal="right"/>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41" fillId="0" borderId="37" applyNumberFormat="0" applyAlignment="0" applyProtection="0">
      <alignment horizontal="left" vertical="center"/>
    </xf>
    <xf numFmtId="0" fontId="78" fillId="0" borderId="32">
      <alignment horizontal="center"/>
    </xf>
    <xf numFmtId="0" fontId="78" fillId="0" borderId="32">
      <alignment horizontal="center"/>
    </xf>
    <xf numFmtId="203" fontId="4" fillId="0" borderId="36" applyFill="0"/>
    <xf numFmtId="3" fontId="151" fillId="21" borderId="79">
      <alignment horizontal="right"/>
    </xf>
    <xf numFmtId="9" fontId="4" fillId="21" borderId="48"/>
    <xf numFmtId="9" fontId="151" fillId="21" borderId="79"/>
    <xf numFmtId="15" fontId="277" fillId="23" borderId="28"/>
    <xf numFmtId="3" fontId="278" fillId="107" borderId="35" applyNumberFormat="0" applyBorder="0" applyAlignment="0">
      <alignment vertical="center"/>
    </xf>
    <xf numFmtId="0" fontId="54" fillId="34" borderId="10" applyNumberFormat="0" applyAlignment="0" applyProtection="0"/>
    <xf numFmtId="0" fontId="54" fillId="34" borderId="10" applyNumberFormat="0" applyAlignment="0" applyProtection="0"/>
    <xf numFmtId="0" fontId="54" fillId="32" borderId="10" applyNumberFormat="0" applyAlignment="0" applyProtection="0"/>
    <xf numFmtId="0" fontId="54" fillId="34" borderId="10" applyNumberFormat="0" applyAlignment="0" applyProtection="0"/>
    <xf numFmtId="0" fontId="54" fillId="34" borderId="10" applyNumberFormat="0" applyAlignment="0" applyProtection="0"/>
    <xf numFmtId="0" fontId="54" fillId="34" borderId="10" applyNumberFormat="0" applyAlignment="0" applyProtection="0"/>
    <xf numFmtId="0" fontId="54" fillId="34" borderId="10" applyNumberFormat="0" applyAlignment="0" applyProtection="0"/>
    <xf numFmtId="0" fontId="54" fillId="34" borderId="10" applyNumberFormat="0" applyAlignment="0" applyProtection="0"/>
    <xf numFmtId="0" fontId="54" fillId="34" borderId="10" applyNumberFormat="0" applyAlignment="0" applyProtection="0"/>
    <xf numFmtId="0" fontId="54" fillId="34" borderId="10" applyNumberFormat="0" applyAlignment="0" applyProtection="0"/>
    <xf numFmtId="0" fontId="54" fillId="34" borderId="10" applyNumberFormat="0" applyAlignment="0" applyProtection="0"/>
    <xf numFmtId="0" fontId="4" fillId="20" borderId="17" applyNumberFormat="0">
      <alignmen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0" fontId="41" fillId="0" borderId="33">
      <alignment horizontal="left" vertical="center"/>
    </xf>
    <xf numFmtId="310" fontId="273" fillId="15" borderId="28" applyNumberFormat="0" applyAlignment="0" applyProtection="0"/>
    <xf numFmtId="10" fontId="37" fillId="21" borderId="28" applyNumberFormat="0" applyBorder="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37" fillId="23" borderId="28" applyNumberFormat="0" applyAlignment="0">
      <protection locked="0"/>
    </xf>
    <xf numFmtId="0" fontId="37" fillId="15" borderId="107" applyNumberFormat="0" applyAlignment="0">
      <protection locked="0"/>
    </xf>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4" borderId="17" applyNumberFormat="0" applyAlignment="0" applyProtection="0"/>
    <xf numFmtId="0" fontId="75" fillId="34" borderId="17" applyNumberFormat="0" applyAlignment="0" applyProtection="0"/>
    <xf numFmtId="0" fontId="75" fillId="32" borderId="17" applyNumberFormat="0" applyAlignment="0" applyProtection="0"/>
    <xf numFmtId="0" fontId="75" fillId="34" borderId="17" applyNumberFormat="0" applyAlignment="0" applyProtection="0"/>
    <xf numFmtId="0" fontId="75" fillId="34" borderId="17" applyNumberFormat="0" applyAlignment="0" applyProtection="0"/>
    <xf numFmtId="0" fontId="75" fillId="34" borderId="17" applyNumberFormat="0" applyAlignment="0" applyProtection="0"/>
    <xf numFmtId="0" fontId="75" fillId="34" borderId="17" applyNumberFormat="0" applyAlignment="0" applyProtection="0"/>
    <xf numFmtId="0" fontId="75" fillId="34" borderId="17" applyNumberFormat="0" applyAlignment="0" applyProtection="0"/>
    <xf numFmtId="0" fontId="75" fillId="34" borderId="17" applyNumberFormat="0" applyAlignment="0" applyProtection="0"/>
    <xf numFmtId="0" fontId="75" fillId="34" borderId="17" applyNumberFormat="0" applyAlignment="0" applyProtection="0"/>
    <xf numFmtId="0" fontId="75" fillId="34" borderId="17" applyNumberFormat="0" applyAlignment="0" applyProtection="0"/>
    <xf numFmtId="0" fontId="78" fillId="0" borderId="32">
      <alignment horizontal="center"/>
    </xf>
    <xf numFmtId="0" fontId="78" fillId="0" borderId="32">
      <alignment horizontal="center"/>
    </xf>
    <xf numFmtId="0" fontId="305" fillId="81" borderId="28" applyNumberFormat="0" applyAlignment="0" applyProtection="0">
      <alignment horizontal="center" vertical="center"/>
    </xf>
    <xf numFmtId="0" fontId="265" fillId="26" borderId="2" applyBorder="0" applyProtection="0">
      <alignment horizontal="centerContinuous" vertical="center"/>
    </xf>
    <xf numFmtId="203" fontId="4" fillId="0" borderId="33" applyFill="0"/>
    <xf numFmtId="0" fontId="58" fillId="0" borderId="60" applyNumberFormat="0" applyFill="0" applyAlignment="0" applyProtection="0"/>
    <xf numFmtId="0" fontId="58" fillId="0" borderId="60" applyNumberFormat="0" applyFill="0" applyAlignment="0" applyProtection="0"/>
    <xf numFmtId="0" fontId="58" fillId="0" borderId="19" applyNumberFormat="0" applyFill="0" applyAlignment="0" applyProtection="0"/>
    <xf numFmtId="0" fontId="58" fillId="0" borderId="60" applyNumberFormat="0" applyFill="0" applyAlignment="0" applyProtection="0"/>
    <xf numFmtId="0" fontId="58" fillId="0" borderId="60" applyNumberFormat="0" applyFill="0" applyAlignment="0" applyProtection="0"/>
    <xf numFmtId="0" fontId="58" fillId="0" borderId="60" applyNumberFormat="0" applyFill="0" applyAlignment="0" applyProtection="0"/>
    <xf numFmtId="0" fontId="58" fillId="0" borderId="60" applyNumberFormat="0" applyFill="0" applyAlignment="0" applyProtection="0"/>
    <xf numFmtId="0" fontId="58" fillId="0" borderId="60" applyNumberFormat="0" applyFill="0" applyAlignment="0" applyProtection="0"/>
    <xf numFmtId="0" fontId="58" fillId="0" borderId="60" applyNumberFormat="0" applyFill="0" applyAlignment="0" applyProtection="0"/>
    <xf numFmtId="0" fontId="58" fillId="0" borderId="60" applyNumberFormat="0" applyFill="0" applyAlignment="0" applyProtection="0"/>
    <xf numFmtId="0" fontId="58" fillId="0" borderId="60" applyNumberFormat="0" applyFill="0" applyAlignment="0" applyProtection="0"/>
    <xf numFmtId="4" fontId="37" fillId="33" borderId="75" applyNumberFormat="0" applyProtection="0">
      <alignment vertical="center"/>
    </xf>
    <xf numFmtId="4" fontId="313" fillId="15" borderId="75" applyNumberFormat="0" applyProtection="0">
      <alignment vertical="center"/>
    </xf>
    <xf numFmtId="4" fontId="37" fillId="15" borderId="75" applyNumberFormat="0" applyProtection="0">
      <alignment horizontal="left" vertical="center" indent="1"/>
    </xf>
    <xf numFmtId="0" fontId="294" fillId="33" borderId="113" applyNumberFormat="0" applyProtection="0">
      <alignment horizontal="left" vertical="top" indent="1"/>
    </xf>
    <xf numFmtId="4" fontId="37" fillId="37" borderId="75" applyNumberFormat="0" applyProtection="0">
      <alignment horizontal="left" vertical="center" indent="1"/>
    </xf>
    <xf numFmtId="4" fontId="37" fillId="48" borderId="75" applyNumberFormat="0" applyProtection="0">
      <alignment horizontal="right" vertical="center"/>
    </xf>
    <xf numFmtId="4" fontId="37" fillId="128" borderId="75" applyNumberFormat="0" applyProtection="0">
      <alignment horizontal="right" vertical="center"/>
    </xf>
    <xf numFmtId="4" fontId="37" fillId="41" borderId="114" applyNumberFormat="0" applyProtection="0">
      <alignment horizontal="right" vertical="center"/>
    </xf>
    <xf numFmtId="4" fontId="37" fillId="99" borderId="75" applyNumberFormat="0" applyProtection="0">
      <alignment horizontal="right" vertical="center"/>
    </xf>
    <xf numFmtId="4" fontId="37" fillId="102" borderId="75" applyNumberFormat="0" applyProtection="0">
      <alignment horizontal="right" vertical="center"/>
    </xf>
    <xf numFmtId="4" fontId="37" fillId="47" borderId="75" applyNumberFormat="0" applyProtection="0">
      <alignment horizontal="right" vertical="center"/>
    </xf>
    <xf numFmtId="4" fontId="37" fillId="43" borderId="75" applyNumberFormat="0" applyProtection="0">
      <alignment horizontal="right" vertical="center"/>
    </xf>
    <xf numFmtId="4" fontId="37" fillId="129" borderId="75" applyNumberFormat="0" applyProtection="0">
      <alignment horizontal="right" vertical="center"/>
    </xf>
    <xf numFmtId="4" fontId="37" fillId="98" borderId="75" applyNumberFormat="0" applyProtection="0">
      <alignment horizontal="right" vertical="center"/>
    </xf>
    <xf numFmtId="4" fontId="37" fillId="130" borderId="114" applyNumberFormat="0" applyProtection="0">
      <alignment horizontal="left" vertical="center" indent="1"/>
    </xf>
    <xf numFmtId="4" fontId="4" fillId="44" borderId="114" applyNumberFormat="0" applyProtection="0">
      <alignment horizontal="left" vertical="center" indent="1"/>
    </xf>
    <xf numFmtId="4" fontId="4" fillId="44" borderId="114" applyNumberFormat="0" applyProtection="0">
      <alignment horizontal="left" vertical="center" indent="1"/>
    </xf>
    <xf numFmtId="4" fontId="37" fillId="131" borderId="75" applyNumberFormat="0" applyProtection="0">
      <alignment horizontal="right" vertical="center"/>
    </xf>
    <xf numFmtId="4" fontId="37" fillId="132" borderId="114" applyNumberFormat="0" applyProtection="0">
      <alignment horizontal="left" vertical="center" indent="1"/>
    </xf>
    <xf numFmtId="4" fontId="37" fillId="131" borderId="114" applyNumberFormat="0" applyProtection="0">
      <alignment horizontal="left" vertical="center" indent="1"/>
    </xf>
    <xf numFmtId="0" fontId="37" fillId="34" borderId="75" applyNumberFormat="0" applyProtection="0">
      <alignment horizontal="left" vertical="center" indent="1"/>
    </xf>
    <xf numFmtId="0" fontId="37" fillId="44" borderId="113" applyNumberFormat="0" applyProtection="0">
      <alignment horizontal="left" vertical="top" indent="1"/>
    </xf>
    <xf numFmtId="0" fontId="37" fillId="133" borderId="75" applyNumberFormat="0" applyProtection="0">
      <alignment horizontal="left" vertical="center" indent="1"/>
    </xf>
    <xf numFmtId="0" fontId="37" fillId="131" borderId="113" applyNumberFormat="0" applyProtection="0">
      <alignment horizontal="left" vertical="top" indent="1"/>
    </xf>
    <xf numFmtId="0" fontId="37" fillId="79" borderId="75" applyNumberFormat="0" applyProtection="0">
      <alignment horizontal="left" vertical="center" indent="1"/>
    </xf>
    <xf numFmtId="0" fontId="37" fillId="79" borderId="113" applyNumberFormat="0" applyProtection="0">
      <alignment horizontal="left" vertical="top" indent="1"/>
    </xf>
    <xf numFmtId="0" fontId="37" fillId="132" borderId="75" applyNumberFormat="0" applyProtection="0">
      <alignment horizontal="left" vertical="center" indent="1"/>
    </xf>
    <xf numFmtId="0" fontId="37" fillId="132" borderId="113" applyNumberFormat="0" applyProtection="0">
      <alignment horizontal="left" vertical="top" indent="1"/>
    </xf>
    <xf numFmtId="0" fontId="42" fillId="44" borderId="116" applyBorder="0"/>
    <xf numFmtId="4" fontId="142" fillId="31" borderId="113" applyNumberFormat="0" applyProtection="0">
      <alignment vertical="center"/>
    </xf>
    <xf numFmtId="4" fontId="313" fillId="21" borderId="28" applyNumberFormat="0" applyProtection="0">
      <alignment vertical="center"/>
    </xf>
    <xf numFmtId="4" fontId="142" fillId="34" borderId="113" applyNumberFormat="0" applyProtection="0">
      <alignment horizontal="left" vertical="center" indent="1"/>
    </xf>
    <xf numFmtId="0" fontId="142" fillId="31" borderId="113" applyNumberFormat="0" applyProtection="0">
      <alignment horizontal="left" vertical="top" indent="1"/>
    </xf>
    <xf numFmtId="4" fontId="37" fillId="0" borderId="75" applyNumberFormat="0" applyProtection="0">
      <alignment horizontal="right" vertical="center"/>
    </xf>
    <xf numFmtId="4" fontId="313" fillId="19" borderId="75" applyNumberFormat="0" applyProtection="0">
      <alignment horizontal="right" vertical="center"/>
    </xf>
    <xf numFmtId="4" fontId="37" fillId="37" borderId="75" applyNumberFormat="0" applyProtection="0">
      <alignment horizontal="left" vertical="center" indent="1"/>
    </xf>
    <xf numFmtId="0" fontId="142" fillId="131" borderId="113" applyNumberFormat="0" applyProtection="0">
      <alignment horizontal="left" vertical="top" indent="1"/>
    </xf>
    <xf numFmtId="4" fontId="314" fillId="110" borderId="114" applyNumberFormat="0" applyProtection="0">
      <alignment horizontal="left" vertical="center" indent="1"/>
    </xf>
    <xf numFmtId="0" fontId="37" fillId="134" borderId="28"/>
    <xf numFmtId="4" fontId="315" fillId="32" borderId="75" applyNumberFormat="0" applyProtection="0">
      <alignment horizontal="right" vertical="center"/>
    </xf>
    <xf numFmtId="0" fontId="133" fillId="0" borderId="32" applyNumberFormat="0" applyFont="0" applyFill="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0" fontId="54" fillId="32" borderId="10" applyNumberFormat="0" applyAlignment="0" applyProtection="0"/>
    <xf numFmtId="43" fontId="4" fillId="0" borderId="0" applyFont="0" applyFill="0" applyBorder="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70" fillId="30" borderId="10" applyNumberForma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4" fillId="31" borderId="79" applyNumberFormat="0" applyFon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5" fillId="32" borderId="17" applyNumberFormat="0" applyAlignment="0" applyProtection="0"/>
    <xf numFmtId="0" fontId="78" fillId="0" borderId="8">
      <alignment horizontal="center"/>
    </xf>
    <xf numFmtId="0" fontId="265" fillId="26" borderId="2" applyBorder="0" applyProtection="0">
      <alignment horizontal="centerContinuous" vertical="center"/>
    </xf>
    <xf numFmtId="0" fontId="265" fillId="26" borderId="2" applyBorder="0" applyProtection="0">
      <alignment horizontal="centerContinuous" vertical="center"/>
    </xf>
    <xf numFmtId="0" fontId="83" fillId="0" borderId="18" applyFill="0" applyBorder="0" applyProtection="0">
      <alignment horizontal="left" vertical="top"/>
    </xf>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0" fontId="58" fillId="0" borderId="19" applyNumberFormat="0" applyFill="0" applyAlignment="0" applyProtection="0"/>
    <xf numFmtId="198" fontId="4" fillId="0" borderId="2" applyBorder="0" applyProtection="0">
      <alignment horizontal="right"/>
    </xf>
    <xf numFmtId="198" fontId="4" fillId="0" borderId="2" applyBorder="0" applyProtection="0">
      <alignment horizontal="right"/>
    </xf>
    <xf numFmtId="43" fontId="2" fillId="0" borderId="0" applyFont="0" applyFill="0" applyBorder="0" applyAlignment="0" applyProtection="0"/>
    <xf numFmtId="44" fontId="2" fillId="0" borderId="0" applyFont="0" applyFill="0" applyBorder="0" applyAlignment="0" applyProtection="0"/>
    <xf numFmtId="5" fontId="78" fillId="0" borderId="36"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3" fillId="0" borderId="0" applyFont="0" applyFill="0" applyBorder="0" applyAlignment="0" applyProtection="0"/>
    <xf numFmtId="43" fontId="22"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1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37"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 fillId="0" borderId="0" applyFont="0" applyFill="0" applyBorder="0" applyAlignment="0" applyProtection="0"/>
    <xf numFmtId="43" fontId="37" fillId="0" borderId="0" applyFont="0" applyFill="0" applyBorder="0" applyAlignment="0" applyProtection="0"/>
    <xf numFmtId="8" fontId="148" fillId="0" borderId="28"/>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37" fillId="0" borderId="0" applyFont="0" applyFill="0" applyBorder="0" applyAlignment="0" applyProtection="0"/>
    <xf numFmtId="8" fontId="123" fillId="0" borderId="0" applyFill="0" applyBorder="0">
      <alignment horizontal="right"/>
    </xf>
    <xf numFmtId="0" fontId="169" fillId="0" borderId="18">
      <alignment horizontal="left" vertical="top"/>
    </xf>
    <xf numFmtId="0" fontId="172" fillId="0" borderId="18">
      <alignment horizontal="left" vertical="top"/>
    </xf>
    <xf numFmtId="5" fontId="178" fillId="0" borderId="0">
      <alignment horizontal="left"/>
    </xf>
    <xf numFmtId="10" fontId="37" fillId="21" borderId="118" applyNumberFormat="0" applyBorder="0" applyAlignment="0" applyProtection="0"/>
    <xf numFmtId="10" fontId="37" fillId="21" borderId="118" applyNumberFormat="0" applyBorder="0" applyAlignment="0" applyProtection="0"/>
    <xf numFmtId="41" fontId="21" fillId="91" borderId="62" applyNumberFormat="0" applyAlignment="0"/>
    <xf numFmtId="41" fontId="2" fillId="0" borderId="65" applyNumberFormat="0" applyFont="0" applyFill="0" applyAlignment="0"/>
    <xf numFmtId="0" fontId="4" fillId="0" borderId="0" applyFill="0"/>
    <xf numFmtId="0" fontId="4" fillId="0" borderId="0"/>
    <xf numFmtId="0" fontId="4" fillId="31" borderId="94" applyNumberFormat="0" applyFont="0" applyAlignment="0" applyProtection="0"/>
    <xf numFmtId="0" fontId="4" fillId="31" borderId="94" applyNumberFormat="0" applyFont="0" applyAlignment="0" applyProtection="0"/>
    <xf numFmtId="0" fontId="4" fillId="31" borderId="94" applyNumberFormat="0" applyFont="0" applyAlignment="0" applyProtection="0"/>
    <xf numFmtId="0" fontId="4" fillId="31" borderId="94" applyNumberFormat="0" applyFont="0" applyAlignment="0" applyProtection="0"/>
    <xf numFmtId="0" fontId="4" fillId="31" borderId="94" applyNumberFormat="0" applyFont="0" applyAlignment="0" applyProtection="0"/>
    <xf numFmtId="0" fontId="4" fillId="31" borderId="94" applyNumberFormat="0" applyFont="0" applyAlignment="0" applyProtection="0"/>
    <xf numFmtId="0" fontId="4" fillId="31" borderId="94" applyNumberFormat="0" applyFont="0" applyAlignment="0" applyProtection="0"/>
    <xf numFmtId="0" fontId="4" fillId="31" borderId="94" applyNumberFormat="0" applyFont="0" applyAlignment="0" applyProtection="0"/>
    <xf numFmtId="0" fontId="4" fillId="31" borderId="94" applyNumberFormat="0" applyFont="0" applyAlignment="0" applyProtection="0"/>
    <xf numFmtId="0" fontId="4" fillId="31" borderId="94" applyNumberFormat="0" applyFont="0" applyAlignment="0" applyProtection="0"/>
    <xf numFmtId="0" fontId="4" fillId="31" borderId="94" applyNumberFormat="0" applyFont="0" applyAlignment="0" applyProtection="0"/>
    <xf numFmtId="0" fontId="4" fillId="31" borderId="94" applyNumberFormat="0" applyFont="0" applyAlignment="0" applyProtection="0"/>
    <xf numFmtId="0" fontId="4" fillId="31" borderId="94" applyNumberFormat="0" applyFont="0" applyAlignment="0" applyProtection="0"/>
    <xf numFmtId="0" fontId="4" fillId="31" borderId="94" applyNumberFormat="0" applyFont="0" applyAlignment="0" applyProtection="0"/>
    <xf numFmtId="0" fontId="4" fillId="31" borderId="94" applyNumberFormat="0" applyFont="0" applyAlignment="0" applyProtection="0"/>
    <xf numFmtId="0" fontId="4" fillId="31" borderId="94" applyNumberFormat="0" applyFont="0" applyAlignment="0" applyProtection="0"/>
    <xf numFmtId="0" fontId="4" fillId="31" borderId="94" applyNumberFormat="0" applyFont="0" applyAlignment="0" applyProtection="0"/>
    <xf numFmtId="0" fontId="4" fillId="31" borderId="94" applyNumberFormat="0" applyFont="0" applyAlignment="0" applyProtection="0"/>
    <xf numFmtId="0" fontId="4" fillId="31" borderId="94" applyNumberFormat="0" applyFont="0" applyAlignment="0" applyProtection="0"/>
    <xf numFmtId="0" fontId="4" fillId="31" borderId="94" applyNumberFormat="0" applyFont="0" applyAlignment="0" applyProtection="0"/>
    <xf numFmtId="185" fontId="37" fillId="0" borderId="0"/>
    <xf numFmtId="185" fontId="37" fillId="0" borderId="0"/>
  </cellStyleXfs>
  <cellXfs count="226">
    <xf numFmtId="0" fontId="0" fillId="0" borderId="0" xfId="0"/>
    <xf numFmtId="0" fontId="1" fillId="0" borderId="0" xfId="0" applyFont="1"/>
    <xf numFmtId="165" fontId="3" fillId="0" borderId="0" xfId="1" applyNumberFormat="1" applyFont="1" applyBorder="1" applyAlignment="1">
      <alignment horizontal="right" vertical="center"/>
    </xf>
    <xf numFmtId="43" fontId="0" fillId="0" borderId="0" xfId="0" applyNumberFormat="1"/>
    <xf numFmtId="49" fontId="3" fillId="0" borderId="0" xfId="2" applyNumberFormat="1" applyFont="1" applyAlignment="1">
      <alignment horizontal="right" vertical="center"/>
    </xf>
    <xf numFmtId="0" fontId="5" fillId="0" borderId="0" xfId="4"/>
    <xf numFmtId="0" fontId="0" fillId="2" borderId="0" xfId="0" applyFill="1"/>
    <xf numFmtId="9" fontId="0" fillId="0" borderId="0" xfId="0" applyNumberFormat="1"/>
    <xf numFmtId="44" fontId="0" fillId="0" borderId="0" xfId="3" applyFont="1"/>
    <xf numFmtId="0" fontId="9" fillId="0" borderId="0" xfId="0" applyFont="1"/>
    <xf numFmtId="0" fontId="10" fillId="0" borderId="0" xfId="0" applyFont="1"/>
    <xf numFmtId="0" fontId="11" fillId="3" borderId="0" xfId="0" applyFont="1" applyFill="1" applyAlignment="1">
      <alignment horizontal="center"/>
    </xf>
    <xf numFmtId="38" fontId="10" fillId="5" borderId="0" xfId="0" applyNumberFormat="1" applyFont="1" applyFill="1" applyAlignment="1">
      <alignment horizontal="right"/>
    </xf>
    <xf numFmtId="38" fontId="10" fillId="4" borderId="0" xfId="0" applyNumberFormat="1" applyFont="1" applyFill="1" applyAlignment="1">
      <alignment horizontal="right"/>
    </xf>
    <xf numFmtId="0" fontId="10" fillId="4" borderId="0" xfId="0" applyFont="1" applyFill="1" applyAlignment="1">
      <alignment horizontal="right"/>
    </xf>
    <xf numFmtId="0" fontId="10" fillId="6" borderId="0" xfId="0" applyFont="1" applyFill="1" applyAlignment="1">
      <alignment horizontal="left" wrapText="1"/>
    </xf>
    <xf numFmtId="0" fontId="10" fillId="6" borderId="0" xfId="0" applyFont="1" applyFill="1" applyAlignment="1">
      <alignment horizontal="left"/>
    </xf>
    <xf numFmtId="0" fontId="10" fillId="0" borderId="0" xfId="0" applyFont="1" applyAlignment="1">
      <alignment horizontal="left"/>
    </xf>
    <xf numFmtId="166" fontId="10" fillId="0" borderId="0" xfId="0" applyNumberFormat="1" applyFont="1" applyAlignment="1">
      <alignment horizontal="right" wrapText="1"/>
    </xf>
    <xf numFmtId="166" fontId="10" fillId="7" borderId="0" xfId="0" applyNumberFormat="1" applyFont="1" applyFill="1" applyAlignment="1">
      <alignment horizontal="right" wrapText="1"/>
    </xf>
    <xf numFmtId="0" fontId="10" fillId="0" borderId="0" xfId="0" applyFont="1" applyAlignment="1">
      <alignment horizontal="left" wrapText="1"/>
    </xf>
    <xf numFmtId="0" fontId="12" fillId="4" borderId="0" xfId="0" applyFont="1" applyFill="1" applyAlignment="1">
      <alignment horizontal="left"/>
    </xf>
    <xf numFmtId="0" fontId="13" fillId="8" borderId="0" xfId="0" applyFont="1" applyFill="1" applyAlignment="1">
      <alignment horizontal="center" vertical="top"/>
    </xf>
    <xf numFmtId="0" fontId="14" fillId="9" borderId="0" xfId="0" applyFont="1" applyFill="1" applyAlignment="1">
      <alignment horizontal="center" vertical="top"/>
    </xf>
    <xf numFmtId="0" fontId="15" fillId="10" borderId="0" xfId="0" applyFont="1" applyFill="1" applyAlignment="1">
      <alignment horizontal="center" vertical="top"/>
    </xf>
    <xf numFmtId="38" fontId="10" fillId="0" borderId="0" xfId="0" applyNumberFormat="1" applyFont="1" applyAlignment="1">
      <alignment horizontal="right" wrapText="1"/>
    </xf>
    <xf numFmtId="38" fontId="10" fillId="7" borderId="0" xfId="0" applyNumberFormat="1" applyFont="1" applyFill="1" applyAlignment="1">
      <alignment horizontal="right" wrapText="1"/>
    </xf>
    <xf numFmtId="14" fontId="0" fillId="0" borderId="0" xfId="0" applyNumberFormat="1"/>
    <xf numFmtId="0" fontId="16" fillId="0" borderId="0" xfId="7"/>
    <xf numFmtId="167" fontId="16" fillId="0" borderId="0" xfId="7" applyNumberFormat="1"/>
    <xf numFmtId="2" fontId="0" fillId="0" borderId="0" xfId="0" applyNumberFormat="1"/>
    <xf numFmtId="0" fontId="19" fillId="11" borderId="0" xfId="9"/>
    <xf numFmtId="0" fontId="18" fillId="0" borderId="1" xfId="8"/>
    <xf numFmtId="0" fontId="0" fillId="0" borderId="2" xfId="0" applyBorder="1"/>
    <xf numFmtId="0" fontId="0" fillId="0" borderId="3" xfId="0" applyBorder="1"/>
    <xf numFmtId="3" fontId="0" fillId="0" borderId="0" xfId="0" applyNumberFormat="1"/>
    <xf numFmtId="40" fontId="10" fillId="0" borderId="0" xfId="0" applyNumberFormat="1" applyFont="1" applyAlignment="1">
      <alignment horizontal="right" wrapText="1"/>
    </xf>
    <xf numFmtId="40" fontId="10" fillId="7" borderId="0" xfId="0" applyNumberFormat="1" applyFont="1" applyFill="1" applyAlignment="1">
      <alignment horizontal="right" wrapText="1"/>
    </xf>
    <xf numFmtId="0" fontId="0" fillId="6" borderId="0" xfId="0" applyFill="1" applyAlignment="1">
      <alignment horizontal="left" wrapText="1"/>
    </xf>
    <xf numFmtId="166" fontId="10" fillId="12" borderId="0" xfId="0" applyNumberFormat="1" applyFont="1" applyFill="1" applyAlignment="1">
      <alignment horizontal="right" wrapText="1"/>
    </xf>
    <xf numFmtId="38" fontId="10" fillId="4" borderId="0" xfId="0" applyNumberFormat="1" applyFont="1" applyFill="1" applyAlignment="1">
      <alignment horizontal="right" wrapText="1"/>
    </xf>
    <xf numFmtId="38" fontId="10" fillId="5" borderId="0" xfId="0" applyNumberFormat="1" applyFont="1" applyFill="1" applyAlignment="1">
      <alignment horizontal="right" wrapText="1"/>
    </xf>
    <xf numFmtId="0" fontId="25" fillId="0" borderId="0" xfId="0" applyFont="1"/>
    <xf numFmtId="0" fontId="21" fillId="0" borderId="0" xfId="0" applyFont="1" applyAlignment="1">
      <alignment horizontal="left"/>
    </xf>
    <xf numFmtId="0" fontId="23" fillId="0" borderId="0" xfId="0" applyFont="1" applyAlignment="1">
      <alignment horizontal="left"/>
    </xf>
    <xf numFmtId="0" fontId="24" fillId="0" borderId="0" xfId="0" applyFont="1" applyAlignment="1">
      <alignment horizontal="left"/>
    </xf>
    <xf numFmtId="0" fontId="21" fillId="0" borderId="0" xfId="0" applyFont="1" applyAlignment="1">
      <alignment horizontal="left" wrapText="1"/>
    </xf>
    <xf numFmtId="0" fontId="21" fillId="0" borderId="0" xfId="10" applyFont="1" applyFill="1" applyBorder="1" applyAlignment="1" applyProtection="1">
      <alignment horizontal="left" wrapText="1"/>
    </xf>
    <xf numFmtId="0" fontId="21" fillId="0" borderId="0" xfId="10" applyFont="1" applyFill="1" applyBorder="1" applyAlignment="1" applyProtection="1">
      <alignment horizontal="left"/>
    </xf>
    <xf numFmtId="0" fontId="21" fillId="0" borderId="0" xfId="0" applyFont="1" applyAlignment="1">
      <alignment horizontal="left" vertical="center" wrapText="1"/>
    </xf>
    <xf numFmtId="168" fontId="21" fillId="0" borderId="0" xfId="0" applyNumberFormat="1" applyFont="1" applyAlignment="1">
      <alignment horizontal="left"/>
    </xf>
    <xf numFmtId="2" fontId="24" fillId="0" borderId="0" xfId="0" applyNumberFormat="1" applyFont="1"/>
    <xf numFmtId="0" fontId="24" fillId="0" borderId="0" xfId="0" applyFont="1"/>
    <xf numFmtId="0" fontId="21" fillId="0" borderId="0" xfId="0" applyFont="1" applyAlignment="1">
      <alignment horizontal="right"/>
    </xf>
    <xf numFmtId="2" fontId="21" fillId="0" borderId="0" xfId="0" applyNumberFormat="1" applyFont="1" applyAlignment="1">
      <alignment horizontal="right"/>
    </xf>
    <xf numFmtId="2" fontId="24" fillId="0" borderId="0" xfId="0" applyNumberFormat="1" applyFont="1" applyAlignment="1">
      <alignment horizontal="right"/>
    </xf>
    <xf numFmtId="0" fontId="24" fillId="0" borderId="0" xfId="0" applyFont="1" applyAlignment="1">
      <alignment horizontal="right"/>
    </xf>
    <xf numFmtId="169" fontId="24" fillId="0" borderId="0" xfId="0" applyNumberFormat="1" applyFont="1" applyAlignment="1">
      <alignment horizontal="left"/>
    </xf>
    <xf numFmtId="170" fontId="21" fillId="0" borderId="0" xfId="0" applyNumberFormat="1" applyFont="1" applyAlignment="1">
      <alignment horizontal="right"/>
    </xf>
    <xf numFmtId="44" fontId="1" fillId="0" borderId="0" xfId="3" applyFont="1"/>
    <xf numFmtId="44" fontId="0" fillId="0" borderId="0" xfId="3" applyFont="1" applyBorder="1"/>
    <xf numFmtId="44" fontId="1" fillId="0" borderId="0" xfId="3" applyFont="1" applyBorder="1"/>
    <xf numFmtId="44" fontId="0" fillId="0" borderId="0" xfId="3" applyFont="1" applyFill="1"/>
    <xf numFmtId="44" fontId="1" fillId="0" borderId="0" xfId="3" applyFont="1" applyFill="1"/>
    <xf numFmtId="44" fontId="0" fillId="0" borderId="0" xfId="0" applyNumberFormat="1"/>
    <xf numFmtId="0" fontId="26" fillId="0" borderId="0" xfId="2" applyFont="1" applyAlignment="1">
      <alignment horizontal="left"/>
    </xf>
    <xf numFmtId="0" fontId="21" fillId="0" borderId="0" xfId="2" applyFont="1" applyAlignment="1">
      <alignment horizontal="left" wrapText="1"/>
    </xf>
    <xf numFmtId="171" fontId="21" fillId="0" borderId="0" xfId="2" applyNumberFormat="1" applyFont="1" applyAlignment="1">
      <alignment horizontal="left" wrapText="1"/>
    </xf>
    <xf numFmtId="0" fontId="27" fillId="0" borderId="0" xfId="10" applyNumberFormat="1" applyFont="1" applyBorder="1" applyAlignment="1" applyProtection="1">
      <alignment horizontal="left" wrapText="1"/>
    </xf>
    <xf numFmtId="0" fontId="21" fillId="0" borderId="0" xfId="2" applyFont="1"/>
    <xf numFmtId="172" fontId="21" fillId="0" borderId="0" xfId="2" applyNumberFormat="1" applyFont="1" applyAlignment="1">
      <alignment horizontal="left" wrapText="1"/>
    </xf>
    <xf numFmtId="173" fontId="21" fillId="0" borderId="0" xfId="2" applyNumberFormat="1" applyFont="1" applyAlignment="1">
      <alignment horizontal="right"/>
    </xf>
    <xf numFmtId="174" fontId="21" fillId="0" borderId="0" xfId="2" applyNumberFormat="1" applyFont="1" applyAlignment="1">
      <alignment horizontal="right"/>
    </xf>
    <xf numFmtId="174" fontId="28" fillId="0" borderId="0" xfId="2" applyNumberFormat="1" applyFont="1" applyAlignment="1">
      <alignment horizontal="right" wrapText="1"/>
    </xf>
    <xf numFmtId="174" fontId="29" fillId="0" borderId="0" xfId="2" applyNumberFormat="1" applyFont="1" applyAlignment="1">
      <alignment horizontal="right"/>
    </xf>
    <xf numFmtId="0" fontId="21" fillId="0" borderId="0" xfId="2" applyFont="1" applyAlignment="1">
      <alignment horizontal="right"/>
    </xf>
    <xf numFmtId="174" fontId="30" fillId="0" borderId="0" xfId="2" applyNumberFormat="1" applyFont="1" applyAlignment="1">
      <alignment horizontal="right"/>
    </xf>
    <xf numFmtId="0" fontId="26" fillId="0" borderId="0" xfId="2" applyFont="1" applyAlignment="1">
      <alignment horizontal="left" wrapText="1"/>
    </xf>
    <xf numFmtId="0" fontId="24" fillId="0" borderId="0" xfId="0" applyFont="1" applyAlignment="1">
      <alignment horizontal="left" wrapText="1"/>
    </xf>
    <xf numFmtId="0" fontId="21" fillId="0" borderId="0" xfId="12" applyFont="1" applyAlignment="1">
      <alignment horizontal="left" wrapText="1"/>
    </xf>
    <xf numFmtId="0" fontId="24" fillId="0" borderId="0" xfId="15" applyFont="1" applyAlignment="1">
      <alignment horizontal="left" wrapText="1"/>
    </xf>
    <xf numFmtId="2" fontId="21" fillId="0" borderId="0" xfId="2" applyNumberFormat="1" applyFont="1" applyAlignment="1">
      <alignment horizontal="left" wrapText="1"/>
    </xf>
    <xf numFmtId="2" fontId="21" fillId="0" borderId="0" xfId="10" applyNumberFormat="1" applyFont="1" applyBorder="1" applyAlignment="1" applyProtection="1">
      <alignment horizontal="left" wrapText="1"/>
    </xf>
    <xf numFmtId="173" fontId="24" fillId="0" borderId="0" xfId="0" applyNumberFormat="1" applyFont="1"/>
    <xf numFmtId="4" fontId="24" fillId="0" borderId="0" xfId="0" applyNumberFormat="1" applyFont="1"/>
    <xf numFmtId="2" fontId="21" fillId="0" borderId="0" xfId="2" applyNumberFormat="1" applyFont="1" applyAlignment="1">
      <alignment horizontal="right"/>
    </xf>
    <xf numFmtId="0" fontId="24" fillId="0" borderId="0" xfId="0" applyFont="1" applyAlignment="1">
      <alignment horizontal="right" wrapText="1"/>
    </xf>
    <xf numFmtId="168" fontId="21" fillId="0" borderId="0" xfId="2" applyNumberFormat="1" applyFont="1" applyAlignment="1">
      <alignment horizontal="right"/>
    </xf>
    <xf numFmtId="2" fontId="21" fillId="0" borderId="0" xfId="2" applyNumberFormat="1" applyFont="1"/>
    <xf numFmtId="2" fontId="4" fillId="0" borderId="0" xfId="16" applyNumberFormat="1"/>
    <xf numFmtId="173" fontId="21" fillId="0" borderId="0" xfId="0" applyNumberFormat="1" applyFont="1" applyAlignment="1">
      <alignment horizontal="right"/>
    </xf>
    <xf numFmtId="4" fontId="21" fillId="0" borderId="0" xfId="2" applyNumberFormat="1" applyFont="1" applyAlignment="1">
      <alignment horizontal="right"/>
    </xf>
    <xf numFmtId="0" fontId="31" fillId="0" borderId="0" xfId="17"/>
    <xf numFmtId="0" fontId="32" fillId="14" borderId="0" xfId="17" applyFont="1" applyFill="1" applyAlignment="1">
      <alignment horizontal="left"/>
    </xf>
    <xf numFmtId="0" fontId="32" fillId="14" borderId="0" xfId="17" applyFont="1" applyFill="1" applyAlignment="1">
      <alignment horizontal="right"/>
    </xf>
    <xf numFmtId="172" fontId="31" fillId="0" borderId="0" xfId="17" applyNumberFormat="1" applyAlignment="1">
      <alignment horizontal="left"/>
    </xf>
    <xf numFmtId="175" fontId="31" fillId="0" borderId="0" xfId="17" applyNumberFormat="1"/>
    <xf numFmtId="176" fontId="31" fillId="0" borderId="0" xfId="17" applyNumberFormat="1" applyAlignment="1">
      <alignment horizontal="right"/>
    </xf>
    <xf numFmtId="177" fontId="31" fillId="0" borderId="0" xfId="17" applyNumberFormat="1"/>
    <xf numFmtId="175" fontId="31" fillId="0" borderId="0" xfId="17" applyNumberFormat="1" applyAlignment="1">
      <alignment horizontal="right"/>
    </xf>
    <xf numFmtId="177" fontId="31" fillId="0" borderId="0" xfId="17" applyNumberFormat="1" applyAlignment="1">
      <alignment horizontal="right"/>
    </xf>
    <xf numFmtId="0" fontId="32" fillId="0" borderId="0" xfId="17" applyFont="1"/>
    <xf numFmtId="0" fontId="32" fillId="0" borderId="0" xfId="17" applyFont="1" applyAlignment="1">
      <alignment horizontal="right"/>
    </xf>
    <xf numFmtId="0" fontId="31" fillId="0" borderId="4" xfId="17" applyBorder="1"/>
    <xf numFmtId="175" fontId="31" fillId="0" borderId="4" xfId="17" applyNumberFormat="1" applyBorder="1" applyAlignment="1">
      <alignment horizontal="right"/>
    </xf>
    <xf numFmtId="0" fontId="32" fillId="0" borderId="0" xfId="0" applyFont="1"/>
    <xf numFmtId="0" fontId="32" fillId="0" borderId="0" xfId="0" applyFont="1" applyAlignment="1">
      <alignment horizontal="right"/>
    </xf>
    <xf numFmtId="175" fontId="0" fillId="0" borderId="0" xfId="0" applyNumberFormat="1" applyAlignment="1">
      <alignment horizontal="right"/>
    </xf>
    <xf numFmtId="0" fontId="0" fillId="0" borderId="4" xfId="0" applyBorder="1"/>
    <xf numFmtId="175" fontId="0" fillId="0" borderId="4" xfId="0" applyNumberFormat="1" applyBorder="1" applyAlignment="1">
      <alignment horizontal="right"/>
    </xf>
    <xf numFmtId="0" fontId="32" fillId="14" borderId="0" xfId="0" applyFont="1" applyFill="1" applyAlignment="1">
      <alignment horizontal="left"/>
    </xf>
    <xf numFmtId="0" fontId="32" fillId="14" borderId="0" xfId="0" applyFont="1" applyFill="1" applyAlignment="1">
      <alignment horizontal="right"/>
    </xf>
    <xf numFmtId="172" fontId="0" fillId="0" borderId="0" xfId="0" applyNumberFormat="1" applyAlignment="1">
      <alignment horizontal="left"/>
    </xf>
    <xf numFmtId="177" fontId="0" fillId="0" borderId="0" xfId="0" applyNumberFormat="1" applyAlignment="1">
      <alignment horizontal="right"/>
    </xf>
    <xf numFmtId="0" fontId="33" fillId="0" borderId="0" xfId="17" applyFont="1"/>
    <xf numFmtId="178" fontId="31" fillId="0" borderId="0" xfId="17" applyNumberFormat="1"/>
    <xf numFmtId="0" fontId="34" fillId="0" borderId="0" xfId="18"/>
    <xf numFmtId="1" fontId="0" fillId="0" borderId="0" xfId="0" applyNumberFormat="1"/>
    <xf numFmtId="179" fontId="1" fillId="13" borderId="0" xfId="0" applyNumberFormat="1" applyFont="1" applyFill="1" applyAlignment="1">
      <alignment horizontal="right"/>
    </xf>
    <xf numFmtId="179" fontId="1" fillId="7" borderId="0" xfId="0" applyNumberFormat="1" applyFont="1" applyFill="1" applyAlignment="1">
      <alignment horizontal="right"/>
    </xf>
    <xf numFmtId="166" fontId="10" fillId="0" borderId="0" xfId="0" applyNumberFormat="1" applyFont="1" applyAlignment="1">
      <alignment horizontal="right"/>
    </xf>
    <xf numFmtId="166" fontId="10" fillId="5" borderId="0" xfId="0" applyNumberFormat="1" applyFont="1" applyFill="1" applyAlignment="1">
      <alignment horizontal="right"/>
    </xf>
    <xf numFmtId="180" fontId="10" fillId="0" borderId="0" xfId="0" applyNumberFormat="1" applyFont="1" applyAlignment="1">
      <alignment horizontal="right"/>
    </xf>
    <xf numFmtId="180" fontId="10" fillId="5" borderId="0" xfId="0" applyNumberFormat="1" applyFont="1" applyFill="1" applyAlignment="1">
      <alignment horizontal="right"/>
    </xf>
    <xf numFmtId="181" fontId="1" fillId="7" borderId="0" xfId="0" applyNumberFormat="1" applyFont="1" applyFill="1" applyAlignment="1">
      <alignment horizontal="right"/>
    </xf>
    <xf numFmtId="181" fontId="1" fillId="13" borderId="0" xfId="0" applyNumberFormat="1" applyFont="1" applyFill="1" applyAlignment="1">
      <alignment horizontal="right"/>
    </xf>
    <xf numFmtId="17" fontId="25" fillId="0" borderId="0" xfId="0" applyNumberFormat="1" applyFont="1"/>
    <xf numFmtId="16" fontId="0" fillId="0" borderId="0" xfId="0" applyNumberFormat="1"/>
    <xf numFmtId="10" fontId="0" fillId="0" borderId="0" xfId="0" applyNumberFormat="1"/>
    <xf numFmtId="172" fontId="35" fillId="0" borderId="0" xfId="17" applyNumberFormat="1" applyFont="1" applyBorder="1"/>
    <xf numFmtId="15" fontId="0" fillId="0" borderId="0" xfId="0" applyNumberFormat="1"/>
    <xf numFmtId="171" fontId="0" fillId="0" borderId="0" xfId="0" applyNumberFormat="1"/>
    <xf numFmtId="182" fontId="38" fillId="0" borderId="0" xfId="21" applyNumberFormat="1" applyFont="1" applyAlignment="1">
      <alignment horizontal="right"/>
    </xf>
    <xf numFmtId="182" fontId="38" fillId="0" borderId="0" xfId="22" applyFont="1" applyFill="1" applyAlignment="1">
      <alignment horizontal="right"/>
    </xf>
    <xf numFmtId="182" fontId="37" fillId="0" borderId="0" xfId="22" applyFont="1" applyFill="1" applyAlignment="1">
      <alignment horizontal="right"/>
    </xf>
    <xf numFmtId="14" fontId="1" fillId="0" borderId="0" xfId="0" applyNumberFormat="1" applyFont="1"/>
    <xf numFmtId="0" fontId="36" fillId="0" borderId="5" xfId="19"/>
    <xf numFmtId="0" fontId="5" fillId="0" borderId="6" xfId="20"/>
    <xf numFmtId="17" fontId="0" fillId="0" borderId="0" xfId="0" applyNumberFormat="1"/>
    <xf numFmtId="0" fontId="4" fillId="18" borderId="0" xfId="0" applyFont="1" applyFill="1"/>
    <xf numFmtId="4" fontId="0" fillId="0" borderId="0" xfId="0" applyNumberFormat="1"/>
    <xf numFmtId="3" fontId="1" fillId="0" borderId="0" xfId="0" applyNumberFormat="1" applyFont="1"/>
    <xf numFmtId="0" fontId="1" fillId="2" borderId="0" xfId="0" applyFont="1" applyFill="1"/>
    <xf numFmtId="17" fontId="1" fillId="0" borderId="0" xfId="0" applyNumberFormat="1" applyFont="1"/>
    <xf numFmtId="0" fontId="94" fillId="0" borderId="0" xfId="0" applyFont="1"/>
    <xf numFmtId="0" fontId="0" fillId="0" borderId="0" xfId="0" applyAlignment="1">
      <alignment wrapText="1"/>
    </xf>
    <xf numFmtId="0" fontId="5" fillId="0" borderId="0" xfId="4" applyBorder="1"/>
    <xf numFmtId="16" fontId="1" fillId="0" borderId="0" xfId="0" applyNumberFormat="1" applyFont="1"/>
    <xf numFmtId="0" fontId="5" fillId="0" borderId="0" xfId="4" applyFill="1"/>
    <xf numFmtId="0" fontId="36" fillId="0" borderId="5" xfId="19" applyFill="1"/>
    <xf numFmtId="1" fontId="36" fillId="0" borderId="5" xfId="19" applyNumberFormat="1"/>
    <xf numFmtId="0" fontId="5" fillId="0" borderId="0" xfId="4" applyNumberFormat="1"/>
    <xf numFmtId="0" fontId="1" fillId="0" borderId="3" xfId="0" applyFont="1" applyBorder="1"/>
    <xf numFmtId="0" fontId="1" fillId="0" borderId="2" xfId="0" applyFont="1" applyBorder="1"/>
    <xf numFmtId="201" fontId="0" fillId="0" borderId="0" xfId="0" applyNumberFormat="1"/>
    <xf numFmtId="0" fontId="97" fillId="61" borderId="0" xfId="19" applyFont="1" applyFill="1" applyBorder="1"/>
    <xf numFmtId="0" fontId="98" fillId="0" borderId="0" xfId="0" applyFont="1"/>
    <xf numFmtId="0" fontId="98" fillId="63" borderId="0" xfId="570" applyFont="1" applyFill="1"/>
    <xf numFmtId="0" fontId="98" fillId="0" borderId="0" xfId="0" applyFont="1" applyAlignment="1">
      <alignment horizontal="left"/>
    </xf>
    <xf numFmtId="0" fontId="101" fillId="65" borderId="24" xfId="571" applyFont="1" applyFill="1" applyBorder="1"/>
    <xf numFmtId="0" fontId="103" fillId="65" borderId="24" xfId="572" applyFont="1" applyFill="1" applyBorder="1"/>
    <xf numFmtId="0" fontId="105" fillId="67" borderId="26" xfId="573" applyFont="1" applyFill="1" applyBorder="1">
      <alignment horizontal="center"/>
    </xf>
    <xf numFmtId="0" fontId="98" fillId="68" borderId="0" xfId="568" applyFont="1" applyFill="1" applyBorder="1"/>
    <xf numFmtId="0" fontId="98" fillId="70" borderId="0" xfId="574" applyFont="1" applyFill="1"/>
    <xf numFmtId="0" fontId="107" fillId="0" borderId="0" xfId="575" applyFont="1" applyFill="1" applyBorder="1"/>
    <xf numFmtId="0" fontId="98" fillId="2" borderId="0" xfId="569" applyFont="1" applyFill="1" applyBorder="1"/>
    <xf numFmtId="0" fontId="108" fillId="0" borderId="0" xfId="18" applyFont="1" applyFill="1" applyBorder="1"/>
    <xf numFmtId="0" fontId="98" fillId="71" borderId="0" xfId="0" applyFont="1" applyFill="1"/>
    <xf numFmtId="0" fontId="98" fillId="72" borderId="0" xfId="0" applyFont="1" applyFill="1"/>
    <xf numFmtId="0" fontId="98" fillId="73" borderId="0" xfId="0" applyFont="1" applyFill="1"/>
    <xf numFmtId="0" fontId="98" fillId="74" borderId="0" xfId="0" applyFont="1" applyFill="1"/>
    <xf numFmtId="201" fontId="98" fillId="68" borderId="0" xfId="3" applyNumberFormat="1" applyFont="1" applyFill="1" applyBorder="1"/>
    <xf numFmtId="9" fontId="103" fillId="65" borderId="24" xfId="567" applyFont="1" applyFill="1" applyBorder="1"/>
    <xf numFmtId="201" fontId="107" fillId="0" borderId="0" xfId="3" applyNumberFormat="1" applyFont="1" applyFill="1" applyBorder="1"/>
    <xf numFmtId="0" fontId="34" fillId="0" borderId="0" xfId="18" applyNumberFormat="1"/>
    <xf numFmtId="0" fontId="107" fillId="0" borderId="0" xfId="567" applyNumberFormat="1" applyFont="1" applyFill="1" applyBorder="1"/>
    <xf numFmtId="0" fontId="107" fillId="0" borderId="0" xfId="3" applyNumberFormat="1" applyFont="1" applyFill="1" applyBorder="1"/>
    <xf numFmtId="9" fontId="103" fillId="65" borderId="0" xfId="567" applyFont="1" applyFill="1" applyBorder="1"/>
    <xf numFmtId="10" fontId="107" fillId="0" borderId="0" xfId="567" applyNumberFormat="1" applyFont="1" applyFill="1" applyBorder="1"/>
    <xf numFmtId="202" fontId="98" fillId="68" borderId="0" xfId="3" applyNumberFormat="1" applyFont="1" applyFill="1" applyBorder="1"/>
    <xf numFmtId="14" fontId="98" fillId="68" borderId="0" xfId="3" applyNumberFormat="1" applyFont="1" applyFill="1" applyBorder="1"/>
    <xf numFmtId="0" fontId="98" fillId="68" borderId="0" xfId="3" applyNumberFormat="1" applyFont="1" applyFill="1" applyBorder="1"/>
    <xf numFmtId="2" fontId="98" fillId="68" borderId="0" xfId="3" applyNumberFormat="1" applyFont="1" applyFill="1" applyBorder="1"/>
    <xf numFmtId="200" fontId="107" fillId="0" borderId="0" xfId="567" applyNumberFormat="1" applyFont="1" applyFill="1" applyBorder="1"/>
    <xf numFmtId="44" fontId="98" fillId="68" borderId="0" xfId="3" applyFont="1" applyFill="1" applyBorder="1"/>
    <xf numFmtId="44" fontId="103" fillId="65" borderId="24" xfId="3" applyFont="1" applyFill="1" applyBorder="1"/>
    <xf numFmtId="44" fontId="107" fillId="0" borderId="0" xfId="3" applyFont="1" applyFill="1" applyBorder="1"/>
    <xf numFmtId="4" fontId="1" fillId="0" borderId="0" xfId="0" applyNumberFormat="1" applyFont="1"/>
    <xf numFmtId="9" fontId="316" fillId="65" borderId="0" xfId="567" applyFont="1" applyFill="1" applyBorder="1"/>
    <xf numFmtId="0" fontId="0" fillId="0" borderId="99" xfId="0" applyBorder="1"/>
    <xf numFmtId="0" fontId="5" fillId="0" borderId="99" xfId="4" applyBorder="1"/>
    <xf numFmtId="200" fontId="0" fillId="0" borderId="0" xfId="0" applyNumberFormat="1"/>
    <xf numFmtId="49" fontId="317" fillId="0" borderId="0" xfId="6" applyNumberFormat="1" applyFont="1" applyFill="1" applyBorder="1" applyAlignment="1">
      <alignment vertical="top"/>
    </xf>
    <xf numFmtId="49" fontId="318" fillId="0" borderId="0" xfId="6" applyNumberFormat="1" applyFont="1" applyFill="1" applyBorder="1"/>
    <xf numFmtId="49" fontId="319" fillId="0" borderId="0" xfId="0" applyNumberFormat="1" applyFont="1"/>
    <xf numFmtId="0" fontId="98" fillId="135" borderId="0" xfId="0" applyFont="1" applyFill="1"/>
    <xf numFmtId="0" fontId="320" fillId="0" borderId="0" xfId="0" applyFont="1"/>
    <xf numFmtId="0" fontId="320" fillId="0" borderId="0" xfId="0" applyFont="1" applyAlignment="1">
      <alignment horizontal="left"/>
    </xf>
    <xf numFmtId="49" fontId="98" fillId="0" borderId="0" xfId="0" applyNumberFormat="1" applyFont="1" applyAlignment="1">
      <alignment horizontal="left"/>
    </xf>
    <xf numFmtId="324" fontId="98" fillId="0" borderId="0" xfId="0" applyNumberFormat="1" applyFont="1" applyAlignment="1">
      <alignment horizontal="left"/>
    </xf>
    <xf numFmtId="0" fontId="0" fillId="0" borderId="0" xfId="0" applyFill="1"/>
    <xf numFmtId="1" fontId="0" fillId="0" borderId="0" xfId="0" applyNumberFormat="1" applyFill="1"/>
    <xf numFmtId="4" fontId="1" fillId="0" borderId="0" xfId="0" applyNumberFormat="1" applyFont="1" applyFill="1"/>
    <xf numFmtId="3" fontId="1" fillId="0" borderId="0" xfId="0" applyNumberFormat="1" applyFont="1" applyFill="1"/>
    <xf numFmtId="0" fontId="1" fillId="0" borderId="0" xfId="0" applyFont="1" applyFill="1"/>
    <xf numFmtId="14" fontId="319" fillId="0" borderId="0" xfId="0" applyNumberFormat="1" applyFont="1" applyAlignment="1">
      <alignment horizontal="left"/>
    </xf>
    <xf numFmtId="0" fontId="319" fillId="0" borderId="0" xfId="0" applyFont="1" applyAlignment="1">
      <alignment horizontal="left"/>
    </xf>
    <xf numFmtId="0" fontId="98" fillId="135" borderId="0" xfId="0" applyFont="1" applyFill="1" applyAlignment="1">
      <alignment horizontal="left" vertical="top" wrapText="1"/>
    </xf>
    <xf numFmtId="0" fontId="32" fillId="0" borderId="0" xfId="0" applyFont="1" applyAlignment="1"/>
    <xf numFmtId="0" fontId="32" fillId="0" borderId="4" xfId="0" applyFont="1" applyBorder="1" applyAlignment="1"/>
    <xf numFmtId="0" fontId="32" fillId="0" borderId="0" xfId="17" applyFont="1" applyAlignment="1"/>
    <xf numFmtId="0" fontId="32" fillId="0" borderId="4" xfId="17" applyFont="1" applyBorder="1" applyAlignment="1"/>
    <xf numFmtId="0" fontId="0" fillId="0" borderId="0" xfId="0" applyAlignment="1">
      <alignment horizontal="center" wrapText="1"/>
    </xf>
    <xf numFmtId="0" fontId="0" fillId="0" borderId="0" xfId="0" applyAlignment="1">
      <alignment horizontal="center" vertical="center" wrapText="1"/>
    </xf>
    <xf numFmtId="0" fontId="0" fillId="2" borderId="0" xfId="0" applyFill="1" applyAlignment="1">
      <alignment horizontal="center" wrapText="1"/>
    </xf>
    <xf numFmtId="0" fontId="10" fillId="4" borderId="0" xfId="0" applyFont="1" applyFill="1" applyAlignment="1">
      <alignment horizontal="right" wrapText="1"/>
    </xf>
    <xf numFmtId="0" fontId="11" fillId="3" borderId="0" xfId="0" applyFont="1" applyFill="1" applyAlignment="1">
      <alignment horizontal="center"/>
    </xf>
    <xf numFmtId="0" fontId="11" fillId="3" borderId="0" xfId="0" applyFont="1" applyFill="1" applyAlignment="1">
      <alignment horizontal="left"/>
    </xf>
    <xf numFmtId="38" fontId="10" fillId="4" borderId="0" xfId="0" applyNumberFormat="1" applyFont="1" applyFill="1" applyAlignment="1">
      <alignment horizontal="right" wrapText="1"/>
    </xf>
    <xf numFmtId="38" fontId="10" fillId="5" borderId="0" xfId="0" applyNumberFormat="1" applyFont="1" applyFill="1" applyAlignment="1">
      <alignment horizontal="right" wrapText="1"/>
    </xf>
    <xf numFmtId="0" fontId="10" fillId="13" borderId="0" xfId="0" applyFont="1" applyFill="1" applyAlignment="1">
      <alignment wrapText="1"/>
    </xf>
    <xf numFmtId="0" fontId="10" fillId="7" borderId="0" xfId="0" applyFont="1" applyFill="1" applyAlignment="1">
      <alignment horizontal="left" wrapText="1"/>
    </xf>
    <xf numFmtId="0" fontId="10" fillId="0" borderId="0" xfId="0" applyFont="1" applyAlignment="1">
      <alignment horizontal="left"/>
    </xf>
    <xf numFmtId="0" fontId="1" fillId="7" borderId="0" xfId="0" applyFont="1" applyFill="1" applyAlignment="1">
      <alignment horizontal="left"/>
    </xf>
    <xf numFmtId="0" fontId="10" fillId="4" borderId="0" xfId="0" applyFont="1" applyFill="1" applyAlignment="1">
      <alignment horizontal="right"/>
    </xf>
    <xf numFmtId="0" fontId="11" fillId="3" borderId="0" xfId="0" applyFont="1" applyFill="1" applyAlignment="1">
      <alignment horizontal="center" wrapText="1"/>
    </xf>
  </cellXfs>
  <cellStyles count="23993">
    <cellStyle name="_x0013_" xfId="604" xr:uid="{02AC316A-1F12-4EF0-AB9E-C42176C62FB6}"/>
    <cellStyle name=" 1" xfId="40" xr:uid="{C1700094-7291-4C1A-95D6-DCDB7A2980B6}"/>
    <cellStyle name=" 1 2" xfId="41" xr:uid="{A32AB761-FDC2-4903-BCF5-4A5D6CD10421}"/>
    <cellStyle name=" 1 2 2" xfId="42" xr:uid="{8E4F0019-5882-4835-96D8-28458C5E7596}"/>
    <cellStyle name=" 1 2 3" xfId="287" xr:uid="{50C5FDE7-F58D-443E-84DC-9EDCB5AEF850}"/>
    <cellStyle name=" 1 3" xfId="43" xr:uid="{D9065532-1A22-421E-819F-4B438FD9F1DD}"/>
    <cellStyle name=" 1 3 2" xfId="44" xr:uid="{78150A54-8CCD-4BEF-839B-89D55603C50F}"/>
    <cellStyle name=" 1 4" xfId="45" xr:uid="{4233F41B-2E3D-4FAE-A24B-4628BB75B04A}"/>
    <cellStyle name=" 1 5" xfId="605" xr:uid="{A5A0A581-6743-4AAB-8A94-EB06B93F3072}"/>
    <cellStyle name=" 1_29(d) - Gas extensions -tariffs" xfId="46" xr:uid="{151571BD-3E79-4CBD-AFE4-74969ED15EBB}"/>
    <cellStyle name=" Writer Import]_x000d__x000a_Display Dialog=No_x000d__x000a__x000d__x000a_[Horizontal Arrange]_x000d__x000a_Dimensions Interlocking=Yes_x000d__x000a_Sum Hierarchy=Yes_x000d__x000a_Generate" xfId="581" xr:uid="{A7180A51-E2D9-478C-9162-3EA76552E3C1}"/>
    <cellStyle name=" Writer Import]_x000d__x000a_Display Dialog=No_x000d__x000a__x000d__x000a_[Horizontal Arrange]_x000d__x000a_Dimensions Interlocking=Yes_x000d__x000a_Sum Hierarchy=Yes_x000d__x000a_Generate 2" xfId="606" xr:uid="{CFD3BFB3-1291-4291-9774-B2ED57E0533A}"/>
    <cellStyle name=" Writer Import]_x000d__x000a_Display Dialog=No_x000d__x000a__x000d__x000a_[Horizontal Arrange]_x000d__x000a_Dimensions Interlocking=Yes_x000d__x000a_Sum Hierarchy=Yes_x000d__x000a_Generate 3" xfId="607" xr:uid="{4D517397-5F24-4A09-9EAC-43A0CBE0BBE8}"/>
    <cellStyle name=" Writer Import]_x000d__x000a_Display Dialog=No_x000d__x000a__x000d__x000a_[Horizontal Arrange]_x000d__x000a_Dimensions Interlocking=Yes_x000d__x000a_Sum Hierarchy=Yes_x000d__x000a_Generate 4" xfId="2258" xr:uid="{B4B37543-18BC-40EC-9074-6CE45F2C9CB4}"/>
    <cellStyle name="_x000a_bidires=100_x000d_" xfId="21" xr:uid="{F60F341B-8011-453F-8325-CCF7548706B4}"/>
    <cellStyle name="_x000a_shell=progma" xfId="6489" xr:uid="{3724FBAD-45B8-46A9-BFE9-F2D30A6C8878}"/>
    <cellStyle name="_x000a_shell=progma 2" xfId="6490" xr:uid="{18331459-2E31-4C84-AB9C-20E24C331313}"/>
    <cellStyle name="_x000a_shell=progma_2900 - Facilities" xfId="6491" xr:uid="{6CBEF531-44A4-4AB1-9738-ABA76272C6F5}"/>
    <cellStyle name="%" xfId="608" xr:uid="{CEF1E3FC-D01A-44A0-87A4-50B476E3395F}"/>
    <cellStyle name="% 2" xfId="6492" xr:uid="{31E9E6F2-DA37-4E48-ACBE-4B5A2B215E24}"/>
    <cellStyle name="%_2900 - Facilities" xfId="6493" xr:uid="{71132FA4-2612-4E3A-B125-F9DF60E961BC}"/>
    <cellStyle name="%_5520 &amp; 7500 - Distribu Business" xfId="6494" xr:uid="{22A72101-7B28-4BA9-A5AD-1D7D90569316}"/>
    <cellStyle name="%_6050 Ret, 7550 WED, 7600 AETV" xfId="6495" xr:uid="{7E2ED8CA-FE2C-4E4B-B1B9-D2694F2492A6}"/>
    <cellStyle name="%_Fleet Overhead Costs" xfId="6496" xr:uid="{F4843A56-D4AF-48EB-9698-B03C026880A4}"/>
    <cellStyle name="%_Fleet Overhead Costs_2900 - Facilities" xfId="6497" xr:uid="{9255F044-83BD-4945-89A0-B6838D393BB6}"/>
    <cellStyle name="%_Fleet Overhead Costs_5520 &amp; 7500 - Distribu Business" xfId="6498" xr:uid="{07C18BEF-9CD2-4D95-A1E1-DA615ED75B18}"/>
    <cellStyle name="%_Fleet Overhead Costs_6050 Ret, 7550 WED, 7600 AETV" xfId="6499" xr:uid="{043F9EBC-278C-4FF1-9799-6A287A708C28}"/>
    <cellStyle name="%_Fleet Overhead Costs_Settings" xfId="6500" xr:uid="{4A9E74C8-E471-40DB-9DFF-FA7DDDC1FB5B}"/>
    <cellStyle name="%_Opening  Detailed BS" xfId="6501" xr:uid="{D447C88F-0A19-4F23-9202-9B1D057FA128}"/>
    <cellStyle name="%_OUTPUT DB" xfId="6502" xr:uid="{454805B4-CBDC-485A-BEA3-801D7A742444}"/>
    <cellStyle name="%_OUTPUT EB" xfId="6503" xr:uid="{4E4CE6AA-BD31-4F26-9AD0-DC9F60D8D7D6}"/>
    <cellStyle name="%_Settings" xfId="6504" xr:uid="{9CE3B65C-5EE8-43F4-B9FC-9DD3284B5B29}"/>
    <cellStyle name="(Comma)" xfId="609" xr:uid="{57319683-68A0-4773-AF5A-627DBA9EDFB1}"/>
    <cellStyle name="??" xfId="6505" xr:uid="{4A0C03BA-28C0-4504-9531-476F97568334}"/>
    <cellStyle name="?? [0.00]_PERSONAL" xfId="6506" xr:uid="{744DAE33-CB18-44C9-B9CC-2349F2231ACE}"/>
    <cellStyle name="?? [0]_VERA" xfId="6507" xr:uid="{4C2EF4F6-961E-42A5-9E17-165CC78423EF}"/>
    <cellStyle name="?? 10" xfId="6508" xr:uid="{2C497B9D-53E6-4E63-B668-1F0364BAB704}"/>
    <cellStyle name="?? 10 2" xfId="6509" xr:uid="{31C3FEAA-7607-40BE-B2BE-1029633ED437}"/>
    <cellStyle name="?? 11" xfId="6510" xr:uid="{0100344A-212D-485B-AB7B-CFCA328C2082}"/>
    <cellStyle name="?? 12" xfId="6511" xr:uid="{DF8FEA44-8662-4D1A-BF4F-1F29A4D143C4}"/>
    <cellStyle name="?? 13" xfId="6512" xr:uid="{208D6B2A-4462-4074-99CB-40AFFFCC3393}"/>
    <cellStyle name="?? 14" xfId="6513" xr:uid="{0AB82C81-0349-4377-BE5C-302CD0E98036}"/>
    <cellStyle name="?? 15" xfId="6514" xr:uid="{575C51DF-CA4F-447B-B213-1587390FCD13}"/>
    <cellStyle name="?? 16" xfId="6515" xr:uid="{02E8644A-B259-45E9-839E-1EB1AC8791E0}"/>
    <cellStyle name="?? 17" xfId="6516" xr:uid="{B136432B-E1B9-4C42-8F65-882C073F927C}"/>
    <cellStyle name="?? 18" xfId="6517" xr:uid="{26A54CF6-68EA-4044-89EC-EC8EFC65D9E6}"/>
    <cellStyle name="?? 19" xfId="6518" xr:uid="{8F21861A-275B-45DC-90AC-F28FADD47848}"/>
    <cellStyle name="?? 2" xfId="6519" xr:uid="{978E7CB3-5087-457D-BA8A-26A1B1664270}"/>
    <cellStyle name="?? 2 2" xfId="6520" xr:uid="{0E8E7B78-6FF9-4A88-823D-B7971D532EF5}"/>
    <cellStyle name="?? 2 2 2" xfId="6521" xr:uid="{B894F858-FD43-4BBD-A0D1-5F95588EC157}"/>
    <cellStyle name="?? 2 3" xfId="6522" xr:uid="{682EED6D-E495-48CB-B7AF-59F5750BD5DE}"/>
    <cellStyle name="?? 20" xfId="6523" xr:uid="{74FCB490-CA10-4815-9E2E-283159AD5320}"/>
    <cellStyle name="?? 21" xfId="6524" xr:uid="{37077F24-52EF-4361-B5E7-0A6E7B1439A6}"/>
    <cellStyle name="?? 22" xfId="6525" xr:uid="{8B488393-FCCD-4845-ABE7-A511C1E9FB32}"/>
    <cellStyle name="?? 23" xfId="6526" xr:uid="{59AF78AB-2A39-446E-9C45-C605F3CC2CCA}"/>
    <cellStyle name="?? 24" xfId="6527" xr:uid="{56CA7438-7E73-486F-8D98-59B8DDF0363C}"/>
    <cellStyle name="?? 25" xfId="6528" xr:uid="{E853A32B-7EC7-4095-AB07-111579B05848}"/>
    <cellStyle name="?? 26" xfId="6529" xr:uid="{8B212C96-297F-428D-A5E2-D2AC138BC564}"/>
    <cellStyle name="?? 27" xfId="6530" xr:uid="{728CB9B3-7A53-4B4C-9B21-509834D56B90}"/>
    <cellStyle name="?? 28" xfId="6531" xr:uid="{A9B3E2E3-C525-4C86-8DC1-767394376546}"/>
    <cellStyle name="?? 29" xfId="6532" xr:uid="{F87B785E-2A89-471B-A013-29BC527D3968}"/>
    <cellStyle name="?? 3" xfId="6533" xr:uid="{D69F4413-441F-47C8-BF20-076DEEDF2D19}"/>
    <cellStyle name="?? 3 2" xfId="6534" xr:uid="{0EA94730-7121-4EEB-BDAF-7D93EE7FDE6A}"/>
    <cellStyle name="?? 30" xfId="6535" xr:uid="{CEF7F869-D765-445D-A03C-57A2DE5FC25C}"/>
    <cellStyle name="?? 30 2" xfId="6536" xr:uid="{1F7A13BA-ABED-41BC-BFCC-4933B2073E60}"/>
    <cellStyle name="?? 31" xfId="6537" xr:uid="{42786D9B-262D-4342-AA2F-39CA7C72CDF1}"/>
    <cellStyle name="?? 32" xfId="6538" xr:uid="{9DFDC77F-8591-4607-BB02-025982460C13}"/>
    <cellStyle name="?? 33" xfId="6539" xr:uid="{4CB241B9-5789-4C63-AD8A-332880FB1F3F}"/>
    <cellStyle name="?? 34" xfId="6540" xr:uid="{F17B6FA4-24AB-4E3E-BB59-F5C36A5189EA}"/>
    <cellStyle name="?? 35" xfId="6541" xr:uid="{81283F74-0A9E-4FEA-A29A-990BB348B3D3}"/>
    <cellStyle name="?? 36" xfId="6542" xr:uid="{57411535-BB24-405B-A682-02BA9E60BF4E}"/>
    <cellStyle name="?? 37" xfId="6543" xr:uid="{C1820ACF-1B39-4F71-8C95-154A4F9097D5}"/>
    <cellStyle name="?? 38" xfId="6544" xr:uid="{D0524803-4BBE-4B13-8813-086FDB53BCD6}"/>
    <cellStyle name="?? 4" xfId="6545" xr:uid="{4CACD7D1-E31D-413A-A6EF-DD8C2273487B}"/>
    <cellStyle name="?? 4 2" xfId="6546" xr:uid="{8DFE5B77-B029-46C0-87D6-3A23CAB087D2}"/>
    <cellStyle name="?? 5" xfId="6547" xr:uid="{C2DC7300-BF2E-4818-BF92-D6DE3906CB49}"/>
    <cellStyle name="?? 5 2" xfId="6548" xr:uid="{2134079F-A094-4F59-8478-9C5D00F9EA44}"/>
    <cellStyle name="?? 6" xfId="6549" xr:uid="{EF84BBBC-6CED-4637-913B-C84F5E5B8910}"/>
    <cellStyle name="?? 6 2" xfId="6550" xr:uid="{5A2B5A2B-7D64-4266-B5C0-F8A102429942}"/>
    <cellStyle name="?? 7" xfId="6551" xr:uid="{C405A9B2-3A8C-487A-8E64-48C8368E5650}"/>
    <cellStyle name="?? 7 2" xfId="6552" xr:uid="{ECB5F785-0C84-44A5-8F7B-A5B456859C56}"/>
    <cellStyle name="?? 8" xfId="6553" xr:uid="{AE3430E9-EDFA-4CF7-8E16-2A86CC403F04}"/>
    <cellStyle name="?? 8 2" xfId="6554" xr:uid="{13CD6BB2-75B1-4F3A-B2C8-E16F1120D78C}"/>
    <cellStyle name="?? 9" xfId="6555" xr:uid="{2D7CE52F-02CC-41A0-B91D-599C4775B437}"/>
    <cellStyle name="?? 9 2" xfId="6556" xr:uid="{523AAF2E-C7BD-4AF5-B076-286A2994BFF7}"/>
    <cellStyle name="???? [0.00]_PERSONAL" xfId="6557" xr:uid="{6356834F-3285-4F96-A086-58291B28136F}"/>
    <cellStyle name="?????_VERA" xfId="6558" xr:uid="{D3BA77AA-8A34-415A-AB95-2BEE4B624A07}"/>
    <cellStyle name="????_PERSONAL" xfId="6559" xr:uid="{814D69A8-2B34-4500-AEAC-F24E3830477A}"/>
    <cellStyle name="??_NW-#30111685-v3-Revenue_Calc_Apr_10" xfId="6560" xr:uid="{D566D056-B061-4FA3-9AD7-5276D27AC8A1}"/>
    <cellStyle name="_x0013__1106 v1.4 MGH Corporate Model Hybrid v5c" xfId="610" xr:uid="{A9AE6E81-9B75-4B4B-90D5-0A0B6EADF057}"/>
    <cellStyle name="_141702_1" xfId="611" xr:uid="{590E7F20-7449-4065-9E6C-22FA6AB14FB9}"/>
    <cellStyle name="_141702_1 2" xfId="612" xr:uid="{AB036E43-F336-4E6D-AD1D-F1BCE6741296}"/>
    <cellStyle name="_141702_1_7. Ass" xfId="613" xr:uid="{626B58C9-9DF7-419E-8936-229CAE6BB329}"/>
    <cellStyle name="_141702_1_BoardN_FO" xfId="614" xr:uid="{13E4FAE2-92BD-4CE1-BB47-7ADD8825BBA1}"/>
    <cellStyle name="_141702_1_CashFQtrlyN_FO" xfId="615" xr:uid="{65CD13AB-55C5-45D5-BA7A-FDAC98604F39}"/>
    <cellStyle name="_141702_1_CashFQtrlyN_FO 2" xfId="616" xr:uid="{7FC3A72C-6D6B-4420-A629-A7B26B6049C2}"/>
    <cellStyle name="_141702_1_CPI&amp;Int_FA" xfId="617" xr:uid="{A4A8C49B-98D6-456D-AC90-4EB58DA0AA0C}"/>
    <cellStyle name="_141702_1_Equity_Divs_Debt_FA" xfId="618" xr:uid="{993B2891-0A37-4D94-92F9-7FC061359979}"/>
    <cellStyle name="_2010-2015 Summary" xfId="619" xr:uid="{8B5D2E4B-F3C9-4DEF-8D2B-00977C0845A7}"/>
    <cellStyle name="_284268_1" xfId="620" xr:uid="{144A4F94-AF4D-4472-ACD6-C0FBB19078B8}"/>
    <cellStyle name="_284268_1_7. Ass" xfId="621" xr:uid="{026A3BEE-22E4-4997-89A5-EAFF1CF2D8DD}"/>
    <cellStyle name="_284268_1_BoardN_FO" xfId="622" xr:uid="{DA80AA04-5DFD-46E9-A464-E48ACF81FB5D}"/>
    <cellStyle name="_284268_1_BoardN_FO 2" xfId="623" xr:uid="{9B4A8D84-9070-450F-886E-014ACA975373}"/>
    <cellStyle name="_284268_1_CashFQtrlyN_FO" xfId="624" xr:uid="{D223D3CB-0929-4A2C-BDC8-D6D3E7555864}"/>
    <cellStyle name="_284268_1_CashFQtrlyN_FO 2" xfId="625" xr:uid="{EE0B2BEB-AD0C-4D03-9DC3-A6B2DC8113E4}"/>
    <cellStyle name="_284268_1_CPI&amp;Int_FA" xfId="626" xr:uid="{ABA67866-62A7-46F7-963E-762B4B13C797}"/>
    <cellStyle name="_284268_1_Equity_Divs_Debt_FA" xfId="627" xr:uid="{10E6DD38-6A63-4448-8349-5938D7EE5029}"/>
    <cellStyle name="_3GIS model v2.77" xfId="6561" xr:uid="{E439B7F6-3862-4101-88BA-27C32DE25484}"/>
    <cellStyle name="_3GIS model v2.77_Distribution Business_Retail Fin Perform " xfId="47" xr:uid="{F4D8676A-6C86-47B4-A7CA-36DE2593B889}"/>
    <cellStyle name="_3GIS model v2.77_Fleet Overhead Costs" xfId="6562" xr:uid="{CE10006C-C1C3-432F-A34F-8EB502A51CE1}"/>
    <cellStyle name="_3GIS model v2.77_Fleet Overhead Costs 2" xfId="6563" xr:uid="{E111CF55-1F8E-454A-8438-D76A2DB2C74B}"/>
    <cellStyle name="_3GIS model v2.77_Fleet Overhead Costs 2_Retail Fin Perform " xfId="48" xr:uid="{A7FE6C1C-B17B-4851-BAD2-C01C11E1E08D}"/>
    <cellStyle name="_3GIS model v2.77_Fleet Overhead Costs_Retail Fin Perform " xfId="49" xr:uid="{FFC6031A-6A3B-4A2D-B8D2-0BD9C66F8077}"/>
    <cellStyle name="_3GIS model v2.77_Forecast 2_Retail Fin Perform " xfId="50" xr:uid="{722BC20F-A978-4DAB-8381-F2DF188BDF37}"/>
    <cellStyle name="_3GIS model v2.77_Forecast_Retail Fin Perform " xfId="51" xr:uid="{F952FAAB-F4E7-4F5E-BD2C-44C23123911F}"/>
    <cellStyle name="_3GIS model v2.77_Funding &amp; Cashflow_1_Retail Fin Perform " xfId="52" xr:uid="{50A18608-0CF4-4FCC-903D-ADD67DE7ACDD}"/>
    <cellStyle name="_3GIS model v2.77_Funding &amp; Cashflow_Retail Fin Perform " xfId="53" xr:uid="{3832E8F7-C289-435A-9B43-7A02089213A7}"/>
    <cellStyle name="_3GIS model v2.77_Group P&amp;L_1_Retail Fin Perform " xfId="54" xr:uid="{3C643FEA-D1B9-4336-B2C3-6D87FE3BF278}"/>
    <cellStyle name="_3GIS model v2.77_Group P&amp;L_Retail Fin Perform " xfId="55" xr:uid="{F0C83A6F-CC30-41EF-A184-FD2DE63FBB8E}"/>
    <cellStyle name="_3GIS model v2.77_Opening  Detailed BS" xfId="6564" xr:uid="{C545F446-7D9C-4311-9244-84B50546C370}"/>
    <cellStyle name="_3GIS model v2.77_Opening  Detailed BS_Retail Fin Perform " xfId="56" xr:uid="{85176D53-312F-46D9-8368-9DE77FD2CCAE}"/>
    <cellStyle name="_3GIS model v2.77_OUTPUT DB" xfId="6565" xr:uid="{E7418079-BFDB-49D6-9C79-89D109829CF7}"/>
    <cellStyle name="_3GIS model v2.77_OUTPUT DB_Retail Fin Perform " xfId="57" xr:uid="{5FC4CF62-5196-4700-8688-5A5D101A9193}"/>
    <cellStyle name="_3GIS model v2.77_OUTPUT EB" xfId="6566" xr:uid="{5DE6C149-6D70-4F79-B70F-DD64C8263D66}"/>
    <cellStyle name="_3GIS model v2.77_OUTPUT EB_Retail Fin Perform " xfId="58" xr:uid="{25C517E7-7DCC-476F-82E4-F47943A29B1B}"/>
    <cellStyle name="_3GIS model v2.77_Report_Retail Fin Perform " xfId="59" xr:uid="{76EAFAD0-2A88-4F10-9417-D7B0A50CDC61}"/>
    <cellStyle name="_3GIS model v2.77_Retail Fin Perform " xfId="60" xr:uid="{EDD8BB88-3ABF-404A-92EB-01B3AED8F766}"/>
    <cellStyle name="_3GIS model v2.77_Sheet2 2_Retail Fin Perform " xfId="61" xr:uid="{D7B4B48D-51EF-4A9C-AF15-ECC72B8712AF}"/>
    <cellStyle name="_3GIS model v2.77_Sheet2_Retail Fin Perform " xfId="62" xr:uid="{CE62A355-8011-4F7C-8B4D-41E4B6DA9B9A}"/>
    <cellStyle name="_4092_51" xfId="628" xr:uid="{0CA5C4EB-9CA0-4C95-86A7-79A66724673F}"/>
    <cellStyle name="_4092_51 2" xfId="629" xr:uid="{2AD5ED2B-B954-43A3-ADDC-A642606D3AB6}"/>
    <cellStyle name="_4092_51_7. Ass" xfId="630" xr:uid="{25FDA878-2AF8-48DB-B81D-F29CE656F12B}"/>
    <cellStyle name="_4092_51_BoardN_FO" xfId="631" xr:uid="{EBE82756-9FB1-43A6-9493-550DC9F7D338}"/>
    <cellStyle name="_4092_51_CashFQtrlyN_FO" xfId="632" xr:uid="{681587D2-262D-4F8B-A1A7-0A5C3271B261}"/>
    <cellStyle name="_4092_51_CashFQtrlyN_FO 2" xfId="633" xr:uid="{48F75431-9D8E-457F-BA27-A573876B9346}"/>
    <cellStyle name="_4092_51_CPI&amp;Int_FA" xfId="634" xr:uid="{4FCA29B8-B79B-4291-8299-6FFE37F15468}"/>
    <cellStyle name="_4092_51_Equity_Divs_Debt_FA" xfId="635" xr:uid="{07C63699-5B9D-47E1-AB9C-D08C0A821A66}"/>
    <cellStyle name="_4092_69" xfId="636" xr:uid="{9F492F12-2AA3-4CE2-8357-57C20CD98924}"/>
    <cellStyle name="_4092_69 2" xfId="637" xr:uid="{0799E183-9EDE-4168-859E-8F10D00C5EF9}"/>
    <cellStyle name="_4092_69_BoardN_FO" xfId="638" xr:uid="{90047914-EA85-41F5-A0CD-C9887DE4BEFD}"/>
    <cellStyle name="_4092_69_CPI&amp;Int_FA" xfId="639" xr:uid="{884A55FB-49DF-4589-8D73-74AC1C0A668B}"/>
    <cellStyle name="_4092_69_Equity_Divs_Debt_FA" xfId="640" xr:uid="{CE8B6B71-346D-4F1D-985A-A8B5C4B36C3C}"/>
    <cellStyle name="_x0013__6. Ass-Fin" xfId="641" xr:uid="{5D0A88D4-9C4F-4736-911A-A3B6E87B93DA}"/>
    <cellStyle name="_x0013__7. Ass" xfId="642" xr:uid="{C97F5494-0D39-4498-9E20-B5902B04C436}"/>
    <cellStyle name="_x0013__7. Ass_1" xfId="643" xr:uid="{07B99DBC-A9D7-438A-8D20-068F55DCF8DC}"/>
    <cellStyle name="_AETV 3 yr Budget V1" xfId="6567" xr:uid="{D1CB5136-8F80-453A-ACB0-6EA4530E32B8}"/>
    <cellStyle name="_x0013__BoardN_FO" xfId="644" xr:uid="{FE6F63F4-47A0-4A9A-8513-F86ACC65604C}"/>
    <cellStyle name="_x0013__BoardN_FO 2" xfId="645" xr:uid="{028A548E-F525-4918-B3E5-A1D8D15314C0}"/>
    <cellStyle name="_x0013__BoardN_FO_1" xfId="646" xr:uid="{9C2F6EC0-DC0B-41CA-A7C1-4208AB75C94A}"/>
    <cellStyle name="_Capex" xfId="63" xr:uid="{66A7D1C2-F1EB-41C3-B98E-679D977603E2}"/>
    <cellStyle name="_Capex 2" xfId="64" xr:uid="{115F96C1-2D8F-4B93-91D5-FF0126CF9E48}"/>
    <cellStyle name="_Capex 2 2" xfId="3795" xr:uid="{2E8863EB-57D6-4A2A-B21A-C65F37559C18}"/>
    <cellStyle name="_Capex 3" xfId="3528" xr:uid="{669963DD-ACD7-4985-A59D-627C6B5B795B}"/>
    <cellStyle name="_Capex_29(d) - Gas extensions -tariffs" xfId="65" xr:uid="{6E3799F2-5977-4C61-BAC1-72FDD4D5AE63}"/>
    <cellStyle name="_Capex_Book5" xfId="647" xr:uid="{56974CE9-644A-469B-8560-D5B63F7805C8}"/>
    <cellStyle name="_x0013__CashFQtrlyN_FO" xfId="648" xr:uid="{AF50094D-DFD1-4C89-958A-14673DA7476F}"/>
    <cellStyle name="_x0013__CashFQtrlyN_FO 2" xfId="649" xr:uid="{B852138F-CE6B-4AAB-83B5-19FAA2877F75}"/>
    <cellStyle name="_CDR - Insertsv7" xfId="6568" xr:uid="{4CD43D7F-A5E6-41E0-BA1A-A74B58DCBDFF}"/>
    <cellStyle name="_CDR - Insertsv7_2900 - Facilities" xfId="6569" xr:uid="{DDBBD11F-F48D-4559-86F3-8C2FFE0A358D}"/>
    <cellStyle name="_CDR - Insertsv7_5520 &amp; 7500 - Distribu Business" xfId="6570" xr:uid="{563B2F16-202C-41FB-97CB-CA21E66585CD}"/>
    <cellStyle name="_CDR - Insertsv7_6050 Ret, 7550 WED, 7600 AETV" xfId="6571" xr:uid="{EC2D6C3F-A7AC-4B01-BA20-ACF7ABAE5B5C}"/>
    <cellStyle name="_CDR - Insertsv7_Settings" xfId="6572" xr:uid="{889A28FF-F00B-48C0-9124-C393D14937F8}"/>
    <cellStyle name="_CMDR-3Yrforescast" xfId="6573" xr:uid="{5FF1F8FA-BEB2-4ED9-907B-198E30AE513F}"/>
    <cellStyle name="_x0013__CPI&amp;Int_FA" xfId="650" xr:uid="{B5A0D0AB-A363-47FB-82EF-C360534C25EC}"/>
    <cellStyle name="_x0013__Equity_Divs_Debt_FA" xfId="651" xr:uid="{4D7D7012-CA22-4320-BF95-A22EC5DFC823}"/>
    <cellStyle name="_F'Cast Financials" xfId="6574" xr:uid="{D204334A-BC8E-43F9-81DE-24B7E4B9D1BA}"/>
    <cellStyle name="_F'Cast Financials_2900 - Facilities" xfId="6575" xr:uid="{BDD56552-B97C-46B0-82F4-1AEEF18DD3E8}"/>
    <cellStyle name="_F'Cast Financials_5520 &amp; 7500 - Distribu Business" xfId="6576" xr:uid="{DCCF4A72-B1EC-4813-B419-82AAEB38D610}"/>
    <cellStyle name="_F'Cast Financials_6050 Ret, 7550 WED, 7600 AETV" xfId="6577" xr:uid="{C78D28D8-582C-4C1B-AD02-FD59CBA7EF73}"/>
    <cellStyle name="_F'Cast Financials_Settings" xfId="6578" xr:uid="{B0121A45-F53A-4536-A59E-3E5C857B1324}"/>
    <cellStyle name="_Master AEN Works Programme" xfId="652" xr:uid="{22D9AF34-528D-455A-9243-D0309DA2F1A0}"/>
    <cellStyle name="_x0013__MGH Balance Sheet-Month" xfId="653" xr:uid="{91F2E58B-68B5-478F-A093-55D0AC556025}"/>
    <cellStyle name="_x0013__MGH P&amp;L-Qtr" xfId="654" xr:uid="{CAD77A0C-AB99-4A10-ACB0-5CC19B69E89E}"/>
    <cellStyle name="_x0013__Op Bal Sheet MGH" xfId="655" xr:uid="{D289C320-972E-42C8-8724-6FBF8102B1DE}"/>
    <cellStyle name="_Phoenix - Final (Full) 1.2" xfId="6579" xr:uid="{EEB839F8-11E6-4166-B6FE-C9D3866B1AD7}"/>
    <cellStyle name="_Phoenix - Final (Full) 1.2_2900 - Facilities" xfId="6580" xr:uid="{ABCFF09A-D3CA-47BD-A568-35AC8558CF5A}"/>
    <cellStyle name="_Phoenix - Final (Full) 1.2_5520 &amp; 7500 - Distribu Business" xfId="6581" xr:uid="{45A4AC92-5E6B-4E73-AAE9-5147C71BF113}"/>
    <cellStyle name="_Phoenix - Final (Full) 1.2_6050 Ret, 7550 WED, 7600 AETV" xfId="6582" xr:uid="{BFF8F1D7-D500-404B-8EA4-6B23C6ED1644}"/>
    <cellStyle name="_Phoenix - Final (Full) 1.2_Settings" xfId="6583" xr:uid="{4B1F98ED-38CF-4F77-8B35-83608151C337}"/>
    <cellStyle name="_Quarterly" xfId="656" xr:uid="{31E2160B-84AD-4566-A07E-E1B42C9CBABD}"/>
    <cellStyle name="_Sheet1" xfId="657" xr:uid="{E21A6423-101C-40EB-B0C9-78C31E2EAF74}"/>
    <cellStyle name="_UED 2010-15 Financial Plan-030510 for AO" xfId="658" xr:uid="{CB80EFBB-510F-44C0-BC32-5C835882B351}"/>
    <cellStyle name="_UED AMP 2009-14 Final 250309 Less PU" xfId="66" xr:uid="{3EF7CC6C-9479-4EDA-8A34-40F7C53C9BCE}"/>
    <cellStyle name="_UED AMP 2009-14 Final 250309 Less PU_1011 monthly" xfId="67" xr:uid="{B8143174-3DBA-48AC-90EE-B96672553B2F}"/>
    <cellStyle name="_UED Corporate Model (9 December) - Reg Submission Model - 2011-2015 - Reinvestment from 2010, 1 yr SOLA" xfId="659" xr:uid="{2EDC6ACC-AD44-472A-A971-91C3CF349BA9}"/>
    <cellStyle name="£ BP" xfId="660" xr:uid="{49685ACE-BAA6-46A4-ABAD-E2421B7C7C93}"/>
    <cellStyle name="¥ JY" xfId="661" xr:uid="{BC4BE01F-86C6-40E1-96CE-D5D1BA1F1372}"/>
    <cellStyle name="=C:\WINNT\SYSTEM32\COMMAND.COM" xfId="6584" xr:uid="{53933979-8A81-4C70-8EE6-5BD0061B7BC3}"/>
    <cellStyle name="=C:\WINNT35\SYSTEM32\COMMAND.COM" xfId="662" xr:uid="{F5E09FB7-254A-4EBB-87AA-8DFBC7B2EDCD}"/>
    <cellStyle name="=C:\WINNT35\SYSTEM32\COMMAND.COM 2" xfId="663" xr:uid="{01D7CD2E-5BA0-4A76-82C0-368682637C17}"/>
    <cellStyle name="=C:\WINNT35\SYSTEM32\COMMAND.COM 3" xfId="6585" xr:uid="{FB192D24-76BE-4164-8FC0-AEA9A4DE4A25}"/>
    <cellStyle name="=C:\WINNT35\SYSTEM32\COMMAND.COM_7. Ass" xfId="664" xr:uid="{F4E637AD-B7C9-4ED4-AB50-7B569C90B323}"/>
    <cellStyle name="•W_results" xfId="665" xr:uid="{239EBC36-94FA-4D33-BA36-8C77FDD8F91A}"/>
    <cellStyle name="1 000 Kc_laroux" xfId="666" xr:uid="{CE90EAD7-FBC3-45DB-85F2-88BAEF31239E}"/>
    <cellStyle name="1 000 Ke_laroux" xfId="667" xr:uid="{900FF290-E0B5-46F1-AE91-B10CA738CF42}"/>
    <cellStyle name="20% - Accent1 10" xfId="6586" xr:uid="{DC9F3DFB-91D1-4EC5-A334-77F1EC698786}"/>
    <cellStyle name="20% - Accent1 11" xfId="6587" xr:uid="{EBC11D54-3973-4557-9AE9-D7091C65A938}"/>
    <cellStyle name="20% - Accent1 12" xfId="6588" xr:uid="{F13B681F-0300-4818-96CB-494CAB51A5FF}"/>
    <cellStyle name="20% - Accent1 2" xfId="68" xr:uid="{86C92E3A-C901-4AE9-9CE9-0ED243036206}"/>
    <cellStyle name="20% - Accent1 2 2" xfId="3796" xr:uid="{1FE1092A-0211-4C20-8FD3-89B214B7E297}"/>
    <cellStyle name="20% - Accent1 2 2 2" xfId="14333" xr:uid="{45F0E302-A39B-4419-8492-3353B353DB95}"/>
    <cellStyle name="20% - Accent1 2 3" xfId="3529" xr:uid="{EB5D7D31-A2EE-43B9-A524-4BC3D9834191}"/>
    <cellStyle name="20% - Accent1 2 4" xfId="6589" xr:uid="{29016E23-7797-463C-B48C-E790BE15A292}"/>
    <cellStyle name="20% - Accent1 2 5" xfId="668" xr:uid="{9292ECBD-BBD6-4016-8AD1-EF17C1CD5F10}"/>
    <cellStyle name="20% - Accent1 3" xfId="288" xr:uid="{1EEBE146-B41F-4212-BB00-6A443FADB9AA}"/>
    <cellStyle name="20% - Accent1 3 2" xfId="6590" xr:uid="{F6C5371D-BE1C-49A2-91FD-199E90A1D76A}"/>
    <cellStyle name="20% - Accent1 4" xfId="6591" xr:uid="{BA8CF9AA-0D6E-4555-9B14-7D7694AF0424}"/>
    <cellStyle name="20% - Accent1 5" xfId="6592" xr:uid="{4D4CCBEA-2F3B-439A-B035-DE1C070D5477}"/>
    <cellStyle name="20% - Accent1 6" xfId="6593" xr:uid="{F385FD0C-6D88-4163-BBCC-77992E3C8D91}"/>
    <cellStyle name="20% - Accent1 7" xfId="6594" xr:uid="{9AC6EA79-3948-4E02-99E8-FF86ED690C7E}"/>
    <cellStyle name="20% - Accent1 8" xfId="6595" xr:uid="{0BBC79B4-8F0C-438C-9492-8A062E230A4F}"/>
    <cellStyle name="20% - Accent1 9" xfId="6596" xr:uid="{3839F0EC-AFB9-43B2-9516-DA52C3E29DC3}"/>
    <cellStyle name="20% - Accent2 10" xfId="6597" xr:uid="{FAA0B6FA-6EBA-4DC7-B2B8-A86202C5199E}"/>
    <cellStyle name="20% - Accent2 11" xfId="6598" xr:uid="{5A19104D-B0D3-42E2-A2EB-64D91067281A}"/>
    <cellStyle name="20% - Accent2 12" xfId="6599" xr:uid="{5A8FDC5F-23D9-4E4A-8AC9-B03D11DED5C8}"/>
    <cellStyle name="20% - Accent2 2" xfId="69" xr:uid="{29842FFD-8AAC-4D69-B1B7-D57A83999B34}"/>
    <cellStyle name="20% - Accent2 2 2" xfId="3797" xr:uid="{91230E93-D29D-49C6-B986-252135D5AB80}"/>
    <cellStyle name="20% - Accent2 2 2 2" xfId="14334" xr:uid="{CA6FF7EB-1694-48BA-872E-AA150E6EA92B}"/>
    <cellStyle name="20% - Accent2 2 3" xfId="3530" xr:uid="{1CD9D150-1284-4D8E-8E40-99167F961C2A}"/>
    <cellStyle name="20% - Accent2 2 4" xfId="6600" xr:uid="{BD439045-11FA-40B4-87EE-C63AB66E433D}"/>
    <cellStyle name="20% - Accent2 3" xfId="6601" xr:uid="{6FA2A5EB-4B62-47E6-AB4D-DE61C0491205}"/>
    <cellStyle name="20% - Accent2 4" xfId="6602" xr:uid="{8AF3D434-3156-4CF2-8999-0C080F46A1E2}"/>
    <cellStyle name="20% - Accent2 5" xfId="6603" xr:uid="{DCB4F1B0-BE6F-4645-AAAE-CEB9D914D306}"/>
    <cellStyle name="20% - Accent2 6" xfId="6604" xr:uid="{70A92FED-4EF1-40AB-B2ED-11DDF98640F4}"/>
    <cellStyle name="20% - Accent2 7" xfId="6605" xr:uid="{C46E12A2-3057-458A-A6C2-BBB8BDAADE4B}"/>
    <cellStyle name="20% - Accent2 8" xfId="6606" xr:uid="{D62B1885-98F8-4717-B7C4-4A509DAE34DA}"/>
    <cellStyle name="20% - Accent2 9" xfId="6607" xr:uid="{BC24A193-515E-4B7E-9530-55EC482250BC}"/>
    <cellStyle name="20% - Accent3 10" xfId="6608" xr:uid="{3E6488D1-4234-47A8-8134-84DADEA042FB}"/>
    <cellStyle name="20% - Accent3 11" xfId="6609" xr:uid="{3CE06F7C-33D2-4F22-B0AA-3523963AF942}"/>
    <cellStyle name="20% - Accent3 12" xfId="6610" xr:uid="{ADC5F658-5E35-48C7-AB54-E5DD06D65094}"/>
    <cellStyle name="20% - Accent3 2" xfId="70" xr:uid="{821FFA8D-7E68-4E19-9AF9-3A5DEE101035}"/>
    <cellStyle name="20% - Accent3 2 2" xfId="3798" xr:uid="{718A6CC4-3E31-4C26-953B-0CE5D24C6376}"/>
    <cellStyle name="20% - Accent3 2 2 2" xfId="14335" xr:uid="{360BAE97-C13F-4198-8706-E00057BEF2FA}"/>
    <cellStyle name="20% - Accent3 2 3" xfId="3531" xr:uid="{0A7507FC-4141-45C1-9C17-DBD9787DE9CE}"/>
    <cellStyle name="20% - Accent3 2 4" xfId="6611" xr:uid="{E45E8290-F60C-4C01-9F25-5CA2667526E4}"/>
    <cellStyle name="20% - Accent3 3" xfId="6612" xr:uid="{6F81F70E-CB63-45EA-926F-78311D03BA67}"/>
    <cellStyle name="20% - Accent3 4" xfId="6613" xr:uid="{B76994B9-ED02-47A3-A871-64CBC2DA0629}"/>
    <cellStyle name="20% - Accent3 5" xfId="6614" xr:uid="{81E315B4-134E-414C-8696-211C2D273EE1}"/>
    <cellStyle name="20% - Accent3 6" xfId="6615" xr:uid="{3EC98F02-04FC-4D81-B284-0A9DA03B38DE}"/>
    <cellStyle name="20% - Accent3 7" xfId="6616" xr:uid="{E1AB3769-508F-4595-A547-183B55910F6F}"/>
    <cellStyle name="20% - Accent3 8" xfId="6617" xr:uid="{3246A1C3-08D4-4243-8C7D-033D6EBDDB49}"/>
    <cellStyle name="20% - Accent3 9" xfId="6618" xr:uid="{1D7926AC-049F-40E2-9BE8-E4AE4BACB6D4}"/>
    <cellStyle name="20% - Accent4 10" xfId="6619" xr:uid="{B0B47392-5A55-4D01-8CA5-82C9690C9B82}"/>
    <cellStyle name="20% - Accent4 11" xfId="6620" xr:uid="{9F709A25-417E-4782-9FD2-5B3DFF6C413A}"/>
    <cellStyle name="20% - Accent4 12" xfId="6621" xr:uid="{8C620C4B-A3C3-4012-9D33-5A2143F404B6}"/>
    <cellStyle name="20% - Accent4 2" xfId="71" xr:uid="{F9F6E7E7-F64B-4456-8EDD-652F92232552}"/>
    <cellStyle name="20% - Accent4 2 2" xfId="3799" xr:uid="{E8C1DBF6-23E9-43C1-BF53-CC2CAD1C916B}"/>
    <cellStyle name="20% - Accent4 2 2 2" xfId="14336" xr:uid="{7F2CD0AE-FA2F-4297-9C34-12AD86095DA7}"/>
    <cellStyle name="20% - Accent4 2 3" xfId="3532" xr:uid="{B0281F0E-E134-44E8-975F-55BBE258CEA1}"/>
    <cellStyle name="20% - Accent4 2 4" xfId="6622" xr:uid="{36251150-6968-4CC3-9D09-FAC3AF20218B}"/>
    <cellStyle name="20% - Accent4 3" xfId="6623" xr:uid="{E4AD4735-D1E2-4344-BA3C-837B0EB2C7E2}"/>
    <cellStyle name="20% - Accent4 4" xfId="6624" xr:uid="{81107CEA-BECA-4735-B047-FFDCB348AAED}"/>
    <cellStyle name="20% - Accent4 5" xfId="6625" xr:uid="{3C60323A-5EFF-421F-8947-9F8E9010FBC8}"/>
    <cellStyle name="20% - Accent4 6" xfId="6626" xr:uid="{17B7655F-0F1C-4251-85DE-0CA27A2A06CC}"/>
    <cellStyle name="20% - Accent4 7" xfId="6627" xr:uid="{10C686B9-8CDC-4168-8C7F-A8322030198A}"/>
    <cellStyle name="20% - Accent4 8" xfId="6628" xr:uid="{87A7473D-A8C9-424D-8277-619B08D1F0CE}"/>
    <cellStyle name="20% - Accent4 9" xfId="6629" xr:uid="{178BA448-FF2C-4F0F-8699-E0AE0168F1FF}"/>
    <cellStyle name="20% - Accent5 10" xfId="6630" xr:uid="{AC83FDA1-8424-49B8-9FFB-4BD17D1B8B7E}"/>
    <cellStyle name="20% - Accent5 11" xfId="6631" xr:uid="{FDBE44EF-D4F4-4B30-9529-F00FF666ED11}"/>
    <cellStyle name="20% - Accent5 12" xfId="6632" xr:uid="{4248E516-7A6E-4240-91BA-16F185415F24}"/>
    <cellStyle name="20% - Accent5 2" xfId="72" xr:uid="{909CA8DC-F0C9-474B-A857-E0CF543D3A06}"/>
    <cellStyle name="20% - Accent5 2 2" xfId="3800" xr:uid="{5209FE8A-8FCD-4FD4-88B7-0D2B8F08D6DD}"/>
    <cellStyle name="20% - Accent5 2 3" xfId="3533" xr:uid="{E1FCA8DA-B16F-40F7-89F6-41A60B79F981}"/>
    <cellStyle name="20% - Accent5 2 4" xfId="669" xr:uid="{C5AA547E-922A-47D0-B892-E1B04FB71BE6}"/>
    <cellStyle name="20% - Accent5 3" xfId="6633" xr:uid="{1EB37353-B0FC-4D25-ADC2-BA29BCFBF25A}"/>
    <cellStyle name="20% - Accent5 4" xfId="6634" xr:uid="{9632724D-3127-4126-ADAB-BF50F47C1D49}"/>
    <cellStyle name="20% - Accent5 5" xfId="6635" xr:uid="{EEB7F5EC-3050-471B-88F8-536A7AD2261A}"/>
    <cellStyle name="20% - Accent5 6" xfId="6636" xr:uid="{319248DE-D55B-4C30-9933-EC586EEA302C}"/>
    <cellStyle name="20% - Accent5 7" xfId="6637" xr:uid="{CACF53BA-4199-4F4E-A4D5-554C480B97AB}"/>
    <cellStyle name="20% - Accent5 8" xfId="6638" xr:uid="{BC789560-26B2-47BF-B164-355D3268F00D}"/>
    <cellStyle name="20% - Accent5 9" xfId="6639" xr:uid="{24782A54-883D-4F36-ADF4-CA394704BEF7}"/>
    <cellStyle name="20% - Accent6 10" xfId="6640" xr:uid="{860D1B3C-C6A1-48F7-AFA4-3E3210A86EDE}"/>
    <cellStyle name="20% - Accent6 11" xfId="6641" xr:uid="{84747E91-F8B6-4174-B20B-5AB34CF3B89C}"/>
    <cellStyle name="20% - Accent6 2" xfId="73" xr:uid="{F702C56F-E341-4D58-99EB-6D248CAC4541}"/>
    <cellStyle name="20% - Accent6 2 2" xfId="3801" xr:uid="{1E67DB12-033B-45C7-B2C0-F6FFD296B902}"/>
    <cellStyle name="20% - Accent6 2 3" xfId="3534" xr:uid="{919D0348-E616-4C27-973F-1A34517DF0CF}"/>
    <cellStyle name="20% - Accent6 3" xfId="6642" xr:uid="{8FD166DF-74A1-463A-B216-F8AF0DD8B0B8}"/>
    <cellStyle name="20% - Accent6 4" xfId="6643" xr:uid="{C5CAD31D-4B0F-4161-8083-E5A9D26F6800}"/>
    <cellStyle name="20% - Accent6 5" xfId="6644" xr:uid="{83622F20-D5B7-4C12-BDA8-172862755021}"/>
    <cellStyle name="20% - Accent6 6" xfId="6645" xr:uid="{F489FB99-145A-4D11-BF11-5428DB587DF9}"/>
    <cellStyle name="20% - Accent6 7" xfId="6646" xr:uid="{9DE4A598-BB5A-44D0-A3BC-74EE85EDCB19}"/>
    <cellStyle name="20% - Accent6 8" xfId="6647" xr:uid="{8AE33AC4-53D9-416C-88AE-0F498B4F5D6E}"/>
    <cellStyle name="20% - Accent6 9" xfId="6648" xr:uid="{5471C059-D790-4787-B0E7-46551F09CB89}"/>
    <cellStyle name="33" xfId="670" xr:uid="{7B1162E9-17B5-4F4F-B4A4-D1157881DB36}"/>
    <cellStyle name="40% - Accent1 10" xfId="6649" xr:uid="{78F56438-2B36-48BC-A42D-88D0045EF49C}"/>
    <cellStyle name="40% - Accent1 11" xfId="6650" xr:uid="{9981BFA3-4B75-4856-B585-47C7D9216281}"/>
    <cellStyle name="40% - Accent1 12" xfId="6651" xr:uid="{D868D394-9A10-4446-AE7B-C52FFFDD0781}"/>
    <cellStyle name="40% - Accent1 2" xfId="74" xr:uid="{B53F01AE-D98E-4592-B999-C81D10A55729}"/>
    <cellStyle name="40% - Accent1 2 2" xfId="3802" xr:uid="{4442FFEC-C04A-4E73-BE16-554C7B272DD0}"/>
    <cellStyle name="40% - Accent1 2 2 2" xfId="14337" xr:uid="{924D12CB-DFCD-4D8E-898A-1EBF4080FAE0}"/>
    <cellStyle name="40% - Accent1 2 3" xfId="3535" xr:uid="{DF4389AA-4088-4E6E-82E1-A934DD6B8ED8}"/>
    <cellStyle name="40% - Accent1 2 4" xfId="6652" xr:uid="{72A01F6F-92DE-4277-88E5-5F6154E494B0}"/>
    <cellStyle name="40% - Accent1 2 5" xfId="671" xr:uid="{DE3C5BFA-88E3-42B5-BDF2-5BDD1A2F0E2D}"/>
    <cellStyle name="40% - Accent1 3" xfId="289" xr:uid="{9C05AE3C-9C85-494B-9431-C4989623CDFE}"/>
    <cellStyle name="40% - Accent1 3 2" xfId="6653" xr:uid="{B32702C6-B3DD-4285-9B78-4C76BEFA7FBE}"/>
    <cellStyle name="40% - Accent1 4" xfId="6654" xr:uid="{84240FEE-66C0-4A2B-A0E7-2EA312933FBA}"/>
    <cellStyle name="40% - Accent1 5" xfId="6655" xr:uid="{CDCB4402-4642-4702-92C9-B6EE383FBA1D}"/>
    <cellStyle name="40% - Accent1 6" xfId="6656" xr:uid="{3B76B3E2-91A3-433B-8B22-A076A0D9B247}"/>
    <cellStyle name="40% - Accent1 7" xfId="6657" xr:uid="{A1A862E9-3813-44F9-999E-1E75826CE38A}"/>
    <cellStyle name="40% - Accent1 8" xfId="6658" xr:uid="{944DAE69-FCE9-4640-AFCC-1E51C6636820}"/>
    <cellStyle name="40% - Accent1 9" xfId="6659" xr:uid="{909F935F-BD5C-4CA2-9E4C-24556B3ACECA}"/>
    <cellStyle name="40% - Accent2 10" xfId="6660" xr:uid="{7564D9AA-B478-4678-8F3D-F453FFDD31A5}"/>
    <cellStyle name="40% - Accent2 11" xfId="6661" xr:uid="{825E2EAA-FEFF-46AF-920B-822CC7D527A0}"/>
    <cellStyle name="40% - Accent2 12" xfId="6662" xr:uid="{F43909FA-B3A1-407B-85D8-F886E980D891}"/>
    <cellStyle name="40% - Accent2 2" xfId="75" xr:uid="{9D1C7C84-BCBE-4D14-AF34-EE7A9AAFE6B6}"/>
    <cellStyle name="40% - Accent2 2 2" xfId="3803" xr:uid="{6806E347-FE5F-4C6E-B1DC-B58D3F6EE0DC}"/>
    <cellStyle name="40% - Accent2 2 2 2" xfId="14338" xr:uid="{665CBE7C-C792-44F6-AA91-C52EAF5F8AC2}"/>
    <cellStyle name="40% - Accent2 2 3" xfId="3536" xr:uid="{8D97A537-C4C8-4B85-B0F5-95CFA2F744EA}"/>
    <cellStyle name="40% - Accent2 2 4" xfId="6663" xr:uid="{20E15B99-2B74-49DD-9931-BB04B0B919F4}"/>
    <cellStyle name="40% - Accent2 3" xfId="6664" xr:uid="{C28C3688-B605-45A9-9B49-29F1870537E6}"/>
    <cellStyle name="40% - Accent2 4" xfId="6665" xr:uid="{6E0A9E57-4814-476D-ADC3-E3B2968E0DF6}"/>
    <cellStyle name="40% - Accent2 5" xfId="6666" xr:uid="{5FA6F4FE-16E5-49CF-9FDC-D1C05EC7642A}"/>
    <cellStyle name="40% - Accent2 6" xfId="6667" xr:uid="{EAF25270-D31C-4A85-A334-18313FAE56C0}"/>
    <cellStyle name="40% - Accent2 7" xfId="6668" xr:uid="{DCC1798C-A408-461C-98EB-A9723E9C7807}"/>
    <cellStyle name="40% - Accent2 8" xfId="6669" xr:uid="{F0AB77AA-2E1A-48F7-8710-EFDC1030F615}"/>
    <cellStyle name="40% - Accent2 9" xfId="6670" xr:uid="{BCBC2CD8-E610-4974-A78F-51D9B3D70D80}"/>
    <cellStyle name="40% - Accent3 10" xfId="6671" xr:uid="{1F2A2FAD-D0B7-40AA-A4CD-C0E97D361A7E}"/>
    <cellStyle name="40% - Accent3 11" xfId="6672" xr:uid="{6941774D-4771-4E5F-BE2B-D87CD26B0CE8}"/>
    <cellStyle name="40% - Accent3 12" xfId="6673" xr:uid="{78994F2B-97D5-4D7B-9CB9-97651411E634}"/>
    <cellStyle name="40% - Accent3 2" xfId="76" xr:uid="{90525CD0-396C-4671-9CEC-EE48E9663166}"/>
    <cellStyle name="40% - Accent3 2 2" xfId="3804" xr:uid="{70D504F3-A8DF-4470-BE98-58BFEF17DC60}"/>
    <cellStyle name="40% - Accent3 2 2 2" xfId="14339" xr:uid="{943F675D-5EAE-40D7-890D-21445DCC12C9}"/>
    <cellStyle name="40% - Accent3 2 3" xfId="3537" xr:uid="{68CA0341-7E48-472D-931B-C47D4DB3027B}"/>
    <cellStyle name="40% - Accent3 2 4" xfId="6674" xr:uid="{70CEBB09-FA7E-4261-82A7-BD2514E2C994}"/>
    <cellStyle name="40% - Accent3 3" xfId="6675" xr:uid="{B723D232-A176-4EDC-89A7-9EFA95E6FF00}"/>
    <cellStyle name="40% - Accent3 4" xfId="6676" xr:uid="{A078D670-D3CB-46DB-8987-7AF731D130FE}"/>
    <cellStyle name="40% - Accent3 5" xfId="6677" xr:uid="{D048B086-FF34-4D5F-B4EB-5A8CDBA322FE}"/>
    <cellStyle name="40% - Accent3 6" xfId="6678" xr:uid="{68F44B0F-E7D2-4664-8AE0-063DDF8FB5F2}"/>
    <cellStyle name="40% - Accent3 7" xfId="6679" xr:uid="{21A36813-4ACB-468E-AB33-E6654779FE5E}"/>
    <cellStyle name="40% - Accent3 8" xfId="6680" xr:uid="{14401CF3-A136-4782-9FC2-4098655ECB2C}"/>
    <cellStyle name="40% - Accent3 9" xfId="6681" xr:uid="{FC45D940-B5BD-4CFC-9BE9-574EC2C09198}"/>
    <cellStyle name="40% - Accent4 10" xfId="6682" xr:uid="{53C054CE-74DF-4B30-8A22-F55C58FE947F}"/>
    <cellStyle name="40% - Accent4 11" xfId="6683" xr:uid="{FCB82402-77A9-4052-84D7-8FCAB5667191}"/>
    <cellStyle name="40% - Accent4 12" xfId="6684" xr:uid="{8BAA368C-F970-4D9A-A2E2-145930DB9622}"/>
    <cellStyle name="40% - Accent4 2" xfId="77" xr:uid="{F99658B2-E875-4412-8568-48E9CD467F43}"/>
    <cellStyle name="40% - Accent4 2 2" xfId="3805" xr:uid="{1482D7A7-BB8B-4781-B17C-781622F77F10}"/>
    <cellStyle name="40% - Accent4 2 2 2" xfId="14340" xr:uid="{590805B3-D345-4F55-B42B-E5292B575382}"/>
    <cellStyle name="40% - Accent4 2 3" xfId="3538" xr:uid="{BE60AB12-2FE1-4CF1-8800-A8837067DB11}"/>
    <cellStyle name="40% - Accent4 2 4" xfId="6685" xr:uid="{2CDF59B4-38E5-476F-A08E-5D6848826038}"/>
    <cellStyle name="40% - Accent4 3" xfId="6686" xr:uid="{40FB82D8-7B78-4C6A-A65A-39433AFB0605}"/>
    <cellStyle name="40% - Accent4 4" xfId="6687" xr:uid="{E909E3EC-A412-47A4-8807-BB1EDA66F97A}"/>
    <cellStyle name="40% - Accent4 5" xfId="6688" xr:uid="{2F0FA40B-E0E8-4D85-B4B9-80797435746A}"/>
    <cellStyle name="40% - Accent4 6" xfId="6689" xr:uid="{48C22F98-06F2-4D7D-9567-892B17D3B400}"/>
    <cellStyle name="40% - Accent4 7" xfId="6690" xr:uid="{A1FB748B-5F21-4CD3-A23C-F8451AB4FD5D}"/>
    <cellStyle name="40% - Accent4 8" xfId="6691" xr:uid="{B1D2A956-75B8-4AD4-B400-937A8587B6A3}"/>
    <cellStyle name="40% - Accent4 9" xfId="6692" xr:uid="{B5403AF1-44B5-4CE3-96AF-47A246E9E871}"/>
    <cellStyle name="40% - Accent5 10" xfId="6693" xr:uid="{C7A7B8A9-C44F-4477-B2B9-9D4F41D60015}"/>
    <cellStyle name="40% - Accent5 11" xfId="6694" xr:uid="{117624D2-17A9-46D6-BD4F-0D1382C72F39}"/>
    <cellStyle name="40% - Accent5 12" xfId="6695" xr:uid="{CDEECCA3-1ACA-460E-857B-B0A7EDCF6540}"/>
    <cellStyle name="40% - Accent5 2" xfId="78" xr:uid="{30C06348-A014-43DA-825F-473B70B0D8F3}"/>
    <cellStyle name="40% - Accent5 2 2" xfId="3806" xr:uid="{CB732312-8459-4117-99C4-47A1AAC53D6D}"/>
    <cellStyle name="40% - Accent5 2 3" xfId="3539" xr:uid="{78E5DBF2-01FB-4426-9F25-261A421557D9}"/>
    <cellStyle name="40% - Accent5 2 4" xfId="672" xr:uid="{5CC39074-CA0C-4438-B3A8-F2D250AB6A14}"/>
    <cellStyle name="40% - Accent5 3" xfId="6696" xr:uid="{247D81E7-F5AD-4717-BD70-958A365E0D9A}"/>
    <cellStyle name="40% - Accent5 4" xfId="6697" xr:uid="{AB323D12-C59B-4F11-950B-3037974858BA}"/>
    <cellStyle name="40% - Accent5 5" xfId="6698" xr:uid="{38A8BA15-E448-4810-AAE1-74FD6F2051E3}"/>
    <cellStyle name="40% - Accent5 6" xfId="6699" xr:uid="{83CD7EF0-4D44-4BA3-9217-0EE4D1C1AF14}"/>
    <cellStyle name="40% - Accent5 7" xfId="6700" xr:uid="{01C1BBC5-123D-438B-9375-785A5B0A8895}"/>
    <cellStyle name="40% - Accent5 8" xfId="6701" xr:uid="{3F935E2F-82A5-4C98-8ACB-2A910C4B727D}"/>
    <cellStyle name="40% - Accent5 9" xfId="6702" xr:uid="{DEB9498E-8436-4662-9ED6-8598885698F2}"/>
    <cellStyle name="40% - Accent6 10" xfId="6703" xr:uid="{E8283875-E1B9-4222-AE56-69821FE30998}"/>
    <cellStyle name="40% - Accent6 11" xfId="6704" xr:uid="{602E3043-D47A-4643-8816-A5D1FCDE99C2}"/>
    <cellStyle name="40% - Accent6 12" xfId="6705" xr:uid="{B863403E-19C3-48EE-BBBE-4F63E4947855}"/>
    <cellStyle name="40% - Accent6 2" xfId="79" xr:uid="{C1B0A542-6AB8-4C7E-8860-FADC9C036DF3}"/>
    <cellStyle name="40% - Accent6 2 2" xfId="3807" xr:uid="{245224B1-BAC2-4ECD-8111-C4CCF5EC95E9}"/>
    <cellStyle name="40% - Accent6 2 2 2" xfId="14341" xr:uid="{C7C24947-5C00-4F0E-AA03-02E658192DDA}"/>
    <cellStyle name="40% - Accent6 2 3" xfId="3540" xr:uid="{13341A17-07F0-4009-B9FC-A32EAC5C5AB5}"/>
    <cellStyle name="40% - Accent6 2 4" xfId="6706" xr:uid="{61F1CF11-150B-4BE5-83B7-AB6E7735536B}"/>
    <cellStyle name="40% - Accent6 3" xfId="6707" xr:uid="{28D0E165-1B39-49E8-B066-CF3A7A5C1493}"/>
    <cellStyle name="40% - Accent6 4" xfId="6708" xr:uid="{10737460-BABC-4CD2-AEA5-E706A35818F6}"/>
    <cellStyle name="40% - Accent6 5" xfId="6709" xr:uid="{50F8A693-2E62-47A7-BF36-4480DAE94E20}"/>
    <cellStyle name="40% - Accent6 6" xfId="6710" xr:uid="{84089505-BC25-4D53-BDA8-90DAD940FAE9}"/>
    <cellStyle name="40% - Accent6 7" xfId="6711" xr:uid="{79131040-8A36-4C47-A5B6-72F59723DE8B}"/>
    <cellStyle name="40% - Accent6 8" xfId="6712" xr:uid="{AC03916D-0A4D-4A3D-B1B1-3AC4C32BA4B9}"/>
    <cellStyle name="40% - Accent6 9" xfId="6713" xr:uid="{5DF39909-FAB2-4150-A7F5-FA5F5BC5E266}"/>
    <cellStyle name="60% - Accent1 10" xfId="6714" xr:uid="{B84345AB-7C6B-42F4-AB3C-F7098A50F912}"/>
    <cellStyle name="60% - Accent1 11" xfId="6715" xr:uid="{A934428A-DC9D-490A-BF45-05A422C16154}"/>
    <cellStyle name="60% - Accent1 12" xfId="6716" xr:uid="{DCCA54CA-1AAA-478A-A3A9-C4545D73089D}"/>
    <cellStyle name="60% - Accent1 2" xfId="80" xr:uid="{B740CBB8-E002-4FB8-8F57-A9739233D884}"/>
    <cellStyle name="60% - Accent1 2 2" xfId="3808" xr:uid="{7194D75D-80BF-4B0A-BAE8-F34F90C03078}"/>
    <cellStyle name="60% - Accent1 2 2 2" xfId="14342" xr:uid="{A6D9F241-144C-4E67-80FD-C4C7D9F12F95}"/>
    <cellStyle name="60% - Accent1 2 3" xfId="3541" xr:uid="{2032CBA6-722F-4D09-8447-C31F49965530}"/>
    <cellStyle name="60% - Accent1 2 4" xfId="6717" xr:uid="{81D1F3D9-D606-45EF-850F-06ED23F6C881}"/>
    <cellStyle name="60% - Accent1 2 5" xfId="673" xr:uid="{221D9275-EFD3-499C-9B2F-EDD001D802D4}"/>
    <cellStyle name="60% - Accent1 3" xfId="674" xr:uid="{3F2ADE80-3914-412E-95FE-93413BFAD08A}"/>
    <cellStyle name="60% - Accent1 3 2" xfId="6718" xr:uid="{0ABB9EE1-16B5-4EF5-BA8F-A5AD215BCBD3}"/>
    <cellStyle name="60% - Accent1 4" xfId="6719" xr:uid="{84134AC7-1961-471E-A9F6-EB2CCC78B01A}"/>
    <cellStyle name="60% - Accent1 5" xfId="6720" xr:uid="{C9954C16-2BCB-4C81-A9BE-9F0104081A48}"/>
    <cellStyle name="60% - Accent1 6" xfId="6721" xr:uid="{8EC8266F-D845-4F3D-B4A2-5466B7A8C247}"/>
    <cellStyle name="60% - Accent1 7" xfId="6722" xr:uid="{D038225D-FCAE-45F8-9537-EA10D039A4F6}"/>
    <cellStyle name="60% - Accent1 8" xfId="6723" xr:uid="{188573B0-40CE-4295-9579-0437CD78BAD7}"/>
    <cellStyle name="60% - Accent1 9" xfId="6724" xr:uid="{83E91135-65F1-45A5-8354-24FB0D874069}"/>
    <cellStyle name="60% - Accent2 10" xfId="6725" xr:uid="{68B38F33-2108-4879-9B47-424E29680275}"/>
    <cellStyle name="60% - Accent2 11" xfId="6726" xr:uid="{115C5500-3232-417D-8B36-20DB719FA4C4}"/>
    <cellStyle name="60% - Accent2 12" xfId="6727" xr:uid="{2903834C-3A8C-4AFE-BC03-041076D39F71}"/>
    <cellStyle name="60% - Accent2 2" xfId="81" xr:uid="{C38EA37B-43EB-4AE6-8A51-AF118D14283E}"/>
    <cellStyle name="60% - Accent2 2 2" xfId="3809" xr:uid="{F870BE93-07DE-4158-AF5A-2A1C48E0A223}"/>
    <cellStyle name="60% - Accent2 2 2 2" xfId="14343" xr:uid="{733454D6-57D4-4D50-B32C-5F589A18D72D}"/>
    <cellStyle name="60% - Accent2 2 3" xfId="3542" xr:uid="{640DAF02-FCD2-4768-BC97-94F29A0E9AFD}"/>
    <cellStyle name="60% - Accent2 2 4" xfId="6728" xr:uid="{B522EEA8-9A6B-4D4D-AAC6-AC475FA2209D}"/>
    <cellStyle name="60% - Accent2 3" xfId="6729" xr:uid="{2D715D7A-F1DC-4DE9-8AF0-43948DEF41C4}"/>
    <cellStyle name="60% - Accent2 4" xfId="6730" xr:uid="{E8CE4F29-A4F6-4928-801D-760EC0262435}"/>
    <cellStyle name="60% - Accent2 5" xfId="6731" xr:uid="{79C6FF6D-1FDA-4059-8CFF-DB7D8E6FD80E}"/>
    <cellStyle name="60% - Accent2 6" xfId="6732" xr:uid="{4088CD80-8EEC-4A2C-ABDB-EF588B9903CE}"/>
    <cellStyle name="60% - Accent2 7" xfId="6733" xr:uid="{5CCE9E7C-5EFA-46A4-8690-EEDE448787A0}"/>
    <cellStyle name="60% - Accent2 8" xfId="6734" xr:uid="{058A2DB7-59BF-4DED-BC9F-C6B178513457}"/>
    <cellStyle name="60% - Accent2 9" xfId="6735" xr:uid="{70FBC9E1-D62B-44A9-8827-CCDF13282256}"/>
    <cellStyle name="60% - Accent3 10" xfId="6736" xr:uid="{8A29E391-20A3-401D-BDC3-0EA215DFB6C6}"/>
    <cellStyle name="60% - Accent3 11" xfId="6737" xr:uid="{37CF3E9E-8798-49F5-9E7D-7A077A952FC3}"/>
    <cellStyle name="60% - Accent3 12" xfId="6738" xr:uid="{67253873-620A-4F68-91A2-E61DCDE616B0}"/>
    <cellStyle name="60% - Accent3 2" xfId="82" xr:uid="{033E4554-6F64-42E1-80D4-2FEEE4C7F059}"/>
    <cellStyle name="60% - Accent3 2 2" xfId="3810" xr:uid="{41B1AF85-277A-4AA4-9470-401EEF008EFF}"/>
    <cellStyle name="60% - Accent3 2 2 2" xfId="14344" xr:uid="{E20B94CA-A1FD-4892-902B-AAF75E4C3990}"/>
    <cellStyle name="60% - Accent3 2 3" xfId="3543" xr:uid="{E85A4E6F-FD69-4754-83D0-1F3B058CDEB4}"/>
    <cellStyle name="60% - Accent3 2 4" xfId="6739" xr:uid="{8FC3167E-6BFF-415A-A9CB-94F7D3BC02FA}"/>
    <cellStyle name="60% - Accent3 3" xfId="6740" xr:uid="{2DF30FC4-F709-40A7-BB30-F4A25B4BCFCF}"/>
    <cellStyle name="60% - Accent3 4" xfId="6741" xr:uid="{DB83BD59-0235-4256-BCBB-C5163358713E}"/>
    <cellStyle name="60% - Accent3 5" xfId="6742" xr:uid="{C6132D45-A8BD-49CF-945F-03C3B9E91EA1}"/>
    <cellStyle name="60% - Accent3 6" xfId="6743" xr:uid="{13F12CC3-5775-426C-BA8E-8A6908E0C543}"/>
    <cellStyle name="60% - Accent3 7" xfId="6744" xr:uid="{72BBB6B5-963A-4279-AE65-290965833DAC}"/>
    <cellStyle name="60% - Accent3 8" xfId="6745" xr:uid="{EA228483-B7D0-4589-BEC1-3A7E7B22410D}"/>
    <cellStyle name="60% - Accent3 9" xfId="6746" xr:uid="{F714EAF3-4048-45CF-839B-29CF56A3A1CE}"/>
    <cellStyle name="60% - Accent4 10" xfId="6747" xr:uid="{2054723D-6DD8-462D-87FE-51A59DC47655}"/>
    <cellStyle name="60% - Accent4 11" xfId="6748" xr:uid="{2DED01D5-4C0F-4E25-B394-4990DA6779F6}"/>
    <cellStyle name="60% - Accent4 12" xfId="6749" xr:uid="{600F14EF-F8E8-47F4-9AA5-C208AB92272C}"/>
    <cellStyle name="60% - Accent4 2" xfId="83" xr:uid="{F9298BFC-8348-47A7-BF73-61AA9776808C}"/>
    <cellStyle name="60% - Accent4 2 2" xfId="3811" xr:uid="{A7EF2AB1-0645-4C5B-B863-6DC28DA12A85}"/>
    <cellStyle name="60% - Accent4 2 2 2" xfId="14345" xr:uid="{C1DC0CCE-65B7-47D0-8507-A56C079D0AF1}"/>
    <cellStyle name="60% - Accent4 2 3" xfId="3544" xr:uid="{221937EB-EB51-4DE3-B4C6-C13819DCAFC6}"/>
    <cellStyle name="60% - Accent4 2 4" xfId="6750" xr:uid="{01C93204-D59C-4D8F-883C-5B7C8DD105B0}"/>
    <cellStyle name="60% - Accent4 3" xfId="6751" xr:uid="{470DB2B1-7129-4B47-942D-F66B4F4F03C6}"/>
    <cellStyle name="60% - Accent4 4" xfId="6752" xr:uid="{7E49586C-D5DC-4B5E-9B0B-68B6087D57B9}"/>
    <cellStyle name="60% - Accent4 5" xfId="6753" xr:uid="{07A67D8C-20A3-49AD-B08A-77CA71FB7C53}"/>
    <cellStyle name="60% - Accent4 6" xfId="6754" xr:uid="{DB69D318-628B-4571-9EAE-83CE41B26164}"/>
    <cellStyle name="60% - Accent4 7" xfId="6755" xr:uid="{B92DAE7A-1432-4313-8759-750CE1D1A8EC}"/>
    <cellStyle name="60% - Accent4 8" xfId="6756" xr:uid="{D487AE46-999B-4D69-9EC0-0CE2218E127F}"/>
    <cellStyle name="60% - Accent4 9" xfId="6757" xr:uid="{B6F9D22C-3A54-42C1-A1C1-D30FE5D13B99}"/>
    <cellStyle name="60% - Accent5 10" xfId="6758" xr:uid="{454C271B-AF6C-4B49-B8AF-E10FEE7F2A4F}"/>
    <cellStyle name="60% - Accent5 11" xfId="6759" xr:uid="{7F1C4503-D957-4C80-8A4C-D70481082AAE}"/>
    <cellStyle name="60% - Accent5 12" xfId="6760" xr:uid="{EEB1ECF2-DA8E-47C8-85EE-F9A0D8A5A486}"/>
    <cellStyle name="60% - Accent5 2" xfId="84" xr:uid="{1397B3A9-2AB2-4F72-B26D-395B4BA501EB}"/>
    <cellStyle name="60% - Accent5 2 2" xfId="3812" xr:uid="{23D90B06-7EC0-4AE9-ACDE-207B9460B432}"/>
    <cellStyle name="60% - Accent5 2 3" xfId="3545" xr:uid="{C1BA6B18-15B1-41C1-A1E6-41D29FAF60D8}"/>
    <cellStyle name="60% - Accent5 2 4" xfId="675" xr:uid="{13B9F260-F31C-4C01-868E-07E63943E9F8}"/>
    <cellStyle name="60% - Accent5 3" xfId="6761" xr:uid="{F3BBB2F6-3D9D-449B-9CD2-EEFAFFDFC79A}"/>
    <cellStyle name="60% - Accent5 4" xfId="6762" xr:uid="{FD9A3FCA-31D0-410C-8381-CCF51BF659D9}"/>
    <cellStyle name="60% - Accent5 5" xfId="6763" xr:uid="{15833F39-5ED1-4835-8C7A-E46421F4C931}"/>
    <cellStyle name="60% - Accent5 6" xfId="6764" xr:uid="{E07D90DA-CF6E-474F-8FD1-CA62B16185C8}"/>
    <cellStyle name="60% - Accent5 7" xfId="6765" xr:uid="{5D13FBB5-0698-4E6C-8815-36E7424674FC}"/>
    <cellStyle name="60% - Accent5 8" xfId="6766" xr:uid="{1033FA8E-8A4C-4857-BF0C-C47F869B6CEF}"/>
    <cellStyle name="60% - Accent5 9" xfId="6767" xr:uid="{E70A7524-CEA5-440C-BB0E-08122F75FA9E}"/>
    <cellStyle name="60% - Accent6 10" xfId="6768" xr:uid="{C8E6253F-2B90-45F6-9B1F-CB3C3C495680}"/>
    <cellStyle name="60% - Accent6 11" xfId="6769" xr:uid="{7D9683CB-EB72-4AB7-8369-5890FB4CE587}"/>
    <cellStyle name="60% - Accent6 12" xfId="6770" xr:uid="{80E43B60-E0A5-4DB8-81EC-435E91C0DACD}"/>
    <cellStyle name="60% - Accent6 2" xfId="85" xr:uid="{99E48E51-0D64-4D0D-AAE4-AB2594C9A570}"/>
    <cellStyle name="60% - Accent6 2 2" xfId="3813" xr:uid="{A45062F8-C9E1-433F-BDF4-76424A34C7D0}"/>
    <cellStyle name="60% - Accent6 2 2 2" xfId="14346" xr:uid="{055E04F7-2396-47F0-8CA5-9C0C0BBD1DED}"/>
    <cellStyle name="60% - Accent6 2 3" xfId="3546" xr:uid="{CA28DDF9-7053-4B06-8A5F-576A6195424F}"/>
    <cellStyle name="60% - Accent6 2 4" xfId="6771" xr:uid="{5F060E76-F676-4D31-B339-FE51026F29DD}"/>
    <cellStyle name="60% - Accent6 3" xfId="6772" xr:uid="{209ECA06-1403-48A0-9822-EA7DB5BD27F4}"/>
    <cellStyle name="60% - Accent6 4" xfId="6773" xr:uid="{802AE443-2BEF-43AF-A8C0-01556309B82F}"/>
    <cellStyle name="60% - Accent6 5" xfId="6774" xr:uid="{DD6E20D7-2B39-477D-8715-6EAF8A07E688}"/>
    <cellStyle name="60% - Accent6 6" xfId="6775" xr:uid="{98A35E76-6677-43B9-BB72-4B148FAB6CC2}"/>
    <cellStyle name="60% - Accent6 7" xfId="6776" xr:uid="{45EB2DE4-6B43-4C18-A314-ED5C5CA898EA}"/>
    <cellStyle name="60% - Accent6 8" xfId="6777" xr:uid="{9D3E882A-E0E6-41D0-AE5B-F7B95E68B3DD}"/>
    <cellStyle name="60% - Accent6 9" xfId="6778" xr:uid="{8047483B-0C1E-4C48-95FF-C24765A49B65}"/>
    <cellStyle name="A satisfied Microsoft Office user" xfId="6779" xr:uid="{8050A996-13A8-4864-8EE9-2AF2B0CB29B1}"/>
    <cellStyle name="A_Block Space" xfId="6780" xr:uid="{9145C63F-7082-4385-83C6-E38498F0D661}"/>
    <cellStyle name="A_BlueLine" xfId="6781" xr:uid="{5C9E120F-4408-45A3-BB63-B82E9C61309B}"/>
    <cellStyle name="A_Do not Change" xfId="6782" xr:uid="{DAFC82F9-9A64-4D05-8921-A0AF592422D1}"/>
    <cellStyle name="A_Estimate" xfId="6783" xr:uid="{7A2FD7A5-F88F-4B67-B542-0CC7CA5BC07D}"/>
    <cellStyle name="A_Memo" xfId="6784" xr:uid="{E9C1EA49-8E7D-4D9E-905E-7DD7D3A83205}"/>
    <cellStyle name="A_Memo_2900 - Facilities" xfId="6785" xr:uid="{FB75C260-17E3-4975-BC33-A60C7C54D12A}"/>
    <cellStyle name="A_Memo_5520 &amp; 7500 - Distribu Business" xfId="6786" xr:uid="{0128B461-3C2C-43F1-B42A-AA70DA667A2C}"/>
    <cellStyle name="A_Memo_6050 Ret, 7550 WED, 7600 AETV" xfId="6787" xr:uid="{BCB2F0E2-C5BB-43E6-908C-7AF23859EDE8}"/>
    <cellStyle name="A_Memo_AETV (TG Model) JULY TARGET" xfId="6788" xr:uid="{D7E457EE-055B-49B3-A0D5-7E6261A5C562}"/>
    <cellStyle name="A_Memo_AETV (TG Model) JULY TARGET_2900 - Facilities" xfId="6789" xr:uid="{2C32030E-3D1B-410D-99BB-17EF21ECCC7C}"/>
    <cellStyle name="A_Memo_AETV (TG Model) JULY TARGET_5520 &amp; 7500 - Distribu Business" xfId="6790" xr:uid="{2C284409-8DC3-4DE6-B7E6-1887853F24F4}"/>
    <cellStyle name="A_Memo_AETV (TG Model) JULY TARGET_6050 Ret, 7550 WED, 7600 AETV" xfId="6791" xr:uid="{CE0E9B22-A275-4F11-848A-D5EEBD8A2F88}"/>
    <cellStyle name="A_Memo_AETV (TG Model) JULY TARGET_Settings" xfId="6792" xr:uid="{1B93277E-937D-4442-89BE-791DD325F46B}"/>
    <cellStyle name="A_Memo_Construction-Monthly" xfId="6793" xr:uid="{EB4ED6BB-DA4D-47C0-A41E-473D8E7353D6}"/>
    <cellStyle name="A_Memo_Construction-Monthly_2900 - Facilities" xfId="6794" xr:uid="{29273402-0E10-4AC5-A513-508DEAC1E511}"/>
    <cellStyle name="A_Memo_Construction-Monthly_5520 &amp; 7500 - Distribu Business" xfId="6795" xr:uid="{D1D99161-D266-4200-837D-2A964B80AD27}"/>
    <cellStyle name="A_Memo_Construction-Monthly_6050 Ret, 7550 WED, 7600 AETV" xfId="6796" xr:uid="{A7B6E834-1F03-4DD4-ACFA-95956DC2508B}"/>
    <cellStyle name="A_Memo_Construction-Monthly_Settings" xfId="6797" xr:uid="{BBBBDAEE-1E35-43A8-BAA4-4C241D2D1D68}"/>
    <cellStyle name="A_Memo_Settings" xfId="6798" xr:uid="{36B4D351-0809-4E48-858B-4F546DB769A6}"/>
    <cellStyle name="A_Normal" xfId="6799" xr:uid="{CCAB629A-8A97-4DB2-90E8-020527C63D83}"/>
    <cellStyle name="A_Normal 2" xfId="8951" xr:uid="{71D41287-9908-4905-A230-D92C8CD7B64D}"/>
    <cellStyle name="A_Normal Forecast" xfId="6800" xr:uid="{58CEB65B-33FA-4C59-88BC-36387137FCAD}"/>
    <cellStyle name="A_Normal Historical" xfId="6801" xr:uid="{95D09B96-526A-42F1-9BB0-C64E67D8AFB7}"/>
    <cellStyle name="A_Normal Historical 2" xfId="8952" xr:uid="{E539E1FE-B45B-4BF5-B20D-AD56D1BA5A73}"/>
    <cellStyle name="A_Normal Historical_2900 - Facilities" xfId="6802" xr:uid="{43F8EEB2-0A3E-4EA9-9D10-091664E7F2E6}"/>
    <cellStyle name="A_Normal Historical_2900 - Facilities 2" xfId="8953" xr:uid="{072E18DC-8E9D-42B3-AF6B-D461824F4463}"/>
    <cellStyle name="A_Normal Historical_5520 &amp; 7500 - Distribu Business" xfId="6803" xr:uid="{E34018A9-AF3E-439D-8007-1CC7C183C1C6}"/>
    <cellStyle name="A_Normal Historical_5520 &amp; 7500 - Distribu Business 2" xfId="8954" xr:uid="{E509076F-4416-4356-B48E-A0DFFCDF2D49}"/>
    <cellStyle name="A_Normal Historical_6050 Ret, 7550 WED, 7600 AETV" xfId="6804" xr:uid="{C5C6DC3E-C5BE-460C-85FD-BACF0F87E2E8}"/>
    <cellStyle name="A_Normal Historical_6050 Ret, 7550 WED, 7600 AETV 2" xfId="8955" xr:uid="{B7C6375E-57EC-44AE-A0CE-8D23A61C06D9}"/>
    <cellStyle name="A_Normal Historical_AETV (TG Model) JULY TARGET" xfId="6805" xr:uid="{8078E43F-E508-4B23-9764-B279763EAC15}"/>
    <cellStyle name="A_Normal Historical_AETV (TG Model) JULY TARGET 2" xfId="8956" xr:uid="{93E43FE7-09EC-4C44-82D3-51B11366E50E}"/>
    <cellStyle name="A_Normal Historical_AETV (TG Model) JULY TARGET_2900 - Facilities" xfId="6806" xr:uid="{578A0893-D1A5-4ED7-968D-C7BFDE2BBF74}"/>
    <cellStyle name="A_Normal Historical_AETV (TG Model) JULY TARGET_2900 - Facilities 2" xfId="8957" xr:uid="{827A1E65-2A8E-4569-BE4C-4E1BBA762E92}"/>
    <cellStyle name="A_Normal Historical_AETV (TG Model) JULY TARGET_5520 &amp; 7500 - Distribu Business" xfId="6807" xr:uid="{12241BB8-C37A-44B5-B9AA-91F476F31FEA}"/>
    <cellStyle name="A_Normal Historical_AETV (TG Model) JULY TARGET_5520 &amp; 7500 - Distribu Business 2" xfId="8958" xr:uid="{967A9979-B6AA-4326-B769-8D0D89255293}"/>
    <cellStyle name="A_Normal Historical_AETV (TG Model) JULY TARGET_6050 Ret, 7550 WED, 7600 AETV" xfId="6808" xr:uid="{47FB09A7-6660-46B0-8A4B-5E6842D0B0E8}"/>
    <cellStyle name="A_Normal Historical_AETV (TG Model) JULY TARGET_6050 Ret, 7550 WED, 7600 AETV 2" xfId="8959" xr:uid="{7B24EDD0-F0AE-4487-9D16-775702A710B1}"/>
    <cellStyle name="A_Normal Historical_AETV (TG Model) JULY TARGET_Settings" xfId="6809" xr:uid="{2FEC280E-F931-4FA5-A5DD-4B4F6A4DFA30}"/>
    <cellStyle name="A_Normal Historical_AETV (TG Model) JULY TARGET_Settings 2" xfId="8960" xr:uid="{E44DFBED-7C5B-4EFB-BB3E-39F25C1DE5C5}"/>
    <cellStyle name="A_Normal Historical_Construction-Monthly" xfId="6810" xr:uid="{A5D325CF-D001-48D7-9CFD-A8271B563D9E}"/>
    <cellStyle name="A_Normal Historical_Construction-Monthly 2" xfId="8961" xr:uid="{113A3B4B-DE29-4095-A4C8-27419E58C20D}"/>
    <cellStyle name="A_Normal Historical_Construction-Monthly_2900 - Facilities" xfId="6811" xr:uid="{EEF1163C-68AB-4D8F-A043-1C806C4EB02C}"/>
    <cellStyle name="A_Normal Historical_Construction-Monthly_2900 - Facilities 2" xfId="8962" xr:uid="{6188BCF8-59FC-4223-9C24-8A6D59503C11}"/>
    <cellStyle name="A_Normal Historical_Construction-Monthly_5520 &amp; 7500 - Distribu Business" xfId="6812" xr:uid="{9B01624B-35A9-44DC-91FA-15C1C6572C79}"/>
    <cellStyle name="A_Normal Historical_Construction-Monthly_5520 &amp; 7500 - Distribu Business 2" xfId="8963" xr:uid="{62AF0F0A-CF63-49B4-AF5D-11230ECAD199}"/>
    <cellStyle name="A_Normal Historical_Construction-Monthly_6050 Ret, 7550 WED, 7600 AETV" xfId="6813" xr:uid="{9BB137B8-86C9-434A-995A-545DAF751EC6}"/>
    <cellStyle name="A_Normal Historical_Construction-Monthly_6050 Ret, 7550 WED, 7600 AETV 2" xfId="8964" xr:uid="{708C273C-CFDC-4EA8-B62C-7C7EAF7266DD}"/>
    <cellStyle name="A_Normal Historical_Construction-Monthly_Settings" xfId="6814" xr:uid="{C0A5D585-2AF6-478E-9198-A45EB82DDFE3}"/>
    <cellStyle name="A_Normal Historical_Construction-Monthly_Settings 2" xfId="8965" xr:uid="{4E718302-F8DC-4DEA-B7D2-ED6F03823E96}"/>
    <cellStyle name="A_Normal Historical_Settings" xfId="6815" xr:uid="{A524F3C6-A046-4986-A060-763CAF9D103F}"/>
    <cellStyle name="A_Normal Historical_Settings 2" xfId="8966" xr:uid="{6B5B2AEC-2A72-44F7-85AE-839C62AB82BA}"/>
    <cellStyle name="A_Normal_2900 - Facilities" xfId="6816" xr:uid="{A48E0BE5-54FC-43E9-AD1E-879FF74C4524}"/>
    <cellStyle name="A_Normal_2900 - Facilities 2" xfId="8967" xr:uid="{034F0A45-F227-46FE-97C8-F3E03A9D23C8}"/>
    <cellStyle name="A_Normal_5520 &amp; 7500 - Distribu Business" xfId="6817" xr:uid="{3EF06AFA-3FF8-43B1-A996-A312B9ED6750}"/>
    <cellStyle name="A_Normal_5520 &amp; 7500 - Distribu Business 2" xfId="8968" xr:uid="{5A445E02-D4A3-4477-AA71-C3E9AEA88211}"/>
    <cellStyle name="A_Normal_6050 Ret, 7550 WED, 7600 AETV" xfId="6818" xr:uid="{4598F58F-AAED-487A-AC49-00DEB9DCD98B}"/>
    <cellStyle name="A_Normal_6050 Ret, 7550 WED, 7600 AETV 2" xfId="8969" xr:uid="{3D0833AB-7F07-429C-9FA6-4CBF15F4FDAF}"/>
    <cellStyle name="A_Normal_AETV (TG Model) JULY TARGET" xfId="6819" xr:uid="{6A37B5B4-3BF8-4097-AB6A-1D111AD081F6}"/>
    <cellStyle name="A_Normal_AETV (TG Model) JULY TARGET 2" xfId="8970" xr:uid="{4DAF57B1-829B-406C-87BC-3DE0653CA337}"/>
    <cellStyle name="A_Normal_AETV (TG Model) JULY TARGET_2900 - Facilities" xfId="6820" xr:uid="{66D4B6D3-87CF-4126-ABD3-181F4B9F34F4}"/>
    <cellStyle name="A_Normal_AETV (TG Model) JULY TARGET_2900 - Facilities 2" xfId="8971" xr:uid="{C21424A7-EF03-4C4F-B916-3ED13AA6253F}"/>
    <cellStyle name="A_Normal_AETV (TG Model) JULY TARGET_5520 &amp; 7500 - Distribu Business" xfId="6821" xr:uid="{8B99455F-0B08-4C5E-B2E4-4A52E5B02FAE}"/>
    <cellStyle name="A_Normal_AETV (TG Model) JULY TARGET_5520 &amp; 7500 - Distribu Business 2" xfId="8972" xr:uid="{9242D198-0EDD-4E8D-899D-22A753AF8BA5}"/>
    <cellStyle name="A_Normal_AETV (TG Model) JULY TARGET_6050 Ret, 7550 WED, 7600 AETV" xfId="6822" xr:uid="{A9B62AE8-3081-416B-9725-512FBE8A580E}"/>
    <cellStyle name="A_Normal_AETV (TG Model) JULY TARGET_6050 Ret, 7550 WED, 7600 AETV 2" xfId="8973" xr:uid="{2C6F5FF3-BE47-435D-9085-A158BCB5FDBE}"/>
    <cellStyle name="A_Normal_AETV (TG Model) JULY TARGET_Settings" xfId="6823" xr:uid="{118E7313-2CA9-4D4F-8EC9-874B57201761}"/>
    <cellStyle name="A_Normal_AETV (TG Model) JULY TARGET_Settings 2" xfId="8974" xr:uid="{AF708DD1-3404-4081-AC3D-435207A25861}"/>
    <cellStyle name="A_Normal_Construction-Monthly" xfId="6824" xr:uid="{743A4B3E-09E2-421E-A4D2-E635625001F2}"/>
    <cellStyle name="A_Normal_Construction-Monthly 2" xfId="8975" xr:uid="{F8ACDF62-46E7-465E-8985-3F9B4C6CA678}"/>
    <cellStyle name="A_Normal_Construction-Monthly_2900 - Facilities" xfId="6825" xr:uid="{AD6717D6-4EB6-4815-B500-C75256B01386}"/>
    <cellStyle name="A_Normal_Construction-Monthly_2900 - Facilities 2" xfId="8976" xr:uid="{2440CC9B-90DA-470C-A22B-3F7A2905FB08}"/>
    <cellStyle name="A_Normal_Construction-Monthly_5520 &amp; 7500 - Distribu Business" xfId="6826" xr:uid="{6FDCA439-9DEB-4D31-9073-597BEEF8D844}"/>
    <cellStyle name="A_Normal_Construction-Monthly_5520 &amp; 7500 - Distribu Business 2" xfId="8977" xr:uid="{249CC3B9-C5F1-4DD1-818B-7FB5545AFCE0}"/>
    <cellStyle name="A_Normal_Construction-Monthly_6050 Ret, 7550 WED, 7600 AETV" xfId="6827" xr:uid="{117AAE1C-7DB1-4202-9765-6ED456B82506}"/>
    <cellStyle name="A_Normal_Construction-Monthly_6050 Ret, 7550 WED, 7600 AETV 2" xfId="8978" xr:uid="{EE1E95E5-87CE-4F0B-AF0B-5771739DB32D}"/>
    <cellStyle name="A_Normal_Construction-Monthly_Settings" xfId="6828" xr:uid="{3A3FC1B8-FC3F-490E-B6E9-7E96B2415194}"/>
    <cellStyle name="A_Normal_Construction-Monthly_Settings 2" xfId="8979" xr:uid="{25A6EB7A-A16E-4470-A8E7-86CAD4F7748B}"/>
    <cellStyle name="A_Normal_Settings" xfId="6829" xr:uid="{C134715F-8A20-4D7A-80F5-1CCEE5CB73D1}"/>
    <cellStyle name="A_Normal_Settings 2" xfId="8980" xr:uid="{7629438C-2BC0-4F5F-B23F-22B2585CE47F}"/>
    <cellStyle name="A_Rate_Data" xfId="6830" xr:uid="{665D19AA-AA49-4DC9-A536-F1F2B0902673}"/>
    <cellStyle name="A_Rate_Data Historical" xfId="6831" xr:uid="{962D2CFF-72E9-4891-82FC-A9C1EE7CF0B1}"/>
    <cellStyle name="A_Rate_Data Historical 2" xfId="8981" xr:uid="{B27A054B-D0D9-4702-82FA-1D0D56C07071}"/>
    <cellStyle name="A_Rate_Title" xfId="6832" xr:uid="{4494C09F-682E-48B9-A533-D2A0D4AC7AE1}"/>
    <cellStyle name="A_Simple Title" xfId="6833" xr:uid="{E533AED0-43B6-4962-BEB7-45E05155B3F9}"/>
    <cellStyle name="A_Simple Title 2" xfId="9830" xr:uid="{6C73F814-D8D7-4C22-AAFB-DC5F2E5E7E7F}"/>
    <cellStyle name="A_Simple Title 2 2" xfId="18876" xr:uid="{B014A87F-9BBF-4F16-B4B6-D3FC068FB336}"/>
    <cellStyle name="A_Simple Title 2 3" xfId="23532" xr:uid="{CE0509DE-89FF-4DD7-AEB5-CBF267792BB2}"/>
    <cellStyle name="A_Simple Title 3" xfId="14347" xr:uid="{70FC7295-983C-49F7-89A0-B88E508DD2FE}"/>
    <cellStyle name="A_Simple Title 4" xfId="17890" xr:uid="{9632E2CD-A7B1-4050-A351-818E9E814772}"/>
    <cellStyle name="A_Simple Title 5" xfId="23332" xr:uid="{1B3FF37D-AD62-4D65-96CF-85D31FF6F952}"/>
    <cellStyle name="A_Sum" xfId="6834" xr:uid="{21961712-2142-47E9-A9D0-C874D59B71AC}"/>
    <cellStyle name="A_Sum 2" xfId="8982" xr:uid="{02F71554-FA8C-4339-96E9-A02DE4E7DFDE}"/>
    <cellStyle name="A_SUM_Row Major" xfId="6835" xr:uid="{C3D42559-260A-47F5-8C93-1FF5BF1FACB4}"/>
    <cellStyle name="A_SUM_Row Major 2" xfId="9741" xr:uid="{5602BE7B-7CA9-40BF-AD13-F01C66938AC9}"/>
    <cellStyle name="A_SUM_Row Major 2 2" xfId="18787" xr:uid="{5D39BB2D-127E-4958-A293-709A109157CA}"/>
    <cellStyle name="A_SUM_Row Major 2 3" xfId="23533" xr:uid="{40824A32-29E2-414B-887F-603D6F3C1BA4}"/>
    <cellStyle name="A_SUM_Row Major 3" xfId="14348" xr:uid="{E3499AE5-61A2-4BE7-B4EE-D0179478BB3A}"/>
    <cellStyle name="A_SUM_Row Major 4" xfId="17891" xr:uid="{3A545C38-5CD6-46F8-B2BE-F1AB8FEF6C66}"/>
    <cellStyle name="A_SUM_Row Major 5" xfId="23333" xr:uid="{73E5A4F4-65EF-404E-86A8-6FEB1EBDFD34}"/>
    <cellStyle name="A_SUM_Row Minor" xfId="6836" xr:uid="{1DADE022-B339-42ED-88CF-892F16FBAA87}"/>
    <cellStyle name="A_SUM_Row Minor 2" xfId="9829" xr:uid="{3256B0C8-E810-44BB-8DD9-13BFF65DA3ED}"/>
    <cellStyle name="A_SUM_Row Minor 2 2" xfId="18875" xr:uid="{E754F538-9E98-43A4-98C6-777668899BCD}"/>
    <cellStyle name="A_SUM_Row Minor 2 3" xfId="23534" xr:uid="{D8178171-3840-4521-B44F-472A7B851C2A}"/>
    <cellStyle name="A_SUM_Row Minor 3" xfId="14349" xr:uid="{85DD0345-DFE3-4BAD-AB77-E7D123A54151}"/>
    <cellStyle name="A_SUM_Row Minor 4" xfId="17892" xr:uid="{521A11FA-ED03-4D53-9E0B-99B6149CA411}"/>
    <cellStyle name="A_SUM_Row Minor 5" xfId="23334" xr:uid="{E6927598-6204-4EBC-AFF6-C742FA23E913}"/>
    <cellStyle name="A_Title" xfId="6837" xr:uid="{87EF2BF6-8F27-41E9-8461-6F4CCF1D4208}"/>
    <cellStyle name="A_Title 2" xfId="8983" xr:uid="{3EFEE0D9-0894-45B3-8E61-339848062C6D}"/>
    <cellStyle name="A_YearHeadings" xfId="6838" xr:uid="{B3D82EFC-8546-43FD-A5B5-128400B11CBB}"/>
    <cellStyle name="Accent1 - 20%" xfId="86" xr:uid="{5D22A355-7155-40EA-B3C7-0539C6EA326C}"/>
    <cellStyle name="Accent1 - 20% 2" xfId="3814" xr:uid="{83F40917-3EC3-4DEF-8E61-06A4E0CE03ED}"/>
    <cellStyle name="Accent1 - 20% 2 2" xfId="8878" xr:uid="{5BFBE9BD-64BF-4A48-8DE9-C45962642342}"/>
    <cellStyle name="Accent1 - 20% 3" xfId="3547" xr:uid="{E4F795DF-14E1-414F-A523-E036105403EB}"/>
    <cellStyle name="Accent1 - 20% 3 2" xfId="6483" xr:uid="{15582779-4DC0-471C-9144-7916BD2DCBAC}"/>
    <cellStyle name="Accent1 - 20% 4" xfId="8915" xr:uid="{8F757026-6141-42EE-95EB-1620C8382C09}"/>
    <cellStyle name="Accent1 - 40%" xfId="87" xr:uid="{6EA713BF-29DF-4695-908B-7C80FF4456ED}"/>
    <cellStyle name="Accent1 - 40% 2" xfId="3815" xr:uid="{A2ABF674-C2F8-4975-86A0-C0D5591412CC}"/>
    <cellStyle name="Accent1 - 40% 2 2" xfId="8879" xr:uid="{6C21EAA9-332F-41D0-BEF7-811B8CCE83B0}"/>
    <cellStyle name="Accent1 - 40% 3" xfId="3548" xr:uid="{7502D9CE-DBA5-4F7A-844E-48D9784C5350}"/>
    <cellStyle name="Accent1 - 40% 3 2" xfId="6479" xr:uid="{4D8BC607-93AB-4C00-83A8-C5322B3034FF}"/>
    <cellStyle name="Accent1 - 40% 4" xfId="8916" xr:uid="{A0E0A6AB-8D8E-45CB-8AF6-2C2F2DBE5F82}"/>
    <cellStyle name="Accent1 - 60%" xfId="88" xr:uid="{6D3C52DC-003C-4964-B34B-B4EE2223BCB5}"/>
    <cellStyle name="Accent1 - 60% 2" xfId="3816" xr:uid="{209E7EED-0584-42E3-94DD-987C771D22C3}"/>
    <cellStyle name="Accent1 - 60% 2 2" xfId="6487" xr:uid="{3A3CCDC0-B6DC-481E-844C-B6AD692C5F38}"/>
    <cellStyle name="Accent1 - 60% 3" xfId="3549" xr:uid="{55A37E9A-8B88-4ADA-A6D0-9DDDA706449B}"/>
    <cellStyle name="Accent1 - 60% 3 2" xfId="8902" xr:uid="{B3E2F92C-4196-4D08-BB1A-B0D27696058D}"/>
    <cellStyle name="Accent1 10" xfId="6839" xr:uid="{9F9783A5-2FEB-4C98-8D90-3225A70B2DDB}"/>
    <cellStyle name="Accent1 11" xfId="6840" xr:uid="{DCBCBE8C-00BA-4F09-83F8-FFBB03901E9B}"/>
    <cellStyle name="Accent1 12" xfId="6841" xr:uid="{C00F1770-8D66-441A-AAAE-F042BC8AB083}"/>
    <cellStyle name="Accent1 2" xfId="89" xr:uid="{2D26A297-A0C8-4EB2-95E5-24984F512F94}"/>
    <cellStyle name="Accent1 2 2" xfId="3817" xr:uid="{812BF242-8374-4095-A422-31F55A816B6F}"/>
    <cellStyle name="Accent1 2 2 2" xfId="14350" xr:uid="{CDDE2322-C377-44B5-B8B9-78270B41344E}"/>
    <cellStyle name="Accent1 2 3" xfId="3550" xr:uid="{2793BD0A-8E3C-40D9-8E1D-CE1F9A70397E}"/>
    <cellStyle name="Accent1 2 4" xfId="6842" xr:uid="{325EE9E2-9FC6-4532-B76D-C32212E51759}"/>
    <cellStyle name="Accent1 3" xfId="6843" xr:uid="{40DD0BBA-56A7-4C2D-820B-0A707349F19A}"/>
    <cellStyle name="Accent1 4" xfId="6844" xr:uid="{7FF071BD-3950-4D51-A346-5D9A783ED7CB}"/>
    <cellStyle name="Accent1 5" xfId="6845" xr:uid="{F61C1A3F-B8F1-4F7C-AEBB-588943E25B97}"/>
    <cellStyle name="Accent1 6" xfId="6846" xr:uid="{C9F31D7C-5DD5-4007-9060-89CC84072E04}"/>
    <cellStyle name="Accent1 7" xfId="6847" xr:uid="{A050D1F2-E26D-46EE-AF70-A4FA2D630F08}"/>
    <cellStyle name="Accent1 8" xfId="6848" xr:uid="{EF46DC4C-9213-4EF7-83E9-655694277953}"/>
    <cellStyle name="Accent1 9" xfId="6849" xr:uid="{7C4A1E10-36CD-42B1-AF05-F98BEA6B5B9F}"/>
    <cellStyle name="Accent2 - 20%" xfId="90" xr:uid="{1557C87E-3888-489D-B73C-809409ADB180}"/>
    <cellStyle name="Accent2 - 20% 2" xfId="3818" xr:uid="{FFAEA4C2-D7B2-4FE4-A077-FEC6763FB03A}"/>
    <cellStyle name="Accent2 - 20% 2 2" xfId="8880" xr:uid="{676006E4-576A-4355-9123-E70D8D2754C9}"/>
    <cellStyle name="Accent2 - 20% 3" xfId="3551" xr:uid="{B04C5967-4C7E-4334-9C08-3AE80113BF4E}"/>
    <cellStyle name="Accent2 - 20% 3 2" xfId="6486" xr:uid="{D7A15A73-0643-491C-9E44-30BC7EB2C9F4}"/>
    <cellStyle name="Accent2 - 20% 4" xfId="8903" xr:uid="{D2A86A51-EA50-4403-86F1-C407B7DB3839}"/>
    <cellStyle name="Accent2 - 40%" xfId="91" xr:uid="{25EDAD5E-443D-459E-B637-D05D915DD1F9}"/>
    <cellStyle name="Accent2 - 40% 2" xfId="3819" xr:uid="{8281A3FB-E6D5-4E14-A291-34EE9AC784F4}"/>
    <cellStyle name="Accent2 - 40% 2 2" xfId="8881" xr:uid="{CAB4F467-5661-4DD0-81D9-95B9F7DC3033}"/>
    <cellStyle name="Accent2 - 40% 3" xfId="3552" xr:uid="{7A4A5ABC-9F09-49A1-BE88-F8FCC79C3873}"/>
    <cellStyle name="Accent2 - 40% 3 2" xfId="6484" xr:uid="{6173ED58-646A-4E56-9642-E51D4711BB22}"/>
    <cellStyle name="Accent2 - 40% 4" xfId="8917" xr:uid="{78CFEAE7-27C4-4C8D-84BC-8B625DCC3FDB}"/>
    <cellStyle name="Accent2 - 60%" xfId="92" xr:uid="{9666BE2E-547E-4A06-B464-15CBA929C6D0}"/>
    <cellStyle name="Accent2 - 60% 2" xfId="3820" xr:uid="{50B26CC4-3317-4635-B765-62E46A40785E}"/>
    <cellStyle name="Accent2 - 60% 2 2" xfId="8815" xr:uid="{F2500988-5546-473F-BF31-AFDD4A07427B}"/>
    <cellStyle name="Accent2 - 60% 3" xfId="3553" xr:uid="{53EEB793-BBE9-40CE-BE4E-4E293CA95218}"/>
    <cellStyle name="Accent2 - 60% 3 2" xfId="8918" xr:uid="{325B35B8-E794-4ECE-BBF0-7B06FF281182}"/>
    <cellStyle name="Accent2 10" xfId="6850" xr:uid="{07EB5BE1-4506-4E57-8984-41D1BA827300}"/>
    <cellStyle name="Accent2 11" xfId="6851" xr:uid="{3AA29122-2AF5-4F2F-B254-C669A9CE0174}"/>
    <cellStyle name="Accent2 12" xfId="6852" xr:uid="{9298B467-1ED3-423C-9A2A-5AA4D0AD3F4B}"/>
    <cellStyle name="Accent2 2" xfId="93" xr:uid="{612DE304-C1DD-413E-B50F-EBCB1D58BA1F}"/>
    <cellStyle name="Accent2 2 2" xfId="3821" xr:uid="{E48998CE-BEF7-4961-A5BF-C2D6A6292C05}"/>
    <cellStyle name="Accent2 2 3" xfId="3554" xr:uid="{C90846A1-76E9-489F-8213-E7E4A77B7145}"/>
    <cellStyle name="Accent2 3" xfId="6853" xr:uid="{E4A3016D-7FDB-47EF-BAF8-B15DF97F1C28}"/>
    <cellStyle name="Accent2 4" xfId="6854" xr:uid="{5F73C45D-1DAF-4A53-AEFC-74A09B8F5906}"/>
    <cellStyle name="Accent2 5" xfId="6855" xr:uid="{1722112B-45EC-452E-BABE-ED3B86871BF0}"/>
    <cellStyle name="Accent2 6" xfId="6856" xr:uid="{19FACACD-52A7-48F3-89ED-EDECB0D16EB8}"/>
    <cellStyle name="Accent2 7" xfId="6857" xr:uid="{6C14CD76-EE13-4C38-90F7-47A7C6B972FC}"/>
    <cellStyle name="Accent2 8" xfId="6858" xr:uid="{430D294C-2AFB-406D-8EE8-687F751B757F}"/>
    <cellStyle name="Accent2 9" xfId="6859" xr:uid="{8A7D99FA-4AE0-45CA-85A8-0B7D7E003D65}"/>
    <cellStyle name="Accent3 - 20%" xfId="94" xr:uid="{07E139FF-E002-4D8D-8B1B-53790A7998F4}"/>
    <cellStyle name="Accent3 - 20% 2" xfId="3822" xr:uid="{BE573A75-832C-4D10-8D9E-0B0EC8412888}"/>
    <cellStyle name="Accent3 - 20% 2 2" xfId="8882" xr:uid="{1300914A-0D1A-421C-B652-464B650FECB8}"/>
    <cellStyle name="Accent3 - 20% 3" xfId="3555" xr:uid="{00284538-FD11-4946-AEEF-9D65FFA8BD21}"/>
    <cellStyle name="Accent3 - 20% 3 2" xfId="8816" xr:uid="{1FB5402E-2114-43A8-B2EF-42D807AAC167}"/>
    <cellStyle name="Accent3 - 20% 4" xfId="8919" xr:uid="{33B8533E-D8B2-4D10-BDF2-F4B14CA27C0B}"/>
    <cellStyle name="Accent3 - 40%" xfId="95" xr:uid="{8B7E51D1-666A-402A-8888-E45526167F0A}"/>
    <cellStyle name="Accent3 - 40% 2" xfId="3823" xr:uid="{EC92FC6D-E614-4DF1-8AA4-27311CAC689A}"/>
    <cellStyle name="Accent3 - 40% 2 2" xfId="8883" xr:uid="{ECE8D7B2-5623-4F72-8F9A-314546D72ACE}"/>
    <cellStyle name="Accent3 - 40% 3" xfId="3556" xr:uid="{9E066143-FAF3-4BF5-A8AA-FAAD39115D2F}"/>
    <cellStyle name="Accent3 - 40% 3 2" xfId="8817" xr:uid="{DA599C33-4599-4DEB-A047-92D9EB414C51}"/>
    <cellStyle name="Accent3 - 40% 4" xfId="8920" xr:uid="{864D90F1-74A9-4C68-B0AF-6E2FA14F2F20}"/>
    <cellStyle name="Accent3 - 60%" xfId="96" xr:uid="{B44DC06C-C96D-4C32-AE09-B6E27593CAB9}"/>
    <cellStyle name="Accent3 - 60% 2" xfId="3824" xr:uid="{9962A861-E030-4601-B77D-C8435EF9CC57}"/>
    <cellStyle name="Accent3 - 60% 2 2" xfId="8818" xr:uid="{27A34656-5480-4F04-A559-4FCDD847269C}"/>
    <cellStyle name="Accent3 - 60% 3" xfId="3557" xr:uid="{A70EDF02-567D-4DC6-B210-391204F2D799}"/>
    <cellStyle name="Accent3 - 60% 3 2" xfId="8921" xr:uid="{806EE9C9-5F5B-4D10-90B8-F26EB65CEF42}"/>
    <cellStyle name="Accent3 10" xfId="6860" xr:uid="{512309A4-07E7-4524-9F86-1CF3540BC713}"/>
    <cellStyle name="Accent3 11" xfId="6861" xr:uid="{C31D8ACF-BBD9-403E-B163-C423EB117F97}"/>
    <cellStyle name="Accent3 12" xfId="6862" xr:uid="{F3510DC6-769C-4A7E-8C90-F3D4F4FBE907}"/>
    <cellStyle name="Accent3 2" xfId="97" xr:uid="{DF23DF5C-B932-4FAE-BE6E-9CD06CE399B9}"/>
    <cellStyle name="Accent3 2 2" xfId="3825" xr:uid="{682F860D-F3F4-4FF2-B837-FE185830C2D0}"/>
    <cellStyle name="Accent3 2 3" xfId="3558" xr:uid="{81B959CE-22A1-4A29-86EA-A2BB17CA09D2}"/>
    <cellStyle name="Accent3 3" xfId="6863" xr:uid="{706A2E03-2BA2-4105-B4EA-662D00813E46}"/>
    <cellStyle name="Accent3 4" xfId="6864" xr:uid="{EFFBC2DE-BA18-4506-BB14-19A3A5728452}"/>
    <cellStyle name="Accent3 5" xfId="6865" xr:uid="{E824D584-F72D-4F50-A233-FF4CBA208977}"/>
    <cellStyle name="Accent3 6" xfId="6866" xr:uid="{151ADF73-8119-4F6D-8411-EEBB1B4DC152}"/>
    <cellStyle name="Accent3 7" xfId="6867" xr:uid="{C71F76DF-7354-43D0-AFE9-0F809FF986A2}"/>
    <cellStyle name="Accent3 8" xfId="6868" xr:uid="{065354F7-1C64-453F-B2CA-9E39CAB19B3F}"/>
    <cellStyle name="Accent3 9" xfId="6869" xr:uid="{CAF71342-2761-4E54-9B65-D6C33631CDE6}"/>
    <cellStyle name="Accent4 - 20%" xfId="98" xr:uid="{B11F218D-A7F8-4D05-8BEC-7783992C3C1D}"/>
    <cellStyle name="Accent4 - 20% 2" xfId="3826" xr:uid="{D1E1C756-E462-4E11-9B48-AEF2BFD68071}"/>
    <cellStyle name="Accent4 - 20% 2 2" xfId="8884" xr:uid="{B95865D6-3E4F-4D98-A315-9D2E3B1C68D6}"/>
    <cellStyle name="Accent4 - 20% 3" xfId="3559" xr:uid="{236299CC-BED9-417C-A682-6FD8C3AA4158}"/>
    <cellStyle name="Accent4 - 40%" xfId="99" xr:uid="{1885EFC3-7DE5-4D78-B8D4-87845AC8EA1F}"/>
    <cellStyle name="Accent4 - 40% 2" xfId="3827" xr:uid="{E83770E8-4F9B-4C62-9B61-E8416A87A730}"/>
    <cellStyle name="Accent4 - 40% 2 2" xfId="8885" xr:uid="{23D66900-A887-4F83-A9DD-3C729B025856}"/>
    <cellStyle name="Accent4 - 40% 3" xfId="3560" xr:uid="{CBB61615-B5B4-406F-8879-BBE247C00974}"/>
    <cellStyle name="Accent4 - 40% 3 2" xfId="8819" xr:uid="{E35BE6DE-B0AC-4BB6-B15D-DBFCFE1B744F}"/>
    <cellStyle name="Accent4 - 40% 4" xfId="8922" xr:uid="{AC45234C-0C6C-4D3F-9805-1EF13F17823E}"/>
    <cellStyle name="Accent4 - 60%" xfId="100" xr:uid="{6AEA1B3D-EBCE-4AC0-87CE-22D13E3FACE9}"/>
    <cellStyle name="Accent4 - 60% 2" xfId="3828" xr:uid="{205F89E5-FB8D-41FF-ADC1-C149ABC39C4B}"/>
    <cellStyle name="Accent4 - 60% 2 2" xfId="8820" xr:uid="{93197AB1-598E-4F41-B937-765179912B05}"/>
    <cellStyle name="Accent4 - 60% 3" xfId="3561" xr:uid="{4089E666-3180-46B1-B7EF-9C244F5BE8EA}"/>
    <cellStyle name="Accent4 - 60% 3 2" xfId="8909" xr:uid="{9A16C113-1640-4B6A-B693-2F7F49F2881F}"/>
    <cellStyle name="Accent4 10" xfId="6870" xr:uid="{FD1D1E71-0735-4DD5-8C67-48D99ADC668F}"/>
    <cellStyle name="Accent4 11" xfId="6871" xr:uid="{9EB20EAE-7F2B-4D18-897D-E0403216488D}"/>
    <cellStyle name="Accent4 12" xfId="6872" xr:uid="{61E03AA3-D7DE-41FE-924B-158E262302B2}"/>
    <cellStyle name="Accent4 2" xfId="101" xr:uid="{AD5175C3-0FDC-46BD-88F3-491E3490BFE6}"/>
    <cellStyle name="Accent4 2 2" xfId="3829" xr:uid="{7436B7E4-7BA2-4FBB-B75C-5CEFB7B40EFC}"/>
    <cellStyle name="Accent4 2 2 2" xfId="14351" xr:uid="{6BA7886B-87D2-4113-B3E9-9CD8E9BE06D9}"/>
    <cellStyle name="Accent4 2 3" xfId="3562" xr:uid="{1936C8A9-F36A-49F5-A3A5-944958C7AAEF}"/>
    <cellStyle name="Accent4 2 4" xfId="6873" xr:uid="{9CEC0F9E-D020-4B78-AE0A-B635BD174AEC}"/>
    <cellStyle name="Accent4 3" xfId="6874" xr:uid="{652F33D0-409A-4533-B673-71EFA94B8990}"/>
    <cellStyle name="Accent4 4" xfId="6875" xr:uid="{5F7D656D-84C2-42A3-9FE2-982EE41DF587}"/>
    <cellStyle name="Accent4 5" xfId="6876" xr:uid="{3B02B94F-8C3B-46F1-B918-562E0E5CD9DD}"/>
    <cellStyle name="Accent4 6" xfId="6877" xr:uid="{4D63B9CC-B5C3-4FE2-BEF1-678CBD0FD0F6}"/>
    <cellStyle name="Accent4 7" xfId="6878" xr:uid="{C0E19F77-D543-47E8-818B-66C7D897B46C}"/>
    <cellStyle name="Accent4 8" xfId="6879" xr:uid="{C35E5D6B-27FD-44A0-A019-3ED5BEEA172A}"/>
    <cellStyle name="Accent4 9" xfId="6880" xr:uid="{61DF02C0-8AA0-489B-AE16-1EEAF3FDB3A8}"/>
    <cellStyle name="Accent5 - 20%" xfId="102" xr:uid="{2C655CEE-63C7-4170-B083-DD1087928E85}"/>
    <cellStyle name="Accent5 - 20% 2" xfId="3830" xr:uid="{239A70BA-ABBD-4EA0-A8E8-CD7AA1D942AC}"/>
    <cellStyle name="Accent5 - 20% 2 2" xfId="8886" xr:uid="{B93932BD-1AED-4531-A5CA-A27A1FB303A7}"/>
    <cellStyle name="Accent5 - 20% 3" xfId="3563" xr:uid="{D0AA0F2A-A223-49AF-A26C-1CA9491C2C2F}"/>
    <cellStyle name="Accent5 - 20% 3 2" xfId="8821" xr:uid="{A18A2937-7752-4AAE-B804-2BF23E45E713}"/>
    <cellStyle name="Accent5 - 20% 4" xfId="8923" xr:uid="{E6F937FA-1809-449C-BBBD-164585246BA1}"/>
    <cellStyle name="Accent5 - 40%" xfId="103" xr:uid="{ECC3AB16-0B62-4257-8EFC-E30122B9EA21}"/>
    <cellStyle name="Accent5 - 40% 2" xfId="3831" xr:uid="{26445EF2-13B0-4CFD-B103-1C17CBB5EEE7}"/>
    <cellStyle name="Accent5 - 40% 2 2" xfId="8887" xr:uid="{D67C0AE7-4991-4FCD-BEAB-FF5C886E2E49}"/>
    <cellStyle name="Accent5 - 40% 3" xfId="3564" xr:uid="{49EA7045-37E5-4D90-B280-9CE3D67E858B}"/>
    <cellStyle name="Accent5 - 40% 3 2" xfId="8822" xr:uid="{407ABB0F-99AD-4A1F-BC1F-22A8FDD26CDB}"/>
    <cellStyle name="Accent5 - 40% 4" xfId="8937" xr:uid="{01295A73-D7FE-426C-9C42-F5CBCB36D368}"/>
    <cellStyle name="Accent5 - 60%" xfId="104" xr:uid="{B68B6D1E-A487-43EC-A3DA-5267C89301E7}"/>
    <cellStyle name="Accent5 - 60% 2" xfId="3832" xr:uid="{FE772CC8-4F17-480D-B141-F76D70D4A2B0}"/>
    <cellStyle name="Accent5 - 60% 2 2" xfId="8823" xr:uid="{4DD38511-CE18-49D9-9BFD-784635DA3040}"/>
    <cellStyle name="Accent5 - 60% 3" xfId="3565" xr:uid="{02E34002-5E5B-400B-9F61-3780801D7F9A}"/>
    <cellStyle name="Accent5 - 60% 3 2" xfId="8924" xr:uid="{A2309303-AA10-45CC-B496-F96EA41AAA1B}"/>
    <cellStyle name="Accent5 10" xfId="6881" xr:uid="{60B597CF-E69C-437F-AF00-85A86727036E}"/>
    <cellStyle name="Accent5 11" xfId="6882" xr:uid="{67262B26-268B-4DF5-92E1-A9C54B24D833}"/>
    <cellStyle name="Accent5 12" xfId="6883" xr:uid="{4ADB7E75-61F0-489D-9D80-064D62FBA733}"/>
    <cellStyle name="Accent5 2" xfId="105" xr:uid="{7A024916-36D5-4AF1-A234-30C99B0376FD}"/>
    <cellStyle name="Accent5 2 2" xfId="3833" xr:uid="{1A4C3600-8FBD-4D56-812A-444FB134A58A}"/>
    <cellStyle name="Accent5 2 3" xfId="3566" xr:uid="{88CDB271-A4D0-4C12-BB5A-2926EC57D061}"/>
    <cellStyle name="Accent5 3" xfId="6884" xr:uid="{5A025E53-0A9A-4388-AE4C-EF30DDFC5E07}"/>
    <cellStyle name="Accent5 4" xfId="6885" xr:uid="{503D06A9-6244-41E5-8D34-96DE2FE45B25}"/>
    <cellStyle name="Accent5 5" xfId="6886" xr:uid="{8C1CA67E-DEA5-42A9-91F2-4CB77221DD51}"/>
    <cellStyle name="Accent5 6" xfId="6887" xr:uid="{06EB24DD-D6F5-407C-96EF-65D370BCAD3A}"/>
    <cellStyle name="Accent5 7" xfId="6888" xr:uid="{25D2FAD6-3C5E-4A5E-B479-208A1AC189D7}"/>
    <cellStyle name="Accent5 8" xfId="6889" xr:uid="{C485539B-9123-4C12-8ECF-4C50C1122CAC}"/>
    <cellStyle name="Accent5 9" xfId="6890" xr:uid="{604E1AE8-0149-4455-B356-7EE87F5C2838}"/>
    <cellStyle name="Accent6 - 20%" xfId="106" xr:uid="{8CA6CA9B-A84D-49C6-A933-60D6BFF46397}"/>
    <cellStyle name="Accent6 - 20% 2" xfId="3834" xr:uid="{5746715C-9247-473F-AC3A-FD4EBEAC26B3}"/>
    <cellStyle name="Accent6 - 20% 2 2" xfId="8888" xr:uid="{40DA54F4-A01D-469B-B357-EAFF970BB79A}"/>
    <cellStyle name="Accent6 - 20% 3" xfId="3567" xr:uid="{F9F25087-CED1-4E1D-8800-0BE54E5BB4E6}"/>
    <cellStyle name="Accent6 - 40%" xfId="107" xr:uid="{7C358834-0DBF-4B50-9A90-44FF5EE87CAB}"/>
    <cellStyle name="Accent6 - 40% 2" xfId="3835" xr:uid="{FFCDBD5F-DBF7-4276-A4CF-9B5FBC50BB0F}"/>
    <cellStyle name="Accent6 - 40% 2 2" xfId="8889" xr:uid="{AD942F3A-2409-485E-AEB8-CE5C7005096D}"/>
    <cellStyle name="Accent6 - 40% 3" xfId="3568" xr:uid="{F43E6DFA-2FBD-458A-932B-2F2EEFEB8693}"/>
    <cellStyle name="Accent6 - 60%" xfId="108" xr:uid="{6FCA99B6-51A9-4A96-B5DB-7217FC11127C}"/>
    <cellStyle name="Accent6 - 60% 2" xfId="3836" xr:uid="{8EB0414E-F3BB-47FC-AEB4-C53ABBCDA511}"/>
    <cellStyle name="Accent6 - 60% 2 2" xfId="8825" xr:uid="{61A11AF9-A404-42AD-AD9A-894C55B117AF}"/>
    <cellStyle name="Accent6 - 60% 3" xfId="3569" xr:uid="{7D802C14-4489-4012-A24D-538688E49C71}"/>
    <cellStyle name="Accent6 - 60% 3 2" xfId="8925" xr:uid="{E651A754-E1BE-4F31-B3FE-F5399E4A26E3}"/>
    <cellStyle name="Accent6 10" xfId="6891" xr:uid="{845449B5-9480-4E90-AB2D-EF4EC1A9E188}"/>
    <cellStyle name="Accent6 11" xfId="6892" xr:uid="{6524B140-F3EA-4944-BBC7-E2ECEA923F96}"/>
    <cellStyle name="Accent6 12" xfId="6893" xr:uid="{DFCD6C75-F598-48A1-9771-A2383FB1191B}"/>
    <cellStyle name="Accent6 2" xfId="109" xr:uid="{A2AD4506-C994-4EA5-8DF9-975D83B2B5FE}"/>
    <cellStyle name="Accent6 2 2" xfId="3837" xr:uid="{F65593A5-5A97-47C0-AA6C-8EDBF045C295}"/>
    <cellStyle name="Accent6 2 3" xfId="3570" xr:uid="{336FE1D2-DFD9-458E-A381-D0B9120E48A9}"/>
    <cellStyle name="Accent6 3" xfId="676" xr:uid="{E35A9371-0306-44CA-A5F9-ABFB43B02A33}"/>
    <cellStyle name="Accent6 3 2" xfId="6894" xr:uid="{AC103F81-2136-41C5-8AD5-25C4D2A8BFCC}"/>
    <cellStyle name="Accent6 4" xfId="6895" xr:uid="{CAEF471E-7713-4E56-9B8D-8780C0978A9E}"/>
    <cellStyle name="Accent6 5" xfId="6896" xr:uid="{2A7D56C7-7487-4BB0-BA0A-13120F2D5D5F}"/>
    <cellStyle name="Accent6 6" xfId="6897" xr:uid="{60E617F0-183D-40A7-9718-419FE9DA87BD}"/>
    <cellStyle name="Accent6 7" xfId="6898" xr:uid="{38FF3785-1DED-4D94-B3EB-1014FD754626}"/>
    <cellStyle name="Accent6 8" xfId="6899" xr:uid="{47FB1CCE-73DE-4F44-80CF-F23318BC7913}"/>
    <cellStyle name="Accent6 9" xfId="6900" xr:uid="{54F8AA7D-5A24-40EA-987C-8FFE3944348A}"/>
    <cellStyle name="Account Heading" xfId="677" xr:uid="{B2628746-5B14-4F24-B025-4157ABB056CB}"/>
    <cellStyle name="Accounts Ref" xfId="2268" xr:uid="{9D13DE35-F010-4026-8D23-ECE7AAC8585A}"/>
    <cellStyle name="AFE" xfId="6901" xr:uid="{07EC3D2F-640F-433A-AD59-0C909CA80125}"/>
    <cellStyle name="Agara" xfId="110" xr:uid="{EFD60587-B4DF-4808-B4F0-3144256C5B63}"/>
    <cellStyle name="Agara 2" xfId="3838" xr:uid="{66CB5D23-CB6E-4D3D-BEF1-B0413645C288}"/>
    <cellStyle name="Agara 3" xfId="3571" xr:uid="{53E96A2F-9942-430E-BE48-548EA635FAE4}"/>
    <cellStyle name="assumption" xfId="678" xr:uid="{C0040403-2D60-4E75-B221-1F605E0EC103}"/>
    <cellStyle name="Assumption 2" xfId="2266" xr:uid="{52711576-B474-48D8-9110-2580741F5D8B}"/>
    <cellStyle name="Assumption Currency." xfId="679" xr:uid="{DA40F975-5BB4-43F0-AE32-F5BB9E72AEC0}"/>
    <cellStyle name="Assumption Currency. 2" xfId="680" xr:uid="{F5F488DB-0B5B-4E48-A1F8-F7970841EC95}"/>
    <cellStyle name="Assumption Currency. 2 2" xfId="2931" xr:uid="{0568BF63-4B0F-4AD3-B77A-7A13C6FF23F4}"/>
    <cellStyle name="Assumption Currency. 2 3" xfId="2977" xr:uid="{B0352910-6DF9-4AE1-BF6E-E5FF09A302B9}"/>
    <cellStyle name="Assumption Currency. 3" xfId="681" xr:uid="{D6702BBC-5F6B-40BE-8F2A-5FC445D73F2D}"/>
    <cellStyle name="Assumption Currency. 3 2" xfId="2930" xr:uid="{35889DD1-B698-4332-86A5-5448C6AB95F4}"/>
    <cellStyle name="Assumption Currency. 3 3" xfId="2978" xr:uid="{E1317C61-3567-499D-B09F-BFAA833061C9}"/>
    <cellStyle name="Assumption Currency. 4" xfId="2932" xr:uid="{D0D71D3C-E341-4B3F-AF63-9B32616FDD8D}"/>
    <cellStyle name="Assumption Currency. 5" xfId="2915" xr:uid="{4B496409-15F4-4A9F-ADB7-AC7C81EEAF53}"/>
    <cellStyle name="Assumption Date." xfId="682" xr:uid="{EC1BE1CC-AD4D-43DA-89C8-AA55269B01B3}"/>
    <cellStyle name="Assumption Date. 2" xfId="683" xr:uid="{9F4F5DEB-11D5-43A5-ACFD-0A3624516BBD}"/>
    <cellStyle name="Assumption Date. 2 2" xfId="684" xr:uid="{22465235-C049-4ED3-9A54-0239EF614FFC}"/>
    <cellStyle name="Assumption Date. 2 2 2" xfId="2927" xr:uid="{ED7CF86D-4806-4373-975D-9645E60EFD23}"/>
    <cellStyle name="Assumption Date. 2 2 3" xfId="2980" xr:uid="{46A3724C-0C1C-4C8E-B7BE-89882FBCC455}"/>
    <cellStyle name="Assumption Date. 2 3" xfId="2928" xr:uid="{3DBE073B-7E97-4C5D-97BE-E009D00E568C}"/>
    <cellStyle name="Assumption Date. 2 4" xfId="2916" xr:uid="{0B4202DE-BD42-43A3-8905-583E22B51E8F}"/>
    <cellStyle name="Assumption Date. 3" xfId="685" xr:uid="{33F32D3C-E15B-40EF-8C89-644F1F6BF514}"/>
    <cellStyle name="Assumption Date. 3 2" xfId="2926" xr:uid="{CA3AF873-EF29-4BAA-ADB8-BC70A66E6894}"/>
    <cellStyle name="Assumption Date. 3 3" xfId="2981" xr:uid="{69289FB9-6A5D-4B74-B099-1A9D124099C3}"/>
    <cellStyle name="Assumption Date. 4" xfId="2929" xr:uid="{B8473A5D-89D3-43AE-89D9-B196F4E7C0D0}"/>
    <cellStyle name="Assumption Date. 5" xfId="2979" xr:uid="{9F2BD5DA-4000-420F-A9CA-8AC93ABDC2E2}"/>
    <cellStyle name="Assumption Heading." xfId="686" xr:uid="{36742A64-3534-4E3C-9D1B-CCC1B566906A}"/>
    <cellStyle name="Assumption Heading. 2" xfId="687" xr:uid="{365544D7-0A6A-45F7-A315-D0E5C461EB3B}"/>
    <cellStyle name="Assumption Heading. 2 2" xfId="688" xr:uid="{5DC80748-9A7A-4EB5-A537-A27FD2D3ACC5}"/>
    <cellStyle name="Assumption Heading. 2 2 2" xfId="2909" xr:uid="{7A15BBBE-A47C-4E4E-8186-985FE4219F18}"/>
    <cellStyle name="Assumption Heading. 2 2 3" xfId="2809" xr:uid="{910AA60B-73E5-43DE-BF78-0586C26BF9EE}"/>
    <cellStyle name="Assumption Heading. 2 3" xfId="2924" xr:uid="{9897A6D2-330B-458D-8982-B3C53198A724}"/>
    <cellStyle name="Assumption Heading. 2 4" xfId="2983" xr:uid="{B7CEB35B-E2F9-4363-A19F-6D9DE76BDD82}"/>
    <cellStyle name="Assumption Heading. 3" xfId="689" xr:uid="{038A9F4F-5B79-47FF-B692-5A1C6E60F56A}"/>
    <cellStyle name="Assumption Heading. 3 2" xfId="2969" xr:uid="{15278F3D-0DE3-41CA-8DB2-10C59AFD5B86}"/>
    <cellStyle name="Assumption Heading. 3 3" xfId="2722" xr:uid="{8C11D664-FB87-426F-8161-D1FD1483ACF6}"/>
    <cellStyle name="Assumption Heading. 4" xfId="2925" xr:uid="{D812AC50-79C1-4441-9856-998FB8EEA2C4}"/>
    <cellStyle name="Assumption Heading. 5" xfId="2982" xr:uid="{82ACC85F-B303-45E1-AEF2-9B0EE05570B2}"/>
    <cellStyle name="Assumption Multiple." xfId="690" xr:uid="{D7DE55EF-4919-49FA-8852-BC5854419A54}"/>
    <cellStyle name="Assumption Multiple. 2" xfId="691" xr:uid="{ADCCBF92-D544-44AA-9856-010B21200114}"/>
    <cellStyle name="Assumption Multiple. 2 2" xfId="2953" xr:uid="{30028DF9-5DAF-4FF2-9B03-985124D1F330}"/>
    <cellStyle name="Assumption Multiple. 2 3" xfId="2936" xr:uid="{1BE652B8-4BC5-4C30-A53A-15D88B4BABD1}"/>
    <cellStyle name="Assumption Multiple. 3" xfId="692" xr:uid="{EE3F647F-1AF4-4457-ADFA-314638928B31}"/>
    <cellStyle name="Assumption Multiple. 3 2" xfId="2908" xr:uid="{72D08323-A214-4170-89E0-3FA89FC050F8}"/>
    <cellStyle name="Assumption Multiple. 3 3" xfId="2984" xr:uid="{F9BCFB59-725A-4C17-801E-C812C4A5D252}"/>
    <cellStyle name="Assumption Multiple. 4" xfId="2923" xr:uid="{0FF33D9E-963F-424C-9D9F-E47E1D3CE169}"/>
    <cellStyle name="Assumption Multiple. 5" xfId="2723" xr:uid="{790577FA-A1F7-47E2-82AE-B879743D008F}"/>
    <cellStyle name="Assumption number" xfId="6902" xr:uid="{D0161A98-993C-478E-8904-AB39D2B8DCB6}"/>
    <cellStyle name="Assumption number 2" xfId="9100" xr:uid="{1F9E064B-6BE8-4F1C-9D06-12760CC7D286}"/>
    <cellStyle name="Assumption number 2 2" xfId="18146" xr:uid="{5C79DD0D-1D0C-47A9-806B-F4A936A89DD8}"/>
    <cellStyle name="Assumption number 2 3" xfId="23566" xr:uid="{1077F37C-0591-46FA-9351-365776D68567}"/>
    <cellStyle name="Assumption number 3" xfId="14352" xr:uid="{48451CFE-016E-4217-8E8A-E08C7DEF97EF}"/>
    <cellStyle name="Assumption number 4" xfId="17893" xr:uid="{E97D6848-57E8-4977-A993-49FF9E7CECD7}"/>
    <cellStyle name="Assumption number 5" xfId="23335" xr:uid="{2ED4F1AD-4346-4A95-9A17-21988246F77A}"/>
    <cellStyle name="Assumption Number." xfId="693" xr:uid="{462A75DE-6BCF-4DA0-86E6-85D7B08AFE59}"/>
    <cellStyle name="Assumption Number. 2" xfId="694" xr:uid="{4BFD9C4F-8960-4A07-9C6A-1DF6BE319F51}"/>
    <cellStyle name="Assumption Number. 2 2" xfId="695" xr:uid="{A2E51A8E-003B-4690-AAE7-1553BE40277F}"/>
    <cellStyle name="Assumption Number. 2 2 2" xfId="2955" xr:uid="{1AA8B436-3838-4B2E-B829-8ADD1EB9A923}"/>
    <cellStyle name="Assumption Number. 2 2 3" xfId="2724" xr:uid="{2AF13B5F-6D8A-45B4-8751-C52706B46ECD}"/>
    <cellStyle name="Assumption Number. 2 3" xfId="2922" xr:uid="{08C1DE77-5933-4B3D-B19D-ED8A55A71142}"/>
    <cellStyle name="Assumption Number. 2 4" xfId="2986" xr:uid="{924FB858-256F-4A5F-80CA-40AE8E3E0F07}"/>
    <cellStyle name="Assumption Number. 3" xfId="696" xr:uid="{A2280261-B2FF-4EFA-A0D3-7A1D7762D968}"/>
    <cellStyle name="Assumption Number. 3 2" xfId="2956" xr:uid="{D340C5FC-4377-459C-8022-8D75FBAB1031}"/>
    <cellStyle name="Assumption Number. 3 3" xfId="2725" xr:uid="{D69894A9-2158-493B-8820-65FBC0EF43F9}"/>
    <cellStyle name="Assumption Number. 4" xfId="2954" xr:uid="{A7364779-014E-409A-B723-057D32CBB038}"/>
    <cellStyle name="Assumption Number. 5" xfId="2985" xr:uid="{8F2884A1-6C1B-44A7-A2C0-306B55C62BE4}"/>
    <cellStyle name="Assumption output percentage" xfId="6903" xr:uid="{8E55E1D5-9A78-43C2-99E3-A3CCAEA50F32}"/>
    <cellStyle name="Assumption output percentage 2" xfId="9023" xr:uid="{BEFECB7F-635A-4DAF-BCF9-546323F4EC96}"/>
    <cellStyle name="Assumption output percentage 2 2" xfId="18069" xr:uid="{FE4C3F2F-D2BA-4D6A-BEEB-C96586EB0E78}"/>
    <cellStyle name="Assumption output percentage 2 3" xfId="23567" xr:uid="{60F66BCB-0793-4BB7-A2DB-A8DBA7E94B5A}"/>
    <cellStyle name="Assumption output percentage 3" xfId="9739" xr:uid="{451DC5B0-DCC3-4576-B3F9-581B70D6587F}"/>
    <cellStyle name="Assumption output percentage 3 2" xfId="18785" xr:uid="{C5438D34-03D8-4DA4-9CAE-83756EC51B5B}"/>
    <cellStyle name="Assumption output percentage 4" xfId="14353" xr:uid="{30526776-5F01-4DC0-BA39-79FD23A434A8}"/>
    <cellStyle name="Assumption output percentage 5" xfId="17894" xr:uid="{A48B106B-0A15-4483-8A40-283175FDA404}"/>
    <cellStyle name="Assumption output percentage 6" xfId="23336" xr:uid="{AB226080-CC8A-46BA-A192-300B5649999C}"/>
    <cellStyle name="Assumption Percentage" xfId="6904" xr:uid="{B7697F26-E738-4839-AE97-B676F72E70D7}"/>
    <cellStyle name="Assumption Percentage 2" xfId="9827" xr:uid="{53310B9D-908C-4987-B07B-3B8271663E61}"/>
    <cellStyle name="Assumption Percentage 2 2" xfId="18873" xr:uid="{C325B900-0E21-4930-BF3D-ED90D310D176}"/>
    <cellStyle name="Assumption Percentage 2 3" xfId="23568" xr:uid="{EAD53A7B-BE8E-4EB0-BF67-FB4DB7434D5C}"/>
    <cellStyle name="Assumption Percentage 3" xfId="14354" xr:uid="{B4BA0493-AB23-4BCD-B6B3-39F98CE8AF98}"/>
    <cellStyle name="Assumption Percentage 4" xfId="17895" xr:uid="{ABA14DA7-A88F-4C10-A8F1-FE5A5E4F8741}"/>
    <cellStyle name="Assumption Percentage 5" xfId="23337" xr:uid="{DDFD956D-B11D-4ED9-A774-4DF03872FCCC}"/>
    <cellStyle name="Assumption Percentage." xfId="697" xr:uid="{58C3202D-751A-419E-89F5-496EEA818FA4}"/>
    <cellStyle name="Assumption Percentage. 2" xfId="698" xr:uid="{B703E1CD-AF5D-4A98-93FE-2B65074EBA59}"/>
    <cellStyle name="Assumption Percentage. 2 2" xfId="699" xr:uid="{CC5F6961-890D-4227-A77B-48B429CD88FF}"/>
    <cellStyle name="Assumption Percentage. 2 2 2" xfId="2921" xr:uid="{AA7908E7-232D-4FD0-ADE5-5A0AADC52121}"/>
    <cellStyle name="Assumption Percentage. 2 2 3" xfId="2728" xr:uid="{0A16B50C-B24A-486E-96EF-C035F4A6FB8D}"/>
    <cellStyle name="Assumption Percentage. 2 3" xfId="2958" xr:uid="{941E08DE-421A-469C-B9DB-F302EC8A43F7}"/>
    <cellStyle name="Assumption Percentage. 2 4" xfId="2727" xr:uid="{54C2CB19-6338-4A6E-A8AA-CFF5B6BD1095}"/>
    <cellStyle name="Assumption Percentage. 3" xfId="700" xr:uid="{E2A13E19-EADD-4606-858C-3B30CEF80A0F}"/>
    <cellStyle name="Assumption Percentage. 3 2" xfId="2920" xr:uid="{CD74069A-5B4D-42C4-B932-11D84E37C320}"/>
    <cellStyle name="Assumption Percentage. 3 3" xfId="2964" xr:uid="{AC964D90-C3D1-444C-92CF-8C286F7D32F9}"/>
    <cellStyle name="Assumption Percentage. 4" xfId="2957" xr:uid="{736B1611-9AF1-4446-9751-A2C2A92C29F9}"/>
    <cellStyle name="Assumption Percentage. 5" xfId="2726" xr:uid="{E10612EC-4DEB-4D4C-8130-2CA8556A0703}"/>
    <cellStyle name="Assumption Year." xfId="701" xr:uid="{BC79CCFE-DD92-4B45-8044-8C4B1C9BFCB9}"/>
    <cellStyle name="Assumption Year. 2" xfId="702" xr:uid="{23FE1CF7-E4B3-41CD-8F9F-D4C0690AD3EA}"/>
    <cellStyle name="Assumption Year. 2 2" xfId="2918" xr:uid="{7CD9ACF6-EB39-4F33-931E-807D137C97B7}"/>
    <cellStyle name="Assumption Year. 2 3" xfId="2729" xr:uid="{F185C849-B0E8-4F50-82BC-FFA78267D29B}"/>
    <cellStyle name="Assumption Year. 3" xfId="703" xr:uid="{6AFFF035-81C1-48D1-AA35-C5B540D93FBC}"/>
    <cellStyle name="Assumption Year. 3 2" xfId="2917" xr:uid="{A16FAF72-E971-4FE1-843F-C3EE6D5D7F7B}"/>
    <cellStyle name="Assumption Year. 3 3" xfId="2730" xr:uid="{03B49244-5E38-451B-BDFF-DDAAFF2BF408}"/>
    <cellStyle name="Assumption Year. 4" xfId="2919" xr:uid="{AC198FB7-79A9-47AA-A017-B8E4F659B8B6}"/>
    <cellStyle name="Assumption Year. 5" xfId="2962" xr:uid="{56E854AC-00D2-4173-B7F3-AA5EC7A39752}"/>
    <cellStyle name="Assumptions" xfId="6905" xr:uid="{E9F77B1F-DCF8-4BD5-9C2F-7E7126F498FD}"/>
    <cellStyle name="Assumptions 2" xfId="9099" xr:uid="{5715CFB3-C3C3-4626-BFB9-EEFE192A60C4}"/>
    <cellStyle name="Assumptions 2 2" xfId="18145" xr:uid="{A5E9071C-07EF-4BDF-BDCF-D43505EA4B03}"/>
    <cellStyle name="Assumptions 2 3" xfId="23569" xr:uid="{31448245-5581-4A85-A55F-BD380BB4F54F}"/>
    <cellStyle name="Assumptions 3" xfId="14355" xr:uid="{05EC5CA7-8E9F-4B9A-9062-D1271B14A0B2}"/>
    <cellStyle name="Assumptions 4" xfId="17896" xr:uid="{AA3A5D25-8059-4A73-B27F-1EA143C7B319}"/>
    <cellStyle name="Assumptions 5" xfId="23338" xr:uid="{BE0398B0-0BF9-4133-886C-9415DA91F55D}"/>
    <cellStyle name="Assumptions Center Currency" xfId="704" xr:uid="{044DE729-FD85-459F-BC8B-5BF4B6BAB910}"/>
    <cellStyle name="Assumptions Center Currency 2" xfId="705" xr:uid="{B38DFDBF-0681-4248-98FD-7600F0736271}"/>
    <cellStyle name="Assumptions Center Currency_7_11 Consolidated Budget Model 091112 WITH INTERFACE" xfId="706" xr:uid="{1B8CE832-1F1A-4DE2-9A12-7714DF612151}"/>
    <cellStyle name="Assumptions Center Date" xfId="707" xr:uid="{95DDF5DE-D0ED-4373-9040-A4B6ACD7A2BF}"/>
    <cellStyle name="Assumptions Center Date 2" xfId="708" xr:uid="{85E49604-D912-42E1-8B00-511674872B61}"/>
    <cellStyle name="Assumptions Center Date_7_11 Consolidated Budget Model 091112 WITH INTERFACE" xfId="709" xr:uid="{A4AAA0A4-BC96-43E2-BE1F-1EA90FF0977B}"/>
    <cellStyle name="Assumptions Center Multiple" xfId="710" xr:uid="{D64CED55-CEDF-4B42-BDF8-5E9191543894}"/>
    <cellStyle name="Assumptions Center Multiple 2" xfId="711" xr:uid="{55C6CD23-DA1C-4C7D-946E-369E44B3751F}"/>
    <cellStyle name="Assumptions Center Multiple_7_11 Consolidated Budget Model 091112 WITH INTERFACE" xfId="712" xr:uid="{0597DDA4-A0D8-44B8-A4F1-C6F565FBC39F}"/>
    <cellStyle name="Assumptions Center Number" xfId="713" xr:uid="{B33F174A-B81E-4587-BEFA-E46777C221BF}"/>
    <cellStyle name="Assumptions Center Number 2" xfId="714" xr:uid="{B25C1386-4BCF-4E1F-9250-62C910B2C981}"/>
    <cellStyle name="Assumptions Center Number_7_11 Consolidated Budget Model 091112 WITH INTERFACE" xfId="715" xr:uid="{6EE1E016-6271-4DA9-9BB2-2F1280E7234E}"/>
    <cellStyle name="Assumptions Center Percentage" xfId="716" xr:uid="{F0FBFBC9-1508-44A9-95FE-027160070515}"/>
    <cellStyle name="Assumptions Center Percentage 2" xfId="717" xr:uid="{AE7040BC-CBED-43D1-8C7A-CD2558DB463C}"/>
    <cellStyle name="Assumptions Center Percentage_7_11 Consolidated Budget Model 091112 WITH INTERFACE" xfId="718" xr:uid="{0F3F756F-F7DD-44BC-B03B-8E6BDA6D40F7}"/>
    <cellStyle name="Assumptions Center Year" xfId="719" xr:uid="{F4C28C21-9CA8-4E51-8ED1-319FB7CBE343}"/>
    <cellStyle name="Assumptions Center Year 2" xfId="720" xr:uid="{AFF01640-C6F0-482B-8491-DB2D5C719656}"/>
    <cellStyle name="Assumptions Center Year_7_11 Consolidated Budget Model 091112 WITH INTERFACE" xfId="721" xr:uid="{5EA1A2B2-94E2-4EE2-B647-D4D93A995DEF}"/>
    <cellStyle name="Assumptions Heading" xfId="722" xr:uid="{98153B9E-A838-4F18-A6CB-B1E0A481B0EE}"/>
    <cellStyle name="Assumptions Heading 2" xfId="723" xr:uid="{E14EE6FB-53C0-404F-940D-4796D0CA85E8}"/>
    <cellStyle name="Assumptions Heading 3" xfId="724" xr:uid="{761A4FCD-C420-4439-B43D-1B4309C9CF83}"/>
    <cellStyle name="Assumptions Heading 5" xfId="725" xr:uid="{BCFF12EF-054D-4B46-88E7-FB5A5EBAF2E4}"/>
    <cellStyle name="Assumptions Heading_7_11 Consolidated Budget Model 091112 WITH INTERFACE" xfId="726" xr:uid="{EAF16350-F406-4CA4-9086-FDA441250286}"/>
    <cellStyle name="Assumptions Right Currency" xfId="727" xr:uid="{43BEDF39-743D-4641-B163-5542494A4C5C}"/>
    <cellStyle name="Assumptions Right Currency 2" xfId="728" xr:uid="{E4EB0D2A-659F-4E22-B94E-E03CB9FF5737}"/>
    <cellStyle name="Assumptions Right Currency_7_11 Consolidated Budget Model 091112 WITH INTERFACE" xfId="729" xr:uid="{138FA6AD-50C2-4B0B-A0F3-71F8849B87DE}"/>
    <cellStyle name="Assumptions Right Date" xfId="730" xr:uid="{F1B0E680-5A9D-458A-8824-BCCDB9514962}"/>
    <cellStyle name="Assumptions Right Date 2" xfId="731" xr:uid="{DB314D72-1CAB-4E96-8498-AE5FFFEE44F9}"/>
    <cellStyle name="Assumptions Right Date_7_11 Consolidated Budget Model 091112 WITH INTERFACE" xfId="732" xr:uid="{84EBC96F-07FD-4121-ADBA-9BB0CE54C7B0}"/>
    <cellStyle name="Assumptions Right Multiple" xfId="733" xr:uid="{B15406B6-872C-4547-9637-458E2F2BA569}"/>
    <cellStyle name="Assumptions Right Multiple 2" xfId="734" xr:uid="{4FDCA944-DE48-4873-A5EC-6F19D5BFE713}"/>
    <cellStyle name="Assumptions Right Multiple_7_11 Consolidated Budget Model 091112 WITH INTERFACE" xfId="735" xr:uid="{56AF68D8-4631-462D-BC9E-C0C292B5ECD8}"/>
    <cellStyle name="Assumptions Right Number" xfId="736" xr:uid="{BF182505-EF54-4278-B01D-83E532695675}"/>
    <cellStyle name="Assumptions Right Number 2" xfId="737" xr:uid="{50F5A492-F9A7-40E3-9B84-E4437B5986E0}"/>
    <cellStyle name="Assumptions Right Number_7_11 Consolidated Budget Model 091112 WITH INTERFACE" xfId="738" xr:uid="{8628DAFF-D84D-4B7F-BFEC-F03E7755C648}"/>
    <cellStyle name="Assumptions Right Percentage" xfId="739" xr:uid="{6B693A01-C891-4DE0-A0A4-6770B09A1A6F}"/>
    <cellStyle name="Assumptions Right Percentage 2" xfId="740" xr:uid="{1313A0CD-2034-4AF2-8333-28725FF5EE24}"/>
    <cellStyle name="Assumptions Right Percentage_6. Ass-Fin" xfId="741" xr:uid="{2A65A238-38C0-49FE-A4CB-2ACC0F32B0B7}"/>
    <cellStyle name="Assumptions Right Year" xfId="742" xr:uid="{15C545FF-6DE6-4574-AC03-6D3BF12C6773}"/>
    <cellStyle name="Assumptions Right Year 2" xfId="743" xr:uid="{F8F7947E-AB3E-4B61-9071-51DAC8EA9780}"/>
    <cellStyle name="Assumptions Right Year_7_11 Consolidated Budget Model 091112 WITH INTERFACE" xfId="744" xr:uid="{C46E4F3C-1DAD-4C46-9029-E65E1D082C67}"/>
    <cellStyle name="AussieDate" xfId="582" xr:uid="{493C4F48-563A-411F-A83B-00CA1C84384D}"/>
    <cellStyle name="B79812_.wvu.PrintTitlest" xfId="111" xr:uid="{B15F31B0-A153-4930-B58D-A64F3106BC75}"/>
    <cellStyle name="Background" xfId="6906" xr:uid="{6A16F9BE-867F-4DCD-813A-A90331F368B4}"/>
    <cellStyle name="Background 2" xfId="9826" xr:uid="{345C01A6-19D7-4EB7-B07A-2A67281ACDDA}"/>
    <cellStyle name="Background 2 2" xfId="18872" xr:uid="{F89D4635-E9DB-44F6-A029-874378420918}"/>
    <cellStyle name="Background 2 3" xfId="23570" xr:uid="{0A902736-37DA-41F4-B42C-CD48CDA3D64E}"/>
    <cellStyle name="Background 3" xfId="14356" xr:uid="{0B2BF627-69B7-4BC1-824B-1833E37783D6}"/>
    <cellStyle name="Background 4" xfId="17897" xr:uid="{9D017DBC-BFA6-43F0-B465-2C9548711A52}"/>
    <cellStyle name="Background 5" xfId="23339" xr:uid="{032C31B8-F65E-4544-9195-1E1E793CC235}"/>
    <cellStyle name="Bad 10" xfId="6907" xr:uid="{5AD4103F-C030-46B7-A68E-4F8EA86D3151}"/>
    <cellStyle name="Bad 11" xfId="6908" xr:uid="{11DC013D-B19B-4580-8C9F-8DE0782385C9}"/>
    <cellStyle name="Bad 2" xfId="112" xr:uid="{447360D1-9F19-4E69-B74A-5CAB129954DA}"/>
    <cellStyle name="Bad 2 2" xfId="3839" xr:uid="{6041D69C-565E-4BD7-98DC-09F0140222E9}"/>
    <cellStyle name="Bad 2 3" xfId="3572" xr:uid="{06D2CF77-A1A0-4670-B968-F713585C4A01}"/>
    <cellStyle name="Bad 3" xfId="6909" xr:uid="{0FAD6120-DB2C-45D6-BAD7-4A77FC92B3B0}"/>
    <cellStyle name="Bad 4" xfId="6910" xr:uid="{F6AFA4C2-6347-4C20-B683-D947A6F7CEA1}"/>
    <cellStyle name="Bad 5" xfId="6911" xr:uid="{D7AA1207-778F-4754-B51F-06001CB9FEA2}"/>
    <cellStyle name="Bad 6" xfId="6912" xr:uid="{CEB41823-270D-4730-83D1-086002DCBA85}"/>
    <cellStyle name="Bad 7" xfId="6913" xr:uid="{0AD64D0C-4B9F-4AE2-A34E-318DFF109A12}"/>
    <cellStyle name="Bad 8" xfId="6914" xr:uid="{B7A7E0FD-97E8-4453-A30E-A3B2019E4EAE}"/>
    <cellStyle name="Bad 9" xfId="6915" xr:uid="{7AC39921-BB0B-4369-9CF3-DB44BBA48B18}"/>
    <cellStyle name="banner" xfId="745" xr:uid="{3C468F78-92A0-49F3-84E5-B0159DBD8072}"/>
    <cellStyle name="Black" xfId="113" xr:uid="{95A47458-3210-4920-9F83-7858CEFF1297}"/>
    <cellStyle name="Black 2" xfId="3840" xr:uid="{10CC8102-4271-468D-9664-E99F87F2E32E}"/>
    <cellStyle name="Black 3" xfId="3573" xr:uid="{23D59CA5-1661-4DDE-BF8E-0A98F2384EF5}"/>
    <cellStyle name="Black 4" xfId="3007" xr:uid="{4B476AE8-9B71-42FD-885F-D3F2A82ABF20}"/>
    <cellStyle name="Black 5" xfId="583" xr:uid="{65EC9261-7549-4E95-BD5B-0D4936A8CB8D}"/>
    <cellStyle name="Blank" xfId="570" xr:uid="{6F7F90FE-80DC-42A6-8298-3F5CF9A04027}"/>
    <cellStyle name="Blank 2" xfId="746" xr:uid="{268A28D1-19FD-4D89-B8CA-5BC8C4BAA2DE}"/>
    <cellStyle name="BlankText" xfId="6916" xr:uid="{EFD275DD-1CCF-4107-A45E-47A0369091E5}"/>
    <cellStyle name="Blockout" xfId="114" xr:uid="{558F299C-226A-41B1-9ED4-FF49B094D832}"/>
    <cellStyle name="Blockout 2" xfId="115" xr:uid="{4A77562B-1811-4039-974A-2336F28B2A33}"/>
    <cellStyle name="Blockout 2 2" xfId="8812" xr:uid="{7A79FA49-7DC2-4042-B360-54074C908CCC}"/>
    <cellStyle name="Blockout 2 3" xfId="6480" xr:uid="{750CC051-1942-4714-B635-172FABDC1966}"/>
    <cellStyle name="Blockout 2 4" xfId="8947" xr:uid="{396C02FB-0E8D-4A9F-9EEC-8C9C74550933}"/>
    <cellStyle name="Blockout 2 5" xfId="747" xr:uid="{EBB967D0-5EB4-49A5-8439-8EC7B3EE4698}"/>
    <cellStyle name="Blockout 3" xfId="290" xr:uid="{591A232D-6F0E-412C-AC93-417F84137026}"/>
    <cellStyle name="Blockout 3 2" xfId="8811" xr:uid="{40C406CD-C5F4-4BA3-8DFE-8DA1CDF7A4EC}"/>
    <cellStyle name="Blockout 4" xfId="6481" xr:uid="{E0BD1F5B-A15B-4AD7-9495-E4008C95B81F}"/>
    <cellStyle name="Blockout 5" xfId="8948" xr:uid="{62EE08F6-8E03-483C-9B1C-D2C25E69A5BD}"/>
    <cellStyle name="Blockout 6" xfId="584" xr:uid="{592EE053-2556-4BA1-BD27-A432B7EA0E8D}"/>
    <cellStyle name="blp_column_header" xfId="9" xr:uid="{93C5744C-AC40-405D-916C-F639A9E867EA}"/>
    <cellStyle name="Blue" xfId="116" xr:uid="{D73353E2-5114-4F0D-84FB-DC623113684A}"/>
    <cellStyle name="Blue 2" xfId="3841" xr:uid="{58B4D0E9-8F25-4B9E-BB98-41AB0FF63BEF}"/>
    <cellStyle name="Blue 3" xfId="3574" xr:uid="{88618A6B-201E-462F-92C9-BAF48E1B0CE1}"/>
    <cellStyle name="Blue 4" xfId="3008" xr:uid="{70D0D12B-2809-4AF7-BEC8-7A97CB3541B7}"/>
    <cellStyle name="Blue 5" xfId="585" xr:uid="{FDF99CB9-2C7C-40E7-8536-6068B705092A}"/>
    <cellStyle name="Bold/Border" xfId="748" xr:uid="{9E9A5142-8794-4971-893C-DB5ADC224C27}"/>
    <cellStyle name="Bold/Border 2" xfId="749" xr:uid="{C245AEBC-D50E-4D21-A33B-D23A80722BCF}"/>
    <cellStyle name="Bold/Border 2 2" xfId="750" xr:uid="{A2CC6713-EE32-43A3-9D1B-1093016AEE79}"/>
    <cellStyle name="Bold/Border 2 2 2" xfId="751" xr:uid="{828A9FF3-4BB7-4FD1-9D8C-E52C6A191DED}"/>
    <cellStyle name="Bold/Border 2 2 2 2" xfId="2553" xr:uid="{FCC3D293-E185-4A2A-846C-A1EBBC54938A}"/>
    <cellStyle name="Bold/Border 2 2 2 3" xfId="2802" xr:uid="{D31308B7-4A41-464C-BA0D-74C6CB2ECB6E}"/>
    <cellStyle name="Bold/Border 2 2 3" xfId="2552" xr:uid="{557D211F-14F9-4C71-925E-69B38565794A}"/>
    <cellStyle name="Bold/Border 2 2 4" xfId="2803" xr:uid="{FE3A1086-C92D-4EDF-8D62-628AE6E290D2}"/>
    <cellStyle name="Bold/Border 2 3" xfId="752" xr:uid="{BA14AA3E-4258-4C15-94DB-907B9E877139}"/>
    <cellStyle name="Bold/Border 2 3 2" xfId="753" xr:uid="{8576EEAD-0768-4D6B-BE00-D233D6781CB3}"/>
    <cellStyle name="Bold/Border 2 3 2 2" xfId="2555" xr:uid="{BEA5DC2D-849E-473B-80D5-F4068D395714}"/>
    <cellStyle name="Bold/Border 2 3 2 3" xfId="2800" xr:uid="{40FE855A-0E30-4155-9777-ECCF56EFFDAB}"/>
    <cellStyle name="Bold/Border 2 3 3" xfId="2554" xr:uid="{90DFC867-40DC-4C56-8B62-1E8C64195067}"/>
    <cellStyle name="Bold/Border 2 3 4" xfId="2801" xr:uid="{6AE3B1B5-AC62-45CC-B519-116CE967DF75}"/>
    <cellStyle name="Bold/Border 2 4" xfId="754" xr:uid="{25B624A9-0CC7-427D-8354-0286B616E3B1}"/>
    <cellStyle name="Bold/Border 2 4 2" xfId="2556" xr:uid="{1E879EE5-3D0E-465E-9A8E-566205C6A604}"/>
    <cellStyle name="Bold/Border 2 4 3" xfId="2944" xr:uid="{3E686EB1-E7A7-4907-A42A-035F89E62E48}"/>
    <cellStyle name="Bold/Border 2 5" xfId="2551" xr:uid="{B22256E3-94B3-458C-99A6-3B492AA704C6}"/>
    <cellStyle name="Bold/Border 2 6" xfId="2804" xr:uid="{BE164560-6B55-4D82-92B3-2EDB845BBC94}"/>
    <cellStyle name="Bold/Border 3" xfId="755" xr:uid="{7E05475F-AD68-4F4B-9A66-08B1CEC9D99A}"/>
    <cellStyle name="Bold/Border 3 2" xfId="2557" xr:uid="{E84981CD-E7B5-475E-968E-2423896615E9}"/>
    <cellStyle name="Bold/Border 3 3" xfId="2799" xr:uid="{43150177-2FC9-420A-956B-08609B3C1AB1}"/>
    <cellStyle name="Bold/Border 4" xfId="2550" xr:uid="{EA4B42AC-4E43-48B9-BE46-0138A272C942}"/>
    <cellStyle name="Bold/Border 5" xfId="2805" xr:uid="{F5F07400-8674-4163-8847-61A362A63CE2}"/>
    <cellStyle name="Border" xfId="756" xr:uid="{B1793047-F3FD-4C8D-8015-24D4D481A0BA}"/>
    <cellStyle name="Border 2" xfId="757" xr:uid="{53A66F86-13E5-402B-965E-853A0C3BA993}"/>
    <cellStyle name="Border 2 2" xfId="2559" xr:uid="{BFF04E72-82FA-4185-BE31-C8871D6DA97C}"/>
    <cellStyle name="Border 2 3" xfId="2967" xr:uid="{C2A5211F-DED8-4E56-A4FA-16E28B784EF1}"/>
    <cellStyle name="Border 3" xfId="758" xr:uid="{9A3C7104-1FF2-42FD-9CF4-113068257CF7}"/>
    <cellStyle name="Border 3 2" xfId="2560" xr:uid="{B9DF6A3B-5C9E-4A57-9252-2A85631C5272}"/>
    <cellStyle name="Border 3 3" xfId="2966" xr:uid="{6660519A-ED51-4AE0-BFDD-3E596B1C99F1}"/>
    <cellStyle name="Border 4" xfId="2558" xr:uid="{C7A11553-EC9A-47B0-89F1-05EBD73798CC}"/>
    <cellStyle name="Border 5" xfId="2968" xr:uid="{FBC0730E-2B01-4635-98B5-3FAFC492AC8B}"/>
    <cellStyle name="Border 6" xfId="23815" xr:uid="{D2C3CAC6-5561-4B28-9D05-E145EA78DD18}"/>
    <cellStyle name="Border Heavy" xfId="759" xr:uid="{209DA49E-5351-4253-BD75-B8C43399C1C5}"/>
    <cellStyle name="Border Heavy 10" xfId="17898" xr:uid="{0CF789F1-F833-4DFE-9D4E-220D4A262EF4}"/>
    <cellStyle name="Border Heavy 11" xfId="6917" xr:uid="{A0642F9F-B06B-48CB-9B07-F7B2502F299B}"/>
    <cellStyle name="Border Heavy 2" xfId="2798" xr:uid="{F1306536-65F6-42BA-AEF7-1A4ECA9CC872}"/>
    <cellStyle name="Border Heavy 2 2" xfId="14595" xr:uid="{2462BCA0-35D8-4E49-9CB8-0B94B884998C}"/>
    <cellStyle name="Border Heavy 2 3" xfId="18060" xr:uid="{B26CF5B1-AE53-42F8-8F7B-A22AD266329D}"/>
    <cellStyle name="Border Heavy 2 4" xfId="8984" xr:uid="{5D7D0C0F-7759-4161-B81D-6689B3EDF78E}"/>
    <cellStyle name="Border Heavy 3" xfId="9044" xr:uid="{241465F3-9D1F-48EF-928F-875B184AC1F6}"/>
    <cellStyle name="Border Heavy 3 2" xfId="14600" xr:uid="{7EC73B0D-D649-4AC2-845E-7894E84E0054}"/>
    <cellStyle name="Border Heavy 3 3" xfId="18091" xr:uid="{2143DCE8-9F5F-4825-8536-680380AF0194}"/>
    <cellStyle name="Border Heavy 4" xfId="9061" xr:uid="{40D49CCC-3D5D-408E-A199-182E53DF2CFA}"/>
    <cellStyle name="Border Heavy 4 2" xfId="14610" xr:uid="{F3C2A44C-0C67-4560-9C22-52F4E5D72673}"/>
    <cellStyle name="Border Heavy 4 3" xfId="23726" xr:uid="{7744970D-E774-4E4D-BD71-5E50BC10F5CD}"/>
    <cellStyle name="Border Heavy 5" xfId="9074" xr:uid="{8EFA4FA2-044E-4DC8-98D1-5769C64772D8}"/>
    <cellStyle name="Border Heavy 5 2" xfId="14627" xr:uid="{36E44C78-B484-4846-BE5E-B1488540A894}"/>
    <cellStyle name="Border Heavy 5 3" xfId="18120" xr:uid="{1EFDAC5E-48E4-45DD-8553-84504DA6EC34}"/>
    <cellStyle name="Border Heavy 6" xfId="9094" xr:uid="{C678473B-5681-44DB-A9BF-F1E5F1E4FE1E}"/>
    <cellStyle name="Border Heavy 6 2" xfId="14643" xr:uid="{D6FD162B-2C70-4AF1-85B6-8038E7B3CB3F}"/>
    <cellStyle name="Border Heavy 6 3" xfId="18140" xr:uid="{AC5475B1-6F3A-438A-BD1D-37C24422075E}"/>
    <cellStyle name="Border Heavy 7" xfId="12387" xr:uid="{29BEF2A1-617D-49E1-A028-B6ADC7655074}"/>
    <cellStyle name="Border Heavy 7 2" xfId="14659" xr:uid="{FEA370CF-5211-4819-8A9B-6723AF3ADEC8}"/>
    <cellStyle name="Border Heavy 7 3" xfId="21434" xr:uid="{79038C4B-F8C9-44ED-9781-BA033051F431}"/>
    <cellStyle name="Border Heavy 8" xfId="12481" xr:uid="{A7665520-192A-4BA7-A8BC-E0C11D212A1E}"/>
    <cellStyle name="Border Heavy 8 2" xfId="21528" xr:uid="{2836475E-DDCC-4419-85C4-204B1EA7D643}"/>
    <cellStyle name="Border Heavy 9" xfId="14357" xr:uid="{7D73B3AC-9AD8-4FE9-90AF-A4E276B7D9C0}"/>
    <cellStyle name="Border Thin" xfId="760" xr:uid="{F8F980EF-D128-47FD-9EA2-242EB0C34B66}"/>
    <cellStyle name="Border Thin 2" xfId="761" xr:uid="{B46EEDD6-045A-42DE-978C-79A343445370}"/>
    <cellStyle name="Border Thin 2 2" xfId="762" xr:uid="{0277AB05-E789-49E7-B512-737C2F05CE89}"/>
    <cellStyle name="Border Thin 2 2 2" xfId="2564" xr:uid="{267CD84A-B8CD-4262-8714-19C61FD6D73A}"/>
    <cellStyle name="Border Thin 2 3" xfId="763" xr:uid="{DAB3E81E-0456-448B-B5D2-32DA47280140}"/>
    <cellStyle name="Border Thin 2 3 2" xfId="2565" xr:uid="{88612D8F-C8DF-482B-B04A-CAC52DA85357}"/>
    <cellStyle name="Border Thin 2 4" xfId="2563" xr:uid="{73C395CD-69F5-4A91-AD18-16296559F22E}"/>
    <cellStyle name="Border Thin 3" xfId="2562" xr:uid="{24E9C381-FAF9-4336-A2AF-05822C9508DD}"/>
    <cellStyle name="Border Thin 3 2" xfId="14358" xr:uid="{25E724A4-69BF-4A5E-A810-000A74BC8C03}"/>
    <cellStyle name="Border Thin 4" xfId="23340" xr:uid="{6088883F-601E-4FCD-AA53-08F921A2EFF0}"/>
    <cellStyle name="Border_1106 v1.4 MGH Corporate Model Hybrid v5c" xfId="764" xr:uid="{48BF191E-CF45-4105-A979-AEE2C2344F10}"/>
    <cellStyle name="Branch" xfId="765" xr:uid="{766BB467-EDA6-41ED-A2FC-F6919C9A26A6}"/>
    <cellStyle name="Brand Default" xfId="586" xr:uid="{C9D8B51A-8191-4131-A0B9-7FD0DA16A052}"/>
    <cellStyle name="Brand Subtitle with Underline" xfId="587" xr:uid="{3AF5CA91-4E10-4768-A9BA-F8F7666099C3}"/>
    <cellStyle name="Brand Subtitle with Underline 2" xfId="2893" xr:uid="{170FE846-D93F-4C2C-A29C-ECCBD2E11027}"/>
    <cellStyle name="Brand Title" xfId="588" xr:uid="{35617952-E164-4884-9ABA-C7AD7F9234B5}"/>
    <cellStyle name="Bullet" xfId="766" xr:uid="{4F5D2EE6-BAD5-4A19-8CE6-798B146B90F1}"/>
    <cellStyle name="Calc" xfId="6918" xr:uid="{ADB3D07D-5D1D-44C0-AB6C-DD0B4E77648E}"/>
    <cellStyle name="Calc - Blue" xfId="6919" xr:uid="{A9F21FE4-BFAD-4B4F-828E-F0E2EB8A51F9}"/>
    <cellStyle name="Calc - Feed" xfId="6920" xr:uid="{B6CF2799-A440-401E-BDD4-56B3110CBD34}"/>
    <cellStyle name="Calc - Green" xfId="6921" xr:uid="{997E0DD4-2882-4D10-A647-3B2C4706F918}"/>
    <cellStyle name="Calc - Grey" xfId="6922" xr:uid="{FC462D3D-3396-4318-AB33-E4936DA0FEF0}"/>
    <cellStyle name="Calc - White" xfId="6923" xr:uid="{62F76A85-F2FB-4E27-B87A-A03BAFB22EA7}"/>
    <cellStyle name="Calc Currency (0)" xfId="767" xr:uid="{63658D77-E85B-465D-A225-E64764738584}"/>
    <cellStyle name="Calc Currency (0) 10" xfId="6925" xr:uid="{3927C5EF-9A6F-4D1E-B929-15B2A9AC77CB}"/>
    <cellStyle name="Calc Currency (0) 10 2" xfId="6926" xr:uid="{E7C62E1C-F91F-436B-A669-395A50AF5267}"/>
    <cellStyle name="Calc Currency (0) 10 2 2" xfId="6927" xr:uid="{BDEB0022-5F6E-4381-8F05-8875B6940E1D}"/>
    <cellStyle name="Calc Currency (0) 11" xfId="6924" xr:uid="{8C8628DB-4787-4D56-9455-1F8E36B7E543}"/>
    <cellStyle name="Calc Currency (0) 2" xfId="6928" xr:uid="{7D9B8596-F4A2-48C4-887D-A10EF19383F9}"/>
    <cellStyle name="Calc Currency (0) 2 2" xfId="6929" xr:uid="{A83F5653-AED9-497C-9E17-40875AADC408}"/>
    <cellStyle name="Calc Currency (0) 2 3" xfId="6930" xr:uid="{DC41C8C7-6620-42C7-80E0-66DA61D8C69C}"/>
    <cellStyle name="Calc Currency (0) 3" xfId="6931" xr:uid="{DFEF9987-58E4-4B6C-8E97-1DF81A0FAC8F}"/>
    <cellStyle name="Calc Currency (0) 3 2" xfId="6932" xr:uid="{C06C2B12-E980-4C08-AEEC-08FD4F22124F}"/>
    <cellStyle name="Calc Currency (0) 3 3" xfId="6933" xr:uid="{1038B053-EBCC-40C1-BFF6-47A01A528258}"/>
    <cellStyle name="Calc Currency (0) 4" xfId="6934" xr:uid="{CDDE8411-5D13-4EB8-82E8-F983AD20CEAD}"/>
    <cellStyle name="Calc Currency (0) 4 2" xfId="6935" xr:uid="{42700B1C-1F6D-49A5-BE9D-BE1387A08783}"/>
    <cellStyle name="Calc Currency (0) 4 3" xfId="6936" xr:uid="{C51FBA44-FB92-4E9E-AA7C-4E892D7152DD}"/>
    <cellStyle name="Calc Currency (0) 5" xfId="6937" xr:uid="{446CB5C2-9FD4-4BD7-B4E6-F8990AF34ADB}"/>
    <cellStyle name="Calc Currency (0) 5 2" xfId="6938" xr:uid="{D5E4E139-8E98-4864-8A0B-B85AAAD0F076}"/>
    <cellStyle name="Calc Currency (0) 5 3" xfId="6939" xr:uid="{D32EB350-1D33-44DE-93A1-B74EA44AE2B9}"/>
    <cellStyle name="Calc Currency (0) 6" xfId="6940" xr:uid="{F4D95284-049C-4F12-9C03-65C20E09E399}"/>
    <cellStyle name="Calc Currency (0) 6 2" xfId="6941" xr:uid="{2904E4F4-BA73-4478-8375-42FBF3E84151}"/>
    <cellStyle name="Calc Currency (0) 6 3" xfId="6942" xr:uid="{EDFCB87D-384F-4CF0-863E-1D71EB74CB28}"/>
    <cellStyle name="Calc Currency (0) 7" xfId="6943" xr:uid="{6D7B521E-9374-4BE4-9AC0-56B0255CD8DD}"/>
    <cellStyle name="Calc Currency (0) 7 2" xfId="6944" xr:uid="{59300D47-14D2-4BE8-AFDA-71048BF4048A}"/>
    <cellStyle name="Calc Currency (0) 7 3" xfId="6945" xr:uid="{5D5A7D77-97D1-4FEE-A0D4-164FB343BFEA}"/>
    <cellStyle name="Calc Currency (0) 8" xfId="6946" xr:uid="{9A0D9B6B-CB97-4D96-AB7D-77A598ACAAB0}"/>
    <cellStyle name="Calc Currency (0) 8 2" xfId="6947" xr:uid="{AB06A494-DCF4-4491-A4FA-57F36BF80C69}"/>
    <cellStyle name="Calc Currency (0) 8 3" xfId="6948" xr:uid="{98CF3F5D-3242-4F08-97B4-9FA2256C08D5}"/>
    <cellStyle name="Calc Currency (0) 9" xfId="6949" xr:uid="{D13EC7C3-6035-4DC9-AA53-1D5AB52400E9}"/>
    <cellStyle name="Calc Currency (0) 9 2" xfId="6950" xr:uid="{1CB75E59-984E-431E-98C9-C76C7B6AC783}"/>
    <cellStyle name="Calc Currency (0) 9 3" xfId="6951" xr:uid="{6DF83857-208F-4F7E-B230-C1F0042F68E1}"/>
    <cellStyle name="Calc Currency (2)" xfId="768" xr:uid="{E6A66C17-65ED-4A66-88C7-3472F8C3985E}"/>
    <cellStyle name="Calc Currency (2) 10" xfId="6953" xr:uid="{99AB1371-1EFC-4696-B30B-E9826CD67360}"/>
    <cellStyle name="Calc Currency (2) 10 2" xfId="6954" xr:uid="{5031E3B9-5410-4EFB-B9BE-E5506FE62A58}"/>
    <cellStyle name="Calc Currency (2) 10 2 2" xfId="6955" xr:uid="{1784C8AF-B082-475F-B945-CA1B6EF9C008}"/>
    <cellStyle name="Calc Currency (2) 11" xfId="6952" xr:uid="{B5B37652-B60B-41E5-8CF2-6E8312263142}"/>
    <cellStyle name="Calc Currency (2) 2" xfId="6956" xr:uid="{5AEAD393-CA67-41E3-8497-0EA5FFDBABC7}"/>
    <cellStyle name="Calc Currency (2) 2 2" xfId="6957" xr:uid="{DF892F15-D0B7-4DA4-BEB8-AA43703D6FC1}"/>
    <cellStyle name="Calc Currency (2) 2 3" xfId="6958" xr:uid="{3A0BAB6C-E1CB-4EE3-93DE-FA8DA7E56AF3}"/>
    <cellStyle name="Calc Currency (2) 3" xfId="6959" xr:uid="{92E8A890-B979-4E70-8E0A-E29B448AB8B2}"/>
    <cellStyle name="Calc Currency (2) 3 2" xfId="6960" xr:uid="{5AF51F0E-054F-41F7-9E09-01E7C1E4086B}"/>
    <cellStyle name="Calc Currency (2) 3 3" xfId="6961" xr:uid="{306657A4-88D8-470B-9EE0-4F4CD59E58F5}"/>
    <cellStyle name="Calc Currency (2) 4" xfId="6962" xr:uid="{BA1BF5FC-B3B5-42D1-B479-1150CC2FF7A9}"/>
    <cellStyle name="Calc Currency (2) 4 2" xfId="6963" xr:uid="{92A489A9-18EC-4B76-91F1-E6C63D2752C2}"/>
    <cellStyle name="Calc Currency (2) 4 3" xfId="6964" xr:uid="{4755B9F5-B8CE-4F55-A46F-50F490776432}"/>
    <cellStyle name="Calc Currency (2) 5" xfId="6965" xr:uid="{1BE277B1-4C44-4315-8ED2-65EDE496DDF0}"/>
    <cellStyle name="Calc Currency (2) 5 2" xfId="6966" xr:uid="{C21AB3AB-1770-4EE5-A1A2-5F55848B42F6}"/>
    <cellStyle name="Calc Currency (2) 5 3" xfId="6967" xr:uid="{C37F4841-0DD0-4E04-BA3D-AE8540267525}"/>
    <cellStyle name="Calc Currency (2) 6" xfId="6968" xr:uid="{B5FB4B1B-1869-4BF2-A9FA-643EA77C5628}"/>
    <cellStyle name="Calc Currency (2) 6 2" xfId="6969" xr:uid="{2ED67275-EF00-4100-BB89-323A3EA7562D}"/>
    <cellStyle name="Calc Currency (2) 6 3" xfId="6970" xr:uid="{5951775D-9E19-4551-B352-19E6DECEF99A}"/>
    <cellStyle name="Calc Currency (2) 7" xfId="6971" xr:uid="{CE0320C9-D178-462F-9EC7-C4D9F044800C}"/>
    <cellStyle name="Calc Currency (2) 7 2" xfId="6972" xr:uid="{E26E6CE0-4CA6-4CA0-9929-1BC1C30FEA24}"/>
    <cellStyle name="Calc Currency (2) 7 3" xfId="6973" xr:uid="{D5154BB2-38C2-4DD4-8160-A28A40DDDA74}"/>
    <cellStyle name="Calc Currency (2) 8" xfId="6974" xr:uid="{6E38B84A-F160-499B-9F96-ABCB2BF9E402}"/>
    <cellStyle name="Calc Currency (2) 8 2" xfId="6975" xr:uid="{FF09366A-2EAA-46DE-8119-4F5BAD4585C5}"/>
    <cellStyle name="Calc Currency (2) 8 3" xfId="6976" xr:uid="{8C0818F7-9EE5-48C5-B331-A314762E5014}"/>
    <cellStyle name="Calc Currency (2) 9" xfId="6977" xr:uid="{7C13A3C2-B130-494D-B542-D30EE14FCDEE}"/>
    <cellStyle name="Calc Currency (2) 9 2" xfId="6978" xr:uid="{C971F266-5E70-4F90-99C0-9644B191EFD1}"/>
    <cellStyle name="Calc Currency (2) 9 3" xfId="6979" xr:uid="{A8B8354C-90F6-42C3-892C-FF7E7C1AB7D6}"/>
    <cellStyle name="Calc Percent (0)" xfId="769" xr:uid="{B4C021E1-EF4D-4FF2-B7A3-5086DE120F50}"/>
    <cellStyle name="Calc Percent (0) 10" xfId="6981" xr:uid="{EE194636-F7F3-4D0A-9A8E-58AA1A7A88E2}"/>
    <cellStyle name="Calc Percent (0) 10 2" xfId="6982" xr:uid="{B0007457-09F3-4B77-A6FE-6543D7274261}"/>
    <cellStyle name="Calc Percent (0) 10 2 2" xfId="6983" xr:uid="{983B810F-5EA3-436A-B3A4-6BF4F1B32A52}"/>
    <cellStyle name="Calc Percent (0) 11" xfId="6980" xr:uid="{FE493865-9AC9-4986-BE14-46BA46E55D82}"/>
    <cellStyle name="Calc Percent (0) 2" xfId="6984" xr:uid="{A03E4E65-DBC4-420C-8BD4-EAF8A7FB13E0}"/>
    <cellStyle name="Calc Percent (0) 2 2" xfId="6985" xr:uid="{577EADF3-5EE9-4105-8AA8-76D367BA6C1E}"/>
    <cellStyle name="Calc Percent (0) 2 3" xfId="6986" xr:uid="{D2EE6630-73D0-421C-BA2B-D8B8548EBC10}"/>
    <cellStyle name="Calc Percent (0) 3" xfId="6987" xr:uid="{5AC0DB31-0A64-4327-A79D-946D172DF867}"/>
    <cellStyle name="Calc Percent (0) 3 2" xfId="6988" xr:uid="{E74A13B5-FD65-4BEE-B85C-F72BA0BC9A0E}"/>
    <cellStyle name="Calc Percent (0) 3 3" xfId="6989" xr:uid="{6E15CE56-F2E5-406C-A5BA-341970187417}"/>
    <cellStyle name="Calc Percent (0) 4" xfId="6990" xr:uid="{F49C2C48-25A3-4C9B-99FA-93A77750A15E}"/>
    <cellStyle name="Calc Percent (0) 4 2" xfId="6991" xr:uid="{530AFED4-D110-4F42-8B87-A7E9381373DF}"/>
    <cellStyle name="Calc Percent (0) 4 3" xfId="6992" xr:uid="{86AEA995-E4AE-4580-BF40-6C2DB9AB1EC7}"/>
    <cellStyle name="Calc Percent (0) 5" xfId="6993" xr:uid="{B16BCA22-1380-43CE-8066-59E1068BF6DB}"/>
    <cellStyle name="Calc Percent (0) 5 2" xfId="6994" xr:uid="{071E010A-4962-44D4-A021-C54B00AB2629}"/>
    <cellStyle name="Calc Percent (0) 5 3" xfId="6995" xr:uid="{3BBB4A8C-7E6C-4663-BED5-060AAD3EE9DA}"/>
    <cellStyle name="Calc Percent (0) 6" xfId="6996" xr:uid="{982907BE-AB88-4FAB-B3D6-0CCEB7AFDB04}"/>
    <cellStyle name="Calc Percent (0) 6 2" xfId="6997" xr:uid="{EED50429-93C5-45A7-A2F3-BD84E3717516}"/>
    <cellStyle name="Calc Percent (0) 6 3" xfId="6998" xr:uid="{220D49E8-6287-456E-B45B-7B5B58D8183E}"/>
    <cellStyle name="Calc Percent (0) 7" xfId="6999" xr:uid="{43920078-91FB-4890-B35E-91754E56EEF7}"/>
    <cellStyle name="Calc Percent (0) 7 2" xfId="7000" xr:uid="{D65A21FC-8DDE-4651-A4E8-3712155FB806}"/>
    <cellStyle name="Calc Percent (0) 7 3" xfId="7001" xr:uid="{C9DC4A86-6A2B-46CB-AC44-7B7BCACB84FF}"/>
    <cellStyle name="Calc Percent (0) 8" xfId="7002" xr:uid="{8C186A18-081E-4ABD-934E-5436B036592D}"/>
    <cellStyle name="Calc Percent (0) 8 2" xfId="7003" xr:uid="{ACAD9CE2-F8C9-4023-9C74-3AE262D39472}"/>
    <cellStyle name="Calc Percent (0) 8 3" xfId="7004" xr:uid="{CF28FA7A-BE4B-4286-95A1-02A0861D1496}"/>
    <cellStyle name="Calc Percent (0) 9" xfId="7005" xr:uid="{EB91CB4D-EA47-4AE1-9F09-4A58C7D722E7}"/>
    <cellStyle name="Calc Percent (0) 9 2" xfId="7006" xr:uid="{B0321666-1D2C-4C1F-BA5B-FCEC628E0516}"/>
    <cellStyle name="Calc Percent (0) 9 3" xfId="7007" xr:uid="{627E9907-43D7-4090-B1B7-3DDA81F62572}"/>
    <cellStyle name="Calc Percent (1)" xfId="770" xr:uid="{C5C7BA98-781C-4AAF-AB98-AD4F5AA24154}"/>
    <cellStyle name="Calc Percent (1) 10" xfId="7009" xr:uid="{200B3E54-41C9-4C24-8EBD-5630F7349B77}"/>
    <cellStyle name="Calc Percent (1) 10 2" xfId="7010" xr:uid="{749AB809-782B-4C13-982F-3BD4FF664CAA}"/>
    <cellStyle name="Calc Percent (1) 10 2 2" xfId="7011" xr:uid="{CD1732BD-DF34-4649-BC69-24D9A0794489}"/>
    <cellStyle name="Calc Percent (1) 11" xfId="7008" xr:uid="{1E5A5032-BC39-42FC-B23D-CC987D1A9426}"/>
    <cellStyle name="Calc Percent (1) 2" xfId="7012" xr:uid="{CB43D033-3788-4C3E-9B3A-08B482FB9381}"/>
    <cellStyle name="Calc Percent (1) 2 2" xfId="7013" xr:uid="{A065AB65-5860-4311-A33B-4ED37D44A247}"/>
    <cellStyle name="Calc Percent (1) 2 3" xfId="7014" xr:uid="{ECD359CF-B3E3-42DD-9DF6-97F3BD0823B2}"/>
    <cellStyle name="Calc Percent (1) 3" xfId="7015" xr:uid="{2ADDE227-A17F-489E-AFE9-4DB169B9896E}"/>
    <cellStyle name="Calc Percent (1) 3 2" xfId="7016" xr:uid="{9804AFDF-D498-49C0-8F8C-7C23C0BEF71B}"/>
    <cellStyle name="Calc Percent (1) 3 3" xfId="7017" xr:uid="{0A5EE09F-5A3E-4CE0-8FD5-5BC403C0F4C1}"/>
    <cellStyle name="Calc Percent (1) 4" xfId="7018" xr:uid="{112B8199-C33D-4554-B354-F54F2583DF76}"/>
    <cellStyle name="Calc Percent (1) 4 2" xfId="7019" xr:uid="{1DAF01C3-AD0C-4C5C-957E-FEB2D72EE895}"/>
    <cellStyle name="Calc Percent (1) 4 3" xfId="7020" xr:uid="{A94C21DC-51E6-4C7B-AE06-C83BB90A6839}"/>
    <cellStyle name="Calc Percent (1) 5" xfId="7021" xr:uid="{695F8723-3FDF-49FF-9102-F2A308148C8E}"/>
    <cellStyle name="Calc Percent (1) 5 2" xfId="7022" xr:uid="{FF8FF46C-2D51-4ABE-ADF5-0B87C09A2688}"/>
    <cellStyle name="Calc Percent (1) 5 3" xfId="7023" xr:uid="{74EA16C0-1B8B-451A-A35A-8047244B9447}"/>
    <cellStyle name="Calc Percent (1) 6" xfId="7024" xr:uid="{CF563499-2673-4C44-B303-19CB6DCE0F62}"/>
    <cellStyle name="Calc Percent (1) 6 2" xfId="7025" xr:uid="{6328341F-61F5-4F46-B570-C07F4C12D351}"/>
    <cellStyle name="Calc Percent (1) 6 3" xfId="7026" xr:uid="{A6426B5C-B5B4-499D-A11D-3207EB850F39}"/>
    <cellStyle name="Calc Percent (1) 7" xfId="7027" xr:uid="{01A5828D-5062-40B2-A008-9E59FBD1A3B7}"/>
    <cellStyle name="Calc Percent (1) 7 2" xfId="7028" xr:uid="{79C3D603-94B5-4D93-9806-AC47EEEB015E}"/>
    <cellStyle name="Calc Percent (1) 7 3" xfId="7029" xr:uid="{430E7132-2DF6-4B3A-8059-1610DEC740C8}"/>
    <cellStyle name="Calc Percent (1) 8" xfId="7030" xr:uid="{F4BFB432-E47B-4F4B-9CBC-FD07B4177FFC}"/>
    <cellStyle name="Calc Percent (1) 8 2" xfId="7031" xr:uid="{3F9A7B7F-BD0F-474A-9881-BA4F5D575DC7}"/>
    <cellStyle name="Calc Percent (1) 8 3" xfId="7032" xr:uid="{74E3A4B0-E88F-4637-91C7-4EDA0CA5BCA9}"/>
    <cellStyle name="Calc Percent (1) 9" xfId="7033" xr:uid="{600997B0-0B71-4823-A02A-2EBC01BAEB72}"/>
    <cellStyle name="Calc Percent (1) 9 2" xfId="7034" xr:uid="{5A7C735A-848C-4A80-AC45-D7E02B6E6382}"/>
    <cellStyle name="Calc Percent (1) 9 3" xfId="7035" xr:uid="{D006E4C2-62E3-46D9-B763-73BFA97A9604}"/>
    <cellStyle name="Calc Percent (2)" xfId="771" xr:uid="{FE238BAE-8610-456C-9F41-C19B87DD21B9}"/>
    <cellStyle name="Calc Percent (2) 10" xfId="7037" xr:uid="{9E26B6BC-C86F-435C-AB0E-636498CE91B0}"/>
    <cellStyle name="Calc Percent (2) 10 2" xfId="7038" xr:uid="{AFD55541-F0D1-449C-851A-D3753AF92273}"/>
    <cellStyle name="Calc Percent (2) 10 2 2" xfId="7039" xr:uid="{0F4F433A-C9E9-473A-8527-96C859614941}"/>
    <cellStyle name="Calc Percent (2) 11" xfId="7036" xr:uid="{D4D67ED5-2694-4AAA-9EE6-E635959B9423}"/>
    <cellStyle name="Calc Percent (2) 2" xfId="7040" xr:uid="{336DEC1A-9C42-4919-AD88-A4185773F11B}"/>
    <cellStyle name="Calc Percent (2) 2 2" xfId="7041" xr:uid="{DE4F86BB-E301-4F67-AF76-76A1C0084CE1}"/>
    <cellStyle name="Calc Percent (2) 2 3" xfId="7042" xr:uid="{B5FAC4D4-22E7-4E26-AB87-0567E9ED2AE1}"/>
    <cellStyle name="Calc Percent (2) 3" xfId="7043" xr:uid="{7EC98005-CFEE-4DFD-AAA4-F1C9EE776D21}"/>
    <cellStyle name="Calc Percent (2) 3 2" xfId="7044" xr:uid="{06E43359-7419-436B-8C79-04B16534D814}"/>
    <cellStyle name="Calc Percent (2) 3 3" xfId="7045" xr:uid="{A42CEB5F-03AA-43D8-AA3D-52E5ADC87736}"/>
    <cellStyle name="Calc Percent (2) 4" xfId="7046" xr:uid="{19912297-DCDF-42D8-8B8E-32543DAF8CD1}"/>
    <cellStyle name="Calc Percent (2) 4 2" xfId="7047" xr:uid="{7C51EF5B-23B2-43EE-93AD-F732777E68DB}"/>
    <cellStyle name="Calc Percent (2) 4 3" xfId="7048" xr:uid="{232E7B76-3725-42CE-9D1B-494C82988A4A}"/>
    <cellStyle name="Calc Percent (2) 5" xfId="7049" xr:uid="{81878CD1-08FE-4549-932C-5CD0E69D7228}"/>
    <cellStyle name="Calc Percent (2) 5 2" xfId="7050" xr:uid="{F4676F62-3FB4-4D37-B932-A6A75C38028D}"/>
    <cellStyle name="Calc Percent (2) 5 3" xfId="7051" xr:uid="{E2BEA18A-DF29-46E2-A8D6-AD225C316E45}"/>
    <cellStyle name="Calc Percent (2) 6" xfId="7052" xr:uid="{140739CC-B9B7-4C02-8A9C-78AA17C8E242}"/>
    <cellStyle name="Calc Percent (2) 6 2" xfId="7053" xr:uid="{055F8965-C779-404E-AD4A-256309215613}"/>
    <cellStyle name="Calc Percent (2) 6 3" xfId="7054" xr:uid="{AC6093A9-E981-4EBD-ACCD-0CBEE98F28A0}"/>
    <cellStyle name="Calc Percent (2) 7" xfId="7055" xr:uid="{D2470457-86D5-4716-A62A-CA728D0C4A31}"/>
    <cellStyle name="Calc Percent (2) 7 2" xfId="7056" xr:uid="{0B311536-FE0C-45C5-826A-2709816C8A23}"/>
    <cellStyle name="Calc Percent (2) 7 3" xfId="7057" xr:uid="{BF6E2674-7A91-4EEA-B741-8193496C4765}"/>
    <cellStyle name="Calc Percent (2) 8" xfId="7058" xr:uid="{014E575A-B924-4823-8420-2B6000F9EE05}"/>
    <cellStyle name="Calc Percent (2) 8 2" xfId="7059" xr:uid="{EF85DD9A-C820-497E-AE74-01B92D40D203}"/>
    <cellStyle name="Calc Percent (2) 8 3" xfId="7060" xr:uid="{0F43381E-716B-4A1A-AB80-494182FEC355}"/>
    <cellStyle name="Calc Percent (2) 9" xfId="7061" xr:uid="{F4D63D6C-8E0E-46A9-B3A6-0FD76AA95FE7}"/>
    <cellStyle name="Calc Percent (2) 9 2" xfId="7062" xr:uid="{9B4FFC68-5F76-4C84-92E3-C6F9E9FEEDD4}"/>
    <cellStyle name="Calc Percent (2) 9 3" xfId="7063" xr:uid="{6A9EA218-DFBF-4B48-BDD4-8663B06689BF}"/>
    <cellStyle name="Calc Units (0)" xfId="772" xr:uid="{E716E878-7CC8-49CD-9B86-3C0757BDED28}"/>
    <cellStyle name="Calc Units (0) 10" xfId="7065" xr:uid="{62B03774-81F2-4E5D-B848-4DC5194D1ED0}"/>
    <cellStyle name="Calc Units (0) 10 2" xfId="7066" xr:uid="{52FFECC9-6699-4923-AF78-89B18E60ED6C}"/>
    <cellStyle name="Calc Units (0) 10 2 2" xfId="7067" xr:uid="{9AE0DA74-D7C8-4DFB-92E7-8D58177E6F04}"/>
    <cellStyle name="Calc Units (0) 11" xfId="7064" xr:uid="{1FAD1A10-3733-4DFF-A734-EDB7F4554064}"/>
    <cellStyle name="Calc Units (0) 2" xfId="7068" xr:uid="{CC8B5FAA-DE75-4040-9944-D7B564E8649C}"/>
    <cellStyle name="Calc Units (0) 2 2" xfId="7069" xr:uid="{16B49A20-D3AE-4481-BA9A-3F82864CB415}"/>
    <cellStyle name="Calc Units (0) 2 3" xfId="7070" xr:uid="{5B5304A7-386D-43DB-B09D-7DF0AEA67A15}"/>
    <cellStyle name="Calc Units (0) 3" xfId="7071" xr:uid="{CE7FBCEA-CC91-4A94-933D-C2941685B2A4}"/>
    <cellStyle name="Calc Units (0) 3 2" xfId="7072" xr:uid="{D7ACC36F-4C12-42DD-8329-10E3D93FA216}"/>
    <cellStyle name="Calc Units (0) 3 3" xfId="7073" xr:uid="{02B15934-D4C2-4FB6-9B6E-FDE957FF15DA}"/>
    <cellStyle name="Calc Units (0) 4" xfId="7074" xr:uid="{90C73A7F-5960-494A-A17B-360485AABDC3}"/>
    <cellStyle name="Calc Units (0) 4 2" xfId="7075" xr:uid="{2BFF815E-816A-4B75-98AD-BAE714846E2F}"/>
    <cellStyle name="Calc Units (0) 4 3" xfId="7076" xr:uid="{E16DE9AA-3DD8-49A1-8708-93DAB14DE918}"/>
    <cellStyle name="Calc Units (0) 5" xfId="7077" xr:uid="{7B238E37-A605-465C-9170-BF4F31AF29FB}"/>
    <cellStyle name="Calc Units (0) 5 2" xfId="7078" xr:uid="{BD1070A4-3D6C-4263-8055-EA7D59DDE7BE}"/>
    <cellStyle name="Calc Units (0) 5 3" xfId="7079" xr:uid="{3AC585A3-910A-4131-BDA4-D49EF974E033}"/>
    <cellStyle name="Calc Units (0) 6" xfId="7080" xr:uid="{CE34B9DE-2040-4366-AE05-E44B45239B2E}"/>
    <cellStyle name="Calc Units (0) 6 2" xfId="7081" xr:uid="{901E8592-D260-467A-ACE3-2FEC9C82DD74}"/>
    <cellStyle name="Calc Units (0) 6 3" xfId="7082" xr:uid="{88E4BB65-A906-4386-9C92-693BAC46A868}"/>
    <cellStyle name="Calc Units (0) 7" xfId="7083" xr:uid="{BB9BFF31-EBFA-4551-9C4C-65378B036A1A}"/>
    <cellStyle name="Calc Units (0) 7 2" xfId="7084" xr:uid="{C347E721-2A88-48E4-87A6-953D22E5C057}"/>
    <cellStyle name="Calc Units (0) 7 3" xfId="7085" xr:uid="{A29E10F0-0DE2-446A-A718-6A0FF6446B4B}"/>
    <cellStyle name="Calc Units (0) 8" xfId="7086" xr:uid="{85E730B5-F908-4E3C-92DD-49CAF9378D6B}"/>
    <cellStyle name="Calc Units (0) 8 2" xfId="7087" xr:uid="{87934842-5136-4810-9372-CAF688678EC6}"/>
    <cellStyle name="Calc Units (0) 8 3" xfId="7088" xr:uid="{25ABEFAA-A7D4-4E6A-BA69-B31F3FC60C6C}"/>
    <cellStyle name="Calc Units (0) 9" xfId="7089" xr:uid="{CA467512-F635-44A1-A3E2-9F6096A49AD3}"/>
    <cellStyle name="Calc Units (0) 9 2" xfId="7090" xr:uid="{338D59E5-362D-4FA4-A447-3F91E581D412}"/>
    <cellStyle name="Calc Units (0) 9 3" xfId="7091" xr:uid="{E30E17E5-9806-4C3E-92C7-683F82A63CEE}"/>
    <cellStyle name="Calc Units (1)" xfId="773" xr:uid="{5A51A0B3-F72D-479D-8E0F-C97214BACEAE}"/>
    <cellStyle name="Calc Units (1) 10" xfId="7093" xr:uid="{F86AEA0F-E223-4E01-AE73-B53D31AC8BA0}"/>
    <cellStyle name="Calc Units (1) 10 2" xfId="7094" xr:uid="{D1F4769E-38A1-4193-92F6-D0A46C5CD12E}"/>
    <cellStyle name="Calc Units (1) 10 2 2" xfId="7095" xr:uid="{F93F535D-41C6-4654-A79C-7B35BEED1CA4}"/>
    <cellStyle name="Calc Units (1) 11" xfId="7092" xr:uid="{3394D200-8912-4B8C-9544-73E89546617F}"/>
    <cellStyle name="Calc Units (1) 2" xfId="7096" xr:uid="{DF8AC2D7-AE1F-4890-B81D-14FE7A738F62}"/>
    <cellStyle name="Calc Units (1) 2 2" xfId="7097" xr:uid="{59CE3349-07EA-4419-9A47-57CA01B5F466}"/>
    <cellStyle name="Calc Units (1) 2 3" xfId="7098" xr:uid="{A6058F8E-A7A1-4BA4-85CA-3F332333408F}"/>
    <cellStyle name="Calc Units (1) 3" xfId="7099" xr:uid="{E1CCD3C8-0BDE-4EE3-A071-6D2D34609C3D}"/>
    <cellStyle name="Calc Units (1) 3 2" xfId="7100" xr:uid="{9931F359-46C0-446D-B72C-2D47D31606FE}"/>
    <cellStyle name="Calc Units (1) 3 3" xfId="7101" xr:uid="{65A69A0F-A2AE-4902-84B7-C2CC2BFC3247}"/>
    <cellStyle name="Calc Units (1) 4" xfId="7102" xr:uid="{FF894B48-BFB1-465E-A599-DE6B3EE185F5}"/>
    <cellStyle name="Calc Units (1) 4 2" xfId="7103" xr:uid="{6442A235-BB8A-4E94-8EFD-FF505775596D}"/>
    <cellStyle name="Calc Units (1) 4 3" xfId="7104" xr:uid="{35311F41-D7E2-4240-89DA-D8481DCAD178}"/>
    <cellStyle name="Calc Units (1) 5" xfId="7105" xr:uid="{42DC1188-47C5-4D42-A48D-AAE5EC3A312B}"/>
    <cellStyle name="Calc Units (1) 5 2" xfId="7106" xr:uid="{68403297-6B88-48B8-B1D7-5F4C85017667}"/>
    <cellStyle name="Calc Units (1) 5 3" xfId="7107" xr:uid="{0A6113C9-C4B0-4B27-9ACC-FA61D4F03C89}"/>
    <cellStyle name="Calc Units (1) 6" xfId="7108" xr:uid="{8C113160-7F80-4966-B293-D6AB46AED93F}"/>
    <cellStyle name="Calc Units (1) 6 2" xfId="7109" xr:uid="{1ADB643F-89B4-464E-BA47-473D3754BC11}"/>
    <cellStyle name="Calc Units (1) 6 3" xfId="7110" xr:uid="{47F49240-BF16-4068-AF54-8A33E1FBC583}"/>
    <cellStyle name="Calc Units (1) 7" xfId="7111" xr:uid="{44868371-A27B-45B1-825D-F277DFA3778D}"/>
    <cellStyle name="Calc Units (1) 7 2" xfId="7112" xr:uid="{434DCE20-027E-421B-8C51-ADB4158F8CC9}"/>
    <cellStyle name="Calc Units (1) 7 3" xfId="7113" xr:uid="{47353C04-12EF-4DB8-9A03-1F3098BAA7D0}"/>
    <cellStyle name="Calc Units (1) 8" xfId="7114" xr:uid="{3270C699-7C42-42E8-BC02-78EC6849181D}"/>
    <cellStyle name="Calc Units (1) 8 2" xfId="7115" xr:uid="{39B01196-F625-4A8F-A8DD-EF8C687BDC4F}"/>
    <cellStyle name="Calc Units (1) 8 3" xfId="7116" xr:uid="{7FEACBB5-2CAD-47B7-9137-D5E99912FFA6}"/>
    <cellStyle name="Calc Units (1) 9" xfId="7117" xr:uid="{1A381070-F372-4F31-823B-75EFAE703BF7}"/>
    <cellStyle name="Calc Units (1) 9 2" xfId="7118" xr:uid="{4D1F1D42-EAB0-46DB-8893-1952BFAD2161}"/>
    <cellStyle name="Calc Units (1) 9 3" xfId="7119" xr:uid="{00570C72-5CF7-4B4D-8B82-8FA5117F46F1}"/>
    <cellStyle name="Calc Units (2)" xfId="774" xr:uid="{E9783CE9-C4CB-4E74-BC52-31BA77F4572E}"/>
    <cellStyle name="Calc Units (2) 10" xfId="7121" xr:uid="{A7C46204-A9F7-40D2-8C08-478F158EAF3D}"/>
    <cellStyle name="Calc Units (2) 10 2" xfId="7122" xr:uid="{4E88992E-2130-46F9-A9E2-40DDB2A3E7F5}"/>
    <cellStyle name="Calc Units (2) 10 2 2" xfId="7123" xr:uid="{0B328E79-4DF8-4FDF-87E5-1F0704FEFB89}"/>
    <cellStyle name="Calc Units (2) 11" xfId="7120" xr:uid="{B6395442-6F0C-423E-BFE8-EC1C8B38B7A0}"/>
    <cellStyle name="Calc Units (2) 2" xfId="7124" xr:uid="{34767F83-ABE8-4E12-AC4E-DC3154645E15}"/>
    <cellStyle name="Calc Units (2) 2 2" xfId="7125" xr:uid="{376C970A-690D-4BBD-A5F2-89B2B24430E2}"/>
    <cellStyle name="Calc Units (2) 2 3" xfId="7126" xr:uid="{FCAE2D37-84C2-4CAF-855B-3D59E3FE5EDE}"/>
    <cellStyle name="Calc Units (2) 3" xfId="7127" xr:uid="{D21C020F-29F0-40E4-B0D2-72050D7BB980}"/>
    <cellStyle name="Calc Units (2) 3 2" xfId="7128" xr:uid="{DE595EE3-7F4B-4B4F-A875-74661DB7DC6F}"/>
    <cellStyle name="Calc Units (2) 3 3" xfId="7129" xr:uid="{FFA2D55B-098A-45B6-9A53-5C2311257D62}"/>
    <cellStyle name="Calc Units (2) 4" xfId="7130" xr:uid="{8102E604-D3AB-48C1-91C7-C9B032109F9E}"/>
    <cellStyle name="Calc Units (2) 4 2" xfId="7131" xr:uid="{724EE7B4-35C5-4A68-AA15-7431CCDD350C}"/>
    <cellStyle name="Calc Units (2) 4 3" xfId="7132" xr:uid="{48D19ECB-3589-43AA-A578-9CCBACB5FED8}"/>
    <cellStyle name="Calc Units (2) 5" xfId="7133" xr:uid="{6A8F8374-23DB-411F-9A23-104644CE7A90}"/>
    <cellStyle name="Calc Units (2) 5 2" xfId="7134" xr:uid="{74E11139-2C62-40BF-94A7-E73A47FE4AE2}"/>
    <cellStyle name="Calc Units (2) 5 3" xfId="7135" xr:uid="{2B317363-E0E7-41C1-8F66-EC310076FC55}"/>
    <cellStyle name="Calc Units (2) 6" xfId="7136" xr:uid="{5BF80877-DFDA-43F7-B028-E2B8214D6F9F}"/>
    <cellStyle name="Calc Units (2) 6 2" xfId="7137" xr:uid="{1932B3A9-E3A7-4727-8FA0-1A10FD8A20B0}"/>
    <cellStyle name="Calc Units (2) 6 3" xfId="7138" xr:uid="{7C3EEC20-CA33-41F3-BF62-1D16F0282630}"/>
    <cellStyle name="Calc Units (2) 7" xfId="7139" xr:uid="{F7A11554-E6EB-4DD5-8AA6-6F3DC2D891E2}"/>
    <cellStyle name="Calc Units (2) 7 2" xfId="7140" xr:uid="{7DE23D77-2085-4013-B530-34B181556B61}"/>
    <cellStyle name="Calc Units (2) 7 3" xfId="7141" xr:uid="{351EF388-236A-4407-B73E-40F56B23A44B}"/>
    <cellStyle name="Calc Units (2) 8" xfId="7142" xr:uid="{73E4D3C0-8A7C-4CF5-833B-E8E23FD61AB7}"/>
    <cellStyle name="Calc Units (2) 8 2" xfId="7143" xr:uid="{8A22AAD1-6558-475E-BBDC-FAE07588C94D}"/>
    <cellStyle name="Calc Units (2) 8 3" xfId="7144" xr:uid="{EF9E11C3-07C6-43C9-89F8-D50383DD28DC}"/>
    <cellStyle name="Calc Units (2) 9" xfId="7145" xr:uid="{4FE8A981-F13A-4A64-B868-6DD9E41A2D48}"/>
    <cellStyle name="Calc Units (2) 9 2" xfId="7146" xr:uid="{DC70975B-0E0A-4B52-88EE-B369149B503A}"/>
    <cellStyle name="Calc Units (2) 9 3" xfId="7147" xr:uid="{64AE59B8-C1B5-4F4B-9B88-94F2DBA1596E}"/>
    <cellStyle name="Calc_2900 - Facilities" xfId="7148" xr:uid="{FDD8589D-EA35-4EBA-A4F9-57A51E260AD0}"/>
    <cellStyle name="calculated" xfId="775" xr:uid="{8B2A3EF1-4157-46D3-909C-6B481A396E73}"/>
    <cellStyle name="Calculation" xfId="568" builtinId="22"/>
    <cellStyle name="Calculation 10" xfId="7149" xr:uid="{151890AC-9AA7-4FB3-9341-5147F7C1BB53}"/>
    <cellStyle name="Calculation 10 2" xfId="12324" xr:uid="{056F96D2-9444-4DDF-A488-109112E121D7}"/>
    <cellStyle name="Calculation 10 2 2" xfId="21370" xr:uid="{A512FE7A-1D86-4380-95EA-2371C41329A9}"/>
    <cellStyle name="Calculation 10 2 3" xfId="23571" xr:uid="{5D60FA70-9789-49D4-A52C-3C0E0B696CA5}"/>
    <cellStyle name="Calculation 10 3" xfId="14359" xr:uid="{0F76B48E-DF24-4288-B64B-13EEF472C343}"/>
    <cellStyle name="Calculation 10 4" xfId="17899" xr:uid="{2B6F3B9E-F2DF-4427-8416-9E9E4CD04127}"/>
    <cellStyle name="Calculation 10 5" xfId="23341" xr:uid="{003D3EB3-EE7C-44D0-B055-1A8C57CE8FC2}"/>
    <cellStyle name="Calculation 11" xfId="7150" xr:uid="{F5591CDF-C35F-47F3-AF6E-E0922DAA11FE}"/>
    <cellStyle name="Calculation 11 2" xfId="12325" xr:uid="{505060A5-E9B4-486F-945F-1D4DBA5DF735}"/>
    <cellStyle name="Calculation 11 2 2" xfId="21371" xr:uid="{8732CBF4-6039-4ADB-9F32-8CE5F586507B}"/>
    <cellStyle name="Calculation 11 2 3" xfId="23572" xr:uid="{D260CD25-ECBE-4FF8-87A1-FDB2752F308E}"/>
    <cellStyle name="Calculation 11 3" xfId="14360" xr:uid="{0B477307-5206-4B56-9DC3-4403C346A4A8}"/>
    <cellStyle name="Calculation 11 4" xfId="17900" xr:uid="{60E33654-45B8-416E-AF4F-00FDA69B3F1F}"/>
    <cellStyle name="Calculation 11 5" xfId="23342" xr:uid="{EB85D8E6-E5B5-4D8E-9278-0D6E5A8F4AD3}"/>
    <cellStyle name="Calculation 12" xfId="7151" xr:uid="{A7F57B6C-BC74-4589-AF85-9967538A9176}"/>
    <cellStyle name="Calculation 12 2" xfId="12326" xr:uid="{0B995F47-74FD-4A5B-A103-3A192B0FCDE8}"/>
    <cellStyle name="Calculation 12 2 2" xfId="21372" xr:uid="{9D7836A2-CF35-4D42-9998-0592607B3530}"/>
    <cellStyle name="Calculation 12 2 3" xfId="23573" xr:uid="{9EBDE041-6DE2-4FBC-8D0F-F54B82707088}"/>
    <cellStyle name="Calculation 12 3" xfId="14361" xr:uid="{EBF9BE69-C566-4E5E-8956-E64B3406CCC8}"/>
    <cellStyle name="Calculation 12 4" xfId="17901" xr:uid="{81008530-9A2D-474F-8C29-F0E8BEF6B500}"/>
    <cellStyle name="Calculation 12 5" xfId="23343" xr:uid="{D0F300DB-8BE3-4AE9-9B79-EC8C80DAC068}"/>
    <cellStyle name="Calculation 2" xfId="117" xr:uid="{791E0957-EF85-4E60-9C37-6693D386317D}"/>
    <cellStyle name="Calculation 2 10" xfId="4118" xr:uid="{1DAD99F6-7D76-4D23-834B-A4B4F6C562F2}"/>
    <cellStyle name="Calculation 2 10 2" xfId="9975" xr:uid="{EB7A9555-612C-4F15-91B2-D9ECA17CDDB2}"/>
    <cellStyle name="Calculation 2 10 2 2" xfId="19021" xr:uid="{355CB6F2-FDD7-47F6-8CA8-1C84AD22EA24}"/>
    <cellStyle name="Calculation 2 10 3" xfId="15535" xr:uid="{5B3500A9-E156-46DA-B6E3-D0D4AD1475DE}"/>
    <cellStyle name="Calculation 2 10 4" xfId="22179" xr:uid="{CDCE9444-22B1-47C6-B059-586B7CCF1114}"/>
    <cellStyle name="Calculation 2 11" xfId="4185" xr:uid="{0151B2EC-E8CB-4FD8-B7D4-950B4898C57A}"/>
    <cellStyle name="Calculation 2 11 2" xfId="10042" xr:uid="{969DAC66-20EE-4234-8EFB-CCD2F59ECF39}"/>
    <cellStyle name="Calculation 2 11 2 2" xfId="19088" xr:uid="{E601A964-87AA-40E5-ABCD-59B1540044FF}"/>
    <cellStyle name="Calculation 2 11 3" xfId="15602" xr:uid="{FCD6BB25-10C3-456E-BAB7-A776A8488320}"/>
    <cellStyle name="Calculation 2 11 4" xfId="23344" xr:uid="{2E966068-3A90-4C81-BFE4-D558DEFE3947}"/>
    <cellStyle name="Calculation 2 12" xfId="7152" xr:uid="{630F00BF-5D17-4EDC-A48A-582113E7722D}"/>
    <cellStyle name="Calculation 2 12 2" xfId="17902" xr:uid="{9F01135B-A071-4081-9ECE-FD16EB3BB2E7}"/>
    <cellStyle name="Calculation 2 12 3" xfId="23574" xr:uid="{9A9C4730-31EB-4C7A-B66A-22A0C0189C6E}"/>
    <cellStyle name="Calculation 2 13" xfId="12327" xr:uid="{7DB9F063-EA5B-4C03-B8DC-0FD7BFC2D258}"/>
    <cellStyle name="Calculation 2 13 2" xfId="21373" xr:uid="{A3CB30F2-4904-4358-B02D-45A25B18DF8E}"/>
    <cellStyle name="Calculation 2 14" xfId="12497" xr:uid="{5F23E6DF-FAE1-4D67-A787-2B5BE609FD0B}"/>
    <cellStyle name="Calculation 2 15" xfId="13692" xr:uid="{C3945751-DB46-487C-8871-2879C0F65D2B}"/>
    <cellStyle name="Calculation 2 16" xfId="14664" xr:uid="{97B0348C-8962-4F75-A678-18F385C74DE9}"/>
    <cellStyle name="Calculation 2 17" xfId="23727" xr:uid="{5E2D6EEB-99F6-4C02-A499-F00E7B6C8A59}"/>
    <cellStyle name="Calculation 2 2" xfId="291" xr:uid="{C7A906FD-4236-45B4-A49F-AF9368A84C17}"/>
    <cellStyle name="Calculation 2 2 10" xfId="4302" xr:uid="{E357C1CD-8F72-4E87-831B-6A584897DB9B}"/>
    <cellStyle name="Calculation 2 2 10 2" xfId="10159" xr:uid="{BFE44CC6-7570-4DCE-850A-956222725B14}"/>
    <cellStyle name="Calculation 2 2 10 2 2" xfId="19205" xr:uid="{FDE5F42A-B675-451A-852B-1CB306870A89}"/>
    <cellStyle name="Calculation 2 2 10 3" xfId="15719" xr:uid="{B195CE10-E1D6-4E5E-BA0E-AD82942C2B67}"/>
    <cellStyle name="Calculation 2 2 11" xfId="4180" xr:uid="{618B0C90-2629-4225-BFA7-202FD60AA2F4}"/>
    <cellStyle name="Calculation 2 2 11 2" xfId="10037" xr:uid="{01301CAB-E6E7-49B2-8554-BF7E7D2FF8B2}"/>
    <cellStyle name="Calculation 2 2 11 2 2" xfId="19083" xr:uid="{9CB89445-36A1-42B6-9E30-F38E947DCFA2}"/>
    <cellStyle name="Calculation 2 2 11 3" xfId="15597" xr:uid="{608D94C3-0DA1-4646-85AB-B22A7C319055}"/>
    <cellStyle name="Calculation 2 2 12" xfId="9104" xr:uid="{5F8D41B6-7DAE-444E-ADEE-2CAA3B70BA24}"/>
    <cellStyle name="Calculation 2 2 12 2" xfId="18150" xr:uid="{A2E235F2-EFC5-4529-98B8-C686B3E77D2C}"/>
    <cellStyle name="Calculation 2 2 13" xfId="12504" xr:uid="{E61C2239-59C4-4718-973D-90467EDBEA7E}"/>
    <cellStyle name="Calculation 2 2 14" xfId="13698" xr:uid="{377CEF50-D4C5-40F6-9A7C-184EB38C788E}"/>
    <cellStyle name="Calculation 2 2 15" xfId="14673" xr:uid="{47EBC4CF-4A74-4DD0-9BC6-9A334D49DF60}"/>
    <cellStyle name="Calculation 2 2 16" xfId="21548" xr:uid="{112BFF5C-8488-4CE5-BBB0-AA460DB832C7}"/>
    <cellStyle name="Calculation 2 2 17" xfId="23728" xr:uid="{1A561D36-5D90-4BC5-A930-900CC535770A}"/>
    <cellStyle name="Calculation 2 2 2" xfId="2269" xr:uid="{04A74716-1A84-419F-B8B7-26AAFFB448E7}"/>
    <cellStyle name="Calculation 2 2 2 10" xfId="9129" xr:uid="{034EBDF8-BDE0-4E35-8E7B-DEC4EC69D85D}"/>
    <cellStyle name="Calculation 2 2 2 10 2" xfId="18175" xr:uid="{54A926CA-743C-427B-97FE-34779E81C6AC}"/>
    <cellStyle name="Calculation 2 2 2 11" xfId="12527" xr:uid="{CB15077D-F4F8-4715-A900-47B09FA73FA3}"/>
    <cellStyle name="Calculation 2 2 2 12" xfId="13721" xr:uid="{2F6849E0-2335-4FD5-BC77-1E032ADF5AF8}"/>
    <cellStyle name="Calculation 2 2 2 13" xfId="14698" xr:uid="{DF0C3B6D-B679-4561-90CE-DA2D5CBC803A}"/>
    <cellStyle name="Calculation 2 2 2 14" xfId="21570" xr:uid="{8B32224F-1C40-4E16-B99F-6133E1CA9D14}"/>
    <cellStyle name="Calculation 2 2 2 15" xfId="23729" xr:uid="{F534C8B0-64B5-4C6B-8D1A-33C2C498F502}"/>
    <cellStyle name="Calculation 2 2 2 2" xfId="2270" xr:uid="{62DF9CAD-401C-41FE-AB7E-B35EE5A8C986}"/>
    <cellStyle name="Calculation 2 2 2 2 10" xfId="13138" xr:uid="{F6F07281-CB09-4ACC-87E4-9B79247B4D83}"/>
    <cellStyle name="Calculation 2 2 2 2 11" xfId="13770" xr:uid="{EC59BA4B-D33F-421C-8D54-C0873ABD230B}"/>
    <cellStyle name="Calculation 2 2 2 2 12" xfId="14747" xr:uid="{8D295492-1A29-4F4D-B6AD-1C559E1630CE}"/>
    <cellStyle name="Calculation 2 2 2 2 13" xfId="21617" xr:uid="{B812E2AE-8947-4C54-BF63-1A68A7E16DA7}"/>
    <cellStyle name="Calculation 2 2 2 2 2" xfId="2832" xr:uid="{7688A5CD-3C53-4E05-AEF3-ADC386E52804}"/>
    <cellStyle name="Calculation 2 2 2 2 2 10" xfId="15174" xr:uid="{9978D767-EB32-4B9A-A969-073FF0A63F6A}"/>
    <cellStyle name="Calculation 2 2 2 2 2 11" xfId="22043" xr:uid="{EE7B428E-BC75-46E7-BDA0-3E1C0616E596}"/>
    <cellStyle name="Calculation 2 2 2 2 2 12" xfId="3394" xr:uid="{6D06E307-17A5-436E-B0B0-36FCD320DE03}"/>
    <cellStyle name="Calculation 2 2 2 2 2 2" xfId="4617" xr:uid="{B8FAF520-7C28-466F-A858-E887D47A8123}"/>
    <cellStyle name="Calculation 2 2 2 2 2 2 2" xfId="10474" xr:uid="{99B35DCD-429D-4C84-997F-E84296319C1D}"/>
    <cellStyle name="Calculation 2 2 2 2 2 2 2 2" xfId="19520" xr:uid="{5EC3EEEC-E647-4969-B907-A1C6624E99E2}"/>
    <cellStyle name="Calculation 2 2 2 2 2 2 3" xfId="16034" xr:uid="{3EFACBE1-0369-42DC-B50F-30204FE43538}"/>
    <cellStyle name="Calculation 2 2 2 2 2 2 4" xfId="22699" xr:uid="{E4245E28-8CC1-46F6-96E8-565D79918E63}"/>
    <cellStyle name="Calculation 2 2 2 2 2 3" xfId="5118" xr:uid="{3D474D52-4B04-4E4D-B707-569E6E1ABF80}"/>
    <cellStyle name="Calculation 2 2 2 2 2 3 2" xfId="10971" xr:uid="{6D5BBFA9-A4CF-43DE-BDDC-7AF24F9DBC00}"/>
    <cellStyle name="Calculation 2 2 2 2 2 3 2 2" xfId="20017" xr:uid="{E6C8B3BF-C05E-4C4D-8080-D01AA729D2DD}"/>
    <cellStyle name="Calculation 2 2 2 2 2 3 3" xfId="16531" xr:uid="{A977CCC8-3CFA-4DF7-942D-52137292DA93}"/>
    <cellStyle name="Calculation 2 2 2 2 2 3 4" xfId="23194" xr:uid="{1D1C825B-C96A-4521-B1BA-5B17BD476D36}"/>
    <cellStyle name="Calculation 2 2 2 2 2 4" xfId="5733" xr:uid="{FEBFA58B-76BC-409F-AE72-F559606DDEBA}"/>
    <cellStyle name="Calculation 2 2 2 2 2 4 2" xfId="11586" xr:uid="{EF873AB4-2C41-48F8-B899-DBA870F1B218}"/>
    <cellStyle name="Calculation 2 2 2 2 2 4 2 2" xfId="20632" xr:uid="{AF82070E-399D-4946-B0C7-45F4529B6C5B}"/>
    <cellStyle name="Calculation 2 2 2 2 2 4 3" xfId="17146" xr:uid="{10C02D5E-F285-4581-ABD5-D2229E6F8BDE}"/>
    <cellStyle name="Calculation 2 2 2 2 2 5" xfId="6344" xr:uid="{13DE798E-298E-4C4A-BB1C-734FA5838B66}"/>
    <cellStyle name="Calculation 2 2 2 2 2 5 2" xfId="12191" xr:uid="{4C54755C-BA9E-42BA-8ABF-EA9A1CF4043B}"/>
    <cellStyle name="Calculation 2 2 2 2 2 5 2 2" xfId="21237" xr:uid="{259194BC-433E-457D-A4B6-B7D87AC4DC4D}"/>
    <cellStyle name="Calculation 2 2 2 2 2 5 3" xfId="17757" xr:uid="{EB17B293-5E2A-42BC-BCA8-D9DDC39E146B}"/>
    <cellStyle name="Calculation 2 2 2 2 2 6" xfId="9605" xr:uid="{A63B568C-DD03-42FB-8E3C-E7C44DC1E49D}"/>
    <cellStyle name="Calculation 2 2 2 2 2 6 2" xfId="18651" xr:uid="{D6A4FB53-EA33-432B-B03F-3A3ECF8E4BDF}"/>
    <cellStyle name="Calculation 2 2 2 2 2 7" xfId="13003" xr:uid="{4674DA2E-2839-476A-9B32-E9D2B088CAF3}"/>
    <cellStyle name="Calculation 2 2 2 2 2 8" xfId="13560" xr:uid="{0E60E0DD-0B77-49EC-94B1-17CBE12F9CE3}"/>
    <cellStyle name="Calculation 2 2 2 2 2 9" xfId="14199" xr:uid="{FFF8530E-553B-4F15-91BD-1A67177E8D14}"/>
    <cellStyle name="Calculation 2 2 2 2 3" xfId="2796" xr:uid="{6D5012FB-5A1D-459D-B83C-FB7A251C6811}"/>
    <cellStyle name="Calculation 2 2 2 2 3 10" xfId="14962" xr:uid="{BCFDE31B-CCDC-4C75-A5B9-9BB2DA35F58A}"/>
    <cellStyle name="Calculation 2 2 2 2 3 11" xfId="21830" xr:uid="{9244B0BC-D024-49CE-AEE6-C268AB62AB6D}"/>
    <cellStyle name="Calculation 2 2 2 2 3 12" xfId="3182" xr:uid="{A2E48362-DE08-4204-AAF2-20F9C0633E96}"/>
    <cellStyle name="Calculation 2 2 2 2 3 2" xfId="4403" xr:uid="{398ECC2E-3B0D-4784-B548-B87F71297882}"/>
    <cellStyle name="Calculation 2 2 2 2 3 2 2" xfId="10260" xr:uid="{0B765D55-51AB-4991-8EF8-78BC0FD0A932}"/>
    <cellStyle name="Calculation 2 2 2 2 3 2 2 2" xfId="19306" xr:uid="{7EB37C46-A8F1-486B-9F8B-95474FD4D6BA}"/>
    <cellStyle name="Calculation 2 2 2 2 3 2 3" xfId="15820" xr:uid="{48A9A6BC-ADD4-4DD1-B4DD-F751B2EA182D}"/>
    <cellStyle name="Calculation 2 2 2 2 3 2 4" xfId="22486" xr:uid="{E3A4CABB-F3FE-4EBF-A680-274C82A669FC}"/>
    <cellStyle name="Calculation 2 2 2 2 3 3" xfId="4904" xr:uid="{3024E70F-C334-4E32-8E5C-2320CC9E7B09}"/>
    <cellStyle name="Calculation 2 2 2 2 3 3 2" xfId="10759" xr:uid="{7B9D94F6-9999-4AFF-B611-91654CADE6E1}"/>
    <cellStyle name="Calculation 2 2 2 2 3 3 2 2" xfId="19805" xr:uid="{9A381CDC-ED6C-49CE-877D-310D4337CCA0}"/>
    <cellStyle name="Calculation 2 2 2 2 3 3 3" xfId="16319" xr:uid="{0DF1F1D8-C605-43BE-834B-437D5F623A5A}"/>
    <cellStyle name="Calculation 2 2 2 2 3 3 4" xfId="22981" xr:uid="{33166C1F-D101-4A59-9A68-1A363D3FC4A7}"/>
    <cellStyle name="Calculation 2 2 2 2 3 4" xfId="5519" xr:uid="{F02F2E70-537C-4450-8DC3-C954BB5837E5}"/>
    <cellStyle name="Calculation 2 2 2 2 3 4 2" xfId="11372" xr:uid="{C9EA8A9F-4DA1-4FAC-B15A-784478BC7E82}"/>
    <cellStyle name="Calculation 2 2 2 2 3 4 2 2" xfId="20418" xr:uid="{C5D3773A-AE6E-4FAF-AA70-3B86FFE44E38}"/>
    <cellStyle name="Calculation 2 2 2 2 3 4 3" xfId="16932" xr:uid="{B086FF44-8C29-4A18-ABBB-0A72FDEF505C}"/>
    <cellStyle name="Calculation 2 2 2 2 3 5" xfId="6130" xr:uid="{FFA146CB-ADD6-46A7-86DD-EEA4B70EE7B0}"/>
    <cellStyle name="Calculation 2 2 2 2 3 5 2" xfId="11979" xr:uid="{75409C28-46B1-4194-A892-42DF4F2C5D1B}"/>
    <cellStyle name="Calculation 2 2 2 2 3 5 2 2" xfId="21025" xr:uid="{5BD3F22F-21E6-4DD4-B364-19EEE04D676E}"/>
    <cellStyle name="Calculation 2 2 2 2 3 5 3" xfId="17543" xr:uid="{5234F5C1-746F-4D58-95DF-4154E2EF6504}"/>
    <cellStyle name="Calculation 2 2 2 2 3 6" xfId="9393" xr:uid="{DA0650C8-5B04-47B4-9EBA-D98D5736C187}"/>
    <cellStyle name="Calculation 2 2 2 2 3 6 2" xfId="18439" xr:uid="{E09FB42E-E970-4185-92F5-D3DD49F5A70C}"/>
    <cellStyle name="Calculation 2 2 2 2 3 7" xfId="12789" xr:uid="{BFA5DFD7-6571-4E20-8CBC-EEE002919487}"/>
    <cellStyle name="Calculation 2 2 2 2 3 8" xfId="13349" xr:uid="{FC4892FD-6057-47CC-AAF3-3F827B28BA84}"/>
    <cellStyle name="Calculation 2 2 2 2 3 9" xfId="13985" xr:uid="{B3E94C87-B2BC-42AC-8047-9FDC8D4C12B4}"/>
    <cellStyle name="Calculation 2 2 2 2 4" xfId="4002" xr:uid="{A005287F-F1BA-4DDA-B894-0F1BB800D54F}"/>
    <cellStyle name="Calculation 2 2 2 2 4 2" xfId="9864" xr:uid="{A02EEDB1-3955-4BC6-A3BC-DA778590C0E5}"/>
    <cellStyle name="Calculation 2 2 2 2 4 2 2" xfId="18910" xr:uid="{F56FD422-3C38-48AD-A464-E7AAB91ECA47}"/>
    <cellStyle name="Calculation 2 2 2 2 4 3" xfId="15426" xr:uid="{FD1220A9-549A-4206-BE21-8242F0CE9C38}"/>
    <cellStyle name="Calculation 2 2 2 2 4 4" xfId="22387" xr:uid="{8E0B4F18-C340-4159-821D-75B59AFB404B}"/>
    <cellStyle name="Calculation 2 2 2 2 5" xfId="4284" xr:uid="{B3B22DEE-9C30-49A2-8395-7EF9909563DD}"/>
    <cellStyle name="Calculation 2 2 2 2 5 2" xfId="10141" xr:uid="{C9669D94-DA8E-4615-AFEA-CBF9D8220FBD}"/>
    <cellStyle name="Calculation 2 2 2 2 5 2 2" xfId="19187" xr:uid="{754CB75D-24FC-46FC-8881-A6D48924F377}"/>
    <cellStyle name="Calculation 2 2 2 2 5 3" xfId="15701" xr:uid="{502A6E0C-DB59-47BF-B3FC-81587EBB2D81}"/>
    <cellStyle name="Calculation 2 2 2 2 6" xfId="5304" xr:uid="{87C7A43B-8453-44F9-9623-E0BCBF2BA41D}"/>
    <cellStyle name="Calculation 2 2 2 2 6 2" xfId="11157" xr:uid="{428A25FA-6BE8-430B-9575-180B71DB06CB}"/>
    <cellStyle name="Calculation 2 2 2 2 6 2 2" xfId="20203" xr:uid="{8B2956D3-CD4C-4387-BDDC-A6763B73B40F}"/>
    <cellStyle name="Calculation 2 2 2 2 6 3" xfId="16717" xr:uid="{F821A701-9B5F-4DAC-AF78-225958F29CEC}"/>
    <cellStyle name="Calculation 2 2 2 2 7" xfId="5915" xr:uid="{C9E9E369-E6CE-4CFB-9ED3-89345FB1A20F}"/>
    <cellStyle name="Calculation 2 2 2 2 7 2" xfId="11768" xr:uid="{3A78C21D-F4FE-4DFC-A844-702D51A9A97D}"/>
    <cellStyle name="Calculation 2 2 2 2 7 2 2" xfId="20814" xr:uid="{26165FBA-B402-4126-B36B-12B787D421D1}"/>
    <cellStyle name="Calculation 2 2 2 2 7 3" xfId="17328" xr:uid="{AFD9FCFD-E3EB-4DB5-AB9E-F0DCD873712E}"/>
    <cellStyle name="Calculation 2 2 2 2 8" xfId="9178" xr:uid="{AE5E795A-7E57-4D67-B4B3-D078AC0DE829}"/>
    <cellStyle name="Calculation 2 2 2 2 8 2" xfId="18224" xr:uid="{FE9CCF3A-3EA0-4C1E-B45A-ACB1A35E1B0C}"/>
    <cellStyle name="Calculation 2 2 2 2 9" xfId="12576" xr:uid="{363CFAA3-2605-4CBF-977B-049608B7A021}"/>
    <cellStyle name="Calculation 2 2 2 3" xfId="2833" xr:uid="{3030A9F3-B4D1-4989-BDC7-8B93B04F26A7}"/>
    <cellStyle name="Calculation 2 2 2 3 10" xfId="15125" xr:uid="{DC6787D6-52B0-4BA6-B5F2-182281BF94B4}"/>
    <cellStyle name="Calculation 2 2 2 3 11" xfId="21994" xr:uid="{0622E98B-1635-4808-B1C3-0858807F4AD7}"/>
    <cellStyle name="Calculation 2 2 2 3 12" xfId="3345" xr:uid="{0369BB9D-6F65-4ECC-AFED-A1DFC6ADFDAB}"/>
    <cellStyle name="Calculation 2 2 2 3 2" xfId="4568" xr:uid="{928940B3-6485-4073-8581-169EA7F86B4D}"/>
    <cellStyle name="Calculation 2 2 2 3 2 2" xfId="10425" xr:uid="{CA345314-ED12-49D6-93B9-EDDBF27A3C90}"/>
    <cellStyle name="Calculation 2 2 2 3 2 2 2" xfId="19471" xr:uid="{7B9B84AD-11B2-4A46-B7BD-363BEB783934}"/>
    <cellStyle name="Calculation 2 2 2 3 2 3" xfId="15985" xr:uid="{D47AF072-3E3E-4C2B-AAE5-EFCEFD8C8757}"/>
    <cellStyle name="Calculation 2 2 2 3 2 4" xfId="22650" xr:uid="{649BD158-8F10-42A2-9952-7A4BFD8C15C7}"/>
    <cellStyle name="Calculation 2 2 2 3 3" xfId="5069" xr:uid="{8130CDCC-BF65-4C1B-9794-9A04CD8EC878}"/>
    <cellStyle name="Calculation 2 2 2 3 3 2" xfId="10922" xr:uid="{C043A351-0826-422E-A51B-6E6112E31295}"/>
    <cellStyle name="Calculation 2 2 2 3 3 2 2" xfId="19968" xr:uid="{A873B8BF-7A87-46E5-9986-BFC0BA2ECD9E}"/>
    <cellStyle name="Calculation 2 2 2 3 3 3" xfId="16482" xr:uid="{EB1AB9A2-0C4B-4BB4-A396-993C4A74FE6B}"/>
    <cellStyle name="Calculation 2 2 2 3 3 4" xfId="23145" xr:uid="{6BEADD52-CBC7-4025-A102-545635504F2A}"/>
    <cellStyle name="Calculation 2 2 2 3 4" xfId="5684" xr:uid="{C6FAB2B4-F311-4412-AEFE-B4B58BED9823}"/>
    <cellStyle name="Calculation 2 2 2 3 4 2" xfId="11537" xr:uid="{F31E2430-8B36-4B09-8E4F-3E9A301E6DAF}"/>
    <cellStyle name="Calculation 2 2 2 3 4 2 2" xfId="20583" xr:uid="{61AB5736-9070-4C47-A497-F16442740647}"/>
    <cellStyle name="Calculation 2 2 2 3 4 3" xfId="17097" xr:uid="{D27FCFFE-DF06-4E3A-AB26-B912B8247DE1}"/>
    <cellStyle name="Calculation 2 2 2 3 5" xfId="6295" xr:uid="{E78141F7-38EF-4E88-A96D-325D867CC8D6}"/>
    <cellStyle name="Calculation 2 2 2 3 5 2" xfId="12142" xr:uid="{C49146D0-B667-412A-8C3D-C3A67D79A0BC}"/>
    <cellStyle name="Calculation 2 2 2 3 5 2 2" xfId="21188" xr:uid="{149E1E0D-9B71-4EDD-B92A-7E2B72A9D48C}"/>
    <cellStyle name="Calculation 2 2 2 3 5 3" xfId="17708" xr:uid="{73BBD7FB-1310-42B5-BA1F-D01AF3A55C2C}"/>
    <cellStyle name="Calculation 2 2 2 3 6" xfId="9556" xr:uid="{41DABFCA-FC6E-4F84-A3D7-76EF9E06F286}"/>
    <cellStyle name="Calculation 2 2 2 3 6 2" xfId="18602" xr:uid="{632A3ED2-5E53-4E1C-8347-E3976BB6BDF5}"/>
    <cellStyle name="Calculation 2 2 2 3 7" xfId="12954" xr:uid="{7643C0FF-B264-4F12-B679-3CD796CB4A9F}"/>
    <cellStyle name="Calculation 2 2 2 3 8" xfId="13511" xr:uid="{D2322DB2-20C7-47DD-8E76-693664598C94}"/>
    <cellStyle name="Calculation 2 2 2 3 9" xfId="14150" xr:uid="{E10B05BB-4A3E-4CD2-A751-F7C51307A847}"/>
    <cellStyle name="Calculation 2 2 2 4" xfId="2795" xr:uid="{380D415B-B9DB-4071-9812-6412919B9D1C}"/>
    <cellStyle name="Calculation 2 2 2 4 10" xfId="14913" xr:uid="{21EF67E4-E788-497D-A9B2-29971821C92D}"/>
    <cellStyle name="Calculation 2 2 2 4 11" xfId="21781" xr:uid="{B2329615-2BE6-492C-AC8F-D6EBD2991622}"/>
    <cellStyle name="Calculation 2 2 2 4 12" xfId="3133" xr:uid="{478E808C-5C75-4E4C-A89A-74A1148770CB}"/>
    <cellStyle name="Calculation 2 2 2 4 2" xfId="4354" xr:uid="{B1303C41-6727-4A9B-8E01-F3A6A5FF7688}"/>
    <cellStyle name="Calculation 2 2 2 4 2 2" xfId="10211" xr:uid="{6594BD8E-FB1E-4350-8AFF-6EEE991D6DF1}"/>
    <cellStyle name="Calculation 2 2 2 4 2 2 2" xfId="19257" xr:uid="{8ED969EA-C5B0-4931-AA6F-CEE283749C43}"/>
    <cellStyle name="Calculation 2 2 2 4 2 3" xfId="15771" xr:uid="{CF991C9C-D035-422A-95FE-36CC75AE1F95}"/>
    <cellStyle name="Calculation 2 2 2 4 2 4" xfId="22437" xr:uid="{AF0FB23F-A7A3-40DB-B724-F40CFBD620C9}"/>
    <cellStyle name="Calculation 2 2 2 4 3" xfId="4855" xr:uid="{8C35A93A-417E-4C00-AE20-1ADD34E992EF}"/>
    <cellStyle name="Calculation 2 2 2 4 3 2" xfId="10710" xr:uid="{F5D329EE-5553-4FE8-B084-4A32F7D2905D}"/>
    <cellStyle name="Calculation 2 2 2 4 3 2 2" xfId="19756" xr:uid="{475D944B-9BAF-469C-B311-9FFD1B584C57}"/>
    <cellStyle name="Calculation 2 2 2 4 3 3" xfId="16270" xr:uid="{992BAC27-B1D1-420E-8774-3C9006C306A9}"/>
    <cellStyle name="Calculation 2 2 2 4 3 4" xfId="22932" xr:uid="{6088FEF1-E1DA-4592-9C6F-7B43A67D6763}"/>
    <cellStyle name="Calculation 2 2 2 4 4" xfId="5470" xr:uid="{32AF96A7-648E-4120-813E-6CA9BAC7CD5B}"/>
    <cellStyle name="Calculation 2 2 2 4 4 2" xfId="11323" xr:uid="{566CA2C8-0CAA-4F94-8D31-15592FF1DED9}"/>
    <cellStyle name="Calculation 2 2 2 4 4 2 2" xfId="20369" xr:uid="{DF052DA6-4898-4C9D-BFA2-90305AF8FCA0}"/>
    <cellStyle name="Calculation 2 2 2 4 4 3" xfId="16883" xr:uid="{1D646062-0AB8-43B7-9B72-DDEF3413C03E}"/>
    <cellStyle name="Calculation 2 2 2 4 5" xfId="6081" xr:uid="{F78CC8FF-967A-4380-9973-1FFBD0F76236}"/>
    <cellStyle name="Calculation 2 2 2 4 5 2" xfId="11930" xr:uid="{DDECEED1-B587-441F-9113-B7C4E4E795DB}"/>
    <cellStyle name="Calculation 2 2 2 4 5 2 2" xfId="20976" xr:uid="{4943876A-DDF7-4B70-9331-4EB8C62DC2AD}"/>
    <cellStyle name="Calculation 2 2 2 4 5 3" xfId="17494" xr:uid="{D3C823A9-692C-465B-87D6-5B24D1E0C744}"/>
    <cellStyle name="Calculation 2 2 2 4 6" xfId="9344" xr:uid="{BB959217-D6AF-4BA1-9EBA-BDE699D5F5B6}"/>
    <cellStyle name="Calculation 2 2 2 4 6 2" xfId="18390" xr:uid="{3664744B-1C8C-40D9-8F60-D79EFDA1F7A1}"/>
    <cellStyle name="Calculation 2 2 2 4 7" xfId="12740" xr:uid="{2E17DF4C-4168-4640-BA93-5E0CBED6909F}"/>
    <cellStyle name="Calculation 2 2 2 4 8" xfId="13300" xr:uid="{3D0A51AF-0412-4BEB-82BA-09D87269F63F}"/>
    <cellStyle name="Calculation 2 2 2 4 9" xfId="13936" xr:uid="{3C25D8BA-88ED-4E1A-B3C4-077E4A50B5E4}"/>
    <cellStyle name="Calculation 2 2 2 5" xfId="3734" xr:uid="{9129BE5C-D4F2-44E0-A1F5-92A780465973}"/>
    <cellStyle name="Calculation 2 2 2 5 2" xfId="9776" xr:uid="{6C8F99B6-B433-4BB2-AEAC-13FE4E48EEA0}"/>
    <cellStyle name="Calculation 2 2 2 5 2 2" xfId="18822" xr:uid="{833820EA-715B-4D56-8AAD-10C0C376F095}"/>
    <cellStyle name="Calculation 2 2 2 5 3" xfId="15342" xr:uid="{B5065BCE-B997-4755-A15C-C78C1193B46F}"/>
    <cellStyle name="Calculation 2 2 2 5 4" xfId="22321" xr:uid="{E5FFCCA3-FA36-44A4-A5BC-E8ABAEF97893}"/>
    <cellStyle name="Calculation 2 2 2 6" xfId="4218" xr:uid="{EDEB57A0-0B0F-47C9-A096-A10A7FFE9968}"/>
    <cellStyle name="Calculation 2 2 2 6 2" xfId="10075" xr:uid="{4B6246BD-C33A-4A3C-A3CA-0241CE4F9C81}"/>
    <cellStyle name="Calculation 2 2 2 6 2 2" xfId="19121" xr:uid="{DF21BFCF-DBE6-4523-ADA0-9F15EE057610}"/>
    <cellStyle name="Calculation 2 2 2 6 3" xfId="15635" xr:uid="{535B9E4A-093A-453F-870A-9C8580A90EEA}"/>
    <cellStyle name="Calculation 2 2 2 6 4" xfId="22373" xr:uid="{67BF812E-0327-4965-93E3-0C1A2AF30A4F}"/>
    <cellStyle name="Calculation 2 2 2 7" xfId="4297" xr:uid="{25CB1E06-98A1-47AD-B7EF-19D35F35C779}"/>
    <cellStyle name="Calculation 2 2 2 7 2" xfId="10154" xr:uid="{9C6383DD-4702-4B60-9BA8-98AC397B18FF}"/>
    <cellStyle name="Calculation 2 2 2 7 2 2" xfId="19200" xr:uid="{452613CB-1155-4351-9BDC-3CC2C0921436}"/>
    <cellStyle name="Calculation 2 2 2 7 3" xfId="15714" xr:uid="{73ED5DAA-352E-4FE6-A520-1BFAF8F83E7E}"/>
    <cellStyle name="Calculation 2 2 2 8" xfId="5255" xr:uid="{E7616433-10BC-43A8-B494-F780729DF9CB}"/>
    <cellStyle name="Calculation 2 2 2 8 2" xfId="11108" xr:uid="{8565D5FC-6DBC-4DC9-AE9F-722994580F11}"/>
    <cellStyle name="Calculation 2 2 2 8 2 2" xfId="20154" xr:uid="{899A089C-7FE3-4073-BE7F-57604B67859E}"/>
    <cellStyle name="Calculation 2 2 2 8 3" xfId="16668" xr:uid="{5DA89F4D-A626-4B27-B336-7A5244DF7EC5}"/>
    <cellStyle name="Calculation 2 2 2 9" xfId="5866" xr:uid="{CE7ACE56-05C2-4A8B-967E-3D80A2F9E691}"/>
    <cellStyle name="Calculation 2 2 2 9 2" xfId="11719" xr:uid="{DC4514BF-2357-4DC8-A5A5-BEFB15AF4CE8}"/>
    <cellStyle name="Calculation 2 2 2 9 2 2" xfId="20765" xr:uid="{2A041A17-F078-4CD7-B20A-1A858579E1A2}"/>
    <cellStyle name="Calculation 2 2 2 9 3" xfId="17279" xr:uid="{99173784-F01A-4C9C-9CEF-6917B7809071}"/>
    <cellStyle name="Calculation 2 2 3" xfId="2271" xr:uid="{B1F5FB91-81D5-422E-8435-7E3B805ADBCB}"/>
    <cellStyle name="Calculation 2 2 3 10" xfId="9130" xr:uid="{96CD12A2-579C-4447-AB5E-3259B46796AF}"/>
    <cellStyle name="Calculation 2 2 3 10 2" xfId="18176" xr:uid="{AEEB5241-F0EE-496E-BD13-AA5A55072F18}"/>
    <cellStyle name="Calculation 2 2 3 11" xfId="12528" xr:uid="{4EC9169B-4E49-4A77-B175-A69A58178B18}"/>
    <cellStyle name="Calculation 2 2 3 12" xfId="13722" xr:uid="{3E5CC2BC-0EB2-4C8F-8AE5-0BA3338637F0}"/>
    <cellStyle name="Calculation 2 2 3 13" xfId="14699" xr:uid="{F37B1A41-E51C-43DD-A74C-FCA393B2B3B6}"/>
    <cellStyle name="Calculation 2 2 3 14" xfId="21571" xr:uid="{43D2DD17-8287-47E7-A1F2-4FB59FE8FA55}"/>
    <cellStyle name="Calculation 2 2 3 15" xfId="23730" xr:uid="{9233DE27-E887-408B-82D7-F7D7088F8A45}"/>
    <cellStyle name="Calculation 2 2 3 2" xfId="2272" xr:uid="{0DA78C95-AA56-413E-8719-1ECF692E4E23}"/>
    <cellStyle name="Calculation 2 2 3 2 10" xfId="13139" xr:uid="{DEEB2E23-71B7-4D83-9271-E673367177D7}"/>
    <cellStyle name="Calculation 2 2 3 2 11" xfId="13771" xr:uid="{EF2D8D06-9018-4D00-85EC-887F4BD2FDFD}"/>
    <cellStyle name="Calculation 2 2 3 2 12" xfId="14748" xr:uid="{ACD3BC55-ED14-495B-BC7E-E033A1FCEA9C}"/>
    <cellStyle name="Calculation 2 2 3 2 13" xfId="21618" xr:uid="{A9A2481D-511F-4088-9A0A-3D50D543C660}"/>
    <cellStyle name="Calculation 2 2 3 2 2" xfId="2830" xr:uid="{AA69D2A7-5111-48DC-B544-19D183566809}"/>
    <cellStyle name="Calculation 2 2 3 2 2 10" xfId="15175" xr:uid="{2C0E9A23-9398-44DE-B181-300D1E847B49}"/>
    <cellStyle name="Calculation 2 2 3 2 2 11" xfId="22044" xr:uid="{4987CA8E-C357-4E1D-8E07-C8C07BD4E5AF}"/>
    <cellStyle name="Calculation 2 2 3 2 2 12" xfId="3395" xr:uid="{6769D7C9-AF44-4F55-871F-98A6BB412ABE}"/>
    <cellStyle name="Calculation 2 2 3 2 2 2" xfId="4618" xr:uid="{3B9CC533-8CF2-4BBF-81D4-556EE11AC891}"/>
    <cellStyle name="Calculation 2 2 3 2 2 2 2" xfId="10475" xr:uid="{A72B7CBD-E53A-48D1-BD10-5F8CF8B02DC2}"/>
    <cellStyle name="Calculation 2 2 3 2 2 2 2 2" xfId="19521" xr:uid="{36367B35-4FA5-4FBD-8C54-E8665E5EF136}"/>
    <cellStyle name="Calculation 2 2 3 2 2 2 3" xfId="16035" xr:uid="{0032E164-C794-4C5E-A670-0F2BF22F8F7E}"/>
    <cellStyle name="Calculation 2 2 3 2 2 2 4" xfId="22700" xr:uid="{43884450-C394-4000-A8A4-93DF2DA34FC0}"/>
    <cellStyle name="Calculation 2 2 3 2 2 3" xfId="5119" xr:uid="{35F0970C-77B8-44B7-A777-EC4A8BFD0BAA}"/>
    <cellStyle name="Calculation 2 2 3 2 2 3 2" xfId="10972" xr:uid="{05AE4E20-EC27-4133-A9B5-44E06C04BCB3}"/>
    <cellStyle name="Calculation 2 2 3 2 2 3 2 2" xfId="20018" xr:uid="{04045CF3-B1DA-4E74-A226-8A2F633BD6C6}"/>
    <cellStyle name="Calculation 2 2 3 2 2 3 3" xfId="16532" xr:uid="{9EA6D308-89C3-4964-9440-4DCA716FC74D}"/>
    <cellStyle name="Calculation 2 2 3 2 2 3 4" xfId="23195" xr:uid="{35EEF3E2-650D-4709-A4AD-F31860296CE8}"/>
    <cellStyle name="Calculation 2 2 3 2 2 4" xfId="5734" xr:uid="{8A4C2386-65B5-4A71-86BE-77D3CE337051}"/>
    <cellStyle name="Calculation 2 2 3 2 2 4 2" xfId="11587" xr:uid="{09829650-33B1-4EBD-A858-C6E287A7F03E}"/>
    <cellStyle name="Calculation 2 2 3 2 2 4 2 2" xfId="20633" xr:uid="{4A04AA54-35D6-46BD-94FB-AFBDEA0C9153}"/>
    <cellStyle name="Calculation 2 2 3 2 2 4 3" xfId="17147" xr:uid="{ED63D7B4-FE69-4831-AF3C-254D02516185}"/>
    <cellStyle name="Calculation 2 2 3 2 2 5" xfId="6345" xr:uid="{5E88DD98-E10C-489B-9944-29928021CA0F}"/>
    <cellStyle name="Calculation 2 2 3 2 2 5 2" xfId="12192" xr:uid="{604D6944-F893-4828-A9F4-894F8B84A629}"/>
    <cellStyle name="Calculation 2 2 3 2 2 5 2 2" xfId="21238" xr:uid="{ED9580AE-75FA-46FE-895C-90CCBF44B1A8}"/>
    <cellStyle name="Calculation 2 2 3 2 2 5 3" xfId="17758" xr:uid="{5D39BA88-50F9-4405-B0E6-AAE6A6377612}"/>
    <cellStyle name="Calculation 2 2 3 2 2 6" xfId="9606" xr:uid="{DD2BAB24-7946-4C42-A742-5F7500E6FA05}"/>
    <cellStyle name="Calculation 2 2 3 2 2 6 2" xfId="18652" xr:uid="{47E3CD36-6064-4AA6-8354-842E8B76B5EB}"/>
    <cellStyle name="Calculation 2 2 3 2 2 7" xfId="13004" xr:uid="{60E84CF8-8E3E-4896-BE8A-019DC9146534}"/>
    <cellStyle name="Calculation 2 2 3 2 2 8" xfId="13561" xr:uid="{7759C493-E366-41E7-BD39-5C3B9AA75304}"/>
    <cellStyle name="Calculation 2 2 3 2 2 9" xfId="14200" xr:uid="{41828048-8601-416B-9C88-1C05E8E6BCDD}"/>
    <cellStyle name="Calculation 2 2 3 2 3" xfId="2797" xr:uid="{256B7F29-CAFE-44A0-BF00-96F5917AB5DE}"/>
    <cellStyle name="Calculation 2 2 3 2 3 10" xfId="14963" xr:uid="{E208BB0D-F3C5-4420-B440-33DFFFBA2C74}"/>
    <cellStyle name="Calculation 2 2 3 2 3 11" xfId="21831" xr:uid="{7E6B4D30-C48F-40DA-A872-E37854685AB7}"/>
    <cellStyle name="Calculation 2 2 3 2 3 12" xfId="3183" xr:uid="{FC9DEA39-ECB0-4D94-87A3-9FFE26606BB7}"/>
    <cellStyle name="Calculation 2 2 3 2 3 2" xfId="4404" xr:uid="{18976AAB-CE4A-49C5-A3BA-C86CD8FC3B35}"/>
    <cellStyle name="Calculation 2 2 3 2 3 2 2" xfId="10261" xr:uid="{035F1517-30A8-48BA-824B-D1A219D4CA87}"/>
    <cellStyle name="Calculation 2 2 3 2 3 2 2 2" xfId="19307" xr:uid="{2B7B05B7-DBDD-486F-88E8-D1836722E5D5}"/>
    <cellStyle name="Calculation 2 2 3 2 3 2 3" xfId="15821" xr:uid="{09BCC2A1-A2DD-46C9-A425-72615A4E1744}"/>
    <cellStyle name="Calculation 2 2 3 2 3 2 4" xfId="22487" xr:uid="{F0479B4F-134D-4B9B-AEF4-34E5E1E348FB}"/>
    <cellStyle name="Calculation 2 2 3 2 3 3" xfId="4905" xr:uid="{E35B43DA-84A0-4AC9-AF7E-DD810107F224}"/>
    <cellStyle name="Calculation 2 2 3 2 3 3 2" xfId="10760" xr:uid="{2697754C-0D79-4091-ACB0-499F61DAD743}"/>
    <cellStyle name="Calculation 2 2 3 2 3 3 2 2" xfId="19806" xr:uid="{2E874C00-D2A3-488A-8813-1FD3DB488091}"/>
    <cellStyle name="Calculation 2 2 3 2 3 3 3" xfId="16320" xr:uid="{369A30AE-6E6B-4E8D-9E7C-0DEA69B08A60}"/>
    <cellStyle name="Calculation 2 2 3 2 3 3 4" xfId="22982" xr:uid="{0FFD76D4-9B25-4E25-A2BA-03EBA590575E}"/>
    <cellStyle name="Calculation 2 2 3 2 3 4" xfId="5520" xr:uid="{02016963-10B6-475D-9C84-0086F3AC0BF0}"/>
    <cellStyle name="Calculation 2 2 3 2 3 4 2" xfId="11373" xr:uid="{30FA42AF-7443-4A75-A538-A2670C365815}"/>
    <cellStyle name="Calculation 2 2 3 2 3 4 2 2" xfId="20419" xr:uid="{AA353DB2-5BE4-4504-8B6C-3D6F75D5FA7B}"/>
    <cellStyle name="Calculation 2 2 3 2 3 4 3" xfId="16933" xr:uid="{6F84841D-9C8A-46B6-B8F2-513E500B84B0}"/>
    <cellStyle name="Calculation 2 2 3 2 3 5" xfId="6131" xr:uid="{B0DD5E91-3C07-4DE2-ACA8-C216363BA30A}"/>
    <cellStyle name="Calculation 2 2 3 2 3 5 2" xfId="11980" xr:uid="{40352AD8-A768-457C-8552-59D080F2F36A}"/>
    <cellStyle name="Calculation 2 2 3 2 3 5 2 2" xfId="21026" xr:uid="{7A9747BD-4AC4-4EE8-9D68-ED557F571806}"/>
    <cellStyle name="Calculation 2 2 3 2 3 5 3" xfId="17544" xr:uid="{1295E762-343C-4A29-AE7B-65BD8D247E2D}"/>
    <cellStyle name="Calculation 2 2 3 2 3 6" xfId="9394" xr:uid="{3AD3EA53-8323-4C00-B5FA-5DEB1C57D6BB}"/>
    <cellStyle name="Calculation 2 2 3 2 3 6 2" xfId="18440" xr:uid="{CAA75890-7900-423E-980E-C46B55D65678}"/>
    <cellStyle name="Calculation 2 2 3 2 3 7" xfId="12790" xr:uid="{5C067682-6A89-4380-96AD-599668BDD8CF}"/>
    <cellStyle name="Calculation 2 2 3 2 3 8" xfId="13350" xr:uid="{7FCD5A8A-94DB-4997-A201-C37D4CAB11CA}"/>
    <cellStyle name="Calculation 2 2 3 2 3 9" xfId="13986" xr:uid="{A137525C-C371-4C32-B39C-A5FC29906970}"/>
    <cellStyle name="Calculation 2 2 3 2 4" xfId="4003" xr:uid="{6ED41180-CC9F-4FF8-87BD-D57F0C9BABA8}"/>
    <cellStyle name="Calculation 2 2 3 2 4 2" xfId="9865" xr:uid="{278BDC36-92A2-4ACE-86FC-CC6476C0E264}"/>
    <cellStyle name="Calculation 2 2 3 2 4 2 2" xfId="18911" xr:uid="{1FD2198B-F0DE-4ADC-91EB-9BCD87AB0912}"/>
    <cellStyle name="Calculation 2 2 3 2 4 3" xfId="15427" xr:uid="{D2ACFE75-F002-49C3-8D92-4064BB705661}"/>
    <cellStyle name="Calculation 2 2 3 2 4 4" xfId="22386" xr:uid="{2FDBA8A6-28FB-403E-8391-5C6A19C3C55E}"/>
    <cellStyle name="Calculation 2 2 3 2 5" xfId="4283" xr:uid="{43CD11B8-B10C-47C6-AA99-544819ED9034}"/>
    <cellStyle name="Calculation 2 2 3 2 5 2" xfId="10140" xr:uid="{2E982571-B62B-4700-9E3C-DF3E3CD41713}"/>
    <cellStyle name="Calculation 2 2 3 2 5 2 2" xfId="19186" xr:uid="{504249AF-0C89-493D-9DE0-17EAB7E06262}"/>
    <cellStyle name="Calculation 2 2 3 2 5 3" xfId="15700" xr:uid="{E24E7B7B-3C29-4E5B-AF9B-72D53179CDF7}"/>
    <cellStyle name="Calculation 2 2 3 2 6" xfId="5305" xr:uid="{3474F877-8C39-4C30-B916-F819CA8B25AD}"/>
    <cellStyle name="Calculation 2 2 3 2 6 2" xfId="11158" xr:uid="{880B281A-D876-49E5-B7AC-BEDA7EA872F5}"/>
    <cellStyle name="Calculation 2 2 3 2 6 2 2" xfId="20204" xr:uid="{BA17920C-7E3B-4493-AF40-7AECFD0637B3}"/>
    <cellStyle name="Calculation 2 2 3 2 6 3" xfId="16718" xr:uid="{87893812-62F4-4405-85C2-28B6023C08A0}"/>
    <cellStyle name="Calculation 2 2 3 2 7" xfId="5916" xr:uid="{47902CDC-C844-42B3-9572-50B6B30D70F7}"/>
    <cellStyle name="Calculation 2 2 3 2 7 2" xfId="11769" xr:uid="{3514BB01-6CF1-45E5-BA19-0375CF366EE7}"/>
    <cellStyle name="Calculation 2 2 3 2 7 2 2" xfId="20815" xr:uid="{CACC5B81-3120-4C75-BD2E-ADF04D95C519}"/>
    <cellStyle name="Calculation 2 2 3 2 7 3" xfId="17329" xr:uid="{3C852408-6825-4E52-B39C-4C20E51B16C0}"/>
    <cellStyle name="Calculation 2 2 3 2 8" xfId="9179" xr:uid="{B442D296-5C58-4BA2-A3A1-6B6213E5A7F8}"/>
    <cellStyle name="Calculation 2 2 3 2 8 2" xfId="18225" xr:uid="{0B79DB03-2276-4E3B-88B0-87609FA66DFA}"/>
    <cellStyle name="Calculation 2 2 3 2 9" xfId="12577" xr:uid="{6171C022-FAB6-4B4E-AAAB-25331EAD4C6C}"/>
    <cellStyle name="Calculation 2 2 3 3" xfId="2831" xr:uid="{C36082A6-3EBD-4DE4-B573-B97C5FE4686A}"/>
    <cellStyle name="Calculation 2 2 3 3 10" xfId="15126" xr:uid="{0533D43D-B783-4166-8F13-B25D1682B6BF}"/>
    <cellStyle name="Calculation 2 2 3 3 11" xfId="21995" xr:uid="{075B1494-CF33-4D89-9FF4-A6B5D68EC18D}"/>
    <cellStyle name="Calculation 2 2 3 3 12" xfId="3346" xr:uid="{C3A1597B-19AE-4013-A294-35D679CEF533}"/>
    <cellStyle name="Calculation 2 2 3 3 2" xfId="4569" xr:uid="{29711FA7-05A6-45A2-B5BA-2B0E815C854D}"/>
    <cellStyle name="Calculation 2 2 3 3 2 2" xfId="10426" xr:uid="{E703040E-9ED4-4465-A3CB-79F780A43996}"/>
    <cellStyle name="Calculation 2 2 3 3 2 2 2" xfId="19472" xr:uid="{F823FA45-E94C-479E-83F3-45013D57AE5E}"/>
    <cellStyle name="Calculation 2 2 3 3 2 3" xfId="15986" xr:uid="{75C4B286-CD58-4B86-B112-A48D8BAAFEA4}"/>
    <cellStyle name="Calculation 2 2 3 3 2 4" xfId="22651" xr:uid="{88DC193D-9F6A-4D7E-95CF-05CD1D0F6D96}"/>
    <cellStyle name="Calculation 2 2 3 3 3" xfId="5070" xr:uid="{81B54342-54F9-4012-987F-B83DB993D6DA}"/>
    <cellStyle name="Calculation 2 2 3 3 3 2" xfId="10923" xr:uid="{E342B616-99A1-46A4-BCC6-C8747A571C11}"/>
    <cellStyle name="Calculation 2 2 3 3 3 2 2" xfId="19969" xr:uid="{2E969751-FBD6-4A65-BDF8-1AD939ED1CAF}"/>
    <cellStyle name="Calculation 2 2 3 3 3 3" xfId="16483" xr:uid="{C3EB1058-02BF-4806-8DFF-98C318387390}"/>
    <cellStyle name="Calculation 2 2 3 3 3 4" xfId="23146" xr:uid="{BD57D03A-D2CC-4B42-B7A4-308D32474F79}"/>
    <cellStyle name="Calculation 2 2 3 3 4" xfId="5685" xr:uid="{6AEF41F4-9502-4494-AEEE-A9DAD1E8B854}"/>
    <cellStyle name="Calculation 2 2 3 3 4 2" xfId="11538" xr:uid="{F899ADBF-D391-44C6-990B-7D803A02A8A9}"/>
    <cellStyle name="Calculation 2 2 3 3 4 2 2" xfId="20584" xr:uid="{1FA71A98-83E4-4E2D-98BF-88922EFA6B1C}"/>
    <cellStyle name="Calculation 2 2 3 3 4 3" xfId="17098" xr:uid="{2D05F5F8-B775-40B9-8F37-B254E45315B2}"/>
    <cellStyle name="Calculation 2 2 3 3 5" xfId="6296" xr:uid="{F770C58B-0EDD-4140-9D7A-5A567263A460}"/>
    <cellStyle name="Calculation 2 2 3 3 5 2" xfId="12143" xr:uid="{F8E2B583-259D-45EA-A76D-AC4089F73F16}"/>
    <cellStyle name="Calculation 2 2 3 3 5 2 2" xfId="21189" xr:uid="{A6D13B2C-0501-4926-9FDD-EA8E3031795C}"/>
    <cellStyle name="Calculation 2 2 3 3 5 3" xfId="17709" xr:uid="{E2CD7D8E-166B-44DE-B1EF-22721822D625}"/>
    <cellStyle name="Calculation 2 2 3 3 6" xfId="9557" xr:uid="{4D29BC8E-56C4-4F2D-84AD-0CC65D02E06E}"/>
    <cellStyle name="Calculation 2 2 3 3 6 2" xfId="18603" xr:uid="{022F859E-69B7-4D76-9B83-CF8170CB5C56}"/>
    <cellStyle name="Calculation 2 2 3 3 7" xfId="12955" xr:uid="{A30E445D-BB7F-453B-A988-51C989D38022}"/>
    <cellStyle name="Calculation 2 2 3 3 8" xfId="13512" xr:uid="{156CDDF4-A349-47E8-8B73-E9A78D77F6CC}"/>
    <cellStyle name="Calculation 2 2 3 3 9" xfId="14151" xr:uid="{4AD18A74-36FA-4872-9E47-94409359523B}"/>
    <cellStyle name="Calculation 2 2 3 4" xfId="2937" xr:uid="{78228D84-2B72-4B52-BE2F-AE7F29ABA283}"/>
    <cellStyle name="Calculation 2 2 3 4 10" xfId="14914" xr:uid="{39473780-2AA0-4A38-8E4E-DE89FC7864FF}"/>
    <cellStyle name="Calculation 2 2 3 4 11" xfId="21782" xr:uid="{56D52E16-5982-46CE-BC6D-F0EE0B32284A}"/>
    <cellStyle name="Calculation 2 2 3 4 12" xfId="3134" xr:uid="{2515272A-49DB-43D7-8A00-631841E2104C}"/>
    <cellStyle name="Calculation 2 2 3 4 2" xfId="4355" xr:uid="{253A4E59-6E4C-4C2A-B0CA-79590E8160FE}"/>
    <cellStyle name="Calculation 2 2 3 4 2 2" xfId="10212" xr:uid="{EBD20BD7-F107-4879-9525-F344179D2C94}"/>
    <cellStyle name="Calculation 2 2 3 4 2 2 2" xfId="19258" xr:uid="{507E1617-4F02-439E-89FA-3A267EBD4B37}"/>
    <cellStyle name="Calculation 2 2 3 4 2 3" xfId="15772" xr:uid="{60F87895-BEBC-4396-830C-623D1EFBD82A}"/>
    <cellStyle name="Calculation 2 2 3 4 2 4" xfId="22438" xr:uid="{7F582B4E-615F-4B21-A54C-D82EFEFE67BF}"/>
    <cellStyle name="Calculation 2 2 3 4 3" xfId="4856" xr:uid="{8FE4722F-D0CF-4FB4-BEB8-6420223CE169}"/>
    <cellStyle name="Calculation 2 2 3 4 3 2" xfId="10711" xr:uid="{B8B73FDA-B0FD-4EE4-9901-C7853C059FC8}"/>
    <cellStyle name="Calculation 2 2 3 4 3 2 2" xfId="19757" xr:uid="{6BC01144-CDD8-40D4-96E1-6292BDF1AABA}"/>
    <cellStyle name="Calculation 2 2 3 4 3 3" xfId="16271" xr:uid="{CEE60059-7E55-4350-81A2-65734EFF00FC}"/>
    <cellStyle name="Calculation 2 2 3 4 3 4" xfId="22933" xr:uid="{014D0DBE-F310-465D-9C9E-A27C7F77A6B1}"/>
    <cellStyle name="Calculation 2 2 3 4 4" xfId="5471" xr:uid="{55D13206-3B35-4111-AEA9-9C3C19A8D01D}"/>
    <cellStyle name="Calculation 2 2 3 4 4 2" xfId="11324" xr:uid="{04B861B6-970B-4C7C-B207-C4863D1BF324}"/>
    <cellStyle name="Calculation 2 2 3 4 4 2 2" xfId="20370" xr:uid="{46F93B7D-5D3B-4656-AE27-0EB84D16706B}"/>
    <cellStyle name="Calculation 2 2 3 4 4 3" xfId="16884" xr:uid="{35A296C1-66E4-4A94-A8DE-C824D8EE8480}"/>
    <cellStyle name="Calculation 2 2 3 4 5" xfId="6082" xr:uid="{FC2B36E9-0132-4403-8E26-BD3699234FC2}"/>
    <cellStyle name="Calculation 2 2 3 4 5 2" xfId="11931" xr:uid="{8C6083DC-9B4B-47A1-865E-0D7B49326308}"/>
    <cellStyle name="Calculation 2 2 3 4 5 2 2" xfId="20977" xr:uid="{AF4FD9C5-4DAA-4A3A-B825-05234F9E7691}"/>
    <cellStyle name="Calculation 2 2 3 4 5 3" xfId="17495" xr:uid="{ABA64FB7-F92E-4E05-9A0B-A783DAE2B686}"/>
    <cellStyle name="Calculation 2 2 3 4 6" xfId="9345" xr:uid="{58C4AEE6-DDF8-4452-AF1A-468AAEDF954F}"/>
    <cellStyle name="Calculation 2 2 3 4 6 2" xfId="18391" xr:uid="{65A859AA-69EF-49EC-85BC-2107E087E19F}"/>
    <cellStyle name="Calculation 2 2 3 4 7" xfId="12741" xr:uid="{73CF0F98-9A8A-4218-BC7A-A6EFF532A17D}"/>
    <cellStyle name="Calculation 2 2 3 4 8" xfId="13301" xr:uid="{99611FD8-C37C-4467-9A0D-305B6EE275FA}"/>
    <cellStyle name="Calculation 2 2 3 4 9" xfId="13937" xr:uid="{A8CABF0A-AF0C-4E23-860B-77BA19752C8D}"/>
    <cellStyle name="Calculation 2 2 3 5" xfId="3735" xr:uid="{D23B7EF2-F2CC-449D-B1EC-D47C2664971C}"/>
    <cellStyle name="Calculation 2 2 3 5 2" xfId="9777" xr:uid="{E341CE75-3849-463F-ABF0-8A42646E88D4}"/>
    <cellStyle name="Calculation 2 2 3 5 2 2" xfId="18823" xr:uid="{B69A56AD-340D-47A8-97E3-880E9C63A015}"/>
    <cellStyle name="Calculation 2 2 3 5 3" xfId="15343" xr:uid="{76318DBE-F177-42B0-B87B-D9EAC897DC30}"/>
    <cellStyle name="Calculation 2 2 3 5 4" xfId="22322" xr:uid="{A2FB3F9F-4497-443D-84CD-4A9A06AE3B2A}"/>
    <cellStyle name="Calculation 2 2 3 6" xfId="4219" xr:uid="{91FC1F25-1F4D-4A09-9279-6B4F58D8A5F6}"/>
    <cellStyle name="Calculation 2 2 3 6 2" xfId="10076" xr:uid="{3507188E-CBA5-41B3-8967-28ECA0826128}"/>
    <cellStyle name="Calculation 2 2 3 6 2 2" xfId="19122" xr:uid="{6E0BA62D-537C-48B5-8466-83D3515E6681}"/>
    <cellStyle name="Calculation 2 2 3 6 3" xfId="15636" xr:uid="{6DBF817F-E661-41A5-A98E-F3AC716A780F}"/>
    <cellStyle name="Calculation 2 2 3 6 4" xfId="22372" xr:uid="{D352B4CE-544C-4140-BFD3-78AAFAB37F9C}"/>
    <cellStyle name="Calculation 2 2 3 7" xfId="4296" xr:uid="{FE3EBAFD-6875-4916-B4E4-A2B042F59C95}"/>
    <cellStyle name="Calculation 2 2 3 7 2" xfId="10153" xr:uid="{9F43737B-C0CF-43D0-99B3-6488EE78E63F}"/>
    <cellStyle name="Calculation 2 2 3 7 2 2" xfId="19199" xr:uid="{D4B1688D-D035-4AB3-A38D-BDDAFAF43DAE}"/>
    <cellStyle name="Calculation 2 2 3 7 3" xfId="15713" xr:uid="{8216A3F8-F609-4B0B-99D1-C83CCA91F493}"/>
    <cellStyle name="Calculation 2 2 3 8" xfId="5256" xr:uid="{DEE06801-6374-4CDA-B31C-A184AF522F64}"/>
    <cellStyle name="Calculation 2 2 3 8 2" xfId="11109" xr:uid="{A8D130B0-3C5D-42DF-9BEF-AD372248E0E1}"/>
    <cellStyle name="Calculation 2 2 3 8 2 2" xfId="20155" xr:uid="{90BA95BF-C674-4EBB-931A-AC8CC25DA186}"/>
    <cellStyle name="Calculation 2 2 3 8 3" xfId="16669" xr:uid="{BDC6D6C9-37DD-4424-B3EA-DBFBA7AD7FD0}"/>
    <cellStyle name="Calculation 2 2 3 9" xfId="5867" xr:uid="{2FCADFEF-297F-403A-AB12-74BBC76CD03D}"/>
    <cellStyle name="Calculation 2 2 3 9 2" xfId="11720" xr:uid="{0466E319-C098-492E-85C2-AE8CF28921B9}"/>
    <cellStyle name="Calculation 2 2 3 9 2 2" xfId="20766" xr:uid="{A4E10244-DF1C-4ADE-A974-FD92964A3DB4}"/>
    <cellStyle name="Calculation 2 2 3 9 3" xfId="17280" xr:uid="{41017EB0-B97C-4CE2-AFDF-7545B3283DF7}"/>
    <cellStyle name="Calculation 2 2 4" xfId="2273" xr:uid="{5CAEDA4D-9C22-4F2A-AAAA-AEBD3912129C}"/>
    <cellStyle name="Calculation 2 2 4 10" xfId="13140" xr:uid="{74BD02C7-464E-4C70-950C-0C87B5D99863}"/>
    <cellStyle name="Calculation 2 2 4 11" xfId="13772" xr:uid="{2B0020B0-C6B3-4A37-B579-48E15B527C62}"/>
    <cellStyle name="Calculation 2 2 4 12" xfId="14749" xr:uid="{747867AC-3DFF-479C-AF02-259ECBAB410C}"/>
    <cellStyle name="Calculation 2 2 4 13" xfId="21619" xr:uid="{8660533C-24C2-4EA9-B6E4-BA20BDACADF3}"/>
    <cellStyle name="Calculation 2 2 4 2" xfId="2829" xr:uid="{15F42491-09F0-4F2A-B9C9-C6E622DEEFDB}"/>
    <cellStyle name="Calculation 2 2 4 2 10" xfId="15176" xr:uid="{B82B5FAA-CE1A-4FAE-ABF6-A10DF3E7C427}"/>
    <cellStyle name="Calculation 2 2 4 2 11" xfId="22045" xr:uid="{CE3BA56D-9579-4F66-97D8-CE983B62A5A5}"/>
    <cellStyle name="Calculation 2 2 4 2 12" xfId="3396" xr:uid="{5CD54D72-5DC0-4B45-8C8A-A6B44B7722DC}"/>
    <cellStyle name="Calculation 2 2 4 2 2" xfId="4619" xr:uid="{F79FB21A-B363-4804-ABF4-936F24702D4F}"/>
    <cellStyle name="Calculation 2 2 4 2 2 2" xfId="10476" xr:uid="{C3C932D4-61FF-4852-A82B-6827A77D7637}"/>
    <cellStyle name="Calculation 2 2 4 2 2 2 2" xfId="19522" xr:uid="{BD0368D6-5339-4720-BA9B-6F35C0218839}"/>
    <cellStyle name="Calculation 2 2 4 2 2 3" xfId="16036" xr:uid="{8B519AAF-4590-4642-99D7-2FB76BF89C51}"/>
    <cellStyle name="Calculation 2 2 4 2 2 4" xfId="22701" xr:uid="{0A78FB9A-49FB-4CEE-9419-537F98240DCE}"/>
    <cellStyle name="Calculation 2 2 4 2 3" xfId="5120" xr:uid="{04FE6630-5CF3-40A8-B6EF-6EEB31948C5B}"/>
    <cellStyle name="Calculation 2 2 4 2 3 2" xfId="10973" xr:uid="{315C3A17-ECBB-4076-BE01-7EFA3C3FABD4}"/>
    <cellStyle name="Calculation 2 2 4 2 3 2 2" xfId="20019" xr:uid="{6B05C1A6-B96D-4929-80EB-221F4A19A2EC}"/>
    <cellStyle name="Calculation 2 2 4 2 3 3" xfId="16533" xr:uid="{AB3CEACF-B861-4F29-AD10-CD7A72FF361D}"/>
    <cellStyle name="Calculation 2 2 4 2 3 4" xfId="23196" xr:uid="{CB291A27-C7AD-42C3-A2D2-BC21D1A8BD94}"/>
    <cellStyle name="Calculation 2 2 4 2 4" xfId="5735" xr:uid="{310500FC-1C2E-458B-AB4C-78B12803B825}"/>
    <cellStyle name="Calculation 2 2 4 2 4 2" xfId="11588" xr:uid="{DD4686D2-359A-44A5-A2A9-0D958B262F5D}"/>
    <cellStyle name="Calculation 2 2 4 2 4 2 2" xfId="20634" xr:uid="{8D4A82E3-4AAE-48A6-B448-D45BC89627BB}"/>
    <cellStyle name="Calculation 2 2 4 2 4 3" xfId="17148" xr:uid="{5794C2F2-F576-4801-B255-D0C10F8544D4}"/>
    <cellStyle name="Calculation 2 2 4 2 5" xfId="6346" xr:uid="{9E9AC214-2BC5-44F9-AAF9-1AD2E6EC7D83}"/>
    <cellStyle name="Calculation 2 2 4 2 5 2" xfId="12193" xr:uid="{A43851FF-2AC2-4EAB-95DB-A1A2535DDED7}"/>
    <cellStyle name="Calculation 2 2 4 2 5 2 2" xfId="21239" xr:uid="{FC686E80-C42E-453C-9854-8D6145C3D2EE}"/>
    <cellStyle name="Calculation 2 2 4 2 5 3" xfId="17759" xr:uid="{E6E97A56-4962-44A8-96AD-4A7792840036}"/>
    <cellStyle name="Calculation 2 2 4 2 6" xfId="9607" xr:uid="{646B5D30-985A-45E0-B452-EE9D1B0F9D57}"/>
    <cellStyle name="Calculation 2 2 4 2 6 2" xfId="18653" xr:uid="{A45456BE-0783-4EC0-88C0-0727CE4C56A0}"/>
    <cellStyle name="Calculation 2 2 4 2 7" xfId="13005" xr:uid="{D04CC016-D2D9-4B2D-97D0-9F7F26623028}"/>
    <cellStyle name="Calculation 2 2 4 2 8" xfId="13562" xr:uid="{CFCF67F2-47EB-49DE-9611-7CB65C5A93F3}"/>
    <cellStyle name="Calculation 2 2 4 2 9" xfId="14201" xr:uid="{1CCFF947-C5D0-45E5-AD0B-E673CA6C81C8}"/>
    <cellStyle name="Calculation 2 2 4 3" xfId="2537" xr:uid="{6BD5AA67-274A-4087-B485-44377047983F}"/>
    <cellStyle name="Calculation 2 2 4 3 10" xfId="14964" xr:uid="{D1B2A584-B0B1-482C-97C2-67C16549B132}"/>
    <cellStyle name="Calculation 2 2 4 3 11" xfId="21832" xr:uid="{712202B4-9EAA-495E-ADE4-28038DAF858A}"/>
    <cellStyle name="Calculation 2 2 4 3 12" xfId="3184" xr:uid="{4967852A-A552-4D74-852A-20172139CCEE}"/>
    <cellStyle name="Calculation 2 2 4 3 2" xfId="4405" xr:uid="{6B7AF898-11AC-4D47-A8E2-D89ED2F01D95}"/>
    <cellStyle name="Calculation 2 2 4 3 2 2" xfId="10262" xr:uid="{25C8DED3-E9E4-4D9C-BA27-BBA49C2C59DF}"/>
    <cellStyle name="Calculation 2 2 4 3 2 2 2" xfId="19308" xr:uid="{88A59566-91C6-4470-AF57-65B76C564234}"/>
    <cellStyle name="Calculation 2 2 4 3 2 3" xfId="15822" xr:uid="{474938C4-B745-4E5B-85C9-227D64FAE39E}"/>
    <cellStyle name="Calculation 2 2 4 3 2 4" xfId="22488" xr:uid="{87B2DF73-841E-4008-A8B8-00767C6745CF}"/>
    <cellStyle name="Calculation 2 2 4 3 3" xfId="4906" xr:uid="{F3CE8ABB-F127-4BD0-94E7-5194C42F6DDE}"/>
    <cellStyle name="Calculation 2 2 4 3 3 2" xfId="10761" xr:uid="{865345A0-C847-427D-AADB-B33FF086FA3B}"/>
    <cellStyle name="Calculation 2 2 4 3 3 2 2" xfId="19807" xr:uid="{08665FD7-09FB-4A5A-B3F3-8C6DD818B62E}"/>
    <cellStyle name="Calculation 2 2 4 3 3 3" xfId="16321" xr:uid="{4FBC2F61-6946-475B-ADB5-21C163B32FF3}"/>
    <cellStyle name="Calculation 2 2 4 3 3 4" xfId="22983" xr:uid="{10B1E835-7CA2-4B84-B16F-EC1D86319274}"/>
    <cellStyle name="Calculation 2 2 4 3 4" xfId="5521" xr:uid="{3154E450-0EF8-4718-A2F2-84E2D032256D}"/>
    <cellStyle name="Calculation 2 2 4 3 4 2" xfId="11374" xr:uid="{05292580-EEDD-4574-90B0-89215172AEFD}"/>
    <cellStyle name="Calculation 2 2 4 3 4 2 2" xfId="20420" xr:uid="{A8B46D7F-C77A-468B-B72D-D33144902528}"/>
    <cellStyle name="Calculation 2 2 4 3 4 3" xfId="16934" xr:uid="{E1EFB8A7-8EB2-4E6A-8B5B-BADD6B5B4777}"/>
    <cellStyle name="Calculation 2 2 4 3 5" xfId="6132" xr:uid="{03C04B50-8B5C-4B3A-B1BA-E9D2A678D491}"/>
    <cellStyle name="Calculation 2 2 4 3 5 2" xfId="11981" xr:uid="{5148598E-4ABB-4E53-83A7-6E2B407A2BB4}"/>
    <cellStyle name="Calculation 2 2 4 3 5 2 2" xfId="21027" xr:uid="{8F03A3E6-1998-4FA2-95D8-C5F886F5B890}"/>
    <cellStyle name="Calculation 2 2 4 3 5 3" xfId="17545" xr:uid="{91F79C3C-FD32-4F0C-934B-451FEE9C0646}"/>
    <cellStyle name="Calculation 2 2 4 3 6" xfId="9395" xr:uid="{AED0718B-D13F-46B7-97EF-478641F2DA51}"/>
    <cellStyle name="Calculation 2 2 4 3 6 2" xfId="18441" xr:uid="{2D32C594-7580-46D4-B14A-F4ABE694EDC6}"/>
    <cellStyle name="Calculation 2 2 4 3 7" xfId="12791" xr:uid="{BBD386B6-077A-42AE-AA86-16DC571E1081}"/>
    <cellStyle name="Calculation 2 2 4 3 8" xfId="13351" xr:uid="{D20D83C0-5CFB-4C06-BA91-7858BC3E1B72}"/>
    <cellStyle name="Calculation 2 2 4 3 9" xfId="13987" xr:uid="{8FE7FA27-46F1-4B3C-A166-E4C6FF8F28FC}"/>
    <cellStyle name="Calculation 2 2 4 4" xfId="3977" xr:uid="{D5CDA91A-F24F-4168-8D79-62476ED9EAF6}"/>
    <cellStyle name="Calculation 2 2 4 4 2" xfId="9839" xr:uid="{EEB0C113-2497-4AA7-83C8-B6C7427B59A2}"/>
    <cellStyle name="Calculation 2 2 4 4 2 2" xfId="18885" xr:uid="{0EF3AF5B-3A28-439B-82DE-05537393488B}"/>
    <cellStyle name="Calculation 2 2 4 4 3" xfId="15401" xr:uid="{6EDEDBB9-1895-4740-8287-F479C5E96829}"/>
    <cellStyle name="Calculation 2 2 4 4 4" xfId="22385" xr:uid="{6B7B8E02-6243-41BF-BFC2-EC64FFBB0094}"/>
    <cellStyle name="Calculation 2 2 4 5" xfId="4282" xr:uid="{B8BD3C13-515A-4A31-9A00-973351A3F9AB}"/>
    <cellStyle name="Calculation 2 2 4 5 2" xfId="10139" xr:uid="{76B8528E-E9AB-4250-AB55-8501CF0ADFCB}"/>
    <cellStyle name="Calculation 2 2 4 5 2 2" xfId="19185" xr:uid="{0FF3423E-355C-476A-BC3C-AB2AC5465B3B}"/>
    <cellStyle name="Calculation 2 2 4 5 3" xfId="15699" xr:uid="{D1B7D4F4-A3B0-4DEB-885C-CAB402CFF600}"/>
    <cellStyle name="Calculation 2 2 4 6" xfId="5306" xr:uid="{20A80A37-A13D-4755-A162-53F542485BC9}"/>
    <cellStyle name="Calculation 2 2 4 6 2" xfId="11159" xr:uid="{889CB59C-A8C8-43D7-BEE6-A777E79FA68A}"/>
    <cellStyle name="Calculation 2 2 4 6 2 2" xfId="20205" xr:uid="{28BDBF85-3E8C-4186-AECB-0A1288DA23D2}"/>
    <cellStyle name="Calculation 2 2 4 6 3" xfId="16719" xr:uid="{6A07E478-3078-45AB-92F5-ED5C1D074F0F}"/>
    <cellStyle name="Calculation 2 2 4 7" xfId="5917" xr:uid="{A1402CE5-EF4C-4CB1-B8DC-A91DA7089B2E}"/>
    <cellStyle name="Calculation 2 2 4 7 2" xfId="11770" xr:uid="{BB86366A-A9E7-4D7D-8BC4-1F3A44E6B920}"/>
    <cellStyle name="Calculation 2 2 4 7 2 2" xfId="20816" xr:uid="{048E3BFC-BF6A-45FC-ACED-7F3AF240AE42}"/>
    <cellStyle name="Calculation 2 2 4 7 3" xfId="17330" xr:uid="{E289940A-90C4-4EE0-9D5D-888C5D2727B4}"/>
    <cellStyle name="Calculation 2 2 4 8" xfId="9180" xr:uid="{CE9C7CA7-DAB1-4791-BAD3-8B3791617024}"/>
    <cellStyle name="Calculation 2 2 4 8 2" xfId="18226" xr:uid="{C6E8448F-E595-4D7E-99F2-56637D3BF4CA}"/>
    <cellStyle name="Calculation 2 2 4 9" xfId="12578" xr:uid="{01513A04-C058-443E-A3B7-C7451ABF5CF7}"/>
    <cellStyle name="Calculation 2 2 5" xfId="2834" xr:uid="{71E61739-C225-4813-93AA-6594B06A7DA0}"/>
    <cellStyle name="Calculation 2 2 5 10" xfId="15102" xr:uid="{21BF55D3-5843-4DE0-BB2B-197BF57DA2D8}"/>
    <cellStyle name="Calculation 2 2 5 11" xfId="21971" xr:uid="{016EA746-894F-4A66-8FA7-0A10D2E4B760}"/>
    <cellStyle name="Calculation 2 2 5 12" xfId="3322" xr:uid="{380C0E9A-A00C-440B-B0AF-7E371F4BD246}"/>
    <cellStyle name="Calculation 2 2 5 2" xfId="4545" xr:uid="{4A958DED-B267-4CFE-B3D4-6A7424EACF4E}"/>
    <cellStyle name="Calculation 2 2 5 2 2" xfId="10402" xr:uid="{590DA57D-26CB-47CB-B4A5-38E349432EC7}"/>
    <cellStyle name="Calculation 2 2 5 2 2 2" xfId="19448" xr:uid="{81D683C6-92C6-4049-A4BA-EEDA98A42BD9}"/>
    <cellStyle name="Calculation 2 2 5 2 3" xfId="15962" xr:uid="{6FBA65EC-5658-4AD9-A3BD-D5478C794EF6}"/>
    <cellStyle name="Calculation 2 2 5 2 4" xfId="22627" xr:uid="{CB8FC78D-6895-4B8E-B1D6-3DEFBB8B1FDE}"/>
    <cellStyle name="Calculation 2 2 5 3" xfId="5046" xr:uid="{3ADE3B4A-71EE-412D-B3FD-64F69C559E67}"/>
    <cellStyle name="Calculation 2 2 5 3 2" xfId="10899" xr:uid="{F0837C74-880E-4D77-BD58-B058F951555A}"/>
    <cellStyle name="Calculation 2 2 5 3 2 2" xfId="19945" xr:uid="{13BAD79E-055B-4EE2-8130-E85E9A236DBD}"/>
    <cellStyle name="Calculation 2 2 5 3 3" xfId="16459" xr:uid="{445C2EF9-7E13-41E3-8089-00200484582A}"/>
    <cellStyle name="Calculation 2 2 5 3 4" xfId="23122" xr:uid="{B56B2ABE-875E-4060-91F9-C30E3AA5CF36}"/>
    <cellStyle name="Calculation 2 2 5 4" xfId="5661" xr:uid="{285810C2-2490-4A71-907A-AFE324424436}"/>
    <cellStyle name="Calculation 2 2 5 4 2" xfId="11514" xr:uid="{8EC071BC-EE0D-4409-BB46-F38C488CE123}"/>
    <cellStyle name="Calculation 2 2 5 4 2 2" xfId="20560" xr:uid="{456696AA-2AED-40CB-A09F-39D7B7D4A559}"/>
    <cellStyle name="Calculation 2 2 5 4 3" xfId="17074" xr:uid="{FAD8D411-BA32-49CA-8C6F-65CE99FC8244}"/>
    <cellStyle name="Calculation 2 2 5 5" xfId="6272" xr:uid="{9A2E28A5-92F5-41E5-8400-887A8B57579A}"/>
    <cellStyle name="Calculation 2 2 5 5 2" xfId="12119" xr:uid="{EB9238DB-8966-430A-A2E1-5003C1D9B9C8}"/>
    <cellStyle name="Calculation 2 2 5 5 2 2" xfId="21165" xr:uid="{63EED365-388B-46A9-A528-897DEAB586DF}"/>
    <cellStyle name="Calculation 2 2 5 5 3" xfId="17685" xr:uid="{34AC08A5-464F-4A2B-94E6-3ACDBD6E380B}"/>
    <cellStyle name="Calculation 2 2 5 6" xfId="9533" xr:uid="{49CF3A45-1585-4AA4-9941-1AD3A252B2CA}"/>
    <cellStyle name="Calculation 2 2 5 6 2" xfId="18579" xr:uid="{BB5FEEC2-6FBF-482B-89D5-7C674D777E84}"/>
    <cellStyle name="Calculation 2 2 5 7" xfId="12931" xr:uid="{C7DF6422-5D3C-46BA-8BCD-2D08251F1099}"/>
    <cellStyle name="Calculation 2 2 5 8" xfId="13488" xr:uid="{ADD99FD7-5CA6-4692-A21C-762BEA064EE9}"/>
    <cellStyle name="Calculation 2 2 5 9" xfId="14127" xr:uid="{88942DAE-A6F9-4CAE-A488-7265D574CE57}"/>
    <cellStyle name="Calculation 2 2 6" xfId="2794" xr:uid="{50AB4285-62AA-4F58-88A0-CA2B13A815E4}"/>
    <cellStyle name="Calculation 2 2 6 10" xfId="14890" xr:uid="{883DC3A2-ED29-43F5-A272-6D3CA36EC24B}"/>
    <cellStyle name="Calculation 2 2 6 11" xfId="21757" xr:uid="{BE3777C2-F922-44DB-B357-5F845B7589DD}"/>
    <cellStyle name="Calculation 2 2 6 12" xfId="3109" xr:uid="{153D8220-27DC-4AB4-99DA-B16702C7BE63}"/>
    <cellStyle name="Calculation 2 2 6 2" xfId="4330" xr:uid="{CA0F5D5A-81B9-48EB-981F-7A6273A21CA5}"/>
    <cellStyle name="Calculation 2 2 6 2 2" xfId="10187" xr:uid="{A870BAEB-7761-4B02-ACA3-C33DB3CC5A8F}"/>
    <cellStyle name="Calculation 2 2 6 2 2 2" xfId="19233" xr:uid="{541836A8-D6B8-4A7F-9C4B-5AA157151EFF}"/>
    <cellStyle name="Calculation 2 2 6 2 3" xfId="15747" xr:uid="{A4130E14-AC8A-4C6D-A8D2-061FA47B9E49}"/>
    <cellStyle name="Calculation 2 2 6 2 4" xfId="22413" xr:uid="{1A8FC6B0-2DC2-4A58-8037-CC6AC82824EB}"/>
    <cellStyle name="Calculation 2 2 6 3" xfId="4831" xr:uid="{5BC76AAA-439E-4178-BB5C-BB2AD3F7F753}"/>
    <cellStyle name="Calculation 2 2 6 3 2" xfId="10687" xr:uid="{675FC2B5-BFC8-436C-996D-36BD28A0F27C}"/>
    <cellStyle name="Calculation 2 2 6 3 2 2" xfId="19733" xr:uid="{F11348BB-18E3-4984-ABDF-EC1E6C37DA21}"/>
    <cellStyle name="Calculation 2 2 6 3 3" xfId="16247" xr:uid="{3118D2A0-0B30-40CF-A6A5-190CCAB1B765}"/>
    <cellStyle name="Calculation 2 2 6 3 4" xfId="22908" xr:uid="{B1ECF5C0-709C-4B0F-A077-C50B22D4628A}"/>
    <cellStyle name="Calculation 2 2 6 4" xfId="5446" xr:uid="{6146ECAA-F04E-40BC-B556-AA518180F0AB}"/>
    <cellStyle name="Calculation 2 2 6 4 2" xfId="11299" xr:uid="{C54FDB00-D024-4D45-A7A3-B5686C382DA9}"/>
    <cellStyle name="Calculation 2 2 6 4 2 2" xfId="20345" xr:uid="{71BFEC34-A54F-4519-A615-8963E4A10AD6}"/>
    <cellStyle name="Calculation 2 2 6 4 3" xfId="16859" xr:uid="{BCDC6DF8-94C1-419F-892B-2D6C25A8493F}"/>
    <cellStyle name="Calculation 2 2 6 5" xfId="6057" xr:uid="{DE71D4F9-9261-4D02-BC49-74E386E529DC}"/>
    <cellStyle name="Calculation 2 2 6 5 2" xfId="11907" xr:uid="{4749B1B4-D624-4794-AD83-4E5724D44A4E}"/>
    <cellStyle name="Calculation 2 2 6 5 2 2" xfId="20953" xr:uid="{DEE90F70-6D2F-4D9D-801E-B1C6D7E027A9}"/>
    <cellStyle name="Calculation 2 2 6 5 3" xfId="17470" xr:uid="{A6319B57-DBF7-4E16-AFC1-7344B46E607F}"/>
    <cellStyle name="Calculation 2 2 6 6" xfId="9321" xr:uid="{26F2263A-5347-42DC-B880-432CC848F8B4}"/>
    <cellStyle name="Calculation 2 2 6 6 2" xfId="18367" xr:uid="{4171D78E-CDDC-4316-BE91-3EC3549A31DB}"/>
    <cellStyle name="Calculation 2 2 6 7" xfId="12716" xr:uid="{E74F097B-01B5-4B23-A540-888B41BC0B45}"/>
    <cellStyle name="Calculation 2 2 6 8" xfId="13277" xr:uid="{B20B084C-13D4-4A37-A15D-BD783F844EBC}"/>
    <cellStyle name="Calculation 2 2 6 9" xfId="13912" xr:uid="{952FBCFB-03D5-4F93-9600-F1A09FAF4588}"/>
    <cellStyle name="Calculation 2 2 7" xfId="3709" xr:uid="{4D11036B-A413-4A89-AE34-5BFB32C70458}"/>
    <cellStyle name="Calculation 2 2 7 2" xfId="9751" xr:uid="{188CCE7F-D303-4806-ACDA-BABE14D18D1E}"/>
    <cellStyle name="Calculation 2 2 7 2 2" xfId="18797" xr:uid="{94F17E21-B438-412B-BE97-078F44E0F9B6}"/>
    <cellStyle name="Calculation 2 2 7 3" xfId="15317" xr:uid="{C02E0992-70AF-4A6C-9788-3F5C8D6532AB}"/>
    <cellStyle name="Calculation 2 2 7 4" xfId="22296" xr:uid="{6330E262-7F15-4178-8CFE-E794E8DAD108}"/>
    <cellStyle name="Calculation 2 2 8" xfId="4193" xr:uid="{04E626E0-6C17-4821-9E16-C2ECDAD9E7C2}"/>
    <cellStyle name="Calculation 2 2 8 2" xfId="10050" xr:uid="{789E3F2E-2266-4F18-99ED-383DABA81CDF}"/>
    <cellStyle name="Calculation 2 2 8 2 2" xfId="19096" xr:uid="{223D59C4-2492-432E-8F8E-CC900C7B01BF}"/>
    <cellStyle name="Calculation 2 2 8 3" xfId="15610" xr:uid="{9489440B-D18A-4AEF-B06F-93B42E19A42A}"/>
    <cellStyle name="Calculation 2 2 8 4" xfId="22282" xr:uid="{D44231B1-D301-4776-A2DB-5C5C9CACF5E2}"/>
    <cellStyle name="Calculation 2 2 9" xfId="4158" xr:uid="{4ACE96B9-7C53-4625-8F06-0AF13953F5AD}"/>
    <cellStyle name="Calculation 2 2 9 2" xfId="10015" xr:uid="{F38ED533-7D6C-4227-9C6E-9FBFEA0B5858}"/>
    <cellStyle name="Calculation 2 2 9 2 2" xfId="19061" xr:uid="{1DC56447-23A9-4F04-8099-452B699D7EB4}"/>
    <cellStyle name="Calculation 2 2 9 3" xfId="15575" xr:uid="{56144E8C-805D-477D-8B8C-95CD66D284AD}"/>
    <cellStyle name="Calculation 2 3" xfId="292" xr:uid="{22E00DE1-6202-4765-A301-CFA702B864F3}"/>
    <cellStyle name="Calculation 2 3 10" xfId="4303" xr:uid="{21520AF4-E145-4211-B365-947B17800226}"/>
    <cellStyle name="Calculation 2 3 10 2" xfId="10160" xr:uid="{0BE8C025-6018-444D-9706-D18C3894C6C5}"/>
    <cellStyle name="Calculation 2 3 10 2 2" xfId="19206" xr:uid="{B593133D-8062-497A-8F69-91E3EB897A3F}"/>
    <cellStyle name="Calculation 2 3 10 3" xfId="15720" xr:uid="{2781BC5D-71D7-4F97-83CC-597588355CC5}"/>
    <cellStyle name="Calculation 2 3 11" xfId="4179" xr:uid="{FFAC68D8-B248-4235-AEF4-BB5178316E4A}"/>
    <cellStyle name="Calculation 2 3 11 2" xfId="10036" xr:uid="{47E3633A-C49A-46C1-92F0-85DF16363249}"/>
    <cellStyle name="Calculation 2 3 11 2 2" xfId="19082" xr:uid="{45CECFA8-7BD9-4BB0-B3A2-D9EC66644A4B}"/>
    <cellStyle name="Calculation 2 3 11 3" xfId="15596" xr:uid="{E2A86887-7F18-4CAB-89E4-0131B0C61192}"/>
    <cellStyle name="Calculation 2 3 12" xfId="9105" xr:uid="{07EA133B-3DBC-4E6F-B758-F359070B6F17}"/>
    <cellStyle name="Calculation 2 3 12 2" xfId="18151" xr:uid="{7E66FD05-58BD-4412-A789-E659F5341040}"/>
    <cellStyle name="Calculation 2 3 13" xfId="12505" xr:uid="{A29753E9-0BC4-4F59-87BF-4B0CD47E67D9}"/>
    <cellStyle name="Calculation 2 3 14" xfId="13699" xr:uid="{381686AC-7C56-4479-A09D-C2A03693B3B3}"/>
    <cellStyle name="Calculation 2 3 15" xfId="14674" xr:uid="{1DE9394F-39EA-40E1-A74D-051CB5BF02C7}"/>
    <cellStyle name="Calculation 2 3 16" xfId="21549" xr:uid="{2302A289-40A0-4818-A94D-2853B973004A}"/>
    <cellStyle name="Calculation 2 3 17" xfId="23731" xr:uid="{2A08980C-B38B-4571-A618-65DE47D851B0}"/>
    <cellStyle name="Calculation 2 3 2" xfId="2274" xr:uid="{D60D056D-718B-4B2C-A128-9C6CBB7516EF}"/>
    <cellStyle name="Calculation 2 3 2 10" xfId="9131" xr:uid="{69D7EC9D-701C-4FB8-BCC7-AA967304DB6D}"/>
    <cellStyle name="Calculation 2 3 2 10 2" xfId="18177" xr:uid="{D5C05036-D728-42B5-98DE-769E71D38E02}"/>
    <cellStyle name="Calculation 2 3 2 11" xfId="12529" xr:uid="{95D1130B-D2F3-4231-8B96-A7F5F72E3734}"/>
    <cellStyle name="Calculation 2 3 2 12" xfId="13723" xr:uid="{03E8C5E9-508E-4382-9923-47F6E5F9D535}"/>
    <cellStyle name="Calculation 2 3 2 13" xfId="14700" xr:uid="{DB10D02A-0783-40A5-B591-C68DF261FBCE}"/>
    <cellStyle name="Calculation 2 3 2 14" xfId="21572" xr:uid="{A89498F5-0911-4E1C-AD3F-0EF2A289445D}"/>
    <cellStyle name="Calculation 2 3 2 15" xfId="23732" xr:uid="{2F50308E-D2E7-4674-93C2-2DDF56F5975D}"/>
    <cellStyle name="Calculation 2 3 2 2" xfId="2275" xr:uid="{92207903-ED70-4409-907C-E507A141D743}"/>
    <cellStyle name="Calculation 2 3 2 2 10" xfId="13141" xr:uid="{4E818552-1C07-41F1-8535-51B2D455646B}"/>
    <cellStyle name="Calculation 2 3 2 2 11" xfId="13773" xr:uid="{110292C4-6C80-4198-83C5-DF69A1EE56BC}"/>
    <cellStyle name="Calculation 2 3 2 2 12" xfId="14750" xr:uid="{E44838C1-C275-45F6-8E72-E9F2ABB5D9B0}"/>
    <cellStyle name="Calculation 2 3 2 2 13" xfId="21620" xr:uid="{968933CD-C12D-488A-9A5A-9A1C7ADC0A73}"/>
    <cellStyle name="Calculation 2 3 2 2 2" xfId="2826" xr:uid="{EB833D20-98CD-4A7D-BCC1-AA76CAD0FDA4}"/>
    <cellStyle name="Calculation 2 3 2 2 2 10" xfId="15177" xr:uid="{B52ED2C3-E249-4865-8125-B35CDB1F5910}"/>
    <cellStyle name="Calculation 2 3 2 2 2 11" xfId="22046" xr:uid="{617B0897-5DD2-47FF-900C-B73223854027}"/>
    <cellStyle name="Calculation 2 3 2 2 2 12" xfId="3397" xr:uid="{DCC4EE78-CD9D-4DEC-A6DD-D1E4073AC163}"/>
    <cellStyle name="Calculation 2 3 2 2 2 2" xfId="4620" xr:uid="{14E2FDFD-3502-43CE-AF6E-7DAA7D1A16F3}"/>
    <cellStyle name="Calculation 2 3 2 2 2 2 2" xfId="10477" xr:uid="{85EC56C7-2987-486F-9CDD-D9ADE1776317}"/>
    <cellStyle name="Calculation 2 3 2 2 2 2 2 2" xfId="19523" xr:uid="{1835BB51-1643-4641-B54F-66971F15951D}"/>
    <cellStyle name="Calculation 2 3 2 2 2 2 3" xfId="16037" xr:uid="{FC4FDDB6-632A-43D8-B5F4-71284C14391D}"/>
    <cellStyle name="Calculation 2 3 2 2 2 2 4" xfId="22702" xr:uid="{4C2B2C97-6431-4070-AA63-E554BEF70E03}"/>
    <cellStyle name="Calculation 2 3 2 2 2 3" xfId="5121" xr:uid="{CA0BAA7D-D019-4634-A33D-89F18DF53572}"/>
    <cellStyle name="Calculation 2 3 2 2 2 3 2" xfId="10974" xr:uid="{44B5EBA4-7E50-4889-AE74-EB53CBB3E556}"/>
    <cellStyle name="Calculation 2 3 2 2 2 3 2 2" xfId="20020" xr:uid="{00A71C25-AF0E-477F-AA5D-F3DEC4B3005D}"/>
    <cellStyle name="Calculation 2 3 2 2 2 3 3" xfId="16534" xr:uid="{F308BACB-6032-4C7E-A48B-B1688CD8DAC9}"/>
    <cellStyle name="Calculation 2 3 2 2 2 3 4" xfId="23197" xr:uid="{8380E71D-2579-482C-B279-3B1D02C60221}"/>
    <cellStyle name="Calculation 2 3 2 2 2 4" xfId="5736" xr:uid="{63756A0B-1D29-4852-ACA5-CCC6035EF705}"/>
    <cellStyle name="Calculation 2 3 2 2 2 4 2" xfId="11589" xr:uid="{F7447B70-BFF2-4852-BD77-3823E61727C6}"/>
    <cellStyle name="Calculation 2 3 2 2 2 4 2 2" xfId="20635" xr:uid="{69904B8C-2474-47F8-8BC3-52A961C91951}"/>
    <cellStyle name="Calculation 2 3 2 2 2 4 3" xfId="17149" xr:uid="{C567C75C-B6D9-4A85-82CA-4F2F5D955BD5}"/>
    <cellStyle name="Calculation 2 3 2 2 2 5" xfId="6347" xr:uid="{B67AEE6B-2EF2-456A-9733-E0068C9DBA72}"/>
    <cellStyle name="Calculation 2 3 2 2 2 5 2" xfId="12194" xr:uid="{EE27884B-F599-44D2-A8F7-B2E03578A3BF}"/>
    <cellStyle name="Calculation 2 3 2 2 2 5 2 2" xfId="21240" xr:uid="{0A286185-5285-4094-9698-5B554A4B19A3}"/>
    <cellStyle name="Calculation 2 3 2 2 2 5 3" xfId="17760" xr:uid="{87B0E18B-D708-4D25-B8E6-E280B78DD21B}"/>
    <cellStyle name="Calculation 2 3 2 2 2 6" xfId="9608" xr:uid="{97D668EA-D786-4785-9A8F-0651E4CB4822}"/>
    <cellStyle name="Calculation 2 3 2 2 2 6 2" xfId="18654" xr:uid="{A262CDF5-748C-4910-BFF9-0A22C4D99534}"/>
    <cellStyle name="Calculation 2 3 2 2 2 7" xfId="13006" xr:uid="{AD14D49C-41D2-4217-807D-D4B48B1DD512}"/>
    <cellStyle name="Calculation 2 3 2 2 2 8" xfId="13563" xr:uid="{187DAEA8-F271-48DE-859F-B8A6062765BA}"/>
    <cellStyle name="Calculation 2 3 2 2 2 9" xfId="14202" xr:uid="{E619F5AD-E3E8-4304-ABDC-3CD024B6F2C1}"/>
    <cellStyle name="Calculation 2 3 2 2 3" xfId="2540" xr:uid="{6127D212-C77A-4079-84BC-F5457BE2E92A}"/>
    <cellStyle name="Calculation 2 3 2 2 3 10" xfId="14965" xr:uid="{1E314813-24A4-463E-9957-E4A1334F088F}"/>
    <cellStyle name="Calculation 2 3 2 2 3 11" xfId="21833" xr:uid="{20176B00-0AA9-49FE-B895-1CCB0039E4EE}"/>
    <cellStyle name="Calculation 2 3 2 2 3 12" xfId="3185" xr:uid="{73CEEA14-8B6E-429B-9FE3-697D973205BB}"/>
    <cellStyle name="Calculation 2 3 2 2 3 2" xfId="4406" xr:uid="{75962842-CFAB-4C66-B16B-BADCFA7D841E}"/>
    <cellStyle name="Calculation 2 3 2 2 3 2 2" xfId="10263" xr:uid="{A6B7EAE0-7529-4C30-8FAD-50685E69FAD4}"/>
    <cellStyle name="Calculation 2 3 2 2 3 2 2 2" xfId="19309" xr:uid="{4C3BD787-41B9-4CB9-91CD-7B4F8F07E5B9}"/>
    <cellStyle name="Calculation 2 3 2 2 3 2 3" xfId="15823" xr:uid="{26F7B0DE-0EA1-4891-A84D-E80D9946C3B1}"/>
    <cellStyle name="Calculation 2 3 2 2 3 2 4" xfId="22489" xr:uid="{EB212D56-97A0-4795-B634-4ECF9596D4B9}"/>
    <cellStyle name="Calculation 2 3 2 2 3 3" xfId="4907" xr:uid="{6D1956A5-50B2-46B0-B054-0F3A28B6E604}"/>
    <cellStyle name="Calculation 2 3 2 2 3 3 2" xfId="10762" xr:uid="{AE82115D-F3DB-4257-9673-89648A79A15F}"/>
    <cellStyle name="Calculation 2 3 2 2 3 3 2 2" xfId="19808" xr:uid="{FADF9AF5-FE1F-4398-91DF-1042792792B3}"/>
    <cellStyle name="Calculation 2 3 2 2 3 3 3" xfId="16322" xr:uid="{897C5167-0CBF-4964-AF68-82E7A192839C}"/>
    <cellStyle name="Calculation 2 3 2 2 3 3 4" xfId="22984" xr:uid="{ADE71590-680C-43B1-A793-FA55FD586954}"/>
    <cellStyle name="Calculation 2 3 2 2 3 4" xfId="5522" xr:uid="{B966D3A1-36FA-4758-9CCC-BB346DB8EDA6}"/>
    <cellStyle name="Calculation 2 3 2 2 3 4 2" xfId="11375" xr:uid="{017D921C-B737-46EF-A5EF-450648DB08FA}"/>
    <cellStyle name="Calculation 2 3 2 2 3 4 2 2" xfId="20421" xr:uid="{1BB7B50E-7E9F-4326-AE79-38C6C2947A08}"/>
    <cellStyle name="Calculation 2 3 2 2 3 4 3" xfId="16935" xr:uid="{669CBE17-D3FB-4749-85B9-32B4A729920C}"/>
    <cellStyle name="Calculation 2 3 2 2 3 5" xfId="6133" xr:uid="{2A01DF19-3D72-4CDC-9EB0-0502EB89F1ED}"/>
    <cellStyle name="Calculation 2 3 2 2 3 5 2" xfId="11982" xr:uid="{0A10554A-2194-4A8E-BC1B-0714A314DF77}"/>
    <cellStyle name="Calculation 2 3 2 2 3 5 2 2" xfId="21028" xr:uid="{BCD1F468-C99B-4945-B7E1-99926B742003}"/>
    <cellStyle name="Calculation 2 3 2 2 3 5 3" xfId="17546" xr:uid="{F25891D4-FD1B-4CDF-91BD-9B3CBD002FC2}"/>
    <cellStyle name="Calculation 2 3 2 2 3 6" xfId="9396" xr:uid="{E4271FDF-07BC-475E-861A-CEEC97560D2D}"/>
    <cellStyle name="Calculation 2 3 2 2 3 6 2" xfId="18442" xr:uid="{54B6E4D9-EAF2-444F-9F5A-F4D57380B6CD}"/>
    <cellStyle name="Calculation 2 3 2 2 3 7" xfId="12792" xr:uid="{5B8B02E9-B257-4681-8175-C6DFB80205B1}"/>
    <cellStyle name="Calculation 2 3 2 2 3 8" xfId="13352" xr:uid="{109D9732-CB41-4B6F-A6CB-77E12F856D27}"/>
    <cellStyle name="Calculation 2 3 2 2 3 9" xfId="13988" xr:uid="{C234EB81-45C1-4A2F-8C7C-9D66D6020AA5}"/>
    <cellStyle name="Calculation 2 3 2 2 4" xfId="4004" xr:uid="{88B2427D-F2B3-4E2E-9B37-F14C8F723165}"/>
    <cellStyle name="Calculation 2 3 2 2 4 2" xfId="9866" xr:uid="{916E9BB4-E1E4-42D4-BF7F-2E3C6797AD57}"/>
    <cellStyle name="Calculation 2 3 2 2 4 2 2" xfId="18912" xr:uid="{9B751AB9-228D-40A7-BE84-54B42FBCA1CC}"/>
    <cellStyle name="Calculation 2 3 2 2 4 3" xfId="15428" xr:uid="{5BC63EAF-4762-48C3-9A16-C9C0B6207519}"/>
    <cellStyle name="Calculation 2 3 2 2 4 4" xfId="22384" xr:uid="{94DC0EF1-7642-45B3-A9CB-FAB312739D74}"/>
    <cellStyle name="Calculation 2 3 2 2 5" xfId="4281" xr:uid="{999F962B-6ED3-4724-BAF4-EE603C2D02E5}"/>
    <cellStyle name="Calculation 2 3 2 2 5 2" xfId="10138" xr:uid="{073D0BCD-CF64-4E13-BC6C-0DC0C6FD5121}"/>
    <cellStyle name="Calculation 2 3 2 2 5 2 2" xfId="19184" xr:uid="{D9606CE3-09E5-409D-BD9A-932C8DA85BE6}"/>
    <cellStyle name="Calculation 2 3 2 2 5 3" xfId="15698" xr:uid="{30BA96C7-F342-4121-9A45-BF9AF9DA0E41}"/>
    <cellStyle name="Calculation 2 3 2 2 6" xfId="5307" xr:uid="{2E721EA1-C8A7-42BE-B8D0-157319E659C8}"/>
    <cellStyle name="Calculation 2 3 2 2 6 2" xfId="11160" xr:uid="{B95226F4-D8CC-4739-9BF5-1D639F258471}"/>
    <cellStyle name="Calculation 2 3 2 2 6 2 2" xfId="20206" xr:uid="{990F1747-E0DE-4CF8-A372-975E6A4C8A99}"/>
    <cellStyle name="Calculation 2 3 2 2 6 3" xfId="16720" xr:uid="{1C49976C-87FB-4B87-92A3-72F175B6FB69}"/>
    <cellStyle name="Calculation 2 3 2 2 7" xfId="5918" xr:uid="{19AC32F1-7F5E-456E-9296-E6940CA3C1DA}"/>
    <cellStyle name="Calculation 2 3 2 2 7 2" xfId="11771" xr:uid="{5BE28F0F-5D33-4551-A78B-2549A140B38C}"/>
    <cellStyle name="Calculation 2 3 2 2 7 2 2" xfId="20817" xr:uid="{8A6A705D-F797-491E-A042-ABD767B197B5}"/>
    <cellStyle name="Calculation 2 3 2 2 7 3" xfId="17331" xr:uid="{107756F0-2026-4988-A79B-5840BFB1A5DA}"/>
    <cellStyle name="Calculation 2 3 2 2 8" xfId="9181" xr:uid="{1F1B60A0-EF14-48D5-8DEF-36E14BAEB0AA}"/>
    <cellStyle name="Calculation 2 3 2 2 8 2" xfId="18227" xr:uid="{F856C847-6A7B-453D-B4C5-90CC29809AA3}"/>
    <cellStyle name="Calculation 2 3 2 2 9" xfId="12579" xr:uid="{6C8FFBAF-952C-4AB1-A2FC-952BCEF6CC92}"/>
    <cellStyle name="Calculation 2 3 2 3" xfId="2827" xr:uid="{00293AEC-792E-49F8-9A43-89C95D97BF39}"/>
    <cellStyle name="Calculation 2 3 2 3 10" xfId="15127" xr:uid="{EBA3BEF2-7295-4010-84FF-5328D0525B32}"/>
    <cellStyle name="Calculation 2 3 2 3 11" xfId="21996" xr:uid="{FFFA58C3-53D3-4669-8C18-B77599A8E7F4}"/>
    <cellStyle name="Calculation 2 3 2 3 12" xfId="3347" xr:uid="{133311EE-ED51-431C-BBF6-FFB91D1E9E6F}"/>
    <cellStyle name="Calculation 2 3 2 3 2" xfId="4570" xr:uid="{6356781F-AC26-48D7-AFB6-31988DBA7C60}"/>
    <cellStyle name="Calculation 2 3 2 3 2 2" xfId="10427" xr:uid="{42455BD6-7652-44C5-9582-E63D01669260}"/>
    <cellStyle name="Calculation 2 3 2 3 2 2 2" xfId="19473" xr:uid="{65C05D34-106C-43E1-96BE-02EBAD724C9A}"/>
    <cellStyle name="Calculation 2 3 2 3 2 3" xfId="15987" xr:uid="{0A245810-A5D3-48D3-8684-6FE852F20556}"/>
    <cellStyle name="Calculation 2 3 2 3 2 4" xfId="22652" xr:uid="{1DA6F7DA-BD3E-4806-A40D-BBDC69084D48}"/>
    <cellStyle name="Calculation 2 3 2 3 3" xfId="5071" xr:uid="{BC986BA0-5D19-462E-92CA-4F158C67D58F}"/>
    <cellStyle name="Calculation 2 3 2 3 3 2" xfId="10924" xr:uid="{5093768A-9062-4D6B-AC77-DE5E28743D36}"/>
    <cellStyle name="Calculation 2 3 2 3 3 2 2" xfId="19970" xr:uid="{378685A8-5998-4129-BFFA-DAFCFE202EB2}"/>
    <cellStyle name="Calculation 2 3 2 3 3 3" xfId="16484" xr:uid="{ED668F8D-2AFA-496B-B72B-30DAF1148937}"/>
    <cellStyle name="Calculation 2 3 2 3 3 4" xfId="23147" xr:uid="{47D59293-EE48-4708-8567-061E5EBD7ACD}"/>
    <cellStyle name="Calculation 2 3 2 3 4" xfId="5686" xr:uid="{24CFBEB5-E1D6-49E1-8852-972C511AA0F4}"/>
    <cellStyle name="Calculation 2 3 2 3 4 2" xfId="11539" xr:uid="{DAEA5E5C-7FB5-419F-A1F9-AE12CEC9A7E2}"/>
    <cellStyle name="Calculation 2 3 2 3 4 2 2" xfId="20585" xr:uid="{9E5DC378-47E5-4F24-B041-B889D1CBD8B3}"/>
    <cellStyle name="Calculation 2 3 2 3 4 3" xfId="17099" xr:uid="{D0F68DA4-DCE3-434B-987A-DE3471EFC2B8}"/>
    <cellStyle name="Calculation 2 3 2 3 5" xfId="6297" xr:uid="{C4701CE0-9370-495D-847B-299A5AB45FAB}"/>
    <cellStyle name="Calculation 2 3 2 3 5 2" xfId="12144" xr:uid="{2C522CF6-82EE-43CE-A569-7C33A096D2B6}"/>
    <cellStyle name="Calculation 2 3 2 3 5 2 2" xfId="21190" xr:uid="{FF9C4956-CD09-4732-A370-A4FF386F713A}"/>
    <cellStyle name="Calculation 2 3 2 3 5 3" xfId="17710" xr:uid="{CFABF8D4-B712-4189-A5C3-242E1D92F297}"/>
    <cellStyle name="Calculation 2 3 2 3 6" xfId="9558" xr:uid="{E3C20C52-1BE7-49BD-ABEF-78BBEC8BC36C}"/>
    <cellStyle name="Calculation 2 3 2 3 6 2" xfId="18604" xr:uid="{E43414E9-76ED-466D-BB14-2086F53F0971}"/>
    <cellStyle name="Calculation 2 3 2 3 7" xfId="12956" xr:uid="{A3220CD4-3426-4095-BC94-F0B32BCCC097}"/>
    <cellStyle name="Calculation 2 3 2 3 8" xfId="13513" xr:uid="{899B849D-13C8-4260-9438-75425B152720}"/>
    <cellStyle name="Calculation 2 3 2 3 9" xfId="14152" xr:uid="{462BDE13-F957-454A-BF54-96B9ECCD260A}"/>
    <cellStyle name="Calculation 2 3 2 4" xfId="2539" xr:uid="{963F538B-A037-4CC0-B77E-8EBC2F7C497E}"/>
    <cellStyle name="Calculation 2 3 2 4 10" xfId="14915" xr:uid="{DA077548-9F1E-4A50-A0CA-F17777E909D7}"/>
    <cellStyle name="Calculation 2 3 2 4 11" xfId="21783" xr:uid="{D7DD56EF-405B-4D8A-82B9-FD79EF69CEDD}"/>
    <cellStyle name="Calculation 2 3 2 4 12" xfId="3135" xr:uid="{87984BAF-2862-4871-95E7-B437A26C79D4}"/>
    <cellStyle name="Calculation 2 3 2 4 2" xfId="4356" xr:uid="{E541D7DD-77A5-4A8D-A0DB-87CAE4651AB0}"/>
    <cellStyle name="Calculation 2 3 2 4 2 2" xfId="10213" xr:uid="{01E24A92-3E81-4776-A8CA-D0B7C656E219}"/>
    <cellStyle name="Calculation 2 3 2 4 2 2 2" xfId="19259" xr:uid="{05009358-4B2D-459F-8642-F3DA6AF07857}"/>
    <cellStyle name="Calculation 2 3 2 4 2 3" xfId="15773" xr:uid="{1C086A34-11AE-48AA-B834-E7A3005BB4DA}"/>
    <cellStyle name="Calculation 2 3 2 4 2 4" xfId="22439" xr:uid="{1B1E8F4D-D53F-40FE-99B1-10CBC7AF2542}"/>
    <cellStyle name="Calculation 2 3 2 4 3" xfId="4857" xr:uid="{B48C8943-725F-4642-92F8-02BA308DBFC0}"/>
    <cellStyle name="Calculation 2 3 2 4 3 2" xfId="10712" xr:uid="{3D4ECF2D-E87D-4995-87D0-D4F7D80BA2DC}"/>
    <cellStyle name="Calculation 2 3 2 4 3 2 2" xfId="19758" xr:uid="{E3A71A9A-68B7-4B0B-ABF1-5A311FD71DFA}"/>
    <cellStyle name="Calculation 2 3 2 4 3 3" xfId="16272" xr:uid="{850AF871-2DBA-4737-B835-77474E2F05E2}"/>
    <cellStyle name="Calculation 2 3 2 4 3 4" xfId="22934" xr:uid="{17A64050-8116-4BE8-B4A3-3072B20884A5}"/>
    <cellStyle name="Calculation 2 3 2 4 4" xfId="5472" xr:uid="{9711396F-9370-447F-AD29-0541EA13F07E}"/>
    <cellStyle name="Calculation 2 3 2 4 4 2" xfId="11325" xr:uid="{D5143FF3-2E60-4040-B5EF-9719865D30F6}"/>
    <cellStyle name="Calculation 2 3 2 4 4 2 2" xfId="20371" xr:uid="{6ACAFFB6-1D05-492F-8031-8F9924718D7B}"/>
    <cellStyle name="Calculation 2 3 2 4 4 3" xfId="16885" xr:uid="{D9DBFE3C-A56D-4332-9F5F-B1B496879D38}"/>
    <cellStyle name="Calculation 2 3 2 4 5" xfId="6083" xr:uid="{46F0FB27-ACA2-4CD1-9103-AA5933FB2AB1}"/>
    <cellStyle name="Calculation 2 3 2 4 5 2" xfId="11932" xr:uid="{AE3B2B91-F53E-40EE-9B43-2D7EF7C5C4FC}"/>
    <cellStyle name="Calculation 2 3 2 4 5 2 2" xfId="20978" xr:uid="{2D4977FC-D83B-4C91-806D-DB1E8D834725}"/>
    <cellStyle name="Calculation 2 3 2 4 5 3" xfId="17496" xr:uid="{3D3D3848-474F-476A-A9E0-65203754D10B}"/>
    <cellStyle name="Calculation 2 3 2 4 6" xfId="9346" xr:uid="{359E2C2A-4DCF-4C63-B8FF-D3F1013F2E15}"/>
    <cellStyle name="Calculation 2 3 2 4 6 2" xfId="18392" xr:uid="{8C7E02E9-E626-401B-9BCA-360D56BD94EA}"/>
    <cellStyle name="Calculation 2 3 2 4 7" xfId="12742" xr:uid="{A2894598-7027-4C8A-AAD8-42D04FCDC6B6}"/>
    <cellStyle name="Calculation 2 3 2 4 8" xfId="13302" xr:uid="{1435DDBB-BE80-44A1-ADE8-980EB3E66522}"/>
    <cellStyle name="Calculation 2 3 2 4 9" xfId="13938" xr:uid="{C4123CE0-51E7-4586-8E1B-3650FD2FD151}"/>
    <cellStyle name="Calculation 2 3 2 5" xfId="3736" xr:uid="{448FEEEB-3348-4ADC-B3A3-A406DD310ACF}"/>
    <cellStyle name="Calculation 2 3 2 5 2" xfId="9778" xr:uid="{B356BC7D-E90E-427C-8640-D7EDA3480BB5}"/>
    <cellStyle name="Calculation 2 3 2 5 2 2" xfId="18824" xr:uid="{76DFE9D4-3F5A-42E5-854B-0BC22789C337}"/>
    <cellStyle name="Calculation 2 3 2 5 3" xfId="15344" xr:uid="{AF043682-6C8A-466A-A337-A51A0F85E363}"/>
    <cellStyle name="Calculation 2 3 2 5 4" xfId="22323" xr:uid="{D4008488-1A1C-48D3-9083-A253BF2197EE}"/>
    <cellStyle name="Calculation 2 3 2 6" xfId="4220" xr:uid="{6B65E35E-A843-465C-8E52-7E286028AA7E}"/>
    <cellStyle name="Calculation 2 3 2 6 2" xfId="10077" xr:uid="{911B4BC9-C846-4405-A5FF-28308D4C8E4D}"/>
    <cellStyle name="Calculation 2 3 2 6 2 2" xfId="19123" xr:uid="{E02EFE24-DA70-488B-9483-ED515FA8C14C}"/>
    <cellStyle name="Calculation 2 3 2 6 3" xfId="15637" xr:uid="{95927367-3A30-40F4-B7D2-A1DD70C02AF0}"/>
    <cellStyle name="Calculation 2 3 2 6 4" xfId="22267" xr:uid="{0B653725-3C9A-4BDE-A0B8-F0AF78CFD7A9}"/>
    <cellStyle name="Calculation 2 3 2 7" xfId="4295" xr:uid="{F0209CED-CF20-4506-A845-8B0C19AF3162}"/>
    <cellStyle name="Calculation 2 3 2 7 2" xfId="10152" xr:uid="{F603D09A-04BA-45C6-9A02-BC50B0699D27}"/>
    <cellStyle name="Calculation 2 3 2 7 2 2" xfId="19198" xr:uid="{1D79C296-3E2E-4835-BCE3-0FE65BEC0708}"/>
    <cellStyle name="Calculation 2 3 2 7 3" xfId="15712" xr:uid="{E1609931-FC04-457D-91CB-94BFE52FE7D8}"/>
    <cellStyle name="Calculation 2 3 2 8" xfId="5257" xr:uid="{5D4B8E91-DF14-440D-97F8-3BA5FF1755FF}"/>
    <cellStyle name="Calculation 2 3 2 8 2" xfId="11110" xr:uid="{8673E597-2742-4F42-A810-4478CBE2A295}"/>
    <cellStyle name="Calculation 2 3 2 8 2 2" xfId="20156" xr:uid="{5696B20C-033E-4F9B-ACC9-CF388A1B7D86}"/>
    <cellStyle name="Calculation 2 3 2 8 3" xfId="16670" xr:uid="{4FEAA9C4-2956-4F77-AF62-4C548D11A0ED}"/>
    <cellStyle name="Calculation 2 3 2 9" xfId="5868" xr:uid="{6EDD12AA-24D6-406D-80E9-9876C5A295EB}"/>
    <cellStyle name="Calculation 2 3 2 9 2" xfId="11721" xr:uid="{840DA35F-67B7-4BE7-A3C5-2BBF4A7F0006}"/>
    <cellStyle name="Calculation 2 3 2 9 2 2" xfId="20767" xr:uid="{09501A5E-F730-4CDF-BD6F-292035AEB6AF}"/>
    <cellStyle name="Calculation 2 3 2 9 3" xfId="17281" xr:uid="{1E79E510-BC07-491D-B6C9-8DA14A5355E7}"/>
    <cellStyle name="Calculation 2 3 3" xfId="2276" xr:uid="{ABC957C2-504F-4C8D-A4FF-160FA87319B0}"/>
    <cellStyle name="Calculation 2 3 3 10" xfId="9132" xr:uid="{B0A76298-BF69-4684-8FD5-C8C5DD9C2F23}"/>
    <cellStyle name="Calculation 2 3 3 10 2" xfId="18178" xr:uid="{9F17A762-CB31-4A0F-ADBB-A5821452C154}"/>
    <cellStyle name="Calculation 2 3 3 11" xfId="12530" xr:uid="{48973C04-BF7B-43F9-9F0E-C67DA07829F8}"/>
    <cellStyle name="Calculation 2 3 3 12" xfId="13724" xr:uid="{3C1F92C5-4F91-42CA-99A7-861386C1B154}"/>
    <cellStyle name="Calculation 2 3 3 13" xfId="14701" xr:uid="{6F237ED4-57D4-497A-AEB9-E703AA422BB8}"/>
    <cellStyle name="Calculation 2 3 3 14" xfId="21573" xr:uid="{C2AEFAF7-9E45-4693-A6C1-3B035176F42B}"/>
    <cellStyle name="Calculation 2 3 3 15" xfId="23733" xr:uid="{B500F633-FEE0-451F-B12C-DC876E2B2912}"/>
    <cellStyle name="Calculation 2 3 3 2" xfId="2277" xr:uid="{C783F8C9-AC0A-4FCE-B5D6-545AA6793E43}"/>
    <cellStyle name="Calculation 2 3 3 2 10" xfId="13142" xr:uid="{86C499FD-027B-4F6C-90B6-E900E42E2360}"/>
    <cellStyle name="Calculation 2 3 3 2 11" xfId="13774" xr:uid="{63A0E825-4195-41C9-9505-878AD3B0AABF}"/>
    <cellStyle name="Calculation 2 3 3 2 12" xfId="14751" xr:uid="{2C756A57-AF96-4622-AF25-14ED1C8FA950}"/>
    <cellStyle name="Calculation 2 3 3 2 13" xfId="21621" xr:uid="{40A5D922-66CD-4257-87BE-C61C6477FA04}"/>
    <cellStyle name="Calculation 2 3 3 2 2" xfId="2824" xr:uid="{9DE9C7FD-907B-4F1C-B766-DF0FD897AA1E}"/>
    <cellStyle name="Calculation 2 3 3 2 2 10" xfId="15178" xr:uid="{22D14556-B7EB-4D9C-8C00-E33389F1A1E1}"/>
    <cellStyle name="Calculation 2 3 3 2 2 11" xfId="22047" xr:uid="{AEC4F8FE-F932-45DA-866A-B93F9687C87A}"/>
    <cellStyle name="Calculation 2 3 3 2 2 12" xfId="3398" xr:uid="{B306073A-10AF-4FD3-A4D8-5DF570E3821D}"/>
    <cellStyle name="Calculation 2 3 3 2 2 2" xfId="4621" xr:uid="{891BB06F-4E8B-48F4-99A6-F45B6F345D66}"/>
    <cellStyle name="Calculation 2 3 3 2 2 2 2" xfId="10478" xr:uid="{C4683928-7EF7-48E1-87E7-257F63C28F88}"/>
    <cellStyle name="Calculation 2 3 3 2 2 2 2 2" xfId="19524" xr:uid="{09E694EF-FFDA-4B7D-8E16-837A899C922B}"/>
    <cellStyle name="Calculation 2 3 3 2 2 2 3" xfId="16038" xr:uid="{47A123F6-AF4B-4FC3-9E27-66FC51738A07}"/>
    <cellStyle name="Calculation 2 3 3 2 2 2 4" xfId="22703" xr:uid="{F97FE0A3-A119-49D7-B8CF-C8697906CB01}"/>
    <cellStyle name="Calculation 2 3 3 2 2 3" xfId="5122" xr:uid="{1D912796-9CCC-4848-B5F4-CEC5E16DDEF8}"/>
    <cellStyle name="Calculation 2 3 3 2 2 3 2" xfId="10975" xr:uid="{6A953F12-A15F-4DC5-A115-7F261688A68C}"/>
    <cellStyle name="Calculation 2 3 3 2 2 3 2 2" xfId="20021" xr:uid="{ED0680A3-9C1B-4829-98FC-3750D81E959F}"/>
    <cellStyle name="Calculation 2 3 3 2 2 3 3" xfId="16535" xr:uid="{5576B559-8CBD-4DD6-A597-52E797467FCB}"/>
    <cellStyle name="Calculation 2 3 3 2 2 3 4" xfId="23198" xr:uid="{6C5988CB-CA52-458D-9B8D-5F9EAEDE58AE}"/>
    <cellStyle name="Calculation 2 3 3 2 2 4" xfId="5737" xr:uid="{6D4207A7-481C-4B0A-AF58-A59CB4ECF6B5}"/>
    <cellStyle name="Calculation 2 3 3 2 2 4 2" xfId="11590" xr:uid="{1BDF9729-CA02-4B99-A1BD-399BF4D13150}"/>
    <cellStyle name="Calculation 2 3 3 2 2 4 2 2" xfId="20636" xr:uid="{A644B3C6-6295-41A2-9676-729ED60ED1FA}"/>
    <cellStyle name="Calculation 2 3 3 2 2 4 3" xfId="17150" xr:uid="{1B634743-F4F4-4BC0-942E-C0E0DAE5E7A2}"/>
    <cellStyle name="Calculation 2 3 3 2 2 5" xfId="6348" xr:uid="{9243586D-F6C8-4CC5-9E66-7878E56B2468}"/>
    <cellStyle name="Calculation 2 3 3 2 2 5 2" xfId="12195" xr:uid="{8BDC3B35-F34F-4541-9377-AFF1E5F84A99}"/>
    <cellStyle name="Calculation 2 3 3 2 2 5 2 2" xfId="21241" xr:uid="{814E85D3-EC7A-410B-A136-10DB2BA1BD90}"/>
    <cellStyle name="Calculation 2 3 3 2 2 5 3" xfId="17761" xr:uid="{E89A0B96-3C8B-4DE7-A848-47831EAE8D51}"/>
    <cellStyle name="Calculation 2 3 3 2 2 6" xfId="9609" xr:uid="{C232DD76-719B-4E56-9DF9-8D45B0D12459}"/>
    <cellStyle name="Calculation 2 3 3 2 2 6 2" xfId="18655" xr:uid="{C57716D7-6535-4948-9C1C-E12C78F5F01C}"/>
    <cellStyle name="Calculation 2 3 3 2 2 7" xfId="13007" xr:uid="{34A76FFF-F158-44BA-B139-11195B48F4FD}"/>
    <cellStyle name="Calculation 2 3 3 2 2 8" xfId="13564" xr:uid="{C197FDAD-4CC9-4F83-A8D7-342BB07E3BE2}"/>
    <cellStyle name="Calculation 2 3 3 2 2 9" xfId="14203" xr:uid="{1AE4D29D-0D61-48AB-9036-3AB45E5655AC}"/>
    <cellStyle name="Calculation 2 3 3 2 3" xfId="2542" xr:uid="{547E1BE8-A468-4B6E-B704-86D08559DFB9}"/>
    <cellStyle name="Calculation 2 3 3 2 3 10" xfId="14966" xr:uid="{A8FAAE1A-2C3B-4FC6-A2A0-D5DB7262D0F7}"/>
    <cellStyle name="Calculation 2 3 3 2 3 11" xfId="21834" xr:uid="{D7F89F6E-357F-476E-9A62-E2E683B950CC}"/>
    <cellStyle name="Calculation 2 3 3 2 3 12" xfId="3186" xr:uid="{CCED058A-06AC-4E92-A199-CEC114ED144A}"/>
    <cellStyle name="Calculation 2 3 3 2 3 2" xfId="4407" xr:uid="{444C9196-BEA4-4FEB-8BE3-CA5F7F9BADB6}"/>
    <cellStyle name="Calculation 2 3 3 2 3 2 2" xfId="10264" xr:uid="{0A4AB96F-11EB-42B4-914A-B8EF553136A3}"/>
    <cellStyle name="Calculation 2 3 3 2 3 2 2 2" xfId="19310" xr:uid="{1623D6A9-2F7B-4D89-85FE-42F5BBE0F674}"/>
    <cellStyle name="Calculation 2 3 3 2 3 2 3" xfId="15824" xr:uid="{7893E391-7B9E-48D3-A704-2355A2CAF21F}"/>
    <cellStyle name="Calculation 2 3 3 2 3 2 4" xfId="22490" xr:uid="{3FEA6262-B46C-4F0C-B8E4-BD8B449B6D8F}"/>
    <cellStyle name="Calculation 2 3 3 2 3 3" xfId="4908" xr:uid="{3EE296EB-17B0-437C-A668-6054C69534E8}"/>
    <cellStyle name="Calculation 2 3 3 2 3 3 2" xfId="10763" xr:uid="{CFCFA39C-1A66-4189-B10F-E064AC14B77E}"/>
    <cellStyle name="Calculation 2 3 3 2 3 3 2 2" xfId="19809" xr:uid="{BDC6D8D6-7DD0-429B-8785-A7ECDB4D2083}"/>
    <cellStyle name="Calculation 2 3 3 2 3 3 3" xfId="16323" xr:uid="{B568A1EA-7619-46EE-8D8F-1CC501DA5A19}"/>
    <cellStyle name="Calculation 2 3 3 2 3 3 4" xfId="22985" xr:uid="{680EA4DA-E1C4-480D-89DB-A1CD63981B39}"/>
    <cellStyle name="Calculation 2 3 3 2 3 4" xfId="5523" xr:uid="{5500A05A-4BFB-4140-8F52-3AD0A1937210}"/>
    <cellStyle name="Calculation 2 3 3 2 3 4 2" xfId="11376" xr:uid="{B879F600-AA73-451A-B4F1-541F24742E49}"/>
    <cellStyle name="Calculation 2 3 3 2 3 4 2 2" xfId="20422" xr:uid="{D26EEF67-1AB1-4C94-91EB-20E25450CFC2}"/>
    <cellStyle name="Calculation 2 3 3 2 3 4 3" xfId="16936" xr:uid="{2935BA49-4335-43C4-8865-28938CDD23BB}"/>
    <cellStyle name="Calculation 2 3 3 2 3 5" xfId="6134" xr:uid="{9469CC20-302B-4230-8F33-50B319A6C9F4}"/>
    <cellStyle name="Calculation 2 3 3 2 3 5 2" xfId="11983" xr:uid="{00269E14-9511-454E-95A0-F3AED0DB9919}"/>
    <cellStyle name="Calculation 2 3 3 2 3 5 2 2" xfId="21029" xr:uid="{27719641-EF47-4109-B9D3-0FFD096D8565}"/>
    <cellStyle name="Calculation 2 3 3 2 3 5 3" xfId="17547" xr:uid="{CEE1256A-658A-40A6-831B-FC92240D47D9}"/>
    <cellStyle name="Calculation 2 3 3 2 3 6" xfId="9397" xr:uid="{CCF5174D-4482-40C8-B53F-796A1A46BDB6}"/>
    <cellStyle name="Calculation 2 3 3 2 3 6 2" xfId="18443" xr:uid="{50E9C8A4-918C-475F-A4A9-0D6B7BC4FE30}"/>
    <cellStyle name="Calculation 2 3 3 2 3 7" xfId="12793" xr:uid="{E2476C1B-01FF-46D5-9083-77B1D36CB302}"/>
    <cellStyle name="Calculation 2 3 3 2 3 8" xfId="13353" xr:uid="{1B71B256-2A61-4D26-AD5B-2CA28482B154}"/>
    <cellStyle name="Calculation 2 3 3 2 3 9" xfId="13989" xr:uid="{0C44143E-D103-479C-981E-3A02CF5F4CA2}"/>
    <cellStyle name="Calculation 2 3 3 2 4" xfId="4005" xr:uid="{7AD818BB-AC5B-4446-AC21-115A7271889B}"/>
    <cellStyle name="Calculation 2 3 3 2 4 2" xfId="9867" xr:uid="{60A70008-9F49-4CF2-A74E-DB9FF1534596}"/>
    <cellStyle name="Calculation 2 3 3 2 4 2 2" xfId="18913" xr:uid="{269984F1-69C8-4436-91AA-9C2298B7303B}"/>
    <cellStyle name="Calculation 2 3 3 2 4 3" xfId="15429" xr:uid="{6AACDB93-85C7-4C7C-9443-6117865F815C}"/>
    <cellStyle name="Calculation 2 3 3 2 4 4" xfId="22383" xr:uid="{5D853601-9FD4-4BB0-A4BC-C0C7B1458DCA}"/>
    <cellStyle name="Calculation 2 3 3 2 5" xfId="4280" xr:uid="{225AFCD7-1600-4698-A5F6-0AD5433DFDFB}"/>
    <cellStyle name="Calculation 2 3 3 2 5 2" xfId="10137" xr:uid="{9658D730-2363-4670-855A-18C0FD61A679}"/>
    <cellStyle name="Calculation 2 3 3 2 5 2 2" xfId="19183" xr:uid="{F2CA1526-EBD9-447C-9B0D-F93B48DF2DF4}"/>
    <cellStyle name="Calculation 2 3 3 2 5 3" xfId="15697" xr:uid="{D8B11004-775C-40E7-90D8-3E3ADC8C6720}"/>
    <cellStyle name="Calculation 2 3 3 2 6" xfId="5308" xr:uid="{CE39A700-2EEF-4179-A989-F4C24898530B}"/>
    <cellStyle name="Calculation 2 3 3 2 6 2" xfId="11161" xr:uid="{1DD11AF2-4E24-4D5E-9A11-97DD25F02539}"/>
    <cellStyle name="Calculation 2 3 3 2 6 2 2" xfId="20207" xr:uid="{5EB358E8-5AAD-4F2B-A681-5061A4E52B31}"/>
    <cellStyle name="Calculation 2 3 3 2 6 3" xfId="16721" xr:uid="{E5EC91C8-61C8-46D4-99D9-72A6BD6DC3AE}"/>
    <cellStyle name="Calculation 2 3 3 2 7" xfId="5919" xr:uid="{41C42FC2-BE52-4C68-98EE-F8F21A7E2E00}"/>
    <cellStyle name="Calculation 2 3 3 2 7 2" xfId="11772" xr:uid="{6C3D0905-0C27-410D-A470-CF55B0A2BFB7}"/>
    <cellStyle name="Calculation 2 3 3 2 7 2 2" xfId="20818" xr:uid="{24DB5062-6389-4A22-A3BC-F68D8BDE9B66}"/>
    <cellStyle name="Calculation 2 3 3 2 7 3" xfId="17332" xr:uid="{8829E41D-F4D7-4E83-BB08-1FAB5F19B81E}"/>
    <cellStyle name="Calculation 2 3 3 2 8" xfId="9182" xr:uid="{D2D2E0C6-D301-46A1-81B1-CF82C8DD2E58}"/>
    <cellStyle name="Calculation 2 3 3 2 8 2" xfId="18228" xr:uid="{798C95C1-9D86-4F81-B266-7F476746977F}"/>
    <cellStyle name="Calculation 2 3 3 2 9" xfId="12580" xr:uid="{5841B16C-EC92-424A-BB45-3C589D748F50}"/>
    <cellStyle name="Calculation 2 3 3 3" xfId="2825" xr:uid="{0DB9D190-0A35-4A89-9058-4900893BFEB5}"/>
    <cellStyle name="Calculation 2 3 3 3 10" xfId="15128" xr:uid="{1095F11F-8B72-4086-9657-FEFB3B92C991}"/>
    <cellStyle name="Calculation 2 3 3 3 11" xfId="21997" xr:uid="{3097D686-4B3F-49C4-88CC-D7C443ABBAA6}"/>
    <cellStyle name="Calculation 2 3 3 3 12" xfId="3348" xr:uid="{AABA6868-EBF1-43E7-9E02-086EFD637042}"/>
    <cellStyle name="Calculation 2 3 3 3 2" xfId="4571" xr:uid="{0245F911-D2AB-4F56-AABD-19BC2B24EBA0}"/>
    <cellStyle name="Calculation 2 3 3 3 2 2" xfId="10428" xr:uid="{7F97860E-92E8-4924-A24A-84AC836B5860}"/>
    <cellStyle name="Calculation 2 3 3 3 2 2 2" xfId="19474" xr:uid="{1396E1C8-E400-49F0-942C-F55F11ACC58C}"/>
    <cellStyle name="Calculation 2 3 3 3 2 3" xfId="15988" xr:uid="{5EA296EA-D2B9-45DB-9369-DA79478D5D07}"/>
    <cellStyle name="Calculation 2 3 3 3 2 4" xfId="22653" xr:uid="{F244C170-FCCC-4AD5-9A57-C14B68AFEED2}"/>
    <cellStyle name="Calculation 2 3 3 3 3" xfId="5072" xr:uid="{45B0C1DE-DDBA-40B1-85A2-528FCAD44E1E}"/>
    <cellStyle name="Calculation 2 3 3 3 3 2" xfId="10925" xr:uid="{F58660F4-88AA-450B-8090-1EEC9A5E289B}"/>
    <cellStyle name="Calculation 2 3 3 3 3 2 2" xfId="19971" xr:uid="{15B0BFDF-B8FC-4E79-8F86-933E1B0A731E}"/>
    <cellStyle name="Calculation 2 3 3 3 3 3" xfId="16485" xr:uid="{55343CCB-E43D-4860-9743-68F343FB5912}"/>
    <cellStyle name="Calculation 2 3 3 3 3 4" xfId="23148" xr:uid="{4CB82DB6-7E19-4F73-ABDC-E977EBA4E85A}"/>
    <cellStyle name="Calculation 2 3 3 3 4" xfId="5687" xr:uid="{EB8260D5-461B-4BCA-A186-70B7FC88F321}"/>
    <cellStyle name="Calculation 2 3 3 3 4 2" xfId="11540" xr:uid="{891B2953-7E11-44ED-B279-F67BA3D1108D}"/>
    <cellStyle name="Calculation 2 3 3 3 4 2 2" xfId="20586" xr:uid="{16350D97-07A0-4941-B126-CBD63B9E8256}"/>
    <cellStyle name="Calculation 2 3 3 3 4 3" xfId="17100" xr:uid="{3BFDFC12-4E50-4867-8680-365009DA2424}"/>
    <cellStyle name="Calculation 2 3 3 3 5" xfId="6298" xr:uid="{EB30EADF-DA13-482D-94D7-7F769884EDD1}"/>
    <cellStyle name="Calculation 2 3 3 3 5 2" xfId="12145" xr:uid="{96DB310F-B29B-4347-9FAB-8073F1B02547}"/>
    <cellStyle name="Calculation 2 3 3 3 5 2 2" xfId="21191" xr:uid="{FC2682AC-665B-4245-8A54-B859B8A634F3}"/>
    <cellStyle name="Calculation 2 3 3 3 5 3" xfId="17711" xr:uid="{65645ED5-16C6-4DB2-B89C-3FBDDB9BF4EA}"/>
    <cellStyle name="Calculation 2 3 3 3 6" xfId="9559" xr:uid="{C3859DF6-B3F2-4CEE-8592-4302FE53316E}"/>
    <cellStyle name="Calculation 2 3 3 3 6 2" xfId="18605" xr:uid="{498E04F3-E276-4403-963B-048CB6FD0AF6}"/>
    <cellStyle name="Calculation 2 3 3 3 7" xfId="12957" xr:uid="{26057D94-F61F-4D73-8FE5-3EDAE979EC12}"/>
    <cellStyle name="Calculation 2 3 3 3 8" xfId="13514" xr:uid="{B220FA85-1C52-484B-B3A7-27EC8D2F7B3C}"/>
    <cellStyle name="Calculation 2 3 3 3 9" xfId="14153" xr:uid="{DE24FA07-BAD9-406A-ACF0-BA0879A2EBC5}"/>
    <cellStyle name="Calculation 2 3 3 4" xfId="2541" xr:uid="{DD439BB0-3CC0-4AFA-AD70-17453AF1272A}"/>
    <cellStyle name="Calculation 2 3 3 4 10" xfId="14916" xr:uid="{936884BC-F57F-4CF8-8D2D-C95BAA0DEC5E}"/>
    <cellStyle name="Calculation 2 3 3 4 11" xfId="21784" xr:uid="{05411F13-2E6B-4A48-9109-8C500EA23D0E}"/>
    <cellStyle name="Calculation 2 3 3 4 12" xfId="3136" xr:uid="{66206520-6519-4E05-8079-56CC7B827D7F}"/>
    <cellStyle name="Calculation 2 3 3 4 2" xfId="4357" xr:uid="{90C715E0-BF96-4213-B081-7088C5C47BC4}"/>
    <cellStyle name="Calculation 2 3 3 4 2 2" xfId="10214" xr:uid="{08E9F902-8116-4125-9D7E-223A5B0C51A0}"/>
    <cellStyle name="Calculation 2 3 3 4 2 2 2" xfId="19260" xr:uid="{6C923693-5C9B-4B5B-A1E6-CBDB559373C1}"/>
    <cellStyle name="Calculation 2 3 3 4 2 3" xfId="15774" xr:uid="{4BAF2AF3-BA19-4FA2-9126-A58CC3E22AA8}"/>
    <cellStyle name="Calculation 2 3 3 4 2 4" xfId="22440" xr:uid="{70F0A8B3-E22B-4BE8-8EF3-F350C7C55740}"/>
    <cellStyle name="Calculation 2 3 3 4 3" xfId="4858" xr:uid="{73CF4B83-F3E5-42BB-98A3-045D7FD996FC}"/>
    <cellStyle name="Calculation 2 3 3 4 3 2" xfId="10713" xr:uid="{1E9FDBD8-2326-4B77-A681-9F172EFBBF3D}"/>
    <cellStyle name="Calculation 2 3 3 4 3 2 2" xfId="19759" xr:uid="{3982A287-4344-4B69-8F27-7C75651A85F5}"/>
    <cellStyle name="Calculation 2 3 3 4 3 3" xfId="16273" xr:uid="{2A395023-8396-41BD-B937-E9D874002C91}"/>
    <cellStyle name="Calculation 2 3 3 4 3 4" xfId="22935" xr:uid="{5B5DD6D0-B8AC-41B0-8AF9-3C28C2066ED0}"/>
    <cellStyle name="Calculation 2 3 3 4 4" xfId="5473" xr:uid="{A2D3A174-202A-4924-8512-5AEA3EE6459C}"/>
    <cellStyle name="Calculation 2 3 3 4 4 2" xfId="11326" xr:uid="{CC6A0C09-3930-4F0A-8415-704A13C173B4}"/>
    <cellStyle name="Calculation 2 3 3 4 4 2 2" xfId="20372" xr:uid="{A5AE60CD-E6DB-4097-831E-5FF2E614F14A}"/>
    <cellStyle name="Calculation 2 3 3 4 4 3" xfId="16886" xr:uid="{5A3D1D86-B389-472A-AF7B-063B19FCC7E8}"/>
    <cellStyle name="Calculation 2 3 3 4 5" xfId="6084" xr:uid="{D4017FDE-A227-4E84-AF16-38214F04EDCF}"/>
    <cellStyle name="Calculation 2 3 3 4 5 2" xfId="11933" xr:uid="{8F950E8A-F380-48FC-AF3B-AC477269C9B8}"/>
    <cellStyle name="Calculation 2 3 3 4 5 2 2" xfId="20979" xr:uid="{26ABE36D-73A5-4C2D-B554-896F6D0E82EE}"/>
    <cellStyle name="Calculation 2 3 3 4 5 3" xfId="17497" xr:uid="{C92F21B8-4D86-40FB-ADE9-EAB325BCC8BA}"/>
    <cellStyle name="Calculation 2 3 3 4 6" xfId="9347" xr:uid="{C6BE9EF9-C1C1-4BBD-9441-03AD0189C53B}"/>
    <cellStyle name="Calculation 2 3 3 4 6 2" xfId="18393" xr:uid="{BAA62A75-8DCB-4902-8967-BFF0F0487881}"/>
    <cellStyle name="Calculation 2 3 3 4 7" xfId="12743" xr:uid="{AB8316BE-25BF-4919-9C42-54B60F57E017}"/>
    <cellStyle name="Calculation 2 3 3 4 8" xfId="13303" xr:uid="{A52140B6-CA14-48B6-822B-1854FFA981C9}"/>
    <cellStyle name="Calculation 2 3 3 4 9" xfId="13939" xr:uid="{4AC24B18-1B86-45D9-86A2-1CFD5C9C6242}"/>
    <cellStyle name="Calculation 2 3 3 5" xfId="3737" xr:uid="{A7E73840-53F4-484C-900C-6E0727578B98}"/>
    <cellStyle name="Calculation 2 3 3 5 2" xfId="9779" xr:uid="{8BBC7332-76DF-4565-A6F4-1BE5D563CF97}"/>
    <cellStyle name="Calculation 2 3 3 5 2 2" xfId="18825" xr:uid="{FBF04199-11E0-4A9D-9052-F438AA27DE10}"/>
    <cellStyle name="Calculation 2 3 3 5 3" xfId="15345" xr:uid="{4809A022-89FC-4FDB-BEAF-FF0CC47FD106}"/>
    <cellStyle name="Calculation 2 3 3 5 4" xfId="22324" xr:uid="{8A26C143-8405-4644-BC38-A400FFF9249B}"/>
    <cellStyle name="Calculation 2 3 3 6" xfId="4221" xr:uid="{0E962A58-346D-4D33-81AD-02AFEBBDAC89}"/>
    <cellStyle name="Calculation 2 3 3 6 2" xfId="10078" xr:uid="{9EB6DAA1-259B-41DB-A4E0-E66A49EB5BB5}"/>
    <cellStyle name="Calculation 2 3 3 6 2 2" xfId="19124" xr:uid="{2F272BFD-A725-4CB1-A3BE-433BD40FC701}"/>
    <cellStyle name="Calculation 2 3 3 6 3" xfId="15638" xr:uid="{93BBECA6-A7EA-4EF5-91B3-F54BA2ECDFC4}"/>
    <cellStyle name="Calculation 2 3 3 6 4" xfId="22266" xr:uid="{ECA0F07B-F702-41A3-A5F0-BCBF1DFD613D}"/>
    <cellStyle name="Calculation 2 3 3 7" xfId="4294" xr:uid="{DA662EF9-8AF9-4E66-ABA4-D13A258646F1}"/>
    <cellStyle name="Calculation 2 3 3 7 2" xfId="10151" xr:uid="{9BE608A6-061F-4C8B-9771-FCB6AA171CCD}"/>
    <cellStyle name="Calculation 2 3 3 7 2 2" xfId="19197" xr:uid="{345B578C-B2F6-4F9E-AF0E-37E87D6681A0}"/>
    <cellStyle name="Calculation 2 3 3 7 3" xfId="15711" xr:uid="{D90DCFD3-DE12-4F55-AB0D-DA81CC3E4DB1}"/>
    <cellStyle name="Calculation 2 3 3 8" xfId="5258" xr:uid="{2C174571-7CC5-4867-A772-B5639FD90846}"/>
    <cellStyle name="Calculation 2 3 3 8 2" xfId="11111" xr:uid="{75C6EDF9-6606-4B0C-94BE-30E362B38440}"/>
    <cellStyle name="Calculation 2 3 3 8 2 2" xfId="20157" xr:uid="{88BC4CBC-CA71-4692-959B-A4101CB809AD}"/>
    <cellStyle name="Calculation 2 3 3 8 3" xfId="16671" xr:uid="{9C1370CD-5AEF-41AD-87BF-BF758587FC7E}"/>
    <cellStyle name="Calculation 2 3 3 9" xfId="5869" xr:uid="{419FE81F-DBDB-434C-B129-95F1B97136A4}"/>
    <cellStyle name="Calculation 2 3 3 9 2" xfId="11722" xr:uid="{3CE6B48E-2FD3-4ABA-A4EE-5CA350D6429A}"/>
    <cellStyle name="Calculation 2 3 3 9 2 2" xfId="20768" xr:uid="{277513DC-5BC3-4E92-BFD8-A79682EA01AA}"/>
    <cellStyle name="Calculation 2 3 3 9 3" xfId="17282" xr:uid="{7EC2AB98-513F-4371-A262-05F75E478389}"/>
    <cellStyle name="Calculation 2 3 4" xfId="2278" xr:uid="{9CE4614D-37FE-439E-873B-F6A120C67423}"/>
    <cellStyle name="Calculation 2 3 4 10" xfId="13143" xr:uid="{5D2C536F-75C3-432B-A7A3-E36EEFAAE139}"/>
    <cellStyle name="Calculation 2 3 4 11" xfId="13775" xr:uid="{395E5B09-1A03-4A79-96A1-4C6BEE66402B}"/>
    <cellStyle name="Calculation 2 3 4 12" xfId="14752" xr:uid="{9BF5A69C-42FB-4295-B32F-1621EC4965A3}"/>
    <cellStyle name="Calculation 2 3 4 13" xfId="21622" xr:uid="{1E4DA568-A53F-451B-8D3B-415798D65B82}"/>
    <cellStyle name="Calculation 2 3 4 2" xfId="2823" xr:uid="{B968DF08-A2B3-43D7-80D5-6198D223D8A0}"/>
    <cellStyle name="Calculation 2 3 4 2 10" xfId="15179" xr:uid="{CCB2BE29-F85F-4EEB-8860-85F11B43605D}"/>
    <cellStyle name="Calculation 2 3 4 2 11" xfId="22048" xr:uid="{CB79BDA1-A245-476A-A232-9DB48930DB27}"/>
    <cellStyle name="Calculation 2 3 4 2 12" xfId="3399" xr:uid="{3EE29C64-C948-4B2A-A316-D57EFB6ED42B}"/>
    <cellStyle name="Calculation 2 3 4 2 2" xfId="4622" xr:uid="{4CFBEA62-AF7C-4A1C-8F8B-157DACDAC23E}"/>
    <cellStyle name="Calculation 2 3 4 2 2 2" xfId="10479" xr:uid="{A09F61E9-5B2C-440C-B644-9540186AD574}"/>
    <cellStyle name="Calculation 2 3 4 2 2 2 2" xfId="19525" xr:uid="{92B1FC60-25C3-4833-B086-855EF39A421F}"/>
    <cellStyle name="Calculation 2 3 4 2 2 3" xfId="16039" xr:uid="{31743628-C6C2-4E75-929E-2AD87F1DA8A1}"/>
    <cellStyle name="Calculation 2 3 4 2 2 4" xfId="22704" xr:uid="{4DC527F2-6051-4B85-A099-D2704FCAA928}"/>
    <cellStyle name="Calculation 2 3 4 2 3" xfId="5123" xr:uid="{0AEB2F1F-F192-491B-9156-923EBE41AA57}"/>
    <cellStyle name="Calculation 2 3 4 2 3 2" xfId="10976" xr:uid="{EC908F53-7B5E-4B0C-A7B6-FFCC68496478}"/>
    <cellStyle name="Calculation 2 3 4 2 3 2 2" xfId="20022" xr:uid="{C0F4B4A0-F5A2-4ED3-81DC-5986DA4BFAAA}"/>
    <cellStyle name="Calculation 2 3 4 2 3 3" xfId="16536" xr:uid="{065C9AB7-5F5B-458F-8B59-34257CFFA5EF}"/>
    <cellStyle name="Calculation 2 3 4 2 3 4" xfId="23199" xr:uid="{288A1B9E-84C2-435A-BD6A-F7E40BAD8192}"/>
    <cellStyle name="Calculation 2 3 4 2 4" xfId="5738" xr:uid="{2B3C1449-B54A-4A79-A17C-8F851216028A}"/>
    <cellStyle name="Calculation 2 3 4 2 4 2" xfId="11591" xr:uid="{3DC0B59F-132E-4652-BAD0-A934429A6FD5}"/>
    <cellStyle name="Calculation 2 3 4 2 4 2 2" xfId="20637" xr:uid="{D8EF2484-B695-4B38-8E0A-7B490F9DC535}"/>
    <cellStyle name="Calculation 2 3 4 2 4 3" xfId="17151" xr:uid="{14D226BC-40F9-432C-91EB-5B1DC9FDE325}"/>
    <cellStyle name="Calculation 2 3 4 2 5" xfId="6349" xr:uid="{39A910B6-0888-46E4-BF69-5ADE9688D0E1}"/>
    <cellStyle name="Calculation 2 3 4 2 5 2" xfId="12196" xr:uid="{625A8E8E-BD98-4B6D-B346-D0037F052CF6}"/>
    <cellStyle name="Calculation 2 3 4 2 5 2 2" xfId="21242" xr:uid="{C6C0EB78-45EB-4EEF-8274-130B7D2C2A67}"/>
    <cellStyle name="Calculation 2 3 4 2 5 3" xfId="17762" xr:uid="{9880024A-CF1F-4921-9FB3-189A523CA653}"/>
    <cellStyle name="Calculation 2 3 4 2 6" xfId="9610" xr:uid="{82787811-162A-4807-AF52-E7498A62F130}"/>
    <cellStyle name="Calculation 2 3 4 2 6 2" xfId="18656" xr:uid="{4F6DBA96-7B1B-4E5B-B0AA-97CA84444630}"/>
    <cellStyle name="Calculation 2 3 4 2 7" xfId="13008" xr:uid="{728330A9-F5AA-4DE9-A35B-138CD520DB17}"/>
    <cellStyle name="Calculation 2 3 4 2 8" xfId="13565" xr:uid="{2B07ED73-F565-4046-8110-232CF16D8200}"/>
    <cellStyle name="Calculation 2 3 4 2 9" xfId="14204" xr:uid="{2081BEA5-0C75-430E-894E-A8EE588125DA}"/>
    <cellStyle name="Calculation 2 3 4 3" xfId="2543" xr:uid="{ADFA0EB2-92F2-444B-ACEE-78BFB08BAB94}"/>
    <cellStyle name="Calculation 2 3 4 3 10" xfId="14967" xr:uid="{C7544AFF-06C2-43EB-A32A-0B818FFE99EB}"/>
    <cellStyle name="Calculation 2 3 4 3 11" xfId="21835" xr:uid="{94873C84-4488-45BC-AC07-1EC52E48D735}"/>
    <cellStyle name="Calculation 2 3 4 3 12" xfId="3187" xr:uid="{B456176A-34C5-4032-B613-D93956B54A08}"/>
    <cellStyle name="Calculation 2 3 4 3 2" xfId="4408" xr:uid="{83D0BDBD-5F05-4742-8A10-C6E15741C5FB}"/>
    <cellStyle name="Calculation 2 3 4 3 2 2" xfId="10265" xr:uid="{0AA7BC9F-030F-44AB-9D41-8DEF1834B9BA}"/>
    <cellStyle name="Calculation 2 3 4 3 2 2 2" xfId="19311" xr:uid="{FE29EEC6-3745-4E3B-9E91-2CDFC11AC82C}"/>
    <cellStyle name="Calculation 2 3 4 3 2 3" xfId="15825" xr:uid="{A21A5075-C78D-4380-A51A-4AC9554DD928}"/>
    <cellStyle name="Calculation 2 3 4 3 2 4" xfId="22491" xr:uid="{51BE49B4-0E7C-4D65-A3AC-F4B6314B94B3}"/>
    <cellStyle name="Calculation 2 3 4 3 3" xfId="4909" xr:uid="{5D706F25-31ED-40D2-AEDF-6029C804E52D}"/>
    <cellStyle name="Calculation 2 3 4 3 3 2" xfId="10764" xr:uid="{F50508A8-A087-4D23-99E6-56222368AE9B}"/>
    <cellStyle name="Calculation 2 3 4 3 3 2 2" xfId="19810" xr:uid="{097A9030-C4E2-4D41-A0F9-AFFA7C2EEE3A}"/>
    <cellStyle name="Calculation 2 3 4 3 3 3" xfId="16324" xr:uid="{772B618B-72AD-44A9-AA24-5164E4DE924C}"/>
    <cellStyle name="Calculation 2 3 4 3 3 4" xfId="22986" xr:uid="{55383FDE-3578-4E71-9B03-27E8BB508BEF}"/>
    <cellStyle name="Calculation 2 3 4 3 4" xfId="5524" xr:uid="{BBFF4D6A-CCCE-43EB-AF87-255502C530EB}"/>
    <cellStyle name="Calculation 2 3 4 3 4 2" xfId="11377" xr:uid="{4D8B0B31-F305-4C3E-A85F-D0F6115E57A3}"/>
    <cellStyle name="Calculation 2 3 4 3 4 2 2" xfId="20423" xr:uid="{AA14533E-A378-40C8-A507-D01978DE40F8}"/>
    <cellStyle name="Calculation 2 3 4 3 4 3" xfId="16937" xr:uid="{459E14A4-3F50-4EA0-9879-2965B690121F}"/>
    <cellStyle name="Calculation 2 3 4 3 5" xfId="6135" xr:uid="{95E3A4A4-B5AC-402D-9249-291A1AEFF309}"/>
    <cellStyle name="Calculation 2 3 4 3 5 2" xfId="11984" xr:uid="{453E26A0-47FB-4BB3-8B4D-350BB800D335}"/>
    <cellStyle name="Calculation 2 3 4 3 5 2 2" xfId="21030" xr:uid="{39CDE7A1-A9C4-47D8-BC21-556977FF3E1B}"/>
    <cellStyle name="Calculation 2 3 4 3 5 3" xfId="17548" xr:uid="{569D867C-4A35-4F72-8258-4626B9500150}"/>
    <cellStyle name="Calculation 2 3 4 3 6" xfId="9398" xr:uid="{06493C6C-6846-4AC9-AA82-75D47F8D1EEE}"/>
    <cellStyle name="Calculation 2 3 4 3 6 2" xfId="18444" xr:uid="{29A35776-181D-43EF-B878-74FF1B7E273E}"/>
    <cellStyle name="Calculation 2 3 4 3 7" xfId="12794" xr:uid="{27B863B4-5C23-4FF9-8C00-29C086F8472D}"/>
    <cellStyle name="Calculation 2 3 4 3 8" xfId="13354" xr:uid="{7AC94B00-785F-4630-BA19-8341D716E4D3}"/>
    <cellStyle name="Calculation 2 3 4 3 9" xfId="13990" xr:uid="{50186F61-2366-49A1-9F84-B3C31E07CAC9}"/>
    <cellStyle name="Calculation 2 3 4 4" xfId="3978" xr:uid="{BC4DADB1-D96F-4AFC-B788-97C0D2C2F60C}"/>
    <cellStyle name="Calculation 2 3 4 4 2" xfId="9840" xr:uid="{ECCB2C9C-0EBE-4542-BEEA-894A90BD12BE}"/>
    <cellStyle name="Calculation 2 3 4 4 2 2" xfId="18886" xr:uid="{F869989C-1693-408F-B0A4-5DC57E37D19A}"/>
    <cellStyle name="Calculation 2 3 4 4 3" xfId="15402" xr:uid="{84F6D58F-A120-42DC-8D89-F7F69706889E}"/>
    <cellStyle name="Calculation 2 3 4 4 4" xfId="22382" xr:uid="{E78E2E89-3246-4692-AC0E-8E82045F3095}"/>
    <cellStyle name="Calculation 2 3 4 5" xfId="4279" xr:uid="{496F2C6B-CBCC-4D09-89A8-7FCE93717F6E}"/>
    <cellStyle name="Calculation 2 3 4 5 2" xfId="10136" xr:uid="{D65A7151-D1B3-450B-A69D-FE64AB3B0CE3}"/>
    <cellStyle name="Calculation 2 3 4 5 2 2" xfId="19182" xr:uid="{CA294E7A-FE24-4C58-B047-698780155DB7}"/>
    <cellStyle name="Calculation 2 3 4 5 3" xfId="15696" xr:uid="{7C19865E-4BD9-4BA6-A822-514FBE20A725}"/>
    <cellStyle name="Calculation 2 3 4 6" xfId="5309" xr:uid="{DFB8B6C3-A4C5-4BBD-8DD3-2753787B4C9F}"/>
    <cellStyle name="Calculation 2 3 4 6 2" xfId="11162" xr:uid="{F35F0025-F2DC-4785-A89F-259E0D151176}"/>
    <cellStyle name="Calculation 2 3 4 6 2 2" xfId="20208" xr:uid="{43005013-322F-4AA8-B81E-5CD42578997C}"/>
    <cellStyle name="Calculation 2 3 4 6 3" xfId="16722" xr:uid="{3ED9F269-B8E1-426C-8297-C50570D493FA}"/>
    <cellStyle name="Calculation 2 3 4 7" xfId="5920" xr:uid="{5EE3A7DF-B38C-4F23-BD37-1D4F21C0340E}"/>
    <cellStyle name="Calculation 2 3 4 7 2" xfId="11773" xr:uid="{2A61827F-5FFC-406D-BFEF-FEE208E24A11}"/>
    <cellStyle name="Calculation 2 3 4 7 2 2" xfId="20819" xr:uid="{7CD6B157-C4BD-42FF-8C2D-E5DF8359CD85}"/>
    <cellStyle name="Calculation 2 3 4 7 3" xfId="17333" xr:uid="{76786725-0848-44E4-860C-FCE8C8B1DA0D}"/>
    <cellStyle name="Calculation 2 3 4 8" xfId="9183" xr:uid="{6547FBED-D5CA-4770-97C0-8B0725B6D72C}"/>
    <cellStyle name="Calculation 2 3 4 8 2" xfId="18229" xr:uid="{B92EC88A-A8C1-4C92-88E5-901BFDB98A72}"/>
    <cellStyle name="Calculation 2 3 4 9" xfId="12581" xr:uid="{1DE46F3C-83BE-4D15-AEE8-F6778962C2CB}"/>
    <cellStyle name="Calculation 2 3 5" xfId="2828" xr:uid="{3B3526CA-324E-4C87-968F-366E471ACBC4}"/>
    <cellStyle name="Calculation 2 3 5 10" xfId="15103" xr:uid="{36D310B3-8F8B-4756-A36F-257ADE0F1F06}"/>
    <cellStyle name="Calculation 2 3 5 11" xfId="21972" xr:uid="{11908919-C07B-4DEE-BB5E-D8EE6069B752}"/>
    <cellStyle name="Calculation 2 3 5 12" xfId="3323" xr:uid="{3B4CCF6D-79DF-4384-9FEB-7E6409CE4293}"/>
    <cellStyle name="Calculation 2 3 5 2" xfId="4546" xr:uid="{451AF405-81E7-40F8-9712-103FC8696E18}"/>
    <cellStyle name="Calculation 2 3 5 2 2" xfId="10403" xr:uid="{BDEA7FE8-768D-4464-BA43-B6418C8A5C1D}"/>
    <cellStyle name="Calculation 2 3 5 2 2 2" xfId="19449" xr:uid="{EB2D5020-7DE8-46EC-9F98-0485085239AB}"/>
    <cellStyle name="Calculation 2 3 5 2 3" xfId="15963" xr:uid="{DA7FDBC5-9EA9-48B8-BB7C-76CAEE1DBF96}"/>
    <cellStyle name="Calculation 2 3 5 2 4" xfId="22628" xr:uid="{173167E0-BAB1-4ABD-9762-20C8F13F5E74}"/>
    <cellStyle name="Calculation 2 3 5 3" xfId="5047" xr:uid="{67BDD61C-8B5F-4D88-A021-C003B2F74A0E}"/>
    <cellStyle name="Calculation 2 3 5 3 2" xfId="10900" xr:uid="{22559521-8280-4B24-9612-44A1613A0017}"/>
    <cellStyle name="Calculation 2 3 5 3 2 2" xfId="19946" xr:uid="{600A7367-2804-4354-AE1F-840A361463A5}"/>
    <cellStyle name="Calculation 2 3 5 3 3" xfId="16460" xr:uid="{1F886930-48F1-4BAE-863F-DF48054767B7}"/>
    <cellStyle name="Calculation 2 3 5 3 4" xfId="23123" xr:uid="{8BB04714-EA20-4363-8008-1A363BA538F2}"/>
    <cellStyle name="Calculation 2 3 5 4" xfId="5662" xr:uid="{7A0F55C8-9F9F-4DA2-9517-7EDA5BC96A3E}"/>
    <cellStyle name="Calculation 2 3 5 4 2" xfId="11515" xr:uid="{B7CDE85F-9494-4D6E-8773-835436046E24}"/>
    <cellStyle name="Calculation 2 3 5 4 2 2" xfId="20561" xr:uid="{D7B36AC8-AD9D-4669-95EE-4C4DF26F7254}"/>
    <cellStyle name="Calculation 2 3 5 4 3" xfId="17075" xr:uid="{D40A0C3E-2FF7-4235-9BA5-B061F9FED899}"/>
    <cellStyle name="Calculation 2 3 5 5" xfId="6273" xr:uid="{3128B120-F2DA-4646-BA64-33C5D0469D02}"/>
    <cellStyle name="Calculation 2 3 5 5 2" xfId="12120" xr:uid="{856CAF3D-0709-4C74-B17E-9ACE23335960}"/>
    <cellStyle name="Calculation 2 3 5 5 2 2" xfId="21166" xr:uid="{6AC2D5CB-BE22-4E3F-BB5B-31150E0BC04A}"/>
    <cellStyle name="Calculation 2 3 5 5 3" xfId="17686" xr:uid="{3B58F9FA-2867-49E4-83D8-EDE0F564115A}"/>
    <cellStyle name="Calculation 2 3 5 6" xfId="9534" xr:uid="{F8F9FE2D-9802-43ED-A1B3-2E7A39B08640}"/>
    <cellStyle name="Calculation 2 3 5 6 2" xfId="18580" xr:uid="{EEF58F95-A1BA-4C16-AD6B-A88014FBBDF2}"/>
    <cellStyle name="Calculation 2 3 5 7" xfId="12932" xr:uid="{29E8B40F-3CD7-4735-9331-DC1401EF062F}"/>
    <cellStyle name="Calculation 2 3 5 8" xfId="13489" xr:uid="{89AF0A26-F41F-46C8-BE3A-463FE1FDDA75}"/>
    <cellStyle name="Calculation 2 3 5 9" xfId="14128" xr:uid="{E925A57B-0452-44CC-9D47-95B9A5E8A14A}"/>
    <cellStyle name="Calculation 2 3 6" xfId="2538" xr:uid="{5668D234-8A3B-4B1B-98D0-5CCA08D875D1}"/>
    <cellStyle name="Calculation 2 3 6 10" xfId="14891" xr:uid="{05474AB6-1C54-4A23-B96D-E520E0B6C6B1}"/>
    <cellStyle name="Calculation 2 3 6 11" xfId="21758" xr:uid="{FFB97338-FE5B-49D3-8E82-E397636339BB}"/>
    <cellStyle name="Calculation 2 3 6 12" xfId="3110" xr:uid="{5A9F5286-5262-47C4-9B40-248271D60778}"/>
    <cellStyle name="Calculation 2 3 6 2" xfId="4331" xr:uid="{48995AA9-054B-4148-95E2-61DB5407CD8E}"/>
    <cellStyle name="Calculation 2 3 6 2 2" xfId="10188" xr:uid="{CD64E1F0-6606-4250-95EA-D89ABB117C34}"/>
    <cellStyle name="Calculation 2 3 6 2 2 2" xfId="19234" xr:uid="{93A858A5-D590-4A0D-B06C-7B694551F42B}"/>
    <cellStyle name="Calculation 2 3 6 2 3" xfId="15748" xr:uid="{E9F5177B-0800-4AC2-90A4-D89D41362EAD}"/>
    <cellStyle name="Calculation 2 3 6 2 4" xfId="22414" xr:uid="{32419291-641E-42AB-B5FA-ACA2E381BF7E}"/>
    <cellStyle name="Calculation 2 3 6 3" xfId="4832" xr:uid="{7188B524-7AA1-43F6-8BFB-9F074DBBB8AA}"/>
    <cellStyle name="Calculation 2 3 6 3 2" xfId="10688" xr:uid="{023BE281-44B6-4E5E-849B-90E373DD61B9}"/>
    <cellStyle name="Calculation 2 3 6 3 2 2" xfId="19734" xr:uid="{627371CB-42F6-43AA-8BE9-31B6B8C12A7A}"/>
    <cellStyle name="Calculation 2 3 6 3 3" xfId="16248" xr:uid="{E34DBF1E-ED4C-447A-A1DF-E07727AE6DB6}"/>
    <cellStyle name="Calculation 2 3 6 3 4" xfId="22909" xr:uid="{CA01DEE6-4627-47F0-AA6E-3E2076D822AB}"/>
    <cellStyle name="Calculation 2 3 6 4" xfId="5447" xr:uid="{0533C819-0181-4F48-9FAD-4B193E98D987}"/>
    <cellStyle name="Calculation 2 3 6 4 2" xfId="11300" xr:uid="{FC42595A-7BF1-4D7B-8988-4B563D1058CD}"/>
    <cellStyle name="Calculation 2 3 6 4 2 2" xfId="20346" xr:uid="{99E50A85-3E1F-43BF-ACC5-94525E94A572}"/>
    <cellStyle name="Calculation 2 3 6 4 3" xfId="16860" xr:uid="{1D4EB711-BF6B-4973-8518-5CB30486B81E}"/>
    <cellStyle name="Calculation 2 3 6 5" xfId="6058" xr:uid="{3D807554-4346-4AE2-987D-1A963F945AFE}"/>
    <cellStyle name="Calculation 2 3 6 5 2" xfId="11908" xr:uid="{87A279AC-960D-44DA-BE9F-80AD26C9730D}"/>
    <cellStyle name="Calculation 2 3 6 5 2 2" xfId="20954" xr:uid="{0ABD7E6E-00F6-49F8-9699-B6F010F3B2D9}"/>
    <cellStyle name="Calculation 2 3 6 5 3" xfId="17471" xr:uid="{91EBDC11-B75A-4A8E-9502-B52335AFE542}"/>
    <cellStyle name="Calculation 2 3 6 6" xfId="9322" xr:uid="{C09A1310-1EFB-4230-8E91-8722190A62EF}"/>
    <cellStyle name="Calculation 2 3 6 6 2" xfId="18368" xr:uid="{5C16C910-2AC7-4748-8891-89A69C79B12F}"/>
    <cellStyle name="Calculation 2 3 6 7" xfId="12717" xr:uid="{88C13F98-8456-43C6-B246-DFA26B468D05}"/>
    <cellStyle name="Calculation 2 3 6 8" xfId="13278" xr:uid="{FE74D987-5EF9-435C-9841-A08A65FBECB1}"/>
    <cellStyle name="Calculation 2 3 6 9" xfId="13913" xr:uid="{765AE59E-6333-4F3C-AA20-FC4035406E40}"/>
    <cellStyle name="Calculation 2 3 7" xfId="3710" xr:uid="{D6D021D1-BF70-4F92-B99C-F5C6A6831856}"/>
    <cellStyle name="Calculation 2 3 7 2" xfId="9752" xr:uid="{9ECD3732-2D88-4798-AC50-292C56154888}"/>
    <cellStyle name="Calculation 2 3 7 2 2" xfId="18798" xr:uid="{B1DD2761-6A17-4921-A01D-268569A57EFF}"/>
    <cellStyle name="Calculation 2 3 7 3" xfId="15318" xr:uid="{64F42A00-8941-4250-A375-2265CB21C697}"/>
    <cellStyle name="Calculation 2 3 7 4" xfId="22297" xr:uid="{14C959B5-83A9-4FC3-9126-6200B0DEFA16}"/>
    <cellStyle name="Calculation 2 3 8" xfId="4194" xr:uid="{264478C0-C64B-491E-A573-EB94F2BB219F}"/>
    <cellStyle name="Calculation 2 3 8 2" xfId="10051" xr:uid="{52A54F77-87DD-4149-8307-9F034F22E080}"/>
    <cellStyle name="Calculation 2 3 8 2 2" xfId="19097" xr:uid="{3B717CE3-7B4E-48BF-BDDB-E14990CD1814}"/>
    <cellStyle name="Calculation 2 3 8 3" xfId="15611" xr:uid="{87B16D15-C35E-48EA-80C9-547C36E25458}"/>
    <cellStyle name="Calculation 2 3 8 4" xfId="22281" xr:uid="{D4E980DD-2626-4AB2-A297-C8810EE3E6CD}"/>
    <cellStyle name="Calculation 2 3 9" xfId="4157" xr:uid="{CD48F695-D0CF-4133-AAC2-0F8BD266FAB4}"/>
    <cellStyle name="Calculation 2 3 9 2" xfId="10014" xr:uid="{72EC7B60-5CB1-4EA4-8750-7152AB708496}"/>
    <cellStyle name="Calculation 2 3 9 2 2" xfId="19060" xr:uid="{5F433397-AA5D-4992-87F4-D29178BA5C46}"/>
    <cellStyle name="Calculation 2 3 9 3" xfId="15574" xr:uid="{422A7FFB-A09E-4775-90CA-0D145E214672}"/>
    <cellStyle name="Calculation 2 4" xfId="2279" xr:uid="{30AD3178-5D1C-4031-8AE7-C257F8A317C2}"/>
    <cellStyle name="Calculation 2 4 10" xfId="4304" xr:uid="{CBA5E6DE-0538-4924-93BC-2C0B8EB2EC79}"/>
    <cellStyle name="Calculation 2 4 10 2" xfId="10161" xr:uid="{1113E276-2BA1-46EC-94E3-7BD312351AC9}"/>
    <cellStyle name="Calculation 2 4 10 2 2" xfId="19207" xr:uid="{F9B2DF63-7B28-45A5-894A-9662F16ACE14}"/>
    <cellStyle name="Calculation 2 4 10 3" xfId="15721" xr:uid="{2325E432-02E7-4241-A7D7-2DE1F0CAC405}"/>
    <cellStyle name="Calculation 2 4 11" xfId="4178" xr:uid="{A9B6AE7E-8A5A-45DA-8BD7-C3FE7A8CD638}"/>
    <cellStyle name="Calculation 2 4 11 2" xfId="10035" xr:uid="{A4B622DD-C68F-439D-A10F-70E0D7A71002}"/>
    <cellStyle name="Calculation 2 4 11 2 2" xfId="19081" xr:uid="{9FBE843B-422A-4ECA-A48C-BB2D8932B7EB}"/>
    <cellStyle name="Calculation 2 4 11 3" xfId="15595" xr:uid="{C657A88D-8BEC-4358-9EEC-2948507D4E9F}"/>
    <cellStyle name="Calculation 2 4 12" xfId="9106" xr:uid="{8C7D1616-2BC9-41F2-B948-608041AB596E}"/>
    <cellStyle name="Calculation 2 4 12 2" xfId="18152" xr:uid="{A3F49B01-5C85-4730-B0CC-87589204FDC3}"/>
    <cellStyle name="Calculation 2 4 13" xfId="12506" xr:uid="{8F81678A-84E6-40F6-8B62-48F468EF21EC}"/>
    <cellStyle name="Calculation 2 4 14" xfId="13700" xr:uid="{8966B423-75A1-48B9-B76B-DC0EF6D1BE00}"/>
    <cellStyle name="Calculation 2 4 15" xfId="14675" xr:uid="{05D005D7-F0F5-4B97-8010-3C97E39D11ED}"/>
    <cellStyle name="Calculation 2 4 16" xfId="21550" xr:uid="{A4E6A002-768F-4336-8D3F-08AFA431EF5B}"/>
    <cellStyle name="Calculation 2 4 17" xfId="23734" xr:uid="{FC37C2A0-E193-45F9-AD57-23053EE7F710}"/>
    <cellStyle name="Calculation 2 4 2" xfId="2280" xr:uid="{F350DF2C-C20F-4D94-AD4C-C56794A1C651}"/>
    <cellStyle name="Calculation 2 4 2 10" xfId="9133" xr:uid="{FC7DF374-59BE-420D-80C5-CFB7C85F3D05}"/>
    <cellStyle name="Calculation 2 4 2 10 2" xfId="18179" xr:uid="{7193A6DE-8D43-468C-A7C6-5B9BB1C54CFF}"/>
    <cellStyle name="Calculation 2 4 2 11" xfId="12531" xr:uid="{CBA4F7D3-0065-4A01-BF8B-7901ACD13584}"/>
    <cellStyle name="Calculation 2 4 2 12" xfId="13725" xr:uid="{4CAA6390-1934-4360-AFED-81BB5F87AD6F}"/>
    <cellStyle name="Calculation 2 4 2 13" xfId="14702" xr:uid="{EE33E8FD-52E9-424E-B366-73E4D8F8EBC5}"/>
    <cellStyle name="Calculation 2 4 2 14" xfId="21574" xr:uid="{E83889E1-F34C-491F-86FB-819DBE539F1A}"/>
    <cellStyle name="Calculation 2 4 2 15" xfId="23735" xr:uid="{6FEB0D92-44F5-4303-8E15-62508ADFE6E4}"/>
    <cellStyle name="Calculation 2 4 2 2" xfId="2281" xr:uid="{B25E9228-AEEE-47D2-B9C2-08994301E03F}"/>
    <cellStyle name="Calculation 2 4 2 2 10" xfId="13144" xr:uid="{931C406F-E6C1-4EA2-A71C-9FC637B10C04}"/>
    <cellStyle name="Calculation 2 4 2 2 11" xfId="13776" xr:uid="{8860CC06-BD6E-44B7-99B0-BFC0BAC52E55}"/>
    <cellStyle name="Calculation 2 4 2 2 12" xfId="14753" xr:uid="{0E10EB77-1913-4B34-A7CA-9E585543050F}"/>
    <cellStyle name="Calculation 2 4 2 2 13" xfId="21623" xr:uid="{B976960E-AEDF-4A7A-B84D-0A4B8483AEB2}"/>
    <cellStyle name="Calculation 2 4 2 2 2" xfId="2820" xr:uid="{78796BFF-2E79-44ED-A134-B0C992152926}"/>
    <cellStyle name="Calculation 2 4 2 2 2 10" xfId="15180" xr:uid="{FAB2B239-A400-45A1-8617-9415B5BABF2D}"/>
    <cellStyle name="Calculation 2 4 2 2 2 11" xfId="22049" xr:uid="{63A7B113-7F86-40E8-9871-6BF70B4581C6}"/>
    <cellStyle name="Calculation 2 4 2 2 2 12" xfId="3400" xr:uid="{2F2509DE-819F-4BC1-A264-6B74FBDD7968}"/>
    <cellStyle name="Calculation 2 4 2 2 2 2" xfId="4623" xr:uid="{DCAD9A3A-8D0A-4C7D-966B-F5CDEC158BE2}"/>
    <cellStyle name="Calculation 2 4 2 2 2 2 2" xfId="10480" xr:uid="{7B703E31-33CC-408C-A95B-580A5A83F436}"/>
    <cellStyle name="Calculation 2 4 2 2 2 2 2 2" xfId="19526" xr:uid="{E953F741-6629-4161-B6D3-04D4CE5BA9C1}"/>
    <cellStyle name="Calculation 2 4 2 2 2 2 3" xfId="16040" xr:uid="{0562222D-365A-4FA8-A501-6A66E8D1B07A}"/>
    <cellStyle name="Calculation 2 4 2 2 2 2 4" xfId="22705" xr:uid="{7AAEB3AB-9555-4527-8130-AA51CD35E7C2}"/>
    <cellStyle name="Calculation 2 4 2 2 2 3" xfId="5124" xr:uid="{B5529B5E-AC5F-40F7-A1FD-6FD9726D5D5A}"/>
    <cellStyle name="Calculation 2 4 2 2 2 3 2" xfId="10977" xr:uid="{4DA0021D-4425-46D4-9C2C-DE3B404F33ED}"/>
    <cellStyle name="Calculation 2 4 2 2 2 3 2 2" xfId="20023" xr:uid="{BFD90D99-A054-4F1F-9464-4B9DD94EF952}"/>
    <cellStyle name="Calculation 2 4 2 2 2 3 3" xfId="16537" xr:uid="{D33B9CC0-EFA1-49B4-815D-ED25F093535E}"/>
    <cellStyle name="Calculation 2 4 2 2 2 3 4" xfId="23200" xr:uid="{B69D8540-5912-46E5-A222-0066053E9B11}"/>
    <cellStyle name="Calculation 2 4 2 2 2 4" xfId="5739" xr:uid="{9B96AF6C-457C-4217-8107-F7501E7099A8}"/>
    <cellStyle name="Calculation 2 4 2 2 2 4 2" xfId="11592" xr:uid="{C4AE829A-94A2-4EEA-AA5B-887B8515BE24}"/>
    <cellStyle name="Calculation 2 4 2 2 2 4 2 2" xfId="20638" xr:uid="{54FC801C-6D76-4380-B695-94010BD7CB63}"/>
    <cellStyle name="Calculation 2 4 2 2 2 4 3" xfId="17152" xr:uid="{079EB84B-AD2F-442C-8ABE-E1A8DE1AEC4E}"/>
    <cellStyle name="Calculation 2 4 2 2 2 5" xfId="6350" xr:uid="{B5EE99DE-923F-4717-828E-A55BC74B78AE}"/>
    <cellStyle name="Calculation 2 4 2 2 2 5 2" xfId="12197" xr:uid="{F123825E-441C-4907-8E4D-38C0E6D831E7}"/>
    <cellStyle name="Calculation 2 4 2 2 2 5 2 2" xfId="21243" xr:uid="{75370F43-A2C4-431B-BFDD-81B4C322B6D3}"/>
    <cellStyle name="Calculation 2 4 2 2 2 5 3" xfId="17763" xr:uid="{366E9ED4-502C-41E4-9E69-CFB10E92F234}"/>
    <cellStyle name="Calculation 2 4 2 2 2 6" xfId="9611" xr:uid="{E09AB87E-163C-44BA-B743-78096DC12D32}"/>
    <cellStyle name="Calculation 2 4 2 2 2 6 2" xfId="18657" xr:uid="{FA016C4E-3337-4DB9-9AD8-43551FB11886}"/>
    <cellStyle name="Calculation 2 4 2 2 2 7" xfId="13009" xr:uid="{74812CFE-7360-4B86-83F3-0453F23E6454}"/>
    <cellStyle name="Calculation 2 4 2 2 2 8" xfId="13566" xr:uid="{521BFA50-D237-41BC-8115-0DA92A6A3AFA}"/>
    <cellStyle name="Calculation 2 4 2 2 2 9" xfId="14205" xr:uid="{02F6F573-9BD3-4052-95DE-40718138A61D}"/>
    <cellStyle name="Calculation 2 4 2 2 3" xfId="2524" xr:uid="{0E929A8E-89DE-413B-AF06-4F09200D066E}"/>
    <cellStyle name="Calculation 2 4 2 2 3 10" xfId="14968" xr:uid="{5D120AA0-6BE6-40D9-A127-5513429C1308}"/>
    <cellStyle name="Calculation 2 4 2 2 3 11" xfId="21836" xr:uid="{FC11004C-5C2C-4081-B743-45D5DA80580D}"/>
    <cellStyle name="Calculation 2 4 2 2 3 12" xfId="3188" xr:uid="{DCAE2B33-0938-4519-BD26-1961FA199374}"/>
    <cellStyle name="Calculation 2 4 2 2 3 2" xfId="4409" xr:uid="{A38D2B9A-A8C8-437B-843C-D2CEE537AAE6}"/>
    <cellStyle name="Calculation 2 4 2 2 3 2 2" xfId="10266" xr:uid="{DD34A1F0-8D36-47E4-BC97-D10B092E4989}"/>
    <cellStyle name="Calculation 2 4 2 2 3 2 2 2" xfId="19312" xr:uid="{19B2B43C-2D0B-4282-B389-D09463B08F19}"/>
    <cellStyle name="Calculation 2 4 2 2 3 2 3" xfId="15826" xr:uid="{B69E5845-9C3E-4974-97F3-3C14496620A8}"/>
    <cellStyle name="Calculation 2 4 2 2 3 2 4" xfId="22492" xr:uid="{2C8FBE3B-09F6-4DE2-AAE1-422DE8BD6BD7}"/>
    <cellStyle name="Calculation 2 4 2 2 3 3" xfId="4910" xr:uid="{ED6A9B95-90A9-4A3B-A894-D81B0CB8C6BD}"/>
    <cellStyle name="Calculation 2 4 2 2 3 3 2" xfId="10765" xr:uid="{3277BBCF-6E40-4E6B-B98F-707E5E04A8B9}"/>
    <cellStyle name="Calculation 2 4 2 2 3 3 2 2" xfId="19811" xr:uid="{7EDEFAED-0F43-45D9-9355-F67EC487C291}"/>
    <cellStyle name="Calculation 2 4 2 2 3 3 3" xfId="16325" xr:uid="{60177486-654B-4CA2-A4FF-A63062B4DD19}"/>
    <cellStyle name="Calculation 2 4 2 2 3 3 4" xfId="22987" xr:uid="{73A5D350-8BA5-4343-A03C-640A7BF7E99F}"/>
    <cellStyle name="Calculation 2 4 2 2 3 4" xfId="5525" xr:uid="{B8FF3B18-3AE0-4412-A645-77AB4E010360}"/>
    <cellStyle name="Calculation 2 4 2 2 3 4 2" xfId="11378" xr:uid="{DCDF8703-2192-4111-8552-51D3D60F40C0}"/>
    <cellStyle name="Calculation 2 4 2 2 3 4 2 2" xfId="20424" xr:uid="{FC394A4D-31F9-4801-A3BC-E250425BA37B}"/>
    <cellStyle name="Calculation 2 4 2 2 3 4 3" xfId="16938" xr:uid="{283E047F-31EF-4DE1-9612-25D3275E132E}"/>
    <cellStyle name="Calculation 2 4 2 2 3 5" xfId="6136" xr:uid="{9CB0445C-BCDC-4161-A3C1-410A09924028}"/>
    <cellStyle name="Calculation 2 4 2 2 3 5 2" xfId="11985" xr:uid="{7C009B5E-6DBC-4089-9634-61610A3F0A82}"/>
    <cellStyle name="Calculation 2 4 2 2 3 5 2 2" xfId="21031" xr:uid="{F501FF12-8FD0-4CA6-9898-A06B4286012F}"/>
    <cellStyle name="Calculation 2 4 2 2 3 5 3" xfId="17549" xr:uid="{04668AC9-C5E8-4A05-8293-8FBA391DA714}"/>
    <cellStyle name="Calculation 2 4 2 2 3 6" xfId="9399" xr:uid="{56AD7348-9BF5-4995-9B83-880183E0CEF7}"/>
    <cellStyle name="Calculation 2 4 2 2 3 6 2" xfId="18445" xr:uid="{D7E1C6D6-592A-494F-B8FD-091BB0D54C28}"/>
    <cellStyle name="Calculation 2 4 2 2 3 7" xfId="12795" xr:uid="{C84C37A9-C7B0-494B-99F8-E3EFA0745B13}"/>
    <cellStyle name="Calculation 2 4 2 2 3 8" xfId="13355" xr:uid="{98B071DF-A259-47C0-A1F5-179947A91135}"/>
    <cellStyle name="Calculation 2 4 2 2 3 9" xfId="13991" xr:uid="{E1C949C3-2C83-4F39-96A0-26246454C8D6}"/>
    <cellStyle name="Calculation 2 4 2 2 4" xfId="4006" xr:uid="{12C74C2B-395A-4F3A-AC9B-0F7A101DB911}"/>
    <cellStyle name="Calculation 2 4 2 2 4 2" xfId="9868" xr:uid="{41C6FCD0-B925-4BD9-84F9-1E5CC34DBCC5}"/>
    <cellStyle name="Calculation 2 4 2 2 4 2 2" xfId="18914" xr:uid="{649B4339-8747-4FA4-9646-1E8D19E5221D}"/>
    <cellStyle name="Calculation 2 4 2 2 4 3" xfId="15430" xr:uid="{BC63BECC-222C-431B-91CE-40EA55FF3511}"/>
    <cellStyle name="Calculation 2 4 2 2 4 4" xfId="22381" xr:uid="{8878CC16-B552-40FB-9A2C-E1D0449DABEC}"/>
    <cellStyle name="Calculation 2 4 2 2 5" xfId="4278" xr:uid="{3DEECA5D-BE0C-4B23-A493-3F6CAFF5B975}"/>
    <cellStyle name="Calculation 2 4 2 2 5 2" xfId="10135" xr:uid="{D4E3CFA4-CC5C-49A6-9F13-C4E4975484B3}"/>
    <cellStyle name="Calculation 2 4 2 2 5 2 2" xfId="19181" xr:uid="{864F03C4-2D53-42DD-A7E2-960986880052}"/>
    <cellStyle name="Calculation 2 4 2 2 5 3" xfId="15695" xr:uid="{A9C58EED-5260-4810-B9E4-95151D91641E}"/>
    <cellStyle name="Calculation 2 4 2 2 6" xfId="5310" xr:uid="{7CB288B3-8369-4916-ABB7-6B534982A66E}"/>
    <cellStyle name="Calculation 2 4 2 2 6 2" xfId="11163" xr:uid="{383ACABF-176B-4A1A-B72D-6315BDE38344}"/>
    <cellStyle name="Calculation 2 4 2 2 6 2 2" xfId="20209" xr:uid="{CCD3A863-BD7E-4DF5-A764-6D0B6ED4C80B}"/>
    <cellStyle name="Calculation 2 4 2 2 6 3" xfId="16723" xr:uid="{76FE284B-4ECF-425A-9DA4-99A1CAAAEFE9}"/>
    <cellStyle name="Calculation 2 4 2 2 7" xfId="5921" xr:uid="{B5D5215B-0016-40D7-BBD3-814D6F03884F}"/>
    <cellStyle name="Calculation 2 4 2 2 7 2" xfId="11774" xr:uid="{F33F5216-BDE1-4570-A497-232892B1113D}"/>
    <cellStyle name="Calculation 2 4 2 2 7 2 2" xfId="20820" xr:uid="{0F51B24D-CF3A-4FC2-9014-35DF7AB2368D}"/>
    <cellStyle name="Calculation 2 4 2 2 7 3" xfId="17334" xr:uid="{9747F370-899E-4311-A2DE-A81896E09908}"/>
    <cellStyle name="Calculation 2 4 2 2 8" xfId="9184" xr:uid="{42F817A3-F457-4AEA-8697-57F0669FB92F}"/>
    <cellStyle name="Calculation 2 4 2 2 8 2" xfId="18230" xr:uid="{7BA724F2-4D06-4331-A947-F329E4EFAC7E}"/>
    <cellStyle name="Calculation 2 4 2 2 9" xfId="12582" xr:uid="{0A528728-E6F4-4EBD-A0BB-58754520F423}"/>
    <cellStyle name="Calculation 2 4 2 3" xfId="2821" xr:uid="{EF755179-DF8A-4AA4-A068-218864B77567}"/>
    <cellStyle name="Calculation 2 4 2 3 10" xfId="15129" xr:uid="{C0318499-2D77-453F-A995-D2323CC22376}"/>
    <cellStyle name="Calculation 2 4 2 3 11" xfId="21998" xr:uid="{029FE137-1977-470E-A358-1AC396DB0FCA}"/>
    <cellStyle name="Calculation 2 4 2 3 12" xfId="3349" xr:uid="{FC20833E-1EAA-499D-9887-100FAFF3CD61}"/>
    <cellStyle name="Calculation 2 4 2 3 2" xfId="4572" xr:uid="{E5903122-5D0D-4FA8-AEBB-81240B20EC5D}"/>
    <cellStyle name="Calculation 2 4 2 3 2 2" xfId="10429" xr:uid="{46492209-2E0A-4A21-BC64-89CAE432B4E1}"/>
    <cellStyle name="Calculation 2 4 2 3 2 2 2" xfId="19475" xr:uid="{D8990CDB-00E2-4191-BB48-353AFDCE4268}"/>
    <cellStyle name="Calculation 2 4 2 3 2 3" xfId="15989" xr:uid="{27B5D640-5A3D-4678-9E84-40041AFE4D3B}"/>
    <cellStyle name="Calculation 2 4 2 3 2 4" xfId="22654" xr:uid="{0329645F-350D-460D-B906-E1E144B24EA4}"/>
    <cellStyle name="Calculation 2 4 2 3 3" xfId="5073" xr:uid="{ADB5813C-C086-46AB-8CFB-3D583E389C45}"/>
    <cellStyle name="Calculation 2 4 2 3 3 2" xfId="10926" xr:uid="{4429AE79-13B0-4E3A-A9C8-98ACE257E68F}"/>
    <cellStyle name="Calculation 2 4 2 3 3 2 2" xfId="19972" xr:uid="{2F0CCADE-DCF0-47D5-A949-5E31DF9B14F6}"/>
    <cellStyle name="Calculation 2 4 2 3 3 3" xfId="16486" xr:uid="{211F6E84-A3D0-4379-8E60-D3D62B56B641}"/>
    <cellStyle name="Calculation 2 4 2 3 3 4" xfId="23149" xr:uid="{3E985275-2CA9-41DC-AB27-52CC4286C96D}"/>
    <cellStyle name="Calculation 2 4 2 3 4" xfId="5688" xr:uid="{AD05FAD7-2A0E-4975-AAAC-B58CF1AC172C}"/>
    <cellStyle name="Calculation 2 4 2 3 4 2" xfId="11541" xr:uid="{67048582-F79A-423E-9A0D-A4D2E425FABE}"/>
    <cellStyle name="Calculation 2 4 2 3 4 2 2" xfId="20587" xr:uid="{C2FA5E9E-6036-4D91-89E5-5BA09EE73632}"/>
    <cellStyle name="Calculation 2 4 2 3 4 3" xfId="17101" xr:uid="{7057FCF1-E303-4826-B3C3-15AB570FAAFA}"/>
    <cellStyle name="Calculation 2 4 2 3 5" xfId="6299" xr:uid="{DD1CD754-FEEC-4D9B-9311-FD9DE7AB25B2}"/>
    <cellStyle name="Calculation 2 4 2 3 5 2" xfId="12146" xr:uid="{83C12767-7476-496C-B8A7-902417F31B36}"/>
    <cellStyle name="Calculation 2 4 2 3 5 2 2" xfId="21192" xr:uid="{C8AF3F1F-39AA-4979-8518-CA2C8595108D}"/>
    <cellStyle name="Calculation 2 4 2 3 5 3" xfId="17712" xr:uid="{935F9F7C-C49C-4279-9BFC-D9ECCF5C9BAB}"/>
    <cellStyle name="Calculation 2 4 2 3 6" xfId="9560" xr:uid="{FDA8D584-F448-487C-A5B5-E11AC59E2B6C}"/>
    <cellStyle name="Calculation 2 4 2 3 6 2" xfId="18606" xr:uid="{BBC0A24A-AB07-4E41-A05F-B5B366605123}"/>
    <cellStyle name="Calculation 2 4 2 3 7" xfId="12958" xr:uid="{73A2E9C3-43FE-40C2-8F17-A47B9C7B8386}"/>
    <cellStyle name="Calculation 2 4 2 3 8" xfId="13515" xr:uid="{D7877B76-4E47-44EF-817E-98BF741E054B}"/>
    <cellStyle name="Calculation 2 4 2 3 9" xfId="14154" xr:uid="{587EE0B8-743E-4323-8E09-0B9F494E9A84}"/>
    <cellStyle name="Calculation 2 4 2 4" xfId="2791" xr:uid="{0A873618-4831-4B1E-9557-4F241657854C}"/>
    <cellStyle name="Calculation 2 4 2 4 10" xfId="14917" xr:uid="{9D5CD649-ECC2-44B0-B929-1C5ED2984F90}"/>
    <cellStyle name="Calculation 2 4 2 4 11" xfId="21785" xr:uid="{9D4F76B1-B972-4F53-97AE-7B17C01145C0}"/>
    <cellStyle name="Calculation 2 4 2 4 12" xfId="3137" xr:uid="{43FBB62C-0510-416A-9E2E-73413E4A8A0E}"/>
    <cellStyle name="Calculation 2 4 2 4 2" xfId="4358" xr:uid="{BF83593E-0B27-4BA7-96ED-7B289B638BFA}"/>
    <cellStyle name="Calculation 2 4 2 4 2 2" xfId="10215" xr:uid="{5CDA4CE1-21B6-4BDC-BDEB-C9D8E32B28E0}"/>
    <cellStyle name="Calculation 2 4 2 4 2 2 2" xfId="19261" xr:uid="{F32762A3-6DB6-4769-AFB2-9FECA5321570}"/>
    <cellStyle name="Calculation 2 4 2 4 2 3" xfId="15775" xr:uid="{54331217-1C2C-4508-A136-977FA31227B4}"/>
    <cellStyle name="Calculation 2 4 2 4 2 4" xfId="22441" xr:uid="{C716198F-CA6C-4924-91DB-402358979DD8}"/>
    <cellStyle name="Calculation 2 4 2 4 3" xfId="4859" xr:uid="{FF328B39-33EA-4639-ADBE-25E147D5036D}"/>
    <cellStyle name="Calculation 2 4 2 4 3 2" xfId="10714" xr:uid="{D50DA5BC-0FDD-4828-9A5E-460FBB787C0B}"/>
    <cellStyle name="Calculation 2 4 2 4 3 2 2" xfId="19760" xr:uid="{628E5C67-C9E0-4E70-9A08-4F189988812E}"/>
    <cellStyle name="Calculation 2 4 2 4 3 3" xfId="16274" xr:uid="{A2FC8272-7FB0-4267-AFB4-CA9DF5F6D740}"/>
    <cellStyle name="Calculation 2 4 2 4 3 4" xfId="22936" xr:uid="{7DDDEE16-1542-4407-9EB3-295C2C91649B}"/>
    <cellStyle name="Calculation 2 4 2 4 4" xfId="5474" xr:uid="{AF8B07C5-D18F-46FD-B861-B2BCD73481C3}"/>
    <cellStyle name="Calculation 2 4 2 4 4 2" xfId="11327" xr:uid="{3C48E826-51D9-4608-889A-5E8FFC6BA29C}"/>
    <cellStyle name="Calculation 2 4 2 4 4 2 2" xfId="20373" xr:uid="{AE1CA323-9045-4E99-B245-4912BCA83A81}"/>
    <cellStyle name="Calculation 2 4 2 4 4 3" xfId="16887" xr:uid="{694AC30C-1F3B-4AB2-9E39-FD90E8435993}"/>
    <cellStyle name="Calculation 2 4 2 4 5" xfId="6085" xr:uid="{CC73BFF1-A36F-435A-9F24-21237913668E}"/>
    <cellStyle name="Calculation 2 4 2 4 5 2" xfId="11934" xr:uid="{6C467FC1-92C6-4D6A-8AE7-CE07C1078390}"/>
    <cellStyle name="Calculation 2 4 2 4 5 2 2" xfId="20980" xr:uid="{D243881F-14C9-4F5E-9EED-1A57E989F41C}"/>
    <cellStyle name="Calculation 2 4 2 4 5 3" xfId="17498" xr:uid="{DFDC64AC-3686-4310-A762-EF8C36E1A6C8}"/>
    <cellStyle name="Calculation 2 4 2 4 6" xfId="9348" xr:uid="{F7EC83F7-B196-40C8-A462-B0546ADE76FA}"/>
    <cellStyle name="Calculation 2 4 2 4 6 2" xfId="18394" xr:uid="{5D739E00-0CB0-495C-83F1-5893952E0110}"/>
    <cellStyle name="Calculation 2 4 2 4 7" xfId="12744" xr:uid="{ADF8C246-08F4-4A41-A3BD-80012201090C}"/>
    <cellStyle name="Calculation 2 4 2 4 8" xfId="13304" xr:uid="{17DF00D7-BDAF-4D7A-93BA-905A36292A7D}"/>
    <cellStyle name="Calculation 2 4 2 4 9" xfId="13940" xr:uid="{27EA5F46-6CEA-4EFB-9C52-ABAE0060E5B9}"/>
    <cellStyle name="Calculation 2 4 2 5" xfId="3738" xr:uid="{8B66DD60-2A77-48EE-945D-81A06652999B}"/>
    <cellStyle name="Calculation 2 4 2 5 2" xfId="9780" xr:uid="{EB263CF8-88BD-44C5-8E75-7FE65D6C5AB8}"/>
    <cellStyle name="Calculation 2 4 2 5 2 2" xfId="18826" xr:uid="{777E7AAB-1B9B-49AC-8CB0-02D9245704FA}"/>
    <cellStyle name="Calculation 2 4 2 5 3" xfId="15346" xr:uid="{A858E2D0-3E0A-4B02-9830-63CC9474DDC1}"/>
    <cellStyle name="Calculation 2 4 2 5 4" xfId="22325" xr:uid="{797AA62D-9C3C-45AD-B8D9-C5DB755B6167}"/>
    <cellStyle name="Calculation 2 4 2 6" xfId="4222" xr:uid="{33B1D7AF-B3A9-4A88-8488-C5BF004FBA1A}"/>
    <cellStyle name="Calculation 2 4 2 6 2" xfId="10079" xr:uid="{655EAA46-D0F4-47E2-8029-DB296F64FB68}"/>
    <cellStyle name="Calculation 2 4 2 6 2 2" xfId="19125" xr:uid="{D725A8AD-F21C-4074-B736-FFACC16F2C0C}"/>
    <cellStyle name="Calculation 2 4 2 6 3" xfId="15639" xr:uid="{B7DEF098-3BD0-4D1D-BC4F-281003FF035A}"/>
    <cellStyle name="Calculation 2 4 2 6 4" xfId="22402" xr:uid="{FDFF75B5-53FD-46F0-A955-A605919C5AAE}"/>
    <cellStyle name="Calculation 2 4 2 7" xfId="4293" xr:uid="{DB1E01AC-DDFB-426B-99FB-0357AAF094C0}"/>
    <cellStyle name="Calculation 2 4 2 7 2" xfId="10150" xr:uid="{A4884BC3-D8FD-4EA1-AB6E-BDF6262D161D}"/>
    <cellStyle name="Calculation 2 4 2 7 2 2" xfId="19196" xr:uid="{298E0AF6-9C26-41C2-9020-0003421CA014}"/>
    <cellStyle name="Calculation 2 4 2 7 3" xfId="15710" xr:uid="{823DC9CE-505D-4904-8826-87B12208D540}"/>
    <cellStyle name="Calculation 2 4 2 8" xfId="5259" xr:uid="{6DD750C4-B584-466C-8834-2E5A6B2DE687}"/>
    <cellStyle name="Calculation 2 4 2 8 2" xfId="11112" xr:uid="{5867AF16-4E24-43ED-8D30-AF7970D65C7A}"/>
    <cellStyle name="Calculation 2 4 2 8 2 2" xfId="20158" xr:uid="{DFF428AD-14CF-480C-8D38-F57640AC98DF}"/>
    <cellStyle name="Calculation 2 4 2 8 3" xfId="16672" xr:uid="{FD01F038-06A9-4AE4-A9B5-0A68CCF3BD90}"/>
    <cellStyle name="Calculation 2 4 2 9" xfId="5870" xr:uid="{E64A6401-1187-4BAD-9F73-743E3A65B168}"/>
    <cellStyle name="Calculation 2 4 2 9 2" xfId="11723" xr:uid="{103B0D00-DF56-49B2-AEBC-5EEC0B496191}"/>
    <cellStyle name="Calculation 2 4 2 9 2 2" xfId="20769" xr:uid="{B881B8E1-FAA7-4634-B4CA-EC0411658DD7}"/>
    <cellStyle name="Calculation 2 4 2 9 3" xfId="17283" xr:uid="{068CAD33-A003-41E2-B987-5C4903700DB1}"/>
    <cellStyle name="Calculation 2 4 3" xfId="2282" xr:uid="{8F635B40-D266-46B3-AC69-019A5A700071}"/>
    <cellStyle name="Calculation 2 4 3 10" xfId="9134" xr:uid="{04A84C42-CA00-4F9B-BF1E-E30BF1D3F6E8}"/>
    <cellStyle name="Calculation 2 4 3 10 2" xfId="18180" xr:uid="{4E5C9CC6-20D1-4943-A33A-D53A04FDB383}"/>
    <cellStyle name="Calculation 2 4 3 11" xfId="12532" xr:uid="{19028833-000C-419D-9D66-D5285BAD96E1}"/>
    <cellStyle name="Calculation 2 4 3 12" xfId="13726" xr:uid="{DB4CE73F-59AB-4F5F-90A2-3CAEAC69E47A}"/>
    <cellStyle name="Calculation 2 4 3 13" xfId="14703" xr:uid="{0ED8260D-526B-49C3-97B5-F0C5A56D9137}"/>
    <cellStyle name="Calculation 2 4 3 14" xfId="21575" xr:uid="{69FBE22E-11B6-461F-8829-1FCD536165A5}"/>
    <cellStyle name="Calculation 2 4 3 15" xfId="23736" xr:uid="{8DA77E7F-8E61-4448-B7BF-DB225CD6F59C}"/>
    <cellStyle name="Calculation 2 4 3 2" xfId="2283" xr:uid="{1B602AE6-8B3B-463B-9C4E-E64E085106DB}"/>
    <cellStyle name="Calculation 2 4 3 2 10" xfId="13145" xr:uid="{655276AC-4F9F-4260-937C-2C72E9C15247}"/>
    <cellStyle name="Calculation 2 4 3 2 11" xfId="13777" xr:uid="{87441F93-1956-4EDA-AA95-1D196A0AA001}"/>
    <cellStyle name="Calculation 2 4 3 2 12" xfId="14754" xr:uid="{88E1170F-1CBA-41D7-8228-4E6952C68CF8}"/>
    <cellStyle name="Calculation 2 4 3 2 13" xfId="21624" xr:uid="{A28F34BA-9AE6-4671-BBD1-3571BC13EE66}"/>
    <cellStyle name="Calculation 2 4 3 2 2" xfId="2818" xr:uid="{5CEB76C3-43DD-4F0E-90E6-EDF605312223}"/>
    <cellStyle name="Calculation 2 4 3 2 2 10" xfId="15181" xr:uid="{9487FCEA-07F9-42D4-8159-4694A70834D3}"/>
    <cellStyle name="Calculation 2 4 3 2 2 11" xfId="22050" xr:uid="{E8DC7F13-EE45-4981-8933-A0FFC959D8E1}"/>
    <cellStyle name="Calculation 2 4 3 2 2 12" xfId="3401" xr:uid="{0712E646-EC22-47AC-9C15-909264B68848}"/>
    <cellStyle name="Calculation 2 4 3 2 2 2" xfId="4624" xr:uid="{D0FB0472-5937-4828-A776-1EDBE734FA98}"/>
    <cellStyle name="Calculation 2 4 3 2 2 2 2" xfId="10481" xr:uid="{25DBE8D4-D3F1-45B5-8B82-B4249E3E7959}"/>
    <cellStyle name="Calculation 2 4 3 2 2 2 2 2" xfId="19527" xr:uid="{87166F1D-587A-4561-B285-40DFD68E414D}"/>
    <cellStyle name="Calculation 2 4 3 2 2 2 3" xfId="16041" xr:uid="{93C719FE-F162-4AED-9676-A5283A815E70}"/>
    <cellStyle name="Calculation 2 4 3 2 2 2 4" xfId="22706" xr:uid="{1BEABB50-F588-4ED1-98D8-5E3FC86033AC}"/>
    <cellStyle name="Calculation 2 4 3 2 2 3" xfId="5125" xr:uid="{24710BA5-0C01-4312-B349-84D8238CC40B}"/>
    <cellStyle name="Calculation 2 4 3 2 2 3 2" xfId="10978" xr:uid="{A89196D8-3731-40E8-8249-F62438CFE679}"/>
    <cellStyle name="Calculation 2 4 3 2 2 3 2 2" xfId="20024" xr:uid="{FF897E38-1BC6-4B2E-BCD4-A8AC4C16679D}"/>
    <cellStyle name="Calculation 2 4 3 2 2 3 3" xfId="16538" xr:uid="{7B926043-1818-4C05-9038-FDC4A17DCC9B}"/>
    <cellStyle name="Calculation 2 4 3 2 2 3 4" xfId="23201" xr:uid="{B7376ADB-911B-4D41-A08C-7E9232F27EA1}"/>
    <cellStyle name="Calculation 2 4 3 2 2 4" xfId="5740" xr:uid="{0BA95351-E521-45BC-9CBF-E434C87AF949}"/>
    <cellStyle name="Calculation 2 4 3 2 2 4 2" xfId="11593" xr:uid="{39388ED3-09C1-4F97-BE65-908E7320B169}"/>
    <cellStyle name="Calculation 2 4 3 2 2 4 2 2" xfId="20639" xr:uid="{12470ED4-FEB9-4871-8C8B-B9AF6B7799CB}"/>
    <cellStyle name="Calculation 2 4 3 2 2 4 3" xfId="17153" xr:uid="{56FC1AE7-1AC1-4180-81D7-C0E8E13C1FB7}"/>
    <cellStyle name="Calculation 2 4 3 2 2 5" xfId="6351" xr:uid="{807831A9-B4B2-439E-A16B-45E2709DC125}"/>
    <cellStyle name="Calculation 2 4 3 2 2 5 2" xfId="12198" xr:uid="{795A8218-CF06-476C-92E2-791974EF577B}"/>
    <cellStyle name="Calculation 2 4 3 2 2 5 2 2" xfId="21244" xr:uid="{630D32CA-E7B0-4EAD-9146-BD18AE5794EF}"/>
    <cellStyle name="Calculation 2 4 3 2 2 5 3" xfId="17764" xr:uid="{D71FD685-5BCD-4C55-B0ED-EF5F4BC17315}"/>
    <cellStyle name="Calculation 2 4 3 2 2 6" xfId="9612" xr:uid="{A61E9475-B0A7-4A34-8BEA-644C92CA36D0}"/>
    <cellStyle name="Calculation 2 4 3 2 2 6 2" xfId="18658" xr:uid="{BA471CD3-B071-42B3-87AD-4794055766D7}"/>
    <cellStyle name="Calculation 2 4 3 2 2 7" xfId="13010" xr:uid="{1352DEDB-BE4C-47F3-954D-00068A28FBAD}"/>
    <cellStyle name="Calculation 2 4 3 2 2 8" xfId="13567" xr:uid="{97BB96A3-6CB3-4B8F-9958-82097A9A1940}"/>
    <cellStyle name="Calculation 2 4 3 2 2 9" xfId="14206" xr:uid="{D4BA835C-87C5-442F-9988-D0E31422BB71}"/>
    <cellStyle name="Calculation 2 4 3 2 3" xfId="2846" xr:uid="{414E8CEC-94B1-4B0B-AAE9-542C4D4253D1}"/>
    <cellStyle name="Calculation 2 4 3 2 3 10" xfId="14969" xr:uid="{41D2A531-433C-48FD-8373-A03D666C0D8E}"/>
    <cellStyle name="Calculation 2 4 3 2 3 11" xfId="21837" xr:uid="{C7C163A3-7906-44A2-BF88-73C76CB58B52}"/>
    <cellStyle name="Calculation 2 4 3 2 3 12" xfId="3189" xr:uid="{387EF38A-C359-42D1-9773-D8670F9BE115}"/>
    <cellStyle name="Calculation 2 4 3 2 3 2" xfId="4410" xr:uid="{620B316D-CB99-4D31-A999-DA9125B511FD}"/>
    <cellStyle name="Calculation 2 4 3 2 3 2 2" xfId="10267" xr:uid="{3C5948E3-5308-4374-BFFC-7B88D2733D15}"/>
    <cellStyle name="Calculation 2 4 3 2 3 2 2 2" xfId="19313" xr:uid="{59D80134-2F44-4D5D-A247-EC259BA35285}"/>
    <cellStyle name="Calculation 2 4 3 2 3 2 3" xfId="15827" xr:uid="{9E21F3B5-D056-4CE9-9376-F3C03EDAA359}"/>
    <cellStyle name="Calculation 2 4 3 2 3 2 4" xfId="22493" xr:uid="{F9A6F71C-2D56-452D-ADE6-480DF20B4962}"/>
    <cellStyle name="Calculation 2 4 3 2 3 3" xfId="4911" xr:uid="{05934EC0-C0E8-44D9-A431-6676FED6258E}"/>
    <cellStyle name="Calculation 2 4 3 2 3 3 2" xfId="10766" xr:uid="{CD3ECA8F-409F-49D0-91D9-265D72EB0039}"/>
    <cellStyle name="Calculation 2 4 3 2 3 3 2 2" xfId="19812" xr:uid="{9167A4DF-1E6C-46E4-BF43-F4B6D4C275A5}"/>
    <cellStyle name="Calculation 2 4 3 2 3 3 3" xfId="16326" xr:uid="{51666507-D9C6-4E42-B6A4-A24F4CEEBCCD}"/>
    <cellStyle name="Calculation 2 4 3 2 3 3 4" xfId="22988" xr:uid="{4F93A94E-B515-4212-9826-31101377BD2A}"/>
    <cellStyle name="Calculation 2 4 3 2 3 4" xfId="5526" xr:uid="{332C1BA7-EAE0-496C-ABEE-F6572E0FF40A}"/>
    <cellStyle name="Calculation 2 4 3 2 3 4 2" xfId="11379" xr:uid="{5E12D32B-8B1F-40FB-875E-89CDC9DBC505}"/>
    <cellStyle name="Calculation 2 4 3 2 3 4 2 2" xfId="20425" xr:uid="{16767DB5-F81C-4D69-9873-481477824700}"/>
    <cellStyle name="Calculation 2 4 3 2 3 4 3" xfId="16939" xr:uid="{DB3EEA6A-0696-41E7-B2FB-E0985D1FD871}"/>
    <cellStyle name="Calculation 2 4 3 2 3 5" xfId="6137" xr:uid="{6CFA4D2C-1FB9-4F57-A7A3-F22E69F55895}"/>
    <cellStyle name="Calculation 2 4 3 2 3 5 2" xfId="11986" xr:uid="{FE3728EF-55C4-4C10-BD3E-9E4B87BABE57}"/>
    <cellStyle name="Calculation 2 4 3 2 3 5 2 2" xfId="21032" xr:uid="{4EEC015F-37F8-47EE-8D17-11879E3881BE}"/>
    <cellStyle name="Calculation 2 4 3 2 3 5 3" xfId="17550" xr:uid="{8FDD3646-4700-4A0A-9255-1F329A0C2D5D}"/>
    <cellStyle name="Calculation 2 4 3 2 3 6" xfId="9400" xr:uid="{32278CA2-D8BD-4F6D-9EB8-AC609FD176E3}"/>
    <cellStyle name="Calculation 2 4 3 2 3 6 2" xfId="18446" xr:uid="{18DF6515-5206-4313-93F4-826E160FBB69}"/>
    <cellStyle name="Calculation 2 4 3 2 3 7" xfId="12796" xr:uid="{E6BA4D4E-F2AE-48EE-A834-724CC516501F}"/>
    <cellStyle name="Calculation 2 4 3 2 3 8" xfId="13356" xr:uid="{1E3EDD68-D26C-4653-92EF-A4A697D7BD75}"/>
    <cellStyle name="Calculation 2 4 3 2 3 9" xfId="13992" xr:uid="{A5ACD217-52A9-4F74-ABF6-7E60665FC6DB}"/>
    <cellStyle name="Calculation 2 4 3 2 4" xfId="4007" xr:uid="{EF5D8726-C6E3-45A6-A101-1E771987D84E}"/>
    <cellStyle name="Calculation 2 4 3 2 4 2" xfId="9869" xr:uid="{793FAAB9-8277-40C0-9DC8-798622729F93}"/>
    <cellStyle name="Calculation 2 4 3 2 4 2 2" xfId="18915" xr:uid="{8DADE10F-C421-4032-A7F2-8A880FCBB9CA}"/>
    <cellStyle name="Calculation 2 4 3 2 4 3" xfId="15431" xr:uid="{705E0337-688A-4D19-BB34-BFC8DBFDAAB6}"/>
    <cellStyle name="Calculation 2 4 3 2 4 4" xfId="22380" xr:uid="{A5E43D14-AFB0-4858-B691-63D7EFD14E5E}"/>
    <cellStyle name="Calculation 2 4 3 2 5" xfId="4277" xr:uid="{A9E00B27-893A-4831-961D-15A80FCA63C8}"/>
    <cellStyle name="Calculation 2 4 3 2 5 2" xfId="10134" xr:uid="{187240D9-9CB1-49E5-A9BF-9A46663C1D46}"/>
    <cellStyle name="Calculation 2 4 3 2 5 2 2" xfId="19180" xr:uid="{41B555AB-EDCA-466C-B38E-E66595BBB359}"/>
    <cellStyle name="Calculation 2 4 3 2 5 3" xfId="15694" xr:uid="{EAC3BD56-913D-4CED-97FA-B289A956FC2D}"/>
    <cellStyle name="Calculation 2 4 3 2 6" xfId="5311" xr:uid="{6E3CBE6C-5EE1-450C-8A23-D3AC5E97216C}"/>
    <cellStyle name="Calculation 2 4 3 2 6 2" xfId="11164" xr:uid="{38B9B8D1-31AD-4EC0-A0D7-6D1A659518A4}"/>
    <cellStyle name="Calculation 2 4 3 2 6 2 2" xfId="20210" xr:uid="{0E484AF1-F406-4FF4-8B65-2B3E7C028096}"/>
    <cellStyle name="Calculation 2 4 3 2 6 3" xfId="16724" xr:uid="{8983E3DA-7647-43F4-905C-35DEBF809155}"/>
    <cellStyle name="Calculation 2 4 3 2 7" xfId="5922" xr:uid="{6784BDA9-D19F-480E-8708-41EECA1E0D7B}"/>
    <cellStyle name="Calculation 2 4 3 2 7 2" xfId="11775" xr:uid="{91445A42-27C8-49D9-86B1-8633B62B0069}"/>
    <cellStyle name="Calculation 2 4 3 2 7 2 2" xfId="20821" xr:uid="{5742EC4B-A37A-4935-B77D-58F4FD0224C7}"/>
    <cellStyle name="Calculation 2 4 3 2 7 3" xfId="17335" xr:uid="{E75998EF-CBAF-4951-A048-B5708C5E9EC8}"/>
    <cellStyle name="Calculation 2 4 3 2 8" xfId="9185" xr:uid="{9DF24F03-F0E5-40B4-859B-65D1C6F8E8BA}"/>
    <cellStyle name="Calculation 2 4 3 2 8 2" xfId="18231" xr:uid="{FC3576CD-6648-4C40-93B1-DE77D4D34F36}"/>
    <cellStyle name="Calculation 2 4 3 2 9" xfId="12583" xr:uid="{38DC68BC-8C1E-4B6D-A425-299152F56E09}"/>
    <cellStyle name="Calculation 2 4 3 3" xfId="2819" xr:uid="{832D4737-A6DA-452D-95AE-B086C18E7EEB}"/>
    <cellStyle name="Calculation 2 4 3 3 10" xfId="15130" xr:uid="{83247F85-39AC-46FE-B4A8-722146FDFDE9}"/>
    <cellStyle name="Calculation 2 4 3 3 11" xfId="21999" xr:uid="{9CAA4DD3-0D37-49C8-8EC5-BD93E44C0116}"/>
    <cellStyle name="Calculation 2 4 3 3 12" xfId="3350" xr:uid="{A7AEDF18-8D92-403B-8C24-DBD1D37ABBAC}"/>
    <cellStyle name="Calculation 2 4 3 3 2" xfId="4573" xr:uid="{4EE52DBF-8774-4D30-BB90-7ABA3945F359}"/>
    <cellStyle name="Calculation 2 4 3 3 2 2" xfId="10430" xr:uid="{4D94AC9D-2AC8-49C3-B2F9-9CB569FF82F3}"/>
    <cellStyle name="Calculation 2 4 3 3 2 2 2" xfId="19476" xr:uid="{E02F4D50-B0E0-4DFD-B63B-C2B2E32A7567}"/>
    <cellStyle name="Calculation 2 4 3 3 2 3" xfId="15990" xr:uid="{8579C496-A183-4D7D-A9BF-823A619F1C2D}"/>
    <cellStyle name="Calculation 2 4 3 3 2 4" xfId="22655" xr:uid="{33423BC8-D077-45E6-80C6-B0326AEC81BC}"/>
    <cellStyle name="Calculation 2 4 3 3 3" xfId="5074" xr:uid="{DE8AE728-AAA6-45E0-B697-C6E19908B32B}"/>
    <cellStyle name="Calculation 2 4 3 3 3 2" xfId="10927" xr:uid="{B2DCA870-F329-41D1-9F2B-3B99F8AED0A6}"/>
    <cellStyle name="Calculation 2 4 3 3 3 2 2" xfId="19973" xr:uid="{C74415FB-0D98-4A5F-AADC-E5F4BF61BF9C}"/>
    <cellStyle name="Calculation 2 4 3 3 3 3" xfId="16487" xr:uid="{43824479-99EF-41EA-9453-BF84973B5370}"/>
    <cellStyle name="Calculation 2 4 3 3 3 4" xfId="23150" xr:uid="{12A44DB7-C048-4D28-A85E-B7203C37D910}"/>
    <cellStyle name="Calculation 2 4 3 3 4" xfId="5689" xr:uid="{3CB5DCA5-0B8B-4F63-BA50-F376D9E16C49}"/>
    <cellStyle name="Calculation 2 4 3 3 4 2" xfId="11542" xr:uid="{22E79EB8-127E-4760-B619-3ADBDACA5D1A}"/>
    <cellStyle name="Calculation 2 4 3 3 4 2 2" xfId="20588" xr:uid="{0D46C0D0-59DB-4F57-80DF-387506F29078}"/>
    <cellStyle name="Calculation 2 4 3 3 4 3" xfId="17102" xr:uid="{287142EC-6381-49A2-A28D-47053DD5E9A2}"/>
    <cellStyle name="Calculation 2 4 3 3 5" xfId="6300" xr:uid="{F999B576-4B43-4363-A44D-A1B1DBFFE07D}"/>
    <cellStyle name="Calculation 2 4 3 3 5 2" xfId="12147" xr:uid="{1B8CB0ED-2ABB-44FD-B024-F9D2BFCF2C35}"/>
    <cellStyle name="Calculation 2 4 3 3 5 2 2" xfId="21193" xr:uid="{942AA66D-686A-4577-9509-3FDF626D1ACE}"/>
    <cellStyle name="Calculation 2 4 3 3 5 3" xfId="17713" xr:uid="{31DA3092-64F0-4747-9E0A-1B864A1F4752}"/>
    <cellStyle name="Calculation 2 4 3 3 6" xfId="9561" xr:uid="{0226C1B6-421C-482D-9380-938460B5A205}"/>
    <cellStyle name="Calculation 2 4 3 3 6 2" xfId="18607" xr:uid="{923F369E-6185-4840-85FB-D9ED7E44CCB0}"/>
    <cellStyle name="Calculation 2 4 3 3 7" xfId="12959" xr:uid="{9A31D420-E3C0-455E-905A-D163D955DAA7}"/>
    <cellStyle name="Calculation 2 4 3 3 8" xfId="13516" xr:uid="{BBBBCFBB-84AD-4D59-AD26-02578FFA637C}"/>
    <cellStyle name="Calculation 2 4 3 3 9" xfId="14155" xr:uid="{7B74F6F0-2155-4916-A7E6-2DD82130CFCF}"/>
    <cellStyle name="Calculation 2 4 3 4" xfId="2681" xr:uid="{505D53BE-5DD4-43AF-8225-9A205E344DF5}"/>
    <cellStyle name="Calculation 2 4 3 4 10" xfId="14918" xr:uid="{EB2EBACC-951E-4C38-A952-3980B16DFE73}"/>
    <cellStyle name="Calculation 2 4 3 4 11" xfId="21786" xr:uid="{F879F1EC-887F-48E7-9B40-B50C6C92ACC6}"/>
    <cellStyle name="Calculation 2 4 3 4 12" xfId="3138" xr:uid="{3646E1F0-821A-4B22-89C2-411DB3A74FA4}"/>
    <cellStyle name="Calculation 2 4 3 4 2" xfId="4359" xr:uid="{B6B8A3D9-42CE-4DF6-A2A5-6DF6C4BF349D}"/>
    <cellStyle name="Calculation 2 4 3 4 2 2" xfId="10216" xr:uid="{6705E156-1BC2-4AAC-9719-7309F175B82F}"/>
    <cellStyle name="Calculation 2 4 3 4 2 2 2" xfId="19262" xr:uid="{CBC1EC6B-3B7A-4B88-9555-88E614AA43D4}"/>
    <cellStyle name="Calculation 2 4 3 4 2 3" xfId="15776" xr:uid="{1C2FFE87-E559-48C4-9C03-51100DF12EFC}"/>
    <cellStyle name="Calculation 2 4 3 4 2 4" xfId="22442" xr:uid="{9F98DE6E-9D7D-4DB3-A169-748F2D51EE4C}"/>
    <cellStyle name="Calculation 2 4 3 4 3" xfId="4860" xr:uid="{7733A017-7F22-4A8A-8235-6D3BEA7092D0}"/>
    <cellStyle name="Calculation 2 4 3 4 3 2" xfId="10715" xr:uid="{16912590-949C-4D0E-9EA6-6F904B1FF59B}"/>
    <cellStyle name="Calculation 2 4 3 4 3 2 2" xfId="19761" xr:uid="{6E61B17D-66A8-4FC6-8E25-0AD626166535}"/>
    <cellStyle name="Calculation 2 4 3 4 3 3" xfId="16275" xr:uid="{53E2BFC1-0D6E-4279-81D0-8615813ADE1C}"/>
    <cellStyle name="Calculation 2 4 3 4 3 4" xfId="22937" xr:uid="{E9823B80-CF40-4F49-857B-15FF051EFD73}"/>
    <cellStyle name="Calculation 2 4 3 4 4" xfId="5475" xr:uid="{24ED9762-2EE2-4EDB-BC42-A614460C94D7}"/>
    <cellStyle name="Calculation 2 4 3 4 4 2" xfId="11328" xr:uid="{0A000F8A-B76C-41E8-9486-9676310E98F2}"/>
    <cellStyle name="Calculation 2 4 3 4 4 2 2" xfId="20374" xr:uid="{9ECA3C79-9748-4F7D-96EC-0CA689725D0C}"/>
    <cellStyle name="Calculation 2 4 3 4 4 3" xfId="16888" xr:uid="{B7E4E2D9-7DD6-40C3-A11A-9B963EB09047}"/>
    <cellStyle name="Calculation 2 4 3 4 5" xfId="6086" xr:uid="{500DEBE0-803F-425C-A3C2-F7887AD21B4B}"/>
    <cellStyle name="Calculation 2 4 3 4 5 2" xfId="11935" xr:uid="{31A20E37-980E-4B1F-8E4F-89FC874F7A73}"/>
    <cellStyle name="Calculation 2 4 3 4 5 2 2" xfId="20981" xr:uid="{A3E7FDCD-9D35-401D-866B-F769C7F622BF}"/>
    <cellStyle name="Calculation 2 4 3 4 5 3" xfId="17499" xr:uid="{DFB8B7DA-4953-4C19-996D-1AEA00325F98}"/>
    <cellStyle name="Calculation 2 4 3 4 6" xfId="9349" xr:uid="{A96F6C27-7538-4A24-A2D0-44CD1E690807}"/>
    <cellStyle name="Calculation 2 4 3 4 6 2" xfId="18395" xr:uid="{CB7DCB9C-3D2D-435C-81CF-C8CA87F9CF91}"/>
    <cellStyle name="Calculation 2 4 3 4 7" xfId="12745" xr:uid="{6AFA6C10-77B7-4C29-9BD2-FAA0F8A59E30}"/>
    <cellStyle name="Calculation 2 4 3 4 8" xfId="13305" xr:uid="{73F8E73F-2C6B-473C-B235-BAD10A0B2FA2}"/>
    <cellStyle name="Calculation 2 4 3 4 9" xfId="13941" xr:uid="{910872EA-970A-462B-8AF9-DA3A96DC6990}"/>
    <cellStyle name="Calculation 2 4 3 5" xfId="3739" xr:uid="{E8145A46-7F38-40C6-8986-CAAC540B98E2}"/>
    <cellStyle name="Calculation 2 4 3 5 2" xfId="9781" xr:uid="{3973C021-C6EB-4B39-9D9B-EC694E517110}"/>
    <cellStyle name="Calculation 2 4 3 5 2 2" xfId="18827" xr:uid="{48DC34B1-1FAA-4A98-A65A-2A62E3E5AC36}"/>
    <cellStyle name="Calculation 2 4 3 5 3" xfId="15347" xr:uid="{DCC442B0-1105-44F4-A7D6-450998710CBA}"/>
    <cellStyle name="Calculation 2 4 3 5 4" xfId="22326" xr:uid="{6958E4C2-8767-42C0-80DD-94EED04A401D}"/>
    <cellStyle name="Calculation 2 4 3 6" xfId="4223" xr:uid="{31589E4A-1F71-4A7D-8BF0-9A2049164721}"/>
    <cellStyle name="Calculation 2 4 3 6 2" xfId="10080" xr:uid="{107FA162-93E6-45D4-805E-E3C0FAED9FCF}"/>
    <cellStyle name="Calculation 2 4 3 6 2 2" xfId="19126" xr:uid="{3FD34FE2-3983-41D8-8074-14D68E57EE26}"/>
    <cellStyle name="Calculation 2 4 3 6 3" xfId="15640" xr:uid="{9E5A4443-6C6F-40E5-9D1F-319FCEF940CB}"/>
    <cellStyle name="Calculation 2 4 3 6 4" xfId="22401" xr:uid="{5DE92DD4-1D22-464D-959A-95A2FBE642B6}"/>
    <cellStyle name="Calculation 2 4 3 7" xfId="4292" xr:uid="{51E05502-0216-4775-9030-5E5D7E9285E9}"/>
    <cellStyle name="Calculation 2 4 3 7 2" xfId="10149" xr:uid="{A929B4E4-7D33-4C63-A550-515866A44354}"/>
    <cellStyle name="Calculation 2 4 3 7 2 2" xfId="19195" xr:uid="{D85AF31B-D71E-4291-9842-1D9D7DAA1E8C}"/>
    <cellStyle name="Calculation 2 4 3 7 3" xfId="15709" xr:uid="{158F7AE5-C4A0-49AF-8B7E-A19D5C6B184C}"/>
    <cellStyle name="Calculation 2 4 3 8" xfId="5260" xr:uid="{3496E112-6F05-474C-9F66-CF9872A83F43}"/>
    <cellStyle name="Calculation 2 4 3 8 2" xfId="11113" xr:uid="{9744A444-D205-4E54-BDC8-70E4943BA7E4}"/>
    <cellStyle name="Calculation 2 4 3 8 2 2" xfId="20159" xr:uid="{A8DDE225-7013-4B2B-83BD-E66B1AAF7511}"/>
    <cellStyle name="Calculation 2 4 3 8 3" xfId="16673" xr:uid="{6AD6A9F7-9840-4225-B1B3-051CD43D3201}"/>
    <cellStyle name="Calculation 2 4 3 9" xfId="5871" xr:uid="{C562E344-30D0-4D3E-AA77-11A916A3A5EE}"/>
    <cellStyle name="Calculation 2 4 3 9 2" xfId="11724" xr:uid="{B0333EDA-4DC1-4F7D-968A-87D1C6B0B631}"/>
    <cellStyle name="Calculation 2 4 3 9 2 2" xfId="20770" xr:uid="{61563A65-E11A-4FEA-9557-E4326C1F0A79}"/>
    <cellStyle name="Calculation 2 4 3 9 3" xfId="17284" xr:uid="{D04840FC-033B-4298-ADF5-84B4CEA327A3}"/>
    <cellStyle name="Calculation 2 4 4" xfId="2284" xr:uid="{625675DD-051E-437A-8640-C5DA5A9B367F}"/>
    <cellStyle name="Calculation 2 4 4 10" xfId="13146" xr:uid="{97F2010C-6704-4B98-A6D6-21C46970E49C}"/>
    <cellStyle name="Calculation 2 4 4 11" xfId="13778" xr:uid="{DA74F156-034E-45A7-8247-9D5C27D4DBFB}"/>
    <cellStyle name="Calculation 2 4 4 12" xfId="14755" xr:uid="{EE752B19-E1CA-4512-95FA-D6EC6EB2938A}"/>
    <cellStyle name="Calculation 2 4 4 13" xfId="21625" xr:uid="{A6DD5B94-BFD3-4F5E-A51A-FC4D5A609C42}"/>
    <cellStyle name="Calculation 2 4 4 2" xfId="2817" xr:uid="{CAB1707D-1BC1-4F82-B279-4D8C99A617C8}"/>
    <cellStyle name="Calculation 2 4 4 2 10" xfId="15182" xr:uid="{3CAF297B-0714-4C71-A5F1-BE7C0D003D95}"/>
    <cellStyle name="Calculation 2 4 4 2 11" xfId="22051" xr:uid="{C92250CC-C5D6-404F-ABBE-7F75B087B812}"/>
    <cellStyle name="Calculation 2 4 4 2 12" xfId="3402" xr:uid="{CA1888F2-B573-408B-A62E-0ADDCC31F6F1}"/>
    <cellStyle name="Calculation 2 4 4 2 2" xfId="4625" xr:uid="{2E221E79-8CE5-4D1B-95BD-A35561149021}"/>
    <cellStyle name="Calculation 2 4 4 2 2 2" xfId="10482" xr:uid="{CA3A33A4-7D1C-49B7-BF39-92ADAFF8E5BD}"/>
    <cellStyle name="Calculation 2 4 4 2 2 2 2" xfId="19528" xr:uid="{71943A37-5A5C-4B47-AB3E-A66E7632547B}"/>
    <cellStyle name="Calculation 2 4 4 2 2 3" xfId="16042" xr:uid="{FF9F0737-2ADE-4498-B807-BCD54C7EE1CA}"/>
    <cellStyle name="Calculation 2 4 4 2 2 4" xfId="22707" xr:uid="{1F03D02D-8A7D-4FFF-A68E-07DAFA867B3A}"/>
    <cellStyle name="Calculation 2 4 4 2 3" xfId="5126" xr:uid="{ECDF66EE-47BB-4FCD-B84F-5DB4CBEC0F86}"/>
    <cellStyle name="Calculation 2 4 4 2 3 2" xfId="10979" xr:uid="{AD2A817B-9609-4F96-92E8-A97992CC7633}"/>
    <cellStyle name="Calculation 2 4 4 2 3 2 2" xfId="20025" xr:uid="{D7DFB650-6ACC-4C6F-9BFF-73631E16C99E}"/>
    <cellStyle name="Calculation 2 4 4 2 3 3" xfId="16539" xr:uid="{08483277-9123-49A2-8631-7680FCBE5139}"/>
    <cellStyle name="Calculation 2 4 4 2 3 4" xfId="23202" xr:uid="{E6E4DFBC-A0FE-48C7-92D1-EE14EE60634E}"/>
    <cellStyle name="Calculation 2 4 4 2 4" xfId="5741" xr:uid="{04F61B46-D48B-49EA-8D51-5A977335A09D}"/>
    <cellStyle name="Calculation 2 4 4 2 4 2" xfId="11594" xr:uid="{A7034422-F676-4565-951C-777113FBB798}"/>
    <cellStyle name="Calculation 2 4 4 2 4 2 2" xfId="20640" xr:uid="{7D931449-0F3A-41FB-8DDB-320E8E30FC3B}"/>
    <cellStyle name="Calculation 2 4 4 2 4 3" xfId="17154" xr:uid="{915A12F5-53B9-46CA-B2A3-8E9B5A4AEFC3}"/>
    <cellStyle name="Calculation 2 4 4 2 5" xfId="6352" xr:uid="{B928C44F-119C-4C0B-9B65-698B8A42A4DC}"/>
    <cellStyle name="Calculation 2 4 4 2 5 2" xfId="12199" xr:uid="{E6E30518-B992-438A-A3DA-8C5D76C4BC86}"/>
    <cellStyle name="Calculation 2 4 4 2 5 2 2" xfId="21245" xr:uid="{9755A9A8-6D56-495B-A30C-65071A8FD516}"/>
    <cellStyle name="Calculation 2 4 4 2 5 3" xfId="17765" xr:uid="{E82B4762-92BF-4B2F-B72B-F446077D2E05}"/>
    <cellStyle name="Calculation 2 4 4 2 6" xfId="9613" xr:uid="{27901E8A-D05A-4C43-9F22-CB841E72E4AC}"/>
    <cellStyle name="Calculation 2 4 4 2 6 2" xfId="18659" xr:uid="{C3C11ED9-D2BA-4A0B-8447-C359D5E57552}"/>
    <cellStyle name="Calculation 2 4 4 2 7" xfId="13011" xr:uid="{16AFB0B7-207A-41DD-98DC-CA68C0B4309D}"/>
    <cellStyle name="Calculation 2 4 4 2 8" xfId="13568" xr:uid="{FA843532-A614-4FB9-BB2A-FE9660F0950D}"/>
    <cellStyle name="Calculation 2 4 4 2 9" xfId="14207" xr:uid="{ACD823B4-83E6-40C4-B6E8-B81988B50D14}"/>
    <cellStyle name="Calculation 2 4 4 3" xfId="2847" xr:uid="{FCEDF9F8-2482-4EC3-AA91-7FB72D6F8BE9}"/>
    <cellStyle name="Calculation 2 4 4 3 10" xfId="14970" xr:uid="{D8781461-E729-48DD-BC5D-37DC04600461}"/>
    <cellStyle name="Calculation 2 4 4 3 11" xfId="21838" xr:uid="{C2AEB7CB-3C76-4F54-91AC-455684F768FD}"/>
    <cellStyle name="Calculation 2 4 4 3 12" xfId="3190" xr:uid="{593F168F-22FD-477A-91BB-E91CB753BDBC}"/>
    <cellStyle name="Calculation 2 4 4 3 2" xfId="4411" xr:uid="{7D830410-7046-4261-8948-C9154F21B4EE}"/>
    <cellStyle name="Calculation 2 4 4 3 2 2" xfId="10268" xr:uid="{1A862E4D-9B57-4615-833B-ACABD29DBAA4}"/>
    <cellStyle name="Calculation 2 4 4 3 2 2 2" xfId="19314" xr:uid="{DC8A3F73-14D9-415B-9251-87982AE004F7}"/>
    <cellStyle name="Calculation 2 4 4 3 2 3" xfId="15828" xr:uid="{D729449B-E8E4-4E32-A324-D533378AC60B}"/>
    <cellStyle name="Calculation 2 4 4 3 2 4" xfId="22494" xr:uid="{0815240C-6031-4CBB-A864-E0986F8106E2}"/>
    <cellStyle name="Calculation 2 4 4 3 3" xfId="4912" xr:uid="{E54B8862-8169-4D53-A16B-17073BC89352}"/>
    <cellStyle name="Calculation 2 4 4 3 3 2" xfId="10767" xr:uid="{B63DFE28-5C9F-4EF8-842F-645D283386ED}"/>
    <cellStyle name="Calculation 2 4 4 3 3 2 2" xfId="19813" xr:uid="{65114DDE-74B0-4C0D-9268-923127628A29}"/>
    <cellStyle name="Calculation 2 4 4 3 3 3" xfId="16327" xr:uid="{0B70AFF5-EF87-485F-B9EB-3ADAE91CCF9C}"/>
    <cellStyle name="Calculation 2 4 4 3 3 4" xfId="22989" xr:uid="{BB0C8B9A-3586-4FEA-955A-56859D2754A2}"/>
    <cellStyle name="Calculation 2 4 4 3 4" xfId="5527" xr:uid="{412FD2A4-D802-413E-AC59-4AFCE7BD0DCC}"/>
    <cellStyle name="Calculation 2 4 4 3 4 2" xfId="11380" xr:uid="{7B7E8EC1-C42A-4B14-A693-C8B355277723}"/>
    <cellStyle name="Calculation 2 4 4 3 4 2 2" xfId="20426" xr:uid="{BA20ED2B-7322-47F6-BCA5-5EEA1DD1B0C5}"/>
    <cellStyle name="Calculation 2 4 4 3 4 3" xfId="16940" xr:uid="{52F7E307-7851-45D1-A3E0-008A9E07D5D9}"/>
    <cellStyle name="Calculation 2 4 4 3 5" xfId="6138" xr:uid="{C656E44D-5ABF-45E6-AE7C-7D470A5F44C0}"/>
    <cellStyle name="Calculation 2 4 4 3 5 2" xfId="11987" xr:uid="{0BD66FDF-0766-41DA-90A3-72104965C013}"/>
    <cellStyle name="Calculation 2 4 4 3 5 2 2" xfId="21033" xr:uid="{987BEBA7-3DC0-414B-A55E-75D06F59D97C}"/>
    <cellStyle name="Calculation 2 4 4 3 5 3" xfId="17551" xr:uid="{FB4E2E7D-E75D-4A91-9E13-F6AA10E6871D}"/>
    <cellStyle name="Calculation 2 4 4 3 6" xfId="9401" xr:uid="{E5601020-7CD9-411A-90A0-7DF107591075}"/>
    <cellStyle name="Calculation 2 4 4 3 6 2" xfId="18447" xr:uid="{C6B33B82-2EA8-4253-9505-D46D889B70C2}"/>
    <cellStyle name="Calculation 2 4 4 3 7" xfId="12797" xr:uid="{740210B2-4B83-449A-B4BE-A64196A45217}"/>
    <cellStyle name="Calculation 2 4 4 3 8" xfId="13357" xr:uid="{336571F1-D755-4342-BF4B-9A35E2009B28}"/>
    <cellStyle name="Calculation 2 4 4 3 9" xfId="13993" xr:uid="{479EC01D-C8DD-4BEE-9146-B28911D3F4F1}"/>
    <cellStyle name="Calculation 2 4 4 4" xfId="3979" xr:uid="{7821655C-DBA1-4629-A06F-B3C0E6F8A9F6}"/>
    <cellStyle name="Calculation 2 4 4 4 2" xfId="9841" xr:uid="{80B2053D-EDE6-4A71-8BC9-412A840A1742}"/>
    <cellStyle name="Calculation 2 4 4 4 2 2" xfId="18887" xr:uid="{499D80D1-C837-4505-AF08-7400B4CF8501}"/>
    <cellStyle name="Calculation 2 4 4 4 3" xfId="15403" xr:uid="{ACB168C7-6DB7-415F-9D29-9DEC30919F2F}"/>
    <cellStyle name="Calculation 2 4 4 4 4" xfId="22379" xr:uid="{8AF4E943-CD91-410E-BB7A-5BD2ED9C3559}"/>
    <cellStyle name="Calculation 2 4 4 5" xfId="4276" xr:uid="{07236859-63BC-4992-9294-B98366FCD0EB}"/>
    <cellStyle name="Calculation 2 4 4 5 2" xfId="10133" xr:uid="{31203970-11EA-4288-A9E1-80667E0834E9}"/>
    <cellStyle name="Calculation 2 4 4 5 2 2" xfId="19179" xr:uid="{9CA1A8EB-CDA5-4BE0-A492-58788B595B7C}"/>
    <cellStyle name="Calculation 2 4 4 5 3" xfId="15693" xr:uid="{A21B2311-ED07-4C00-B7A9-3CC7F918B2FE}"/>
    <cellStyle name="Calculation 2 4 4 6" xfId="5312" xr:uid="{EE7901EC-0C91-408C-9E0F-EA741DBD1740}"/>
    <cellStyle name="Calculation 2 4 4 6 2" xfId="11165" xr:uid="{F3E92CEC-178C-4A04-A6BD-8A843ECB29CD}"/>
    <cellStyle name="Calculation 2 4 4 6 2 2" xfId="20211" xr:uid="{21E84286-3F75-43D1-9FEA-425CF4334A0A}"/>
    <cellStyle name="Calculation 2 4 4 6 3" xfId="16725" xr:uid="{E511B3AE-0B92-4A1F-9694-D8456F007C11}"/>
    <cellStyle name="Calculation 2 4 4 7" xfId="5923" xr:uid="{9690252F-702F-485A-B1D1-4FF1BA89E132}"/>
    <cellStyle name="Calculation 2 4 4 7 2" xfId="11776" xr:uid="{77C2C783-507E-47B0-8C74-E50766F35A86}"/>
    <cellStyle name="Calculation 2 4 4 7 2 2" xfId="20822" xr:uid="{E0DE7433-ED20-46BC-8BB8-404B1FF8A037}"/>
    <cellStyle name="Calculation 2 4 4 7 3" xfId="17336" xr:uid="{39C89E7C-F62C-47DA-92C1-95915C91452D}"/>
    <cellStyle name="Calculation 2 4 4 8" xfId="9186" xr:uid="{069DC6F9-DDD3-490A-90A4-7BDB1EEA2C8A}"/>
    <cellStyle name="Calculation 2 4 4 8 2" xfId="18232" xr:uid="{7967B792-1E92-4B42-850E-91F9BE6F3825}"/>
    <cellStyle name="Calculation 2 4 4 9" xfId="12584" xr:uid="{A9DA5FB7-8AAB-41CE-868A-A0880E3B01F6}"/>
    <cellStyle name="Calculation 2 4 5" xfId="2822" xr:uid="{93FE13B4-1B2A-4461-BDCA-EC55D4734F6D}"/>
    <cellStyle name="Calculation 2 4 5 10" xfId="15104" xr:uid="{2C77FBF8-79E3-4C69-B881-5A75946062C8}"/>
    <cellStyle name="Calculation 2 4 5 11" xfId="21973" xr:uid="{1004B7E3-A7B6-4981-869F-A2707742AD02}"/>
    <cellStyle name="Calculation 2 4 5 12" xfId="3324" xr:uid="{1B6125B7-E6FA-43AC-AF32-5D949150E90E}"/>
    <cellStyle name="Calculation 2 4 5 2" xfId="4547" xr:uid="{E6C65256-B998-4C9B-A88F-36EF465C8F6E}"/>
    <cellStyle name="Calculation 2 4 5 2 2" xfId="10404" xr:uid="{03548628-6093-43B6-A74B-AE909CD09B40}"/>
    <cellStyle name="Calculation 2 4 5 2 2 2" xfId="19450" xr:uid="{85D93568-DB76-4455-9FE5-BEF382FC5C94}"/>
    <cellStyle name="Calculation 2 4 5 2 3" xfId="15964" xr:uid="{96DE1B2F-AC87-49FE-81F3-529B2AEF62DB}"/>
    <cellStyle name="Calculation 2 4 5 2 4" xfId="22629" xr:uid="{CE8DB0AF-4ADF-4630-B906-417533A2E856}"/>
    <cellStyle name="Calculation 2 4 5 3" xfId="5048" xr:uid="{2BA8BC72-B5D3-425B-99AC-51FD910EAA52}"/>
    <cellStyle name="Calculation 2 4 5 3 2" xfId="10901" xr:uid="{B30FF762-1591-4EA3-BFF7-52630FB13102}"/>
    <cellStyle name="Calculation 2 4 5 3 2 2" xfId="19947" xr:uid="{89B6D734-4271-481A-887D-9834B6733BB3}"/>
    <cellStyle name="Calculation 2 4 5 3 3" xfId="16461" xr:uid="{AE046AB8-59F4-448E-AEAA-C3B1CAA79FA0}"/>
    <cellStyle name="Calculation 2 4 5 3 4" xfId="23124" xr:uid="{1B7453A2-762C-4EE4-8A60-8F3D4FB44423}"/>
    <cellStyle name="Calculation 2 4 5 4" xfId="5663" xr:uid="{156F291C-F599-4120-949E-971877F4374F}"/>
    <cellStyle name="Calculation 2 4 5 4 2" xfId="11516" xr:uid="{7C17891E-6EC4-4390-A884-AB7F7C83300E}"/>
    <cellStyle name="Calculation 2 4 5 4 2 2" xfId="20562" xr:uid="{46C9A40F-E2FB-4D42-855F-99BA53F4F2DC}"/>
    <cellStyle name="Calculation 2 4 5 4 3" xfId="17076" xr:uid="{5487FA10-3F84-4388-B0E8-AD731873FF2F}"/>
    <cellStyle name="Calculation 2 4 5 5" xfId="6274" xr:uid="{CBC3AE44-776B-43B8-88CE-FCB742BD12D4}"/>
    <cellStyle name="Calculation 2 4 5 5 2" xfId="12121" xr:uid="{ECE8D2D5-6950-44A3-A6A0-68F9429E98B2}"/>
    <cellStyle name="Calculation 2 4 5 5 2 2" xfId="21167" xr:uid="{F013214D-26F5-4C7E-ADE9-20B142D39B87}"/>
    <cellStyle name="Calculation 2 4 5 5 3" xfId="17687" xr:uid="{B7183F2E-B833-427D-8A40-42690A13BA1E}"/>
    <cellStyle name="Calculation 2 4 5 6" xfId="9535" xr:uid="{948A2439-6AC8-4480-B685-A35862374C38}"/>
    <cellStyle name="Calculation 2 4 5 6 2" xfId="18581" xr:uid="{7017E9BE-461E-4547-AFF8-20FED6CF31CA}"/>
    <cellStyle name="Calculation 2 4 5 7" xfId="12933" xr:uid="{9FB8F879-A73E-42D3-9AA1-3AE67FC8BC0C}"/>
    <cellStyle name="Calculation 2 4 5 8" xfId="13490" xr:uid="{124B681D-23B0-4AAC-AFBE-DEF4CC8B0BF0}"/>
    <cellStyle name="Calculation 2 4 5 9" xfId="14129" xr:uid="{534AEDFB-EBAE-4A2B-8C42-CCC93C8B3891}"/>
    <cellStyle name="Calculation 2 4 6" xfId="2544" xr:uid="{D6857B8F-24F1-41DA-892C-2E9FC25BAD47}"/>
    <cellStyle name="Calculation 2 4 6 10" xfId="14892" xr:uid="{13C8AFC4-954F-4578-818C-C71E458D46A0}"/>
    <cellStyle name="Calculation 2 4 6 11" xfId="21759" xr:uid="{2AAF34BE-58BC-4012-96F2-A0FED4781835}"/>
    <cellStyle name="Calculation 2 4 6 12" xfId="3111" xr:uid="{76E776B5-618B-45FF-8B35-BE8F64EAC260}"/>
    <cellStyle name="Calculation 2 4 6 2" xfId="4332" xr:uid="{29AA0DB0-BCB3-47B4-95E7-AC9F3DBEB42A}"/>
    <cellStyle name="Calculation 2 4 6 2 2" xfId="10189" xr:uid="{E95DDBEB-2AFF-4478-91A0-0B95A988D936}"/>
    <cellStyle name="Calculation 2 4 6 2 2 2" xfId="19235" xr:uid="{6B5CF6DA-82FF-4F89-AD0A-5718F01B7F5D}"/>
    <cellStyle name="Calculation 2 4 6 2 3" xfId="15749" xr:uid="{A98E466E-85FF-4418-99EC-0BB44737AE70}"/>
    <cellStyle name="Calculation 2 4 6 2 4" xfId="22415" xr:uid="{591B9625-0189-4F90-8BF5-8BD8D6B80CCB}"/>
    <cellStyle name="Calculation 2 4 6 3" xfId="4833" xr:uid="{0B40A466-4299-4616-A8D5-A09E53F80EDF}"/>
    <cellStyle name="Calculation 2 4 6 3 2" xfId="10689" xr:uid="{93F8B1A9-885E-479B-A75C-2F748636DEF4}"/>
    <cellStyle name="Calculation 2 4 6 3 2 2" xfId="19735" xr:uid="{A8AE9247-CA56-4767-959B-20AF5FDED400}"/>
    <cellStyle name="Calculation 2 4 6 3 3" xfId="16249" xr:uid="{51BF8F99-468C-43D6-BAE0-6BCB4A625063}"/>
    <cellStyle name="Calculation 2 4 6 3 4" xfId="22910" xr:uid="{287947B8-9E19-40D0-827F-AC0B106085A7}"/>
    <cellStyle name="Calculation 2 4 6 4" xfId="5448" xr:uid="{E12F4450-49D0-4460-8F4A-FB08879298A4}"/>
    <cellStyle name="Calculation 2 4 6 4 2" xfId="11301" xr:uid="{F485E535-D1DF-45C8-9151-1ABEEF8BB311}"/>
    <cellStyle name="Calculation 2 4 6 4 2 2" xfId="20347" xr:uid="{8B9E9466-2D51-48AD-8377-B25C57F9816D}"/>
    <cellStyle name="Calculation 2 4 6 4 3" xfId="16861" xr:uid="{AF214111-6F81-43A4-9791-FA440F22B6D4}"/>
    <cellStyle name="Calculation 2 4 6 5" xfId="6059" xr:uid="{D1AC7E86-6F4A-4430-A7F2-05B05624E9BE}"/>
    <cellStyle name="Calculation 2 4 6 5 2" xfId="11909" xr:uid="{A9AD8664-035C-4E79-9612-0EA103CE6D8B}"/>
    <cellStyle name="Calculation 2 4 6 5 2 2" xfId="20955" xr:uid="{841DBF3F-3D6C-4D0F-84B1-3F39D8D175A7}"/>
    <cellStyle name="Calculation 2 4 6 5 3" xfId="17472" xr:uid="{71438CFC-7236-4320-A425-68C704492ED5}"/>
    <cellStyle name="Calculation 2 4 6 6" xfId="9323" xr:uid="{12A121CB-A7D1-4C36-B628-8DC70898D31B}"/>
    <cellStyle name="Calculation 2 4 6 6 2" xfId="18369" xr:uid="{8BD18B79-AEE9-4A97-9F24-ABD73B4BCDB1}"/>
    <cellStyle name="Calculation 2 4 6 7" xfId="12718" xr:uid="{42D8A971-E003-4FA2-AE1F-AD1BA60761D4}"/>
    <cellStyle name="Calculation 2 4 6 8" xfId="13279" xr:uid="{D8D574E8-A318-4217-A831-ECB837F34371}"/>
    <cellStyle name="Calculation 2 4 6 9" xfId="13914" xr:uid="{B7B35AE2-EB00-4AB0-9087-5794AD9F457C}"/>
    <cellStyle name="Calculation 2 4 7" xfId="3711" xr:uid="{8E729F96-0D29-4184-91B2-186098D94CA8}"/>
    <cellStyle name="Calculation 2 4 7 2" xfId="9753" xr:uid="{592F5726-D2DC-4671-ADA7-C392793065CA}"/>
    <cellStyle name="Calculation 2 4 7 2 2" xfId="18799" xr:uid="{1C3C36EB-4F39-4975-BF3D-E83834AD892E}"/>
    <cellStyle name="Calculation 2 4 7 3" xfId="15319" xr:uid="{5BB8B0D5-14D3-4CF5-8433-616D68D43533}"/>
    <cellStyle name="Calculation 2 4 7 4" xfId="22298" xr:uid="{5CB361CB-0FE7-4E2C-9B7E-91EF99648EC3}"/>
    <cellStyle name="Calculation 2 4 8" xfId="4195" xr:uid="{019A7C0A-9F8A-4C44-B1AF-8909D5C7C819}"/>
    <cellStyle name="Calculation 2 4 8 2" xfId="10052" xr:uid="{78CCDCC5-219E-45BF-9E4D-CDE8063758C2}"/>
    <cellStyle name="Calculation 2 4 8 2 2" xfId="19098" xr:uid="{6D782759-F947-40C9-8969-81D4B7141260}"/>
    <cellStyle name="Calculation 2 4 8 3" xfId="15612" xr:uid="{6762723C-5F66-4A51-A41F-05B652B09D3A}"/>
    <cellStyle name="Calculation 2 4 8 4" xfId="22280" xr:uid="{D7FEB509-4800-4E57-8E03-970D54BC4E77}"/>
    <cellStyle name="Calculation 2 4 9" xfId="4063" xr:uid="{4C494833-3434-4350-B029-617FAE4B2641}"/>
    <cellStyle name="Calculation 2 4 9 2" xfId="9920" xr:uid="{89BEFFED-61D2-4A86-8A78-120E72F692C5}"/>
    <cellStyle name="Calculation 2 4 9 2 2" xfId="18966" xr:uid="{C25DEE70-5A2F-4BE8-939E-D3280CBD9BF3}"/>
    <cellStyle name="Calculation 2 4 9 3" xfId="15480" xr:uid="{F87370C0-2076-46AE-86F4-133225F72929}"/>
    <cellStyle name="Calculation 2 5" xfId="2285" xr:uid="{34F3E3A6-BE30-4EAC-B5C0-94D34316077E}"/>
    <cellStyle name="Calculation 2 5 10" xfId="4305" xr:uid="{D987CDC4-167A-4FE5-A45D-73C9434056D1}"/>
    <cellStyle name="Calculation 2 5 10 2" xfId="10162" xr:uid="{36E509CC-0604-43F3-BEBC-9C711AD8BB46}"/>
    <cellStyle name="Calculation 2 5 10 2 2" xfId="19208" xr:uid="{94538203-5D56-4EAB-8920-188627C71ACF}"/>
    <cellStyle name="Calculation 2 5 10 3" xfId="15722" xr:uid="{F0AA4FDB-AFB3-414C-B35B-F2FF3F07BF82}"/>
    <cellStyle name="Calculation 2 5 11" xfId="4177" xr:uid="{D94ACE3C-BC38-4441-9DE0-90CE66EC1820}"/>
    <cellStyle name="Calculation 2 5 11 2" xfId="10034" xr:uid="{6E747BD1-CA42-412F-B0F6-29DEEE6448E6}"/>
    <cellStyle name="Calculation 2 5 11 2 2" xfId="19080" xr:uid="{DB635B37-50AC-49D9-94F3-B99F607565AA}"/>
    <cellStyle name="Calculation 2 5 11 3" xfId="15594" xr:uid="{81C8B0A4-C2E9-4769-8631-634B99070EE4}"/>
    <cellStyle name="Calculation 2 5 12" xfId="9107" xr:uid="{5A86B0C9-0BE7-453D-8D23-D6AD5E741609}"/>
    <cellStyle name="Calculation 2 5 12 2" xfId="18153" xr:uid="{3E05EEAB-FDAA-475C-BF73-93552DC71825}"/>
    <cellStyle name="Calculation 2 5 13" xfId="12507" xr:uid="{B69C2F28-6F38-4FF7-B26F-879E9885A039}"/>
    <cellStyle name="Calculation 2 5 14" xfId="13701" xr:uid="{38DF5F60-418A-4B9A-9EE8-60430A385ECE}"/>
    <cellStyle name="Calculation 2 5 15" xfId="14676" xr:uid="{72C0AFFC-1A7E-4B87-88D7-A5D2415CEDF8}"/>
    <cellStyle name="Calculation 2 5 16" xfId="21551" xr:uid="{81E173FC-5FA8-4AF6-8947-78DE5EAF8B20}"/>
    <cellStyle name="Calculation 2 5 17" xfId="23737" xr:uid="{F4DABC6C-D7DA-4DCA-BD6A-73C75B26E170}"/>
    <cellStyle name="Calculation 2 5 2" xfId="2286" xr:uid="{FCEB48E3-2D27-4722-8064-695757385A11}"/>
    <cellStyle name="Calculation 2 5 2 10" xfId="9135" xr:uid="{83A8B204-5437-438D-88F3-2D1F977E7491}"/>
    <cellStyle name="Calculation 2 5 2 10 2" xfId="18181" xr:uid="{E9938039-9147-4981-BA27-7BDEEE1C5D01}"/>
    <cellStyle name="Calculation 2 5 2 11" xfId="12533" xr:uid="{3AB94A46-A033-4C65-8209-E680016B552F}"/>
    <cellStyle name="Calculation 2 5 2 12" xfId="13727" xr:uid="{2C4E5052-4CD9-4E31-A75F-786ADAB54F79}"/>
    <cellStyle name="Calculation 2 5 2 13" xfId="14704" xr:uid="{84F78E39-5D75-4C7C-9D90-364337BD1AA4}"/>
    <cellStyle name="Calculation 2 5 2 14" xfId="21576" xr:uid="{B1F0CD13-4006-4FF4-A67D-4A57A918A15E}"/>
    <cellStyle name="Calculation 2 5 2 15" xfId="23738" xr:uid="{EC037779-A506-4E9C-B098-FFF43AC06431}"/>
    <cellStyle name="Calculation 2 5 2 2" xfId="2287" xr:uid="{6356FB10-4B82-43BA-844B-CD347B928372}"/>
    <cellStyle name="Calculation 2 5 2 2 10" xfId="13147" xr:uid="{C19DBD11-217F-4832-9355-4B3711AF4566}"/>
    <cellStyle name="Calculation 2 5 2 2 11" xfId="13779" xr:uid="{42B2FD6F-C9E3-484A-AD27-CA1A9CEEF750}"/>
    <cellStyle name="Calculation 2 5 2 2 12" xfId="14756" xr:uid="{257B650B-035F-4B2A-8890-917DC952508A}"/>
    <cellStyle name="Calculation 2 5 2 2 13" xfId="21626" xr:uid="{E6E15402-9B2E-4449-A1F5-B3B99F20A449}"/>
    <cellStyle name="Calculation 2 5 2 2 2" xfId="2814" xr:uid="{B2416CCF-B794-4487-AF92-CD8DA65BC079}"/>
    <cellStyle name="Calculation 2 5 2 2 2 10" xfId="15183" xr:uid="{65E87A81-417D-4037-B9EC-7D50955769CD}"/>
    <cellStyle name="Calculation 2 5 2 2 2 11" xfId="22052" xr:uid="{6B53AE85-605A-4CA1-A71D-5B1493522209}"/>
    <cellStyle name="Calculation 2 5 2 2 2 12" xfId="3403" xr:uid="{CAD18062-2896-4BD6-B365-658EFFB3B751}"/>
    <cellStyle name="Calculation 2 5 2 2 2 2" xfId="4626" xr:uid="{A3056F4B-949E-440E-85D7-C2FD1B140729}"/>
    <cellStyle name="Calculation 2 5 2 2 2 2 2" xfId="10483" xr:uid="{98766178-899B-4553-9368-FEFBA5911639}"/>
    <cellStyle name="Calculation 2 5 2 2 2 2 2 2" xfId="19529" xr:uid="{EF18FDEE-320D-4A47-BBBE-266ABA4033A4}"/>
    <cellStyle name="Calculation 2 5 2 2 2 2 3" xfId="16043" xr:uid="{2E34EC8F-7B4E-421D-9EB8-A1BF3066D38B}"/>
    <cellStyle name="Calculation 2 5 2 2 2 2 4" xfId="22708" xr:uid="{EE287506-4AED-438B-B9BF-86C7D703B34B}"/>
    <cellStyle name="Calculation 2 5 2 2 2 3" xfId="5127" xr:uid="{8477A1F6-BCA9-4943-8D10-280F09793C18}"/>
    <cellStyle name="Calculation 2 5 2 2 2 3 2" xfId="10980" xr:uid="{7BAAEA7C-4D22-43A4-A6FC-D2DC7590C63A}"/>
    <cellStyle name="Calculation 2 5 2 2 2 3 2 2" xfId="20026" xr:uid="{9FFCDA4B-0F45-4A0F-8459-74FC8DCEB0F5}"/>
    <cellStyle name="Calculation 2 5 2 2 2 3 3" xfId="16540" xr:uid="{9CF3631C-47D8-44F3-B86F-38C3C93EDA12}"/>
    <cellStyle name="Calculation 2 5 2 2 2 3 4" xfId="23203" xr:uid="{7C1318CF-61BC-491C-8A2A-2D5508487FA1}"/>
    <cellStyle name="Calculation 2 5 2 2 2 4" xfId="5742" xr:uid="{B6A04999-9B78-42DF-9A6F-1A3F7240B974}"/>
    <cellStyle name="Calculation 2 5 2 2 2 4 2" xfId="11595" xr:uid="{B41A7469-1085-495E-8425-253AE0541EA3}"/>
    <cellStyle name="Calculation 2 5 2 2 2 4 2 2" xfId="20641" xr:uid="{0994D39D-A19A-4487-8DFC-16439E31D9D5}"/>
    <cellStyle name="Calculation 2 5 2 2 2 4 3" xfId="17155" xr:uid="{397B8AF8-7832-4A37-A51B-53AF11160110}"/>
    <cellStyle name="Calculation 2 5 2 2 2 5" xfId="6353" xr:uid="{D56BE09D-962B-490D-BCC5-A157910819C8}"/>
    <cellStyle name="Calculation 2 5 2 2 2 5 2" xfId="12200" xr:uid="{45A9B8A5-DA97-42C5-9764-F29C40236D79}"/>
    <cellStyle name="Calculation 2 5 2 2 2 5 2 2" xfId="21246" xr:uid="{57A3A056-9266-4387-A64F-2DF883498C4A}"/>
    <cellStyle name="Calculation 2 5 2 2 2 5 3" xfId="17766" xr:uid="{151043D2-A137-46CD-A349-C020B9C3B110}"/>
    <cellStyle name="Calculation 2 5 2 2 2 6" xfId="9614" xr:uid="{392C0022-C0F5-4E4B-9336-9DFB42A40516}"/>
    <cellStyle name="Calculation 2 5 2 2 2 6 2" xfId="18660" xr:uid="{BDA6A951-9283-45D2-84AE-ED2ECF8C2616}"/>
    <cellStyle name="Calculation 2 5 2 2 2 7" xfId="13012" xr:uid="{8485D4C1-73D5-4735-AD28-D22374AE0C88}"/>
    <cellStyle name="Calculation 2 5 2 2 2 8" xfId="13569" xr:uid="{A5F832DC-A2D1-418D-9FD7-0E03D6A088EC}"/>
    <cellStyle name="Calculation 2 5 2 2 2 9" xfId="14208" xr:uid="{479DCBE8-E9A2-4250-9763-5C81A2E0B78A}"/>
    <cellStyle name="Calculation 2 5 2 2 3" xfId="2850" xr:uid="{1630FA35-0627-4B86-8154-B7C6174EF1BC}"/>
    <cellStyle name="Calculation 2 5 2 2 3 10" xfId="14971" xr:uid="{7079F3D2-31AF-49E0-B38D-0AA1D01F60FE}"/>
    <cellStyle name="Calculation 2 5 2 2 3 11" xfId="21839" xr:uid="{605E9957-F6E4-457B-A9D4-1EED2272C234}"/>
    <cellStyle name="Calculation 2 5 2 2 3 12" xfId="3191" xr:uid="{CC04F372-9D60-4F63-B6A6-EE5D48210E8D}"/>
    <cellStyle name="Calculation 2 5 2 2 3 2" xfId="4412" xr:uid="{BEFF91A7-AB36-4C74-9694-CC1E8E7A14AA}"/>
    <cellStyle name="Calculation 2 5 2 2 3 2 2" xfId="10269" xr:uid="{8A1E7A3F-6848-4DDF-8FAF-A866D9BD6DAA}"/>
    <cellStyle name="Calculation 2 5 2 2 3 2 2 2" xfId="19315" xr:uid="{AE26240D-D42B-4E6E-9CBA-D65EEBCC04D1}"/>
    <cellStyle name="Calculation 2 5 2 2 3 2 3" xfId="15829" xr:uid="{6C34C2B3-E144-42C9-8B5F-BC5EA3805686}"/>
    <cellStyle name="Calculation 2 5 2 2 3 2 4" xfId="22495" xr:uid="{C57411C8-DC8E-4749-8CD5-9C11F1D9C89C}"/>
    <cellStyle name="Calculation 2 5 2 2 3 3" xfId="4913" xr:uid="{63CE4727-0215-4268-B8C0-B5AB567ECB75}"/>
    <cellStyle name="Calculation 2 5 2 2 3 3 2" xfId="10768" xr:uid="{BFBCDE15-28D9-48D0-97F4-16FF84B2C74A}"/>
    <cellStyle name="Calculation 2 5 2 2 3 3 2 2" xfId="19814" xr:uid="{61DBF94B-602F-4110-944B-21074F16BB7D}"/>
    <cellStyle name="Calculation 2 5 2 2 3 3 3" xfId="16328" xr:uid="{31E683DA-0198-4197-96BE-B8ADF0612B44}"/>
    <cellStyle name="Calculation 2 5 2 2 3 3 4" xfId="22990" xr:uid="{F3DA2EDF-6640-4E9A-8902-A5B3BA9F93F0}"/>
    <cellStyle name="Calculation 2 5 2 2 3 4" xfId="5528" xr:uid="{EF1B015E-3CDB-4E39-8F78-AFA29D2D8593}"/>
    <cellStyle name="Calculation 2 5 2 2 3 4 2" xfId="11381" xr:uid="{87DE617E-16E1-426C-BE2D-618C4F2E24C8}"/>
    <cellStyle name="Calculation 2 5 2 2 3 4 2 2" xfId="20427" xr:uid="{71F7112C-36B9-42C0-A6B5-0825C8B35768}"/>
    <cellStyle name="Calculation 2 5 2 2 3 4 3" xfId="16941" xr:uid="{9D689F78-3529-4485-9C23-6EA59B81A392}"/>
    <cellStyle name="Calculation 2 5 2 2 3 5" xfId="6139" xr:uid="{4B1BF1B3-6073-4655-9A61-7702222D6E61}"/>
    <cellStyle name="Calculation 2 5 2 2 3 5 2" xfId="11988" xr:uid="{1914C1C8-988A-4BB0-8648-31F60D6B7D01}"/>
    <cellStyle name="Calculation 2 5 2 2 3 5 2 2" xfId="21034" xr:uid="{CEC2E5AA-ABAF-4A52-96FA-BFD96BFFA97B}"/>
    <cellStyle name="Calculation 2 5 2 2 3 5 3" xfId="17552" xr:uid="{FF01B3F9-462E-4A12-A945-49E0B6C5A824}"/>
    <cellStyle name="Calculation 2 5 2 2 3 6" xfId="9402" xr:uid="{5532124F-957F-4F76-9DD8-CA7EFDAB0685}"/>
    <cellStyle name="Calculation 2 5 2 2 3 6 2" xfId="18448" xr:uid="{F0B7238A-631D-4803-ABA3-945CCA80724D}"/>
    <cellStyle name="Calculation 2 5 2 2 3 7" xfId="12798" xr:uid="{50F409ED-6A32-4D95-8360-E121563CD9BD}"/>
    <cellStyle name="Calculation 2 5 2 2 3 8" xfId="13358" xr:uid="{5502D581-6569-456F-94DE-9B890D1E4D90}"/>
    <cellStyle name="Calculation 2 5 2 2 3 9" xfId="13994" xr:uid="{71AD9A4A-EBA6-4A33-AA27-42725B4BA991}"/>
    <cellStyle name="Calculation 2 5 2 2 4" xfId="4008" xr:uid="{E24AB191-6A89-4689-A583-ED4E5BB0FF79}"/>
    <cellStyle name="Calculation 2 5 2 2 4 2" xfId="9870" xr:uid="{D7D382AF-DFEF-42BC-B43E-DE9039A8CD0F}"/>
    <cellStyle name="Calculation 2 5 2 2 4 2 2" xfId="18916" xr:uid="{F5C0256E-36BA-4DFE-B3DC-6EA9B0540A0B}"/>
    <cellStyle name="Calculation 2 5 2 2 4 3" xfId="15432" xr:uid="{3A9D58CA-507D-45A7-BC1E-4AD98E1AC03D}"/>
    <cellStyle name="Calculation 2 5 2 2 4 4" xfId="22378" xr:uid="{52DDEC8B-09F4-44AE-9CBE-C91C3FFD6B71}"/>
    <cellStyle name="Calculation 2 5 2 2 5" xfId="4275" xr:uid="{0B950566-D985-4EC8-8596-38E557E402E7}"/>
    <cellStyle name="Calculation 2 5 2 2 5 2" xfId="10132" xr:uid="{EB87BF24-0082-4BE5-A2CB-30363AF82263}"/>
    <cellStyle name="Calculation 2 5 2 2 5 2 2" xfId="19178" xr:uid="{D02AA789-B5B7-489F-93C7-EA50981737EF}"/>
    <cellStyle name="Calculation 2 5 2 2 5 3" xfId="15692" xr:uid="{FACDE0CB-1FB6-4437-83B6-AC7590BF4265}"/>
    <cellStyle name="Calculation 2 5 2 2 6" xfId="5313" xr:uid="{DB2323D6-2FBA-4162-A6DA-4CF75FFAE766}"/>
    <cellStyle name="Calculation 2 5 2 2 6 2" xfId="11166" xr:uid="{2DC5A290-466E-4F6D-8D9D-A17862252EAC}"/>
    <cellStyle name="Calculation 2 5 2 2 6 2 2" xfId="20212" xr:uid="{1B576CB8-13EE-4A64-A6B2-D3974008B021}"/>
    <cellStyle name="Calculation 2 5 2 2 6 3" xfId="16726" xr:uid="{32A09042-2659-4141-8577-841598ABB364}"/>
    <cellStyle name="Calculation 2 5 2 2 7" xfId="5924" xr:uid="{4B5B7668-985E-4818-9EF8-4F7115F74829}"/>
    <cellStyle name="Calculation 2 5 2 2 7 2" xfId="11777" xr:uid="{6E5299A1-F566-48C9-AEA2-F9C464D81381}"/>
    <cellStyle name="Calculation 2 5 2 2 7 2 2" xfId="20823" xr:uid="{A3C541A0-CF4A-4EE0-B41D-15AA67EF65D5}"/>
    <cellStyle name="Calculation 2 5 2 2 7 3" xfId="17337" xr:uid="{AB6417A2-886A-4CAF-8A5A-98275C282F2A}"/>
    <cellStyle name="Calculation 2 5 2 2 8" xfId="9187" xr:uid="{E56CCC1C-F4FE-400A-B572-08B665462C46}"/>
    <cellStyle name="Calculation 2 5 2 2 8 2" xfId="18233" xr:uid="{7A5ED085-85BB-4409-8CFC-F3B131883364}"/>
    <cellStyle name="Calculation 2 5 2 2 9" xfId="12585" xr:uid="{26AF3AC3-548D-4A74-9018-F5E194A98F11}"/>
    <cellStyle name="Calculation 2 5 2 3" xfId="2815" xr:uid="{E5143C75-D749-487E-A7EA-FDB54C8F8020}"/>
    <cellStyle name="Calculation 2 5 2 3 10" xfId="15131" xr:uid="{86626FA4-136E-4871-8FB2-134F4B3A53F4}"/>
    <cellStyle name="Calculation 2 5 2 3 11" xfId="22000" xr:uid="{F5EE4825-62CC-4F78-93EA-40B5C9958E85}"/>
    <cellStyle name="Calculation 2 5 2 3 12" xfId="3351" xr:uid="{517594FB-3897-40F7-B4CE-609171D2EC2E}"/>
    <cellStyle name="Calculation 2 5 2 3 2" xfId="4574" xr:uid="{F60A3B80-3EDB-4EF1-9C83-5764D841CD49}"/>
    <cellStyle name="Calculation 2 5 2 3 2 2" xfId="10431" xr:uid="{573D1995-DBB4-48CA-9166-EEC0F789125A}"/>
    <cellStyle name="Calculation 2 5 2 3 2 2 2" xfId="19477" xr:uid="{578080F8-D695-4A22-B64D-78A7CAB6B0C6}"/>
    <cellStyle name="Calculation 2 5 2 3 2 3" xfId="15991" xr:uid="{D2C6FEF9-6BB0-439A-B15A-DCFA20D261D4}"/>
    <cellStyle name="Calculation 2 5 2 3 2 4" xfId="22656" xr:uid="{28EC4E85-26B3-4BF4-BEFC-5E68CF52F2F3}"/>
    <cellStyle name="Calculation 2 5 2 3 3" xfId="5075" xr:uid="{FC8346A7-9EB7-4E5A-8F40-03356F56E241}"/>
    <cellStyle name="Calculation 2 5 2 3 3 2" xfId="10928" xr:uid="{E16FBB81-DDF4-4D8F-B288-E652208AEF65}"/>
    <cellStyle name="Calculation 2 5 2 3 3 2 2" xfId="19974" xr:uid="{0ABF06D9-0B90-43F2-AF33-96CAD9EE95DC}"/>
    <cellStyle name="Calculation 2 5 2 3 3 3" xfId="16488" xr:uid="{3CBACE2C-9AE5-4F0C-A71F-D5AFDBCB2FBE}"/>
    <cellStyle name="Calculation 2 5 2 3 3 4" xfId="23151" xr:uid="{A13BF787-BACD-41FE-AD29-48B7BF773AF2}"/>
    <cellStyle name="Calculation 2 5 2 3 4" xfId="5690" xr:uid="{0F0A44D7-A025-4C17-B371-EBA046ACBE8D}"/>
    <cellStyle name="Calculation 2 5 2 3 4 2" xfId="11543" xr:uid="{E4B85DC1-3BC9-40A4-9DBF-527DFF74B30E}"/>
    <cellStyle name="Calculation 2 5 2 3 4 2 2" xfId="20589" xr:uid="{0F1E04F7-80F6-44B0-B5E7-994627F15FD4}"/>
    <cellStyle name="Calculation 2 5 2 3 4 3" xfId="17103" xr:uid="{074E5BD3-C6D6-4BA8-8F79-EDAF679F588D}"/>
    <cellStyle name="Calculation 2 5 2 3 5" xfId="6301" xr:uid="{17266D3E-C9CA-45DB-9A69-7044986696AC}"/>
    <cellStyle name="Calculation 2 5 2 3 5 2" xfId="12148" xr:uid="{FA4DBCBB-82CD-446C-98F4-5641FA901261}"/>
    <cellStyle name="Calculation 2 5 2 3 5 2 2" xfId="21194" xr:uid="{5C105D57-DC9C-4FAA-BB92-928E5A681E5E}"/>
    <cellStyle name="Calculation 2 5 2 3 5 3" xfId="17714" xr:uid="{384BF602-1A11-4B20-8070-3A5272100498}"/>
    <cellStyle name="Calculation 2 5 2 3 6" xfId="9562" xr:uid="{D2D945BF-E43C-4724-9004-872BDC2DAD84}"/>
    <cellStyle name="Calculation 2 5 2 3 6 2" xfId="18608" xr:uid="{16B06EF0-8DDF-4CF9-BCF5-7229D33DFF70}"/>
    <cellStyle name="Calculation 2 5 2 3 7" xfId="12960" xr:uid="{2F4403EE-2C1F-4F44-9A75-C7AC42011961}"/>
    <cellStyle name="Calculation 2 5 2 3 8" xfId="13517" xr:uid="{9955B788-A5C3-49F7-B32A-986930A48B99}"/>
    <cellStyle name="Calculation 2 5 2 3 9" xfId="14156" xr:uid="{C6AB1C42-E0B8-4E90-B062-705B4EC5DA93}"/>
    <cellStyle name="Calculation 2 5 2 4" xfId="2849" xr:uid="{4E44FEB7-E10B-498C-AE34-B79688457045}"/>
    <cellStyle name="Calculation 2 5 2 4 10" xfId="14919" xr:uid="{35621DA4-9FAF-444C-A5AB-1AC1E1369963}"/>
    <cellStyle name="Calculation 2 5 2 4 11" xfId="21787" xr:uid="{84107B18-C7CD-45FE-86C9-8DC08E128C19}"/>
    <cellStyle name="Calculation 2 5 2 4 12" xfId="3139" xr:uid="{7B84A9BE-818A-4ACC-87FF-E76199AB3C70}"/>
    <cellStyle name="Calculation 2 5 2 4 2" xfId="4360" xr:uid="{E0242D9B-5901-4B31-A25B-7F9DCC53D8FE}"/>
    <cellStyle name="Calculation 2 5 2 4 2 2" xfId="10217" xr:uid="{D70EE8A9-4DF0-4C26-97DB-64B780F4BC0C}"/>
    <cellStyle name="Calculation 2 5 2 4 2 2 2" xfId="19263" xr:uid="{A1FA3D97-4DAB-4CA7-AE41-F638ABEE6884}"/>
    <cellStyle name="Calculation 2 5 2 4 2 3" xfId="15777" xr:uid="{123BC543-B54F-4D2D-B352-C99A5B1A70E9}"/>
    <cellStyle name="Calculation 2 5 2 4 2 4" xfId="22443" xr:uid="{C15385F8-909A-40A3-9749-08E77E447E1A}"/>
    <cellStyle name="Calculation 2 5 2 4 3" xfId="4861" xr:uid="{8338214D-E2BA-4C6E-A0F2-8FB0C58EF3C0}"/>
    <cellStyle name="Calculation 2 5 2 4 3 2" xfId="10716" xr:uid="{8D4C7195-5879-4007-A9EE-F54391889005}"/>
    <cellStyle name="Calculation 2 5 2 4 3 2 2" xfId="19762" xr:uid="{FB1465E4-0205-40C7-BA64-C660D8CD912C}"/>
    <cellStyle name="Calculation 2 5 2 4 3 3" xfId="16276" xr:uid="{912C4861-D33A-4F45-939D-9BF2C62ED7BA}"/>
    <cellStyle name="Calculation 2 5 2 4 3 4" xfId="22938" xr:uid="{20195AA9-E46F-4CAC-BAEF-FCE00052469E}"/>
    <cellStyle name="Calculation 2 5 2 4 4" xfId="5476" xr:uid="{72632DED-A251-481E-9EE0-14E254E65E89}"/>
    <cellStyle name="Calculation 2 5 2 4 4 2" xfId="11329" xr:uid="{48E50169-3FB5-4157-BB7B-249770ABC096}"/>
    <cellStyle name="Calculation 2 5 2 4 4 2 2" xfId="20375" xr:uid="{6E2C300F-194D-4422-A497-619D239EC8FF}"/>
    <cellStyle name="Calculation 2 5 2 4 4 3" xfId="16889" xr:uid="{F0DB278A-72D0-4391-852B-53B1DD19F454}"/>
    <cellStyle name="Calculation 2 5 2 4 5" xfId="6087" xr:uid="{0CB7EC1F-7336-4A60-B12D-48E0A36EB568}"/>
    <cellStyle name="Calculation 2 5 2 4 5 2" xfId="11936" xr:uid="{AF1FE453-BA21-4D22-92FB-E9F6BE342E0A}"/>
    <cellStyle name="Calculation 2 5 2 4 5 2 2" xfId="20982" xr:uid="{F548FB8E-6AEE-4DED-AAC4-1660BE02682F}"/>
    <cellStyle name="Calculation 2 5 2 4 5 3" xfId="17500" xr:uid="{A9655CF6-1EC5-435E-9143-00163DE9D122}"/>
    <cellStyle name="Calculation 2 5 2 4 6" xfId="9350" xr:uid="{B2B988AA-5080-47B6-849B-2873F531452A}"/>
    <cellStyle name="Calculation 2 5 2 4 6 2" xfId="18396" xr:uid="{63949BA9-E514-4262-B78F-1A4935E95D91}"/>
    <cellStyle name="Calculation 2 5 2 4 7" xfId="12746" xr:uid="{2AE4B317-3B8A-4323-965A-EBE42E6CD657}"/>
    <cellStyle name="Calculation 2 5 2 4 8" xfId="13306" xr:uid="{BA5E8ED5-768C-49F9-A31F-BDC0D2E6A392}"/>
    <cellStyle name="Calculation 2 5 2 4 9" xfId="13942" xr:uid="{D1D7EC74-C91C-496B-A3D5-9E16313B4431}"/>
    <cellStyle name="Calculation 2 5 2 5" xfId="3740" xr:uid="{D803E5F0-56E4-44C7-B68C-0A172F1E1955}"/>
    <cellStyle name="Calculation 2 5 2 5 2" xfId="9782" xr:uid="{DBEBBBBD-1C18-42E3-B12D-04AE72906158}"/>
    <cellStyle name="Calculation 2 5 2 5 2 2" xfId="18828" xr:uid="{80DDFA07-8AB4-4898-A548-3F760ED48F8A}"/>
    <cellStyle name="Calculation 2 5 2 5 3" xfId="15348" xr:uid="{FE794593-21C5-4FA8-8A89-7B2223FA390A}"/>
    <cellStyle name="Calculation 2 5 2 5 4" xfId="22327" xr:uid="{4E905958-D538-412E-B370-6AC37C8CBEDC}"/>
    <cellStyle name="Calculation 2 5 2 6" xfId="4224" xr:uid="{767BB74A-6DF0-4D26-8EDA-6CED1B2E8586}"/>
    <cellStyle name="Calculation 2 5 2 6 2" xfId="10081" xr:uid="{E476A144-E262-4469-9855-059C73C384FE}"/>
    <cellStyle name="Calculation 2 5 2 6 2 2" xfId="19127" xr:uid="{04AF36B7-1FE9-4F60-8C12-626E86764DA8}"/>
    <cellStyle name="Calculation 2 5 2 6 3" xfId="15641" xr:uid="{177E9C67-B60A-403B-BC93-ED032EF55973}"/>
    <cellStyle name="Calculation 2 5 2 6 4" xfId="22400" xr:uid="{BB47091B-6209-4699-8964-B6F8B5C2515D}"/>
    <cellStyle name="Calculation 2 5 2 7" xfId="4291" xr:uid="{3E214E28-A5F5-4DC3-8D9D-80EE56E81C9E}"/>
    <cellStyle name="Calculation 2 5 2 7 2" xfId="10148" xr:uid="{E9BDD3BB-1D01-4866-864B-F3222A42EEC5}"/>
    <cellStyle name="Calculation 2 5 2 7 2 2" xfId="19194" xr:uid="{048F345D-8540-4D7A-9C42-615A2590FD8A}"/>
    <cellStyle name="Calculation 2 5 2 7 3" xfId="15708" xr:uid="{639ED701-B583-4A67-B631-BB3AF864A712}"/>
    <cellStyle name="Calculation 2 5 2 8" xfId="5261" xr:uid="{2C89EE8B-CAE5-4C1E-BE15-05B87EBDD9D9}"/>
    <cellStyle name="Calculation 2 5 2 8 2" xfId="11114" xr:uid="{CFD2A1EA-5629-46F3-BC57-B16A2172A7FD}"/>
    <cellStyle name="Calculation 2 5 2 8 2 2" xfId="20160" xr:uid="{196AAE52-E31B-4F1F-884C-2CF2A5713EF8}"/>
    <cellStyle name="Calculation 2 5 2 8 3" xfId="16674" xr:uid="{8B5FB2EE-16A3-457D-89EA-B48B9E29A6A1}"/>
    <cellStyle name="Calculation 2 5 2 9" xfId="5872" xr:uid="{3F836678-4968-44C7-A60E-5F42504A642B}"/>
    <cellStyle name="Calculation 2 5 2 9 2" xfId="11725" xr:uid="{CCC2F1DA-72AD-4A0A-898B-C2AB083B2963}"/>
    <cellStyle name="Calculation 2 5 2 9 2 2" xfId="20771" xr:uid="{4A06B5D4-1C30-49C3-9DB9-2E94FDB1BB91}"/>
    <cellStyle name="Calculation 2 5 2 9 3" xfId="17285" xr:uid="{614F3519-6087-480E-A6F8-05420D957594}"/>
    <cellStyle name="Calculation 2 5 3" xfId="2288" xr:uid="{0047DF36-E0AC-44C6-B3ED-1F22A2DD510E}"/>
    <cellStyle name="Calculation 2 5 3 10" xfId="9136" xr:uid="{CFDEE9D5-2698-42EB-BD4B-B942215E40C2}"/>
    <cellStyle name="Calculation 2 5 3 10 2" xfId="18182" xr:uid="{2C3E34D3-A690-405B-92AC-5F515902D3DA}"/>
    <cellStyle name="Calculation 2 5 3 11" xfId="12534" xr:uid="{B12DBFE3-FA58-401A-87F1-FF94AD9D1089}"/>
    <cellStyle name="Calculation 2 5 3 12" xfId="13728" xr:uid="{3D3220B2-F628-4AAA-A87A-E1E4A34D4D48}"/>
    <cellStyle name="Calculation 2 5 3 13" xfId="14705" xr:uid="{98AD81BA-ADCD-4A68-A939-2D3FAD9309A3}"/>
    <cellStyle name="Calculation 2 5 3 14" xfId="21577" xr:uid="{C9F91EDB-ADC6-4280-B5B3-C5624CD2277C}"/>
    <cellStyle name="Calculation 2 5 3 15" xfId="23739" xr:uid="{C781F081-6F5E-4265-B473-117968600F41}"/>
    <cellStyle name="Calculation 2 5 3 2" xfId="2289" xr:uid="{C3E21C87-47B2-4CDC-9C21-AD04C40DBA68}"/>
    <cellStyle name="Calculation 2 5 3 2 10" xfId="13148" xr:uid="{25B5E415-B7BE-4986-9B8E-13CE5BFEBCE3}"/>
    <cellStyle name="Calculation 2 5 3 2 11" xfId="13780" xr:uid="{7894F7DA-7FBB-4B5A-97F7-D41951804F90}"/>
    <cellStyle name="Calculation 2 5 3 2 12" xfId="14757" xr:uid="{89E98BF4-B87C-49EE-9384-B0CB522E9744}"/>
    <cellStyle name="Calculation 2 5 3 2 13" xfId="21627" xr:uid="{217324E0-DBAD-4A7E-99A1-A0AC157A3F05}"/>
    <cellStyle name="Calculation 2 5 3 2 2" xfId="2812" xr:uid="{65602AC2-6A15-4D06-BCB4-5E8CFFA51BA5}"/>
    <cellStyle name="Calculation 2 5 3 2 2 10" xfId="15184" xr:uid="{E9D27D02-A822-45CC-879D-5CAEB6873C84}"/>
    <cellStyle name="Calculation 2 5 3 2 2 11" xfId="22053" xr:uid="{43A66802-09EA-4F17-887D-4F46BD30167A}"/>
    <cellStyle name="Calculation 2 5 3 2 2 12" xfId="3404" xr:uid="{874F3E29-05F3-4BA3-AF13-633B4F7D70AA}"/>
    <cellStyle name="Calculation 2 5 3 2 2 2" xfId="4627" xr:uid="{65E783CE-1F00-4192-9B1C-161DCF5B18FF}"/>
    <cellStyle name="Calculation 2 5 3 2 2 2 2" xfId="10484" xr:uid="{64E64C1A-3DCE-4BC8-8CED-4FF67491DC61}"/>
    <cellStyle name="Calculation 2 5 3 2 2 2 2 2" xfId="19530" xr:uid="{1F36DC91-4ABF-46E3-BC23-14CA6A1C8835}"/>
    <cellStyle name="Calculation 2 5 3 2 2 2 3" xfId="16044" xr:uid="{D403A5DB-3B13-425B-A10C-9DF8F9BB61D6}"/>
    <cellStyle name="Calculation 2 5 3 2 2 2 4" xfId="22709" xr:uid="{97E07BB0-FB3C-4715-96D4-404E89024C8F}"/>
    <cellStyle name="Calculation 2 5 3 2 2 3" xfId="5128" xr:uid="{3D17215B-7349-4C96-9A83-37B748737C8F}"/>
    <cellStyle name="Calculation 2 5 3 2 2 3 2" xfId="10981" xr:uid="{28E647F9-B061-4ABE-A8BE-7AC226656D08}"/>
    <cellStyle name="Calculation 2 5 3 2 2 3 2 2" xfId="20027" xr:uid="{3F96800C-BA2D-42CD-8E9F-64B93311594C}"/>
    <cellStyle name="Calculation 2 5 3 2 2 3 3" xfId="16541" xr:uid="{2E2119C2-4BEE-4B87-83AF-3E545A9A10F9}"/>
    <cellStyle name="Calculation 2 5 3 2 2 3 4" xfId="23204" xr:uid="{4779F36D-9A4F-468F-9D64-4431D746C30D}"/>
    <cellStyle name="Calculation 2 5 3 2 2 4" xfId="5743" xr:uid="{53E3B725-2760-477C-AC65-04DC86CA42EF}"/>
    <cellStyle name="Calculation 2 5 3 2 2 4 2" xfId="11596" xr:uid="{AD14968B-580E-4880-B4A5-25D83FEC3BB8}"/>
    <cellStyle name="Calculation 2 5 3 2 2 4 2 2" xfId="20642" xr:uid="{57F572CE-3903-4870-83CE-FE03E41686F5}"/>
    <cellStyle name="Calculation 2 5 3 2 2 4 3" xfId="17156" xr:uid="{B596CF76-57A3-4C5D-A67D-0517E7DD77CE}"/>
    <cellStyle name="Calculation 2 5 3 2 2 5" xfId="6354" xr:uid="{A5FD8F5E-0131-49B1-9821-C8A2EC1F85CE}"/>
    <cellStyle name="Calculation 2 5 3 2 2 5 2" xfId="12201" xr:uid="{1D7B3D31-A81B-4173-97F9-0B2C21D8E38C}"/>
    <cellStyle name="Calculation 2 5 3 2 2 5 2 2" xfId="21247" xr:uid="{D1662B10-0081-4F97-92C2-FC4DDEF92944}"/>
    <cellStyle name="Calculation 2 5 3 2 2 5 3" xfId="17767" xr:uid="{A513FDCB-5C35-4CC5-9495-454F022FF5C4}"/>
    <cellStyle name="Calculation 2 5 3 2 2 6" xfId="9615" xr:uid="{6236847C-4C8E-4D0A-AEFA-827FD8C07A4A}"/>
    <cellStyle name="Calculation 2 5 3 2 2 6 2" xfId="18661" xr:uid="{F07C7CE0-9DC2-4059-9E75-2C6868C5F312}"/>
    <cellStyle name="Calculation 2 5 3 2 2 7" xfId="13013" xr:uid="{6934DD68-880F-458F-9201-28F34A37E6F7}"/>
    <cellStyle name="Calculation 2 5 3 2 2 8" xfId="13570" xr:uid="{89D5D269-BD69-41A1-9ADC-524F0C21427B}"/>
    <cellStyle name="Calculation 2 5 3 2 2 9" xfId="14209" xr:uid="{C9D8313A-4801-43CB-8E6E-55915A57E629}"/>
    <cellStyle name="Calculation 2 5 3 2 3" xfId="2855" xr:uid="{1A6EF05D-0E89-4A98-9E18-8AE1AB7BDEA4}"/>
    <cellStyle name="Calculation 2 5 3 2 3 10" xfId="14972" xr:uid="{F60D1B77-556D-4100-BEB1-899E8CDB847C}"/>
    <cellStyle name="Calculation 2 5 3 2 3 11" xfId="21840" xr:uid="{50A2ADFB-69CE-49E9-9046-500AB9C58EE8}"/>
    <cellStyle name="Calculation 2 5 3 2 3 12" xfId="3192" xr:uid="{95F0BFA6-7151-45F7-AC85-957EA55D2CA5}"/>
    <cellStyle name="Calculation 2 5 3 2 3 2" xfId="4413" xr:uid="{61CE4B69-5589-4CF3-8207-6ED0AE78D8E1}"/>
    <cellStyle name="Calculation 2 5 3 2 3 2 2" xfId="10270" xr:uid="{227CD85F-3524-4661-8C42-AD3AD7AFB440}"/>
    <cellStyle name="Calculation 2 5 3 2 3 2 2 2" xfId="19316" xr:uid="{38AB68AE-606B-4995-A35A-4FD6A98D614B}"/>
    <cellStyle name="Calculation 2 5 3 2 3 2 3" xfId="15830" xr:uid="{ECA7123D-E9B4-4D45-B9F3-BF4F917A30C7}"/>
    <cellStyle name="Calculation 2 5 3 2 3 2 4" xfId="22496" xr:uid="{197A8623-E98F-4D47-A344-0CD3C36AB9E1}"/>
    <cellStyle name="Calculation 2 5 3 2 3 3" xfId="4914" xr:uid="{3A79BE33-E9B1-4D2A-965B-5961EB63DB9E}"/>
    <cellStyle name="Calculation 2 5 3 2 3 3 2" xfId="10769" xr:uid="{6A9491FF-A27A-4AA2-BE8D-2B14F9AAA624}"/>
    <cellStyle name="Calculation 2 5 3 2 3 3 2 2" xfId="19815" xr:uid="{3D387D4D-E9AB-463B-8782-F4D3094D9D62}"/>
    <cellStyle name="Calculation 2 5 3 2 3 3 3" xfId="16329" xr:uid="{4CFCC65D-1B9D-460F-81CE-517576F70FBC}"/>
    <cellStyle name="Calculation 2 5 3 2 3 3 4" xfId="22991" xr:uid="{54DA0A7F-3EC2-4A71-AF8D-AF53FDA77837}"/>
    <cellStyle name="Calculation 2 5 3 2 3 4" xfId="5529" xr:uid="{43FF0A6B-612D-4097-94E5-D32ACA941B61}"/>
    <cellStyle name="Calculation 2 5 3 2 3 4 2" xfId="11382" xr:uid="{650F9C62-F23A-452C-A207-0A1B02C754C1}"/>
    <cellStyle name="Calculation 2 5 3 2 3 4 2 2" xfId="20428" xr:uid="{C183EA69-D065-440A-900F-A8D72D4EB433}"/>
    <cellStyle name="Calculation 2 5 3 2 3 4 3" xfId="16942" xr:uid="{29DC1FFB-2AA3-4AF2-BCC8-6C46E3D604A1}"/>
    <cellStyle name="Calculation 2 5 3 2 3 5" xfId="6140" xr:uid="{3459E121-5947-410A-AE4F-78D328433CE0}"/>
    <cellStyle name="Calculation 2 5 3 2 3 5 2" xfId="11989" xr:uid="{4BDAB4AB-4BA1-4CFA-B6F9-FB947A5A6A07}"/>
    <cellStyle name="Calculation 2 5 3 2 3 5 2 2" xfId="21035" xr:uid="{A31C9DA9-94E4-48BD-9175-5FB437385CE2}"/>
    <cellStyle name="Calculation 2 5 3 2 3 5 3" xfId="17553" xr:uid="{5B7351A1-6383-4ED9-965F-7ECE48F5A17D}"/>
    <cellStyle name="Calculation 2 5 3 2 3 6" xfId="9403" xr:uid="{5FE5CB83-AA6D-4719-9CB7-F241D5EB8287}"/>
    <cellStyle name="Calculation 2 5 3 2 3 6 2" xfId="18449" xr:uid="{54B45DE8-E964-4EC5-BD6C-2860779F1A74}"/>
    <cellStyle name="Calculation 2 5 3 2 3 7" xfId="12799" xr:uid="{97DA095C-0B76-41A5-9136-5804C0D1F0DD}"/>
    <cellStyle name="Calculation 2 5 3 2 3 8" xfId="13359" xr:uid="{BA0AC4DF-5AE9-4F88-8306-012D52E1BDBF}"/>
    <cellStyle name="Calculation 2 5 3 2 3 9" xfId="13995" xr:uid="{96D745BC-BEE5-4A90-95ED-7CD0A91530F8}"/>
    <cellStyle name="Calculation 2 5 3 2 4" xfId="4009" xr:uid="{69150053-955B-480F-BB9C-51EFDC273711}"/>
    <cellStyle name="Calculation 2 5 3 2 4 2" xfId="9871" xr:uid="{BACBD574-B007-4FC0-8365-731E1FA9B37A}"/>
    <cellStyle name="Calculation 2 5 3 2 4 2 2" xfId="18917" xr:uid="{2BC5BC99-6893-45C6-A66A-34A13319E6DE}"/>
    <cellStyle name="Calculation 2 5 3 2 4 3" xfId="15433" xr:uid="{B7F20CB0-09CB-462A-BF9F-3799F9271440}"/>
    <cellStyle name="Calculation 2 5 3 2 4 4" xfId="22377" xr:uid="{DAF92443-D3D4-48C8-86A8-F1DB46FC4E35}"/>
    <cellStyle name="Calculation 2 5 3 2 5" xfId="4274" xr:uid="{2888D583-0E97-4DB8-A8AB-3698B4CDE593}"/>
    <cellStyle name="Calculation 2 5 3 2 5 2" xfId="10131" xr:uid="{ADEF05F2-DC87-4868-9660-370CB821A621}"/>
    <cellStyle name="Calculation 2 5 3 2 5 2 2" xfId="19177" xr:uid="{B7C98BF7-BB28-4033-8DC4-0928B40F47CF}"/>
    <cellStyle name="Calculation 2 5 3 2 5 3" xfId="15691" xr:uid="{5CCA47E9-17CC-4DE7-A5FD-A78D0D337104}"/>
    <cellStyle name="Calculation 2 5 3 2 6" xfId="5314" xr:uid="{EC04D6D8-7F71-45CA-9C09-7FD00283E60F}"/>
    <cellStyle name="Calculation 2 5 3 2 6 2" xfId="11167" xr:uid="{6D22C8D6-8109-4131-8140-9AF61C6497B5}"/>
    <cellStyle name="Calculation 2 5 3 2 6 2 2" xfId="20213" xr:uid="{DB5ABFD3-76A3-4937-A759-DF4D54501864}"/>
    <cellStyle name="Calculation 2 5 3 2 6 3" xfId="16727" xr:uid="{958938C0-CF8C-48CF-BE36-262E2C4158F9}"/>
    <cellStyle name="Calculation 2 5 3 2 7" xfId="5925" xr:uid="{257197A0-0611-4414-B10F-53B519A6BFA8}"/>
    <cellStyle name="Calculation 2 5 3 2 7 2" xfId="11778" xr:uid="{A15D79D1-6AA5-4593-8F7A-2D39A80AE2C5}"/>
    <cellStyle name="Calculation 2 5 3 2 7 2 2" xfId="20824" xr:uid="{A1F614DE-96EB-4E4E-8534-492AD7679F84}"/>
    <cellStyle name="Calculation 2 5 3 2 7 3" xfId="17338" xr:uid="{3753F24A-C835-4951-AD6A-6D28E3243F39}"/>
    <cellStyle name="Calculation 2 5 3 2 8" xfId="9188" xr:uid="{FF46A554-29F5-49DE-8C92-29D8630C5811}"/>
    <cellStyle name="Calculation 2 5 3 2 8 2" xfId="18234" xr:uid="{E24CDDE9-3826-4898-885D-9BBCF73F05B8}"/>
    <cellStyle name="Calculation 2 5 3 2 9" xfId="12586" xr:uid="{C2DF6083-A42A-4E10-B702-F860575CD79D}"/>
    <cellStyle name="Calculation 2 5 3 3" xfId="2813" xr:uid="{8E233416-82BB-4BB4-9210-3F840EBDC26C}"/>
    <cellStyle name="Calculation 2 5 3 3 10" xfId="15132" xr:uid="{3D05F955-01ED-4ED4-82B1-38F875E8F5FA}"/>
    <cellStyle name="Calculation 2 5 3 3 11" xfId="22001" xr:uid="{504BD138-864A-4EFF-935E-8301371DA89D}"/>
    <cellStyle name="Calculation 2 5 3 3 12" xfId="3352" xr:uid="{FD526D9E-9673-49DB-A7A4-B306F8318FE0}"/>
    <cellStyle name="Calculation 2 5 3 3 2" xfId="4575" xr:uid="{8CA9ACC8-79C6-4760-A851-F521D66639B5}"/>
    <cellStyle name="Calculation 2 5 3 3 2 2" xfId="10432" xr:uid="{9AA85DDB-1CD8-4EAA-949D-39B1E989D29A}"/>
    <cellStyle name="Calculation 2 5 3 3 2 2 2" xfId="19478" xr:uid="{3564085A-A0B2-49FD-9F86-636D16692A7A}"/>
    <cellStyle name="Calculation 2 5 3 3 2 3" xfId="15992" xr:uid="{20CFEADB-D758-4256-B137-46981E22912C}"/>
    <cellStyle name="Calculation 2 5 3 3 2 4" xfId="22657" xr:uid="{BA19F905-E69D-48F1-9CC6-0C218EC9387E}"/>
    <cellStyle name="Calculation 2 5 3 3 3" xfId="5076" xr:uid="{D5540CA2-5F8A-47E3-AB68-FE08B0C36D0E}"/>
    <cellStyle name="Calculation 2 5 3 3 3 2" xfId="10929" xr:uid="{645C5AAC-3789-4B1A-BC85-541795AB9691}"/>
    <cellStyle name="Calculation 2 5 3 3 3 2 2" xfId="19975" xr:uid="{E36E6677-EEBB-4B34-A8D0-1FBCCC7315EE}"/>
    <cellStyle name="Calculation 2 5 3 3 3 3" xfId="16489" xr:uid="{8755632F-5F78-4A02-924E-4ECEB2F05F98}"/>
    <cellStyle name="Calculation 2 5 3 3 3 4" xfId="23152" xr:uid="{6C214AFA-25B9-4D7A-98C1-15D3945F05D1}"/>
    <cellStyle name="Calculation 2 5 3 3 4" xfId="5691" xr:uid="{ED90D0A7-11F5-4E05-81AB-E1A25DB86A6D}"/>
    <cellStyle name="Calculation 2 5 3 3 4 2" xfId="11544" xr:uid="{5090E7F0-2048-44AC-B266-8A4E9784139E}"/>
    <cellStyle name="Calculation 2 5 3 3 4 2 2" xfId="20590" xr:uid="{44AD1FAF-5FB2-4122-8C71-A88DE022AA01}"/>
    <cellStyle name="Calculation 2 5 3 3 4 3" xfId="17104" xr:uid="{DD3F8324-14AD-4DE6-8F35-07F7B3FD9288}"/>
    <cellStyle name="Calculation 2 5 3 3 5" xfId="6302" xr:uid="{C9229C29-0E04-44F5-BCCD-5F265A192041}"/>
    <cellStyle name="Calculation 2 5 3 3 5 2" xfId="12149" xr:uid="{6848F549-DB59-45A2-A421-1562E18C992E}"/>
    <cellStyle name="Calculation 2 5 3 3 5 2 2" xfId="21195" xr:uid="{C7EB1083-6F38-47A6-B065-A5645C1C7120}"/>
    <cellStyle name="Calculation 2 5 3 3 5 3" xfId="17715" xr:uid="{99AB3E94-EBB3-4D72-A670-BCF48CA52EF3}"/>
    <cellStyle name="Calculation 2 5 3 3 6" xfId="9563" xr:uid="{1DABC135-8A17-41A2-B9D9-2099620EE65F}"/>
    <cellStyle name="Calculation 2 5 3 3 6 2" xfId="18609" xr:uid="{A3385AEB-649C-4732-A679-D05D196340DD}"/>
    <cellStyle name="Calculation 2 5 3 3 7" xfId="12961" xr:uid="{D6838592-9FE6-4C48-94B1-DE11CB4B4E57}"/>
    <cellStyle name="Calculation 2 5 3 3 8" xfId="13518" xr:uid="{129229F7-A896-4FAC-8E25-C5E80AA9382B}"/>
    <cellStyle name="Calculation 2 5 3 3 9" xfId="14157" xr:uid="{1BD2E98B-85FA-40BB-8FD7-EE6DE1C05904}"/>
    <cellStyle name="Calculation 2 5 3 4" xfId="2851" xr:uid="{2B4B8C2B-B962-4BAC-BD12-9205BB25CB84}"/>
    <cellStyle name="Calculation 2 5 3 4 10" xfId="14920" xr:uid="{1734853E-7404-4F53-8690-BACF7C8FB87B}"/>
    <cellStyle name="Calculation 2 5 3 4 11" xfId="21788" xr:uid="{58B89C68-64D0-456B-90AD-89043CA52823}"/>
    <cellStyle name="Calculation 2 5 3 4 12" xfId="3140" xr:uid="{901AC410-24B7-4B8F-AA33-0A0AA8512843}"/>
    <cellStyle name="Calculation 2 5 3 4 2" xfId="4361" xr:uid="{2DD04F8B-44BF-47F0-94BB-F93FFA68B0A2}"/>
    <cellStyle name="Calculation 2 5 3 4 2 2" xfId="10218" xr:uid="{29094CE7-09DB-41E7-899C-3B745CD99ECA}"/>
    <cellStyle name="Calculation 2 5 3 4 2 2 2" xfId="19264" xr:uid="{DE44F969-A025-4D61-9433-B6812503281D}"/>
    <cellStyle name="Calculation 2 5 3 4 2 3" xfId="15778" xr:uid="{071ADE9C-1719-4327-8F43-4C58EF439288}"/>
    <cellStyle name="Calculation 2 5 3 4 2 4" xfId="22444" xr:uid="{22EDBA06-B9F3-4097-B0B5-B92366868BFC}"/>
    <cellStyle name="Calculation 2 5 3 4 3" xfId="4862" xr:uid="{EB6174A5-9F0B-4491-8042-98C1C966E418}"/>
    <cellStyle name="Calculation 2 5 3 4 3 2" xfId="10717" xr:uid="{59C29C13-751D-4E97-83B3-74D02A8478E1}"/>
    <cellStyle name="Calculation 2 5 3 4 3 2 2" xfId="19763" xr:uid="{C24CC99B-AF7B-43CB-BB05-E79B8EA7E296}"/>
    <cellStyle name="Calculation 2 5 3 4 3 3" xfId="16277" xr:uid="{EC97F6D4-7AB3-4980-BBC2-08581010E640}"/>
    <cellStyle name="Calculation 2 5 3 4 3 4" xfId="22939" xr:uid="{2308F80E-0FF5-40F2-8906-FA782C1CDA5E}"/>
    <cellStyle name="Calculation 2 5 3 4 4" xfId="5477" xr:uid="{24EF7135-7208-43FC-81F3-696192E704D7}"/>
    <cellStyle name="Calculation 2 5 3 4 4 2" xfId="11330" xr:uid="{B9AC4AD4-DF34-4B4E-B47F-F2654F12DFCF}"/>
    <cellStyle name="Calculation 2 5 3 4 4 2 2" xfId="20376" xr:uid="{88F3EF19-6BA4-4CBC-8739-EB7653334343}"/>
    <cellStyle name="Calculation 2 5 3 4 4 3" xfId="16890" xr:uid="{A532895C-D2C8-43C9-9461-B56C02F55E13}"/>
    <cellStyle name="Calculation 2 5 3 4 5" xfId="6088" xr:uid="{29338702-5306-4F82-9198-C91E282E120D}"/>
    <cellStyle name="Calculation 2 5 3 4 5 2" xfId="11937" xr:uid="{F883ABED-29F4-4F73-8B3E-E16E7EB8D410}"/>
    <cellStyle name="Calculation 2 5 3 4 5 2 2" xfId="20983" xr:uid="{3F5398A3-88FD-4A57-92BE-A1A34D884CA4}"/>
    <cellStyle name="Calculation 2 5 3 4 5 3" xfId="17501" xr:uid="{B3859716-B943-4FEC-852E-732969EF3E3B}"/>
    <cellStyle name="Calculation 2 5 3 4 6" xfId="9351" xr:uid="{84BEDAD7-979A-4C73-8D74-A04B02E7DBEA}"/>
    <cellStyle name="Calculation 2 5 3 4 6 2" xfId="18397" xr:uid="{8828A59A-C2E0-445F-BC13-3D1AE470A725}"/>
    <cellStyle name="Calculation 2 5 3 4 7" xfId="12747" xr:uid="{5F3195BA-A5FE-4F47-8EDD-27C800B6F275}"/>
    <cellStyle name="Calculation 2 5 3 4 8" xfId="13307" xr:uid="{D4F4DBF1-6300-413F-B4D8-B359F3788CB1}"/>
    <cellStyle name="Calculation 2 5 3 4 9" xfId="13943" xr:uid="{F657F2DE-1528-471C-9314-CDAC8EEB194F}"/>
    <cellStyle name="Calculation 2 5 3 5" xfId="3741" xr:uid="{D020AFDD-34E3-4875-A337-CD3E45197A91}"/>
    <cellStyle name="Calculation 2 5 3 5 2" xfId="9783" xr:uid="{A88F91E1-583B-4C50-B84B-D85567282524}"/>
    <cellStyle name="Calculation 2 5 3 5 2 2" xfId="18829" xr:uid="{A6DCC852-D2CB-46C2-AB8D-8EF4EDDE2FA6}"/>
    <cellStyle name="Calculation 2 5 3 5 3" xfId="15349" xr:uid="{509B3773-F9B6-4AB0-816A-F0D83E92290D}"/>
    <cellStyle name="Calculation 2 5 3 5 4" xfId="22328" xr:uid="{F7810E07-8EF8-4EA3-A3E7-B3480FFBCCD5}"/>
    <cellStyle name="Calculation 2 5 3 6" xfId="4225" xr:uid="{D3F3C515-33F8-49A0-8805-6E11157DE72C}"/>
    <cellStyle name="Calculation 2 5 3 6 2" xfId="10082" xr:uid="{DA3F750E-B3F0-4DEE-BFF0-6664551B867F}"/>
    <cellStyle name="Calculation 2 5 3 6 2 2" xfId="19128" xr:uid="{A17099C2-EF12-408D-A287-5A24A80B5065}"/>
    <cellStyle name="Calculation 2 5 3 6 3" xfId="15642" xr:uid="{B8DD9C9F-48D0-49E6-BFA8-A497F7846995}"/>
    <cellStyle name="Calculation 2 5 3 6 4" xfId="22399" xr:uid="{62D147D0-A287-4750-AD2C-CA5BE99AF51A}"/>
    <cellStyle name="Calculation 2 5 3 7" xfId="4290" xr:uid="{CBBE6804-4CEB-453B-BC01-3DE0B8B83DD4}"/>
    <cellStyle name="Calculation 2 5 3 7 2" xfId="10147" xr:uid="{6612D44B-BAE3-4463-AB00-D2407FC0B05B}"/>
    <cellStyle name="Calculation 2 5 3 7 2 2" xfId="19193" xr:uid="{005EA851-0447-43C4-92C1-E83A4686C65D}"/>
    <cellStyle name="Calculation 2 5 3 7 3" xfId="15707" xr:uid="{27D66ECA-14D7-4748-830D-9A651CE22B60}"/>
    <cellStyle name="Calculation 2 5 3 8" xfId="5262" xr:uid="{E1E39141-612B-419B-AA3A-22A2FEC1D5E5}"/>
    <cellStyle name="Calculation 2 5 3 8 2" xfId="11115" xr:uid="{EE7E14AF-CA65-465F-926A-CA1F56400117}"/>
    <cellStyle name="Calculation 2 5 3 8 2 2" xfId="20161" xr:uid="{D410E1E3-33D7-44E8-960E-2A34CC6E9E5E}"/>
    <cellStyle name="Calculation 2 5 3 8 3" xfId="16675" xr:uid="{2809BC01-180F-457C-925D-955D2AC5FFE5}"/>
    <cellStyle name="Calculation 2 5 3 9" xfId="5873" xr:uid="{97ED787A-EDA1-43DE-AEED-3C51091565A5}"/>
    <cellStyle name="Calculation 2 5 3 9 2" xfId="11726" xr:uid="{90ADDFC6-7EBB-4095-B2D6-FF467D5BDF22}"/>
    <cellStyle name="Calculation 2 5 3 9 2 2" xfId="20772" xr:uid="{70A6292D-8377-4634-8118-D7523E35CFAC}"/>
    <cellStyle name="Calculation 2 5 3 9 3" xfId="17286" xr:uid="{1BDCA17A-CA96-4F15-A8DC-1B9B2B7E7BD0}"/>
    <cellStyle name="Calculation 2 5 4" xfId="2290" xr:uid="{9E1F24BA-8206-46F0-BCDC-2CF35FD75167}"/>
    <cellStyle name="Calculation 2 5 4 10" xfId="13149" xr:uid="{8F54FA43-4344-4AAA-9AF4-7D646E738AF2}"/>
    <cellStyle name="Calculation 2 5 4 11" xfId="13781" xr:uid="{10B7D5E5-EC5C-46A3-BC2A-7E41F993E64E}"/>
    <cellStyle name="Calculation 2 5 4 12" xfId="14758" xr:uid="{96FA769D-4D63-404B-A380-8D80ECB51D08}"/>
    <cellStyle name="Calculation 2 5 4 13" xfId="21628" xr:uid="{BB27962C-0201-46B4-AF90-8B9A9D5D9B19}"/>
    <cellStyle name="Calculation 2 5 4 2" xfId="2811" xr:uid="{3EBBEF6A-3EAF-4B99-8C33-4A1F74934893}"/>
    <cellStyle name="Calculation 2 5 4 2 10" xfId="15185" xr:uid="{7C47F3F8-571E-4D73-91FB-42E61552AB73}"/>
    <cellStyle name="Calculation 2 5 4 2 11" xfId="22054" xr:uid="{16E46D3E-F52D-467E-94AC-BF196A290215}"/>
    <cellStyle name="Calculation 2 5 4 2 12" xfId="3405" xr:uid="{CC1ED906-4BC4-4769-A4B9-BECD9C95B304}"/>
    <cellStyle name="Calculation 2 5 4 2 2" xfId="4628" xr:uid="{F9B53B97-2AA2-45F8-AF7D-7B006AE46FD8}"/>
    <cellStyle name="Calculation 2 5 4 2 2 2" xfId="10485" xr:uid="{8F74833D-9B57-4E6D-8A05-329FB5F262F8}"/>
    <cellStyle name="Calculation 2 5 4 2 2 2 2" xfId="19531" xr:uid="{55954F45-5367-4E1B-A2AA-010F87922412}"/>
    <cellStyle name="Calculation 2 5 4 2 2 3" xfId="16045" xr:uid="{3C392981-C84E-45DC-BE05-48F6205B63E2}"/>
    <cellStyle name="Calculation 2 5 4 2 2 4" xfId="22710" xr:uid="{1B84040D-E9B0-4169-ADE2-E8B1E0FA19A7}"/>
    <cellStyle name="Calculation 2 5 4 2 3" xfId="5129" xr:uid="{52BB2E41-6856-4619-B9C0-2193A4215A84}"/>
    <cellStyle name="Calculation 2 5 4 2 3 2" xfId="10982" xr:uid="{35BAE4DD-0D89-4981-9DD3-04D9E97BEFCF}"/>
    <cellStyle name="Calculation 2 5 4 2 3 2 2" xfId="20028" xr:uid="{9680E242-C7F9-40C5-A182-6F9D714042DF}"/>
    <cellStyle name="Calculation 2 5 4 2 3 3" xfId="16542" xr:uid="{48F78507-933B-46C6-81F6-F4A1A8196E6E}"/>
    <cellStyle name="Calculation 2 5 4 2 3 4" xfId="23205" xr:uid="{4545F8E9-2373-489F-AF14-DAF2DD4EF73B}"/>
    <cellStyle name="Calculation 2 5 4 2 4" xfId="5744" xr:uid="{C90D7F6F-86C0-43EB-AFB8-6CCBF8758880}"/>
    <cellStyle name="Calculation 2 5 4 2 4 2" xfId="11597" xr:uid="{C91EACAF-B865-4769-AD22-769A1391C39F}"/>
    <cellStyle name="Calculation 2 5 4 2 4 2 2" xfId="20643" xr:uid="{1D6CD777-8CF5-461D-AB84-9C1A188D5B5E}"/>
    <cellStyle name="Calculation 2 5 4 2 4 3" xfId="17157" xr:uid="{04B086F5-9F74-4C68-A5B1-F19308C141D9}"/>
    <cellStyle name="Calculation 2 5 4 2 5" xfId="6355" xr:uid="{FC440800-CD17-4357-8E88-C0283E768255}"/>
    <cellStyle name="Calculation 2 5 4 2 5 2" xfId="12202" xr:uid="{85DCD244-BF04-4602-AF6A-7D1214E755D1}"/>
    <cellStyle name="Calculation 2 5 4 2 5 2 2" xfId="21248" xr:uid="{60450C22-3F99-483A-8551-D1076EEF455C}"/>
    <cellStyle name="Calculation 2 5 4 2 5 3" xfId="17768" xr:uid="{EA279E5C-4F5E-4DDD-9989-E3458DD3F1B2}"/>
    <cellStyle name="Calculation 2 5 4 2 6" xfId="9616" xr:uid="{D5CEEA16-4E3C-4AC2-BEB4-2B5DD34A7A96}"/>
    <cellStyle name="Calculation 2 5 4 2 6 2" xfId="18662" xr:uid="{D91267D9-4C8F-4417-B878-36ACCB373FCA}"/>
    <cellStyle name="Calculation 2 5 4 2 7" xfId="13014" xr:uid="{3605C064-DAAE-4CE4-BE91-F1EDA126C3DA}"/>
    <cellStyle name="Calculation 2 5 4 2 8" xfId="13571" xr:uid="{37BAD121-0CC4-48C1-889F-794D2837C402}"/>
    <cellStyle name="Calculation 2 5 4 2 9" xfId="14210" xr:uid="{FD0B237D-3489-47CD-8DF9-7483A517B245}"/>
    <cellStyle name="Calculation 2 5 4 3" xfId="2856" xr:uid="{59FD2B24-2EA6-45A0-B75B-A8AD900500D9}"/>
    <cellStyle name="Calculation 2 5 4 3 10" xfId="14973" xr:uid="{2DB82630-35E0-44E8-822C-E38B1327D734}"/>
    <cellStyle name="Calculation 2 5 4 3 11" xfId="21841" xr:uid="{46AF6B48-D812-4174-9D13-A9ADEFB24534}"/>
    <cellStyle name="Calculation 2 5 4 3 12" xfId="3193" xr:uid="{0C8240D4-3175-4DCA-ADB7-485FBDBEA662}"/>
    <cellStyle name="Calculation 2 5 4 3 2" xfId="4414" xr:uid="{E9ECFFAE-C541-4C80-A93C-B3AB96DC9C8D}"/>
    <cellStyle name="Calculation 2 5 4 3 2 2" xfId="10271" xr:uid="{589A9626-B196-4559-A9F2-8246A95367AE}"/>
    <cellStyle name="Calculation 2 5 4 3 2 2 2" xfId="19317" xr:uid="{D00F94B6-A4FA-4656-A2BB-D888549BA45B}"/>
    <cellStyle name="Calculation 2 5 4 3 2 3" xfId="15831" xr:uid="{7485AFAD-7BBE-4445-AE28-DDBE100E6637}"/>
    <cellStyle name="Calculation 2 5 4 3 2 4" xfId="22497" xr:uid="{F552043A-419A-4CE3-887E-38374AF2D8CB}"/>
    <cellStyle name="Calculation 2 5 4 3 3" xfId="4915" xr:uid="{E759DBB9-06E3-4B25-837F-F5A8BBE623FB}"/>
    <cellStyle name="Calculation 2 5 4 3 3 2" xfId="10770" xr:uid="{6C321BAF-C8C7-46F1-A5E1-FF6780ADE34E}"/>
    <cellStyle name="Calculation 2 5 4 3 3 2 2" xfId="19816" xr:uid="{0DE7A52B-510F-44FE-BC30-AF1B5A259431}"/>
    <cellStyle name="Calculation 2 5 4 3 3 3" xfId="16330" xr:uid="{6BA122D7-6492-4B0B-8637-2E5B5DAA8175}"/>
    <cellStyle name="Calculation 2 5 4 3 3 4" xfId="22992" xr:uid="{E1C3D2B7-DC13-4DA0-B279-A43BA5007195}"/>
    <cellStyle name="Calculation 2 5 4 3 4" xfId="5530" xr:uid="{4DC49F8D-7416-4946-8E52-2A4B4FB53CAC}"/>
    <cellStyle name="Calculation 2 5 4 3 4 2" xfId="11383" xr:uid="{16A16A5E-2F9B-43CD-A73F-28F0047F6635}"/>
    <cellStyle name="Calculation 2 5 4 3 4 2 2" xfId="20429" xr:uid="{F97ADDE8-4035-42D7-BE35-DE2D0F58379D}"/>
    <cellStyle name="Calculation 2 5 4 3 4 3" xfId="16943" xr:uid="{AB29DE7B-0CFE-4C2D-A07E-456336090E00}"/>
    <cellStyle name="Calculation 2 5 4 3 5" xfId="6141" xr:uid="{7E8E3050-31C9-4035-9516-7FE5205B657E}"/>
    <cellStyle name="Calculation 2 5 4 3 5 2" xfId="11990" xr:uid="{A9838D5D-EE4D-4B51-9F36-7C2FF3680EB7}"/>
    <cellStyle name="Calculation 2 5 4 3 5 2 2" xfId="21036" xr:uid="{C71995AB-0A1A-4B2F-B93D-BE3ADFEB3031}"/>
    <cellStyle name="Calculation 2 5 4 3 5 3" xfId="17554" xr:uid="{AB32BE36-59D6-41A4-9702-6514A0DAE033}"/>
    <cellStyle name="Calculation 2 5 4 3 6" xfId="9404" xr:uid="{780B4C03-C563-4F4E-A5F1-5004E7361538}"/>
    <cellStyle name="Calculation 2 5 4 3 6 2" xfId="18450" xr:uid="{72B205CF-B5E3-4620-9EF4-B9AFD66968EC}"/>
    <cellStyle name="Calculation 2 5 4 3 7" xfId="12800" xr:uid="{75D14010-7399-4FC0-BE2D-0FBE1FC45F24}"/>
    <cellStyle name="Calculation 2 5 4 3 8" xfId="13360" xr:uid="{81AE2D27-FAC4-4FC6-9936-58AE929D786E}"/>
    <cellStyle name="Calculation 2 5 4 3 9" xfId="13996" xr:uid="{E08DD9D0-5BA4-4516-8DBB-6E7559ACD766}"/>
    <cellStyle name="Calculation 2 5 4 4" xfId="3980" xr:uid="{86ECC699-B6EE-4DB8-949C-54ABC0B66D1D}"/>
    <cellStyle name="Calculation 2 5 4 4 2" xfId="9842" xr:uid="{BD787C0E-3F6C-494B-A412-12309EE428B8}"/>
    <cellStyle name="Calculation 2 5 4 4 2 2" xfId="18888" xr:uid="{26858671-D098-445B-9D1E-AD523D9E55A4}"/>
    <cellStyle name="Calculation 2 5 4 4 3" xfId="15404" xr:uid="{DF981EBD-8C7C-401C-92DE-1144382E22C6}"/>
    <cellStyle name="Calculation 2 5 4 4 4" xfId="22376" xr:uid="{7EC3886C-478F-439B-A820-626B20BA4015}"/>
    <cellStyle name="Calculation 2 5 4 5" xfId="4117" xr:uid="{79486F17-11BD-4AEE-9E4D-7EE4E06FC600}"/>
    <cellStyle name="Calculation 2 5 4 5 2" xfId="9974" xr:uid="{BB8BF3D8-953D-45E7-8E47-78086E9C7898}"/>
    <cellStyle name="Calculation 2 5 4 5 2 2" xfId="19020" xr:uid="{EC848A82-A17E-4F85-B497-893142442C5D}"/>
    <cellStyle name="Calculation 2 5 4 5 3" xfId="15534" xr:uid="{6B21F246-6D07-4001-85FF-4DB56D00B715}"/>
    <cellStyle name="Calculation 2 5 4 6" xfId="5315" xr:uid="{E57DBDDC-E393-4445-82CB-6B43F82A6DC8}"/>
    <cellStyle name="Calculation 2 5 4 6 2" xfId="11168" xr:uid="{CBD82BA5-7165-42BC-8EB8-E481053B39F6}"/>
    <cellStyle name="Calculation 2 5 4 6 2 2" xfId="20214" xr:uid="{4E8ADD1B-F812-4585-B77F-5B2ED2AAE717}"/>
    <cellStyle name="Calculation 2 5 4 6 3" xfId="16728" xr:uid="{DD7ACAB7-7F64-4B15-993A-D288C5263118}"/>
    <cellStyle name="Calculation 2 5 4 7" xfId="5926" xr:uid="{380AA4C8-F0B1-4EFF-9406-4EC54B66E9BA}"/>
    <cellStyle name="Calculation 2 5 4 7 2" xfId="11779" xr:uid="{E8A7D469-3020-44C3-A61A-E34F177E68FF}"/>
    <cellStyle name="Calculation 2 5 4 7 2 2" xfId="20825" xr:uid="{63E9351B-AEC5-46FD-A249-0458EE8195EC}"/>
    <cellStyle name="Calculation 2 5 4 7 3" xfId="17339" xr:uid="{76271D21-A771-49D3-8F4A-2AFE0CF5D086}"/>
    <cellStyle name="Calculation 2 5 4 8" xfId="9189" xr:uid="{B3AF131B-E161-4439-80FD-E14240957681}"/>
    <cellStyle name="Calculation 2 5 4 8 2" xfId="18235" xr:uid="{4ECA7209-8451-4DB5-8752-67BDEAC911E5}"/>
    <cellStyle name="Calculation 2 5 4 9" xfId="12587" xr:uid="{62A929F7-D5EA-4F96-A37D-417548DF13FC}"/>
    <cellStyle name="Calculation 2 5 5" xfId="2816" xr:uid="{4CD49449-0A84-4A94-B2B1-58C93470734A}"/>
    <cellStyle name="Calculation 2 5 5 10" xfId="15105" xr:uid="{436026FE-9D96-4995-BBEF-78EF6C5253EE}"/>
    <cellStyle name="Calculation 2 5 5 11" xfId="21974" xr:uid="{0BB3E4A3-0B82-487C-A107-D058C82BBF4C}"/>
    <cellStyle name="Calculation 2 5 5 12" xfId="3325" xr:uid="{7BE0E805-3EA0-4D91-8B96-54FC12332E6C}"/>
    <cellStyle name="Calculation 2 5 5 2" xfId="4548" xr:uid="{89FA46B6-EC68-4240-8C78-945FFA92FFB7}"/>
    <cellStyle name="Calculation 2 5 5 2 2" xfId="10405" xr:uid="{57A21199-5584-485F-B66E-6BE5F03570CF}"/>
    <cellStyle name="Calculation 2 5 5 2 2 2" xfId="19451" xr:uid="{CBCAA4E6-9267-47B7-B9ED-53D149FE9199}"/>
    <cellStyle name="Calculation 2 5 5 2 3" xfId="15965" xr:uid="{E81B5F20-78DB-434F-9216-70F3304A2D47}"/>
    <cellStyle name="Calculation 2 5 5 2 4" xfId="22630" xr:uid="{6DF93A14-2517-4C6C-94B1-953DFD8810C3}"/>
    <cellStyle name="Calculation 2 5 5 3" xfId="5049" xr:uid="{A7F8F948-FC81-4532-9DAC-426A65F4BEC8}"/>
    <cellStyle name="Calculation 2 5 5 3 2" xfId="10902" xr:uid="{4A2C265A-DDEC-4542-87D0-44C2E7E526D8}"/>
    <cellStyle name="Calculation 2 5 5 3 2 2" xfId="19948" xr:uid="{F1CA911D-885B-4BAA-8D46-CB4F6CD12C99}"/>
    <cellStyle name="Calculation 2 5 5 3 3" xfId="16462" xr:uid="{9EC83907-5E06-4D0F-AF9C-91965F8BCDC5}"/>
    <cellStyle name="Calculation 2 5 5 3 4" xfId="23125" xr:uid="{0558D40B-B8B6-47D8-ADE1-273399813063}"/>
    <cellStyle name="Calculation 2 5 5 4" xfId="5664" xr:uid="{96080D09-2D0F-484F-AD4C-FEC032D5ECFC}"/>
    <cellStyle name="Calculation 2 5 5 4 2" xfId="11517" xr:uid="{EB100025-700D-4008-94A5-8F5966EEECCE}"/>
    <cellStyle name="Calculation 2 5 5 4 2 2" xfId="20563" xr:uid="{95B02FAB-D116-47D9-9F2E-69810093545A}"/>
    <cellStyle name="Calculation 2 5 5 4 3" xfId="17077" xr:uid="{90CC5526-2607-439A-ACE9-CC06086FFB78}"/>
    <cellStyle name="Calculation 2 5 5 5" xfId="6275" xr:uid="{4AD31DE8-CD09-437F-948A-35DAEC1C0A20}"/>
    <cellStyle name="Calculation 2 5 5 5 2" xfId="12122" xr:uid="{31E8DD3D-71E2-485E-9A56-56A1096B3CD3}"/>
    <cellStyle name="Calculation 2 5 5 5 2 2" xfId="21168" xr:uid="{ACA3F022-534E-4F96-A724-634393123FCD}"/>
    <cellStyle name="Calculation 2 5 5 5 3" xfId="17688" xr:uid="{8E7ACB9C-2E2D-426C-B6CB-B1EDA22C7B5C}"/>
    <cellStyle name="Calculation 2 5 5 6" xfId="9536" xr:uid="{FED92B30-61D6-4F30-B868-17161CE0ABF0}"/>
    <cellStyle name="Calculation 2 5 5 6 2" xfId="18582" xr:uid="{78752C9A-71FD-4377-859A-2F2CECE5047C}"/>
    <cellStyle name="Calculation 2 5 5 7" xfId="12934" xr:uid="{660A144E-18D3-4150-9604-071BEE1BB9BD}"/>
    <cellStyle name="Calculation 2 5 5 8" xfId="13491" xr:uid="{AAAD0C69-4CFB-4DEA-B330-473F8CE112A8}"/>
    <cellStyle name="Calculation 2 5 5 9" xfId="14130" xr:uid="{D93A939A-E811-4433-A47C-2DB086EC292B}"/>
    <cellStyle name="Calculation 2 5 6" xfId="2848" xr:uid="{0711194F-DDFB-4B55-8FFD-E65BAF00B654}"/>
    <cellStyle name="Calculation 2 5 6 10" xfId="14893" xr:uid="{EDFA550C-38F1-47D5-986E-DAEC39905FA1}"/>
    <cellStyle name="Calculation 2 5 6 11" xfId="21760" xr:uid="{97C445B1-5A81-46D1-A275-D0015DF5420B}"/>
    <cellStyle name="Calculation 2 5 6 12" xfId="3112" xr:uid="{0B3C36ED-C294-4CF6-895C-189FF461012B}"/>
    <cellStyle name="Calculation 2 5 6 2" xfId="4333" xr:uid="{7AC4294C-EFAC-4056-9785-B20420215E50}"/>
    <cellStyle name="Calculation 2 5 6 2 2" xfId="10190" xr:uid="{93B1588C-45CF-4D6F-9D61-21F1CCE00B8E}"/>
    <cellStyle name="Calculation 2 5 6 2 2 2" xfId="19236" xr:uid="{96D2E530-C646-499C-812E-11C235937DF5}"/>
    <cellStyle name="Calculation 2 5 6 2 3" xfId="15750" xr:uid="{5301572B-63F2-4573-8516-AFA448CEBF50}"/>
    <cellStyle name="Calculation 2 5 6 2 4" xfId="22416" xr:uid="{2285E8BF-7CC5-49CD-A459-6183626F9729}"/>
    <cellStyle name="Calculation 2 5 6 3" xfId="4834" xr:uid="{99C75F59-7FA1-45A9-8570-86B77C6337AA}"/>
    <cellStyle name="Calculation 2 5 6 3 2" xfId="10690" xr:uid="{14789E0F-3785-49C3-91DC-CCCA98F0733D}"/>
    <cellStyle name="Calculation 2 5 6 3 2 2" xfId="19736" xr:uid="{2F725F0B-96C3-466F-BF36-5529699F591D}"/>
    <cellStyle name="Calculation 2 5 6 3 3" xfId="16250" xr:uid="{1BBC8AEF-92A7-4A3B-AD85-EF21776C72E1}"/>
    <cellStyle name="Calculation 2 5 6 3 4" xfId="22911" xr:uid="{B3251B46-8A9C-4DBE-89FF-85F668AFAD0D}"/>
    <cellStyle name="Calculation 2 5 6 4" xfId="5449" xr:uid="{F74EF45E-02F5-4E10-B521-AE031A93A57A}"/>
    <cellStyle name="Calculation 2 5 6 4 2" xfId="11302" xr:uid="{82ABF032-3D79-4BE0-AC49-627C03D279A4}"/>
    <cellStyle name="Calculation 2 5 6 4 2 2" xfId="20348" xr:uid="{8637FE25-DB6D-4D39-A9DD-D0439692B0C7}"/>
    <cellStyle name="Calculation 2 5 6 4 3" xfId="16862" xr:uid="{21DCC6D4-6315-442D-BCB2-C846A379D072}"/>
    <cellStyle name="Calculation 2 5 6 5" xfId="6060" xr:uid="{7D27C819-BBC1-46F2-B470-E0BDBAF55111}"/>
    <cellStyle name="Calculation 2 5 6 5 2" xfId="11910" xr:uid="{7D6CF149-5647-42DB-B9EB-FF2B42CECD69}"/>
    <cellStyle name="Calculation 2 5 6 5 2 2" xfId="20956" xr:uid="{C222BDC1-7EBE-4D4E-BC55-EA5DBFD86DFA}"/>
    <cellStyle name="Calculation 2 5 6 5 3" xfId="17473" xr:uid="{BF56B598-5286-4D14-B0AF-B040DC20BF1C}"/>
    <cellStyle name="Calculation 2 5 6 6" xfId="9324" xr:uid="{B11FB258-ADF2-431F-A3ED-A1D1BC715481}"/>
    <cellStyle name="Calculation 2 5 6 6 2" xfId="18370" xr:uid="{D785DAEE-8AD4-4852-92E9-50D9A05749B8}"/>
    <cellStyle name="Calculation 2 5 6 7" xfId="12719" xr:uid="{C0908761-7AEB-43E8-9610-4BD327C58E20}"/>
    <cellStyle name="Calculation 2 5 6 8" xfId="13280" xr:uid="{C68728B6-3008-404D-ADA5-C700A7465333}"/>
    <cellStyle name="Calculation 2 5 6 9" xfId="13915" xr:uid="{34A98815-5FF4-46B6-AC71-FF0223EC4435}"/>
    <cellStyle name="Calculation 2 5 7" xfId="3712" xr:uid="{638169CD-C225-4575-9EAB-2DA4BD032D2D}"/>
    <cellStyle name="Calculation 2 5 7 2" xfId="9754" xr:uid="{F4FECE02-1142-4A3E-AF00-E98D852FDF17}"/>
    <cellStyle name="Calculation 2 5 7 2 2" xfId="18800" xr:uid="{934AD0E6-75B9-4A6F-B22E-4C059A60BFAF}"/>
    <cellStyle name="Calculation 2 5 7 3" xfId="15320" xr:uid="{9B9C5A01-6444-45F2-9430-E92FCE01E8F1}"/>
    <cellStyle name="Calculation 2 5 7 4" xfId="22299" xr:uid="{1D1BCE85-98B4-49FC-82B4-370D489F8405}"/>
    <cellStyle name="Calculation 2 5 8" xfId="4196" xr:uid="{63E0E86B-93C0-4BF3-99C8-ABF49A0D8FC7}"/>
    <cellStyle name="Calculation 2 5 8 2" xfId="10053" xr:uid="{2A846347-F78B-4782-9975-A5FA14303100}"/>
    <cellStyle name="Calculation 2 5 8 2 2" xfId="19099" xr:uid="{F52DFB68-296A-49EA-8839-1CA00B62CD04}"/>
    <cellStyle name="Calculation 2 5 8 3" xfId="15613" xr:uid="{186DF8CC-DA2F-4B28-9515-C6AAEF0B68F3}"/>
    <cellStyle name="Calculation 2 5 8 4" xfId="22279" xr:uid="{F39E1D79-C123-4292-B7F6-FD6684AEE0DE}"/>
    <cellStyle name="Calculation 2 5 9" xfId="4189" xr:uid="{E02D8C16-5739-4D69-8AB4-E2C93594CED6}"/>
    <cellStyle name="Calculation 2 5 9 2" xfId="10046" xr:uid="{A7FCBDB2-221E-4365-9E46-EE07CD9E37B6}"/>
    <cellStyle name="Calculation 2 5 9 2 2" xfId="19092" xr:uid="{4B1C5E89-F742-47FB-9D14-0D2F8429D769}"/>
    <cellStyle name="Calculation 2 5 9 3" xfId="15606" xr:uid="{A410ED22-0A3A-4F19-A52E-AD57BB21740C}"/>
    <cellStyle name="Calculation 2 6" xfId="2291" xr:uid="{E8CE514D-FA55-4D00-9D17-338FF3BE4D51}"/>
    <cellStyle name="Calculation 2 6 10" xfId="13150" xr:uid="{0964E4DE-4D7F-42D1-873B-D659D0219100}"/>
    <cellStyle name="Calculation 2 6 11" xfId="13782" xr:uid="{BF494FCD-E335-4C23-88FF-4D72B6DC42B8}"/>
    <cellStyle name="Calculation 2 6 12" xfId="14759" xr:uid="{2F3515E2-FD34-40B6-B0D4-AE2535812D9C}"/>
    <cellStyle name="Calculation 2 6 13" xfId="21629" xr:uid="{9C90FA01-4B3E-40B5-8A59-61360E122217}"/>
    <cellStyle name="Calculation 2 6 2" xfId="2680" xr:uid="{E5BC7290-012A-4A17-BA45-87D6E1FF49D9}"/>
    <cellStyle name="Calculation 2 6 2 10" xfId="15186" xr:uid="{A1F55DA2-2E9F-4C3E-A6BE-504C5DA01008}"/>
    <cellStyle name="Calculation 2 6 2 11" xfId="22055" xr:uid="{EEC8055B-603B-4719-8432-02CE2B5CE9DA}"/>
    <cellStyle name="Calculation 2 6 2 12" xfId="3406" xr:uid="{3B926366-5E6E-4319-BADF-BF62EE072C38}"/>
    <cellStyle name="Calculation 2 6 2 2" xfId="4629" xr:uid="{AB3AE293-0E40-4B18-BFB7-7D0F3F930892}"/>
    <cellStyle name="Calculation 2 6 2 2 2" xfId="10486" xr:uid="{56B948BE-76A9-482A-8F52-AAE4C8CEF53E}"/>
    <cellStyle name="Calculation 2 6 2 2 2 2" xfId="19532" xr:uid="{0FF3CE35-DD9F-4F70-BE5C-36CDAA8D6DBE}"/>
    <cellStyle name="Calculation 2 6 2 2 3" xfId="16046" xr:uid="{59BE761A-EEA0-4233-BE15-7CB4FF9AA069}"/>
    <cellStyle name="Calculation 2 6 2 2 4" xfId="22711" xr:uid="{2D7C4686-00B2-4E2F-9CDE-EC31A549237B}"/>
    <cellStyle name="Calculation 2 6 2 3" xfId="5130" xr:uid="{34C19587-0324-4078-9781-FBFBA0B806A4}"/>
    <cellStyle name="Calculation 2 6 2 3 2" xfId="10983" xr:uid="{F2B92D58-24F5-4447-A115-1153C2E41E52}"/>
    <cellStyle name="Calculation 2 6 2 3 2 2" xfId="20029" xr:uid="{E7BF96AE-9C69-450F-9133-9E208C9093C1}"/>
    <cellStyle name="Calculation 2 6 2 3 3" xfId="16543" xr:uid="{10E5C4DE-EDF5-4F96-8696-972F2B21BFF7}"/>
    <cellStyle name="Calculation 2 6 2 3 4" xfId="23206" xr:uid="{23F62FF1-3F01-4AFF-A14C-E78497B8883B}"/>
    <cellStyle name="Calculation 2 6 2 4" xfId="5745" xr:uid="{1388CD94-ADCF-4EF6-B533-CF4933234027}"/>
    <cellStyle name="Calculation 2 6 2 4 2" xfId="11598" xr:uid="{9A676D06-EA15-482C-BCA0-B85860D6B1CF}"/>
    <cellStyle name="Calculation 2 6 2 4 2 2" xfId="20644" xr:uid="{E71B336D-81ED-4343-B4E2-BBCD4CC687D3}"/>
    <cellStyle name="Calculation 2 6 2 4 3" xfId="17158" xr:uid="{72974331-786E-4AEE-A6D2-83877EDB275A}"/>
    <cellStyle name="Calculation 2 6 2 5" xfId="6356" xr:uid="{BC601252-12B5-4E90-BB4A-6AA99B112A23}"/>
    <cellStyle name="Calculation 2 6 2 5 2" xfId="12203" xr:uid="{307FE45E-344D-4295-A476-08B02B99F9C2}"/>
    <cellStyle name="Calculation 2 6 2 5 2 2" xfId="21249" xr:uid="{FC55F957-1453-4D15-A2A3-8010758167CE}"/>
    <cellStyle name="Calculation 2 6 2 5 3" xfId="17769" xr:uid="{D27D76C9-0B48-4BEE-8BB8-D9F9A4DCA5B3}"/>
    <cellStyle name="Calculation 2 6 2 6" xfId="9617" xr:uid="{DAB487C3-61C2-4017-ACFA-02EE570B965E}"/>
    <cellStyle name="Calculation 2 6 2 6 2" xfId="18663" xr:uid="{4AE861A0-EB01-42AD-8F3E-BAC2D1131945}"/>
    <cellStyle name="Calculation 2 6 2 7" xfId="13015" xr:uid="{191FF2B2-9935-4B00-A933-3F142984DDDA}"/>
    <cellStyle name="Calculation 2 6 2 8" xfId="13572" xr:uid="{A2063CCA-437B-4666-89F0-79664AEA5079}"/>
    <cellStyle name="Calculation 2 6 2 9" xfId="14211" xr:uid="{FD088251-4197-4CD5-B912-BBE65B4ED68B}"/>
    <cellStyle name="Calculation 2 6 3" xfId="2857" xr:uid="{45654751-0F3D-4182-9C80-FBFBC759B0E3}"/>
    <cellStyle name="Calculation 2 6 3 10" xfId="14974" xr:uid="{F862F991-6874-4F76-8B35-277C449EB282}"/>
    <cellStyle name="Calculation 2 6 3 11" xfId="21842" xr:uid="{821DD54D-4261-42DF-B3F4-18335086895C}"/>
    <cellStyle name="Calculation 2 6 3 12" xfId="3194" xr:uid="{4FAADF8E-633F-4C26-BFD5-A8D0E7D6C12D}"/>
    <cellStyle name="Calculation 2 6 3 2" xfId="4415" xr:uid="{1CDFD3EC-2CB7-4914-8463-9ACA189C7BA1}"/>
    <cellStyle name="Calculation 2 6 3 2 2" xfId="10272" xr:uid="{1B29389D-3B5E-4293-A270-5D1F80796DA0}"/>
    <cellStyle name="Calculation 2 6 3 2 2 2" xfId="19318" xr:uid="{A9D32BDB-96A1-4970-8FE6-3879F72CBA17}"/>
    <cellStyle name="Calculation 2 6 3 2 3" xfId="15832" xr:uid="{6FCC9835-9F81-47A7-BCC9-DEA8C582FC42}"/>
    <cellStyle name="Calculation 2 6 3 2 4" xfId="22498" xr:uid="{DDF38D26-D1E3-4507-87E8-D5F8AA5A3CF6}"/>
    <cellStyle name="Calculation 2 6 3 3" xfId="4916" xr:uid="{4CADB6C5-1E19-4F27-9349-48677B77750F}"/>
    <cellStyle name="Calculation 2 6 3 3 2" xfId="10771" xr:uid="{ABC6FE44-B747-4BD5-AFFF-E2BAA943F8EF}"/>
    <cellStyle name="Calculation 2 6 3 3 2 2" xfId="19817" xr:uid="{D3BBFA14-86CA-4C50-A1DD-ECAFB222493A}"/>
    <cellStyle name="Calculation 2 6 3 3 3" xfId="16331" xr:uid="{07B00890-9C9F-489E-8787-9B13CCB944DE}"/>
    <cellStyle name="Calculation 2 6 3 3 4" xfId="22993" xr:uid="{A438892C-9F85-4A26-8CFF-142854E7FC9B}"/>
    <cellStyle name="Calculation 2 6 3 4" xfId="5531" xr:uid="{10DCA65F-7532-4C48-BA8F-DF467F6B5E87}"/>
    <cellStyle name="Calculation 2 6 3 4 2" xfId="11384" xr:uid="{C62D1EFE-25DC-4999-BFAE-3C1923D348BF}"/>
    <cellStyle name="Calculation 2 6 3 4 2 2" xfId="20430" xr:uid="{047C44C6-B46F-475E-B571-27090FEDF38E}"/>
    <cellStyle name="Calculation 2 6 3 4 3" xfId="16944" xr:uid="{F3249D88-FCA6-4D78-993B-98199C140070}"/>
    <cellStyle name="Calculation 2 6 3 5" xfId="6142" xr:uid="{E1BFE404-55CC-4525-A9A9-79B77C2A001E}"/>
    <cellStyle name="Calculation 2 6 3 5 2" xfId="11991" xr:uid="{6B37EB2E-E65C-459E-A98A-500D77845DF9}"/>
    <cellStyle name="Calculation 2 6 3 5 2 2" xfId="21037" xr:uid="{16FEA1FC-E5FC-4CA3-84AA-FF34971B4A9D}"/>
    <cellStyle name="Calculation 2 6 3 5 3" xfId="17555" xr:uid="{7D80CBF7-42F3-4A9A-91B5-D07304DA414F}"/>
    <cellStyle name="Calculation 2 6 3 6" xfId="9405" xr:uid="{E08F0073-087A-4BAF-92DE-18585855CF4B}"/>
    <cellStyle name="Calculation 2 6 3 6 2" xfId="18451" xr:uid="{A45505DC-C8FA-4CE1-8943-C58723D56703}"/>
    <cellStyle name="Calculation 2 6 3 7" xfId="12801" xr:uid="{0BAF64B3-D521-41E3-9D48-4E168476D442}"/>
    <cellStyle name="Calculation 2 6 3 8" xfId="13361" xr:uid="{DC2E21DF-1461-4465-8664-54953E1FE036}"/>
    <cellStyle name="Calculation 2 6 3 9" xfId="13997" xr:uid="{BA7F2BC0-27EE-4080-95BC-3B89BE9D729A}"/>
    <cellStyle name="Calculation 2 6 4" xfId="3842" xr:uid="{0624CB56-3351-4C61-8F02-BE79A2830B03}"/>
    <cellStyle name="Calculation 2 6 4 2" xfId="9825" xr:uid="{9B8C952F-91AE-4749-8363-82D5D5C4CD6C}"/>
    <cellStyle name="Calculation 2 6 4 2 2" xfId="18871" xr:uid="{0848E520-7349-452C-9C63-ADC91EFF0244}"/>
    <cellStyle name="Calculation 2 6 4 3" xfId="15391" xr:uid="{F5998C80-0637-47D0-9D3C-9BA61E9C1594}"/>
    <cellStyle name="Calculation 2 6 4 4" xfId="22236" xr:uid="{4582CD18-F221-442B-A548-F83EFDAA57D1}"/>
    <cellStyle name="Calculation 2 6 5" xfId="4116" xr:uid="{36DF4D2B-BBAB-4C74-961D-F7FAF271516C}"/>
    <cellStyle name="Calculation 2 6 5 2" xfId="9973" xr:uid="{AB4ED69D-B695-4A6A-B0B7-14D3EFFB6584}"/>
    <cellStyle name="Calculation 2 6 5 2 2" xfId="19019" xr:uid="{AD29B5B4-8CF4-46A1-9EE8-C5A9E9E566D1}"/>
    <cellStyle name="Calculation 2 6 5 3" xfId="15533" xr:uid="{C9E0BB9F-A684-4827-B8B0-8CC9AB6C7E0C}"/>
    <cellStyle name="Calculation 2 6 6" xfId="5316" xr:uid="{365953B0-DDAE-43A6-BDAC-01EC777A89A7}"/>
    <cellStyle name="Calculation 2 6 6 2" xfId="11169" xr:uid="{60EC0606-D4B4-4406-B01D-0B5176419FBE}"/>
    <cellStyle name="Calculation 2 6 6 2 2" xfId="20215" xr:uid="{E67489A9-15CD-4555-B85D-941CE8C66AFD}"/>
    <cellStyle name="Calculation 2 6 6 3" xfId="16729" xr:uid="{C738F81B-622D-4161-87B1-90199C1926A7}"/>
    <cellStyle name="Calculation 2 6 7" xfId="5927" xr:uid="{49D0EA3E-1CBE-41F3-A267-6508CD3A8D44}"/>
    <cellStyle name="Calculation 2 6 7 2" xfId="11780" xr:uid="{FF4826F5-896B-49CD-9C64-1A93BBEC8306}"/>
    <cellStyle name="Calculation 2 6 7 2 2" xfId="20826" xr:uid="{62373D9A-2CBE-435A-A49D-E867833C72F5}"/>
    <cellStyle name="Calculation 2 6 7 3" xfId="17340" xr:uid="{3E2E3AAF-345F-45B4-B6EA-DEF7F325738C}"/>
    <cellStyle name="Calculation 2 6 8" xfId="9190" xr:uid="{9E80F050-A5B9-4809-B5D2-33FFC2202378}"/>
    <cellStyle name="Calculation 2 6 8 2" xfId="18236" xr:uid="{7BD116D0-E907-4DFC-A803-46D2052AB6B9}"/>
    <cellStyle name="Calculation 2 6 9" xfId="12588" xr:uid="{68B15299-0DA5-4D3C-88DE-0174B9E7C914}"/>
    <cellStyle name="Calculation 2 7" xfId="2963" xr:uid="{29A4AA82-2C8F-4DEA-BCD3-C2FBA83EFFEF}"/>
    <cellStyle name="Calculation 2 7 10" xfId="15094" xr:uid="{BADB0832-4814-4DF7-9867-088374680EE3}"/>
    <cellStyle name="Calculation 2 7 11" xfId="21964" xr:uid="{A0D79614-B8C2-4120-8267-EE1ED52E8A39}"/>
    <cellStyle name="Calculation 2 7 12" xfId="3314" xr:uid="{2A122C76-D17C-4B1D-94B8-FEB742B9AFE8}"/>
    <cellStyle name="Calculation 2 7 2" xfId="4537" xr:uid="{E50F458C-0C6D-40C8-B3FC-89E8861F2923}"/>
    <cellStyle name="Calculation 2 7 2 2" xfId="10394" xr:uid="{C7A82C72-EF35-440B-90E8-1DC367C75153}"/>
    <cellStyle name="Calculation 2 7 2 2 2" xfId="19440" xr:uid="{6264536B-EF23-4292-8E7A-C4EB5D4CAB2A}"/>
    <cellStyle name="Calculation 2 7 2 3" xfId="15954" xr:uid="{FD83D719-FE6A-42AA-8D7C-67AF14D2E595}"/>
    <cellStyle name="Calculation 2 7 2 4" xfId="22620" xr:uid="{4B9DD6ED-792A-4A34-B4C7-42A7B78231B8}"/>
    <cellStyle name="Calculation 2 7 3" xfId="5038" xr:uid="{2CFE64EC-6E3B-4842-B75D-0D56D95517EC}"/>
    <cellStyle name="Calculation 2 7 3 2" xfId="10891" xr:uid="{E8F7C5C4-E97F-4566-B191-460798690748}"/>
    <cellStyle name="Calculation 2 7 3 2 2" xfId="19937" xr:uid="{C5B8C4CC-B10D-4F23-B400-B00D626F82FC}"/>
    <cellStyle name="Calculation 2 7 3 3" xfId="16451" xr:uid="{8E26B501-5176-4DCA-87AC-0B011FDB8977}"/>
    <cellStyle name="Calculation 2 7 3 4" xfId="23115" xr:uid="{FEA083D1-DC33-4D25-80C3-4B40F4A07D27}"/>
    <cellStyle name="Calculation 2 7 4" xfId="5653" xr:uid="{7D14C274-86DB-462F-BE93-753A81BC6ABA}"/>
    <cellStyle name="Calculation 2 7 4 2" xfId="11506" xr:uid="{05F00CC6-7A6E-4E55-9306-9FD462FEDBAA}"/>
    <cellStyle name="Calculation 2 7 4 2 2" xfId="20552" xr:uid="{3AA1C3F6-A9A6-4C34-B7A6-8C98E9C00F11}"/>
    <cellStyle name="Calculation 2 7 4 3" xfId="17066" xr:uid="{D5654FBF-7BCE-4AD0-A63F-CA9A449C80B9}"/>
    <cellStyle name="Calculation 2 7 5" xfId="6264" xr:uid="{8CBF13BC-D800-4245-8144-AD5E1AB3E74A}"/>
    <cellStyle name="Calculation 2 7 5 2" xfId="12111" xr:uid="{0EC53D9E-5118-4599-B30A-F1FC93458BB1}"/>
    <cellStyle name="Calculation 2 7 5 2 2" xfId="21157" xr:uid="{4AD2F127-9BCC-4368-8AA0-F1E1C4F53331}"/>
    <cellStyle name="Calculation 2 7 5 3" xfId="17677" xr:uid="{2F0B83C2-47CA-4457-9B39-3C69EF972387}"/>
    <cellStyle name="Calculation 2 7 6" xfId="9525" xr:uid="{DC5B422D-977B-40E7-B073-39FDA61D8161}"/>
    <cellStyle name="Calculation 2 7 6 2" xfId="18571" xr:uid="{9983E30C-C895-4469-9E8D-61948AD10F63}"/>
    <cellStyle name="Calculation 2 7 7" xfId="12923" xr:uid="{11B00E59-80B4-46BF-AE34-AFC956C40FE8}"/>
    <cellStyle name="Calculation 2 7 8" xfId="13481" xr:uid="{C4A23518-775B-43A1-8A00-83666DE9F751}"/>
    <cellStyle name="Calculation 2 7 9" xfId="14119" xr:uid="{0A232DC4-85A8-4D7D-BB79-8EA53B6194B3}"/>
    <cellStyle name="Calculation 2 8" xfId="2731" xr:uid="{D3B1FDF7-BD03-458D-A94E-8CD322F9F55B}"/>
    <cellStyle name="Calculation 2 8 10" xfId="14883" xr:uid="{DE438B5E-1314-46CD-B969-CEAD8D5D25ED}"/>
    <cellStyle name="Calculation 2 8 11" xfId="21749" xr:uid="{25D8B439-4F72-473E-9BA7-CD96A82FDA5D}"/>
    <cellStyle name="Calculation 2 8 12" xfId="3101" xr:uid="{722D6F36-35DB-49F0-8532-5BB6C9AA7398}"/>
    <cellStyle name="Calculation 2 8 2" xfId="4322" xr:uid="{35DA5846-B25F-4ADB-B29C-D641BA46F65A}"/>
    <cellStyle name="Calculation 2 8 2 2" xfId="10179" xr:uid="{28856CA8-3047-4B6B-B1D8-A15EC16769C7}"/>
    <cellStyle name="Calculation 2 8 2 2 2" xfId="19225" xr:uid="{E1E62EB1-DC7A-4A31-8372-CAA0707D90E8}"/>
    <cellStyle name="Calculation 2 8 2 3" xfId="15739" xr:uid="{B53D9105-428A-4D74-ADC0-B3A42ABE7027}"/>
    <cellStyle name="Calculation 2 8 2 4" xfId="22405" xr:uid="{9D64EEAA-7411-4593-B3A3-C48C87A712A8}"/>
    <cellStyle name="Calculation 2 8 3" xfId="4823" xr:uid="{5A38879C-2C86-47C5-9EE5-0A6606BE19B2}"/>
    <cellStyle name="Calculation 2 8 3 2" xfId="10680" xr:uid="{12F67813-FE4C-48D6-9D73-04B92A43D374}"/>
    <cellStyle name="Calculation 2 8 3 2 2" xfId="19726" xr:uid="{35943631-2E98-4BF6-A16C-91663808333A}"/>
    <cellStyle name="Calculation 2 8 3 3" xfId="16240" xr:uid="{F25872D8-7628-43FC-97EE-F1E4A7D66418}"/>
    <cellStyle name="Calculation 2 8 3 4" xfId="22900" xr:uid="{80C07067-20D2-4544-ACC3-01DB4EE434EF}"/>
    <cellStyle name="Calculation 2 8 4" xfId="5438" xr:uid="{444D059D-FFD4-484F-93A8-D926B2499AAD}"/>
    <cellStyle name="Calculation 2 8 4 2" xfId="11291" xr:uid="{EBA04477-DAD2-4F33-91EE-7AFA6DD4E740}"/>
    <cellStyle name="Calculation 2 8 4 2 2" xfId="20337" xr:uid="{3D49655A-410A-4195-9247-DD53A5F1859B}"/>
    <cellStyle name="Calculation 2 8 4 3" xfId="16851" xr:uid="{25266FDC-F0CB-433D-BBDA-42A324BB83EE}"/>
    <cellStyle name="Calculation 2 8 5" xfId="6049" xr:uid="{30F0D320-F046-43AA-9610-A961CBB3ABCC}"/>
    <cellStyle name="Calculation 2 8 5 2" xfId="11900" xr:uid="{1C4F8BFD-4D40-4AB5-81DC-8D8774E30CEB}"/>
    <cellStyle name="Calculation 2 8 5 2 2" xfId="20946" xr:uid="{03490045-4A9D-4F32-8CFD-47E4205D075F}"/>
    <cellStyle name="Calculation 2 8 5 3" xfId="17462" xr:uid="{B5D7D9E6-8D78-459C-AC38-DE3D1BA348D9}"/>
    <cellStyle name="Calculation 2 8 6" xfId="9314" xr:uid="{1E424DAB-F3E6-481F-B3DE-96B9B20F9828}"/>
    <cellStyle name="Calculation 2 8 6 2" xfId="18360" xr:uid="{CB0341DB-278D-4CF9-A30E-A12F1B2460C0}"/>
    <cellStyle name="Calculation 2 8 7" xfId="12708" xr:uid="{691BC063-9059-4E7E-88D3-C409FD669FBB}"/>
    <cellStyle name="Calculation 2 8 8" xfId="13270" xr:uid="{3F9AAB62-CFD8-4AC9-8633-5DBBE2A176DA}"/>
    <cellStyle name="Calculation 2 8 9" xfId="13904" xr:uid="{99902496-D83A-4E9F-BFC7-68D371843CE8}"/>
    <cellStyle name="Calculation 2 9" xfId="3575" xr:uid="{C2718692-667F-4B22-BD5C-7AA4C9A5BA08}"/>
    <cellStyle name="Calculation 2 9 2" xfId="9738" xr:uid="{82E0AB05-EAFB-4029-8648-12C12DA4B015}"/>
    <cellStyle name="Calculation 2 9 2 2" xfId="18784" xr:uid="{3C6FFEE7-E7E8-44BE-8746-C66A0ACE5857}"/>
    <cellStyle name="Calculation 2 9 3" xfId="14362" xr:uid="{032B2C35-6982-4CF6-9F2D-B5F7D77DA95A}"/>
    <cellStyle name="Calculation 2 9 4" xfId="15307" xr:uid="{4760B873-E300-4D38-9612-8F736278DABE}"/>
    <cellStyle name="Calculation 2 9 5" xfId="22237" xr:uid="{A478BBD8-F913-4DB5-AED9-B89FAD4FE3B7}"/>
    <cellStyle name="Calculation 3" xfId="7153" xr:uid="{438E3C4E-3917-45B8-ADB5-F634A692A4FF}"/>
    <cellStyle name="Calculation 3 2" xfId="12328" xr:uid="{E2CBF2B3-E43C-4061-8AA2-7192F207AD11}"/>
    <cellStyle name="Calculation 3 2 2" xfId="21374" xr:uid="{EAF52F7B-EEF3-4129-97F5-9CF977010D99}"/>
    <cellStyle name="Calculation 3 2 3" xfId="23575" xr:uid="{CB8C8A94-1794-4028-8D9D-61FAA308C30D}"/>
    <cellStyle name="Calculation 3 3" xfId="14363" xr:uid="{2375D43E-FB44-42D6-BB92-4C8A86849741}"/>
    <cellStyle name="Calculation 3 4" xfId="17903" xr:uid="{29704F2D-1465-4366-8FA7-FCCECE1A3ED2}"/>
    <cellStyle name="Calculation 3 5" xfId="23345" xr:uid="{D0E197EF-D359-4375-A99D-E3F0276E15E9}"/>
    <cellStyle name="Calculation 4" xfId="7154" xr:uid="{5F13853D-D64D-4EBA-9F00-9B7502D40F0B}"/>
    <cellStyle name="Calculation 4 2" xfId="12329" xr:uid="{09796F68-A6D6-4935-B2C0-69AB3917EF24}"/>
    <cellStyle name="Calculation 4 2 2" xfId="21375" xr:uid="{A19DDD7A-926C-4FE8-BE2A-894C61267DFE}"/>
    <cellStyle name="Calculation 4 2 3" xfId="23576" xr:uid="{82FA1C68-4E7A-4369-BC07-C815CDEEF809}"/>
    <cellStyle name="Calculation 4 3" xfId="14364" xr:uid="{2BC253A8-0823-4EC7-9208-366B25576B51}"/>
    <cellStyle name="Calculation 4 4" xfId="17904" xr:uid="{68599641-B609-459B-8948-1BEC309B5676}"/>
    <cellStyle name="Calculation 4 5" xfId="23346" xr:uid="{B38279DF-0B4C-460A-852C-0DE2F8A8398A}"/>
    <cellStyle name="Calculation 5" xfId="7155" xr:uid="{25CB6B55-18CF-4AA8-AD26-7D6C716DB5A8}"/>
    <cellStyle name="Calculation 5 2" xfId="12330" xr:uid="{AA4650C0-B7BB-46AE-8D46-D1C94552031E}"/>
    <cellStyle name="Calculation 5 2 2" xfId="21376" xr:uid="{DEDB6940-4AAC-474A-8A40-9E62D9E26D1D}"/>
    <cellStyle name="Calculation 5 2 3" xfId="23577" xr:uid="{17F9278E-E62E-4E45-997C-3D66721B9EDA}"/>
    <cellStyle name="Calculation 5 3" xfId="14365" xr:uid="{CEB11B2A-D21E-48BF-A584-3E65219064E3}"/>
    <cellStyle name="Calculation 5 4" xfId="17905" xr:uid="{D4B61DF6-2D97-4E76-BC4B-3F72931246BE}"/>
    <cellStyle name="Calculation 5 5" xfId="23347" xr:uid="{27B5A0FA-A5BE-414A-9AF5-E86849E21493}"/>
    <cellStyle name="Calculation 6" xfId="7156" xr:uid="{A5C3C823-935B-41ED-918E-6A49B537C7AC}"/>
    <cellStyle name="Calculation 6 2" xfId="12331" xr:uid="{F33915FA-C0C4-45B1-A18A-1844205001E9}"/>
    <cellStyle name="Calculation 6 2 2" xfId="21377" xr:uid="{6CD2003D-3A24-40F0-B9D9-35EAB4633D31}"/>
    <cellStyle name="Calculation 6 2 3" xfId="23578" xr:uid="{749C8021-1848-4C86-9875-852F99F8C3A6}"/>
    <cellStyle name="Calculation 6 3" xfId="14366" xr:uid="{99F64236-6B87-430B-BD86-C3587B107B14}"/>
    <cellStyle name="Calculation 6 4" xfId="17906" xr:uid="{2E5CC81E-E4FA-4017-9877-6DA767F6D2BD}"/>
    <cellStyle name="Calculation 6 5" xfId="23348" xr:uid="{C4B12AA7-6C08-48E1-A0F5-A2C20BC6E9C6}"/>
    <cellStyle name="Calculation 7" xfId="7157" xr:uid="{E3226235-7D17-468A-BBF6-AA690278F5C4}"/>
    <cellStyle name="Calculation 7 2" xfId="12332" xr:uid="{D4163351-1330-4A69-B269-BECC43C7C29B}"/>
    <cellStyle name="Calculation 7 2 2" xfId="21378" xr:uid="{81972995-0F07-4BF1-B516-B3C332DD2133}"/>
    <cellStyle name="Calculation 7 2 3" xfId="23579" xr:uid="{AEDA2927-0936-466A-A944-DE53A322167E}"/>
    <cellStyle name="Calculation 7 3" xfId="14367" xr:uid="{DB1A0587-B6B8-4437-9090-DBC8CAC3B59A}"/>
    <cellStyle name="Calculation 7 4" xfId="17907" xr:uid="{63A52892-8795-4B3B-8526-0B95A1CEC262}"/>
    <cellStyle name="Calculation 7 5" xfId="23349" xr:uid="{B791142B-0DC2-4091-BFD9-050974334FD8}"/>
    <cellStyle name="Calculation 8" xfId="7158" xr:uid="{B1E88C45-F126-4CE9-A31D-12E8D43A1317}"/>
    <cellStyle name="Calculation 8 2" xfId="12333" xr:uid="{3E908D5B-9497-4D8E-A833-10BF79C8787C}"/>
    <cellStyle name="Calculation 8 2 2" xfId="21379" xr:uid="{8751E736-E3CF-4E65-81AD-18CB60A3E8BF}"/>
    <cellStyle name="Calculation 8 2 3" xfId="23580" xr:uid="{AC91620F-6C8C-4F41-988C-4F3004105C9A}"/>
    <cellStyle name="Calculation 8 3" xfId="14368" xr:uid="{BA6D19A4-5C6E-40FB-9248-903E7BCCA973}"/>
    <cellStyle name="Calculation 8 4" xfId="17908" xr:uid="{A0A63C24-2E9D-40EC-BAA7-D3D6AC8493B1}"/>
    <cellStyle name="Calculation 8 5" xfId="23350" xr:uid="{D0DE63EC-20E8-4F7E-BD85-9B3A3831AAE7}"/>
    <cellStyle name="Calculation 9" xfId="7159" xr:uid="{73F541CD-2B21-4CDC-9EA5-401DCAE32866}"/>
    <cellStyle name="Calculation 9 2" xfId="12334" xr:uid="{83D0EB23-D0BB-4E95-BEF5-8D643D58D40D}"/>
    <cellStyle name="Calculation 9 2 2" xfId="21380" xr:uid="{7C5B309C-0F97-4877-AB51-FD338CC7BA1F}"/>
    <cellStyle name="Calculation 9 2 3" xfId="23581" xr:uid="{B0D31FD9-DF20-4766-9AA2-0EFEB0AC0B93}"/>
    <cellStyle name="Calculation 9 3" xfId="14369" xr:uid="{13FC4DD2-E6F4-4890-B74D-CC0EC277BD40}"/>
    <cellStyle name="Calculation 9 4" xfId="17909" xr:uid="{844ED733-4887-4DB9-BACB-CD014507DCDB}"/>
    <cellStyle name="Calculation 9 5" xfId="23351" xr:uid="{D0427607-43DC-46AF-8564-64A5A15C68AA}"/>
    <cellStyle name="Callum" xfId="776" xr:uid="{163B6961-69AB-4BA2-A2D5-9BE5D8F1655F}"/>
    <cellStyle name="Callum 2" xfId="7160" xr:uid="{EAD7334C-CF21-4790-9FF1-556AAFDFEE79}"/>
    <cellStyle name="cárky [0]_laroux" xfId="777" xr:uid="{6FC7AF1B-BDD3-4CF0-84B4-A0505270AF7B}"/>
    <cellStyle name="cárky_laroux" xfId="778" xr:uid="{0852FA6A-D8AC-4E90-9901-AC5B22A3C58D}"/>
    <cellStyle name="CaseInput%0" xfId="7161" xr:uid="{76A78317-4DCB-4502-BFB3-C5042A09A683}"/>
    <cellStyle name="CaseInput%0.00" xfId="7162" xr:uid="{37197CCE-357D-49AC-BC66-2B80DED5E2DB}"/>
    <cellStyle name="CaseInputComma0" xfId="7163" xr:uid="{7E84C75E-950D-459E-B133-80B05EB0197A}"/>
    <cellStyle name="CaseInputComma0.0" xfId="7164" xr:uid="{DA5FAE3B-D4A8-4741-BDE1-172FE3C6CB7C}"/>
    <cellStyle name="CaseInputDate" xfId="7165" xr:uid="{58353554-89A5-4BF1-96F1-7415546E7290}"/>
    <cellStyle name="CaseInputText" xfId="7166" xr:uid="{018938C4-F90E-4650-819A-601E9279227C}"/>
    <cellStyle name="Cash" xfId="779" xr:uid="{C6024E75-B3F6-412E-A263-7BEBD9B99EB0}"/>
    <cellStyle name="Cash 2" xfId="780" xr:uid="{F0E01EC0-2DE8-481F-98AC-0A24EACCD540}"/>
    <cellStyle name="Cell Link" xfId="781" xr:uid="{900E1DD1-2629-4567-A53D-71D7666F40FA}"/>
    <cellStyle name="Cell Link 2" xfId="782" xr:uid="{81A219FF-66EF-451E-A22E-D579160F3F18}"/>
    <cellStyle name="Cell Link." xfId="783" xr:uid="{3C77B3F6-2DFE-4FE2-91B6-68E894BEDCF6}"/>
    <cellStyle name="Cena" xfId="784" xr:uid="{0D569469-463A-4ADB-A79D-6804B5944BCB}"/>
    <cellStyle name="Center Currency" xfId="785" xr:uid="{45D23D6F-B4C7-4332-B109-9A7864F5E3E0}"/>
    <cellStyle name="Center Currency 2" xfId="786" xr:uid="{EB7618E5-9A14-4432-AC3E-0F73BCF31E22}"/>
    <cellStyle name="Center Currency_7_11 Consolidated Budget Model 091123 bud" xfId="787" xr:uid="{9A0472C6-4E87-412F-BB5C-EAC2EB20B840}"/>
    <cellStyle name="Center Date" xfId="788" xr:uid="{D71E5A92-C2B8-480B-8C36-573A2AD4A777}"/>
    <cellStyle name="Center Date 2" xfId="789" xr:uid="{B612D50F-DDC1-4AEC-9131-60A7E3ABD01C}"/>
    <cellStyle name="Center Date_7_11 Consolidated Budget Model 091123 bud" xfId="790" xr:uid="{F6EDFA5D-AB06-49A7-9530-9719906FFD64}"/>
    <cellStyle name="Center Multiple" xfId="791" xr:uid="{554F3ABD-8646-4E26-B24E-F55E39ED54C9}"/>
    <cellStyle name="Center Multiple 2" xfId="792" xr:uid="{EFEF3D7C-E584-4181-8AAC-BE5A969B7AFE}"/>
    <cellStyle name="Center Multiple_7_11 Consolidated Budget Model 091123 bud" xfId="793" xr:uid="{F6B8C29D-8F7B-46C3-9FCF-12B8EF318684}"/>
    <cellStyle name="Center Number" xfId="794" xr:uid="{E55C9417-5BFE-444D-8B43-81FF3B5CA05A}"/>
    <cellStyle name="Center Number 2" xfId="795" xr:uid="{5E1A6906-D2F1-40B9-87D1-EDE6B7D77756}"/>
    <cellStyle name="Center Number_7_11 Consolidated Budget Model 091123 bud" xfId="796" xr:uid="{54EC3C4D-7BD5-4ADB-BB41-266CFE632190}"/>
    <cellStyle name="Center Percentage" xfId="797" xr:uid="{F20E0BF4-AF22-48B9-B5E7-9AEC5B037BB4}"/>
    <cellStyle name="Center Percentage 2" xfId="798" xr:uid="{377794C5-F1EE-4EAE-BEF7-B02F2EA05C89}"/>
    <cellStyle name="Center Percentage_7_11 Consolidated Budget Model 091123 bud" xfId="799" xr:uid="{B65386AD-918B-486E-816C-59A9061DEEDD}"/>
    <cellStyle name="Center Year" xfId="800" xr:uid="{3460C2A2-EE0E-4F05-AD4F-6D81BA9E7E15}"/>
    <cellStyle name="Center Year 2" xfId="801" xr:uid="{3142C23F-90D7-4F0E-A861-2E890B8D6FC2}"/>
    <cellStyle name="Center Year_7_11 Consolidated Budget Model 091123 bud" xfId="802" xr:uid="{E2D4F2BE-A4DF-4093-BED9-EE66DA50095A}"/>
    <cellStyle name="check" xfId="803" xr:uid="{FE976207-E961-4E95-9144-8286FF75300B}"/>
    <cellStyle name="check 2" xfId="2536" xr:uid="{32D12B6C-4E8A-4B13-88A6-AB86F96D55DD}"/>
    <cellStyle name="check 3" xfId="2515" xr:uid="{E3BABBC5-199C-47B1-ADCD-5A1E4FCE8236}"/>
    <cellStyle name="Check Cell 10" xfId="7167" xr:uid="{8DED8D1B-BE8A-48A7-84DB-4B8026CE37BF}"/>
    <cellStyle name="Check Cell 11" xfId="7168" xr:uid="{AF5BD669-B1EC-4D2D-BA9E-44B2659FCC27}"/>
    <cellStyle name="Check Cell 2" xfId="118" xr:uid="{D8009E85-2C37-4C85-9298-ACAE1E238F7C}"/>
    <cellStyle name="Check Cell 2 2" xfId="3051" xr:uid="{BE60307D-02EB-4A76-81D6-3F920D032894}"/>
    <cellStyle name="Check Cell 2 2 2" xfId="3052" xr:uid="{CD73B32C-53BF-4B61-8435-904BC827F926}"/>
    <cellStyle name="Check Cell 2 2 2 2" xfId="293" xr:uid="{61B23252-3E41-48E2-B25E-C2DFC45F7ACE}"/>
    <cellStyle name="Check Cell 2 2 3" xfId="3843" xr:uid="{28A4BA0D-3557-4DBB-9CCF-8CBB685E866B}"/>
    <cellStyle name="Check Cell 2 3" xfId="3576" xr:uid="{41106345-CE31-46AA-881F-11EDCF2CC970}"/>
    <cellStyle name="Check Cell 3" xfId="7169" xr:uid="{FDE30764-559D-46F6-BF5A-C6E2A5B44AA3}"/>
    <cellStyle name="Check Cell 4" xfId="7170" xr:uid="{8D0C5433-74C7-43C4-8461-94AAE48BF6F2}"/>
    <cellStyle name="Check Cell 5" xfId="7171" xr:uid="{DFBD6646-CE44-4C1A-BCB2-6039DD4670B8}"/>
    <cellStyle name="Check Cell 6" xfId="7172" xr:uid="{F447ED24-1153-4A48-82E0-16747733C9C8}"/>
    <cellStyle name="Check Cell 7" xfId="7173" xr:uid="{5361F739-FCFB-4DB6-9C4B-C9AA7DC5F66A}"/>
    <cellStyle name="Check Cell 8" xfId="7174" xr:uid="{A842988E-6174-4A8D-B3F0-46EBA225CE71}"/>
    <cellStyle name="Check Cell 9" xfId="7175" xr:uid="{294BF801-75C9-43B9-87DD-DEB490D814C4}"/>
    <cellStyle name="CLEAR ALL" xfId="804" xr:uid="{1FFF5C77-4053-4E48-8721-E775B3C85152}"/>
    <cellStyle name="coalcost" xfId="805" xr:uid="{B2D03152-506E-4F6D-9F4B-AE14B189AF85}"/>
    <cellStyle name="coalcost 2" xfId="2793" xr:uid="{24CD5E90-0071-444F-BA02-5AE1DF882C7F}"/>
    <cellStyle name="coalcost 3" xfId="2835" xr:uid="{2A5315A1-A332-4200-8C32-EF113E667D30}"/>
    <cellStyle name="Column - Heading" xfId="7176" xr:uid="{A19900A0-EAE5-497E-817B-A1B707BAAB0F}"/>
    <cellStyle name="ColumnHeader" xfId="7177" xr:uid="{10CC9F28-E9A7-4B52-8EED-262D06FCD2FE}"/>
    <cellStyle name="Comma" xfId="1" builtinId="3"/>
    <cellStyle name="Comma  - Style1" xfId="806" xr:uid="{CF88F679-A864-4F90-96A3-5B316203F445}"/>
    <cellStyle name="Comma  - Style1 10" xfId="7179" xr:uid="{9687D001-4A5C-449D-BD88-2D15979BA5DB}"/>
    <cellStyle name="Comma  - Style1 10 2" xfId="7180" xr:uid="{346F79F5-FCE6-4EC3-B1C3-06B3AE53D36E}"/>
    <cellStyle name="Comma  - Style1 11" xfId="7181" xr:uid="{2FDCDB76-C664-444A-9EF2-1107E26538B8}"/>
    <cellStyle name="Comma  - Style1 12" xfId="7178" xr:uid="{270AD257-E99A-4685-916F-710ABCB27313}"/>
    <cellStyle name="Comma  - Style1 2" xfId="7182" xr:uid="{EB1BCC2C-49F1-4D05-AABB-0548AC883DDD}"/>
    <cellStyle name="Comma  - Style1 2 2" xfId="7183" xr:uid="{4BC09DF1-A64A-4D30-8182-76DB8A71B5B5}"/>
    <cellStyle name="Comma  - Style1 2 2 2" xfId="7184" xr:uid="{06CE80D6-403D-4382-A9B4-40B416D9F06D}"/>
    <cellStyle name="Comma  - Style1 2 3" xfId="7185" xr:uid="{5E4A0098-C4E3-4AB1-B57D-D2FEACFFBC1E}"/>
    <cellStyle name="Comma  - Style1 3" xfId="7186" xr:uid="{81EAE972-501C-4BF8-88CC-25B4160A0A55}"/>
    <cellStyle name="Comma  - Style1 3 2" xfId="7187" xr:uid="{8B13E681-CE63-4BF3-B022-B6A18D341964}"/>
    <cellStyle name="Comma  - Style1 4" xfId="7188" xr:uid="{7B6A3599-E733-4FB7-A1F3-18166A6935C8}"/>
    <cellStyle name="Comma  - Style1 4 2" xfId="7189" xr:uid="{BFB95AF0-2B09-41EB-8000-6EE65E732F8B}"/>
    <cellStyle name="Comma  - Style1 5" xfId="7190" xr:uid="{BCA58E1F-CDBA-4403-8DBD-AD9608365654}"/>
    <cellStyle name="Comma  - Style1 5 2" xfId="7191" xr:uid="{6985783A-2566-4B35-84B8-D6A3EF7562A3}"/>
    <cellStyle name="Comma  - Style1 6" xfId="7192" xr:uid="{6C783157-358C-4657-A096-9BA4FB19BA68}"/>
    <cellStyle name="Comma  - Style1 6 2" xfId="7193" xr:uid="{1A87CEDA-48F5-430B-849C-B52031BF3341}"/>
    <cellStyle name="Comma  - Style1 7" xfId="7194" xr:uid="{5E66D048-2DAB-43EF-B868-E0EA6CE0D524}"/>
    <cellStyle name="Comma  - Style1 7 2" xfId="7195" xr:uid="{905E69B8-54E0-4017-8080-BA3D915BD36D}"/>
    <cellStyle name="Comma  - Style1 8" xfId="7196" xr:uid="{C58A3A15-3279-4BC7-9413-E54086EC0F7D}"/>
    <cellStyle name="Comma  - Style1 8 2" xfId="7197" xr:uid="{8C32540C-6128-43E2-88F7-97DEAF6F9B04}"/>
    <cellStyle name="Comma  - Style1 9" xfId="7198" xr:uid="{1E55219A-81A5-407C-91FE-650D5474B333}"/>
    <cellStyle name="Comma  - Style1_NW-#30167400-v1-Revenue_Calc_Jan_11" xfId="7199" xr:uid="{AADAF09A-7EC3-4D56-B71B-E4309E0F3BAE}"/>
    <cellStyle name="Comma  - Style2" xfId="807" xr:uid="{06F3E4D7-B34D-46AA-920B-36E45F82D235}"/>
    <cellStyle name="Comma  - Style2 10" xfId="7201" xr:uid="{6633FB7D-4CD0-4F26-B9CE-27787455FEA6}"/>
    <cellStyle name="Comma  - Style2 10 2" xfId="7202" xr:uid="{38BCDF05-DD28-486F-8AFA-92B27C2CEBFA}"/>
    <cellStyle name="Comma  - Style2 11" xfId="7203" xr:uid="{7A1A64B3-4FB6-40F9-84AA-B73681276BD0}"/>
    <cellStyle name="Comma  - Style2 12" xfId="7200" xr:uid="{862DCFD3-C5AE-44EE-8C4A-59F99CAA567E}"/>
    <cellStyle name="Comma  - Style2 2" xfId="7204" xr:uid="{D551A3BB-0F01-4EC3-B722-1202A9EC7180}"/>
    <cellStyle name="Comma  - Style2 2 2" xfId="7205" xr:uid="{1B7B4C93-3A52-4A0F-8BF5-9512A7A18FBE}"/>
    <cellStyle name="Comma  - Style2 2 2 2" xfId="7206" xr:uid="{CA5CB37A-5858-452D-BC66-D31A5A719C2A}"/>
    <cellStyle name="Comma  - Style2 2 3" xfId="7207" xr:uid="{D8A53E11-6166-4DDC-90F2-2AD3EBFB52E8}"/>
    <cellStyle name="Comma  - Style2 3" xfId="7208" xr:uid="{90EEE407-6943-44E9-BB38-FF0DA2C54546}"/>
    <cellStyle name="Comma  - Style2 3 2" xfId="7209" xr:uid="{813641CD-00E4-4FBA-B96B-EBF7B84DFDC1}"/>
    <cellStyle name="Comma  - Style2 4" xfId="7210" xr:uid="{267B6B9A-E0C0-41A9-BED8-FC6D486AF32E}"/>
    <cellStyle name="Comma  - Style2 4 2" xfId="7211" xr:uid="{EB09421A-4250-4154-AE40-1920FE95FFD5}"/>
    <cellStyle name="Comma  - Style2 5" xfId="7212" xr:uid="{78D84341-F726-4914-BA40-2AF9576BEDD8}"/>
    <cellStyle name="Comma  - Style2 5 2" xfId="7213" xr:uid="{80C94FF1-FD91-46DB-A269-F6E638823F0C}"/>
    <cellStyle name="Comma  - Style2 6" xfId="7214" xr:uid="{A2B1FEC4-4DEC-4431-94F6-58BC91FEFA90}"/>
    <cellStyle name="Comma  - Style2 6 2" xfId="7215" xr:uid="{0F3EC8A5-4970-434C-B230-08DFB8454CB7}"/>
    <cellStyle name="Comma  - Style2 7" xfId="7216" xr:uid="{80F3C174-C9D6-4846-9250-1B87E87E5328}"/>
    <cellStyle name="Comma  - Style2 7 2" xfId="7217" xr:uid="{B7D9DF26-AF8A-484C-92A0-B7F985A0EA7B}"/>
    <cellStyle name="Comma  - Style2 8" xfId="7218" xr:uid="{EA127C1F-818C-44F6-BC7E-AA4046F80253}"/>
    <cellStyle name="Comma  - Style2 8 2" xfId="7219" xr:uid="{9BBBDC88-1C95-4371-8F55-011BFD04B20C}"/>
    <cellStyle name="Comma  - Style2 9" xfId="7220" xr:uid="{71637CF8-D097-432F-AAA4-463D8CA8DB05}"/>
    <cellStyle name="Comma  - Style2_NW-#30167400-v1-Revenue_Calc_Jan_11" xfId="7221" xr:uid="{03EA5E7B-E778-4B4F-BF6C-16D429019E45}"/>
    <cellStyle name="Comma  - Style3" xfId="808" xr:uid="{96B891A9-C029-4AB8-8011-276B2511247C}"/>
    <cellStyle name="Comma  - Style3 10" xfId="7223" xr:uid="{DE3919B9-833E-42AA-841F-93BEFEBF49D6}"/>
    <cellStyle name="Comma  - Style3 10 2" xfId="7224" xr:uid="{216898D3-9333-430C-B32E-4FE29921E4CE}"/>
    <cellStyle name="Comma  - Style3 11" xfId="7225" xr:uid="{C835C9F5-9D48-4289-BBCA-D9122CC7A8EE}"/>
    <cellStyle name="Comma  - Style3 12" xfId="7222" xr:uid="{D47D50A7-C6EE-43BA-8474-51387B4E0143}"/>
    <cellStyle name="Comma  - Style3 2" xfId="7226" xr:uid="{DF45B0CF-B850-4124-B881-5BC9B2A1C147}"/>
    <cellStyle name="Comma  - Style3 2 2" xfId="7227" xr:uid="{B69353DE-FF90-4D73-9D66-D44EDCDEE2D6}"/>
    <cellStyle name="Comma  - Style3 2 2 2" xfId="7228" xr:uid="{28C07C0B-C413-458D-AC0C-6E6614BA4945}"/>
    <cellStyle name="Comma  - Style3 2 3" xfId="7229" xr:uid="{F5F8B14D-2DE6-455F-8A74-7E95BDBF43B1}"/>
    <cellStyle name="Comma  - Style3 3" xfId="7230" xr:uid="{697E696C-8BE9-41DC-87D7-7C3F50AF7EB0}"/>
    <cellStyle name="Comma  - Style3 3 2" xfId="7231" xr:uid="{06F11BC6-852F-444E-A359-E6E31D66EEB2}"/>
    <cellStyle name="Comma  - Style3 4" xfId="7232" xr:uid="{6D775E80-F878-4BCA-9AAD-65309ED21149}"/>
    <cellStyle name="Comma  - Style3 4 2" xfId="7233" xr:uid="{33E149C3-E235-4C33-94E9-4748330207B4}"/>
    <cellStyle name="Comma  - Style3 5" xfId="7234" xr:uid="{F110BF46-2D76-4AA6-8975-F3E8BE9E4856}"/>
    <cellStyle name="Comma  - Style3 5 2" xfId="7235" xr:uid="{3CDEF297-E9F0-4EA3-84D9-E542B4E44055}"/>
    <cellStyle name="Comma  - Style3 6" xfId="7236" xr:uid="{FBA842C8-3C4C-4EE1-B0D7-86EDE4480997}"/>
    <cellStyle name="Comma  - Style3 6 2" xfId="7237" xr:uid="{03485143-1A39-43CF-B09D-1A1E8ABFF26E}"/>
    <cellStyle name="Comma  - Style3 7" xfId="7238" xr:uid="{7FAC77F3-882D-44CA-98D7-7E2F4D24FF99}"/>
    <cellStyle name="Comma  - Style3 7 2" xfId="7239" xr:uid="{1CB53B5C-ECA8-49F0-93B3-7A70A06A14FE}"/>
    <cellStyle name="Comma  - Style3 8" xfId="7240" xr:uid="{BCA067D1-6C0D-4E5D-AA49-03812B1D8074}"/>
    <cellStyle name="Comma  - Style3 8 2" xfId="7241" xr:uid="{497DF1D7-16EF-4041-A6A5-069345862CDD}"/>
    <cellStyle name="Comma  - Style3 9" xfId="7242" xr:uid="{BBBC031A-EC9D-4BF7-BFD8-64B06C264A7D}"/>
    <cellStyle name="Comma  - Style3_NW-#30167400-v1-Revenue_Calc_Jan_11" xfId="7243" xr:uid="{063FF9A3-409B-41C0-B803-F79DCCCB2ADF}"/>
    <cellStyle name="Comma  - Style4" xfId="809" xr:uid="{30D52EF9-FF3A-4365-8817-0150371047E2}"/>
    <cellStyle name="Comma  - Style4 10" xfId="7245" xr:uid="{9E6D9CED-5782-43EA-A001-71232BFFCCA6}"/>
    <cellStyle name="Comma  - Style4 10 2" xfId="7246" xr:uid="{BD654572-9529-4516-BDA9-684AFC2BABE6}"/>
    <cellStyle name="Comma  - Style4 11" xfId="7247" xr:uid="{B240D277-5D47-4826-94AE-33B13C8787DB}"/>
    <cellStyle name="Comma  - Style4 12" xfId="7244" xr:uid="{1A4BFA52-19D4-4B34-9E4F-E39E59968759}"/>
    <cellStyle name="Comma  - Style4 2" xfId="7248" xr:uid="{9FD03A68-B0A6-4621-AF6E-31E285DB2A35}"/>
    <cellStyle name="Comma  - Style4 2 2" xfId="7249" xr:uid="{AE62A5B6-CF3D-4C76-A0EF-1DA85681B9DA}"/>
    <cellStyle name="Comma  - Style4 2 2 2" xfId="7250" xr:uid="{29A4D336-AEF5-4097-B874-90355DF9A2CF}"/>
    <cellStyle name="Comma  - Style4 2 3" xfId="7251" xr:uid="{21AC3B59-D520-4DD9-9AB6-33591173AC45}"/>
    <cellStyle name="Comma  - Style4 3" xfId="7252" xr:uid="{003E1E7F-C3A1-40A1-AD9F-AD83C407AEE9}"/>
    <cellStyle name="Comma  - Style4 3 2" xfId="7253" xr:uid="{1A40F596-4CF7-4B84-AB8A-2029754B9AC0}"/>
    <cellStyle name="Comma  - Style4 4" xfId="7254" xr:uid="{DEBBF35F-155F-475B-9E0D-519D3145F304}"/>
    <cellStyle name="Comma  - Style4 4 2" xfId="7255" xr:uid="{AC5AB5AC-736A-4ADA-A474-77141BD4707E}"/>
    <cellStyle name="Comma  - Style4 5" xfId="7256" xr:uid="{467DF65D-66B1-4949-81F2-FDCBEBC17035}"/>
    <cellStyle name="Comma  - Style4 5 2" xfId="7257" xr:uid="{7DDA8210-775D-4172-8F91-75CAF2F4EE08}"/>
    <cellStyle name="Comma  - Style4 6" xfId="7258" xr:uid="{AD855610-0006-4B62-A287-2AE1E5706C35}"/>
    <cellStyle name="Comma  - Style4 6 2" xfId="7259" xr:uid="{40142D31-F7AB-4859-9827-7E7FFF6C3C7F}"/>
    <cellStyle name="Comma  - Style4 7" xfId="7260" xr:uid="{4F7A4CEA-A4A7-40F7-A843-70D51A062736}"/>
    <cellStyle name="Comma  - Style4 7 2" xfId="7261" xr:uid="{6EBBFFD1-A9CD-49EB-AB63-9EEEB8194B12}"/>
    <cellStyle name="Comma  - Style4 8" xfId="7262" xr:uid="{1AA52BBB-0AEE-401D-9735-E846972A3E96}"/>
    <cellStyle name="Comma  - Style4 8 2" xfId="7263" xr:uid="{8D37D29C-3A18-468B-A18F-DE7AAEB1D703}"/>
    <cellStyle name="Comma  - Style4 9" xfId="7264" xr:uid="{9A765F4F-3821-4072-A681-E80DB1B2CD3E}"/>
    <cellStyle name="Comma  - Style4_NW-#30167400-v1-Revenue_Calc_Jan_11" xfId="7265" xr:uid="{DC58CD5B-6A7D-4B38-931C-4D804EFB97DB}"/>
    <cellStyle name="Comma  - Style5" xfId="810" xr:uid="{546D3ED4-CD27-4E28-BBDD-82191E2D8062}"/>
    <cellStyle name="Comma  - Style5 10" xfId="7267" xr:uid="{E294587C-E31D-4E46-9B71-C71CF1A83AB3}"/>
    <cellStyle name="Comma  - Style5 10 2" xfId="7268" xr:uid="{244BC7A9-9404-44D5-8084-D7EBAFA23085}"/>
    <cellStyle name="Comma  - Style5 11" xfId="7269" xr:uid="{420A8CFC-4433-495B-9D7D-5710E41D8D4A}"/>
    <cellStyle name="Comma  - Style5 12" xfId="7266" xr:uid="{45EA81D2-6C64-4B4A-8587-DF9B484B5E40}"/>
    <cellStyle name="Comma  - Style5 2" xfId="7270" xr:uid="{F174367B-F40F-4646-9D26-557C6B7D62B8}"/>
    <cellStyle name="Comma  - Style5 2 2" xfId="7271" xr:uid="{1255529B-208E-45B7-BDDB-4F9DC64A8CD0}"/>
    <cellStyle name="Comma  - Style5 2 2 2" xfId="7272" xr:uid="{ED7E426D-8CAC-4FE5-89D4-326A5F06AB42}"/>
    <cellStyle name="Comma  - Style5 2 3" xfId="7273" xr:uid="{2C5DF0A8-15A1-4393-932D-BDB0E01D58D2}"/>
    <cellStyle name="Comma  - Style5 3" xfId="7274" xr:uid="{58FE49A7-D9E4-427D-BFAA-AA08745F08E4}"/>
    <cellStyle name="Comma  - Style5 3 2" xfId="7275" xr:uid="{25784FCA-25DF-476E-9A20-01F56552E79F}"/>
    <cellStyle name="Comma  - Style5 4" xfId="7276" xr:uid="{A1979584-0FDA-4258-BD92-05B0172AD117}"/>
    <cellStyle name="Comma  - Style5 4 2" xfId="7277" xr:uid="{E8ADFE54-F4B2-4F4F-BB29-486443001453}"/>
    <cellStyle name="Comma  - Style5 5" xfId="7278" xr:uid="{A596F823-F1E0-4406-9921-3B1A08361CB0}"/>
    <cellStyle name="Comma  - Style5 5 2" xfId="7279" xr:uid="{7AADF574-9548-4299-974F-79A048439FEE}"/>
    <cellStyle name="Comma  - Style5 6" xfId="7280" xr:uid="{9290482B-0854-4617-865D-700AFC8E0016}"/>
    <cellStyle name="Comma  - Style5 6 2" xfId="7281" xr:uid="{65D881B2-22D8-4AAA-BF40-3D5CE872AFAE}"/>
    <cellStyle name="Comma  - Style5 7" xfId="7282" xr:uid="{335DB3FD-3160-481E-9AB9-0A6672F4927C}"/>
    <cellStyle name="Comma  - Style5 7 2" xfId="7283" xr:uid="{D6F8F4A5-B03B-4A54-8BAF-ACF504A3E61E}"/>
    <cellStyle name="Comma  - Style5 8" xfId="7284" xr:uid="{28DC1A19-7AEB-41A4-B456-6CDD10646490}"/>
    <cellStyle name="Comma  - Style5 8 2" xfId="7285" xr:uid="{AE86C8D3-ACD8-4223-AE71-0C1CE163F053}"/>
    <cellStyle name="Comma  - Style5 9" xfId="7286" xr:uid="{42E672C5-BED7-43F7-8417-8FEF0D25D307}"/>
    <cellStyle name="Comma  - Style5_NW-#30167400-v1-Revenue_Calc_Jan_11" xfId="7287" xr:uid="{736CE8EE-0CDF-4656-A1E3-D431F75C7188}"/>
    <cellStyle name="Comma  - Style6" xfId="811" xr:uid="{8A8F6FA6-127F-4EC2-B2FC-C7129FD16CB9}"/>
    <cellStyle name="Comma  - Style6 10" xfId="7289" xr:uid="{61F6D010-B0BC-490F-A057-8D96BECBDDB3}"/>
    <cellStyle name="Comma  - Style6 10 2" xfId="7290" xr:uid="{3DE5B036-D28E-42FF-9EFF-635FF1145AE7}"/>
    <cellStyle name="Comma  - Style6 11" xfId="7291" xr:uid="{7E46C01C-05E4-4B81-BDBA-749C20643C6F}"/>
    <cellStyle name="Comma  - Style6 12" xfId="7288" xr:uid="{E87E58BF-6F1C-4EA6-8CF1-3C8D20A6AA97}"/>
    <cellStyle name="Comma  - Style6 2" xfId="7292" xr:uid="{441EC306-B6B7-42B5-8E5E-6EC188D42EAB}"/>
    <cellStyle name="Comma  - Style6 2 2" xfId="7293" xr:uid="{13A83C6E-4BC3-49B7-B44B-31F7E04FFE91}"/>
    <cellStyle name="Comma  - Style6 2 2 2" xfId="7294" xr:uid="{5D2EAFAF-7035-43A7-B03D-20BAAE5CC7E7}"/>
    <cellStyle name="Comma  - Style6 2 3" xfId="7295" xr:uid="{B751E644-DF51-44DE-B53F-B2664B7A7D76}"/>
    <cellStyle name="Comma  - Style6 3" xfId="7296" xr:uid="{5588706F-37F8-48CE-92F9-7ED4F065355E}"/>
    <cellStyle name="Comma  - Style6 3 2" xfId="7297" xr:uid="{A1959960-0CB8-4F3A-A039-D419FAAE1DE6}"/>
    <cellStyle name="Comma  - Style6 4" xfId="7298" xr:uid="{D3961679-2283-41AE-95B7-131034652E3E}"/>
    <cellStyle name="Comma  - Style6 4 2" xfId="7299" xr:uid="{A37E3CB1-4047-41F3-89F3-7ACBFB4D7FAC}"/>
    <cellStyle name="Comma  - Style6 5" xfId="7300" xr:uid="{BE7A04F9-E7EA-4579-8332-53DF41BACA40}"/>
    <cellStyle name="Comma  - Style6 5 2" xfId="7301" xr:uid="{A1732078-96C9-4B1D-BD7C-1965F017E13F}"/>
    <cellStyle name="Comma  - Style6 6" xfId="7302" xr:uid="{936ADC35-61F5-4B8F-A571-7FF63C731214}"/>
    <cellStyle name="Comma  - Style6 6 2" xfId="7303" xr:uid="{E6020608-81F8-4E87-8149-8A236A21DB4C}"/>
    <cellStyle name="Comma  - Style6 7" xfId="7304" xr:uid="{E5D92EEA-DC8A-47E5-A3DB-1775CAE5082C}"/>
    <cellStyle name="Comma  - Style6 7 2" xfId="7305" xr:uid="{06D701E2-C1AE-41CA-83DF-53DF5A53E0FA}"/>
    <cellStyle name="Comma  - Style6 8" xfId="7306" xr:uid="{EC7592E8-35EB-4938-BEEE-7B3F0ADB3812}"/>
    <cellStyle name="Comma  - Style6 8 2" xfId="7307" xr:uid="{233D9612-9E29-4AC9-8619-F65A418036AC}"/>
    <cellStyle name="Comma  - Style6 9" xfId="7308" xr:uid="{A2390D4A-9B65-4789-9EC3-DEAB2E8B822F}"/>
    <cellStyle name="Comma  - Style6_NW-#30167400-v1-Revenue_Calc_Jan_11" xfId="7309" xr:uid="{80B0709B-D163-4069-A97F-0BBD249F6602}"/>
    <cellStyle name="Comma  - Style7" xfId="812" xr:uid="{FC69570E-C2A4-496F-B241-E5246F8A1012}"/>
    <cellStyle name="Comma  - Style7 10" xfId="7311" xr:uid="{50C5CFDF-0B3D-4EC1-840A-CF77C1B4CC33}"/>
    <cellStyle name="Comma  - Style7 10 2" xfId="7312" xr:uid="{73850B3D-CE41-4EA0-9822-F0ADDD5E0655}"/>
    <cellStyle name="Comma  - Style7 11" xfId="7313" xr:uid="{079D4FB2-9750-4314-8992-141AD7B6320F}"/>
    <cellStyle name="Comma  - Style7 12" xfId="7310" xr:uid="{E7A3C618-976D-40C3-82C9-1CDC27DAB51E}"/>
    <cellStyle name="Comma  - Style7 2" xfId="7314" xr:uid="{DC038CD1-75F0-4C43-AAED-F62212ED9526}"/>
    <cellStyle name="Comma  - Style7 2 2" xfId="7315" xr:uid="{A04C59E5-F87C-4B03-BF71-7103FCCF0A55}"/>
    <cellStyle name="Comma  - Style7 2 2 2" xfId="7316" xr:uid="{6FB60789-3DF5-4850-9726-911EFAB8A27E}"/>
    <cellStyle name="Comma  - Style7 2 3" xfId="7317" xr:uid="{57E5E369-4C2D-48F0-85FC-0937100D434E}"/>
    <cellStyle name="Comma  - Style7 3" xfId="7318" xr:uid="{04C3B04A-7CDC-4867-AC62-25CE0950A10C}"/>
    <cellStyle name="Comma  - Style7 3 2" xfId="7319" xr:uid="{1015EFEC-D29C-42EF-A4A2-7C9CD02305C4}"/>
    <cellStyle name="Comma  - Style7 4" xfId="7320" xr:uid="{30119C79-2A3B-4AD3-B86B-E9AAD7F0FF99}"/>
    <cellStyle name="Comma  - Style7 4 2" xfId="7321" xr:uid="{5ABFE45D-594B-48B7-9C92-E4F2CFCD4821}"/>
    <cellStyle name="Comma  - Style7 5" xfId="7322" xr:uid="{7FBD8E04-73AF-42F9-A698-9627004EF95D}"/>
    <cellStyle name="Comma  - Style7 5 2" xfId="7323" xr:uid="{6A1C1C62-C8A5-4845-BD87-14A9B4D103ED}"/>
    <cellStyle name="Comma  - Style7 6" xfId="7324" xr:uid="{B505C02E-AF56-4643-A5A2-897E27E657E7}"/>
    <cellStyle name="Comma  - Style7 6 2" xfId="7325" xr:uid="{83FEDE87-E7F4-4EB1-8C22-68A161230202}"/>
    <cellStyle name="Comma  - Style7 7" xfId="7326" xr:uid="{A1D5F49E-C6B0-46A8-BAAC-6A8D53406178}"/>
    <cellStyle name="Comma  - Style7 7 2" xfId="7327" xr:uid="{0F5B7687-491A-4E06-A438-D6D992A9C27F}"/>
    <cellStyle name="Comma  - Style7 8" xfId="7328" xr:uid="{35E177CE-4A23-4B55-B1E8-D8F296F9E9B7}"/>
    <cellStyle name="Comma  - Style7 8 2" xfId="7329" xr:uid="{4FD0D296-C1BA-4B45-AE02-2BC65F1A6B98}"/>
    <cellStyle name="Comma  - Style7 9" xfId="7330" xr:uid="{F8623FA4-BE72-4B20-9A85-9B9057F6B148}"/>
    <cellStyle name="Comma  - Style7_NW-#30167400-v1-Revenue_Calc_Jan_11" xfId="7331" xr:uid="{B395B8CB-A896-49D8-BBB9-1508CCF66B21}"/>
    <cellStyle name="Comma  - Style8" xfId="813" xr:uid="{CCF7A426-7257-456F-8401-9274287009DD}"/>
    <cellStyle name="Comma  - Style8 10" xfId="7333" xr:uid="{DB0246F9-F45D-42A2-81D6-3D7126BB61A0}"/>
    <cellStyle name="Comma  - Style8 10 2" xfId="7334" xr:uid="{C9A1544C-C96D-4EFC-A72D-00D9CE04C787}"/>
    <cellStyle name="Comma  - Style8 11" xfId="7335" xr:uid="{39C09483-8B34-4AED-AD9A-AF7F21ED438C}"/>
    <cellStyle name="Comma  - Style8 12" xfId="7332" xr:uid="{CAA0A348-0462-433A-83D5-6C209F3881D6}"/>
    <cellStyle name="Comma  - Style8 2" xfId="7336" xr:uid="{88B3EDEA-840B-4773-9909-09D44158B5F7}"/>
    <cellStyle name="Comma  - Style8 2 2" xfId="7337" xr:uid="{5015BE44-3241-4CAC-8197-A2E4B72D7022}"/>
    <cellStyle name="Comma  - Style8 2 2 2" xfId="7338" xr:uid="{3B6B0960-2BE3-4887-9D16-BDB5F1EDEFC3}"/>
    <cellStyle name="Comma  - Style8 2 3" xfId="7339" xr:uid="{814DFD4C-2762-4D71-A74B-5B5D76E40AB6}"/>
    <cellStyle name="Comma  - Style8 3" xfId="7340" xr:uid="{B49DDB98-CD55-467F-AFE1-23AAB5850A56}"/>
    <cellStyle name="Comma  - Style8 3 2" xfId="7341" xr:uid="{22B85357-022A-4E53-A95F-20306535A702}"/>
    <cellStyle name="Comma  - Style8 4" xfId="7342" xr:uid="{8C97FB5F-C92E-4AAC-A707-9F63A5E72596}"/>
    <cellStyle name="Comma  - Style8 4 2" xfId="7343" xr:uid="{B6AB4594-6F0F-406C-AD6E-26D3507D3E37}"/>
    <cellStyle name="Comma  - Style8 5" xfId="7344" xr:uid="{478602D3-8EF6-4B94-A78E-B33926D43A43}"/>
    <cellStyle name="Comma  - Style8 5 2" xfId="7345" xr:uid="{F6F99E04-EE38-40D5-9401-6EA792986DB6}"/>
    <cellStyle name="Comma  - Style8 6" xfId="7346" xr:uid="{FE882E9C-9D1D-46B1-AD70-B73881720322}"/>
    <cellStyle name="Comma  - Style8 6 2" xfId="7347" xr:uid="{08779644-1573-4898-B42A-48A1D6FA3988}"/>
    <cellStyle name="Comma  - Style8 7" xfId="7348" xr:uid="{D279E01A-DFD5-4F98-9D2F-7ACA0B5A2F40}"/>
    <cellStyle name="Comma  - Style8 7 2" xfId="7349" xr:uid="{A663B6E4-8363-4454-936B-FC2ACF23A4C2}"/>
    <cellStyle name="Comma  - Style8 8" xfId="7350" xr:uid="{5D4FB1E6-40BE-4720-B0C7-AF29DD049D9D}"/>
    <cellStyle name="Comma  - Style8 8 2" xfId="7351" xr:uid="{F7C10AA6-1B59-44BB-90D3-E8453524017D}"/>
    <cellStyle name="Comma  - Style8 9" xfId="7352" xr:uid="{B3390314-0BBE-40B5-9D2F-768C62A21597}"/>
    <cellStyle name="Comma  - Style8_NW-#30167400-v1-Revenue_Calc_Jan_11" xfId="7353" xr:uid="{FEFD8C9D-F983-4EC4-98A6-46817AC8B2A9}"/>
    <cellStyle name="Comma (0)" xfId="814" xr:uid="{252B4AC8-2870-4528-93E2-9830FE8BAFEC}"/>
    <cellStyle name="Comma (0)," xfId="815" xr:uid="{B4EA2CE4-9E92-48AD-95E1-A532C690F5F4}"/>
    <cellStyle name="Comma (0)_Key Financial Data" xfId="816" xr:uid="{6386613D-1D9F-43C1-9BD6-FF05B4A6E055}"/>
    <cellStyle name="Comma [0] U" xfId="7354" xr:uid="{87B6BEF8-269C-45DF-9BC8-BAABBE2E4B55}"/>
    <cellStyle name="Comma [0]7Z_87C" xfId="119" xr:uid="{2CEC3090-7427-44FC-8016-B7C236E93001}"/>
    <cellStyle name="Comma [00]" xfId="817" xr:uid="{4800C670-B5D7-46F8-859F-84F1AC5E7990}"/>
    <cellStyle name="Comma [00] 10" xfId="7356" xr:uid="{D5F70364-E38B-48A9-B6A2-DFEAEDE58494}"/>
    <cellStyle name="Comma [00] 10 2" xfId="7357" xr:uid="{54296DE6-F5AA-4735-88D0-CBDD66566252}"/>
    <cellStyle name="Comma [00] 10 2 2" xfId="7358" xr:uid="{0E368FCC-7216-4C88-BFB8-20015FA6E8F9}"/>
    <cellStyle name="Comma [00] 11" xfId="7355" xr:uid="{2E49EB84-268E-4741-A26A-783E6D95BA62}"/>
    <cellStyle name="Comma [00] 2" xfId="7359" xr:uid="{4312FF73-EFB4-4DA9-AB1A-795AA5674F59}"/>
    <cellStyle name="Comma [00] 2 2" xfId="7360" xr:uid="{F623B7B2-8736-4EC9-BCB3-BD72A3736E2C}"/>
    <cellStyle name="Comma [00] 2 3" xfId="7361" xr:uid="{94F26AEE-B5C8-4350-8C3E-1340589DD386}"/>
    <cellStyle name="Comma [00] 3" xfId="7362" xr:uid="{11A76F3B-6DA1-491A-A479-72E48EA0E395}"/>
    <cellStyle name="Comma [00] 3 2" xfId="7363" xr:uid="{BF2E8F1B-67AA-4BCB-A189-7B6DD5FA4146}"/>
    <cellStyle name="Comma [00] 3 3" xfId="7364" xr:uid="{E1B4C266-8F81-4706-B024-9858370091EA}"/>
    <cellStyle name="Comma [00] 4" xfId="7365" xr:uid="{8D258F95-BA65-46AD-A747-90C45879D131}"/>
    <cellStyle name="Comma [00] 4 2" xfId="7366" xr:uid="{3A8E0D9D-5E5B-4DDE-ADE2-1D2F0092C9E6}"/>
    <cellStyle name="Comma [00] 4 3" xfId="7367" xr:uid="{BFA89F8A-4D12-42C3-9146-CA54EBDD98F3}"/>
    <cellStyle name="Comma [00] 5" xfId="7368" xr:uid="{533DA73E-DA9E-45CF-905E-48D8CB7BA3B6}"/>
    <cellStyle name="Comma [00] 5 2" xfId="7369" xr:uid="{DF8FDD90-6CA4-4C49-8D57-ACE96562BB78}"/>
    <cellStyle name="Comma [00] 5 3" xfId="7370" xr:uid="{C63417EA-6496-473F-A377-F4E4F8E98F46}"/>
    <cellStyle name="Comma [00] 6" xfId="7371" xr:uid="{5E15136A-6BC2-4AD8-8F5F-803B73CFF2B1}"/>
    <cellStyle name="Comma [00] 6 2" xfId="7372" xr:uid="{2A93F9C2-79E5-4FC9-B8E4-D61A5E50D18B}"/>
    <cellStyle name="Comma [00] 6 3" xfId="7373" xr:uid="{E322AA02-785E-4B7C-85D8-02282E7FB89E}"/>
    <cellStyle name="Comma [00] 7" xfId="7374" xr:uid="{0C6115EF-706A-4DDB-BFDD-7C02FEB56B05}"/>
    <cellStyle name="Comma [00] 7 2" xfId="7375" xr:uid="{E9B4622A-857E-4785-B593-DA21234F997B}"/>
    <cellStyle name="Comma [00] 7 3" xfId="7376" xr:uid="{F72660A4-32C3-4C8D-8903-7ABA93ACC03C}"/>
    <cellStyle name="Comma [00] 8" xfId="7377" xr:uid="{26050A61-3E1C-4677-895E-71C1E8F3D25D}"/>
    <cellStyle name="Comma [00] 8 2" xfId="7378" xr:uid="{39545A4E-71A8-44C2-8011-A64592934D25}"/>
    <cellStyle name="Comma [00] 8 3" xfId="7379" xr:uid="{C5ACE9A2-09AC-4DC2-ABD6-359C5606DBB1}"/>
    <cellStyle name="Comma [00] 9" xfId="7380" xr:uid="{AF6A06E6-EB11-4609-98C3-5CCC97AC11DF}"/>
    <cellStyle name="Comma [00] 9 2" xfId="7381" xr:uid="{2F1CDF68-854F-43C3-863D-0EED2D0A31B6}"/>
    <cellStyle name="Comma [00] 9 3" xfId="7382" xr:uid="{D215A839-28D9-4EC7-80DE-7B8FD7523FF5}"/>
    <cellStyle name="Comma [1]" xfId="818" xr:uid="{66C652C7-1C9C-4CFB-928A-E3A4FD9DD499}"/>
    <cellStyle name="Comma [2]" xfId="7383" xr:uid="{17FD4141-356D-4E1C-ADF8-24285A344619}"/>
    <cellStyle name="Comma 0" xfId="120" xr:uid="{1CE04F02-9B36-4F9D-8BA8-807F640DBA22}"/>
    <cellStyle name="Comma 0 2" xfId="819" xr:uid="{B0A6F4A1-A493-4347-99F0-F99DD1CA0EFB}"/>
    <cellStyle name="Comma 0 2 2" xfId="3844" xr:uid="{72BDAA35-A976-4227-B34F-6D91EF087759}"/>
    <cellStyle name="Comma 0 3" xfId="3577" xr:uid="{C9CD8337-0C76-429D-BDB1-1DBEE34E02D8}"/>
    <cellStyle name="Comma 1" xfId="121" xr:uid="{701BAC44-B1A3-4560-8922-217E1E6F35EA}"/>
    <cellStyle name="Comma 1 2" xfId="122" xr:uid="{9CAC73CB-E555-4483-A17A-25AF832C5E82}"/>
    <cellStyle name="Comma 1 2 2" xfId="3845" xr:uid="{F6501780-2AE6-4901-A3D7-B67F0E0B709A}"/>
    <cellStyle name="Comma 1 3" xfId="3578" xr:uid="{787420CD-01BF-4179-BD93-CE156DADD582}"/>
    <cellStyle name="Comma 10" xfId="294" xr:uid="{D810D164-D5CB-4504-890F-35590E3BE3E9}"/>
    <cellStyle name="Comma 10 2" xfId="821" xr:uid="{382A9813-1BAB-4EBE-A9BC-800840D7F82D}"/>
    <cellStyle name="Comma 10 2 2" xfId="23816" xr:uid="{9BEA21E6-064B-4271-BC74-F081FA0867D6}"/>
    <cellStyle name="Comma 10 3" xfId="822" xr:uid="{6D38B362-AE35-41DB-A9AD-5452396AEA81}"/>
    <cellStyle name="Comma 10 4" xfId="7384" xr:uid="{0B19EEEB-4ADB-4609-8DB3-348E45F2D80E}"/>
    <cellStyle name="Comma 10 5" xfId="820" xr:uid="{67C932E6-5BC2-4A52-B2A9-15F33069CC7B}"/>
    <cellStyle name="Comma 11" xfId="23" xr:uid="{1CC2D9DE-64E9-4ABA-A301-784A760FB36B}"/>
    <cellStyle name="Comma 11 2" xfId="7386" xr:uid="{3437DAA1-ECFF-42AE-89C2-47AB97B12D0A}"/>
    <cellStyle name="Comma 11 3" xfId="23352" xr:uid="{6EF9AEB2-15F3-4C25-AD0F-2EA88FD68DCE}"/>
    <cellStyle name="Comma 11 4" xfId="22175" xr:uid="{6ED8D332-B7FF-47D1-A59A-92E40A6353AE}"/>
    <cellStyle name="Comma 11 5" xfId="7385" xr:uid="{4DEA6D62-9915-409B-8378-0B9E35CE6F7F}"/>
    <cellStyle name="Comma 11 6" xfId="23817" xr:uid="{F52360F7-FFF6-4150-AB29-76B827139A6E}"/>
    <cellStyle name="Comma 11 7" xfId="823" xr:uid="{145FBB0E-2601-4742-84A8-EAD3112F4167}"/>
    <cellStyle name="Comma 12" xfId="824" xr:uid="{A52796CA-5D27-4A17-A890-DC9726BC7C80}"/>
    <cellStyle name="Comma 12 2" xfId="7388" xr:uid="{DB57EFAD-1BBF-43C3-84B9-B264597374DC}"/>
    <cellStyle name="Comma 12 2 2" xfId="7389" xr:uid="{9CFB5BA1-D916-4070-8AB0-069A4874F5A0}"/>
    <cellStyle name="Comma 12 3" xfId="7390" xr:uid="{C590C775-763F-4E32-9A5B-5A98336033E1}"/>
    <cellStyle name="Comma 12 4" xfId="7391" xr:uid="{3A93E025-3450-4644-B772-EF80FFEFB8D6}"/>
    <cellStyle name="Comma 12 5" xfId="7387" xr:uid="{CFEF9291-B7FB-4C18-B3C0-0F830B43864A}"/>
    <cellStyle name="Comma 12 6" xfId="23818" xr:uid="{7147FAA9-E57D-4D5A-9557-DF73182B5C72}"/>
    <cellStyle name="Comma 121" xfId="7392" xr:uid="{7384883A-0F70-42CF-8C0F-53366C2CFD2B}"/>
    <cellStyle name="Comma 13" xfId="825" xr:uid="{1254FA94-87C1-4483-892B-E161F825F92E}"/>
    <cellStyle name="Comma 13 2" xfId="7394" xr:uid="{FBD3E366-19C2-4967-AE16-22969271B99C}"/>
    <cellStyle name="Comma 13 2 2" xfId="7395" xr:uid="{FCD6922D-E6EF-4FE4-A1E2-7CA08C46DAC5}"/>
    <cellStyle name="Comma 13 3" xfId="7396" xr:uid="{47FCBF77-6AC9-4FA0-B2E5-5D57B9B0BDEF}"/>
    <cellStyle name="Comma 13 4" xfId="7393" xr:uid="{58FF5970-3886-4488-BF05-D6BC6AE7EACB}"/>
    <cellStyle name="Comma 13 5" xfId="23819" xr:uid="{310AAAB9-01D8-4538-8B76-E043318269F9}"/>
    <cellStyle name="Comma 14" xfId="826" xr:uid="{1576A81B-0431-49F1-BE09-0BCA6F293D0D}"/>
    <cellStyle name="Comma 14 2" xfId="7398" xr:uid="{DDCA1955-FB54-4D65-989E-6AF7EED2EF16}"/>
    <cellStyle name="Comma 14 2 2" xfId="7399" xr:uid="{5DA5F48F-360E-430B-B0AB-8E1120CC9AA5}"/>
    <cellStyle name="Comma 14 3" xfId="7400" xr:uid="{2D08F28F-D9AB-4AA6-9FA9-8194F46F2023}"/>
    <cellStyle name="Comma 14 4" xfId="7397" xr:uid="{29F8255E-2AD2-4640-8577-4642DA6E0D6E}"/>
    <cellStyle name="Comma 14 5" xfId="23820" xr:uid="{BFABED01-CA98-4330-B1A9-BC7A9CBDF762}"/>
    <cellStyle name="Comma 15" xfId="827" xr:uid="{05DEE26F-8514-4BE4-828D-675D9CA47030}"/>
    <cellStyle name="Comma 15 2" xfId="7402" xr:uid="{15D2BA24-9184-4D84-B1D7-036ED6381D3D}"/>
    <cellStyle name="Comma 15 2 2" xfId="7403" xr:uid="{4F966C3D-21CA-473B-BC74-C1B1725FED8F}"/>
    <cellStyle name="Comma 15 3" xfId="7404" xr:uid="{4588D0E6-B39A-4DCB-A368-82E7BD91E8CB}"/>
    <cellStyle name="Comma 15 4" xfId="7401" xr:uid="{111F0E9F-FBFE-4705-841D-DAEBD1C0862F}"/>
    <cellStyle name="Comma 15 5" xfId="23821" xr:uid="{F9C1AC94-8114-4533-B4CE-27FBFC87154B}"/>
    <cellStyle name="Comma 16" xfId="828" xr:uid="{BC441EBB-9E09-424B-954B-190601E67EEB}"/>
    <cellStyle name="Comma 16 2" xfId="829" xr:uid="{0870ABA4-45A0-4D37-8706-1519BF23678D}"/>
    <cellStyle name="Comma 16 2 2" xfId="7407" xr:uid="{B6E2DE2B-04E7-4B39-94E6-E463FBD0DCE7}"/>
    <cellStyle name="Comma 16 2 3" xfId="7406" xr:uid="{714B4FAE-97DA-4D91-90E1-173D42ED1E7D}"/>
    <cellStyle name="Comma 16 2 4" xfId="23823" xr:uid="{E36D6D42-9414-4597-94CB-AACE991D8C39}"/>
    <cellStyle name="Comma 16 3" xfId="7408" xr:uid="{E4505C9B-C516-47F9-86B7-405AC1E96B48}"/>
    <cellStyle name="Comma 16 4" xfId="7405" xr:uid="{B9F86E10-1F74-4A2A-A08C-C26991B8D6D0}"/>
    <cellStyle name="Comma 16 5" xfId="23822" xr:uid="{7A231EA7-5EA3-4483-B012-D9B1FB8C685C}"/>
    <cellStyle name="Comma 17" xfId="830" xr:uid="{F3209351-A816-43CD-86CA-FD1C28F87BA2}"/>
    <cellStyle name="Comma 17 2" xfId="7410" xr:uid="{3F19A456-EF1C-4A4E-90BE-61189B10BE3C}"/>
    <cellStyle name="Comma 17 2 2" xfId="7411" xr:uid="{95AEBEFD-F99F-4F9C-93F6-4BD0FFE0718B}"/>
    <cellStyle name="Comma 17 3" xfId="7412" xr:uid="{78715BC5-8D4A-4DCE-999B-949760BD03EC}"/>
    <cellStyle name="Comma 17 4" xfId="7409" xr:uid="{CE957B76-3764-41D3-AE82-362073C01C7D}"/>
    <cellStyle name="Comma 17 5" xfId="23824" xr:uid="{15570EE5-9511-4F70-B081-A5FBA4A44082}"/>
    <cellStyle name="Comma 18" xfId="831" xr:uid="{9B176067-5C6F-4096-B2BE-9E01B1B31E45}"/>
    <cellStyle name="Comma 18 2" xfId="7413" xr:uid="{EB6EC88F-B1BD-44AB-AB59-500C5FB2D9BA}"/>
    <cellStyle name="Comma 18 3" xfId="7414" xr:uid="{18A562AE-FD50-4416-94E5-FC35732452D1}"/>
    <cellStyle name="Comma 18 4" xfId="7415" xr:uid="{92F46917-CB24-4407-934F-0244053906A5}"/>
    <cellStyle name="Comma 18 5" xfId="23825" xr:uid="{FBCEFCFB-AFCC-40EC-B794-E25D99A29DE4}"/>
    <cellStyle name="Comma 19" xfId="832" xr:uid="{F5C14D7F-9D63-4CE3-92D4-1DE4B2124BEB}"/>
    <cellStyle name="Comma 19 2" xfId="7416" xr:uid="{D45ECF20-14D7-4D3F-8C77-12675E93F9A6}"/>
    <cellStyle name="Comma 19 3" xfId="7417" xr:uid="{E562BE6D-2C4F-47E2-A0A8-8FE3DB24090C}"/>
    <cellStyle name="Comma 19 4" xfId="7418" xr:uid="{FE5FF0A6-6407-4B30-AB82-1526B6777B75}"/>
    <cellStyle name="Comma 19 5" xfId="23826" xr:uid="{815FFC2A-0860-4009-B514-2893DFB5996F}"/>
    <cellStyle name="Comma 2" xfId="32" xr:uid="{07D1FA5E-21FA-4DEB-8168-96FE989CC10E}"/>
    <cellStyle name="Comma 2 10" xfId="833" xr:uid="{C84DF878-EF0F-485B-80BA-9ED68984FBB0}"/>
    <cellStyle name="Comma 2 10 2" xfId="23828" xr:uid="{D8346678-0D6B-4D5E-AEF1-F44A17C35B64}"/>
    <cellStyle name="Comma 2 11" xfId="834" xr:uid="{FEA40BA0-10BC-4F27-A725-CA99B3819B6D}"/>
    <cellStyle name="Comma 2 11 2" xfId="23829" xr:uid="{4589F3BF-4F34-4F9F-A83B-8696026E6F15}"/>
    <cellStyle name="Comma 2 12" xfId="835" xr:uid="{BA18F4ED-BE26-46C6-8A48-D11679156ECF}"/>
    <cellStyle name="Comma 2 12 2" xfId="7419" xr:uid="{EAEF312D-F7C9-4181-8E52-714F29E0948B}"/>
    <cellStyle name="Comma 2 12 3" xfId="23830" xr:uid="{147247D2-F586-47B6-8B52-7DB0DFEC5829}"/>
    <cellStyle name="Comma 2 13" xfId="836" xr:uid="{E8D2FAED-CA6F-4563-90BD-950B047538AC}"/>
    <cellStyle name="Comma 2 13 2" xfId="8904" xr:uid="{3B390078-1E30-4100-8BCD-377E2C2F5B60}"/>
    <cellStyle name="Comma 2 13 3" xfId="23831" xr:uid="{1D3A3D15-D01E-4503-9702-E73F1AF21FD9}"/>
    <cellStyle name="Comma 2 14" xfId="837" xr:uid="{3BBE080D-5EE6-4A1E-A3E1-90BB0C42F362}"/>
    <cellStyle name="Comma 2 14 2" xfId="8912" xr:uid="{9281DE6B-7DE7-4DD5-85B0-42CF315EBBA6}"/>
    <cellStyle name="Comma 2 14 3" xfId="23832" xr:uid="{F51450B6-3FC9-483B-B7C4-429E56D58791}"/>
    <cellStyle name="Comma 2 15" xfId="838" xr:uid="{0944C190-54B7-4706-91B6-CD8DBE80CB6B}"/>
    <cellStyle name="Comma 2 15 2" xfId="23833" xr:uid="{5B446640-140A-40ED-B47B-A05E8B9412EF}"/>
    <cellStyle name="Comma 2 16" xfId="839" xr:uid="{1B0F043D-06C9-4F70-BF46-50DE22169DA0}"/>
    <cellStyle name="Comma 2 16 2" xfId="23834" xr:uid="{810B0B91-D6EF-4131-A799-7FECF613411E}"/>
    <cellStyle name="Comma 2 17" xfId="840" xr:uid="{69E63E3E-C20E-4630-BB23-01829EE13182}"/>
    <cellStyle name="Comma 2 17 2" xfId="23835" xr:uid="{FE0F4BF1-54E8-46BF-A503-AD480A697CDF}"/>
    <cellStyle name="Comma 2 18" xfId="841" xr:uid="{BCA0445F-B727-442D-920E-ACBEC709B1FF}"/>
    <cellStyle name="Comma 2 18 2" xfId="23836" xr:uid="{3D08E868-0D18-463C-A3D2-54F836F53EBE}"/>
    <cellStyle name="Comma 2 19" xfId="842" xr:uid="{E9F69AFA-26FE-4CC8-BAD1-E0DA46258A79}"/>
    <cellStyle name="Comma 2 19 2" xfId="23837" xr:uid="{A94BEC20-412A-4407-B3C4-CCC8C86E23EF}"/>
    <cellStyle name="Comma 2 2" xfId="123" xr:uid="{C3565663-8FCD-48E3-A435-BF30A2697BD0}"/>
    <cellStyle name="Comma 2 2 2" xfId="295" xr:uid="{3BC44042-B398-47F7-9F03-3CE2ADE400E2}"/>
    <cellStyle name="Comma 2 2 2 2" xfId="7421" xr:uid="{208C5566-7DB2-4BB8-BA91-9FB8A9E6DD1B}"/>
    <cellStyle name="Comma 2 2 3" xfId="296" xr:uid="{95165846-6687-4E8B-88C0-EC059A89617A}"/>
    <cellStyle name="Comma 2 2 3 2" xfId="7422" xr:uid="{05DEF023-AC26-4372-87A2-FFD906CB8597}"/>
    <cellStyle name="Comma 2 2 4" xfId="7423" xr:uid="{2C8FB970-9085-4FA4-A093-DC4E90D7401B}"/>
    <cellStyle name="Comma 2 2 5" xfId="7420" xr:uid="{48934BC7-78D7-443D-8568-38CC9E1A20A5}"/>
    <cellStyle name="Comma 2 2 6" xfId="3009" xr:uid="{DBEF7698-64F9-4EB5-B0E7-D46BED657691}"/>
    <cellStyle name="Comma 2 2 7" xfId="23838" xr:uid="{4B9C5A75-0A4D-4573-ADE2-F6303761B994}"/>
    <cellStyle name="Comma 2 2 8" xfId="843" xr:uid="{99462C9F-6FBA-4B54-98D5-B9ACC20859DC}"/>
    <cellStyle name="Comma 2 2_Corporate Allocators" xfId="7424" xr:uid="{E276AFA8-79CA-4C83-BC74-4DC45559C8F4}"/>
    <cellStyle name="Comma 2 20" xfId="844" xr:uid="{1B3AFE07-6FAB-4286-AD7B-2C355F92F34C}"/>
    <cellStyle name="Comma 2 20 2" xfId="23839" xr:uid="{FCFF66B3-29F3-420F-9A01-BABCC3809C1F}"/>
    <cellStyle name="Comma 2 21" xfId="845" xr:uid="{1CA7B928-56F7-44A4-A4D8-A908436E2F5B}"/>
    <cellStyle name="Comma 2 21 2" xfId="23840" xr:uid="{AFD97A38-B05C-4298-8894-4B1A6361A339}"/>
    <cellStyle name="Comma 2 22" xfId="846" xr:uid="{BF45E9E1-83B3-496F-9271-D8A204599A57}"/>
    <cellStyle name="Comma 2 22 2" xfId="23841" xr:uid="{52A009D9-B91D-4070-A333-12469F951C0D}"/>
    <cellStyle name="Comma 2 23" xfId="847" xr:uid="{78B4457C-DEFC-45B0-B5B9-B0CD8E5567EB}"/>
    <cellStyle name="Comma 2 23 2" xfId="23842" xr:uid="{03B77DC6-0E93-47D0-8E7A-D62B17B00497}"/>
    <cellStyle name="Comma 2 24" xfId="848" xr:uid="{A0948773-8034-487F-AED9-FB2D4F6373FC}"/>
    <cellStyle name="Comma 2 24 2" xfId="23843" xr:uid="{71126916-D050-457A-90AF-5F76043C75A2}"/>
    <cellStyle name="Comma 2 25" xfId="849" xr:uid="{0060F562-F8F4-4FE5-8B90-46431AAA38F4}"/>
    <cellStyle name="Comma 2 25 2" xfId="23844" xr:uid="{945D43BD-2925-476E-BD32-2784D2EBE4E8}"/>
    <cellStyle name="Comma 2 26" xfId="850" xr:uid="{340433F0-F5A8-4CE0-919E-72CB47958605}"/>
    <cellStyle name="Comma 2 26 2" xfId="23845" xr:uid="{894AE145-D366-4143-B084-5839B4BC6939}"/>
    <cellStyle name="Comma 2 27" xfId="851" xr:uid="{92991800-FF59-4421-863C-C6699C42B1EA}"/>
    <cellStyle name="Comma 2 27 2" xfId="23846" xr:uid="{DDC30C24-0F82-4900-AD35-055A7AA170E0}"/>
    <cellStyle name="Comma 2 28" xfId="852" xr:uid="{4A8F1817-DC85-4CEA-B1BF-70C6226865B3}"/>
    <cellStyle name="Comma 2 28 2" xfId="23847" xr:uid="{59F1F019-0D73-442C-916B-D8830930B8CF}"/>
    <cellStyle name="Comma 2 29" xfId="853" xr:uid="{076FD759-FF12-4B3C-8256-23B147CE22BA}"/>
    <cellStyle name="Comma 2 29 2" xfId="23848" xr:uid="{DDE9A729-2D3F-4C3B-B0EF-D18ED5069592}"/>
    <cellStyle name="Comma 2 3" xfId="124" xr:uid="{2D96BB1D-4611-4EBC-92A7-167313F53076}"/>
    <cellStyle name="Comma 2 3 2" xfId="125" xr:uid="{31023978-3F9B-48B0-BD84-21FE039F824D}"/>
    <cellStyle name="Comma 2 3 2 2" xfId="7425" xr:uid="{15B43BB4-EA0B-4217-A817-64CF56E79AC6}"/>
    <cellStyle name="Comma 2 3 3" xfId="3010" xr:uid="{A3E7703F-2405-496F-A302-CF45BE01ABF9}"/>
    <cellStyle name="Comma 2 3 4" xfId="23849" xr:uid="{52525417-D7EE-40FD-8059-709CCC14FE0D}"/>
    <cellStyle name="Comma 2 3 5" xfId="854" xr:uid="{7815C539-3245-47C3-9A2A-D869084E453E}"/>
    <cellStyle name="Comma 2 30" xfId="855" xr:uid="{473B0BEF-49A8-4ED9-856A-42D13D309723}"/>
    <cellStyle name="Comma 2 30 2" xfId="23850" xr:uid="{F7EEBBBB-CA0A-4A30-81FD-D23AD1B8364D}"/>
    <cellStyle name="Comma 2 31" xfId="856" xr:uid="{E96928E8-08B4-49B2-BAAE-9785A2634262}"/>
    <cellStyle name="Comma 2 31 2" xfId="23851" xr:uid="{71DBCA05-7BC9-497F-8CDC-1C6A8950CF8D}"/>
    <cellStyle name="Comma 2 32" xfId="857" xr:uid="{46A08225-B6EF-404E-A788-5ACA6DF226A8}"/>
    <cellStyle name="Comma 2 32 2" xfId="23852" xr:uid="{8C0C278E-2432-4276-BCF9-719CAB56ECB6}"/>
    <cellStyle name="Comma 2 33" xfId="858" xr:uid="{CC6C1A99-DD15-434C-BFD1-C824851356EA}"/>
    <cellStyle name="Comma 2 33 2" xfId="23853" xr:uid="{9DD6B216-BB50-4A68-8917-2003B535B283}"/>
    <cellStyle name="Comma 2 34" xfId="859" xr:uid="{F5247AC8-F04E-4173-AEFB-429983D6B440}"/>
    <cellStyle name="Comma 2 34 2" xfId="23854" xr:uid="{5E168721-71E7-4177-A296-5B688EA775E8}"/>
    <cellStyle name="Comma 2 35" xfId="860" xr:uid="{D84CCC8B-F60E-49E0-8200-5E1E330862B6}"/>
    <cellStyle name="Comma 2 35 2" xfId="861" xr:uid="{9302229B-3F60-499E-8D88-79FD3CBEA3D5}"/>
    <cellStyle name="Comma 2 35 2 2" xfId="23856" xr:uid="{8D288A48-E11E-4657-9413-D6805EF451DD}"/>
    <cellStyle name="Comma 2 35 3" xfId="23855" xr:uid="{96B88A77-A07E-4200-B853-A76B069386E2}"/>
    <cellStyle name="Comma 2 36" xfId="862" xr:uid="{0399E5FF-44D5-4F69-8148-3E5F02A6A49E}"/>
    <cellStyle name="Comma 2 36 2" xfId="863" xr:uid="{4B4B3E09-D6D5-4626-BA89-1BDFFA6464E7}"/>
    <cellStyle name="Comma 2 36 2 2" xfId="23858" xr:uid="{17E377C6-BBCD-4D38-97A4-C8DE04B4FA96}"/>
    <cellStyle name="Comma 2 36 3" xfId="23857" xr:uid="{38F10BD5-BC98-4A20-ACA3-A56000585471}"/>
    <cellStyle name="Comma 2 37" xfId="589" xr:uid="{F227E540-541A-40AD-A139-51C29EA50D28}"/>
    <cellStyle name="Comma 2 38" xfId="23827" xr:uid="{521C4BBD-DF05-493A-9A3D-2E44633AABCD}"/>
    <cellStyle name="Comma 2 39" xfId="577" xr:uid="{74425859-C4A6-4233-B011-0DDECD6BC085}"/>
    <cellStyle name="Comma 2 4" xfId="126" xr:uid="{45C9454E-F729-4A1D-9978-7CE7DEA6C017}"/>
    <cellStyle name="Comma 2 4 2" xfId="23353" xr:uid="{226B86D6-A362-4CB1-8F20-A9BDA3F31837}"/>
    <cellStyle name="Comma 2 4 3" xfId="23326" xr:uid="{A626C0D7-AAB0-4B30-8A12-6CF279D80096}"/>
    <cellStyle name="Comma 2 4 4" xfId="23859" xr:uid="{18FD6F12-1280-448B-A70C-C2EB128873BD}"/>
    <cellStyle name="Comma 2 4 5" xfId="864" xr:uid="{0038BD70-8CAA-48ED-AEF8-F5D173C80B17}"/>
    <cellStyle name="Comma 2 5" xfId="127" xr:uid="{AB5D283F-F49A-4539-AF68-0495F390CF95}"/>
    <cellStyle name="Comma 2 5 2" xfId="23860" xr:uid="{0A300095-AE6A-4B68-BBF6-B849E07699AB}"/>
    <cellStyle name="Comma 2 5 3" xfId="865" xr:uid="{18FEACD4-655D-4688-9EC9-02F966654B09}"/>
    <cellStyle name="Comma 2 6" xfId="297" xr:uid="{2E0927E6-D37D-4B6C-9821-CBD3DDD8F1EA}"/>
    <cellStyle name="Comma 2 6 2" xfId="23861" xr:uid="{7BF4C9F0-2212-40D6-9B12-C76B9FE972FD}"/>
    <cellStyle name="Comma 2 6 3" xfId="866" xr:uid="{217BCF0B-E8C3-4F11-95DD-AE2834344BB5}"/>
    <cellStyle name="Comma 2 7" xfId="867" xr:uid="{80289E97-513A-4114-BA7D-9B6DEB244CED}"/>
    <cellStyle name="Comma 2 7 2" xfId="868" xr:uid="{E5957181-9C5D-42A6-9EE1-4F0537C71E55}"/>
    <cellStyle name="Comma 2 7 2 2" xfId="23863" xr:uid="{40B64F0E-EB90-455A-A799-0C5FC0A55639}"/>
    <cellStyle name="Comma 2 7 3" xfId="23862" xr:uid="{7FA582C8-CD1A-44A3-9BCF-7B43BD069D1F}"/>
    <cellStyle name="Comma 2 8" xfId="869" xr:uid="{C3A1ED67-38A9-4CC5-BF38-B0CA88326747}"/>
    <cellStyle name="Comma 2 8 2" xfId="23864" xr:uid="{B1C344C9-3C53-4AC8-A810-265FDED31CC6}"/>
    <cellStyle name="Comma 2 9" xfId="870" xr:uid="{AB336233-E5E8-41E0-B9F4-6A09D09319C2}"/>
    <cellStyle name="Comma 2 9 2" xfId="23865" xr:uid="{0DC8D61B-F380-4A34-9D56-1EA3F43F3C50}"/>
    <cellStyle name="Comma 2_7. Ass" xfId="871" xr:uid="{02FF656E-8B55-4C7D-BD92-5D24661DC231}"/>
    <cellStyle name="Comma 20" xfId="872" xr:uid="{F6C14292-3A24-4FA6-9E40-95FA14DCCC5D}"/>
    <cellStyle name="Comma 20 2" xfId="7426" xr:uid="{0F088D5C-6D25-4A79-9A73-48F510B0C352}"/>
    <cellStyle name="Comma 20 3" xfId="7427" xr:uid="{28B4D664-26D5-4146-B82B-7852691704F7}"/>
    <cellStyle name="Comma 20 4" xfId="7428" xr:uid="{DB910EDD-D5B6-4EE4-A67F-CA2DAC615EEF}"/>
    <cellStyle name="Comma 20 5" xfId="23866" xr:uid="{48065695-847A-4CD2-BF9A-158A1AF00727}"/>
    <cellStyle name="Comma 21" xfId="873" xr:uid="{4A599ABA-4E02-439F-97E1-F124AD9EE294}"/>
    <cellStyle name="Comma 21 2" xfId="7429" xr:uid="{C46D013A-FBD5-4416-9267-DE87A18E9EB8}"/>
    <cellStyle name="Comma 21 3" xfId="7430" xr:uid="{768116DD-ADC1-4972-AD8D-D976B9EB40E9}"/>
    <cellStyle name="Comma 21 4" xfId="7431" xr:uid="{DE47F923-5290-457D-952E-520F671BC800}"/>
    <cellStyle name="Comma 21 5" xfId="23867" xr:uid="{CE8EEB28-E02F-4846-95DC-27F36C8E0BC5}"/>
    <cellStyle name="Comma 22" xfId="874" xr:uid="{595FE730-CF49-4EF6-A46A-AE76DA61A16F}"/>
    <cellStyle name="Comma 22 2" xfId="7432" xr:uid="{5A8279EB-F9B1-4647-AC15-91C06AEFA7C0}"/>
    <cellStyle name="Comma 22 3" xfId="23868" xr:uid="{371BC851-785B-4AA5-9B00-C65291042237}"/>
    <cellStyle name="Comma 23" xfId="875" xr:uid="{F0CFD951-61C1-4ECE-9564-410A012D165B}"/>
    <cellStyle name="Comma 23 2" xfId="7433" xr:uid="{1D9FF642-E114-46C9-BF61-5D000384DFFD}"/>
    <cellStyle name="Comma 23 3" xfId="23869" xr:uid="{18B54323-E1BD-43A4-83EA-3E596016D4ED}"/>
    <cellStyle name="Comma 24" xfId="876" xr:uid="{2602C3BE-FE31-450C-839B-D3768FFA5DCC}"/>
    <cellStyle name="Comma 25" xfId="877" xr:uid="{72CD5BE1-909E-4D64-BEC8-E96871889EDB}"/>
    <cellStyle name="Comma 25 2" xfId="7434" xr:uid="{6387F884-06B5-4986-A15C-4A3142E22B6A}"/>
    <cellStyle name="Comma 25 3" xfId="23870" xr:uid="{B0E85DED-EB91-4FB9-8CB0-B0A5D39E161F}"/>
    <cellStyle name="Comma 26" xfId="878" xr:uid="{9CD4507B-2FB6-44C5-BDD3-B18420458351}"/>
    <cellStyle name="Comma 26 2" xfId="7436" xr:uid="{BE2DB2A1-344B-4BAC-8526-037F6536C282}"/>
    <cellStyle name="Comma 26 3" xfId="7435" xr:uid="{58D6C519-2775-4CA4-ABE6-0BC5BDA837A7}"/>
    <cellStyle name="Comma 26 4" xfId="23871" xr:uid="{E68CFEB2-B0B6-42CF-BB6C-AEA50EEDC1FB}"/>
    <cellStyle name="Comma 27" xfId="879" xr:uid="{DD4DE29F-0C2C-4AB4-8DB1-2685C326A0D2}"/>
    <cellStyle name="Comma 27 2" xfId="7437" xr:uid="{029397CF-A8D9-4A9B-B6EF-A6C497E852DF}"/>
    <cellStyle name="Comma 28" xfId="880" xr:uid="{E6210501-91AF-47C9-96CD-79A1EFA1775E}"/>
    <cellStyle name="Comma 28 2" xfId="881" xr:uid="{00BA2EF0-9A09-43BD-B4EE-6EDAA16E0C8A}"/>
    <cellStyle name="Comma 28 3" xfId="7438" xr:uid="{84A5A141-868A-4E6F-BDE4-6B5EDCD277CF}"/>
    <cellStyle name="Comma 29" xfId="882" xr:uid="{5AB7CBD2-7ECD-4E9C-A1D4-A5F545F38718}"/>
    <cellStyle name="Comma 29 2" xfId="883" xr:uid="{23E7726F-FEF5-4F01-BF12-9B72182A76FB}"/>
    <cellStyle name="Comma 29 3" xfId="7439" xr:uid="{9B1C64A2-4726-4AB7-8EEA-7A274AEF347C}"/>
    <cellStyle name="Comma 3" xfId="128" xr:uid="{17A8C00D-7255-4FA9-9AE5-27BE239005C7}"/>
    <cellStyle name="Comma 3 10" xfId="884" xr:uid="{7E211600-7DAF-4812-9D6B-7CDFA33FCCB0}"/>
    <cellStyle name="Comma 3 10 2" xfId="8934" xr:uid="{6A60AA27-71A1-4D48-B46F-51AACF6B297A}"/>
    <cellStyle name="Comma 3 10 3" xfId="23873" xr:uid="{417C7EE8-7152-498F-9F1C-B545F6783295}"/>
    <cellStyle name="Comma 3 11" xfId="885" xr:uid="{1662E2BF-8C16-4508-BDCE-030574FA8130}"/>
    <cellStyle name="Comma 3 11 2" xfId="6488" xr:uid="{8B58AA50-A0B7-461A-A34E-905FC9E4C3B2}"/>
    <cellStyle name="Comma 3 11 3" xfId="23874" xr:uid="{8F0E77F7-B44E-40D1-8ECA-7DD0B93FF6F9}"/>
    <cellStyle name="Comma 3 12" xfId="886" xr:uid="{74D415FD-1F9E-430B-BC68-9FC48EC43579}"/>
    <cellStyle name="Comma 3 12 2" xfId="23875" xr:uid="{3B68E83A-1185-494E-90E6-227403FC91EF}"/>
    <cellStyle name="Comma 3 13" xfId="887" xr:uid="{CA4BC0A2-93C8-44A0-AAC8-06F5C848B5E3}"/>
    <cellStyle name="Comma 3 13 2" xfId="23876" xr:uid="{960929B8-A454-4B36-9C80-111FB7669EA2}"/>
    <cellStyle name="Comma 3 14" xfId="888" xr:uid="{B622097F-1FAF-494B-B2AF-946EA61CD079}"/>
    <cellStyle name="Comma 3 15" xfId="23872" xr:uid="{BB8F2F36-E467-43C3-8D43-F2B36D010579}"/>
    <cellStyle name="Comma 3 2" xfId="129" xr:uid="{6CFD445C-55E5-4546-BCB4-B8E17F4644B7}"/>
    <cellStyle name="Comma 3 2 2" xfId="298" xr:uid="{1B57A82A-4ACE-41A2-B33B-3FDD1EB6DC5A}"/>
    <cellStyle name="Comma 3 2 2 2" xfId="890" xr:uid="{D1B1496C-A5EC-4DFA-AC82-E39EA8EC138A}"/>
    <cellStyle name="Comma 3 2 2 2 2" xfId="891" xr:uid="{21687241-864E-46A7-8B67-E5E1A5BCB188}"/>
    <cellStyle name="Comma 3 2 2 2 3" xfId="23878" xr:uid="{67F3C5C6-40D0-4692-B6E0-1F25D0808247}"/>
    <cellStyle name="Comma 3 2 2 3" xfId="7441" xr:uid="{5C64BC6C-C94C-4C9C-A2B3-30B9417E0357}"/>
    <cellStyle name="Comma 3 2 3" xfId="892" xr:uid="{C1AB9B3C-24DB-4C45-9845-D1C73253DC16}"/>
    <cellStyle name="Comma 3 2 3 2" xfId="7440" xr:uid="{DF23F9C7-DCE6-426F-9861-B19E32A3A71B}"/>
    <cellStyle name="Comma 3 2 4" xfId="2993" xr:uid="{1DE703D0-848E-4AA0-8EA4-FA458AAB0712}"/>
    <cellStyle name="Comma 3 2 4 2" xfId="23327" xr:uid="{80BB4EF3-106D-44F4-B26C-5346E1D32809}"/>
    <cellStyle name="Comma 3 2 5" xfId="3846" xr:uid="{97FDC982-5392-4877-8CA7-D44B466DB5CB}"/>
    <cellStyle name="Comma 3 2 6" xfId="23877" xr:uid="{368A59AD-C211-4296-917B-508680E3410B}"/>
    <cellStyle name="Comma 3 2 7" xfId="889" xr:uid="{578E0C76-E591-40F7-A9C5-FB9B6F529BFC}"/>
    <cellStyle name="Comma 3 2_Corporate Allocators" xfId="7442" xr:uid="{D5FA3D7C-4B1F-4941-A53A-CF91D767878C}"/>
    <cellStyle name="Comma 3 3" xfId="130" xr:uid="{355B6438-66CC-4FF6-9C46-83EDBBF28E65}"/>
    <cellStyle name="Comma 3 3 2" xfId="299" xr:uid="{446992D9-04B5-4F22-8EF2-06225EABEFC2}"/>
    <cellStyle name="Comma 3 3 2 2" xfId="7444" xr:uid="{66125D34-0C2A-4A12-B318-37957114C82D}"/>
    <cellStyle name="Comma 3 3 3" xfId="7443" xr:uid="{BC60603C-E564-47EC-9C13-37D4250230D4}"/>
    <cellStyle name="Comma 3 3 4" xfId="3579" xr:uid="{6533A2F1-9054-4D39-A4C3-A071A25B7A57}"/>
    <cellStyle name="Comma 3 3 5" xfId="893" xr:uid="{3EB288A4-546E-4570-91D3-706F007295E0}"/>
    <cellStyle name="Comma 3 4" xfId="300" xr:uid="{F9D20BB4-CE57-43F8-B10F-BD9BFA75F03D}"/>
    <cellStyle name="Comma 3 4 2" xfId="7445" xr:uid="{C36BAD27-7CFE-4D70-9CD7-433FE74516BF}"/>
    <cellStyle name="Comma 3 4 3" xfId="23879" xr:uid="{55B82448-D15D-4176-8A2D-1C22803195E0}"/>
    <cellStyle name="Comma 3 4 4" xfId="894" xr:uid="{21D1B496-38F6-404A-ADF6-482DAE59D8D5}"/>
    <cellStyle name="Comma 3 5" xfId="301" xr:uid="{31065881-A38B-4D95-8DDC-65518A2B0423}"/>
    <cellStyle name="Comma 3 5 2" xfId="7446" xr:uid="{196B053C-C355-4595-9CFC-0A3E1D6E69C0}"/>
    <cellStyle name="Comma 3 5 3" xfId="23880" xr:uid="{060D169A-FD42-4C30-86D2-393EC3574A76}"/>
    <cellStyle name="Comma 3 5 4" xfId="895" xr:uid="{7F5DC1EB-8A5C-4E7D-B61D-5D16938C4BC4}"/>
    <cellStyle name="Comma 3 6" xfId="302" xr:uid="{1D3C3E37-A6FB-4924-A6C7-FB54742C1D61}"/>
    <cellStyle name="Comma 3 6 2" xfId="7447" xr:uid="{36895BC3-935C-4168-B585-C43AD7D2A3D7}"/>
    <cellStyle name="Comma 3 6 3" xfId="23881" xr:uid="{9234B750-88C8-4940-BB93-FF4DBA01DA18}"/>
    <cellStyle name="Comma 3 6 4" xfId="896" xr:uid="{8B2C677A-32AE-429A-AD3E-EED2A6E0812D}"/>
    <cellStyle name="Comma 3 7" xfId="897" xr:uid="{9F020E01-5C34-4D1F-B32E-937D8096E7B6}"/>
    <cellStyle name="Comma 3 7 2" xfId="8901" xr:uid="{3D00EC52-F77A-4517-AF6C-C49EF0904E9A}"/>
    <cellStyle name="Comma 3 7 3" xfId="23882" xr:uid="{1C9EC011-E395-4504-A807-ED806FE1EA4D}"/>
    <cellStyle name="Comma 3 8" xfId="898" xr:uid="{C70B852C-A79D-4FEA-AC25-9484C2F8443F}"/>
    <cellStyle name="Comma 3 8 2" xfId="8946" xr:uid="{85AE478F-7786-47F6-BE83-3C8896E55638}"/>
    <cellStyle name="Comma 3 8 3" xfId="23883" xr:uid="{670A0D93-5E72-4426-80B1-B9261DD9CBBA}"/>
    <cellStyle name="Comma 3 9" xfId="899" xr:uid="{6661B5DA-FCD1-4729-BCB6-8C5CD59FAD19}"/>
    <cellStyle name="Comma 3 9 2" xfId="8913" xr:uid="{FFB0D53C-DEE1-4236-8A24-A4AC2D6376A3}"/>
    <cellStyle name="Comma 3 9 3" xfId="23884" xr:uid="{7F8E1B76-DBCC-4565-BC4E-264B08D576CA}"/>
    <cellStyle name="Comma 3_Check" xfId="900" xr:uid="{2D3EA891-DB76-4AAD-9114-A2E1550C7923}"/>
    <cellStyle name="Comma 30" xfId="901" xr:uid="{05750BD3-08CB-4927-A929-2A1314CD8CE0}"/>
    <cellStyle name="Comma 30 2" xfId="902" xr:uid="{C445EA97-CBEC-47F8-B6B6-90DB8BADF45D}"/>
    <cellStyle name="Comma 30 3" xfId="7448" xr:uid="{96053957-338A-448C-9E90-1E0E3CC902A7}"/>
    <cellStyle name="Comma 31" xfId="903" xr:uid="{C53E6F04-5E4F-4965-BCE1-B076E44D7D3B}"/>
    <cellStyle name="Comma 31 2" xfId="904" xr:uid="{9930A844-6E04-48FD-94A1-D80CC1023DC2}"/>
    <cellStyle name="Comma 31 2 2" xfId="23886" xr:uid="{7CE27696-BD65-4DC9-BF77-F232EB520144}"/>
    <cellStyle name="Comma 31 3" xfId="7449" xr:uid="{9BB95A5B-8C8C-4B84-8E2F-5A148E3F42F0}"/>
    <cellStyle name="Comma 31 4" xfId="23885" xr:uid="{260E89B9-724F-456B-99B0-3EFE9A3C5E62}"/>
    <cellStyle name="Comma 32" xfId="905" xr:uid="{3CC511C0-E298-467F-AA55-E634296E6918}"/>
    <cellStyle name="Comma 32 2" xfId="7450" xr:uid="{B44EBCBA-5C94-4B6C-A272-0460775A62E2}"/>
    <cellStyle name="Comma 32 3" xfId="23887" xr:uid="{70B53598-F3C7-4ED2-A9EC-8BC8E0ABA85B}"/>
    <cellStyle name="Comma 33" xfId="906" xr:uid="{BF7AEFB7-E67A-48EA-AFB9-D6E0C55DAC52}"/>
    <cellStyle name="Comma 33 2" xfId="7451" xr:uid="{1B236775-B516-46F3-A24C-49851E3602C2}"/>
    <cellStyle name="Comma 33 3" xfId="23888" xr:uid="{59659093-C674-4C22-B529-FEE2A001F68D}"/>
    <cellStyle name="Comma 34" xfId="907" xr:uid="{2C8621F5-BEE9-4B9E-A977-009F321E9C91}"/>
    <cellStyle name="Comma 34 2" xfId="7452" xr:uid="{2143F35B-042E-4FED-AAA8-272E60FDD622}"/>
    <cellStyle name="Comma 34 3" xfId="23889" xr:uid="{E68D49AD-50B3-4FD6-8A1E-3AAF2DF9A95F}"/>
    <cellStyle name="Comma 35" xfId="908" xr:uid="{AE75D2D9-FAA5-4629-AEFB-542598DE00A5}"/>
    <cellStyle name="Comma 35 2" xfId="909" xr:uid="{8A8FCBB6-357F-4325-84B7-641EB364CB51}"/>
    <cellStyle name="Comma 35 2 2" xfId="7454" xr:uid="{6B0C3528-EE37-4E48-92C2-C2591A8E91EE}"/>
    <cellStyle name="Comma 35 2 3" xfId="23891" xr:uid="{50E388E6-EB25-4DCB-B28C-E482176BCFED}"/>
    <cellStyle name="Comma 35 3" xfId="7453" xr:uid="{BA2E9928-AF4C-40EC-AF0E-F84F8A23ABFC}"/>
    <cellStyle name="Comma 35 4" xfId="23890" xr:uid="{0F49EBDF-95B3-496E-AC2E-206548E46C65}"/>
    <cellStyle name="Comma 36" xfId="910" xr:uid="{84638FB0-9D38-434D-9168-09209F3A0204}"/>
    <cellStyle name="Comma 36 2" xfId="911" xr:uid="{C66AEFB2-0498-4A9D-866C-87B269EE8EC8}"/>
    <cellStyle name="Comma 36 2 2" xfId="7456" xr:uid="{FFFF9BD6-2467-4D97-A48D-FD18AC9BA6DE}"/>
    <cellStyle name="Comma 36 2 3" xfId="23893" xr:uid="{7265DBC3-C9AA-4D81-9E80-2DAE0F69A312}"/>
    <cellStyle name="Comma 36 3" xfId="7455" xr:uid="{7EDDE2E6-08AD-4933-8F32-1D13BBAEF421}"/>
    <cellStyle name="Comma 36 4" xfId="23892" xr:uid="{6A909C31-4AD4-45B3-B2F1-28C22BC76D33}"/>
    <cellStyle name="Comma 37" xfId="912" xr:uid="{FA2869CE-C9FD-4502-AFF9-3A0906E5901E}"/>
    <cellStyle name="Comma 37 2" xfId="7458" xr:uid="{2DD41282-BAAE-4705-9A6C-3ABDDDD5EBF9}"/>
    <cellStyle name="Comma 37 3" xfId="7457" xr:uid="{91A063F5-D8EF-4C97-AAF9-79EE61EC7DEC}"/>
    <cellStyle name="Comma 37 4" xfId="23894" xr:uid="{D239D0BC-8881-499A-9654-5AC5412B1A91}"/>
    <cellStyle name="Comma 38" xfId="913" xr:uid="{E478A281-6421-42DE-BD48-82E106BAF4C2}"/>
    <cellStyle name="Comma 38 2" xfId="7460" xr:uid="{26441505-DAE8-4DDC-B410-43544D3A34C2}"/>
    <cellStyle name="Comma 38 3" xfId="7459" xr:uid="{EF4FD021-815A-46D9-A58E-99DC32FA0616}"/>
    <cellStyle name="Comma 38 4" xfId="23895" xr:uid="{1109A3F6-45DF-4967-84C6-BEED09DC9975}"/>
    <cellStyle name="Comma 39" xfId="914" xr:uid="{FF267FDD-3A33-469E-B7FF-A3D7E3E4C12B}"/>
    <cellStyle name="Comma 39 2" xfId="7461" xr:uid="{D64F894C-48CA-43A0-9F53-E88960E9FB67}"/>
    <cellStyle name="Comma 39 3" xfId="23896" xr:uid="{46A067CF-AC39-4634-AEB9-C9BF6D698EF0}"/>
    <cellStyle name="Comma 4" xfId="131" xr:uid="{91277A47-EA86-47C2-8965-65C4D4D20282}"/>
    <cellStyle name="Comma 4 2" xfId="303" xr:uid="{FA68387B-501F-4F42-B6A4-C693F95C28E3}"/>
    <cellStyle name="Comma 4 2 2" xfId="7463" xr:uid="{C993F4F7-6727-4E4E-82BD-2CC3D5793999}"/>
    <cellStyle name="Comma 4 2 3" xfId="23740" xr:uid="{F95BBDCF-E028-4E39-B8CB-8224DD033886}"/>
    <cellStyle name="Comma 4 2 4" xfId="7462" xr:uid="{48BCC583-F57D-4C6E-8651-3EC1462FF433}"/>
    <cellStyle name="Comma 4 2 5" xfId="23897" xr:uid="{7B05AE21-D175-4AE1-989F-06C608B717EB}"/>
    <cellStyle name="Comma 4 2 6" xfId="915" xr:uid="{05EBCB25-974C-433B-A5D3-FCB54E6A4599}"/>
    <cellStyle name="Comma 4 3" xfId="916" xr:uid="{6A254978-5D4C-4895-985D-A8C42C0034E9}"/>
    <cellStyle name="Comma 4 3 2" xfId="7464" xr:uid="{323C479A-228D-440E-8905-F34631E46BFF}"/>
    <cellStyle name="Comma 4 3 3" xfId="23898" xr:uid="{7667E345-11D4-442F-9B50-0239A30A504D}"/>
    <cellStyle name="Comma 4 4" xfId="917" xr:uid="{F14CF732-73B3-48D2-B374-A514EEF81672}"/>
    <cellStyle name="Comma 4 4 2" xfId="918" xr:uid="{00F191E8-E714-49AD-BF88-1A2D687B5131}"/>
    <cellStyle name="Comma 4 4 2 2" xfId="23900" xr:uid="{71916208-0A8B-4451-AD7D-637AD88CC9D5}"/>
    <cellStyle name="Comma 4 4 3" xfId="7465" xr:uid="{BB308EEA-AB79-4DFA-B731-F28598FB11CD}"/>
    <cellStyle name="Comma 4 4 4" xfId="23899" xr:uid="{22CE2C18-9EF8-41CD-B759-F4BA97EBE721}"/>
    <cellStyle name="Comma 4 5" xfId="919" xr:uid="{21AC509B-D7FF-4A75-933B-327D7A25EBF9}"/>
    <cellStyle name="Comma 4 5 2" xfId="920" xr:uid="{1976F073-EEBB-4BB0-BA47-15983F28005A}"/>
    <cellStyle name="Comma 4 5 2 2" xfId="23902" xr:uid="{EABB3316-D647-4AA1-9596-ECC6C479ACAA}"/>
    <cellStyle name="Comma 4 5 3" xfId="8890" xr:uid="{26132588-3323-4421-82D7-BD31473B948A}"/>
    <cellStyle name="Comma 4 5 4" xfId="23901" xr:uid="{84FC6D58-7B76-4BB7-9780-0E341014465E}"/>
    <cellStyle name="Comma 4 6" xfId="921" xr:uid="{DE9B204D-CA94-488C-BB64-D46EE521A8C6}"/>
    <cellStyle name="Comma 4 7" xfId="2504" xr:uid="{62865E7C-2CC6-454A-B254-A97033701DC9}"/>
    <cellStyle name="Comma 4 8" xfId="3011" xr:uid="{47750562-648A-4F03-9C56-AA7C720C2161}"/>
    <cellStyle name="Comma 4 9" xfId="590" xr:uid="{1D4C7D4A-40A5-4FDA-A651-864389BC532F}"/>
    <cellStyle name="Comma 4_Corporate Allocators" xfId="7466" xr:uid="{B880479E-AC46-4B3A-B6D1-C7EDC0C221F3}"/>
    <cellStyle name="Comma 40" xfId="922" xr:uid="{132CB8CF-8303-4824-804B-1F082CEB426B}"/>
    <cellStyle name="Comma 40 2" xfId="23903" xr:uid="{403B7664-3765-456E-A143-694B5E90F9AB}"/>
    <cellStyle name="Comma 41" xfId="923" xr:uid="{88DB2619-6637-43BE-903E-B32FA62F0B46}"/>
    <cellStyle name="Comma 41 2" xfId="924" xr:uid="{2F9C9B2F-8413-4FC1-A55B-99955D8CFEDC}"/>
    <cellStyle name="Comma 41 2 2" xfId="7468" xr:uid="{145C377F-C62B-4F9A-9333-2218D4AA3DA1}"/>
    <cellStyle name="Comma 41 2 3" xfId="23905" xr:uid="{1E815303-1AEA-4FBB-9506-217F946B5174}"/>
    <cellStyle name="Comma 41 3" xfId="7467" xr:uid="{FBF4DA44-65FE-4983-B204-8E4139E9C7A9}"/>
    <cellStyle name="Comma 41 4" xfId="23904" xr:uid="{752F02F0-4885-4BDC-98B5-7BD7CA3986FA}"/>
    <cellStyle name="Comma 42" xfId="925" xr:uid="{1F832E32-D2B4-428A-BFE5-FDF7886BE68B}"/>
    <cellStyle name="Comma 42 2" xfId="7469" xr:uid="{3C8F0B97-FB64-43EC-8E0E-5F49EFF11385}"/>
    <cellStyle name="Comma 42 3" xfId="23906" xr:uid="{5B177272-AE75-4F2B-B8DC-6907AE4AB7F3}"/>
    <cellStyle name="Comma 43" xfId="926" xr:uid="{BE94088E-53D7-45B5-9382-12ADBF1A9B61}"/>
    <cellStyle name="Comma 43 2" xfId="7470" xr:uid="{93B596BC-62FA-4F0A-9BDE-190FB2516B89}"/>
    <cellStyle name="Comma 43 3" xfId="23907" xr:uid="{A9C7370F-23AC-49CB-95A2-F1959F1E6C00}"/>
    <cellStyle name="Comma 44" xfId="2259" xr:uid="{573AF4D2-6BFD-442E-92F0-0CCD6D82621F}"/>
    <cellStyle name="Comma 44 2" xfId="7471" xr:uid="{E5EC9CD3-F7F5-4949-98E2-379B67688E3A}"/>
    <cellStyle name="Comma 44 3" xfId="23908" xr:uid="{1E9FE877-0324-4625-944F-CE1DBD94E92D}"/>
    <cellStyle name="Comma 45" xfId="2499" xr:uid="{9BF7E5B8-B3A9-49DD-92E6-3A1E689FA019}"/>
    <cellStyle name="Comma 46" xfId="2500" xr:uid="{679AA85F-A364-41FF-B3E1-62685F768D64}"/>
    <cellStyle name="Comma 46 2" xfId="23909" xr:uid="{D77BDBA6-375D-4DC3-A2E2-E8A992BFA6A1}"/>
    <cellStyle name="Comma 47" xfId="2502" xr:uid="{618BD4CF-9967-4C6A-93B9-A7CDEA236518}"/>
    <cellStyle name="Comma 47 2" xfId="7472" xr:uid="{5C6E6453-BF65-4369-847E-8CD2FDF645C6}"/>
    <cellStyle name="Comma 48" xfId="579" xr:uid="{0436D15D-9E12-4F37-BF2C-7CBC54661069}"/>
    <cellStyle name="Comma 49" xfId="2508" xr:uid="{9FE53618-D94A-4F88-98CC-541652036276}"/>
    <cellStyle name="Comma 5" xfId="132" xr:uid="{E05878AF-67E0-4385-AB67-6A708840BDFC}"/>
    <cellStyle name="Comma 5 2" xfId="7474" xr:uid="{7E3859F5-7A0F-4E29-B74E-02FADFE367AD}"/>
    <cellStyle name="Comma 5 3" xfId="7475" xr:uid="{10EC0A22-517D-4A58-9DE2-72E68C0D5937}"/>
    <cellStyle name="Comma 5 4" xfId="7476" xr:uid="{88736EC9-4A4D-47DF-94B2-130820806E9B}"/>
    <cellStyle name="Comma 5 5" xfId="7477" xr:uid="{36ED0F69-1213-4CE0-A1AC-CBDDFCB93999}"/>
    <cellStyle name="Comma 5 6" xfId="7473" xr:uid="{223A0731-A8BE-4B5E-A22C-5EDF8A17B1D6}"/>
    <cellStyle name="Comma 5 7" xfId="4053" xr:uid="{4AD69E07-4880-4F0C-8265-9593859F6C58}"/>
    <cellStyle name="Comma 5 8" xfId="23910" xr:uid="{9BA0B483-8CE3-4E50-8AEA-33E2EE843825}"/>
    <cellStyle name="Comma 5 9" xfId="927" xr:uid="{8AA25A77-92E6-4D7A-A24A-B57384F76EE9}"/>
    <cellStyle name="Comma 50" xfId="2902" xr:uid="{8DFB190B-EDA4-46FC-9E12-92B89DED89CA}"/>
    <cellStyle name="Comma 51" xfId="2547" xr:uid="{8F5D8E59-56E3-4115-A81A-215AD43DD8B3}"/>
    <cellStyle name="Comma 51 2" xfId="7478" xr:uid="{94433F22-6012-4A1B-8A6E-15B5BA15D7ED}"/>
    <cellStyle name="Comma 52" xfId="2806" xr:uid="{56755834-86C6-4099-A206-34883E9E36B6}"/>
    <cellStyle name="Comma 53" xfId="2949" xr:uid="{5FBBF3A3-BED3-4829-AB2D-DC2BC62680E6}"/>
    <cellStyle name="Comma 54" xfId="2934" xr:uid="{7CA94B29-D6D3-4F4F-8C2D-64B72204D703}"/>
    <cellStyle name="Comma 55" xfId="2570" xr:uid="{E2DA4B8D-1B80-4CCB-8EF0-3E8D707D8213}"/>
    <cellStyle name="Comma 56" xfId="2990" xr:uid="{6017CEAB-2FF5-4C5C-ABE7-5A7A70F73CBD}"/>
    <cellStyle name="Comma 56 2" xfId="7479" xr:uid="{B8883D5A-CECF-4BBD-8FD1-773AD6812A4B}"/>
    <cellStyle name="Comma 57" xfId="2992" xr:uid="{E5459FAB-1538-412A-BC67-EC5752704C3D}"/>
    <cellStyle name="Comma 57 2" xfId="7480" xr:uid="{94DAA324-4629-473B-BD2F-34608FAD7DAF}"/>
    <cellStyle name="Comma 58" xfId="7481" xr:uid="{6ECA18A1-2F2A-4D16-A195-EBD082342CEB}"/>
    <cellStyle name="Comma 59" xfId="7482" xr:uid="{0FB3F0D6-43F4-4F82-974B-21A571832DB8}"/>
    <cellStyle name="Comma 6" xfId="133" xr:uid="{D96DACB9-27E4-43A8-B760-B64D0A4FBA2A}"/>
    <cellStyle name="Comma 6 2" xfId="929" xr:uid="{B0C22AB7-D671-4197-B8B6-FFE8B03ACEE3}"/>
    <cellStyle name="Comma 6 2 2" xfId="7483" xr:uid="{7733F67A-D740-40C5-8485-74F717F3809C}"/>
    <cellStyle name="Comma 6 2 3" xfId="23911" xr:uid="{13D30C6C-9484-460A-8D9E-511DEAE0CEAF}"/>
    <cellStyle name="Comma 6 3" xfId="7484" xr:uid="{C5617750-3C38-40C9-B0D2-E7B3522433E0}"/>
    <cellStyle name="Comma 6 4" xfId="7485" xr:uid="{7EE25764-FA35-41B9-8B21-6BFD80D8DBD7}"/>
    <cellStyle name="Comma 6 5" xfId="7486" xr:uid="{17F67B8B-282B-4F09-8D26-D151DACA7BC6}"/>
    <cellStyle name="Comma 6 6" xfId="7487" xr:uid="{8CB3772A-7E2C-4951-A183-A923062E06D8}"/>
    <cellStyle name="Comma 6 7" xfId="928" xr:uid="{E4EA641D-E4A0-45F9-B325-2C6C41A69929}"/>
    <cellStyle name="Comma 60" xfId="7488" xr:uid="{DA777AC8-CE80-430D-83CE-C5521C97231D}"/>
    <cellStyle name="Comma 61" xfId="7489" xr:uid="{C67EEB16-4C30-4D17-B5CB-BA1A00342A9F}"/>
    <cellStyle name="Comma 62" xfId="7490" xr:uid="{D0889F3C-55D4-4AAC-820F-89522E6A1918}"/>
    <cellStyle name="Comma 63" xfId="7491" xr:uid="{7D448C78-E6BF-41B0-8513-5F4AFB62B3C0}"/>
    <cellStyle name="Comma 64" xfId="7492" xr:uid="{ACD783BA-BE62-47C1-85BA-719428FC9255}"/>
    <cellStyle name="Comma 65" xfId="7493" xr:uid="{F56EE56B-B626-4DCA-AE02-25A18CBFBEEB}"/>
    <cellStyle name="Comma 66" xfId="7494" xr:uid="{A8A82A66-E2F1-47E7-9B0C-300B6CD54F4D}"/>
    <cellStyle name="Comma 66 2" xfId="7495" xr:uid="{B74A4BA9-381C-4165-9B94-3070E4CDFB6A}"/>
    <cellStyle name="Comma 67" xfId="7496" xr:uid="{2B8D34A3-6236-42C5-8C1C-3BF125930A2A}"/>
    <cellStyle name="Comma 68" xfId="7497" xr:uid="{4017DDBC-994D-4B29-A257-C91FCBDDC100}"/>
    <cellStyle name="Comma 69" xfId="7498" xr:uid="{26BEE004-0798-4FEC-BB60-89D3DC38E759}"/>
    <cellStyle name="Comma 7" xfId="134" xr:uid="{FF03A5C2-AB61-469F-9249-3D13E3B7AA4A}"/>
    <cellStyle name="Comma 7 2" xfId="7500" xr:uid="{CE709692-E818-4107-BD31-928E535E3AAC}"/>
    <cellStyle name="Comma 7 3" xfId="7501" xr:uid="{5D2C2973-F83F-4C2D-8264-6BED812C3F17}"/>
    <cellStyle name="Comma 7 4" xfId="7502" xr:uid="{203346E6-4BC4-4C03-AAA6-4E038D445866}"/>
    <cellStyle name="Comma 7 5" xfId="7499" xr:uid="{BBE3624C-B8BF-42B9-A0B8-39CD0D0E8B65}"/>
    <cellStyle name="Comma 7 6" xfId="930" xr:uid="{FBB81E48-26D1-43DF-9F14-670A5E53F66F}"/>
    <cellStyle name="Comma 70" xfId="8826" xr:uid="{70004901-A58F-4E9D-B4E2-A875F02BA1D1}"/>
    <cellStyle name="Comma 71" xfId="8824" xr:uid="{D3A4CA9F-62BF-48BE-988A-C9BC8EAB9772}"/>
    <cellStyle name="Comma 72" xfId="8911" xr:uid="{8DC58EF7-5C8C-44EC-B714-3757C00BD5C0}"/>
    <cellStyle name="Comma 73" xfId="8935" xr:uid="{E5F8AB33-BEE1-45FB-AB7D-9D70E6F2A7E6}"/>
    <cellStyle name="Comma 74" xfId="8914" xr:uid="{95DD2E30-30F9-4786-BCB5-EA2091B2357B}"/>
    <cellStyle name="Comma 75" xfId="3000" xr:uid="{757FEBC0-8560-4E9F-8058-5F839F089C86}"/>
    <cellStyle name="Comma 76" xfId="23813" xr:uid="{71463CFD-B6BB-46B7-A9FF-82EE09F0934D}"/>
    <cellStyle name="Comma 77" xfId="576" xr:uid="{89C2BF91-B7BC-4D3B-BD89-85074BE164D1}"/>
    <cellStyle name="Comma 8" xfId="135" xr:uid="{27420CA5-327E-4444-A5F4-8AAB8451758D}"/>
    <cellStyle name="Comma 8 2" xfId="932" xr:uid="{431929DC-CC03-4F50-B00D-8388DF42A028}"/>
    <cellStyle name="Comma 8 2 2" xfId="933" xr:uid="{84960EC2-4CA3-42D4-9643-28A195ADFB72}"/>
    <cellStyle name="Comma 8 2 2 2" xfId="934" xr:uid="{8D6F497E-C111-453C-B4D6-65A074B60F61}"/>
    <cellStyle name="Comma 8 2 2 2 2" xfId="23915" xr:uid="{0E915DCA-3ED9-445B-B175-D6A794969127}"/>
    <cellStyle name="Comma 8 2 2 3" xfId="23914" xr:uid="{F8D9A401-89AC-43A7-A328-DE1BF431BC55}"/>
    <cellStyle name="Comma 8 2 3" xfId="23913" xr:uid="{277DBFDD-3137-474D-A228-3B90AE56DABF}"/>
    <cellStyle name="Comma 8 3" xfId="935" xr:uid="{CB4CB0FC-9312-4D19-83FB-A2F4DD108A54}"/>
    <cellStyle name="Comma 8 3 2" xfId="23916" xr:uid="{8DD1DE5A-078E-4C4A-A2F8-239609A3D27E}"/>
    <cellStyle name="Comma 8 4" xfId="936" xr:uid="{2E98751C-8CAE-495C-8D8A-C03BB6E8879F}"/>
    <cellStyle name="Comma 8 4 2" xfId="23917" xr:uid="{574EA55F-34D0-4A38-8FAD-FBE01203A3F2}"/>
    <cellStyle name="Comma 8 5" xfId="937" xr:uid="{35B652F6-6915-45AE-9896-19642081A7E5}"/>
    <cellStyle name="Comma 8 5 2" xfId="23918" xr:uid="{D4D663AE-AEA3-401A-AEBE-61FBC4B0C7F1}"/>
    <cellStyle name="Comma 8 6" xfId="23912" xr:uid="{D26D02A8-4F43-4440-9156-57F8369A2F4B}"/>
    <cellStyle name="Comma 8 7" xfId="931" xr:uid="{4D667571-202B-42E9-8540-378681F49AA9}"/>
    <cellStyle name="Comma 9" xfId="304" xr:uid="{0DEC6707-D6A3-4376-B4D9-3AD8A57216E6}"/>
    <cellStyle name="Comma 9 2" xfId="305" xr:uid="{C7E8D276-261E-4223-AF30-0337640F9196}"/>
    <cellStyle name="Comma 9 2 2" xfId="7503" xr:uid="{46AA30BF-1115-4165-80DB-6ECDB5E2EAA9}"/>
    <cellStyle name="Comma 9 3" xfId="306" xr:uid="{7C45FED3-EF8F-4AF7-8579-E87B15D0612B}"/>
    <cellStyle name="Comma 9 3 2" xfId="23919" xr:uid="{EEEDE509-7234-4D30-B983-A36562CF9A94}"/>
    <cellStyle name="Comma 9 4" xfId="938" xr:uid="{5B986CD9-C163-4D72-9B5D-8C4B194238C5}"/>
    <cellStyle name="Comma0" xfId="136" xr:uid="{4A15FF7A-5E66-47AB-914A-5BC27C37A885}"/>
    <cellStyle name="Constraint" xfId="2292" xr:uid="{78414679-C3A1-4D80-94BC-2A9B5BF2651E}"/>
    <cellStyle name="Copied" xfId="939" xr:uid="{E7E7066C-7741-4710-8A0B-4E98C976BD08}"/>
    <cellStyle name="Cover Date" xfId="940" xr:uid="{2120DC4C-B9FB-4162-802B-118CD9480F27}"/>
    <cellStyle name="Cover Subtitle" xfId="941" xr:uid="{3AE8314F-A112-41A0-AD89-138D35EB1B6E}"/>
    <cellStyle name="Cover Title" xfId="942" xr:uid="{16A7C485-8F28-4D95-ABBC-28FD87206A5A}"/>
    <cellStyle name="Currency" xfId="3" builtinId="4"/>
    <cellStyle name="Currency (0)" xfId="943" xr:uid="{3EB850C7-468D-4F20-9462-F2076C63E01B}"/>
    <cellStyle name="Currency (0.00)" xfId="944" xr:uid="{F3014895-7AF4-4997-AA92-A2AB351A867E}"/>
    <cellStyle name="Currency (0.00) 2" xfId="2792" xr:uid="{F6005787-D197-4E68-99F4-CF4FAFEB9701}"/>
    <cellStyle name="Currency (0.00) 3" xfId="2732" xr:uid="{C8C34746-2626-4B89-8D98-29439551759A}"/>
    <cellStyle name="Currency (0.00) 4" xfId="23920" xr:uid="{FDC9C03D-277F-4667-B1A9-F616B420A642}"/>
    <cellStyle name="Currency [$0]" xfId="945" xr:uid="{3775EDF9-97B7-4AD6-88AB-EE9E792F2BD3}"/>
    <cellStyle name="Currency [£0]" xfId="946" xr:uid="{E8D83C87-51D4-45D3-9C09-D12D39F7BD8F}"/>
    <cellStyle name="Currency [0] U" xfId="947" xr:uid="{92696BA8-D224-462F-834F-6AB6A0AB8317}"/>
    <cellStyle name="Currency [0] U 2" xfId="7504" xr:uid="{64745339-A7A8-4C8D-9009-E83804BB7ED2}"/>
    <cellStyle name="Currency [00]" xfId="948" xr:uid="{07E9989A-816F-4FE3-AB51-61411567959B}"/>
    <cellStyle name="Currency [00] 10" xfId="7506" xr:uid="{452CF087-71D0-4035-9338-E994CBB849B7}"/>
    <cellStyle name="Currency [00] 10 2" xfId="7507" xr:uid="{8FFA77E4-D83E-4254-BA11-56BFC4D67521}"/>
    <cellStyle name="Currency [00] 10 2 2" xfId="7508" xr:uid="{318AA0ED-4200-43BF-94C5-2F1A60940C74}"/>
    <cellStyle name="Currency [00] 11" xfId="7505" xr:uid="{094C02AE-48B5-4BDB-8910-9409B99BE7E3}"/>
    <cellStyle name="Currency [00] 2" xfId="7509" xr:uid="{B6CE068F-1579-446D-8683-811533173796}"/>
    <cellStyle name="Currency [00] 2 2" xfId="7510" xr:uid="{129BAF08-34F5-42B5-A7F5-3AB859CAFF4D}"/>
    <cellStyle name="Currency [00] 2 3" xfId="7511" xr:uid="{18DA6F42-4219-4AAF-8221-A7E2547EAC76}"/>
    <cellStyle name="Currency [00] 3" xfId="7512" xr:uid="{1FC745C9-BB22-413C-AE59-2664C4978D24}"/>
    <cellStyle name="Currency [00] 3 2" xfId="7513" xr:uid="{10A65EC6-E9AF-455F-861D-65F470272A80}"/>
    <cellStyle name="Currency [00] 3 3" xfId="7514" xr:uid="{93ADD8DA-2A99-4054-B741-3FFFD9DFB9F0}"/>
    <cellStyle name="Currency [00] 4" xfId="7515" xr:uid="{FB935E45-74A6-4FDA-8CDA-C686F8F460DC}"/>
    <cellStyle name="Currency [00] 4 2" xfId="7516" xr:uid="{8A9A420F-BCEF-4C78-9F7F-1B94508BDE1C}"/>
    <cellStyle name="Currency [00] 4 3" xfId="7517" xr:uid="{B991C9EA-0A1E-477B-9DD7-44D0035951A8}"/>
    <cellStyle name="Currency [00] 5" xfId="7518" xr:uid="{BDA2CA67-8C55-4272-AC9C-006D0B8413D5}"/>
    <cellStyle name="Currency [00] 5 2" xfId="7519" xr:uid="{A8E3122E-45F4-46EA-848B-4B95BFD58741}"/>
    <cellStyle name="Currency [00] 5 3" xfId="7520" xr:uid="{6412853A-F222-49B9-9CAB-4FAA274973EE}"/>
    <cellStyle name="Currency [00] 6" xfId="7521" xr:uid="{C5DB101B-AAC7-4703-A1D8-8AEFD0A9F4F3}"/>
    <cellStyle name="Currency [00] 6 2" xfId="7522" xr:uid="{7657D27B-29D7-49B7-9671-FCB750D1A7EB}"/>
    <cellStyle name="Currency [00] 6 3" xfId="7523" xr:uid="{D30C3713-D20D-4F00-A1C5-55EE55657F41}"/>
    <cellStyle name="Currency [00] 7" xfId="7524" xr:uid="{3CA94E99-FEB8-49C5-8291-CB7F27E93487}"/>
    <cellStyle name="Currency [00] 7 2" xfId="7525" xr:uid="{917E6811-1B38-450D-B7F7-75A3A71C4A2B}"/>
    <cellStyle name="Currency [00] 7 3" xfId="7526" xr:uid="{DC0B9D61-A80C-44ED-8A21-79FA0F95FC89}"/>
    <cellStyle name="Currency [00] 8" xfId="7527" xr:uid="{096879F9-F022-4E2D-BA88-95EED451F333}"/>
    <cellStyle name="Currency [00] 8 2" xfId="7528" xr:uid="{B71C3529-94F3-471F-9722-5A5F368DC00E}"/>
    <cellStyle name="Currency [00] 8 3" xfId="7529" xr:uid="{6D30EFC6-3807-4455-8891-5AA1DF771607}"/>
    <cellStyle name="Currency [00] 9" xfId="7530" xr:uid="{D395D561-091C-458D-B61B-8235D7044818}"/>
    <cellStyle name="Currency [00] 9 2" xfId="7531" xr:uid="{B110753B-2528-41C2-B9CD-A76BC7D5786F}"/>
    <cellStyle name="Currency [00] 9 3" xfId="7532" xr:uid="{3BEE4F9F-F93B-4F56-84BF-73388FA84215}"/>
    <cellStyle name="Currency [2]" xfId="949" xr:uid="{15EFC399-8F0C-43FF-B11F-9702DBF5A7E9}"/>
    <cellStyle name="Currency [2] 2" xfId="7534" xr:uid="{1351FE1C-18AB-4626-8E3D-3CF29BF1BACE}"/>
    <cellStyle name="Currency [2] 3" xfId="7533" xr:uid="{543CCEE0-36E7-496B-92F9-30F91B8732D9}"/>
    <cellStyle name="Currency [2] U" xfId="950" xr:uid="{6527E2CC-5C70-45A2-A36A-909FB15B8B0E}"/>
    <cellStyle name="Currency [2] U 2" xfId="7535" xr:uid="{467FADF8-F44C-49FC-8FE3-792FD48551AA}"/>
    <cellStyle name="Currency [2]_141702_1" xfId="951" xr:uid="{41193324-A68F-4ED2-9FC5-DF5307B07F4D}"/>
    <cellStyle name="Currency 0" xfId="952" xr:uid="{766CE149-9262-40B0-B69A-E07BBECEF60E}"/>
    <cellStyle name="Currency 10" xfId="953" xr:uid="{D1DACC7C-54C3-4C9F-A5AA-C2C2F6165A4C}"/>
    <cellStyle name="Currency 10 2" xfId="954" xr:uid="{BFAD5733-76F1-4C05-A77A-A5C68F9AD9CC}"/>
    <cellStyle name="Currency 10 2 2" xfId="7538" xr:uid="{6A658042-58C2-4F79-8318-C98CCABCA0D5}"/>
    <cellStyle name="Currency 10 2 3" xfId="7537" xr:uid="{E5F7F4F1-01F4-4356-AA44-09C64954554A}"/>
    <cellStyle name="Currency 10 2 4" xfId="23922" xr:uid="{EBE084E0-66AB-487E-801C-49A5D18B4594}"/>
    <cellStyle name="Currency 10 3" xfId="955" xr:uid="{DD85AED8-184B-4E39-B558-8DD80C36CF1C}"/>
    <cellStyle name="Currency 10 3 2" xfId="7539" xr:uid="{A17F5335-BC4F-4BB0-80DE-5FAE7DD260B2}"/>
    <cellStyle name="Currency 10 4" xfId="7536" xr:uid="{313007C9-DEBC-49AC-8572-3C51F04D85D0}"/>
    <cellStyle name="Currency 10 5" xfId="23921" xr:uid="{389812B7-69BF-4F79-93F6-84ADB846A97B}"/>
    <cellStyle name="Currency 11" xfId="137" xr:uid="{1328D0FA-A8B7-4B30-9A05-1DC55F2BCB07}"/>
    <cellStyle name="Currency 11 2" xfId="138" xr:uid="{0F1F1BDD-FA05-40D6-8EFB-48481E801B0B}"/>
    <cellStyle name="Currency 11 2 2" xfId="7542" xr:uid="{2DEC4177-9F30-4975-BCE8-3E1C1BA8C4A1}"/>
    <cellStyle name="Currency 11 2 3" xfId="7541" xr:uid="{1466AF33-8E2A-44BE-8660-3626210051D4}"/>
    <cellStyle name="Currency 11 3" xfId="7543" xr:uid="{4BD2FDDA-0AD3-4563-9EDA-E9AA6DC0A4CE}"/>
    <cellStyle name="Currency 11 4" xfId="7540" xr:uid="{DBF3B522-B234-4201-AD3F-1FB3BC606E02}"/>
    <cellStyle name="Currency 11 5" xfId="3012" xr:uid="{F179C57A-1B7E-41CA-B6C3-26ACEBA1F5C8}"/>
    <cellStyle name="Currency 11 6" xfId="23923" xr:uid="{9EF8B58C-EABC-48E9-A801-3B9324021A48}"/>
    <cellStyle name="Currency 11 7" xfId="956" xr:uid="{C53C8B40-F847-4D8E-A907-C9EBC1D1A821}"/>
    <cellStyle name="Currency 12" xfId="957" xr:uid="{3705E9D9-A75C-49DA-9C02-2FB8B2B6328F}"/>
    <cellStyle name="Currency 12 2" xfId="7545" xr:uid="{1591448A-4BFD-460B-A3EE-0947A119B518}"/>
    <cellStyle name="Currency 12 2 2" xfId="7546" xr:uid="{DE0E94AB-DC99-4015-8A80-C1384B2FFD08}"/>
    <cellStyle name="Currency 12 3" xfId="7547" xr:uid="{CA3E43BF-E551-483B-A3E3-92F31CCA2C07}"/>
    <cellStyle name="Currency 12 4" xfId="7544" xr:uid="{BADA4F70-FF40-4C8E-94C4-03F99B5E2EE7}"/>
    <cellStyle name="Currency 12 5" xfId="23924" xr:uid="{F8E26985-62DE-4057-8279-11C65A122EF1}"/>
    <cellStyle name="Currency 13" xfId="958" xr:uid="{7E8B7683-17CC-4DC4-8EB3-5C0F32A8079C}"/>
    <cellStyle name="Currency 13 2" xfId="959" xr:uid="{448D5220-06DB-428C-8288-6ED11E705CE5}"/>
    <cellStyle name="Currency 13 2 2" xfId="7549" xr:uid="{085B030F-9867-494A-BFAA-FB5A515EDB7A}"/>
    <cellStyle name="Currency 13 2 3" xfId="23926" xr:uid="{62BFC7E4-094C-4C99-8BC3-54951A08DCE5}"/>
    <cellStyle name="Currency 13 3" xfId="7550" xr:uid="{05ABDE97-C1BF-42CD-ADA7-5A3B45F7FA39}"/>
    <cellStyle name="Currency 13 4" xfId="7551" xr:uid="{4D735230-36AB-4485-8F13-9B4564FB6EB3}"/>
    <cellStyle name="Currency 13 5" xfId="7548" xr:uid="{62966165-A921-4EBC-82C7-911E9146F058}"/>
    <cellStyle name="Currency 13 6" xfId="23925" xr:uid="{4E799409-670F-4473-9D23-50247B841D35}"/>
    <cellStyle name="Currency 14" xfId="960" xr:uid="{06CCDA9E-469D-493B-8313-87E64CDEDE20}"/>
    <cellStyle name="Currency 14 2" xfId="961" xr:uid="{B3E756EB-7DDB-4419-AF62-63DA310E1952}"/>
    <cellStyle name="Currency 14 2 2" xfId="7553" xr:uid="{219BE49E-6923-4C23-96E0-94E1BCC6A0B6}"/>
    <cellStyle name="Currency 14 2 3" xfId="23928" xr:uid="{FD40C8E2-BC0A-4321-A0AF-FA8AD49F9B2D}"/>
    <cellStyle name="Currency 14 3" xfId="7554" xr:uid="{140BE2CF-CAA5-4257-96CA-26FD7A8E68AA}"/>
    <cellStyle name="Currency 14 4" xfId="7555" xr:uid="{8229F165-2A31-4E21-A715-B876E6483F4F}"/>
    <cellStyle name="Currency 14 5" xfId="7552" xr:uid="{64E16C36-9CB7-4EC7-91A0-08E0EE89960E}"/>
    <cellStyle name="Currency 14 6" xfId="23927" xr:uid="{6F5E5A8B-D676-408B-B13C-171E38C970D5}"/>
    <cellStyle name="Currency 15" xfId="962" xr:uid="{CC79422A-9283-439C-A2B5-0CEDE140D1EE}"/>
    <cellStyle name="Currency 15 2" xfId="963" xr:uid="{92D86436-EB3D-48B9-93E3-56C6B17B8F7A}"/>
    <cellStyle name="Currency 15 2 2" xfId="7557" xr:uid="{C6DA0352-FD41-459D-85BE-6EEBEA5CBCCF}"/>
    <cellStyle name="Currency 15 2 3" xfId="23930" xr:uid="{7FC5E0A7-4C7E-4BA9-9002-C2A0122768E9}"/>
    <cellStyle name="Currency 15 3" xfId="7558" xr:uid="{DFBCDFFF-F60B-448D-BD20-65A063344C00}"/>
    <cellStyle name="Currency 15 4" xfId="7559" xr:uid="{FEA759DF-4EED-414E-98D6-EDAED94E48EE}"/>
    <cellStyle name="Currency 15 5" xfId="7556" xr:uid="{F364AAD5-4AFF-432A-8047-78580AB65B92}"/>
    <cellStyle name="Currency 15 6" xfId="23929" xr:uid="{D6D3FA8F-3B1D-4FDA-93F5-18BB0BB99B5A}"/>
    <cellStyle name="Currency 16" xfId="964" xr:uid="{AB44EE57-37B9-49E8-9FD8-F5AB4B810701}"/>
    <cellStyle name="Currency 16 2" xfId="965" xr:uid="{45CD87DF-92EE-4E9B-A6FC-C6935F9F0378}"/>
    <cellStyle name="Currency 16 2 2" xfId="7561" xr:uid="{60F62D9F-BED5-458F-B64E-C6A63B0F1C1A}"/>
    <cellStyle name="Currency 16 2 3" xfId="23932" xr:uid="{B54BF150-0E24-4637-825D-6DEB4ACD12E7}"/>
    <cellStyle name="Currency 16 3" xfId="7562" xr:uid="{DE6F3EB6-E135-47AF-811C-72BAFD0B40DC}"/>
    <cellStyle name="Currency 16 4" xfId="7563" xr:uid="{704447B6-BE84-42C5-BF31-7855248157FA}"/>
    <cellStyle name="Currency 16 5" xfId="7560" xr:uid="{0DF53C8B-F59A-4053-9773-F8FBBC895275}"/>
    <cellStyle name="Currency 16 6" xfId="23931" xr:uid="{1197E1C9-9817-495E-BCEF-901A465516E4}"/>
    <cellStyle name="Currency 17" xfId="966" xr:uid="{066B1203-4C65-4B66-9B4D-153C26D8A4BF}"/>
    <cellStyle name="Currency 17 2" xfId="23933" xr:uid="{5D0385EB-07B9-4301-BFBD-162BE02B8326}"/>
    <cellStyle name="Currency 18" xfId="2257" xr:uid="{7E974E55-697A-4E07-BAD5-7F12C57A3961}"/>
    <cellStyle name="Currency 18 2" xfId="7564" xr:uid="{7114AE12-8F87-4437-95B4-06C21827D3E8}"/>
    <cellStyle name="Currency 18 3" xfId="23934" xr:uid="{2EA4D875-CF91-41E6-95D7-25286136339C}"/>
    <cellStyle name="Currency 19" xfId="2506" xr:uid="{115738EE-12D5-4987-B8C7-49A39873F05B}"/>
    <cellStyle name="Currency 2" xfId="139" xr:uid="{75E12D7D-D135-471C-9249-4FA12917C9B8}"/>
    <cellStyle name="Currency 2 10" xfId="3006" xr:uid="{0187F3C1-BCF1-4DA5-A87A-FA0CFE7FBDEB}"/>
    <cellStyle name="Currency 2 11" xfId="23935" xr:uid="{C5C8E5B9-141F-40F2-8458-17894689D17D}"/>
    <cellStyle name="Currency 2 12" xfId="591" xr:uid="{EC133B7E-B6A8-4A7E-8869-2940BB921830}"/>
    <cellStyle name="Currency 2 2" xfId="25" xr:uid="{E37EA84F-C441-411A-98B1-FE1BADC289B7}"/>
    <cellStyle name="Currency 2 2 2" xfId="7565" xr:uid="{E720CF44-2B34-4595-913C-8D16A9BF1DE8}"/>
    <cellStyle name="Currency 2 2 2 2" xfId="7566" xr:uid="{7F943874-FF18-4C21-9C11-45EE84675AD5}"/>
    <cellStyle name="Currency 2 2 3" xfId="7567" xr:uid="{DF0213EE-7BD7-4408-A9BA-AD85A2B7B8F7}"/>
    <cellStyle name="Currency 2 2 4" xfId="23354" xr:uid="{E39F3F5A-93D5-4A12-9C06-C6ADEC43A40F}"/>
    <cellStyle name="Currency 2 2 5" xfId="23328" xr:uid="{AFF151D8-E48B-4DD1-AC23-894776350641}"/>
    <cellStyle name="Currency 2 2 6" xfId="23936" xr:uid="{F3AF496D-CCC6-4E9B-BAFA-8B871AFA86AC}"/>
    <cellStyle name="Currency 2 2 7" xfId="967" xr:uid="{6A15037D-DFF3-4773-967A-9FBCFDACDE6C}"/>
    <cellStyle name="Currency 2 3" xfId="26" xr:uid="{BA23CD90-03EC-4843-ACE0-F994A08484E9}"/>
    <cellStyle name="Currency 2 3 2" xfId="7568" xr:uid="{C5C38524-C674-478B-9860-89124E49A948}"/>
    <cellStyle name="Currency 2 3 3" xfId="23355" xr:uid="{E0233622-E6E0-49B4-A15F-D22313DF18FB}"/>
    <cellStyle name="Currency 2 3 4" xfId="23329" xr:uid="{D8910F21-6B1D-453C-96B6-360602E9EFF6}"/>
    <cellStyle name="Currency 2 3 5" xfId="23937" xr:uid="{A8E8EDD2-8906-4443-A456-305DC5BE9AF9}"/>
    <cellStyle name="Currency 2 3 6" xfId="968" xr:uid="{57CEA2EE-463A-4CCB-83A9-69D39AFFF6C1}"/>
    <cellStyle name="Currency 2 4" xfId="969" xr:uid="{3D3BF57B-4CEC-4838-9923-EB0A9931B386}"/>
    <cellStyle name="Currency 2 4 2" xfId="23938" xr:uid="{03A63850-AF6D-42DD-88E5-B601CC68D77C}"/>
    <cellStyle name="Currency 2 5" xfId="970" xr:uid="{72FE8B98-4B6B-4894-8A50-A8799E543D61}"/>
    <cellStyle name="Currency 2 5 2" xfId="23939" xr:uid="{FF30CD63-036E-4150-A0E8-E2F034A430F9}"/>
    <cellStyle name="Currency 2 6" xfId="971" xr:uid="{D34EB948-851F-4C63-963F-8C1305E1EF5B}"/>
    <cellStyle name="Currency 2 6 2" xfId="7569" xr:uid="{0122B108-0638-4CFA-B1C5-96EBB27CBDF5}"/>
    <cellStyle name="Currency 2 6 3" xfId="23940" xr:uid="{464D73CC-174A-4AA3-B728-348BB1B72C67}"/>
    <cellStyle name="Currency 2 7" xfId="972" xr:uid="{E35508D1-20F6-4258-B691-EAD306E9E16F}"/>
    <cellStyle name="Currency 2 7 2" xfId="23941" xr:uid="{BECBD7F3-F4A0-4646-AC19-BCBAA413EB0D}"/>
    <cellStyle name="Currency 2 8" xfId="973" xr:uid="{137C1B45-301F-415C-8E4E-D222371B2FB1}"/>
    <cellStyle name="Currency 2 8 2" xfId="23942" xr:uid="{72E6D1E8-AB9A-4798-BFE3-65598479F07F}"/>
    <cellStyle name="Currency 2 9" xfId="974" xr:uid="{6A8424B2-3D6B-41DB-9675-576286AB2ADA}"/>
    <cellStyle name="Currency 20" xfId="2947" xr:uid="{2C733128-1F4D-4AF0-9228-E9F8C06544D1}"/>
    <cellStyle name="Currency 21" xfId="2965" xr:uid="{88145700-7F50-4CAB-8962-7691D487B5BC}"/>
    <cellStyle name="Currency 22" xfId="2970" xr:uid="{61479AF5-E2F2-41A4-8854-B77837CEBF0B}"/>
    <cellStyle name="Currency 23" xfId="2971" xr:uid="{B26B8872-694D-43A3-9373-14C5BCCDD2AF}"/>
    <cellStyle name="Currency 23 2" xfId="7570" xr:uid="{46AE59D1-8971-4B41-B08D-AF6B74903E7E}"/>
    <cellStyle name="Currency 24" xfId="2987" xr:uid="{1E3E1ADB-25C8-454D-A0F5-0BE950B6BCB7}"/>
    <cellStyle name="Currency 25" xfId="2988" xr:uid="{E2DE360F-7EAA-4C20-875B-E9E50670A028}"/>
    <cellStyle name="Currency 26" xfId="2989" xr:uid="{481F8AD1-A365-4BA6-BBB7-5551D22DF234}"/>
    <cellStyle name="Currency 26 2" xfId="7571" xr:uid="{E60BEBA7-6659-473E-BE1D-EB77151558F1}"/>
    <cellStyle name="Currency 27" xfId="2991" xr:uid="{E81ACAE5-5CA5-47BD-BE1A-16845FB7B4CD}"/>
    <cellStyle name="Currency 27 2" xfId="7572" xr:uid="{4B4E8763-E9AE-4161-AE49-3060D982AB42}"/>
    <cellStyle name="Currency 28" xfId="2994" xr:uid="{0F00A855-0E9A-4923-8219-2B9A21A3FCFA}"/>
    <cellStyle name="Currency 28 2" xfId="7573" xr:uid="{DDBDE740-794D-44DB-BECD-A167AC575B61}"/>
    <cellStyle name="Currency 29" xfId="7574" xr:uid="{B1531E90-ADE6-4405-9BBD-99248F8B7EFA}"/>
    <cellStyle name="Currency 3" xfId="140" xr:uid="{190484FC-8FFC-4D86-8F7E-172262DC3020}"/>
    <cellStyle name="Currency 3 2" xfId="141" xr:uid="{A1F3A61E-FAC9-4D42-9B0B-CFE66322C2FB}"/>
    <cellStyle name="Currency 3 2 2" xfId="7576" xr:uid="{CFA5215C-26C0-43A5-9B24-968984F2F299}"/>
    <cellStyle name="Currency 3 2 3" xfId="7575" xr:uid="{EBE5AC89-250A-41E8-B5E6-1C80CB2EA7EB}"/>
    <cellStyle name="Currency 3 2 4" xfId="23944" xr:uid="{E815F27F-150F-41D2-96C1-EC95DFD15629}"/>
    <cellStyle name="Currency 3 2 5" xfId="976" xr:uid="{FC43A28F-9C87-4B60-A9F2-BBD5C9403D74}"/>
    <cellStyle name="Currency 3 3" xfId="977" xr:uid="{22E2BCEB-B217-4992-9172-03C083F9CB8F}"/>
    <cellStyle name="Currency 3 3 2" xfId="7578" xr:uid="{CD7ADF72-CE7B-41E6-A1A0-7281B8468554}"/>
    <cellStyle name="Currency 3 3 3" xfId="7577" xr:uid="{FFCBFF4F-2436-4389-B950-DFD9C4AFFD42}"/>
    <cellStyle name="Currency 3 3 4" xfId="23945" xr:uid="{FB3EECD0-7E3F-4296-91FE-D6CDD665D53C}"/>
    <cellStyle name="Currency 3 4" xfId="978" xr:uid="{5BC65934-E489-4022-9992-2B783093A0E3}"/>
    <cellStyle name="Currency 3 4 2" xfId="7579" xr:uid="{AF90FD82-40A9-46D6-8223-E6544A3D2788}"/>
    <cellStyle name="Currency 3 4 3" xfId="23946" xr:uid="{DF67253F-0A3E-4BEC-B86E-55F98FCC2CB4}"/>
    <cellStyle name="Currency 3 5" xfId="979" xr:uid="{06378690-7FC9-4D53-BE4A-324F526AE936}"/>
    <cellStyle name="Currency 3 6" xfId="3013" xr:uid="{C798E2EB-5F44-4A58-8684-89AC73C2EF51}"/>
    <cellStyle name="Currency 3 7" xfId="23943" xr:uid="{7C461D7F-8900-4D64-83DC-17F056A131EA}"/>
    <cellStyle name="Currency 3 8" xfId="975" xr:uid="{8B7B6AE2-94B1-4B76-9092-F3D04F9B9F4D}"/>
    <cellStyle name="Currency 30" xfId="7580" xr:uid="{FB60606D-EFD9-4F39-9980-5DF879F2EB8C}"/>
    <cellStyle name="Currency 31" xfId="7581" xr:uid="{68922367-4472-44F3-A3A6-2B728DA4EB33}"/>
    <cellStyle name="Currency 32" xfId="7582" xr:uid="{C98D4459-2844-415F-A519-9F00F3D2BCE9}"/>
    <cellStyle name="Currency 33" xfId="7583" xr:uid="{89FB3CC3-F8CD-4C98-A837-867E45E57298}"/>
    <cellStyle name="Currency 34" xfId="7584" xr:uid="{72581D08-F676-4DE3-B95C-A55903590C88}"/>
    <cellStyle name="Currency 35" xfId="7585" xr:uid="{96A3E7E5-1F49-4A4C-87B7-CA2BE6A4709E}"/>
    <cellStyle name="Currency 35 2" xfId="7586" xr:uid="{D0C85F91-D2B2-4874-B020-C27A562C7B12}"/>
    <cellStyle name="Currency 36" xfId="7587" xr:uid="{A7B320DC-878E-41F1-96F1-CF3AC009030C}"/>
    <cellStyle name="Currency 36 2" xfId="7588" xr:uid="{0C922573-55B1-42D1-A07A-9801360E7BD2}"/>
    <cellStyle name="Currency 37" xfId="7589" xr:uid="{C1451009-6180-4C61-8FDD-129C9D186A6D}"/>
    <cellStyle name="Currency 37 2" xfId="7590" xr:uid="{B7E09566-429C-424C-B00A-060A8225B8C4}"/>
    <cellStyle name="Currency 38" xfId="7591" xr:uid="{18F95821-000C-4CC1-9C90-B2173DDA33A1}"/>
    <cellStyle name="Currency 38 2" xfId="7592" xr:uid="{28D65DA2-1838-494B-B6C0-C3380F871BF3}"/>
    <cellStyle name="Currency 39" xfId="7593" xr:uid="{235D354C-D401-41A6-BA0F-555F4E3C8764}"/>
    <cellStyle name="Currency 4" xfId="142" xr:uid="{AEC60E43-8FBB-4563-AF7A-FF7239CDB827}"/>
    <cellStyle name="Currency 4 2" xfId="143" xr:uid="{2D0BFA52-B596-4F27-9EB3-22A1E94683E7}"/>
    <cellStyle name="Currency 4 2 2" xfId="23948" xr:uid="{4EDB8A67-5605-471E-BC45-C982A13E8556}"/>
    <cellStyle name="Currency 4 2 3" xfId="981" xr:uid="{300A0DBB-ED43-47E7-9EE4-896DACAFA3CB}"/>
    <cellStyle name="Currency 4 3" xfId="982" xr:uid="{7D3D8EA5-8826-4047-AF68-BD356327E964}"/>
    <cellStyle name="Currency 4 3 2" xfId="23949" xr:uid="{61B78311-BF2B-4DEF-B275-6D0173605841}"/>
    <cellStyle name="Currency 4 4" xfId="983" xr:uid="{34632BE3-FA97-4534-B9FD-A09BFBFFA588}"/>
    <cellStyle name="Currency 4 4 2" xfId="23950" xr:uid="{DF58CED1-A2B0-43F1-9128-01D14E017C20}"/>
    <cellStyle name="Currency 4 5" xfId="3014" xr:uid="{95BFF5EE-FAA5-4548-9EAE-F16D482EC5C0}"/>
    <cellStyle name="Currency 4 6" xfId="23947" xr:uid="{5AB42FF9-0CED-4859-BCF7-E99277A6A660}"/>
    <cellStyle name="Currency 4 7" xfId="980" xr:uid="{885199FC-8DFC-4608-8D74-C8F44ED08D25}"/>
    <cellStyle name="Currency 40" xfId="7594" xr:uid="{0056B3B1-3EE9-47A9-804E-4E3B75B80F7E}"/>
    <cellStyle name="Currency 41" xfId="7595" xr:uid="{6C097C15-39A2-48FB-864A-5481B6F094F6}"/>
    <cellStyle name="Currency 41 2" xfId="7596" xr:uid="{4ED510F5-7C70-43B4-A8F3-B87C37F9E3CB}"/>
    <cellStyle name="Currency 42" xfId="7597" xr:uid="{E71375B4-C3DE-460E-9000-02E3BDBE6CB5}"/>
    <cellStyle name="Currency 42 2" xfId="7598" xr:uid="{E90E42E8-8804-4260-99C4-77D53AB137A9}"/>
    <cellStyle name="Currency 43" xfId="7599" xr:uid="{6408196E-968D-4863-B641-60DB77EC816C}"/>
    <cellStyle name="Currency 44" xfId="7600" xr:uid="{BF80278D-51AE-4623-ACD8-2DDA01B0FC56}"/>
    <cellStyle name="Currency 45" xfId="7601" xr:uid="{C913D755-C6DE-49CA-8CE9-C694D60A7ADD}"/>
    <cellStyle name="Currency 46" xfId="7602" xr:uid="{2FA1F537-76C3-490E-B82B-C0765F512C0A}"/>
    <cellStyle name="Currency 47" xfId="7603" xr:uid="{B8EBF19C-05B7-40F1-A9E8-7B6CCAA82C68}"/>
    <cellStyle name="Currency 48" xfId="7604" xr:uid="{9F5E2456-56EB-4DA1-B75B-E37B3F62E2FB}"/>
    <cellStyle name="Currency 49" xfId="7605" xr:uid="{C6CE07F2-7505-41CF-8E1F-0F0DAE31A008}"/>
    <cellStyle name="Currency 5" xfId="307" xr:uid="{0E95C683-D21D-4065-BFA7-63FC294A0A30}"/>
    <cellStyle name="Currency 5 2" xfId="985" xr:uid="{2A4BBC46-6671-4F92-BCA0-91387432F773}"/>
    <cellStyle name="Currency 5 2 2" xfId="7606" xr:uid="{0E9DCB4E-CC8E-4149-8D49-8C10259549F7}"/>
    <cellStyle name="Currency 5 2 3" xfId="23952" xr:uid="{5C4FFD35-F04D-45A3-B34B-B9CC9975506A}"/>
    <cellStyle name="Currency 5 3" xfId="986" xr:uid="{3FE284DE-EAE7-4723-9F46-E3851185F50C}"/>
    <cellStyle name="Currency 5 3 2" xfId="23953" xr:uid="{D72FDD4F-8F7C-4193-9FCC-701BFC0937EC}"/>
    <cellStyle name="Currency 5 4" xfId="987" xr:uid="{2AEA2CF8-9513-4D07-B8EC-97327510BEBC}"/>
    <cellStyle name="Currency 5 4 2" xfId="23954" xr:uid="{263FB5CB-0378-4FF7-8A6A-65B8F14F511D}"/>
    <cellStyle name="Currency 5 5" xfId="23951" xr:uid="{E24F111C-164B-401C-8F87-DCA515100455}"/>
    <cellStyle name="Currency 5 6" xfId="984" xr:uid="{06A5DAAD-4A2E-4035-BBDF-E3E32186097E}"/>
    <cellStyle name="Currency 50" xfId="7607" xr:uid="{05BC4727-E80D-4A9B-8697-41E3DD18A2A4}"/>
    <cellStyle name="Currency 51" xfId="7608" xr:uid="{7E5399A3-CF03-485D-B2FD-A8D175F3EF99}"/>
    <cellStyle name="Currency 52" xfId="7609" xr:uid="{0E2C69DC-7724-4607-B196-5C53920AAF40}"/>
    <cellStyle name="Currency 53" xfId="7610" xr:uid="{DC41DC32-2637-47FC-B858-9D99C2A398CD}"/>
    <cellStyle name="Currency 54" xfId="7611" xr:uid="{17817D29-A2F4-48E2-9494-13621C3BE6FC}"/>
    <cellStyle name="Currency 55" xfId="7612" xr:uid="{9C5AB2B5-7C76-4091-AB29-0934CACE917F}"/>
    <cellStyle name="Currency 56" xfId="7613" xr:uid="{7D484200-732D-45BD-B4DA-D27244750001}"/>
    <cellStyle name="Currency 57" xfId="7614" xr:uid="{E10E4415-E2DE-4B88-BC8C-78592B427DA5}"/>
    <cellStyle name="Currency 58" xfId="7615" xr:uid="{4BD4F826-7ACD-4B61-B3E4-D3922DC6C3B7}"/>
    <cellStyle name="Currency 59" xfId="7616" xr:uid="{CD8400EA-174B-4615-A562-67808E4B267B}"/>
    <cellStyle name="Currency 6" xfId="308" xr:uid="{6022D0DB-7F35-4510-866B-D918056E9ABD}"/>
    <cellStyle name="Currency 6 2" xfId="309" xr:uid="{1FA9DB7F-F5BF-414F-9FE3-667EF72F89B8}"/>
    <cellStyle name="Currency 6 2 2" xfId="7617" xr:uid="{1DC90B0A-8B3A-4E9D-9284-E34EE0B671A0}"/>
    <cellStyle name="Currency 6 2 3" xfId="23956" xr:uid="{B4359268-4A6E-48A0-8E69-4C28A4EFB534}"/>
    <cellStyle name="Currency 6 2 4" xfId="989" xr:uid="{93113153-8EAD-4A99-989D-8D8DF619E34D}"/>
    <cellStyle name="Currency 6 3" xfId="310" xr:uid="{CEF38138-8CBC-4513-923E-CA879EBB758A}"/>
    <cellStyle name="Currency 6 3 2" xfId="23957" xr:uid="{FA1AC863-39DF-4C95-9D3F-22A6D982484D}"/>
    <cellStyle name="Currency 6 3 3" xfId="990" xr:uid="{E2B79E96-7CA9-4734-8A20-D3CEA52FAF5B}"/>
    <cellStyle name="Currency 6 4" xfId="23955" xr:uid="{9C053CC6-4665-4C3E-8CFB-5A089788DAF5}"/>
    <cellStyle name="Currency 6 5" xfId="988" xr:uid="{1B3E85BA-3B6D-4614-AC0E-0DD638935AF1}"/>
    <cellStyle name="Currency 60" xfId="7618" xr:uid="{BCB21A83-F397-40BF-9CEE-BBD3DE3686A4}"/>
    <cellStyle name="Currency 61" xfId="7619" xr:uid="{2FD82A7E-DAE9-4B5B-A366-28921DDA055D}"/>
    <cellStyle name="Currency 62" xfId="23814" xr:uid="{158A5F47-6F2E-4E89-9115-E8C3FA83D43C}"/>
    <cellStyle name="Currency 7" xfId="311" xr:uid="{32E75C81-6355-49E0-B1E5-1D04DD9A7EDC}"/>
    <cellStyle name="Currency 7 2" xfId="992" xr:uid="{A367A4AA-59E8-41F1-8B45-A656BCDF5682}"/>
    <cellStyle name="Currency 7 2 2" xfId="7622" xr:uid="{7B3C4124-EB40-4989-A9CF-62112CDAD7C0}"/>
    <cellStyle name="Currency 7 2 3" xfId="7621" xr:uid="{72CFF06A-98AD-4AA1-BD3E-279345B8C95E}"/>
    <cellStyle name="Currency 7 2 4" xfId="23959" xr:uid="{CD488B01-4C8E-413C-B010-CEAA77D8ACA2}"/>
    <cellStyle name="Currency 7 3" xfId="7623" xr:uid="{9CD59994-6A42-48A0-B37B-2D40202325C2}"/>
    <cellStyle name="Currency 7 4" xfId="7620" xr:uid="{A6CBE15A-1EF5-4358-9DA6-95127C3B5AF3}"/>
    <cellStyle name="Currency 7 5" xfId="23958" xr:uid="{1BB43D14-3C44-45C6-8FEE-935DC6E34BE1}"/>
    <cellStyle name="Currency 7 6" xfId="991" xr:uid="{E9A36543-28CA-4738-BA09-F64FDC6A5EAB}"/>
    <cellStyle name="Currency 8" xfId="24" xr:uid="{69AC9310-ACE7-442B-AEED-A8081B175F78}"/>
    <cellStyle name="Currency 8 2" xfId="994" xr:uid="{C3FDFC11-E507-47B3-A384-4D10C636333B}"/>
    <cellStyle name="Currency 8 2 2" xfId="7626" xr:uid="{B692C194-3817-424B-85A5-461BFC189ACB}"/>
    <cellStyle name="Currency 8 2 3" xfId="7625" xr:uid="{B7F0F2F3-1FE5-4246-87FA-EB8B94BD27FA}"/>
    <cellStyle name="Currency 8 3" xfId="7627" xr:uid="{28197063-5E68-4B53-9328-5EFCB2EA09BC}"/>
    <cellStyle name="Currency 8 4" xfId="7624" xr:uid="{FDFCAB02-16C8-4B48-A4DE-B3CAB37221CC}"/>
    <cellStyle name="Currency 8 5" xfId="993" xr:uid="{680D904A-1796-4B33-84DA-EC9E5A69F7D7}"/>
    <cellStyle name="Currency 9" xfId="995" xr:uid="{FAB29709-F106-4F4C-B6E2-C2A463C7F55A}"/>
    <cellStyle name="Currency 9 2" xfId="7629" xr:uid="{0E1BAA97-BB75-47E1-A9B2-D08458E494A3}"/>
    <cellStyle name="Currency 9 2 2" xfId="7630" xr:uid="{F02CCD63-57F1-4F81-8B6B-00D2E8CE8E0D}"/>
    <cellStyle name="Currency 9 3" xfId="7631" xr:uid="{74772373-A5B5-49CE-A366-BF2CF71A3D90}"/>
    <cellStyle name="Currency 9 4" xfId="7632" xr:uid="{8089851D-2666-4082-8815-FD8230A54915}"/>
    <cellStyle name="Currency 9 5" xfId="13136" xr:uid="{59527F26-C5C5-4737-B455-CB887CF67002}"/>
    <cellStyle name="Currency 9 6" xfId="7628" xr:uid="{FFD7AE66-0A47-441E-AA7F-E42BA1F73281}"/>
    <cellStyle name="Currency 9 7" xfId="23960" xr:uid="{8D478430-89B0-4B13-8C9C-E82EEC5BCFA2}"/>
    <cellStyle name="Currency Canada" xfId="996" xr:uid="{F0C68972-89A3-43CF-AAE4-8017E08C2AC9}"/>
    <cellStyle name="Currency Canada 2" xfId="997" xr:uid="{54945986-9A98-4180-8CA9-3B95E903312B}"/>
    <cellStyle name="Currency Euro" xfId="998" xr:uid="{1B9A0F8E-6A40-4089-93BF-845812FE35A0}"/>
    <cellStyle name="Currency Peso" xfId="999" xr:uid="{0EEA4F22-CCC6-4399-9A03-A09877208EED}"/>
    <cellStyle name="Currency Peso 2" xfId="1000" xr:uid="{38229F10-F3CC-4B48-BB47-C57AAE412875}"/>
    <cellStyle name="Currency Pound" xfId="1001" xr:uid="{6A560F78-6D95-4DF2-BDC3-3733FF9F7E54}"/>
    <cellStyle name="Currency US" xfId="1002" xr:uid="{37F6EF21-9D59-4062-9958-8FF137A90F4F}"/>
    <cellStyle name="Currency(Cents)" xfId="1003" xr:uid="{5E421BBE-A93C-4DE2-9FC4-84A779374E12}"/>
    <cellStyle name="Currency(Cents) 2" xfId="23961" xr:uid="{AD5237CB-2BD3-4E50-9610-4397535DB98A}"/>
    <cellStyle name="Currency." xfId="1004" xr:uid="{49A132E9-DAF7-4078-9435-23C0FBAAFAF3}"/>
    <cellStyle name="Currency0" xfId="1005" xr:uid="{61CF6248-A495-4470-8C3B-FE245285D007}"/>
    <cellStyle name="D4_B8B1_005004B79812_.wvu.PrintTitlest" xfId="144" xr:uid="{347E42F4-A9CC-48B8-A5EA-C18FEDF82BB0}"/>
    <cellStyle name="Dash" xfId="1006" xr:uid="{11D46555-CBD7-4168-A106-AB4324437C90}"/>
    <cellStyle name="Data" xfId="1007" xr:uid="{CD180B1C-5999-4055-99BE-9B92954DBEF4}"/>
    <cellStyle name="Data 2" xfId="1008" xr:uid="{594FFF7F-F5D8-4525-96A2-A3CA21C0A31A}"/>
    <cellStyle name="Data_6. Ass-Fin" xfId="1009" xr:uid="{267ACB32-59FF-45DD-A686-46C9D0E9DEAB}"/>
    <cellStyle name="Date" xfId="145" xr:uid="{619E68A8-F2FA-4FD2-9954-4C5F7B10352A}"/>
    <cellStyle name="Date [1 Dec 01]" xfId="7633" xr:uid="{85436C51-0BE7-4859-B0AB-27B8DF10569C}"/>
    <cellStyle name="Date [1 Dec 01] 2" xfId="7634" xr:uid="{5EB30877-E481-4600-A643-0B6D0C9C5E6A}"/>
    <cellStyle name="Date [1 Dec 01]_Corporate Allocators" xfId="7635" xr:uid="{461183BD-017B-4E4E-BD55-BE0FDFEA40CD}"/>
    <cellStyle name="Date [31 Dec 2000]" xfId="7636" xr:uid="{C6B955C1-A8AD-47F1-BB12-BC2806CEF4E5}"/>
    <cellStyle name="Date [31/12/02]" xfId="7637" xr:uid="{0B32B187-6F7E-4FA2-90B3-3D23984B7732}"/>
    <cellStyle name="Date [Dec 00]" xfId="7638" xr:uid="{365127ED-DDC9-4B7E-AB9D-E2E3678AFFBF}"/>
    <cellStyle name="Date 2" xfId="146" xr:uid="{F60E5358-C303-4B88-9FD4-F2B429A6F609}"/>
    <cellStyle name="Date 2 2" xfId="7639" xr:uid="{AB50F2FD-4626-4654-AF61-8E4090C503FD}"/>
    <cellStyle name="Date Aligned" xfId="1010" xr:uid="{DE8FD1E2-232A-41FB-A9C7-E965CC15D020}"/>
    <cellStyle name="Date Heading" xfId="2293" xr:uid="{D78714FD-61E9-4F11-8496-C06A99A05931}"/>
    <cellStyle name="Date Short" xfId="1011" xr:uid="{54AC1BAD-486B-4A33-BA4B-A8B59E6F431C}"/>
    <cellStyle name="Date Short 10" xfId="7640" xr:uid="{4CDC8C15-D8C7-4651-BA10-ACFAAA92C4DD}"/>
    <cellStyle name="Date Short 10 2" xfId="7641" xr:uid="{7D39B58C-2621-46E4-AD5C-130E3DD5D220}"/>
    <cellStyle name="Date Short 10 2 2" xfId="7642" xr:uid="{1FF455E0-CC1B-4284-A740-99852B39326A}"/>
    <cellStyle name="Date Short 2" xfId="7643" xr:uid="{8E597A02-DA02-4FEF-9722-613F82FD6F69}"/>
    <cellStyle name="Date Short 2 2" xfId="7644" xr:uid="{EF8A3E53-BD82-4C07-AAB1-C52CE1B57337}"/>
    <cellStyle name="Date Short 3" xfId="7645" xr:uid="{8F357B77-9E2A-4C09-9F06-3AEBB11529A1}"/>
    <cellStyle name="Date Short 3 2" xfId="7646" xr:uid="{3F09C29D-D3A4-4E86-8173-D53133AFF892}"/>
    <cellStyle name="Date Short 4" xfId="7647" xr:uid="{D924C95D-ABF7-4759-8C3A-77247F4BEB9F}"/>
    <cellStyle name="Date Short 4 2" xfId="7648" xr:uid="{C531547F-57E3-4F70-BB8E-2D42F370FF1C}"/>
    <cellStyle name="Date Short 5" xfId="7649" xr:uid="{0CF4C8A7-4F4C-473C-89BE-CE64701BED3F}"/>
    <cellStyle name="Date Short 5 2" xfId="7650" xr:uid="{FD082BDC-D26E-4952-ADF6-D8A03279A2BA}"/>
    <cellStyle name="Date Short 6" xfId="7651" xr:uid="{85001D66-8475-4293-BB49-EAE388168B53}"/>
    <cellStyle name="Date Short 6 2" xfId="7652" xr:uid="{128D95D0-80D6-4048-A458-B0E9949705CA}"/>
    <cellStyle name="Date Short 7" xfId="7653" xr:uid="{18523BC8-B723-4CFA-9334-C30D201B62D6}"/>
    <cellStyle name="Date Short 7 2" xfId="7654" xr:uid="{E0B2BF87-431E-4A33-A951-C0876DB71869}"/>
    <cellStyle name="Date Short 8" xfId="7655" xr:uid="{CC332DFB-6926-4588-9062-35FD2B5CCB47}"/>
    <cellStyle name="Date Short 8 2" xfId="7656" xr:uid="{60E35EF2-4021-4316-8F9B-63B202167FF7}"/>
    <cellStyle name="Date Short 9" xfId="7657" xr:uid="{2C8055DE-8395-4F55-B601-3B10518E42FF}"/>
    <cellStyle name="Date Short 9 2" xfId="7658" xr:uid="{7D812A11-47C5-4D3F-B218-FABBD2164102}"/>
    <cellStyle name="Date U" xfId="1012" xr:uid="{741EF017-326D-42BB-AC8F-59962443F80E}"/>
    <cellStyle name="Date U 2" xfId="1013" xr:uid="{2CFFE37F-7BE5-4C5D-A119-724911FCE835}"/>
    <cellStyle name="Date." xfId="1014" xr:uid="{82118565-C48D-4158-8475-D3580699B364}"/>
    <cellStyle name="Date_114901_2" xfId="1015" xr:uid="{E9853C47-A821-44A1-8A92-569E1D1739C0}"/>
    <cellStyle name="Decimal [0]" xfId="1016" xr:uid="{7D41998C-D968-4743-81B0-33BD216BBE7B}"/>
    <cellStyle name="Decimal [0] 2" xfId="7659" xr:uid="{75340519-6927-4638-AB84-3688C8288884}"/>
    <cellStyle name="Decimal [0]_Corporate Allocators" xfId="7660" xr:uid="{E7388F80-4349-48E4-8BFA-047B2C312B19}"/>
    <cellStyle name="Decimal [2]" xfId="1017" xr:uid="{73B2D041-2886-4325-8AA0-BF1F5E494054}"/>
    <cellStyle name="Decimal [2] 2" xfId="7661" xr:uid="{1CF4B9E8-07B3-4863-A8A1-9B2967061C2F}"/>
    <cellStyle name="Decimal [2] U" xfId="1018" xr:uid="{7ECEF270-5359-4B83-8D11-F757C05C2A33}"/>
    <cellStyle name="Decimal [2] U 2" xfId="1019" xr:uid="{BB1CBF10-8C54-4DF1-86BE-0F8F26C614DB}"/>
    <cellStyle name="Decimal [2]_1106 v1.4 MGH Corporate Model Hybrid v5c" xfId="1020" xr:uid="{4927BF42-37CE-42E8-BFED-E775B2781CE1}"/>
    <cellStyle name="Decimal [3]" xfId="7662" xr:uid="{12F9B7CF-E848-40E3-BD1C-107AAE8304FF}"/>
    <cellStyle name="Decimal [3] U" xfId="7663" xr:uid="{799955B8-C145-4A4E-8EC0-5FFA91343230}"/>
    <cellStyle name="Decimal [3]_2900 - Facilities" xfId="7664" xr:uid="{BF915D40-6ADA-40CF-B43A-FE0C04BA7CE9}"/>
    <cellStyle name="Decimal [4]" xfId="1021" xr:uid="{CC3DA88C-E582-4FBD-91F4-5A8335E0606B}"/>
    <cellStyle name="Decimal [4] 2" xfId="7665" xr:uid="{B943C330-AFEE-4B16-8FD4-A2BA49410B93}"/>
    <cellStyle name="Decimal [4] U" xfId="1022" xr:uid="{F35659BA-A732-4697-8A90-3FDAF06EBE8C}"/>
    <cellStyle name="Decimal [4] U 2" xfId="1023" xr:uid="{CD0E2E53-1ECB-47B8-8732-297960CA8281}"/>
    <cellStyle name="Decimal [4]_1106 v1.4 MGH Corporate Model Hybrid v5c" xfId="1024" xr:uid="{F8899C46-C229-4E3A-9EF5-8C2E5B8EA12B}"/>
    <cellStyle name="Default" xfId="7666" xr:uid="{E2991010-7C32-4175-B24B-0D25D2753129}"/>
    <cellStyle name="DELTA" xfId="7667" xr:uid="{F58794C3-295E-4993-8E29-6D0C87B6E133}"/>
    <cellStyle name="DELTA 10" xfId="7668" xr:uid="{0805EB42-5ACF-4908-9130-20A136F5F823}"/>
    <cellStyle name="DELTA 10 2" xfId="7669" xr:uid="{FD32FB00-E3BE-4267-A3DE-A008DB2A8A9B}"/>
    <cellStyle name="DELTA 10 2 2" xfId="7670" xr:uid="{55EC0CC4-34B2-41B8-A2A9-6789B131FAE8}"/>
    <cellStyle name="DELTA 2" xfId="7671" xr:uid="{8C1D2063-8839-435C-B688-542952DE4087}"/>
    <cellStyle name="DELTA 2 2" xfId="7672" xr:uid="{BDAE510F-C9A5-498F-B9CF-71AF8EFE2F2C}"/>
    <cellStyle name="DELTA 2 3" xfId="7673" xr:uid="{6B2F7D2E-7823-4CBF-8C8F-B1E540B19931}"/>
    <cellStyle name="DELTA 3" xfId="7674" xr:uid="{2DB2C0ED-AE70-4F47-8BA9-CE87534AF7ED}"/>
    <cellStyle name="DELTA 3 2" xfId="7675" xr:uid="{9B14CB42-2FC5-494C-8E5A-6BC3CFEF1866}"/>
    <cellStyle name="DELTA 3 3" xfId="7676" xr:uid="{0DC4B62E-E9AB-4F50-A485-FDA65EBDEB38}"/>
    <cellStyle name="DELTA 4" xfId="7677" xr:uid="{FD7ABF25-BAA9-4893-99B7-54ED14BBA990}"/>
    <cellStyle name="DELTA 4 2" xfId="7678" xr:uid="{4037F301-3831-4330-BF56-33D66D618407}"/>
    <cellStyle name="DELTA 4 3" xfId="7679" xr:uid="{E3208A56-EC2B-4983-867B-E0654C30FF0A}"/>
    <cellStyle name="DELTA 5" xfId="7680" xr:uid="{39CD056F-7875-4341-B87A-7867F5516555}"/>
    <cellStyle name="DELTA 5 2" xfId="7681" xr:uid="{6D2A710E-2FED-453B-9430-85322A2AFEE1}"/>
    <cellStyle name="DELTA 5 3" xfId="7682" xr:uid="{6B1FFD59-789A-4282-A193-E1C8F5524B5B}"/>
    <cellStyle name="DELTA 6" xfId="7683" xr:uid="{76D4CCB4-42D0-43A1-8626-5C8233E30D1B}"/>
    <cellStyle name="DELTA 6 2" xfId="7684" xr:uid="{0D05A6E3-B330-427A-919C-998114BEB148}"/>
    <cellStyle name="DELTA 6 3" xfId="7685" xr:uid="{A3E0F123-7C81-4EDB-9F46-F6AE1EE06D0E}"/>
    <cellStyle name="DELTA 7" xfId="7686" xr:uid="{EA43D569-0287-4F82-95E1-31B398F9570C}"/>
    <cellStyle name="DELTA 7 2" xfId="7687" xr:uid="{DC2B9738-89F3-40A7-B320-FA19CE34E029}"/>
    <cellStyle name="DELTA 7 3" xfId="7688" xr:uid="{532C0B9A-A6F8-44AC-80AB-0F6115D24E09}"/>
    <cellStyle name="DELTA 8" xfId="7689" xr:uid="{84D692CF-372D-4127-B46D-500EDD37AC4F}"/>
    <cellStyle name="DELTA 8 2" xfId="7690" xr:uid="{B45628A2-19C7-4907-B0CF-BBB9BF9C3920}"/>
    <cellStyle name="DELTA 8 3" xfId="7691" xr:uid="{DE2DB573-CA1F-4BE8-9BF8-C11E5E47590E}"/>
    <cellStyle name="DELTA 9" xfId="7692" xr:uid="{0F0CB366-0470-4DB5-98EC-72C57153A89E}"/>
    <cellStyle name="DELTA 9 2" xfId="7693" xr:uid="{0492013C-378C-4DA4-8C67-243F625D9F68}"/>
    <cellStyle name="DELTA 9 3" xfId="7694" xr:uid="{969D6FA7-A00B-4919-81BD-77AE61F74C87}"/>
    <cellStyle name="Description" xfId="7695" xr:uid="{35B3431A-A6FA-456F-ABC0-5F7BECD15FE8}"/>
    <cellStyle name="Description 2" xfId="9062" xr:uid="{6EA59C8A-6622-4ACB-87BA-3BD36245CB4D}"/>
    <cellStyle name="Description 2 2" xfId="18108" xr:uid="{BC3F736D-1209-43F7-8EF0-78234018C38E}"/>
    <cellStyle name="Description 3" xfId="17910" xr:uid="{B03B3516-129A-44D2-846C-7F292879297B}"/>
    <cellStyle name="Dezimal [0]_PERSON2" xfId="1025" xr:uid="{D0A418CB-7408-4B95-848E-C822CA0A4CCC}"/>
    <cellStyle name="Dezimal_PERSON2" xfId="1026" xr:uid="{312CB50C-5FD9-480E-8D8D-F8BA4EDAF2B9}"/>
    <cellStyle name="Disabled" xfId="1027" xr:uid="{8571FF38-4245-4B80-AB11-3B56B0497130}"/>
    <cellStyle name="Discount" xfId="1028" xr:uid="{97391E9A-1E26-4D60-B122-FC2E217C34E2}"/>
    <cellStyle name="dms_Blue_HDR" xfId="312" xr:uid="{A8BD7C31-1CA1-4ADF-A224-8573E4AADCDF}"/>
    <cellStyle name="Dollars" xfId="592" xr:uid="{C680C76C-B07C-4C4F-8A42-FDDF4CE042E0}"/>
    <cellStyle name="Dotted Line" xfId="1029" xr:uid="{CD68AFD5-3B7E-44F5-98F8-45636945F186}"/>
    <cellStyle name="Double Underline" xfId="7696" xr:uid="{18365838-4FC5-4214-A38B-E3093125EFCA}"/>
    <cellStyle name="eárky [0]_laroux" xfId="1030" xr:uid="{F2EC42DD-C528-45E7-AA6E-57744D165F7B}"/>
    <cellStyle name="eárky_laroux" xfId="1031" xr:uid="{E6C77C21-BA94-411F-A6AF-DE837585484E}"/>
    <cellStyle name="Emphasis 1" xfId="147" xr:uid="{A4D0ABA6-F53C-4DB2-B588-7E6E88BBF34F}"/>
    <cellStyle name="Emphasis 1 2" xfId="3847" xr:uid="{FC6EFC08-3D83-44E9-B1ED-FC38E9ADD0E8}"/>
    <cellStyle name="Emphasis 1 2 2" xfId="8827" xr:uid="{5F8C8968-6B4A-4973-B6B5-BC94F89A8F37}"/>
    <cellStyle name="Emphasis 1 3" xfId="3580" xr:uid="{677CA208-3365-44B5-8FD7-5A9D9AF44A77}"/>
    <cellStyle name="Emphasis 1 3 2" xfId="8926" xr:uid="{A3CD8538-077B-4103-921A-1559A7B7A8E9}"/>
    <cellStyle name="Emphasis 2" xfId="148" xr:uid="{7F5F57D7-4F11-4B21-9044-3B3535AB7470}"/>
    <cellStyle name="Emphasis 2 2" xfId="3848" xr:uid="{DC08824F-CF02-4615-9B28-96E53E9E0BE9}"/>
    <cellStyle name="Emphasis 2 2 2" xfId="8828" xr:uid="{F1E952D5-75D5-4F88-AD00-4D03A0BDB9AF}"/>
    <cellStyle name="Emphasis 2 3" xfId="3581" xr:uid="{83485423-A379-46A3-B096-A7A7B10BB73C}"/>
    <cellStyle name="Emphasis 2 3 2" xfId="8927" xr:uid="{2AA99A94-9F8D-4A31-8449-F9D0F53B52B4}"/>
    <cellStyle name="Emphasis 3" xfId="149" xr:uid="{6EC5040C-0649-4423-8114-43E83F43BD79}"/>
    <cellStyle name="Emphasis 3 2" xfId="3849" xr:uid="{78C01E78-4156-4120-B4F6-27DE11521E2D}"/>
    <cellStyle name="Emphasis 3 2 2" xfId="8829" xr:uid="{8CF612FC-BA87-457D-9900-8DE739DB9605}"/>
    <cellStyle name="Emphasis 3 3" xfId="3582" xr:uid="{2ACFBE5E-9AEF-434A-AD73-52D5387A891E}"/>
    <cellStyle name="Emphasis 3 3 2" xfId="8928" xr:uid="{BAECBD6D-E869-4E6E-A3EE-96012B10AE7C}"/>
    <cellStyle name="Empty" xfId="1032" xr:uid="{6BD21919-5DBF-4072-88B2-7E19F1296672}"/>
    <cellStyle name="Enter Currency (0)" xfId="1033" xr:uid="{A46D7FDC-7F79-42FB-A030-F0585C0CB95D}"/>
    <cellStyle name="Enter Currency (0) 10" xfId="7698" xr:uid="{F0088F40-E244-4FD2-A52C-0C256320A9E4}"/>
    <cellStyle name="Enter Currency (0) 10 2" xfId="7699" xr:uid="{83A6AA46-2B4F-4317-ABD8-E72168ABF7A5}"/>
    <cellStyle name="Enter Currency (0) 10 2 2" xfId="7700" xr:uid="{2D7F6C24-A23E-41DB-A3CE-65FD091037CF}"/>
    <cellStyle name="Enter Currency (0) 11" xfId="7697" xr:uid="{B604C1C4-E231-46A0-A062-C3ACC64AD999}"/>
    <cellStyle name="Enter Currency (0) 2" xfId="7701" xr:uid="{CD678913-738B-4FA0-9024-7E3B0465AC9C}"/>
    <cellStyle name="Enter Currency (0) 2 2" xfId="7702" xr:uid="{1BFE935F-2453-4BC9-AABC-C11661CC6DB1}"/>
    <cellStyle name="Enter Currency (0) 2 3" xfId="7703" xr:uid="{B058E46C-E95F-4BE8-84EA-BD571E622692}"/>
    <cellStyle name="Enter Currency (0) 3" xfId="7704" xr:uid="{AAA48400-A9C2-4131-9A48-553EC1EB41FE}"/>
    <cellStyle name="Enter Currency (0) 3 2" xfId="7705" xr:uid="{1CDF017B-0CE3-441E-8CF0-ED6318C51CA4}"/>
    <cellStyle name="Enter Currency (0) 3 3" xfId="7706" xr:uid="{823F39E3-A565-454A-BAF3-B212F4A4E314}"/>
    <cellStyle name="Enter Currency (0) 4" xfId="7707" xr:uid="{92B91F02-80EB-4CE1-B06F-85814C92BD6B}"/>
    <cellStyle name="Enter Currency (0) 4 2" xfId="7708" xr:uid="{74780262-05AF-4906-A80D-CF9BCF2E5055}"/>
    <cellStyle name="Enter Currency (0) 4 3" xfId="7709" xr:uid="{9671C8B3-E006-4188-86D6-35752405E069}"/>
    <cellStyle name="Enter Currency (0) 5" xfId="7710" xr:uid="{87C7030A-DAF3-4A92-B22A-35E5AA59CEC1}"/>
    <cellStyle name="Enter Currency (0) 5 2" xfId="7711" xr:uid="{EFA65AFF-D901-4E74-AC2D-ED2B8C48F302}"/>
    <cellStyle name="Enter Currency (0) 5 3" xfId="7712" xr:uid="{EADE6C58-71CA-4AA8-A38B-22C51AE71CB3}"/>
    <cellStyle name="Enter Currency (0) 6" xfId="7713" xr:uid="{BED7F8F4-71E4-4145-A96A-C62B71BF1231}"/>
    <cellStyle name="Enter Currency (0) 6 2" xfId="7714" xr:uid="{EA5FBE45-29BC-4CFC-A0B0-D6750FE598DE}"/>
    <cellStyle name="Enter Currency (0) 6 3" xfId="7715" xr:uid="{010C9E12-C0EB-4951-898C-668EC5F38663}"/>
    <cellStyle name="Enter Currency (0) 7" xfId="7716" xr:uid="{5BC358E5-91E6-4385-9135-A6CDE3C4ABCC}"/>
    <cellStyle name="Enter Currency (0) 7 2" xfId="7717" xr:uid="{CD9098B7-4D06-4004-9B84-AB7D4B3B911B}"/>
    <cellStyle name="Enter Currency (0) 7 3" xfId="7718" xr:uid="{79B99D37-CBB5-43AF-8CF5-972BC1A91CDE}"/>
    <cellStyle name="Enter Currency (0) 8" xfId="7719" xr:uid="{9431042A-BD69-44C1-8E08-1580305693B7}"/>
    <cellStyle name="Enter Currency (0) 8 2" xfId="7720" xr:uid="{4DD43F71-88C7-4C70-A724-F13005A6A041}"/>
    <cellStyle name="Enter Currency (0) 8 3" xfId="7721" xr:uid="{98EA98AE-CE94-4D74-9215-FED8762BEAB1}"/>
    <cellStyle name="Enter Currency (0) 9" xfId="7722" xr:uid="{EC35AE74-3077-490D-8F31-600B8D3D825F}"/>
    <cellStyle name="Enter Currency (0) 9 2" xfId="7723" xr:uid="{E376CE3B-447C-402A-9769-B6D15D217820}"/>
    <cellStyle name="Enter Currency (0) 9 3" xfId="7724" xr:uid="{E663FCAA-AAFA-49BE-A862-91291A7E5AC0}"/>
    <cellStyle name="Enter Currency (2)" xfId="1034" xr:uid="{C119B2A4-2D6B-4F7E-990A-CFAA1FA67ED5}"/>
    <cellStyle name="Enter Currency (2) 10" xfId="7726" xr:uid="{79F8960C-877B-47B8-B6F5-62244CBD05DF}"/>
    <cellStyle name="Enter Currency (2) 10 2" xfId="7727" xr:uid="{B1DF2796-2982-417F-AA98-87C942E64B84}"/>
    <cellStyle name="Enter Currency (2) 10 2 2" xfId="7728" xr:uid="{C179D5A6-9F7B-415D-B2C6-02BA341DB440}"/>
    <cellStyle name="Enter Currency (2) 11" xfId="7725" xr:uid="{C6DD3B7A-EBD7-47A6-A2B0-8D720228AFB9}"/>
    <cellStyle name="Enter Currency (2) 2" xfId="7729" xr:uid="{E50ECC50-25C4-4842-A938-7A164A9C5D6C}"/>
    <cellStyle name="Enter Currency (2) 2 2" xfId="7730" xr:uid="{24808194-2830-4318-80AA-7A36EDB9AECC}"/>
    <cellStyle name="Enter Currency (2) 2 3" xfId="7731" xr:uid="{412CAAB7-26F2-4837-ABC9-FE1216A87A43}"/>
    <cellStyle name="Enter Currency (2) 3" xfId="7732" xr:uid="{42456DAF-E648-474B-AFD4-CF2EA0CBAE63}"/>
    <cellStyle name="Enter Currency (2) 3 2" xfId="7733" xr:uid="{D76DF34F-AA0F-4033-899E-8532FD39B849}"/>
    <cellStyle name="Enter Currency (2) 3 3" xfId="7734" xr:uid="{CB3E67F7-BED2-4DA9-80A3-EEB53AE53A8E}"/>
    <cellStyle name="Enter Currency (2) 4" xfId="7735" xr:uid="{2D3A9056-6919-4E80-B8D7-2C5939F49325}"/>
    <cellStyle name="Enter Currency (2) 4 2" xfId="7736" xr:uid="{CD3D37CF-CCF2-435F-AB02-009285B4493E}"/>
    <cellStyle name="Enter Currency (2) 4 3" xfId="7737" xr:uid="{938DBB6D-E37D-4F1F-8E72-FAF552F67267}"/>
    <cellStyle name="Enter Currency (2) 5" xfId="7738" xr:uid="{D0076A52-F6A2-4467-9838-6B307349FF7D}"/>
    <cellStyle name="Enter Currency (2) 5 2" xfId="7739" xr:uid="{83F0B96C-F9D2-45A2-A50E-C3A6D6CDBBCD}"/>
    <cellStyle name="Enter Currency (2) 5 3" xfId="7740" xr:uid="{8F5E3209-C75A-4412-83AF-6DBD2F4DBAAF}"/>
    <cellStyle name="Enter Currency (2) 6" xfId="7741" xr:uid="{29177DCF-530C-4576-9FD3-012CAA952B99}"/>
    <cellStyle name="Enter Currency (2) 6 2" xfId="7742" xr:uid="{0DA88305-622A-49E0-ADDD-18E8E6F33819}"/>
    <cellStyle name="Enter Currency (2) 6 3" xfId="7743" xr:uid="{818F7BD8-0415-4F8A-8AB4-E3863EB6ABDC}"/>
    <cellStyle name="Enter Currency (2) 7" xfId="7744" xr:uid="{E2E3AC66-C91E-477C-BC09-EC4C8B251500}"/>
    <cellStyle name="Enter Currency (2) 7 2" xfId="7745" xr:uid="{40C5C9FA-1939-4C7D-99A5-538E58225DBE}"/>
    <cellStyle name="Enter Currency (2) 7 3" xfId="7746" xr:uid="{D4C99BEB-BCA1-474B-B442-DD7320678BE8}"/>
    <cellStyle name="Enter Currency (2) 8" xfId="7747" xr:uid="{47465DB0-A849-439A-8579-F151D332912C}"/>
    <cellStyle name="Enter Currency (2) 8 2" xfId="7748" xr:uid="{B5ACB8BA-F0FB-4A5B-B031-2A62201755B0}"/>
    <cellStyle name="Enter Currency (2) 8 3" xfId="7749" xr:uid="{5C720764-5F80-40C0-B21A-EC302472905D}"/>
    <cellStyle name="Enter Currency (2) 9" xfId="7750" xr:uid="{F337717E-749E-4648-9F2E-FD557CEC14AB}"/>
    <cellStyle name="Enter Currency (2) 9 2" xfId="7751" xr:uid="{45B3C319-0EE1-4CE2-9194-32BC3CEEC6A4}"/>
    <cellStyle name="Enter Currency (2) 9 3" xfId="7752" xr:uid="{70A63F19-1A1A-428F-A8FC-CBD9CC42FC40}"/>
    <cellStyle name="Enter Units (0)" xfId="1035" xr:uid="{0429B64F-6467-42C2-B524-268FAF13687C}"/>
    <cellStyle name="Enter Units (0) 10" xfId="7754" xr:uid="{5E49D430-CDDB-437E-8374-2DA6CBFAE6CF}"/>
    <cellStyle name="Enter Units (0) 10 2" xfId="7755" xr:uid="{7400E2E6-F3CC-4EA0-9AB7-D0EF923F9F98}"/>
    <cellStyle name="Enter Units (0) 10 2 2" xfId="7756" xr:uid="{6068B9EA-9345-4FF0-9EA2-A19A9389C7B1}"/>
    <cellStyle name="Enter Units (0) 11" xfId="7753" xr:uid="{9D67260E-5CB9-4997-90B7-7970BAC6000E}"/>
    <cellStyle name="Enter Units (0) 2" xfId="7757" xr:uid="{EB6ECA1D-5120-47B9-B667-2B291CC373A7}"/>
    <cellStyle name="Enter Units (0) 2 2" xfId="7758" xr:uid="{271F90EF-EE0B-454D-BC24-1071FEEE1331}"/>
    <cellStyle name="Enter Units (0) 2 3" xfId="7759" xr:uid="{A2DE33EE-F376-40C5-AFDD-E933955722EA}"/>
    <cellStyle name="Enter Units (0) 3" xfId="7760" xr:uid="{C8196B78-012C-465A-8F04-101921BD30EB}"/>
    <cellStyle name="Enter Units (0) 3 2" xfId="7761" xr:uid="{256A3352-68BA-4934-A375-6989A88270E2}"/>
    <cellStyle name="Enter Units (0) 3 3" xfId="7762" xr:uid="{8A9278FE-6725-447C-A143-ADD2CCBCE50A}"/>
    <cellStyle name="Enter Units (0) 4" xfId="7763" xr:uid="{71678F0B-64CD-49D1-B505-AB4AD6586FC1}"/>
    <cellStyle name="Enter Units (0) 4 2" xfId="7764" xr:uid="{E4EBABC8-BFB5-4EFD-99C5-54224E5F3415}"/>
    <cellStyle name="Enter Units (0) 4 3" xfId="7765" xr:uid="{9BDAA4D6-0185-478F-BEA9-6AA04538D23F}"/>
    <cellStyle name="Enter Units (0) 5" xfId="7766" xr:uid="{A8BE355E-F5E0-4A7B-934E-BEDE44374B64}"/>
    <cellStyle name="Enter Units (0) 5 2" xfId="7767" xr:uid="{D5330D30-7ED6-42A9-8067-15C1A05377F8}"/>
    <cellStyle name="Enter Units (0) 5 3" xfId="7768" xr:uid="{DA9F4BF7-D988-4279-B5FC-146442B6EE02}"/>
    <cellStyle name="Enter Units (0) 6" xfId="7769" xr:uid="{9A2C82B3-A287-4D01-865A-5CFD022C3A6B}"/>
    <cellStyle name="Enter Units (0) 6 2" xfId="7770" xr:uid="{D14C720C-F78B-450F-A2E4-DE4F14B123FD}"/>
    <cellStyle name="Enter Units (0) 6 3" xfId="7771" xr:uid="{2F6CEE09-9C72-4089-BF6F-02F254729C91}"/>
    <cellStyle name="Enter Units (0) 7" xfId="7772" xr:uid="{740CEC7F-E145-4B62-9B24-6F9C8DED6BB5}"/>
    <cellStyle name="Enter Units (0) 7 2" xfId="7773" xr:uid="{281BB5F7-5FEC-4256-B7FF-26704205FDD7}"/>
    <cellStyle name="Enter Units (0) 7 3" xfId="7774" xr:uid="{28212D3C-7330-4B6E-A502-27B6EAD4A3D4}"/>
    <cellStyle name="Enter Units (0) 8" xfId="7775" xr:uid="{447A623E-D9BA-4C24-BFC1-B08517E7DC20}"/>
    <cellStyle name="Enter Units (0) 8 2" xfId="7776" xr:uid="{F95A7B1E-71C4-4AA1-860D-BB72351F375F}"/>
    <cellStyle name="Enter Units (0) 8 3" xfId="7777" xr:uid="{C2AB993B-E040-4754-ABF6-A4D16D8D2050}"/>
    <cellStyle name="Enter Units (0) 9" xfId="7778" xr:uid="{F48DDA20-0C72-4BEE-A40B-5A5E7E121DE2}"/>
    <cellStyle name="Enter Units (0) 9 2" xfId="7779" xr:uid="{9A3CB0DF-94A0-441A-ACA4-EFDC4B8E8C4B}"/>
    <cellStyle name="Enter Units (0) 9 3" xfId="7780" xr:uid="{60562576-7A97-4633-9166-BD18A53896BE}"/>
    <cellStyle name="Enter Units (1)" xfId="1036" xr:uid="{5F9FAEBF-E144-4B1F-9458-9549B38B9FAB}"/>
    <cellStyle name="Enter Units (1) 10" xfId="7782" xr:uid="{1250142D-C5E7-4474-AF0F-46C4127F256B}"/>
    <cellStyle name="Enter Units (1) 10 2" xfId="7783" xr:uid="{BABB8859-44CD-4B56-9D73-84F84051D925}"/>
    <cellStyle name="Enter Units (1) 10 2 2" xfId="7784" xr:uid="{AC02F2D9-FC03-4123-92A8-FB162458C24C}"/>
    <cellStyle name="Enter Units (1) 11" xfId="7781" xr:uid="{FC66D504-3F8F-4E60-B62B-F0F63D40A02E}"/>
    <cellStyle name="Enter Units (1) 2" xfId="7785" xr:uid="{44902766-D4AA-4BED-A2C3-B6AB0D6EAC6A}"/>
    <cellStyle name="Enter Units (1) 2 2" xfId="7786" xr:uid="{515392EA-17CA-4E46-9F06-B8AE51F89726}"/>
    <cellStyle name="Enter Units (1) 2 3" xfId="7787" xr:uid="{7B523C51-F7DB-47E9-8CE3-E856C79C7E68}"/>
    <cellStyle name="Enter Units (1) 3" xfId="7788" xr:uid="{C44D5DAA-06F1-4BDB-B224-B9BA88E8B3E5}"/>
    <cellStyle name="Enter Units (1) 3 2" xfId="7789" xr:uid="{5E41C34C-50C6-4A1B-BB5B-9C0C4AB652F7}"/>
    <cellStyle name="Enter Units (1) 3 3" xfId="7790" xr:uid="{1F888D37-A013-450C-83B9-BDE8981C01CE}"/>
    <cellStyle name="Enter Units (1) 4" xfId="7791" xr:uid="{451382DC-95BF-4D2A-8FD5-13D08A6B5739}"/>
    <cellStyle name="Enter Units (1) 4 2" xfId="7792" xr:uid="{B33647C7-0875-4981-BAF5-AD41337CDE5F}"/>
    <cellStyle name="Enter Units (1) 4 3" xfId="7793" xr:uid="{2D19E59F-1D0F-41DF-A191-979AE97E9DC2}"/>
    <cellStyle name="Enter Units (1) 5" xfId="7794" xr:uid="{A8EAB762-440E-4685-B472-4024D303F0B1}"/>
    <cellStyle name="Enter Units (1) 5 2" xfId="7795" xr:uid="{117E6037-07A6-44F5-8138-371C43B1C050}"/>
    <cellStyle name="Enter Units (1) 5 3" xfId="7796" xr:uid="{2C2E53F8-E880-4842-B283-C55A7BC546D0}"/>
    <cellStyle name="Enter Units (1) 6" xfId="7797" xr:uid="{84033110-3829-4873-BD5C-15E7CDAA1543}"/>
    <cellStyle name="Enter Units (1) 6 2" xfId="7798" xr:uid="{FCDB09C7-FDAD-4C17-9473-6388529BDBB8}"/>
    <cellStyle name="Enter Units (1) 6 3" xfId="7799" xr:uid="{EDD0620B-4C2B-49AE-A023-224DBA84FAF1}"/>
    <cellStyle name="Enter Units (1) 7" xfId="7800" xr:uid="{2A3768AC-FFB1-4861-A3C2-3277FDE45014}"/>
    <cellStyle name="Enter Units (1) 7 2" xfId="7801" xr:uid="{F56F4FA5-A51E-4298-8A1D-94CE9A8DE55A}"/>
    <cellStyle name="Enter Units (1) 7 3" xfId="7802" xr:uid="{F797E24D-59E1-49FC-B61A-DDF8B1E369B3}"/>
    <cellStyle name="Enter Units (1) 8" xfId="7803" xr:uid="{94A35E0A-7233-409D-84F5-1C14CF7CF46A}"/>
    <cellStyle name="Enter Units (1) 8 2" xfId="7804" xr:uid="{1F3A383B-88BF-4D74-BBF9-9791E11B6459}"/>
    <cellStyle name="Enter Units (1) 8 3" xfId="7805" xr:uid="{2AE6D018-5EEA-4EFA-964A-62B857A7A1A3}"/>
    <cellStyle name="Enter Units (1) 9" xfId="7806" xr:uid="{936A1FF4-875D-4181-AA7F-2E19A1D0C602}"/>
    <cellStyle name="Enter Units (1) 9 2" xfId="7807" xr:uid="{C2CB8088-7E73-45BD-BB00-C8FC948CDD93}"/>
    <cellStyle name="Enter Units (1) 9 3" xfId="7808" xr:uid="{1C80040B-0668-4E62-A899-21E02D06E69D}"/>
    <cellStyle name="Enter Units (2)" xfId="1037" xr:uid="{ED96A546-C499-44FA-BB55-966077DA187C}"/>
    <cellStyle name="Enter Units (2) 10" xfId="7810" xr:uid="{136E9B9B-F178-4A47-9C3B-77A140CDD2A8}"/>
    <cellStyle name="Enter Units (2) 10 2" xfId="7811" xr:uid="{81AB4105-4F0B-4951-AECE-713EA542F9F6}"/>
    <cellStyle name="Enter Units (2) 10 2 2" xfId="7812" xr:uid="{0F94A65B-83AC-4B7C-8955-D9AC7081F4A8}"/>
    <cellStyle name="Enter Units (2) 11" xfId="7809" xr:uid="{0A695285-B50F-4EC2-9681-41458BF4435C}"/>
    <cellStyle name="Enter Units (2) 2" xfId="7813" xr:uid="{6492756E-9B2E-4DB2-8ABA-8AECEBCF9684}"/>
    <cellStyle name="Enter Units (2) 2 2" xfId="7814" xr:uid="{6B3BC041-213B-4DFB-8179-DB4247C6AC14}"/>
    <cellStyle name="Enter Units (2) 2 3" xfId="7815" xr:uid="{9AB0D1ED-3FEB-47EA-9AB9-159962AFB1C2}"/>
    <cellStyle name="Enter Units (2) 3" xfId="7816" xr:uid="{A97376E3-0CAB-4327-AF57-47194F3820D6}"/>
    <cellStyle name="Enter Units (2) 3 2" xfId="7817" xr:uid="{A99F778D-F000-48FD-A661-6AA0F9DA25FE}"/>
    <cellStyle name="Enter Units (2) 3 3" xfId="7818" xr:uid="{9113BFC5-0B17-4EEE-B983-3DED57F8CABF}"/>
    <cellStyle name="Enter Units (2) 4" xfId="7819" xr:uid="{98602E7D-12A8-4F47-95ED-408E3E642642}"/>
    <cellStyle name="Enter Units (2) 4 2" xfId="7820" xr:uid="{BBD4DFDC-191E-4E7F-A4C3-EA4C10131C0F}"/>
    <cellStyle name="Enter Units (2) 4 3" xfId="7821" xr:uid="{D966F198-74C9-4C7F-B1E1-68338F7574B6}"/>
    <cellStyle name="Enter Units (2) 5" xfId="7822" xr:uid="{C631662A-9D47-470A-9BA1-D11B34C902AB}"/>
    <cellStyle name="Enter Units (2) 5 2" xfId="7823" xr:uid="{AE0B85C2-4C4E-49D0-9F2B-A8A68DF28F40}"/>
    <cellStyle name="Enter Units (2) 5 3" xfId="7824" xr:uid="{1DAFC111-6118-4BB8-9F33-351AB4511667}"/>
    <cellStyle name="Enter Units (2) 6" xfId="7825" xr:uid="{0155197E-3850-448D-A26D-B3BB9F195069}"/>
    <cellStyle name="Enter Units (2) 6 2" xfId="7826" xr:uid="{BF45A5F6-6DDD-4AD5-A65E-FB25F86D971F}"/>
    <cellStyle name="Enter Units (2) 6 3" xfId="7827" xr:uid="{5686D117-3BA2-4D78-8494-FCBF78682BE5}"/>
    <cellStyle name="Enter Units (2) 7" xfId="7828" xr:uid="{3D81CA12-8191-46D5-BC38-EAFAB691D0FA}"/>
    <cellStyle name="Enter Units (2) 7 2" xfId="7829" xr:uid="{12F81685-4473-44F8-85A6-B767D2C5FEC9}"/>
    <cellStyle name="Enter Units (2) 7 3" xfId="7830" xr:uid="{4B0551E9-9837-471C-BC9F-E58B573F3A8D}"/>
    <cellStyle name="Enter Units (2) 8" xfId="7831" xr:uid="{F7ED3943-2CED-427F-B7B0-DC6758729606}"/>
    <cellStyle name="Enter Units (2) 8 2" xfId="7832" xr:uid="{0FCAC9F2-9400-496B-AE34-E10C7B642D16}"/>
    <cellStyle name="Enter Units (2) 8 3" xfId="7833" xr:uid="{B613166C-4434-44CA-8A68-06E2903AF909}"/>
    <cellStyle name="Enter Units (2) 9" xfId="7834" xr:uid="{6F26BDB7-E003-43EB-86C4-5A4A050235F8}"/>
    <cellStyle name="Enter Units (2) 9 2" xfId="7835" xr:uid="{BDC924CF-113C-47EE-817C-E8BF8E485C57}"/>
    <cellStyle name="Enter Units (2) 9 3" xfId="7836" xr:uid="{1F9DD8FC-A8FA-4F95-8B51-1B243C8B5A60}"/>
    <cellStyle name="Entered" xfId="1038" xr:uid="{EE3E90D6-9C7D-459E-A006-76AAF2237D28}"/>
    <cellStyle name="Error_Checks" xfId="2294" xr:uid="{88E9B019-8EE4-4AE9-9DB6-D1AC5F0D8A04}"/>
    <cellStyle name="Euro" xfId="150" xr:uid="{C48D3FE9-B48E-4EC2-99F3-FA3861BC3E7D}"/>
    <cellStyle name="Euro 2" xfId="1039" xr:uid="{C736CFC3-0F5D-4EEA-9DA2-5A84C6B1C0DD}"/>
    <cellStyle name="Euro 2 2" xfId="8891" xr:uid="{6513C9C7-5600-489F-AC2E-E19B5452212A}"/>
    <cellStyle name="Euro 3" xfId="8830" xr:uid="{A6170644-8394-4E5C-9DEB-DA344646EA7E}"/>
    <cellStyle name="Euro 4" xfId="8929" xr:uid="{27D54349-D4F9-40DE-876E-BDC132741327}"/>
    <cellStyle name="Euro 5" xfId="3015" xr:uid="{874BFB49-5795-4A23-80C3-A4983A02BC2A}"/>
    <cellStyle name="Euro 6" xfId="593" xr:uid="{2C84ACB6-A005-4508-9D2D-876D34739798}"/>
    <cellStyle name="Exception" xfId="7837" xr:uid="{D64E0839-9C84-47FB-A65B-EB62B286F9A0}"/>
    <cellStyle name="ExchangeRate" xfId="7838" xr:uid="{D260A3DC-B14B-4178-B400-DCE850F8208E}"/>
    <cellStyle name="Explanatory Text" xfId="18" builtinId="53"/>
    <cellStyle name="Explanatory Text 10" xfId="7839" xr:uid="{01E2D555-C29A-467C-8CDC-3DB47B9669B5}"/>
    <cellStyle name="Explanatory Text 11" xfId="7840" xr:uid="{4F46E36A-29F8-4800-9979-209EF88A54E3}"/>
    <cellStyle name="Explanatory Text 2" xfId="151" xr:uid="{F8748785-1D87-4342-A753-DA2356D167C0}"/>
    <cellStyle name="Explanatory Text 2 2" xfId="3850" xr:uid="{E732C0D9-8D01-49E2-8479-785F5FDBAE79}"/>
    <cellStyle name="Explanatory Text 2 3" xfId="3583" xr:uid="{1F40C3AB-0DFC-4439-B8E5-8DD45EECFBAD}"/>
    <cellStyle name="Explanatory Text 3" xfId="7841" xr:uid="{0E79407F-F8CB-4F6B-8DC9-31BDDDC97E4D}"/>
    <cellStyle name="Explanatory Text 4" xfId="7842" xr:uid="{F9CB96FF-6D5E-4494-8BE8-0741B5617D4B}"/>
    <cellStyle name="Explanatory Text 5" xfId="7843" xr:uid="{6BB5B376-6C1E-4E5C-A2AC-D64EC1C637CD}"/>
    <cellStyle name="Explanatory Text 6" xfId="7844" xr:uid="{9C695ABE-86E7-481D-B44F-2613F09F6EC1}"/>
    <cellStyle name="Explanatory Text 7" xfId="7845" xr:uid="{F7FE7125-3965-42A2-A40E-D4E0CE0B6BCD}"/>
    <cellStyle name="Explanatory Text 8" xfId="7846" xr:uid="{6B0D2CED-1C4F-45FE-A03C-9BD7AF5718DA}"/>
    <cellStyle name="Explanatory Text 9" xfId="7847" xr:uid="{7267DD18-41AA-43E4-B862-F05514AFED6D}"/>
    <cellStyle name="EY House" xfId="1040" xr:uid="{17C7A997-B832-4A16-98F4-2861B6DA5F5B}"/>
    <cellStyle name="EY House 2" xfId="1041" xr:uid="{959179C5-DAB2-4A9A-BB3F-C3F9DEA28892}"/>
    <cellStyle name="EY%input" xfId="2492" xr:uid="{DF92F94F-E2EE-47AE-A5D7-A35638042B93}"/>
    <cellStyle name="EY0dp" xfId="2491" xr:uid="{794E0101-AFCC-48BC-8ED3-ED010137E0FA}"/>
    <cellStyle name="EY2dp" xfId="2493" xr:uid="{C1BC1414-E66B-4AA1-8F8D-C7B0F7D1553D}"/>
    <cellStyle name="EYColumnHeading" xfId="2488" xr:uid="{07DBC7FC-6387-4025-9017-49720CA1043F}"/>
    <cellStyle name="EYColumnHeading 2" xfId="2875" xr:uid="{074A0930-BC74-4B56-9537-A27F5586649E}"/>
    <cellStyle name="EYtext" xfId="2490" xr:uid="{93CF3823-BD4C-43DC-BFAE-167DDB01F413}"/>
    <cellStyle name="f" xfId="7848" xr:uid="{10D9AB3F-1B75-46FC-8242-DE52F153AE73}"/>
    <cellStyle name="Feeder Field" xfId="7849" xr:uid="{9D67892A-B196-4F43-B4A4-4E47567CF2CC}"/>
    <cellStyle name="Feeder Field 2" xfId="9035" xr:uid="{FFA2348C-FF4A-4DC9-9FFC-0F811B8FD9F4}"/>
    <cellStyle name="Feeder Field 2 2" xfId="18081" xr:uid="{6A49980A-500F-4040-9405-C7360B5CCC4B}"/>
    <cellStyle name="Feeder Field 2 3" xfId="23582" xr:uid="{DA9D4EF7-516D-4304-B0DC-57B6F63BE15C}"/>
    <cellStyle name="Feeder Field 3" xfId="12335" xr:uid="{AE258B9F-10C1-4CC5-ADB6-2704DA143DF6}"/>
    <cellStyle name="Feeder Field 3 2" xfId="21381" xr:uid="{A248DC79-C00B-42A3-8F9C-D2338E3428C0}"/>
    <cellStyle name="Feeder Field 4" xfId="14370" xr:uid="{CFF1397D-C576-4086-B80A-7D062717B03C}"/>
    <cellStyle name="Feeder Field 5" xfId="17911" xr:uid="{A3F8FECF-0D9F-4502-9511-DD36BDD0E9CB}"/>
    <cellStyle name="Feeder Field 6" xfId="23356" xr:uid="{11F8832E-26B1-4BB7-8F5B-B8E748D1B501}"/>
    <cellStyle name="Fix0" xfId="1042" xr:uid="{02BFFE35-5605-4242-93EF-947B78679AA0}"/>
    <cellStyle name="Fix2" xfId="1043" xr:uid="{3682101B-02C7-4D11-BF9D-A1D4E001D3CD}"/>
    <cellStyle name="Fix4" xfId="1044" xr:uid="{12E7068B-B1C9-45A1-823E-9E07EC2728F6}"/>
    <cellStyle name="Fixed" xfId="152" xr:uid="{803E97C0-7512-4B45-9746-2755C4F1CEE7}"/>
    <cellStyle name="Fixed 2" xfId="153" xr:uid="{2372798C-4DB1-412B-9B21-25B2F4EF7FA0}"/>
    <cellStyle name="Font_Actual" xfId="7850" xr:uid="{54C2C688-6AA4-41AA-898F-179CBFAA5261}"/>
    <cellStyle name="Footer SBILogo1" xfId="1045" xr:uid="{CDADD579-FE6A-4F04-B095-A3E9A14C25C5}"/>
    <cellStyle name="Footer SBILogo2" xfId="1046" xr:uid="{8BC916A4-E97D-43F9-A670-1877B8FA8AC5}"/>
    <cellStyle name="Footnote" xfId="1047" xr:uid="{412CA40C-FE0F-4FD8-B6EE-BD26CFDC0B09}"/>
    <cellStyle name="Footnote Reference" xfId="1048" xr:uid="{C3E58864-C269-4BB8-A4FB-BB5D444DDD69}"/>
    <cellStyle name="Footnote_7. Ass" xfId="1049" xr:uid="{042037E0-5059-47FA-A476-99D07F45CC26}"/>
    <cellStyle name="Forecast" xfId="22" xr:uid="{A8BA9171-13A8-4016-A431-DE1DDE23BCD8}"/>
    <cellStyle name="fred" xfId="1050" xr:uid="{5C85D91F-D3A5-4622-AE03-0CAAEB355652}"/>
    <cellStyle name="Fred%" xfId="1051" xr:uid="{8A8D310B-1741-4A10-A1DE-5A31FDBA7ECD}"/>
    <cellStyle name="From Elsewhere" xfId="575" xr:uid="{016AB2C9-D2A7-4D4F-892A-434A6926FD17}"/>
    <cellStyle name="Fyear" xfId="7851" xr:uid="{066B0AA3-2FA0-44EA-9F12-8FD795EC8785}"/>
    <cellStyle name="Fyear 2" xfId="9063" xr:uid="{8ED26DF8-EFE8-4833-A0EE-EA68C4C9BEDB}"/>
    <cellStyle name="Fyear 2 2" xfId="18109" xr:uid="{6368A8A0-D41E-4CC1-B7E8-7D7785C521D8}"/>
    <cellStyle name="Fyear 3" xfId="17912" xr:uid="{FD089A4C-E1AA-485F-BC3D-24C9A4ABE727}"/>
    <cellStyle name="GEN_Assumption" xfId="1052" xr:uid="{A2CC420E-BCF3-4AA4-B489-CC5112EA21A4}"/>
    <cellStyle name="General" xfId="1053" xr:uid="{9101AAA6-337D-4781-B596-ADCB9FBAF58B}"/>
    <cellStyle name="Gilsans" xfId="154" xr:uid="{E2C3C828-6AA5-4EC2-91E2-A43F713907E7}"/>
    <cellStyle name="Gilsans 2" xfId="3851" xr:uid="{D2513F62-F9CD-4724-8B02-1FFA200F7DE7}"/>
    <cellStyle name="Gilsans 2 2" xfId="14371" xr:uid="{DF7A680D-D4C8-484E-9E99-F31CD32A3413}"/>
    <cellStyle name="Gilsans 3" xfId="3584" xr:uid="{730D89EC-DB2D-4B06-93F9-721F7D14D06D}"/>
    <cellStyle name="Gilsans 4" xfId="7852" xr:uid="{58D95993-D0C1-446D-B7AA-A710D9F765D7}"/>
    <cellStyle name="Gilsans 5" xfId="3016" xr:uid="{5E122BAA-FEE8-455C-A609-FC35BA85327B}"/>
    <cellStyle name="Gilsans 6" xfId="594" xr:uid="{5FB2F4F2-0214-4A5E-A9E1-90EA25462BF2}"/>
    <cellStyle name="Gilsansl" xfId="155" xr:uid="{EFD143EC-7ED2-46B6-BE87-CA2CB9D74A4B}"/>
    <cellStyle name="Gilsansl 2" xfId="3852" xr:uid="{E27BE3E9-E659-4DFF-A5B7-2AB0CCDF8678}"/>
    <cellStyle name="Gilsansl 2 2" xfId="14372" xr:uid="{0F095F4E-1D51-4406-83A0-52E3432712F3}"/>
    <cellStyle name="Gilsansl 3" xfId="3585" xr:uid="{AF9742F7-421B-4A73-9DCB-8056572A78F4}"/>
    <cellStyle name="Gilsansl 4" xfId="7853" xr:uid="{BDD0F37C-C4DE-42FA-B71F-9CD8D3886D1D}"/>
    <cellStyle name="Gilsansl 5" xfId="3017" xr:uid="{EB488F71-E250-4137-AA1F-C603C508FEE2}"/>
    <cellStyle name="Gilsansl 6" xfId="595" xr:uid="{27D41F65-3ED6-4820-B852-3204608BDFD5}"/>
    <cellStyle name="Good 10" xfId="7854" xr:uid="{A27DB92B-FEAE-438E-82AA-8FB9733877EF}"/>
    <cellStyle name="Good 11" xfId="7855" xr:uid="{70669946-10D5-4DCA-BE12-DAC7998CBB8C}"/>
    <cellStyle name="Good 2" xfId="156" xr:uid="{E480E6D2-03A8-40BC-96A8-E52ABDB2C31F}"/>
    <cellStyle name="Good 2 2" xfId="3853" xr:uid="{422DBDF6-8273-49C9-A605-9E6D8A535F2C}"/>
    <cellStyle name="Good 2 3" xfId="3586" xr:uid="{A476A64F-42EA-48A6-AE8A-C92E9BA1DF8B}"/>
    <cellStyle name="Good 3" xfId="7856" xr:uid="{474922C4-C2E5-4589-8959-9CAAAC72EB26}"/>
    <cellStyle name="Good 4" xfId="7857" xr:uid="{02DB33CB-E37D-417F-9627-A8509A02A1F8}"/>
    <cellStyle name="Good 5" xfId="7858" xr:uid="{830FAB37-18A5-4E95-BEB4-027EC2C6BA55}"/>
    <cellStyle name="Good 6" xfId="7859" xr:uid="{4B3A559B-BAAB-4823-AD34-C623B9B76535}"/>
    <cellStyle name="Good 7" xfId="7860" xr:uid="{B0EB4721-1B15-448B-8A76-C8B5022D3E92}"/>
    <cellStyle name="Good 8" xfId="7861" xr:uid="{D5BD2C8C-3BBD-4D5E-AD16-C49316E4EC64}"/>
    <cellStyle name="Good 9" xfId="7862" xr:uid="{2EC8823C-83FF-407F-8919-3FC273981AB6}"/>
    <cellStyle name="Grey" xfId="1054" xr:uid="{8A43CE11-3E4E-417B-B8D1-95396F40F252}"/>
    <cellStyle name="Grey 2" xfId="1055" xr:uid="{537E0F6F-294C-44B5-93D0-F1DC00B0A9B7}"/>
    <cellStyle name="Greyed out" xfId="7863" xr:uid="{3526194F-AB8A-4FD8-BA52-00BDB53A9667}"/>
    <cellStyle name="H1" xfId="7864" xr:uid="{16144536-AAF5-429F-8A51-8D0E0B93726F}"/>
    <cellStyle name="H2" xfId="7865" xr:uid="{38EF6D5D-16EE-449F-AC91-E8E0F4E00EA2}"/>
    <cellStyle name="H4" xfId="7866" xr:uid="{C5A445F8-03A8-4EDD-9ED9-914989045C86}"/>
    <cellStyle name="Hard Percent" xfId="1056" xr:uid="{39928601-5455-4527-8A80-F3BE7CD12229}"/>
    <cellStyle name="Hardcode" xfId="1057" xr:uid="{B166CB44-C962-42CB-9489-4E593C6E44A3}"/>
    <cellStyle name="Head 1" xfId="7867" xr:uid="{A2624C07-2988-46A8-8CBB-52FC74246B0E}"/>
    <cellStyle name="Head 2" xfId="7868" xr:uid="{11CA25CB-0272-426C-9DD0-2BEE6789A1FF}"/>
    <cellStyle name="Head 3" xfId="7869" xr:uid="{14D48E36-C5D5-4B33-A430-0444132F545A}"/>
    <cellStyle name="head11a" xfId="7870" xr:uid="{D5D7805B-3116-4399-AB5E-78F159DCEE48}"/>
    <cellStyle name="head11a 2" xfId="9064" xr:uid="{FA0812C1-E596-483E-8B27-994A934AF3D0}"/>
    <cellStyle name="head11a 2 2" xfId="18110" xr:uid="{3F6AFC3B-9CBC-4A5B-B199-6DE7DC40A437}"/>
    <cellStyle name="head11a 3" xfId="17913" xr:uid="{F00D4D1F-9405-4D71-9C9B-E255DE48A503}"/>
    <cellStyle name="head11b" xfId="7871" xr:uid="{1B4EA38B-810F-4DB1-8AA2-71651BAB4198}"/>
    <cellStyle name="head11c" xfId="7872" xr:uid="{5EF1F44D-1128-42C9-A7C0-0CA2401A6282}"/>
    <cellStyle name="head14" xfId="7873" xr:uid="{6CC44108-6E47-46D9-9B97-95C939B3BDA4}"/>
    <cellStyle name="headd" xfId="7874" xr:uid="{B97362F3-08B9-4959-9EE2-7250A6F08E9A}"/>
    <cellStyle name="Header" xfId="1058" xr:uid="{53681D6A-6116-4013-B76E-FCF4BA3E7549}"/>
    <cellStyle name="Header - Page" xfId="1059" xr:uid="{D5DFB2AF-924A-4FA2-9047-54A498DCF999}"/>
    <cellStyle name="Header - Title" xfId="1060" xr:uid="{F52DD990-136E-4059-9E83-B5697B4C08A0}"/>
    <cellStyle name="Header - Year Row" xfId="1061" xr:uid="{D7B88696-7C74-4880-A160-315CE9CA73ED}"/>
    <cellStyle name="Header 2" xfId="7875" xr:uid="{381B50C2-29C3-4E9B-9358-E7C05187B63F}"/>
    <cellStyle name="Header Draft Stamp" xfId="1062" xr:uid="{0B951FE5-619A-4A71-9408-E74696AA6F2F}"/>
    <cellStyle name="Header_7. Ass" xfId="1063" xr:uid="{9BFF873C-5629-41C3-B509-414BD9F64EDA}"/>
    <cellStyle name="Header1" xfId="1064" xr:uid="{95C99134-D51F-40B5-AEB4-B673149C03D8}"/>
    <cellStyle name="Header1 10" xfId="7876" xr:uid="{1D060A05-2E79-4A72-84B8-87F3B088D7F1}"/>
    <cellStyle name="Header1 10 2" xfId="7877" xr:uid="{365D84C7-DE68-4B33-AC3A-4F965D1FDBA8}"/>
    <cellStyle name="Header1 10 2 2" xfId="7878" xr:uid="{30A27ACE-8839-4EF9-A203-39CB36FF265D}"/>
    <cellStyle name="Header1 10 2 2 2" xfId="8988" xr:uid="{22053D59-B90D-4087-AD52-54A3A2C9C98F}"/>
    <cellStyle name="Header1 10 2 2 2 2" xfId="23538" xr:uid="{70E6A44D-6F11-4F0A-98F1-5EAE6E0070F2}"/>
    <cellStyle name="Header1 10 2 2 3" xfId="23360" xr:uid="{3DADE1DC-D5D5-4C5D-B297-32DCE5A483C3}"/>
    <cellStyle name="Header1 10 2 3" xfId="8987" xr:uid="{4ECF9692-B331-4E08-8D53-1B4196BD3257}"/>
    <cellStyle name="Header1 10 2 3 2" xfId="23537" xr:uid="{60AF705E-1140-4CB4-81CB-42B54FE054FD}"/>
    <cellStyle name="Header1 10 2 4" xfId="23359" xr:uid="{D70F33B5-5074-42CF-896C-DA7F4904B188}"/>
    <cellStyle name="Header1 10 3" xfId="8986" xr:uid="{30BAF3E2-72FC-4D27-B168-BEC8421F4807}"/>
    <cellStyle name="Header1 10 3 2" xfId="23536" xr:uid="{4E70109B-D883-4878-9FAD-AEC7AD9D6793}"/>
    <cellStyle name="Header1 10 4" xfId="23358" xr:uid="{D4137901-232C-4F16-8035-E0DAEBD865B2}"/>
    <cellStyle name="Header1 11" xfId="8985" xr:uid="{365ED06A-CAF1-491A-98DA-E424A79AF3E5}"/>
    <cellStyle name="Header1 11 2" xfId="23535" xr:uid="{3E1DECDD-733A-4263-A6E7-9B465F5BCC1E}"/>
    <cellStyle name="Header1 12" xfId="23357" xr:uid="{18220155-F420-43DD-B29A-C57235CC2DB8}"/>
    <cellStyle name="Header1 2" xfId="1065" xr:uid="{DF826F69-BC2E-450A-96C1-9C76E56A0502}"/>
    <cellStyle name="Header1 2 2" xfId="7880" xr:uid="{70E2134D-DB5C-4BB3-AD68-6E49B765D83D}"/>
    <cellStyle name="Header1 2 2 2" xfId="8990" xr:uid="{6C821F22-5184-49A9-AE6E-DF7F62B1AF04}"/>
    <cellStyle name="Header1 2 2 2 2" xfId="23540" xr:uid="{CFE206CE-7BD7-44CA-B259-AE94413709AF}"/>
    <cellStyle name="Header1 2 2 3" xfId="23362" xr:uid="{A3BAD1E3-43C2-49DD-8A74-5548B9A7D8A9}"/>
    <cellStyle name="Header1 2 3" xfId="7881" xr:uid="{3B54E711-E315-4D93-8646-2A873C981FD5}"/>
    <cellStyle name="Header1 2 3 2" xfId="8991" xr:uid="{183983B7-0015-4CF1-863E-EB596CFB2637}"/>
    <cellStyle name="Header1 2 3 2 2" xfId="23541" xr:uid="{6587A8B6-2ADE-477F-A047-91C9C7F7C33A}"/>
    <cellStyle name="Header1 2 3 3" xfId="23363" xr:uid="{9D77DA6C-64DF-44C0-B45F-9FCCB45B4421}"/>
    <cellStyle name="Header1 2 4" xfId="8989" xr:uid="{788389A4-AFB1-4FA9-8A9A-7B55BB761443}"/>
    <cellStyle name="Header1 2 4 2" xfId="23539" xr:uid="{460C71CF-4DD4-4973-B550-BD1174F52FA9}"/>
    <cellStyle name="Header1 2 5" xfId="23361" xr:uid="{18C59860-1ABD-4C0A-BBC1-35793DC84138}"/>
    <cellStyle name="Header1 2 6" xfId="7879" xr:uid="{694AFBD8-ECE6-4E2E-A3A5-508E2189E7CB}"/>
    <cellStyle name="Header1 3" xfId="7882" xr:uid="{430B1118-D758-41BA-842C-8669E913E51C}"/>
    <cellStyle name="Header1 3 2" xfId="7883" xr:uid="{559762D5-7645-4E30-B39D-2FFE8F5EF9CB}"/>
    <cellStyle name="Header1 3 2 2" xfId="8993" xr:uid="{F7E57934-F866-4321-8555-E747B1A90E63}"/>
    <cellStyle name="Header1 3 2 2 2" xfId="23543" xr:uid="{799B307A-9748-4596-936D-8E8B62AEB01C}"/>
    <cellStyle name="Header1 3 2 3" xfId="23365" xr:uid="{807FB2B5-997D-48A8-ABC8-D097070EC398}"/>
    <cellStyle name="Header1 3 3" xfId="7884" xr:uid="{357B8153-7016-48D5-803E-D4579E6C7C31}"/>
    <cellStyle name="Header1 3 3 2" xfId="8994" xr:uid="{1FCA71FF-E87C-44E4-97FE-689E8ADFD8D1}"/>
    <cellStyle name="Header1 3 3 2 2" xfId="23544" xr:uid="{D26A02C5-002D-4B98-B13E-4067545C852E}"/>
    <cellStyle name="Header1 3 3 3" xfId="23366" xr:uid="{D6CF651F-F3BC-4D6D-B526-334BB851EAA5}"/>
    <cellStyle name="Header1 3 4" xfId="8992" xr:uid="{83204981-CC7E-4916-B426-EE73A1E36973}"/>
    <cellStyle name="Header1 3 4 2" xfId="23542" xr:uid="{C10E73CD-10A8-4039-AB47-F4E061708D86}"/>
    <cellStyle name="Header1 3 5" xfId="23364" xr:uid="{2D4321C0-D0A5-4A62-A8C5-F1C01563DBDD}"/>
    <cellStyle name="Header1 4" xfId="7885" xr:uid="{9374C618-A670-4123-8311-6858225E66FA}"/>
    <cellStyle name="Header1 4 2" xfId="7886" xr:uid="{2ED74BD0-980E-4A13-87FF-49F99C1E20D3}"/>
    <cellStyle name="Header1 4 2 2" xfId="8996" xr:uid="{F225BF00-5B86-4F4E-8F0F-A3DE4074A880}"/>
    <cellStyle name="Header1 4 2 2 2" xfId="23546" xr:uid="{144AF679-1A08-4989-A805-CAADD43313C8}"/>
    <cellStyle name="Header1 4 2 3" xfId="23368" xr:uid="{D10DE16D-7F9B-4BB6-A2EF-A756B61D8253}"/>
    <cellStyle name="Header1 4 3" xfId="7887" xr:uid="{DCCC8DB8-1716-48CC-9E31-4B3D61320E1B}"/>
    <cellStyle name="Header1 4 3 2" xfId="8997" xr:uid="{276FA892-3F77-4F0B-99E2-8539DC51CE89}"/>
    <cellStyle name="Header1 4 3 2 2" xfId="23547" xr:uid="{8779741B-4FEF-4369-9A58-DFC69B260AEC}"/>
    <cellStyle name="Header1 4 3 3" xfId="23369" xr:uid="{1348797A-BCFE-4DA7-B20D-8BDBB28B72B8}"/>
    <cellStyle name="Header1 4 4" xfId="8995" xr:uid="{E5B3D4DF-5855-4A76-90B5-44CAFD0C461F}"/>
    <cellStyle name="Header1 4 4 2" xfId="23545" xr:uid="{1C2C97ED-BB90-48DC-A7E0-60BD11AE85C6}"/>
    <cellStyle name="Header1 4 5" xfId="23367" xr:uid="{972D3C35-5B9C-4228-9FAB-82CB8D06A9F8}"/>
    <cellStyle name="Header1 5" xfId="7888" xr:uid="{6226EE8D-15EB-4CF6-98A8-99E8231B2065}"/>
    <cellStyle name="Header1 5 2" xfId="7889" xr:uid="{3C458F08-9AB4-455D-9330-858BF2F1EA67}"/>
    <cellStyle name="Header1 5 2 2" xfId="8999" xr:uid="{5C09C42C-CD6C-44AB-840E-905C7A86E583}"/>
    <cellStyle name="Header1 5 2 2 2" xfId="23549" xr:uid="{EC9B25A1-01BC-4F10-B8EB-6463515B8E99}"/>
    <cellStyle name="Header1 5 2 3" xfId="23371" xr:uid="{E24FB43F-0E35-4877-A3D7-97B192DA19D2}"/>
    <cellStyle name="Header1 5 3" xfId="7890" xr:uid="{7E4B1AAF-E00C-4301-90BE-8D31E3D83C20}"/>
    <cellStyle name="Header1 5 3 2" xfId="9000" xr:uid="{81EF48E1-77AB-4FB1-9E77-33AFDD872F94}"/>
    <cellStyle name="Header1 5 3 2 2" xfId="23550" xr:uid="{5DECFE8B-3C06-4313-B22A-A8E9C192FC31}"/>
    <cellStyle name="Header1 5 3 3" xfId="23372" xr:uid="{A6A25B22-BDEA-4D6D-B517-BE5FA8CC9AB3}"/>
    <cellStyle name="Header1 5 4" xfId="8998" xr:uid="{B88BE009-1B4B-47B6-AD83-823D33F3F8CF}"/>
    <cellStyle name="Header1 5 4 2" xfId="23548" xr:uid="{47C4C2B3-16E1-4AA3-82A0-C58B06945DA2}"/>
    <cellStyle name="Header1 5 5" xfId="23370" xr:uid="{EE9D1C01-9536-4048-A03D-9EB858848B98}"/>
    <cellStyle name="Header1 6" xfId="7891" xr:uid="{A9B52C9E-793B-4087-98A5-652AA1F88131}"/>
    <cellStyle name="Header1 6 2" xfId="7892" xr:uid="{93537211-403F-4700-AC55-2BDFCCF43ABC}"/>
    <cellStyle name="Header1 6 2 2" xfId="9002" xr:uid="{B13FEDDF-2DFC-44E8-90CC-3A598418A755}"/>
    <cellStyle name="Header1 6 2 2 2" xfId="23552" xr:uid="{E3EBE1C0-F588-47F3-B703-9AB4F6B07824}"/>
    <cellStyle name="Header1 6 2 3" xfId="23374" xr:uid="{E3385AC9-3B85-4242-95B0-1A0D068F5267}"/>
    <cellStyle name="Header1 6 3" xfId="7893" xr:uid="{6041DFEF-4025-4981-8970-EB1C4E3EF2EC}"/>
    <cellStyle name="Header1 6 3 2" xfId="9003" xr:uid="{ED836907-6EA0-4B29-8044-66049AC7C47A}"/>
    <cellStyle name="Header1 6 3 2 2" xfId="23553" xr:uid="{45DFBA72-2E92-4707-A5D2-496FDA686CA7}"/>
    <cellStyle name="Header1 6 3 3" xfId="23375" xr:uid="{3D787258-C58D-47BB-93A1-A804CBF2CE4B}"/>
    <cellStyle name="Header1 6 4" xfId="9001" xr:uid="{A2F130A3-3100-4274-AA6E-0B3D5D7ED92F}"/>
    <cellStyle name="Header1 6 4 2" xfId="23551" xr:uid="{21599429-E5B5-473B-A3AA-2E9C3EDEADBB}"/>
    <cellStyle name="Header1 6 5" xfId="23373" xr:uid="{4C041AB3-0FCC-452A-BE55-C4AE5B0128C9}"/>
    <cellStyle name="Header1 7" xfId="7894" xr:uid="{CC6192C1-4508-46D2-8DC7-09B023914817}"/>
    <cellStyle name="Header1 7 2" xfId="7895" xr:uid="{2849666D-DED8-43E4-A33F-8CE0EC93C03F}"/>
    <cellStyle name="Header1 7 2 2" xfId="9005" xr:uid="{CBCE0DFA-0FE3-464E-B9A6-3FC951D6F9B8}"/>
    <cellStyle name="Header1 7 2 2 2" xfId="23555" xr:uid="{426BEDA7-4FCD-4FC6-8FFA-C95B7D4453EF}"/>
    <cellStyle name="Header1 7 2 3" xfId="23377" xr:uid="{B37187A8-AE92-4C55-AA0C-74C9357263B1}"/>
    <cellStyle name="Header1 7 3" xfId="7896" xr:uid="{7C2D69E5-F9CF-4A40-9937-1E2EDD3E0BD1}"/>
    <cellStyle name="Header1 7 3 2" xfId="9006" xr:uid="{6F5B9FD9-DC23-4434-8DFE-7EA103C8005E}"/>
    <cellStyle name="Header1 7 3 2 2" xfId="23556" xr:uid="{DF1FD158-85E6-4087-A17B-EBF350749980}"/>
    <cellStyle name="Header1 7 3 3" xfId="23378" xr:uid="{4396BAB7-7475-492F-97C6-3B2826A098E7}"/>
    <cellStyle name="Header1 7 4" xfId="9004" xr:uid="{8FBEB96B-3BF1-443A-B332-391B5BEECFDC}"/>
    <cellStyle name="Header1 7 4 2" xfId="23554" xr:uid="{C4A6F355-AB2D-4603-910D-9C749BCE6161}"/>
    <cellStyle name="Header1 7 5" xfId="23376" xr:uid="{7E530E14-360E-49EC-895F-B6FE691D0A0C}"/>
    <cellStyle name="Header1 8" xfId="7897" xr:uid="{744DCBFF-2FF7-49EA-BA71-F406FD1F4E5F}"/>
    <cellStyle name="Header1 8 2" xfId="7898" xr:uid="{B53F7823-AF25-42C2-BF9B-61D38B30A581}"/>
    <cellStyle name="Header1 8 2 2" xfId="9008" xr:uid="{AC96E1E7-EA7A-46A8-9165-E59D1C176102}"/>
    <cellStyle name="Header1 8 2 2 2" xfId="23558" xr:uid="{BD86E6AB-3446-4F02-A1A7-95294E5B21DE}"/>
    <cellStyle name="Header1 8 2 3" xfId="23380" xr:uid="{F9A8178A-9611-4A17-8851-D29204AE57DC}"/>
    <cellStyle name="Header1 8 3" xfId="7899" xr:uid="{7F849519-CAB1-44F4-BD27-0AB581952684}"/>
    <cellStyle name="Header1 8 3 2" xfId="9009" xr:uid="{C3FE72E5-4A83-4A3F-9E23-9B2A4654747C}"/>
    <cellStyle name="Header1 8 3 2 2" xfId="23559" xr:uid="{B54B6111-8945-409D-B813-72FCA56FB6D7}"/>
    <cellStyle name="Header1 8 3 3" xfId="23381" xr:uid="{6FBA2FAF-6C16-4D3D-AB8B-8897E63F8E26}"/>
    <cellStyle name="Header1 8 4" xfId="9007" xr:uid="{477F5A65-CCAA-4E15-A93F-7B6AAD5A1F44}"/>
    <cellStyle name="Header1 8 4 2" xfId="23557" xr:uid="{98B3831E-D253-4F67-91AC-ECABFE20A2A9}"/>
    <cellStyle name="Header1 8 5" xfId="23379" xr:uid="{77D3998B-CE80-45CE-9F24-C14405F8ED74}"/>
    <cellStyle name="Header1 9" xfId="7900" xr:uid="{CAFEB163-DB1A-4D54-81B7-85BEA8399F83}"/>
    <cellStyle name="Header1 9 2" xfId="7901" xr:uid="{605797F3-7B95-475A-9018-A48824B96241}"/>
    <cellStyle name="Header1 9 2 2" xfId="9011" xr:uid="{DF9C6FCA-C92B-43DF-B86A-AA47C6D0C5CD}"/>
    <cellStyle name="Header1 9 2 2 2" xfId="23561" xr:uid="{99B47C5F-F3FF-49D8-8817-E25474200874}"/>
    <cellStyle name="Header1 9 2 3" xfId="23383" xr:uid="{B417332E-6589-47A9-8BFF-518617A2A4BD}"/>
    <cellStyle name="Header1 9 3" xfId="7902" xr:uid="{180525AB-4E45-4A7F-AF45-0149E63FDCF6}"/>
    <cellStyle name="Header1 9 3 2" xfId="9012" xr:uid="{D55F44C4-5BD1-4BDE-8738-1D4ED66CFE32}"/>
    <cellStyle name="Header1 9 3 2 2" xfId="23562" xr:uid="{E4B69CB8-D999-4C52-9F2D-9FBF3AE29DCA}"/>
    <cellStyle name="Header1 9 3 3" xfId="23384" xr:uid="{3B2C181C-B284-4EBA-93B2-7E5BA4DD10E0}"/>
    <cellStyle name="Header1 9 4" xfId="9010" xr:uid="{04E2980A-1483-4C5D-98E8-C217AC4D6534}"/>
    <cellStyle name="Header1 9 4 2" xfId="23560" xr:uid="{EEE17415-E83B-4AB9-8CBA-11D4D621B998}"/>
    <cellStyle name="Header1 9 5" xfId="23382" xr:uid="{700E5720-68E2-476A-9555-090D41C08E3C}"/>
    <cellStyle name="Header1_6. Ass-Fin" xfId="1066" xr:uid="{7C3EFE75-E7D7-497E-A019-83902FCBB876}"/>
    <cellStyle name="Header2" xfId="1067" xr:uid="{3CFB3550-4097-4BFE-BDCE-F3A671FE5547}"/>
    <cellStyle name="Header2 10" xfId="7903" xr:uid="{E50422C2-45AF-4E09-959D-92B693F22B9C}"/>
    <cellStyle name="Header2 10 2" xfId="7904" xr:uid="{5347B891-D3C6-48BE-86C6-953EF0DF7595}"/>
    <cellStyle name="Header2 10 2 2" xfId="7905" xr:uid="{DD42E5E3-D7D0-4841-8363-F3DAF15F186F}"/>
    <cellStyle name="Header2 10 2 2 2" xfId="12339" xr:uid="{668CDA50-94E7-407D-A7DA-F1153E092B6C}"/>
    <cellStyle name="Header2 10 2 2 2 2" xfId="21385" xr:uid="{14C153DB-F817-4DBB-A582-958AF3B0754D}"/>
    <cellStyle name="Header2 10 2 2 2 3" xfId="23586" xr:uid="{67CAB966-22E2-46BE-9BF6-164653ED9D86}"/>
    <cellStyle name="Header2 10 2 2 3" xfId="14376" xr:uid="{BFC958F2-A60D-4D43-BC60-78983B2084C2}"/>
    <cellStyle name="Header2 10 2 2 4" xfId="17917" xr:uid="{53146F1E-B72A-441E-9CD3-8810D7B1D842}"/>
    <cellStyle name="Header2 10 2 2 5" xfId="23388" xr:uid="{94E092FA-DF4D-42DC-A771-891656E258A9}"/>
    <cellStyle name="Header2 10 2 3" xfId="12338" xr:uid="{5983BF91-50FF-47EE-9D40-BA54DB1E04DD}"/>
    <cellStyle name="Header2 10 2 3 2" xfId="21384" xr:uid="{415CFB60-7833-4822-AB34-52AA7A846804}"/>
    <cellStyle name="Header2 10 2 3 3" xfId="23585" xr:uid="{46787423-D8C3-4A2A-9EA1-3290B52EBB83}"/>
    <cellStyle name="Header2 10 2 4" xfId="14375" xr:uid="{E623BB8F-9822-4E3E-8480-1F140DDAD1DB}"/>
    <cellStyle name="Header2 10 2 5" xfId="17916" xr:uid="{66A22479-5720-40EA-B89A-C5EC59B2F327}"/>
    <cellStyle name="Header2 10 2 6" xfId="23387" xr:uid="{95DAAD77-D45D-4639-B2DF-6FB6CCC03E25}"/>
    <cellStyle name="Header2 10 3" xfId="12337" xr:uid="{7D3EF513-775A-4464-8D40-EE9FFD8F11DF}"/>
    <cellStyle name="Header2 10 3 2" xfId="21383" xr:uid="{8D1281E1-8A4A-4DC8-BC58-BC6B25181614}"/>
    <cellStyle name="Header2 10 3 3" xfId="23584" xr:uid="{61FEB261-AF50-4D55-96F3-0116A88A6EDD}"/>
    <cellStyle name="Header2 10 4" xfId="14374" xr:uid="{73B5300D-7EB5-4650-89B1-4395CD12450C}"/>
    <cellStyle name="Header2 10 5" xfId="17915" xr:uid="{0D71E209-126C-48A4-958E-EBDD339CB728}"/>
    <cellStyle name="Header2 10 6" xfId="23386" xr:uid="{DBC33426-2A63-403C-B17C-EDD231C7F32A}"/>
    <cellStyle name="Header2 11" xfId="12336" xr:uid="{1FB00218-EF76-4A91-B625-3A3479AFACAE}"/>
    <cellStyle name="Header2 11 2" xfId="21382" xr:uid="{834B94F2-C02D-4798-B4B4-34078753C70F}"/>
    <cellStyle name="Header2 11 3" xfId="23583" xr:uid="{DE6FEB3F-830E-424C-B1E3-FA7EEAC5738F}"/>
    <cellStyle name="Header2 12" xfId="14373" xr:uid="{15060B1F-C489-45E0-8371-02DF6D0C820E}"/>
    <cellStyle name="Header2 13" xfId="17914" xr:uid="{21743CE0-9CFF-4BEB-9ACE-8988201FFDE8}"/>
    <cellStyle name="Header2 14" xfId="23385" xr:uid="{CBBEA4C3-D026-4883-AB12-9DDD73C4C6E9}"/>
    <cellStyle name="Header2 2" xfId="1068" xr:uid="{117384D6-B753-497B-80BE-00E0B4B5AF9E}"/>
    <cellStyle name="Header2 2 2" xfId="2786" xr:uid="{D0D2B882-0474-4150-9EAB-402FF306606B}"/>
    <cellStyle name="Header2 2 2 2" xfId="12341" xr:uid="{AE355B2D-4DD3-466A-813D-A251BD59D10C}"/>
    <cellStyle name="Header2 2 2 2 2" xfId="21387" xr:uid="{51F35A2F-E83C-4B1D-9B85-CC75248B9749}"/>
    <cellStyle name="Header2 2 2 2 3" xfId="23588" xr:uid="{550A7C9F-EEBB-423A-B9DD-255602DC6C3B}"/>
    <cellStyle name="Header2 2 2 3" xfId="14378" xr:uid="{5B791BF1-9B1B-4CDF-BBCC-2825F672D60C}"/>
    <cellStyle name="Header2 2 2 4" xfId="17919" xr:uid="{0E303CA2-631C-43A1-B943-90F976FC130D}"/>
    <cellStyle name="Header2 2 2 5" xfId="23390" xr:uid="{649EEBCC-7001-4010-99E9-7A172FA9C038}"/>
    <cellStyle name="Header2 2 2 6" xfId="7907" xr:uid="{2421EB41-F1F7-4EAB-972D-2377643C9DD8}"/>
    <cellStyle name="Header2 2 3" xfId="2838" xr:uid="{173A32B6-7BA9-4EE5-9909-A0CA73716C5A}"/>
    <cellStyle name="Header2 2 3 2" xfId="12342" xr:uid="{CB800491-73BC-44AD-90BC-CAA8F285D982}"/>
    <cellStyle name="Header2 2 3 2 2" xfId="21388" xr:uid="{A471131F-330C-4438-9E36-9E95A4C03FE2}"/>
    <cellStyle name="Header2 2 3 2 3" xfId="23589" xr:uid="{8CD1604C-BBAE-4ABC-81F9-2B0EBEF59FF8}"/>
    <cellStyle name="Header2 2 3 3" xfId="14379" xr:uid="{3ADC5629-63A7-4B03-8062-AD2E7F694464}"/>
    <cellStyle name="Header2 2 3 4" xfId="17920" xr:uid="{1EF86F6F-F5C1-4152-B539-EBE27A66B899}"/>
    <cellStyle name="Header2 2 3 5" xfId="23391" xr:uid="{EC5D67BC-6D4C-4BC9-9104-9FC22F429F19}"/>
    <cellStyle name="Header2 2 3 6" xfId="7908" xr:uid="{AA45C5E5-E196-46A2-AE34-DB8B04F76D1A}"/>
    <cellStyle name="Header2 2 4" xfId="12340" xr:uid="{C0C62E64-682D-49BF-A856-D4EB36972540}"/>
    <cellStyle name="Header2 2 4 2" xfId="21386" xr:uid="{37730382-466E-4BE8-9541-B43443BE9C64}"/>
    <cellStyle name="Header2 2 4 3" xfId="23587" xr:uid="{9BE85A86-7A39-4B61-85D1-BD6A6E695214}"/>
    <cellStyle name="Header2 2 5" xfId="14377" xr:uid="{C2454952-8C13-4B84-89B7-5B44F6BFA995}"/>
    <cellStyle name="Header2 2 6" xfId="17918" xr:uid="{25D73CA9-85F4-4BDF-A9DF-AC7A501493B7}"/>
    <cellStyle name="Header2 2 7" xfId="23389" xr:uid="{DDA73249-CCA8-4FEB-9DA8-AA52ECDD258D}"/>
    <cellStyle name="Header2 2 8" xfId="7906" xr:uid="{54A5DDB1-FAC9-4626-A328-DFBB053A7CB2}"/>
    <cellStyle name="Header2 3" xfId="2787" xr:uid="{6EB4073F-1958-4380-80BB-3C41E1EE243F}"/>
    <cellStyle name="Header2 3 2" xfId="7910" xr:uid="{8E98EEE5-CD3A-485B-A877-D38EEF63C6FF}"/>
    <cellStyle name="Header2 3 2 2" xfId="12344" xr:uid="{0DF4F0AB-F42D-4D56-BA53-1CD84B95C114}"/>
    <cellStyle name="Header2 3 2 2 2" xfId="21390" xr:uid="{685EE726-CD88-4A2D-8310-CC5E75446847}"/>
    <cellStyle name="Header2 3 2 2 3" xfId="23591" xr:uid="{AA5649CF-D4C1-4FF0-80D0-985E2843E253}"/>
    <cellStyle name="Header2 3 2 3" xfId="14381" xr:uid="{E3D0BC4A-1B8A-4DB8-AEF4-BF207A258E97}"/>
    <cellStyle name="Header2 3 2 4" xfId="17922" xr:uid="{B3D70509-C2DE-4D8F-8CF3-BB78FE67AA94}"/>
    <cellStyle name="Header2 3 2 5" xfId="23393" xr:uid="{1B401A93-4AF0-41C6-8383-C2BAFF8DCB8F}"/>
    <cellStyle name="Header2 3 3" xfId="7911" xr:uid="{880B9539-78EE-4848-A5B5-BE32DAF6F991}"/>
    <cellStyle name="Header2 3 3 2" xfId="12345" xr:uid="{E774A069-4742-4316-8F19-8293D066A887}"/>
    <cellStyle name="Header2 3 3 2 2" xfId="21391" xr:uid="{4976C17C-2FCC-4A1F-8C0B-8056C05DB22A}"/>
    <cellStyle name="Header2 3 3 2 3" xfId="23592" xr:uid="{FE0E506C-0BC1-45EB-94DC-22D078EFB8CA}"/>
    <cellStyle name="Header2 3 3 3" xfId="14382" xr:uid="{9792DD15-FF49-46A6-924C-889A42294CA6}"/>
    <cellStyle name="Header2 3 3 4" xfId="17923" xr:uid="{10BFF746-AC46-45D1-A23A-25FA292A3A25}"/>
    <cellStyle name="Header2 3 3 5" xfId="23394" xr:uid="{57F09CB2-2D4D-41EC-A708-3E335BD852CA}"/>
    <cellStyle name="Header2 3 4" xfId="12343" xr:uid="{B19272A0-9DC2-4EBD-8500-0F484B965275}"/>
    <cellStyle name="Header2 3 4 2" xfId="21389" xr:uid="{D6E5C140-01CC-4384-B590-C68448442A5B}"/>
    <cellStyle name="Header2 3 4 3" xfId="23590" xr:uid="{E99E6DE4-5A3F-4E9E-B788-E7DBB52134BC}"/>
    <cellStyle name="Header2 3 5" xfId="14380" xr:uid="{2CCE13B1-7EF8-4C1B-B68D-8E8964003E20}"/>
    <cellStyle name="Header2 3 6" xfId="17921" xr:uid="{F977245F-4ADC-456B-A7E5-BF5009C604E0}"/>
    <cellStyle name="Header2 3 7" xfId="23392" xr:uid="{314F47CB-5B8C-4DB3-BF78-EA04A7DD9792}"/>
    <cellStyle name="Header2 3 8" xfId="7909" xr:uid="{5EEDF901-5051-4122-9BD2-9944D7E67679}"/>
    <cellStyle name="Header2 4" xfId="2837" xr:uid="{8DF4649A-93C4-419F-952A-FD5595548960}"/>
    <cellStyle name="Header2 4 2" xfId="7913" xr:uid="{A64F3ADD-8F08-47FB-B8AB-A03084105716}"/>
    <cellStyle name="Header2 4 2 2" xfId="12347" xr:uid="{EA6EDFA4-BE04-4DC0-AEBC-3561CCDC335D}"/>
    <cellStyle name="Header2 4 2 2 2" xfId="21393" xr:uid="{6BDF4507-1EDF-4C2A-A0A6-D7880FC23929}"/>
    <cellStyle name="Header2 4 2 2 3" xfId="23594" xr:uid="{35B41DEC-4D39-471B-B4A1-1D156C1FC864}"/>
    <cellStyle name="Header2 4 2 3" xfId="14384" xr:uid="{91FA4BD5-0D6B-4E39-8696-62EFB751FA36}"/>
    <cellStyle name="Header2 4 2 4" xfId="17925" xr:uid="{B055E299-73DE-4406-B58B-A9E24958538A}"/>
    <cellStyle name="Header2 4 2 5" xfId="23396" xr:uid="{0883E040-2329-4244-A103-A642E2807139}"/>
    <cellStyle name="Header2 4 3" xfId="7914" xr:uid="{ED92915A-84E8-4766-821D-0731C512E1B2}"/>
    <cellStyle name="Header2 4 3 2" xfId="12348" xr:uid="{F09B1078-4238-408E-9525-4BD63A68C1C4}"/>
    <cellStyle name="Header2 4 3 2 2" xfId="21394" xr:uid="{F10E9B02-4F20-45FE-ACD1-ACF855864838}"/>
    <cellStyle name="Header2 4 3 2 3" xfId="23595" xr:uid="{AE98694F-C548-4756-92B7-03043D24FA64}"/>
    <cellStyle name="Header2 4 3 3" xfId="14385" xr:uid="{7FE9C76A-D870-4B6D-916A-140EAA36F5C1}"/>
    <cellStyle name="Header2 4 3 4" xfId="17926" xr:uid="{48786652-559A-48BF-8C78-66B8DC75B05F}"/>
    <cellStyle name="Header2 4 3 5" xfId="23397" xr:uid="{A7D7FAAB-1C02-44EC-B5F4-EB56B1907EFD}"/>
    <cellStyle name="Header2 4 4" xfId="12346" xr:uid="{F87D0F46-E9CC-4C88-A110-8328B45F5799}"/>
    <cellStyle name="Header2 4 4 2" xfId="21392" xr:uid="{828017E5-AFF9-450A-9624-1A90111D1BDB}"/>
    <cellStyle name="Header2 4 4 3" xfId="23593" xr:uid="{33EE0DB5-9DB8-44C3-9E7D-BA5DAC54C645}"/>
    <cellStyle name="Header2 4 5" xfId="14383" xr:uid="{D4845766-BCA2-409B-80CD-B4BFB5EE76F8}"/>
    <cellStyle name="Header2 4 6" xfId="17924" xr:uid="{12AF6780-89F2-4B9F-9E68-ACECE4B4906E}"/>
    <cellStyle name="Header2 4 7" xfId="23395" xr:uid="{B0484904-C72D-494A-99A2-1CAF9A658233}"/>
    <cellStyle name="Header2 4 8" xfId="7912" xr:uid="{AD1D0A37-8380-4ABF-932F-3802A3C8070E}"/>
    <cellStyle name="Header2 5" xfId="7915" xr:uid="{399F1944-AD2A-42BA-B5D5-82FBF5411DF9}"/>
    <cellStyle name="Header2 5 2" xfId="7916" xr:uid="{2CE9486C-4F1E-4CB9-A9F1-7BEFA00D8202}"/>
    <cellStyle name="Header2 5 2 2" xfId="12350" xr:uid="{0223768A-46D5-4926-8394-0C68F49CAB5F}"/>
    <cellStyle name="Header2 5 2 2 2" xfId="21396" xr:uid="{D3531EA1-4544-45DD-9D9A-95AF89BD4F3C}"/>
    <cellStyle name="Header2 5 2 2 3" xfId="23597" xr:uid="{17D2D4C1-618D-458E-9D44-C1C10C9C464F}"/>
    <cellStyle name="Header2 5 2 3" xfId="14387" xr:uid="{2E7379BA-7A9E-40E5-8BA4-6B33D6574250}"/>
    <cellStyle name="Header2 5 2 4" xfId="17928" xr:uid="{A72FC518-ECFA-4A32-B543-2C6EED3435B6}"/>
    <cellStyle name="Header2 5 2 5" xfId="23399" xr:uid="{978A61C8-F7C5-43D4-9DF3-88622ABE3DC0}"/>
    <cellStyle name="Header2 5 3" xfId="7917" xr:uid="{1A1C2DB3-5E9F-408F-8BBF-4D990C14C070}"/>
    <cellStyle name="Header2 5 3 2" xfId="12351" xr:uid="{7827B181-4414-464D-8A66-75D8ECAD8C41}"/>
    <cellStyle name="Header2 5 3 2 2" xfId="21397" xr:uid="{16A8AB47-44BE-458A-A211-F8DF34EC8373}"/>
    <cellStyle name="Header2 5 3 2 3" xfId="23598" xr:uid="{03301518-B63C-4786-B6EE-5F06926E06CF}"/>
    <cellStyle name="Header2 5 3 3" xfId="14388" xr:uid="{5594D3CF-1A78-4229-8C0B-E6369A6E3F66}"/>
    <cellStyle name="Header2 5 3 4" xfId="17929" xr:uid="{5C5C4971-77F8-4A14-BE5A-2678DD4127B7}"/>
    <cellStyle name="Header2 5 3 5" xfId="23400" xr:uid="{3F1CEACD-6BF7-494D-ADCE-8C6D0C74D8A0}"/>
    <cellStyle name="Header2 5 4" xfId="12349" xr:uid="{346BB1CB-8DFF-40B8-9F99-AD24DC6ECBE2}"/>
    <cellStyle name="Header2 5 4 2" xfId="21395" xr:uid="{DC05BF02-35F8-45C0-A4E7-495A05C2E0D5}"/>
    <cellStyle name="Header2 5 4 3" xfId="23596" xr:uid="{F5535303-BDEB-4754-84D2-56B1BC6C861A}"/>
    <cellStyle name="Header2 5 5" xfId="14386" xr:uid="{BEA4A397-8313-43A8-A7D4-521361C32A24}"/>
    <cellStyle name="Header2 5 6" xfId="17927" xr:uid="{FDA8DD11-8086-4DD5-B88D-253D9080CB36}"/>
    <cellStyle name="Header2 5 7" xfId="23398" xr:uid="{D7F9CDE9-C8AE-4479-BD8E-81A982ACA702}"/>
    <cellStyle name="Header2 6" xfId="7918" xr:uid="{C487418F-F9B1-48C4-BD38-75BEBAEFF286}"/>
    <cellStyle name="Header2 6 2" xfId="7919" xr:uid="{7BA83AB7-631F-4DB4-884A-3D9D770BBF66}"/>
    <cellStyle name="Header2 6 2 2" xfId="12353" xr:uid="{C442CC02-5945-4567-99B4-114AF18D85AE}"/>
    <cellStyle name="Header2 6 2 2 2" xfId="21399" xr:uid="{D58840AB-85B4-4554-98A4-4317DC5C562B}"/>
    <cellStyle name="Header2 6 2 2 3" xfId="23600" xr:uid="{663FDA16-DEF4-4C56-B210-3CA3BE856C9B}"/>
    <cellStyle name="Header2 6 2 3" xfId="14390" xr:uid="{8B09B6AB-8286-4857-BA03-C9CE2B13FBD2}"/>
    <cellStyle name="Header2 6 2 4" xfId="17931" xr:uid="{AC6592FE-3CEA-4AE7-8DD2-DE58BA754B28}"/>
    <cellStyle name="Header2 6 2 5" xfId="23402" xr:uid="{8F42175A-82C1-43E3-B962-5AF195D83E6C}"/>
    <cellStyle name="Header2 6 3" xfId="7920" xr:uid="{53B0D19E-B20D-4670-A2A5-793A19178703}"/>
    <cellStyle name="Header2 6 3 2" xfId="12354" xr:uid="{1EE2469C-3580-46FB-AE28-764C732E3738}"/>
    <cellStyle name="Header2 6 3 2 2" xfId="21400" xr:uid="{070AD2F1-F1DE-4D4E-ADFC-ADC54C57BCE3}"/>
    <cellStyle name="Header2 6 3 2 3" xfId="23601" xr:uid="{E6297A8F-7037-47FA-83BA-AB19033A53AE}"/>
    <cellStyle name="Header2 6 3 3" xfId="14391" xr:uid="{824DB821-3E14-4B18-BCED-AAF8BE91984C}"/>
    <cellStyle name="Header2 6 3 4" xfId="17932" xr:uid="{820C767F-427C-42B7-B65F-58F7FE63677B}"/>
    <cellStyle name="Header2 6 3 5" xfId="23403" xr:uid="{EE25D338-F0B0-45A4-A95E-8D3578B904F5}"/>
    <cellStyle name="Header2 6 4" xfId="12352" xr:uid="{3D4F441B-7F6D-4BF2-A550-89DCA1BC1C9C}"/>
    <cellStyle name="Header2 6 4 2" xfId="21398" xr:uid="{D5D22A79-9E10-4954-B52F-435D9E36A60B}"/>
    <cellStyle name="Header2 6 4 3" xfId="23599" xr:uid="{C5F12B7C-97A9-4DB8-86DD-AB37826922F3}"/>
    <cellStyle name="Header2 6 5" xfId="14389" xr:uid="{50294D2B-AE87-4E14-B760-D7435E53F469}"/>
    <cellStyle name="Header2 6 6" xfId="17930" xr:uid="{03776EF1-1399-4DA4-B1F2-98C87D3E6C4A}"/>
    <cellStyle name="Header2 6 7" xfId="23401" xr:uid="{2EB68463-2F3D-4C71-BC4C-54DAD384781D}"/>
    <cellStyle name="Header2 7" xfId="7921" xr:uid="{EB431319-1083-4408-B4F5-33DAFB0695D1}"/>
    <cellStyle name="Header2 7 2" xfId="7922" xr:uid="{9B54E9CF-7282-4FA2-B2DB-6ED2CBDBB61A}"/>
    <cellStyle name="Header2 7 2 2" xfId="12356" xr:uid="{4350DC48-2ACA-4BBF-A450-F4FB69D95E4C}"/>
    <cellStyle name="Header2 7 2 2 2" xfId="21402" xr:uid="{510B6F8E-4C5B-4281-B429-1F6D656981A5}"/>
    <cellStyle name="Header2 7 2 2 3" xfId="23603" xr:uid="{C86C1EF1-91E9-4F51-B5DD-7A8A102234D7}"/>
    <cellStyle name="Header2 7 2 3" xfId="14393" xr:uid="{90F282FF-98FC-4D6D-ADAF-4DC21F7A8E00}"/>
    <cellStyle name="Header2 7 2 4" xfId="17934" xr:uid="{4A1BB780-E459-4189-BC33-494ABE7CA4B3}"/>
    <cellStyle name="Header2 7 2 5" xfId="23405" xr:uid="{95A828FF-5519-4360-BDC1-3CE9AA86E1A9}"/>
    <cellStyle name="Header2 7 3" xfId="7923" xr:uid="{09251F6E-BDF9-4184-AC23-0249770CC6BF}"/>
    <cellStyle name="Header2 7 3 2" xfId="12357" xr:uid="{488C6469-78F9-41B2-90F8-5F4B2144F9FE}"/>
    <cellStyle name="Header2 7 3 2 2" xfId="21403" xr:uid="{269DB8D8-30A3-4148-B52E-2A994E48EC32}"/>
    <cellStyle name="Header2 7 3 2 3" xfId="23604" xr:uid="{3BA5BDE0-3E02-4C5D-9275-6660B3792B93}"/>
    <cellStyle name="Header2 7 3 3" xfId="14394" xr:uid="{50A97E0F-9FEC-414B-88F3-AA04AA0E8520}"/>
    <cellStyle name="Header2 7 3 4" xfId="17935" xr:uid="{D252E170-71EB-41BD-911D-D7B11B12477E}"/>
    <cellStyle name="Header2 7 3 5" xfId="23406" xr:uid="{3003DA21-40F7-4B5F-BA9A-ED9FB5164D3B}"/>
    <cellStyle name="Header2 7 4" xfId="12355" xr:uid="{0279C4F1-F389-4C4A-8BF4-78D447E5677A}"/>
    <cellStyle name="Header2 7 4 2" xfId="21401" xr:uid="{33E04573-3E1B-4994-B1D6-8F831415253D}"/>
    <cellStyle name="Header2 7 4 3" xfId="23602" xr:uid="{078A85AF-A305-433C-9DC5-7B14C984E478}"/>
    <cellStyle name="Header2 7 5" xfId="14392" xr:uid="{9AC16035-D922-419F-A534-48B0A1FECCA4}"/>
    <cellStyle name="Header2 7 6" xfId="17933" xr:uid="{5EC0D725-065E-49AA-BD87-6D714275C5AE}"/>
    <cellStyle name="Header2 7 7" xfId="23404" xr:uid="{5803350E-FD36-4DA0-92CA-C8A03328FD5F}"/>
    <cellStyle name="Header2 8" xfId="7924" xr:uid="{074F30B5-D488-41B5-A630-8A7AA7695CE5}"/>
    <cellStyle name="Header2 8 2" xfId="7925" xr:uid="{C5A768EF-74CA-4C79-9448-9AD355E34968}"/>
    <cellStyle name="Header2 8 2 2" xfId="12359" xr:uid="{9A170628-B1A3-4F67-854B-06DF4F33BC75}"/>
    <cellStyle name="Header2 8 2 2 2" xfId="21405" xr:uid="{C4D7714D-830A-433A-8256-280E2FFF4A05}"/>
    <cellStyle name="Header2 8 2 2 3" xfId="23606" xr:uid="{BADD0790-9A10-4749-A1ED-80B49E3C034C}"/>
    <cellStyle name="Header2 8 2 3" xfId="14396" xr:uid="{3DE506E3-ED55-4FF4-95CC-BAA5BC718816}"/>
    <cellStyle name="Header2 8 2 4" xfId="17937" xr:uid="{154B2436-BFBD-42B9-A1E4-8101ED16AC2A}"/>
    <cellStyle name="Header2 8 2 5" xfId="23408" xr:uid="{64E15B14-354E-466D-BCB1-A0CAEBD628D1}"/>
    <cellStyle name="Header2 8 3" xfId="7926" xr:uid="{A06B3CD9-2A2F-4CC9-BA5F-72762A41010A}"/>
    <cellStyle name="Header2 8 3 2" xfId="12360" xr:uid="{A853F67D-B6F5-476C-B6BE-63144987642E}"/>
    <cellStyle name="Header2 8 3 2 2" xfId="21406" xr:uid="{17626350-7F24-49F8-9079-8BF5F97323FF}"/>
    <cellStyle name="Header2 8 3 2 3" xfId="23607" xr:uid="{7E435FFB-C120-4441-B007-D702BC8C73B9}"/>
    <cellStyle name="Header2 8 3 3" xfId="14397" xr:uid="{0C88BD77-8999-46A4-9F30-EAD735D0E000}"/>
    <cellStyle name="Header2 8 3 4" xfId="17938" xr:uid="{4A21996D-D7F4-4603-B0BB-09249D2217F9}"/>
    <cellStyle name="Header2 8 3 5" xfId="23409" xr:uid="{45AD9FD7-4313-475B-875A-47A0A4AEE9C3}"/>
    <cellStyle name="Header2 8 4" xfId="12358" xr:uid="{BB884621-B9FB-4550-9899-74BBCCC54138}"/>
    <cellStyle name="Header2 8 4 2" xfId="21404" xr:uid="{217F429E-87B9-4475-A293-3A95819B1867}"/>
    <cellStyle name="Header2 8 4 3" xfId="23605" xr:uid="{5B913A3E-799B-4654-86D8-1F7D87649C42}"/>
    <cellStyle name="Header2 8 5" xfId="14395" xr:uid="{79383B77-ED90-486E-B1C6-A2CFD3E67586}"/>
    <cellStyle name="Header2 8 6" xfId="17936" xr:uid="{11339796-662E-4828-B9DB-F7EA3AB441A8}"/>
    <cellStyle name="Header2 8 7" xfId="23407" xr:uid="{3D282828-3F9B-4BBF-861E-70E6C60E1E18}"/>
    <cellStyle name="Header2 9" xfId="7927" xr:uid="{39077B50-F2CF-40D2-B158-F075020D6319}"/>
    <cellStyle name="Header2 9 2" xfId="7928" xr:uid="{5E1168B2-9DF3-4475-9AA8-0BAE31899657}"/>
    <cellStyle name="Header2 9 2 2" xfId="12362" xr:uid="{CC0D2459-9906-47AC-BFC1-D0AD16EA04B3}"/>
    <cellStyle name="Header2 9 2 2 2" xfId="21408" xr:uid="{A98179D3-1516-4B17-AB10-D737832D4BE7}"/>
    <cellStyle name="Header2 9 2 2 3" xfId="23609" xr:uid="{189AB0EE-0FF1-44A7-B6AF-BEAE3E6AC5ED}"/>
    <cellStyle name="Header2 9 2 3" xfId="14399" xr:uid="{669E7852-8EFA-4399-AC84-608FEE74AA65}"/>
    <cellStyle name="Header2 9 2 4" xfId="17940" xr:uid="{7F78ACA7-1213-4691-B197-AFAE58E22FAC}"/>
    <cellStyle name="Header2 9 2 5" xfId="23411" xr:uid="{3A46A882-9688-4DB9-9F82-8F824B7BDC97}"/>
    <cellStyle name="Header2 9 3" xfId="7929" xr:uid="{4CE31992-71C4-489F-A456-91136872CE3B}"/>
    <cellStyle name="Header2 9 3 2" xfId="12363" xr:uid="{845C6B3A-430A-4830-9D38-246116B93D52}"/>
    <cellStyle name="Header2 9 3 2 2" xfId="21409" xr:uid="{CB2FDD35-5E5E-4BAE-AF81-6F60A988B39D}"/>
    <cellStyle name="Header2 9 3 2 3" xfId="23610" xr:uid="{3C626B1D-68DA-441D-BBE2-7AA2F1E1B5AC}"/>
    <cellStyle name="Header2 9 3 3" xfId="14400" xr:uid="{CC072BC7-D7E6-4FBC-AD7A-6CA4B3166A1F}"/>
    <cellStyle name="Header2 9 3 4" xfId="17941" xr:uid="{437E13D0-23F5-4296-9C6C-FAA7EF054F0B}"/>
    <cellStyle name="Header2 9 3 5" xfId="23412" xr:uid="{BCD9DD6D-5E76-40B0-A5C6-1C04BE351959}"/>
    <cellStyle name="Header2 9 4" xfId="12361" xr:uid="{D8213A10-00BF-4B83-9812-39A441852DD0}"/>
    <cellStyle name="Header2 9 4 2" xfId="21407" xr:uid="{3204FC85-820C-4F00-B425-FB396AB685C2}"/>
    <cellStyle name="Header2 9 4 3" xfId="23608" xr:uid="{2C61D77B-27C2-4263-A0E2-E8F45F8D7740}"/>
    <cellStyle name="Header2 9 5" xfId="14398" xr:uid="{3B1882AC-C737-44FB-BBBF-E553272979EC}"/>
    <cellStyle name="Header2 9 6" xfId="17939" xr:uid="{555C14F6-48AC-4C1B-A521-F1A9D9E7652E}"/>
    <cellStyle name="Header2 9 7" xfId="23410" xr:uid="{8C8DC5AB-B1C6-4668-B460-2DF946A17A4C}"/>
    <cellStyle name="Header2_6. Ass-Fin" xfId="1069" xr:uid="{DF8A415F-B551-46FC-99A6-49370D6AF096}"/>
    <cellStyle name="Heading" xfId="1070" xr:uid="{506D17A4-5E58-4317-85BF-6581DADD387F}"/>
    <cellStyle name="Heading 1" xfId="8" builtinId="16"/>
    <cellStyle name="Heading 1 10" xfId="1071" xr:uid="{847E643C-6CAF-42BE-9AB8-6890A1A659A8}"/>
    <cellStyle name="Heading 1 10 2" xfId="7931" xr:uid="{82A883C9-4FA9-43F7-A6C4-B5AAF5C9365D}"/>
    <cellStyle name="Heading 1 11" xfId="1072" xr:uid="{74B6AD71-1BE9-482B-A5CD-7FC59553C91D}"/>
    <cellStyle name="Heading 1 11 2" xfId="7932" xr:uid="{66AD7BF6-7170-44F4-845C-9A4E3026273A}"/>
    <cellStyle name="Heading 1 12" xfId="1073" xr:uid="{9DE55881-C574-4533-8272-DE1D4D6FBCFC}"/>
    <cellStyle name="Heading 1 12 2" xfId="7933" xr:uid="{13128DB5-F2FC-4258-B833-4A382B95DD7B}"/>
    <cellStyle name="Heading 1 13" xfId="1074" xr:uid="{8A245C7D-6E05-4DBE-A1BC-DE8708570A3B}"/>
    <cellStyle name="Heading 1 14" xfId="1075" xr:uid="{4730E0A3-574D-492D-B51C-43213E7967AC}"/>
    <cellStyle name="Heading 1 15" xfId="1076" xr:uid="{27C25833-9F4F-47B6-A52F-46270F5C444C}"/>
    <cellStyle name="Heading 1 16" xfId="1077" xr:uid="{6FCD2ED4-897F-45A1-9BA7-C664AB47C3B8}"/>
    <cellStyle name="Heading 1 17" xfId="1078" xr:uid="{D48B08A4-F9A1-45A9-BA0C-2C55BBB74754}"/>
    <cellStyle name="Heading 1 18" xfId="1079" xr:uid="{16DF1D27-D6AF-4168-BCE6-6BB712146A88}"/>
    <cellStyle name="Heading 1 19" xfId="1080" xr:uid="{13506A24-B45C-457F-998C-1A82E1962DB2}"/>
    <cellStyle name="Heading 1 2" xfId="157" xr:uid="{6CE588DE-8B45-4022-ABCF-8F9421089134}"/>
    <cellStyle name="Heading 1 2 2" xfId="158" xr:uid="{7268A8ED-F4FA-4AA3-A1E3-F9889132B42B}"/>
    <cellStyle name="Heading 1 2 2 2" xfId="14401" xr:uid="{B266931D-B80F-4D02-81D9-1BAE9132B282}"/>
    <cellStyle name="Heading 1 2 2 3" xfId="3854" xr:uid="{E588149B-4192-4DDC-9028-B33290A8FFFC}"/>
    <cellStyle name="Heading 1 2 2 4" xfId="1082" xr:uid="{61A7ADF1-4D3E-4407-A963-B612272E9BBC}"/>
    <cellStyle name="Heading 1 2 3" xfId="1083" xr:uid="{6BF419B3-F79E-46C7-A5E0-EAADFA5C70C5}"/>
    <cellStyle name="Heading 1 2 3 2" xfId="3587" xr:uid="{D6B8FB11-ADE9-40F8-AEB2-7864D554E857}"/>
    <cellStyle name="Heading 1 2 4" xfId="7934" xr:uid="{382E3491-C9ED-45DD-94DA-A82C8940D4DB}"/>
    <cellStyle name="Heading 1 2 5" xfId="3018" xr:uid="{1CC90A1C-4A85-49B5-A9B3-4FFF71724A0B}"/>
    <cellStyle name="Heading 1 2 6" xfId="1081" xr:uid="{21375890-D1C6-4192-A25F-D57CDE46081B}"/>
    <cellStyle name="Heading 1 2_Budgeting Model - Corporate - 2 Year - 091112" xfId="1084" xr:uid="{505D7771-7DCB-4328-B671-A815BA65DABD}"/>
    <cellStyle name="Heading 1 3" xfId="159" xr:uid="{96C7090E-1195-4605-86A9-D3322BB197FB}"/>
    <cellStyle name="Heading 1 3 2" xfId="1086" xr:uid="{0B728B79-38B6-43F4-AB51-697AA859550C}"/>
    <cellStyle name="Heading 1 3 2 2" xfId="3855" xr:uid="{6E723A4D-BA48-438C-9359-A060932506BF}"/>
    <cellStyle name="Heading 1 3 3" xfId="3588" xr:uid="{36A9101C-086A-4AB7-AE49-EE41123A0C84}"/>
    <cellStyle name="Heading 1 3 4" xfId="1085" xr:uid="{272C0096-7455-425F-9426-10E80A3C23EB}"/>
    <cellStyle name="Heading 1 4" xfId="1087" xr:uid="{EA3CD774-C315-4FB4-87D5-124D161E0952}"/>
    <cellStyle name="Heading 1 5" xfId="1088" xr:uid="{8A01657E-B71F-4B28-8BB3-BDC42F761AC7}"/>
    <cellStyle name="Heading 1 5 2" xfId="7935" xr:uid="{9E6CDFBD-EE9A-4D8A-9FA0-D7EC0729AD3D}"/>
    <cellStyle name="Heading 1 6" xfId="1089" xr:uid="{E3C10D28-4BA3-4D30-9155-6B361D3D2EC5}"/>
    <cellStyle name="Heading 1 6 2" xfId="7936" xr:uid="{5DE60B30-6A6D-4BB5-82EB-759200DFB037}"/>
    <cellStyle name="Heading 1 7" xfId="1090" xr:uid="{C7F20769-7BE0-42E8-9FD4-18A78359C7CE}"/>
    <cellStyle name="Heading 1 7 2" xfId="7937" xr:uid="{F77E3A84-13A4-4C00-98C5-B0F110DEF5B5}"/>
    <cellStyle name="Heading 1 8" xfId="1091" xr:uid="{467330B0-D6A7-47B3-8560-D59071AC1277}"/>
    <cellStyle name="Heading 1 8 2" xfId="7938" xr:uid="{2C56BD63-6E5B-4786-83B6-477A15DDA796}"/>
    <cellStyle name="Heading 1 9" xfId="1092" xr:uid="{8EA21DBE-1C77-4E22-8229-68DEC8E05A32}"/>
    <cellStyle name="Heading 1 9 2" xfId="7939" xr:uid="{D1FE3815-3322-4B6A-8537-EFBA44757247}"/>
    <cellStyle name="Heading 1 Above" xfId="1093" xr:uid="{F6E1AD2F-FC59-4236-B7A1-10E9B6831EF2}"/>
    <cellStyle name="Heading 1 Number" xfId="2295" xr:uid="{6D0ABFE3-63C7-4846-8DB5-B3CD680DC537}"/>
    <cellStyle name="Heading 1 Text" xfId="2296" xr:uid="{4B764DD9-9CC1-4891-AD26-701F99075250}"/>
    <cellStyle name="Heading 1." xfId="1094" xr:uid="{DCD8919F-925A-470D-8BAB-92A17FCFD696}"/>
    <cellStyle name="Heading 1+" xfId="1095" xr:uid="{EBEE30C8-BB77-41D6-8E4C-759DDF01F8A7}"/>
    <cellStyle name="Heading 1+ 2" xfId="23962" xr:uid="{C53785A0-EFE4-46B6-989F-8305D23258D7}"/>
    <cellStyle name="Heading 10" xfId="1096" xr:uid="{E1626CA0-F324-4797-A539-6B64BD1EA67E}"/>
    <cellStyle name="Heading 10 2" xfId="1097" xr:uid="{3235C49E-97DC-4092-97DC-9066C014DC85}"/>
    <cellStyle name="Heading 10 2 2" xfId="2687" xr:uid="{6B89467D-9D71-4885-AE5D-D0C48E65A155}"/>
    <cellStyle name="Heading 10 2 3" xfId="2784" xr:uid="{2B021C87-78FB-4E6C-A6EF-DE7101373315}"/>
    <cellStyle name="Heading 10 3" xfId="2686" xr:uid="{938D494F-7415-4ED7-8A66-9805EEF9D93B}"/>
    <cellStyle name="Heading 10 4" xfId="2785" xr:uid="{E8155D24-660B-45AC-B5A4-804213D61B5C}"/>
    <cellStyle name="Heading 11" xfId="1098" xr:uid="{42FD111D-A9CE-4DBB-A03D-9927E6EC07D2}"/>
    <cellStyle name="Heading 11 2" xfId="1099" xr:uid="{0F4ECEE2-7EB8-4F08-A733-D319098428F2}"/>
    <cellStyle name="Heading 11 2 2" xfId="2689" xr:uid="{93B719A4-DC32-4379-8512-80B2075EFCFE}"/>
    <cellStyle name="Heading 11 2 3" xfId="2783" xr:uid="{777B3419-DF38-4206-A9D1-A1D69F11FDBD}"/>
    <cellStyle name="Heading 11 3" xfId="2688" xr:uid="{A8AAFD63-D450-411D-AF67-ADFCCBDC1A9A}"/>
    <cellStyle name="Heading 11 4" xfId="2521" xr:uid="{C05D4423-5ADE-4496-B544-288984CECBDC}"/>
    <cellStyle name="Heading 12" xfId="1100" xr:uid="{56C02769-FC9D-4411-B731-A664F40DA6B1}"/>
    <cellStyle name="Heading 12 2" xfId="2690" xr:uid="{0F3C6676-A9CF-412C-B750-69A2E4DD703C}"/>
    <cellStyle name="Heading 12 3" xfId="2782" xr:uid="{6B10B88D-5E73-47B2-8698-4E3766A44429}"/>
    <cellStyle name="Heading 13" xfId="1101" xr:uid="{CAD1D0B9-AE19-43DB-9B1A-39FDDDD508AB}"/>
    <cellStyle name="Heading 13 2" xfId="2691" xr:uid="{C488E0E9-D267-4044-8561-DB4BA78B72A7}"/>
    <cellStyle name="Heading 13 3" xfId="2781" xr:uid="{4FAC5347-5BF2-4F00-BCB8-7888CC9E318F}"/>
    <cellStyle name="Heading 14" xfId="1102" xr:uid="{5BCD7839-0773-4F8D-8FD0-3B8750E9A546}"/>
    <cellStyle name="Heading 14 2" xfId="2692" xr:uid="{31A82CA1-1150-4A9A-86AD-A279C6E03B1F}"/>
    <cellStyle name="Heading 14 3" xfId="2780" xr:uid="{BC00E686-2DF1-4BCF-973C-F0E3CCD99A2D}"/>
    <cellStyle name="Heading 15" xfId="1103" xr:uid="{93651F1C-CFA6-474D-9DE9-480359AF1F59}"/>
    <cellStyle name="Heading 15 2" xfId="2693" xr:uid="{79E0C415-DD07-4388-A552-4B1689B373B3}"/>
    <cellStyle name="Heading 15 3" xfId="2779" xr:uid="{4922B6E7-279C-4F9A-B29A-8570892DD7C6}"/>
    <cellStyle name="Heading 16" xfId="1104" xr:uid="{6611F495-9F29-4901-9709-74BC190E566A}"/>
    <cellStyle name="Heading 16 2" xfId="2694" xr:uid="{E6E504FC-F088-4EC7-83F7-39C451106E30}"/>
    <cellStyle name="Heading 16 3" xfId="2778" xr:uid="{732E1A41-B799-424B-8695-2781D2290431}"/>
    <cellStyle name="heading 17" xfId="7930" xr:uid="{AD44D12E-9695-4BAC-84B5-A221B26DA199}"/>
    <cellStyle name="Heading 1A" xfId="7940" xr:uid="{9043B5C1-52D6-44C7-A1CE-24BD5668E298}"/>
    <cellStyle name="Heading 2" xfId="19" builtinId="17"/>
    <cellStyle name="Heading 2 10" xfId="1105" xr:uid="{EAB02118-EA8A-4FF7-B7F6-A5867567EFB0}"/>
    <cellStyle name="Heading 2 10 2" xfId="7941" xr:uid="{A1C158D9-79A7-4669-8BE8-C3CE1900FA48}"/>
    <cellStyle name="Heading 2 11" xfId="1106" xr:uid="{A3F329E6-CABC-4368-A9AF-E00A1D56AF25}"/>
    <cellStyle name="Heading 2 11 2" xfId="7942" xr:uid="{C52AEC07-DDBD-44D4-BFB8-F136AD9EBFF3}"/>
    <cellStyle name="Heading 2 12" xfId="1107" xr:uid="{CDB557D0-4EE3-42DA-92DD-DA3B40B63207}"/>
    <cellStyle name="Heading 2 12 2" xfId="7943" xr:uid="{BC78A301-F520-4532-953C-0A23CDA08343}"/>
    <cellStyle name="Heading 2 13" xfId="1108" xr:uid="{79F57F6F-C2FE-48F0-9545-FCE5D7D9AF7B}"/>
    <cellStyle name="Heading 2 14" xfId="1109" xr:uid="{78954689-BF91-471B-80B0-118A043C4056}"/>
    <cellStyle name="Heading 2 15" xfId="1110" xr:uid="{E5512327-B02E-4A58-A412-85FE3012B77E}"/>
    <cellStyle name="Heading 2 16" xfId="1111" xr:uid="{8A327747-8296-41A7-A7F8-9CE9B454CF15}"/>
    <cellStyle name="Heading 2 17" xfId="1112" xr:uid="{73D50879-A01F-45C7-BAA9-7C05D907BE5E}"/>
    <cellStyle name="Heading 2 18" xfId="1113" xr:uid="{3C7C6D13-114C-454E-9B1E-D29BBC079964}"/>
    <cellStyle name="Heading 2 2" xfId="160" xr:uid="{63FAB191-93C1-4281-B919-D45E18FA211B}"/>
    <cellStyle name="Heading 2 2 2" xfId="161" xr:uid="{C8A660A6-C147-4D25-B805-17EE63E16193}"/>
    <cellStyle name="Heading 2 2 2 2" xfId="14402" xr:uid="{2E75C2CD-128A-407C-AC7E-B971112F8BC8}"/>
    <cellStyle name="Heading 2 2 2 3" xfId="3856" xr:uid="{A3BCCF43-DDCE-4572-958E-5F5CFE9E4CE2}"/>
    <cellStyle name="Heading 2 2 2 4" xfId="1115" xr:uid="{1B1E044C-ED05-4B52-A755-30113C04FB38}"/>
    <cellStyle name="Heading 2 2 3" xfId="3589" xr:uid="{83A5B98D-4C1B-4F5E-9714-172B247EA097}"/>
    <cellStyle name="Heading 2 2 4" xfId="7944" xr:uid="{9516387D-5F09-4E48-8EDD-2C95381CFFC0}"/>
    <cellStyle name="Heading 2 2 5" xfId="3019" xr:uid="{72A60A0D-6F7F-4E01-BA05-6D62EB7058CA}"/>
    <cellStyle name="Heading 2 2 6" xfId="1114" xr:uid="{1B74EC2F-7356-43EB-8D4A-EAB030F4FDC9}"/>
    <cellStyle name="Heading 2 3" xfId="162" xr:uid="{F9B9415C-D265-4B84-99D3-112144FC7D65}"/>
    <cellStyle name="Heading 2 3 2" xfId="1117" xr:uid="{AF6D9D04-1CA0-4470-A2A0-D55BF9C21DBC}"/>
    <cellStyle name="Heading 2 3 2 2" xfId="3857" xr:uid="{1E44078C-44D4-44DC-B4ED-2E1DDC92B11B}"/>
    <cellStyle name="Heading 2 3 3" xfId="3590" xr:uid="{0C5A3FB2-346C-4103-9F36-AEAD70B1F74F}"/>
    <cellStyle name="Heading 2 3 4" xfId="1116" xr:uid="{A1FF912C-C0AA-4D38-8D32-A941E3033EEF}"/>
    <cellStyle name="Heading 2 4" xfId="1118" xr:uid="{067DF9C8-AFEB-4AEA-877A-7B9CFC8A9F60}"/>
    <cellStyle name="Heading 2 4 2" xfId="7945" xr:uid="{CEC9B276-B3C7-4698-BC10-8BC5704062B0}"/>
    <cellStyle name="Heading 2 5" xfId="1119" xr:uid="{A6858D71-3A0C-457F-B2B8-3B703630D2C4}"/>
    <cellStyle name="Heading 2 5 2" xfId="7946" xr:uid="{9F553CA7-7C31-492F-942F-74F4021C1656}"/>
    <cellStyle name="Heading 2 6" xfId="1120" xr:uid="{F0F3875A-B840-4056-A633-7688CD8A3602}"/>
    <cellStyle name="Heading 2 6 2" xfId="7947" xr:uid="{062139F3-AEDF-452E-8918-D2D4B1AEEABB}"/>
    <cellStyle name="Heading 2 7" xfId="1121" xr:uid="{EDFD1907-F5D6-4E6C-84A3-C9B8FFC4FFEC}"/>
    <cellStyle name="Heading 2 7 2" xfId="7948" xr:uid="{D4FFCB9C-3187-4EFA-BA70-D39E0E2ED74C}"/>
    <cellStyle name="Heading 2 8" xfId="1122" xr:uid="{BC80907D-7AD5-4BAA-B843-A364B15F5BBB}"/>
    <cellStyle name="Heading 2 8 2" xfId="7949" xr:uid="{6DF8CD54-B5E1-424F-B4A9-C31AB23042B2}"/>
    <cellStyle name="Heading 2 9" xfId="1123" xr:uid="{EAFEBCD4-C40C-430A-8120-BE6EF33E1810}"/>
    <cellStyle name="Heading 2 9 2" xfId="7950" xr:uid="{023B0DBB-94B6-4632-A914-4985B2EFA2DA}"/>
    <cellStyle name="Heading 2 Below" xfId="1124" xr:uid="{C9BF6686-DF14-444A-B964-5DDCC4166BC7}"/>
    <cellStyle name="Heading 2 Text" xfId="2264" xr:uid="{1408B6D0-C83F-4D5E-A7A4-118438A338B9}"/>
    <cellStyle name="Heading 2." xfId="1125" xr:uid="{01508419-79D9-4333-A056-37DAF997C5FC}"/>
    <cellStyle name="Heading 2+" xfId="1126" xr:uid="{42824B1B-60DD-406F-8DDB-A56C8E919333}"/>
    <cellStyle name="Heading 2+ 2" xfId="23963" xr:uid="{4E329902-19A3-46B4-A2CB-D25B412B1524}"/>
    <cellStyle name="Heading 3" xfId="20" builtinId="18"/>
    <cellStyle name="Heading 3 10" xfId="1127" xr:uid="{4E0AA310-F495-44D3-B971-AD864150D148}"/>
    <cellStyle name="Heading 3 10 2" xfId="9036" xr:uid="{9F701D63-B43B-4995-8E86-10496F78CA1E}"/>
    <cellStyle name="Heading 3 10 2 2" xfId="14601" xr:uid="{B34073C8-D580-4DA3-ADAE-3A791D6B8087}"/>
    <cellStyle name="Heading 3 10 2 3" xfId="18082" xr:uid="{07614157-7BAD-4DCB-94AE-418D66E21E2C}"/>
    <cellStyle name="Heading 3 10 3" xfId="9065" xr:uid="{54AC5EF5-6E5E-4C40-885E-1079E0DFD9E7}"/>
    <cellStyle name="Heading 3 10 3 2" xfId="14618" xr:uid="{F1F3EE69-8ACA-452D-AB01-DFF062BD1169}"/>
    <cellStyle name="Heading 3 10 3 3" xfId="18111" xr:uid="{7D9F69E7-7561-49A5-AA64-9F18A2B1A5A3}"/>
    <cellStyle name="Heading 3 10 4" xfId="9085" xr:uid="{79FF8563-A9CE-4C26-AE27-49748FD8E87E}"/>
    <cellStyle name="Heading 3 10 4 2" xfId="14634" xr:uid="{ED2115BB-4996-4DBC-A30C-449750E7344A}"/>
    <cellStyle name="Heading 3 10 4 3" xfId="18131" xr:uid="{0DF0202D-F6C4-4FD7-A460-6967399DEEBD}"/>
    <cellStyle name="Heading 3 10 5" xfId="12364" xr:uid="{A30D7D01-3B2F-4B77-8482-FBF8DD6319D9}"/>
    <cellStyle name="Heading 3 10 5 2" xfId="14650" xr:uid="{833665AD-5B14-4FFF-B81B-E67E96251F9D}"/>
    <cellStyle name="Heading 3 10 5 3" xfId="21410" xr:uid="{64DCFFB5-076C-405F-88F5-3B1DC4687857}"/>
    <cellStyle name="Heading 3 10 6" xfId="12482" xr:uid="{8276F05E-2359-4389-BF5C-E2E38663471F}"/>
    <cellStyle name="Heading 3 10 6 2" xfId="21529" xr:uid="{438D4662-AE88-49A0-BEAF-ABC2605ACC54}"/>
    <cellStyle name="Heading 3 10 7" xfId="14403" xr:uid="{769E6F4A-A865-484E-B166-6F633E1954BE}"/>
    <cellStyle name="Heading 3 10 8" xfId="17942" xr:uid="{F19254F8-AEE3-4766-99E8-B723934E1614}"/>
    <cellStyle name="Heading 3 10 9" xfId="7951" xr:uid="{4CB1C43E-3ADD-4A65-8950-DC5F20BC0502}"/>
    <cellStyle name="Heading 3 11" xfId="1128" xr:uid="{56FD2A40-FA45-426F-BAF1-FF694A30A01C}"/>
    <cellStyle name="Heading 3 11 2" xfId="9037" xr:uid="{F3063076-88E2-49B9-A8CE-C4EC559DBBE3}"/>
    <cellStyle name="Heading 3 11 2 2" xfId="14602" xr:uid="{8B980FE9-66AA-461F-97B7-48661C61DE22}"/>
    <cellStyle name="Heading 3 11 2 3" xfId="18083" xr:uid="{39A15E59-0C71-4EB1-AC7F-131FDBA59B1E}"/>
    <cellStyle name="Heading 3 11 3" xfId="9066" xr:uid="{184777DF-06B6-4A3A-B074-1D423F32053C}"/>
    <cellStyle name="Heading 3 11 3 2" xfId="14619" xr:uid="{C63AADF6-495F-43E8-99E1-BB225D2A0F54}"/>
    <cellStyle name="Heading 3 11 3 3" xfId="18112" xr:uid="{7A4BEC80-7665-4EEB-80D8-DB73EAE92808}"/>
    <cellStyle name="Heading 3 11 4" xfId="9086" xr:uid="{659CDD5F-05C3-4CE6-841F-CDF1A0294184}"/>
    <cellStyle name="Heading 3 11 4 2" xfId="14635" xr:uid="{5EABFCB3-F303-4542-9261-5B0728B45A27}"/>
    <cellStyle name="Heading 3 11 4 3" xfId="18132" xr:uid="{C51BFAD7-0574-49A4-942F-403FECE6FE7E}"/>
    <cellStyle name="Heading 3 11 5" xfId="12365" xr:uid="{E510A4E8-241C-42B2-B438-E03F2096B0FA}"/>
    <cellStyle name="Heading 3 11 5 2" xfId="14651" xr:uid="{0CDF6898-3CF6-41B7-AACA-ED147228301A}"/>
    <cellStyle name="Heading 3 11 5 3" xfId="21411" xr:uid="{33A92A02-8E3A-4E5B-8A5F-20AF6DC50C32}"/>
    <cellStyle name="Heading 3 11 6" xfId="12483" xr:uid="{8EA3F589-1718-48B2-8163-64A811A36B7F}"/>
    <cellStyle name="Heading 3 11 6 2" xfId="21530" xr:uid="{D934E750-AAB0-426C-9410-2D05DB9BC2CE}"/>
    <cellStyle name="Heading 3 11 7" xfId="14404" xr:uid="{98534D7D-A78B-4337-8BE3-07AF97A77A41}"/>
    <cellStyle name="Heading 3 11 8" xfId="17943" xr:uid="{3510070A-1E5E-498F-9885-B15271D5D753}"/>
    <cellStyle name="Heading 3 11 9" xfId="7952" xr:uid="{5EB8665D-57FB-428A-A624-68022FBA44C2}"/>
    <cellStyle name="Heading 3 12" xfId="1129" xr:uid="{BC810D04-4BE2-42AC-93B9-2A463F1AA396}"/>
    <cellStyle name="Heading 3 12 2" xfId="9038" xr:uid="{51C4D670-174B-468B-89B1-BD7AF2AFCAE7}"/>
    <cellStyle name="Heading 3 12 2 2" xfId="14603" xr:uid="{2D86BB91-3A7F-430C-8BB9-DAB66AE328AE}"/>
    <cellStyle name="Heading 3 12 2 3" xfId="18084" xr:uid="{A9AF5C24-419D-49DB-AA47-CEDED28EC55E}"/>
    <cellStyle name="Heading 3 12 3" xfId="9067" xr:uid="{346C9873-B730-484B-8AA0-6C3CA080E2CF}"/>
    <cellStyle name="Heading 3 12 3 2" xfId="14620" xr:uid="{5BC71BB3-17C5-4F33-A988-3E0EFA1C31A3}"/>
    <cellStyle name="Heading 3 12 3 3" xfId="18113" xr:uid="{8C016B8F-59F3-4C6F-9A66-B2924FF7ADC4}"/>
    <cellStyle name="Heading 3 12 4" xfId="9087" xr:uid="{FF3CC923-8676-4A14-93FB-642A1136A94D}"/>
    <cellStyle name="Heading 3 12 4 2" xfId="14636" xr:uid="{897D4370-8884-423D-B98B-0662D2CAAE0C}"/>
    <cellStyle name="Heading 3 12 4 3" xfId="18133" xr:uid="{3C4508DC-FB1B-4322-80E1-FBE970B7B1CC}"/>
    <cellStyle name="Heading 3 12 5" xfId="12366" xr:uid="{588A6475-5E39-40EA-BB62-B212B1F95F05}"/>
    <cellStyle name="Heading 3 12 5 2" xfId="14652" xr:uid="{C2B43CEA-F974-4D0A-8E2E-80D97A25B515}"/>
    <cellStyle name="Heading 3 12 5 3" xfId="21412" xr:uid="{9FAA2705-8D08-4E60-8077-C0B1762C48ED}"/>
    <cellStyle name="Heading 3 12 6" xfId="12484" xr:uid="{ABD2D931-09CB-4BC6-8A77-E27CCF30F05A}"/>
    <cellStyle name="Heading 3 12 6 2" xfId="21531" xr:uid="{51FFD154-36E3-481F-91D9-4FACBA5C1E3F}"/>
    <cellStyle name="Heading 3 12 7" xfId="14405" xr:uid="{B4EFA78E-C165-432D-9FF4-FC46AEE0E23C}"/>
    <cellStyle name="Heading 3 12 8" xfId="17944" xr:uid="{FB891222-76F6-4CF5-A786-B7B583B33450}"/>
    <cellStyle name="Heading 3 12 9" xfId="7953" xr:uid="{D5C15CCD-4FC8-4717-9AC3-16A92D75310C}"/>
    <cellStyle name="Heading 3 13" xfId="1130" xr:uid="{6ED64A0C-9E79-464F-9977-455A50AD17F9}"/>
    <cellStyle name="Heading 3 14" xfId="1131" xr:uid="{41D50DE8-BD72-49C3-924C-9F02FA244854}"/>
    <cellStyle name="Heading 3 15" xfId="1132" xr:uid="{ED36271E-3526-4A6F-8DC3-546C0D896202}"/>
    <cellStyle name="Heading 3 16" xfId="1133" xr:uid="{0769D74E-3AD0-4910-B28B-419238F04C3A}"/>
    <cellStyle name="Heading 3 17" xfId="1134" xr:uid="{1D7DED31-1937-45F3-A6CA-7475F96B3BC4}"/>
    <cellStyle name="Heading 3 18" xfId="1135" xr:uid="{3BAAB2BD-F24F-4AEA-9867-B00CCB3F04F3}"/>
    <cellStyle name="Heading 3 2" xfId="163" xr:uid="{D0F7C117-5E4A-4D9D-8301-F3996E7F30F8}"/>
    <cellStyle name="Heading 3 2 2" xfId="164" xr:uid="{2555756B-E3BF-4FD5-9483-C0AFA5D05E96}"/>
    <cellStyle name="Heading 3 2 2 2" xfId="313" xr:uid="{2AE4937D-1924-4279-8054-C957AE1BDF91}"/>
    <cellStyle name="Heading 3 2 2 2 2" xfId="314" xr:uid="{6535F8A9-15B5-4511-97D3-125E8F0CB02B}"/>
    <cellStyle name="Heading 3 2 2 2 2 2" xfId="315" xr:uid="{083EF14A-A97C-45E0-A4E5-7A8662670E09}"/>
    <cellStyle name="Heading 3 2 2 2 2 2 2" xfId="22499" xr:uid="{9074C37B-93DC-444D-AAE6-41B071E84A59}"/>
    <cellStyle name="Heading 3 2 2 2 2 2 3" xfId="4917" xr:uid="{CF957771-F8A1-41F2-A26F-201C772D77E6}"/>
    <cellStyle name="Heading 3 2 2 2 2 3" xfId="316" xr:uid="{6554EA7D-DBC4-475B-B743-33872C05D666}"/>
    <cellStyle name="Heading 3 2 2 2 2 3 2" xfId="11385" xr:uid="{2A3F1264-0404-4A54-8BCF-3DB16F22E3DD}"/>
    <cellStyle name="Heading 3 2 2 2 2 3 2 2" xfId="20431" xr:uid="{DAE97F26-5329-42EE-A72D-9D1B1C4F3A66}"/>
    <cellStyle name="Heading 3 2 2 2 2 3 3" xfId="16945" xr:uid="{C4026097-1E3B-4844-A69A-1B52E94E5F08}"/>
    <cellStyle name="Heading 3 2 2 2 2 3 4" xfId="22994" xr:uid="{4DC36287-748C-46D2-ACCF-7FED2D109E8B}"/>
    <cellStyle name="Heading 3 2 2 2 2 3 5" xfId="5532" xr:uid="{54433F92-8605-4DDB-B529-F4AB532BE10E}"/>
    <cellStyle name="Heading 3 2 2 2 2 4" xfId="317" xr:uid="{91931EBC-393E-4790-B2AD-5177D0B1B634}"/>
    <cellStyle name="Heading 3 2 2 2 2 4 2" xfId="17556" xr:uid="{18FB7D98-5DA3-48DF-B159-AB40048FC842}"/>
    <cellStyle name="Heading 3 2 2 2 2 4 3" xfId="6143" xr:uid="{530E3FBE-9930-4E85-8407-D185CC62FFB2}"/>
    <cellStyle name="Heading 3 2 2 2 2 5" xfId="12802" xr:uid="{41DCCB72-6644-4817-AC02-9CDF580BAE18}"/>
    <cellStyle name="Heading 3 2 2 2 2 6" xfId="13998" xr:uid="{E5D0158E-2894-4EB1-B31A-8353F43AAF7E}"/>
    <cellStyle name="Heading 3 2 2 2 2 7" xfId="21843" xr:uid="{F3B424EB-CBA4-4D44-BF63-2C401446B4D5}"/>
    <cellStyle name="Heading 3 2 2 2 2 8" xfId="2535" xr:uid="{66515148-62E1-41DF-AC03-253CE200A075}"/>
    <cellStyle name="Heading 3 2 2 2 3" xfId="318" xr:uid="{F4353618-5959-43E0-8A5C-4FFD70D9D52F}"/>
    <cellStyle name="Heading 3 2 2 2 3 2" xfId="9843" xr:uid="{C293A7B3-BC4F-43EA-9C91-FA8AB0979D24}"/>
    <cellStyle name="Heading 3 2 2 2 3 2 2" xfId="18889" xr:uid="{AC680098-8BCF-472E-884F-834D4FEF3B5F}"/>
    <cellStyle name="Heading 3 2 2 2 3 3" xfId="15405" xr:uid="{05C55B7C-1951-49A4-85B2-CA262D25B17D}"/>
    <cellStyle name="Heading 3 2 2 2 3 4" xfId="22388" xr:uid="{B0BF67C0-038E-4BD1-84E8-CB096E80E5D8}"/>
    <cellStyle name="Heading 3 2 2 2 3 5" xfId="3981" xr:uid="{390EDFAD-0D61-47C2-9E4D-0ECAFD54D6B9}"/>
    <cellStyle name="Heading 3 2 2 2 4" xfId="319" xr:uid="{34DA72B4-828F-4771-B765-915D3E43A0D4}"/>
    <cellStyle name="Heading 3 2 2 2 4 2" xfId="9972" xr:uid="{22C6B16D-8A72-407B-9105-395A3ADEA319}"/>
    <cellStyle name="Heading 3 2 2 2 4 2 2" xfId="19018" xr:uid="{E332E8B6-4646-4D35-9E68-2DA5AB4D0BD9}"/>
    <cellStyle name="Heading 3 2 2 2 4 3" xfId="15532" xr:uid="{7793CD8F-BB37-42AE-B413-32A261DC5922}"/>
    <cellStyle name="Heading 3 2 2 2 4 4" xfId="22235" xr:uid="{2F1A7DD3-2D3B-4520-947B-83D8D20353F0}"/>
    <cellStyle name="Heading 3 2 2 2 4 5" xfId="4115" xr:uid="{6535BB0B-8DEC-4C69-A759-65FB70969EA4}"/>
    <cellStyle name="Heading 3 2 2 2 5" xfId="320" xr:uid="{7231FDE8-0CB4-4C93-A6C0-9CA726D8E111}"/>
    <cellStyle name="Heading 3 2 2 2 5 2" xfId="11170" xr:uid="{52F77E12-DF74-4FC9-9E77-DF8DA0288752}"/>
    <cellStyle name="Heading 3 2 2 2 5 2 2" xfId="20216" xr:uid="{AE6EE97C-EB84-43C9-B4A8-5381BFCADE00}"/>
    <cellStyle name="Heading 3 2 2 2 5 3" xfId="16730" xr:uid="{2DCC2ACD-39AF-4742-BD29-CEC6A81D5911}"/>
    <cellStyle name="Heading 3 2 2 2 5 4" xfId="5317" xr:uid="{BF8C62CD-AA94-4DDD-B36C-0E229D97B775}"/>
    <cellStyle name="Heading 3 2 2 2 6" xfId="5928" xr:uid="{9304E913-19AD-4ACE-9338-C1B7DBC85990}"/>
    <cellStyle name="Heading 3 2 2 2 6 2" xfId="17341" xr:uid="{1C858975-240B-4DE3-96C4-0945EC486CB4}"/>
    <cellStyle name="Heading 3 2 2 2 7" xfId="13783" xr:uid="{6F465286-F754-4A9F-9238-E058DAA1BB18}"/>
    <cellStyle name="Heading 3 2 2 2 8" xfId="2297" xr:uid="{B3276F81-94F7-47CE-9294-6A6FB58FE121}"/>
    <cellStyle name="Heading 3 2 2 3" xfId="321" xr:uid="{E23F9D6E-E684-43D6-8369-9BD93F94600D}"/>
    <cellStyle name="Heading 3 2 2 3 2" xfId="322" xr:uid="{20320576-1767-4CB4-9A10-B68D02C23F11}"/>
    <cellStyle name="Heading 3 2 2 3 2 2" xfId="323" xr:uid="{F7B15A31-A4DC-4D33-AD82-93C1FD51051A}"/>
    <cellStyle name="Heading 3 2 2 3 2 2 2" xfId="19237" xr:uid="{BB341082-D222-4FE2-8BF6-5497E9FB3792}"/>
    <cellStyle name="Heading 3 2 2 3 2 2 3" xfId="10191" xr:uid="{ABFE8AB7-3001-448C-AAC0-4A71B5EEC2CB}"/>
    <cellStyle name="Heading 3 2 2 3 2 3" xfId="324" xr:uid="{20CDF3B5-8225-4A0C-B8FB-638AB9EEE9BA}"/>
    <cellStyle name="Heading 3 2 2 3 2 3 2" xfId="15751" xr:uid="{86937109-2A03-4D42-BED1-FAA6A7167D9F}"/>
    <cellStyle name="Heading 3 2 2 3 2 4" xfId="325" xr:uid="{9080BC68-CA1E-4CAA-973E-4761615F87A6}"/>
    <cellStyle name="Heading 3 2 2 3 2 4 2" xfId="22417" xr:uid="{0CA3F437-CE32-4F27-95FF-1B0273869030}"/>
    <cellStyle name="Heading 3 2 2 3 2 5" xfId="4334" xr:uid="{588DC329-205D-411A-9867-90F48B49064D}"/>
    <cellStyle name="Heading 3 2 2 3 3" xfId="326" xr:uid="{A4C23933-B980-48AA-8BC5-1C6219659C98}"/>
    <cellStyle name="Heading 3 2 2 3 3 2" xfId="22912" xr:uid="{B693DD6F-0C0D-4D67-AE95-C4B319310948}"/>
    <cellStyle name="Heading 3 2 2 3 3 3" xfId="4835" xr:uid="{8591CDB5-347F-45F6-A5A2-C30F81387D8F}"/>
    <cellStyle name="Heading 3 2 2 3 4" xfId="327" xr:uid="{AC0F4A8C-01F2-485D-8F60-EEE897E21652}"/>
    <cellStyle name="Heading 3 2 2 3 4 2" xfId="11303" xr:uid="{F29AEE2A-04EC-47BA-9FBC-674BAE45EE34}"/>
    <cellStyle name="Heading 3 2 2 3 4 2 2" xfId="20349" xr:uid="{DB55D172-1976-4D11-9447-603B31EDF8E7}"/>
    <cellStyle name="Heading 3 2 2 3 4 3" xfId="16863" xr:uid="{096DE5CD-7CB3-4765-94A2-18B473903DBC}"/>
    <cellStyle name="Heading 3 2 2 3 4 4" xfId="5450" xr:uid="{D79ABD27-9590-4106-B6CF-3A77B6E5EC22}"/>
    <cellStyle name="Heading 3 2 2 3 5" xfId="328" xr:uid="{17833E38-4251-41F2-B567-7B96591FF004}"/>
    <cellStyle name="Heading 3 2 2 3 5 2" xfId="17474" xr:uid="{F6D7B0F9-A501-494D-AC4E-C84E512398F2}"/>
    <cellStyle name="Heading 3 2 2 3 5 3" xfId="6061" xr:uid="{9650D4A7-34F5-4295-99C2-290510D95050}"/>
    <cellStyle name="Heading 3 2 2 3 6" xfId="12720" xr:uid="{8C070051-7DEC-4FA6-9551-EDEE4F421420}"/>
    <cellStyle name="Heading 3 2 2 3 7" xfId="13916" xr:uid="{8284DB0B-6326-4E52-B0EC-A1A68CDF89A9}"/>
    <cellStyle name="Heading 3 2 2 3 8" xfId="21761" xr:uid="{C857266E-52F7-469D-898E-516D5B3A31DB}"/>
    <cellStyle name="Heading 3 2 2 3 9" xfId="3113" xr:uid="{87C40183-9B85-41D7-A439-063D3EC94EB4}"/>
    <cellStyle name="Heading 3 2 2 4" xfId="329" xr:uid="{43248F64-5AC5-45AF-8FD1-EED55BAD244C}"/>
    <cellStyle name="Heading 3 2 2 4 2" xfId="330" xr:uid="{910B2BDD-7497-420C-A3A9-FBAF85C5D1AD}"/>
    <cellStyle name="Heading 3 2 2 4 2 2" xfId="18801" xr:uid="{26181008-9B41-4B2F-B63F-1921184D24A4}"/>
    <cellStyle name="Heading 3 2 2 4 2 3" xfId="9755" xr:uid="{7FB6C480-ADC9-4321-8673-D87E6EF53D47}"/>
    <cellStyle name="Heading 3 2 2 4 3" xfId="331" xr:uid="{4105ADBC-12AC-4B6A-9345-7DA6EE8B8DAB}"/>
    <cellStyle name="Heading 3 2 2 4 3 2" xfId="15321" xr:uid="{51DEE0ED-D0DA-4703-BB24-E1F9736B40CD}"/>
    <cellStyle name="Heading 3 2 2 4 4" xfId="332" xr:uid="{1E08EF0E-9320-4EAD-B523-9D26172B5DAA}"/>
    <cellStyle name="Heading 3 2 2 4 4 2" xfId="22300" xr:uid="{9BFD02ED-5C97-4CB6-8977-F90E2A6F4D88}"/>
    <cellStyle name="Heading 3 2 2 4 5" xfId="3713" xr:uid="{F207DBE3-D51E-47FA-BC2A-ACE51E3FF638}"/>
    <cellStyle name="Heading 3 2 2 5" xfId="333" xr:uid="{5A06C89F-1939-40F1-A723-1E6901376DD7}"/>
    <cellStyle name="Heading 3 2 2 5 2" xfId="334" xr:uid="{C0DF2931-501B-4FD6-80B8-376F8A43293A}"/>
    <cellStyle name="Heading 3 2 2 5 3" xfId="335" xr:uid="{2250DA52-1C17-4F1E-BED4-EF632DD3F085}"/>
    <cellStyle name="Heading 3 2 2 5 4" xfId="22278" xr:uid="{8E9D29FD-E98A-42C0-8D69-910A423B4E3A}"/>
    <cellStyle name="Heading 3 2 2 6" xfId="1137" xr:uid="{1043DE6E-FCF0-4789-AA62-DFA2FF95B8D3}"/>
    <cellStyle name="Heading 3 2 3" xfId="165" xr:uid="{C13A2F47-E3E5-4FF9-9593-D2C6A7E64C26}"/>
    <cellStyle name="Heading 3 2 3 2" xfId="2534" xr:uid="{70703221-1F39-421D-AFAD-3F73A22D6EB9}"/>
    <cellStyle name="Heading 3 2 3 2 2" xfId="4918" xr:uid="{E1E3975B-618E-4C55-81E3-9A48D7FC80B9}"/>
    <cellStyle name="Heading 3 2 3 2 2 2" xfId="22500" xr:uid="{1D578C9D-C447-4740-B555-92B06BEC106C}"/>
    <cellStyle name="Heading 3 2 3 2 3" xfId="5533" xr:uid="{62A536B3-3081-4BE2-8C1A-0E5475CBA8F2}"/>
    <cellStyle name="Heading 3 2 3 2 3 2" xfId="11386" xr:uid="{9EC27F37-E7D1-431F-ABC8-A3802F2711E2}"/>
    <cellStyle name="Heading 3 2 3 2 3 2 2" xfId="20432" xr:uid="{99BC6B2B-1A12-4348-8BA4-D8AFA91510D8}"/>
    <cellStyle name="Heading 3 2 3 2 3 3" xfId="16946" xr:uid="{597E52F2-C617-411D-9DCF-EBEAEB312F73}"/>
    <cellStyle name="Heading 3 2 3 2 3 4" xfId="22995" xr:uid="{02B779E2-5AF7-49C8-8CFB-41097AD962FE}"/>
    <cellStyle name="Heading 3 2 3 2 4" xfId="6144" xr:uid="{75D249C9-4258-4302-B5C5-A5694033F66B}"/>
    <cellStyle name="Heading 3 2 3 2 4 2" xfId="17557" xr:uid="{E5C27347-ACF9-4BAC-AAC8-6115B2882072}"/>
    <cellStyle name="Heading 3 2 3 2 5" xfId="12803" xr:uid="{D5FAB5E5-B81C-4ADE-BB54-7193B65DE1FC}"/>
    <cellStyle name="Heading 3 2 3 2 6" xfId="13999" xr:uid="{F951FB59-21EF-401D-9925-A896D87E7444}"/>
    <cellStyle name="Heading 3 2 3 2 7" xfId="21844" xr:uid="{24CFFFA9-B306-4647-8E17-8A2B951DA241}"/>
    <cellStyle name="Heading 3 2 3 3" xfId="3858" xr:uid="{CDD52353-884B-4CB6-9F25-143E6D0D4AF8}"/>
    <cellStyle name="Heading 3 2 3 3 2" xfId="9828" xr:uid="{BBBEA818-E55E-4F60-BB0F-5DFBE11FDC92}"/>
    <cellStyle name="Heading 3 2 3 3 2 2" xfId="18874" xr:uid="{D2656FF2-89A6-4016-8CD1-928D9EF02D0D}"/>
    <cellStyle name="Heading 3 2 3 3 3" xfId="15392" xr:uid="{972DD2CE-1292-442A-AB13-5E62C6161FCF}"/>
    <cellStyle name="Heading 3 2 3 3 4" xfId="22389" xr:uid="{DF68ACB3-8E27-424E-8693-47C01F8695E1}"/>
    <cellStyle name="Heading 3 2 3 4" xfId="4114" xr:uid="{CF5618D6-8BCD-4142-9255-97BE91F17678}"/>
    <cellStyle name="Heading 3 2 3 4 2" xfId="9971" xr:uid="{5538A67A-0D3F-4427-B00E-57C6FB53E078}"/>
    <cellStyle name="Heading 3 2 3 4 2 2" xfId="19017" xr:uid="{52220F53-CCFC-4D14-AC7B-269ED3C61358}"/>
    <cellStyle name="Heading 3 2 3 4 3" xfId="15531" xr:uid="{77CDCF87-D152-4004-9A3A-242914E5E2F8}"/>
    <cellStyle name="Heading 3 2 3 4 4" xfId="22234" xr:uid="{88C41FFB-44A6-460D-B680-60603F79592C}"/>
    <cellStyle name="Heading 3 2 3 5" xfId="5318" xr:uid="{9FDAF331-BEE0-4E8C-80F2-3C132F3F7DC8}"/>
    <cellStyle name="Heading 3 2 3 5 2" xfId="11171" xr:uid="{EF92CEB4-7CA3-46F0-916D-32889E05FBF0}"/>
    <cellStyle name="Heading 3 2 3 5 2 2" xfId="20217" xr:uid="{056AD676-0385-4329-9C04-544BECFF84C6}"/>
    <cellStyle name="Heading 3 2 3 5 3" xfId="16731" xr:uid="{D5A8A0EA-37FA-4336-8BEF-BF3E121597DA}"/>
    <cellStyle name="Heading 3 2 3 6" xfId="5929" xr:uid="{FF4A4DB8-8233-4C0C-8020-801A1B45A7D4}"/>
    <cellStyle name="Heading 3 2 3 6 2" xfId="17342" xr:uid="{73066A56-D8EF-41CD-B1ED-0ECF69D60C8D}"/>
    <cellStyle name="Heading 3 2 3 7" xfId="13784" xr:uid="{5BA95162-E99C-465F-93A3-22ADE4A55683}"/>
    <cellStyle name="Heading 3 2 3 8" xfId="2298" xr:uid="{AA66AAEF-696D-4EFA-B315-362A1282656B}"/>
    <cellStyle name="Heading 3 2 4" xfId="336" xr:uid="{3DC77A7E-1059-4582-A3BD-7BDC4E5630A7}"/>
    <cellStyle name="Heading 3 2 4 10" xfId="2777" xr:uid="{72E06AF1-C098-4E77-A780-B5D02D9E3D1E}"/>
    <cellStyle name="Heading 3 2 4 2" xfId="337" xr:uid="{260144ED-CE27-4A88-8748-45768CA2B0F9}"/>
    <cellStyle name="Heading 3 2 4 2 2" xfId="338" xr:uid="{BB6D009E-09AB-470D-AFFF-E95163605827}"/>
    <cellStyle name="Heading 3 2 4 2 2 2" xfId="19226" xr:uid="{64B24DDF-735B-4BFF-9697-7DAC0C886F0F}"/>
    <cellStyle name="Heading 3 2 4 2 2 3" xfId="10180" xr:uid="{6E13AB03-E077-45A9-B392-A5F1D93A5E24}"/>
    <cellStyle name="Heading 3 2 4 2 3" xfId="339" xr:uid="{0EF1E3F1-38D1-4B3F-9A18-055E5A9B2223}"/>
    <cellStyle name="Heading 3 2 4 2 3 2" xfId="15740" xr:uid="{9626A574-7788-41E6-B04C-CEA90FCBC540}"/>
    <cellStyle name="Heading 3 2 4 2 4" xfId="340" xr:uid="{5213585B-F647-4A53-AFFC-9F7B49EB931F}"/>
    <cellStyle name="Heading 3 2 4 2 4 2" xfId="22406" xr:uid="{58A26A00-A5ED-40A4-993D-165E9FDF89B4}"/>
    <cellStyle name="Heading 3 2 4 2 5" xfId="4323" xr:uid="{F76A65D5-E602-4E4B-AA09-47CF10860077}"/>
    <cellStyle name="Heading 3 2 4 3" xfId="341" xr:uid="{0D382DF1-8586-4B85-9242-6F03116C37F6}"/>
    <cellStyle name="Heading 3 2 4 3 2" xfId="22901" xr:uid="{8D6B87CD-70CA-4FBB-BE05-E0D83514A5BE}"/>
    <cellStyle name="Heading 3 2 4 3 3" xfId="4824" xr:uid="{AA11C7E5-D177-44DF-8FD8-15A89C4C1941}"/>
    <cellStyle name="Heading 3 2 4 4" xfId="342" xr:uid="{DF0FE920-89C7-4B0D-8DC4-D537126222F9}"/>
    <cellStyle name="Heading 3 2 4 4 2" xfId="11292" xr:uid="{B342937B-9FF2-4463-9AD9-38C06C1FD9E1}"/>
    <cellStyle name="Heading 3 2 4 4 2 2" xfId="20338" xr:uid="{FEE874A8-E32D-413A-B7F1-AA57DA6A741D}"/>
    <cellStyle name="Heading 3 2 4 4 3" xfId="16852" xr:uid="{438B949F-AD51-4028-8EE2-C8D42C23A0A9}"/>
    <cellStyle name="Heading 3 2 4 4 4" xfId="5439" xr:uid="{0DE91EA7-6F83-4361-AE87-3A0621C8EA69}"/>
    <cellStyle name="Heading 3 2 4 5" xfId="343" xr:uid="{ACBBCF8A-CD91-4E82-874F-0BCBEF83E380}"/>
    <cellStyle name="Heading 3 2 4 5 2" xfId="17463" xr:uid="{01812C88-E3DC-4758-9E41-10DAFBFB9BBD}"/>
    <cellStyle name="Heading 3 2 4 5 3" xfId="6050" xr:uid="{05892F67-FCBF-4DAE-B788-38D23683E7A8}"/>
    <cellStyle name="Heading 3 2 4 6" xfId="12709" xr:uid="{4F89354C-8C91-440D-93E8-9818691B497E}"/>
    <cellStyle name="Heading 3 2 4 7" xfId="13905" xr:uid="{1E94FCC5-A254-49BB-8C3B-E4F77F899343}"/>
    <cellStyle name="Heading 3 2 4 8" xfId="21750" xr:uid="{619239BD-E6B3-44D8-BBC4-1B17B2C6226B}"/>
    <cellStyle name="Heading 3 2 4 9" xfId="3102" xr:uid="{E2C8F3CD-67C0-4AF1-AFA8-00031A2981F3}"/>
    <cellStyle name="Heading 3 2 5" xfId="344" xr:uid="{D03BD56B-1A4D-45E6-8784-2C6892D8D7DD}"/>
    <cellStyle name="Heading 3 2 5 2" xfId="345" xr:uid="{9FEC5B8B-7802-4675-8301-36118B8235BA}"/>
    <cellStyle name="Heading 3 2 5 2 2" xfId="346" xr:uid="{49D35A71-0AEF-4986-B046-1D37111B9604}"/>
    <cellStyle name="Heading 3 2 5 2 2 2" xfId="18786" xr:uid="{2334EA34-857A-490F-B75C-BCCB0393E490}"/>
    <cellStyle name="Heading 3 2 5 2 3" xfId="347" xr:uid="{EE59B64E-FAC8-40EB-8C21-9049CD4D9456}"/>
    <cellStyle name="Heading 3 2 5 2 4" xfId="348" xr:uid="{9D510A75-56C5-4A88-BEAB-2ACB877D457D}"/>
    <cellStyle name="Heading 3 2 5 2 5" xfId="9740" xr:uid="{F357AB3F-0F69-4D77-8310-95C05F8DBF47}"/>
    <cellStyle name="Heading 3 2 5 3" xfId="349" xr:uid="{B79F0F39-B38C-4651-A6B0-76C89662CBB0}"/>
    <cellStyle name="Heading 3 2 5 3 2" xfId="14406" xr:uid="{3D5F8D04-8500-43A2-ADBF-0BAA2EC16AAC}"/>
    <cellStyle name="Heading 3 2 5 4" xfId="350" xr:uid="{B26F2EA8-ECBF-4E03-9F79-4DB8E874BDF0}"/>
    <cellStyle name="Heading 3 2 5 4 2" xfId="15308" xr:uid="{E121446D-CDB7-4388-AB0D-AFECE8242A1F}"/>
    <cellStyle name="Heading 3 2 5 5" xfId="351" xr:uid="{C0A56CA1-5CD7-40C1-9B92-5A415720CB2A}"/>
    <cellStyle name="Heading 3 2 5 5 2" xfId="22258" xr:uid="{8977355F-ACA1-41B1-8C9C-15CB9F97F880}"/>
    <cellStyle name="Heading 3 2 5 6" xfId="3591" xr:uid="{2D2D3543-4663-4017-97BB-67034519719B}"/>
    <cellStyle name="Heading 3 2 6" xfId="352" xr:uid="{917EF145-0662-4B51-B5D3-9BD74A39C494}"/>
    <cellStyle name="Heading 3 2 6 2" xfId="353" xr:uid="{B6F1E564-4DA1-4F36-BCED-BE0714C6594D}"/>
    <cellStyle name="Heading 3 2 6 2 2" xfId="22404" xr:uid="{C1BBDCE3-7F77-4D86-AF22-BCF90DCB86CB}"/>
    <cellStyle name="Heading 3 2 6 3" xfId="354" xr:uid="{20B0F2FB-42D7-4080-A578-9602EDDB6819}"/>
    <cellStyle name="Heading 3 2 6 4" xfId="355" xr:uid="{CD8E200B-545E-4413-82B6-C9C11A0C38C3}"/>
    <cellStyle name="Heading 3 2 6 5" xfId="7954" xr:uid="{DDDE1509-9DA4-46C4-99DA-751A876B8285}"/>
    <cellStyle name="Heading 3 2 7" xfId="356" xr:uid="{8BA5F918-14BE-41E0-A9B8-29E80F783A14}"/>
    <cellStyle name="Heading 3 2 7 2" xfId="357" xr:uid="{CE1B5D3C-3CBA-4400-A918-058E9F2BD665}"/>
    <cellStyle name="Heading 3 2 7 3" xfId="358" xr:uid="{96DA2C74-3355-4576-B9D4-603739ADA707}"/>
    <cellStyle name="Heading 3 2 7 4" xfId="23413" xr:uid="{A0671C9F-EF3C-4201-8920-41D5704DA2B6}"/>
    <cellStyle name="Heading 3 2 8" xfId="1136" xr:uid="{DDCB7A36-CC7C-41F5-B2BF-28B530E36614}"/>
    <cellStyle name="Heading 3 3" xfId="166" xr:uid="{18F0AF41-F64C-499A-80F3-E965D588EB16}"/>
    <cellStyle name="Heading 3 3 2" xfId="1139" xr:uid="{D4832544-BC82-4409-ADDD-417694B30942}"/>
    <cellStyle name="Heading 3 3 2 2" xfId="3859" xr:uid="{F7E6DDC0-9C98-4A26-8CE3-30D3B381C31A}"/>
    <cellStyle name="Heading 3 3 3" xfId="3592" xr:uid="{30FF3553-A876-4192-A423-0B1D27BF9478}"/>
    <cellStyle name="Heading 3 3 4" xfId="1138" xr:uid="{10ABB4AF-2923-4402-96C3-7F9C112A6F05}"/>
    <cellStyle name="Heading 3 4" xfId="1140" xr:uid="{753C7C0B-AC0C-453B-A34B-DD6BBE932D2C}"/>
    <cellStyle name="Heading 3 4 2" xfId="2776" xr:uid="{6B7780E8-ED10-4142-A34B-3EDE77BBC31B}"/>
    <cellStyle name="Heading 3 4 2 2" xfId="14604" xr:uid="{D80B9AB6-1F22-47BD-A558-D425F3D8C559}"/>
    <cellStyle name="Heading 3 4 2 3" xfId="18085" xr:uid="{C2878EF1-185E-40EE-A780-5CC55DFF8CE1}"/>
    <cellStyle name="Heading 3 4 3" xfId="9068" xr:uid="{EB7F5C69-E331-4F35-819C-5A617A18D174}"/>
    <cellStyle name="Heading 3 4 3 2" xfId="14621" xr:uid="{FCD54AAF-1674-4477-93A3-045ED24FB749}"/>
    <cellStyle name="Heading 3 4 3 3" xfId="18114" xr:uid="{0AA88FAC-A76E-44EA-95C9-1AC1A100F396}"/>
    <cellStyle name="Heading 3 4 4" xfId="9088" xr:uid="{23251961-71A6-4950-8848-D2D243FFF00B}"/>
    <cellStyle name="Heading 3 4 4 2" xfId="14637" xr:uid="{C4AAC1CB-C121-4E3B-A2DA-6160E85C2AE0}"/>
    <cellStyle name="Heading 3 4 4 3" xfId="18134" xr:uid="{D33A2FD1-C4B5-4658-9ABD-0D1A71EDE8E8}"/>
    <cellStyle name="Heading 3 4 5" xfId="12367" xr:uid="{535B854B-E31B-44EE-920C-2CD58EC80523}"/>
    <cellStyle name="Heading 3 4 5 2" xfId="14653" xr:uid="{31E2FCF1-C4B7-4727-B7A8-906EAFA510AF}"/>
    <cellStyle name="Heading 3 4 5 3" xfId="21413" xr:uid="{8C9BD8CA-EB3B-4EF1-9BDB-DA08AD2A7FB4}"/>
    <cellStyle name="Heading 3 4 6" xfId="12485" xr:uid="{12B67B19-6D8C-4DAD-909C-912D2DD39D5B}"/>
    <cellStyle name="Heading 3 4 6 2" xfId="21532" xr:uid="{76057B1A-15B4-4420-87A7-B3887DFFBCE7}"/>
    <cellStyle name="Heading 3 4 7" xfId="14407" xr:uid="{17CE2F93-6308-47E2-BFF4-6DF06C7EA28F}"/>
    <cellStyle name="Heading 3 4 8" xfId="17945" xr:uid="{82BF95F3-DFFA-484C-A544-7795B4254F86}"/>
    <cellStyle name="Heading 3 5" xfId="1141" xr:uid="{43CE59DD-5698-4A70-967A-6F64C5E61239}"/>
    <cellStyle name="Heading 3 5 2" xfId="9039" xr:uid="{0AEA433C-ADB2-4A8B-8B3D-552ECD3E10F9}"/>
    <cellStyle name="Heading 3 5 2 2" xfId="14605" xr:uid="{3CBF5BC6-E12B-45CA-91C4-57794FFF57E1}"/>
    <cellStyle name="Heading 3 5 2 3" xfId="18086" xr:uid="{4DF08780-4208-498E-A73A-343DEBAB5992}"/>
    <cellStyle name="Heading 3 5 3" xfId="9069" xr:uid="{C67079CC-413C-464D-9D0F-21FF1ACF0D60}"/>
    <cellStyle name="Heading 3 5 3 2" xfId="14622" xr:uid="{CF121883-F1F7-4769-9B35-D58E0D87653C}"/>
    <cellStyle name="Heading 3 5 3 3" xfId="18115" xr:uid="{11554146-1C44-45F5-8334-1A56D327C5A7}"/>
    <cellStyle name="Heading 3 5 4" xfId="9089" xr:uid="{B96E62B5-26CA-4261-9C89-BFE2F2835B35}"/>
    <cellStyle name="Heading 3 5 4 2" xfId="14638" xr:uid="{A575696F-166E-4F2E-B347-F0FA717F5BC1}"/>
    <cellStyle name="Heading 3 5 4 3" xfId="18135" xr:uid="{879A2E60-206A-494E-9BE7-3910FF4027E1}"/>
    <cellStyle name="Heading 3 5 5" xfId="12368" xr:uid="{C1EE363B-407C-4564-8D5E-10182400C785}"/>
    <cellStyle name="Heading 3 5 5 2" xfId="14654" xr:uid="{D591323B-5E79-4544-8206-883AD1AD9D9E}"/>
    <cellStyle name="Heading 3 5 5 3" xfId="21414" xr:uid="{F5EFA4C5-9C26-446B-8185-7BCEFF4F0D1A}"/>
    <cellStyle name="Heading 3 5 6" xfId="12486" xr:uid="{1E340D8F-2985-44A3-B05C-5CF2F1B69086}"/>
    <cellStyle name="Heading 3 5 6 2" xfId="21533" xr:uid="{9C204021-9CF4-44ED-8445-E2A6F2689E8D}"/>
    <cellStyle name="Heading 3 5 7" xfId="14408" xr:uid="{9FA5283B-73B3-4354-B4BE-A064AF326CD1}"/>
    <cellStyle name="Heading 3 5 8" xfId="17946" xr:uid="{2E21B0E2-C53F-4BE0-BB3B-4A9EBE7BC44A}"/>
    <cellStyle name="Heading 3 5 9" xfId="7955" xr:uid="{9E587A56-9945-442E-BE2F-0A35BAB11AFB}"/>
    <cellStyle name="Heading 3 6" xfId="1142" xr:uid="{FEA47E89-6DB7-4C17-B0B7-46BB26DAA3ED}"/>
    <cellStyle name="Heading 3 6 2" xfId="9040" xr:uid="{6B5D921B-F3A7-4D90-84FC-DE53863BD55B}"/>
    <cellStyle name="Heading 3 6 2 2" xfId="14606" xr:uid="{A3A07BC7-3F92-4EE4-B4B4-EAA8326D2C63}"/>
    <cellStyle name="Heading 3 6 2 3" xfId="18087" xr:uid="{1AC7C769-B50D-4E0F-8460-6933D6F1CE09}"/>
    <cellStyle name="Heading 3 6 3" xfId="9070" xr:uid="{441B46FC-8916-4E0E-97B0-D4A7DEEEEEA9}"/>
    <cellStyle name="Heading 3 6 3 2" xfId="14623" xr:uid="{63B64C58-370E-4085-9180-87E0A48EB738}"/>
    <cellStyle name="Heading 3 6 3 3" xfId="18116" xr:uid="{45A83C94-2241-4F19-BE96-E52E0DC9521C}"/>
    <cellStyle name="Heading 3 6 4" xfId="9090" xr:uid="{85DAD692-D91A-4FDB-AB32-5B12ADE684C3}"/>
    <cellStyle name="Heading 3 6 4 2" xfId="14639" xr:uid="{0716FE9E-3956-4F69-87F1-42F7DE2CFF3F}"/>
    <cellStyle name="Heading 3 6 4 3" xfId="18136" xr:uid="{6B66F06C-5EDF-4B89-8B8C-6BC4A4D85938}"/>
    <cellStyle name="Heading 3 6 5" xfId="12369" xr:uid="{465BD3C9-CE54-4EFB-8D4A-1422A0A23173}"/>
    <cellStyle name="Heading 3 6 5 2" xfId="14655" xr:uid="{B44FC969-0629-4009-BF63-3332BC865A39}"/>
    <cellStyle name="Heading 3 6 5 3" xfId="21415" xr:uid="{40A14C89-1DC1-4D11-912C-EA170384741A}"/>
    <cellStyle name="Heading 3 6 6" xfId="12487" xr:uid="{5513C986-FEA8-42A5-BE45-E9C91B595A3C}"/>
    <cellStyle name="Heading 3 6 6 2" xfId="21534" xr:uid="{6D035D94-8C59-4332-99CA-F016FF112BDB}"/>
    <cellStyle name="Heading 3 6 7" xfId="14409" xr:uid="{894AC52F-F5E0-4FF7-ADDB-EB3DBA988556}"/>
    <cellStyle name="Heading 3 6 8" xfId="17947" xr:uid="{7238D78E-EA25-4397-B5FB-6904ED967DE1}"/>
    <cellStyle name="Heading 3 6 9" xfId="7956" xr:uid="{05A1F17E-52CD-4FF0-A599-AE3AC2B9D6E6}"/>
    <cellStyle name="Heading 3 7" xfId="1143" xr:uid="{ABAEF457-BE52-4434-9175-6F8BF9EF48BF}"/>
    <cellStyle name="Heading 3 7 2" xfId="9041" xr:uid="{A2D0B9D1-E743-4C8F-8593-CCD14F38237C}"/>
    <cellStyle name="Heading 3 7 2 2" xfId="14607" xr:uid="{3C5A6E16-1649-4C91-8094-D513015CECC6}"/>
    <cellStyle name="Heading 3 7 2 3" xfId="18088" xr:uid="{8E9C3302-BBF8-4AB1-BD49-AF02CCCB7755}"/>
    <cellStyle name="Heading 3 7 3" xfId="9071" xr:uid="{AA2809DC-0FAB-4100-B88C-F5D3E0B8F59D}"/>
    <cellStyle name="Heading 3 7 3 2" xfId="14624" xr:uid="{1DA184FD-DBE4-47BB-9B5C-31D84504C5EF}"/>
    <cellStyle name="Heading 3 7 3 3" xfId="18117" xr:uid="{1ACBE3CC-FE75-4513-88D0-34E80128FEF2}"/>
    <cellStyle name="Heading 3 7 4" xfId="9091" xr:uid="{3831C028-04F0-4F9A-B190-E7DF0F2D57DA}"/>
    <cellStyle name="Heading 3 7 4 2" xfId="14640" xr:uid="{8DAA8E65-B43E-4A49-841C-F4320E308852}"/>
    <cellStyle name="Heading 3 7 4 3" xfId="18137" xr:uid="{00C024BF-7AED-4551-8AF8-E03277405D22}"/>
    <cellStyle name="Heading 3 7 5" xfId="12370" xr:uid="{9BAB067F-51D2-4FC1-8217-C7DA8D90F176}"/>
    <cellStyle name="Heading 3 7 5 2" xfId="14656" xr:uid="{EEF4EDDB-1CD8-44AA-9BD5-B590DF9D6938}"/>
    <cellStyle name="Heading 3 7 5 3" xfId="21416" xr:uid="{093B1EF2-79C9-4550-A314-B4D568CF41C7}"/>
    <cellStyle name="Heading 3 7 6" xfId="12488" xr:uid="{146EA895-631B-4B7A-BB32-47A129A467AC}"/>
    <cellStyle name="Heading 3 7 6 2" xfId="21535" xr:uid="{D4CF44F0-4FC7-4B81-9A9B-D37EDCA59F97}"/>
    <cellStyle name="Heading 3 7 7" xfId="14410" xr:uid="{4CA1354A-D81D-481A-B37A-6000329781A9}"/>
    <cellStyle name="Heading 3 7 8" xfId="17948" xr:uid="{8781DBF4-1777-432D-957E-ECDFB58A0809}"/>
    <cellStyle name="Heading 3 7 9" xfId="7957" xr:uid="{1B235F2E-4EBC-4CDB-A04D-9E3001EFC3AF}"/>
    <cellStyle name="Heading 3 8" xfId="1144" xr:uid="{813B52EE-89C5-452E-A84A-0432053853F5}"/>
    <cellStyle name="Heading 3 8 2" xfId="9042" xr:uid="{33764A99-DA57-4886-83E0-C5425325AFBD}"/>
    <cellStyle name="Heading 3 8 2 2" xfId="14608" xr:uid="{043B1576-D6A2-4E4B-AB6B-F02EBA346B7C}"/>
    <cellStyle name="Heading 3 8 2 3" xfId="18089" xr:uid="{B775A316-64E7-4FE7-AA9C-3EFA0B32B459}"/>
    <cellStyle name="Heading 3 8 3" xfId="9072" xr:uid="{B4E13D41-1C50-435F-89C1-E3F85577E51B}"/>
    <cellStyle name="Heading 3 8 3 2" xfId="14625" xr:uid="{C535FEC4-4673-435A-B1F2-5DE64B3E4C63}"/>
    <cellStyle name="Heading 3 8 3 3" xfId="18118" xr:uid="{7EFAF79D-FE13-4B97-A31D-CB7030705C5A}"/>
    <cellStyle name="Heading 3 8 4" xfId="9092" xr:uid="{B46E2B41-A032-4D63-A884-5973C896D1A1}"/>
    <cellStyle name="Heading 3 8 4 2" xfId="14641" xr:uid="{E02B9CEE-252C-4F01-8637-CBA7755F0D6D}"/>
    <cellStyle name="Heading 3 8 4 3" xfId="18138" xr:uid="{EBB9111A-472C-4FE7-9837-F3E844A9EBFA}"/>
    <cellStyle name="Heading 3 8 5" xfId="12371" xr:uid="{DBF53318-6681-45C9-AD2D-C14D9D4F7584}"/>
    <cellStyle name="Heading 3 8 5 2" xfId="14657" xr:uid="{1ACAB876-AA0E-43EA-95D8-1C67B70112B4}"/>
    <cellStyle name="Heading 3 8 5 3" xfId="21417" xr:uid="{695BCBFA-9046-43E5-9290-CE205C97DACF}"/>
    <cellStyle name="Heading 3 8 6" xfId="12489" xr:uid="{5118495C-1E01-419D-8824-0A624286EC15}"/>
    <cellStyle name="Heading 3 8 6 2" xfId="21536" xr:uid="{8BD55B14-3C28-4748-B538-DB8AB9AC4924}"/>
    <cellStyle name="Heading 3 8 7" xfId="14411" xr:uid="{63EBF4DD-C65B-46AF-81D2-1405602B19E8}"/>
    <cellStyle name="Heading 3 8 8" xfId="17949" xr:uid="{97B556B1-CEB4-4F78-9931-D76871A732E3}"/>
    <cellStyle name="Heading 3 8 9" xfId="7958" xr:uid="{05F662A4-7A0F-4E2A-B6CA-BEFC123C7144}"/>
    <cellStyle name="Heading 3 9" xfId="1145" xr:uid="{C7A3F87A-28CC-4057-9064-5AB3FCFA3458}"/>
    <cellStyle name="Heading 3 9 2" xfId="9043" xr:uid="{6E2EB799-D681-417F-8F9D-AF16C566FB6F}"/>
    <cellStyle name="Heading 3 9 2 2" xfId="14609" xr:uid="{8C231251-68C4-4614-B7B7-FFD6922151CA}"/>
    <cellStyle name="Heading 3 9 2 3" xfId="18090" xr:uid="{A3893C14-2B74-43AD-85DF-F3D3DCA27CAE}"/>
    <cellStyle name="Heading 3 9 3" xfId="9073" xr:uid="{78D97C97-95DF-4A36-BB5A-3A18EE4ECCD3}"/>
    <cellStyle name="Heading 3 9 3 2" xfId="14626" xr:uid="{B27A7794-9CF7-40A0-A817-9700B60C1996}"/>
    <cellStyle name="Heading 3 9 3 3" xfId="18119" xr:uid="{5D2E0CC3-EF40-4C1B-92FD-A1B1F93C609A}"/>
    <cellStyle name="Heading 3 9 4" xfId="9093" xr:uid="{B5308526-19C8-4C05-9B5D-CA7E102581FB}"/>
    <cellStyle name="Heading 3 9 4 2" xfId="14642" xr:uid="{BF8A30F0-4B74-47E0-AA98-15B0A4483A42}"/>
    <cellStyle name="Heading 3 9 4 3" xfId="18139" xr:uid="{143AB82B-3CAB-41AE-98D9-94AF288042E5}"/>
    <cellStyle name="Heading 3 9 5" xfId="12372" xr:uid="{79964B51-3BD2-416F-B40A-97F171D9C1DC}"/>
    <cellStyle name="Heading 3 9 5 2" xfId="14658" xr:uid="{65427D80-FEB4-483F-8A50-375DF68A532F}"/>
    <cellStyle name="Heading 3 9 5 3" xfId="21418" xr:uid="{CA8A7C21-981A-4291-8130-2615CAAD156D}"/>
    <cellStyle name="Heading 3 9 6" xfId="12490" xr:uid="{CD8FE32A-010B-4FB4-9C86-BCA66689D474}"/>
    <cellStyle name="Heading 3 9 6 2" xfId="21537" xr:uid="{18B5A940-AF0F-461F-AA13-929B1BA70CE5}"/>
    <cellStyle name="Heading 3 9 7" xfId="14412" xr:uid="{6ACCDB2B-885D-4D6C-853F-3F14F8F8B130}"/>
    <cellStyle name="Heading 3 9 8" xfId="17950" xr:uid="{E8193484-1AB8-446F-945C-E7452E26FAA2}"/>
    <cellStyle name="Heading 3 9 9" xfId="7959" xr:uid="{FD99BCD9-CA38-4BF9-B320-B54286FF937B}"/>
    <cellStyle name="Heading 3 Text" xfId="2267" xr:uid="{F95CC52D-FAA6-44F2-ADB8-BB8222455E81}"/>
    <cellStyle name="Heading 3." xfId="1146" xr:uid="{93AADA9E-4A09-4700-A4F7-233620F8EF68}"/>
    <cellStyle name="Heading 3+" xfId="1147" xr:uid="{6238C157-023C-47A2-9BAD-E5FAC71EB5CD}"/>
    <cellStyle name="Heading 4" xfId="4" builtinId="19"/>
    <cellStyle name="Heading 4 10" xfId="1148" xr:uid="{ABE02D2B-AFCD-42F7-A8FA-5F2425BBF5DD}"/>
    <cellStyle name="Heading 4 10 2" xfId="7960" xr:uid="{4E8286C5-D4BB-440C-A9FD-B18A90CD27C0}"/>
    <cellStyle name="Heading 4 11" xfId="1149" xr:uid="{211A68C2-936E-48DD-AF15-16090146AB75}"/>
    <cellStyle name="Heading 4 11 2" xfId="7961" xr:uid="{ABE93628-251B-495F-AADB-263C046DA40F}"/>
    <cellStyle name="Heading 4 12" xfId="1150" xr:uid="{4DC49946-8F98-4220-BB7F-9B363AD3C6BE}"/>
    <cellStyle name="Heading 4 12 2" xfId="7962" xr:uid="{BE41F50C-6CF2-4CDA-913A-791F1FF8F87B}"/>
    <cellStyle name="Heading 4 13" xfId="1151" xr:uid="{8622BC2A-1DF2-48D4-A149-D053519442B8}"/>
    <cellStyle name="Heading 4 14" xfId="1152" xr:uid="{89B379BE-4402-4B00-83EA-035A71FE9D64}"/>
    <cellStyle name="Heading 4 15" xfId="1153" xr:uid="{5FB19E39-DE54-4D64-A43D-880EA1FC80FE}"/>
    <cellStyle name="Heading 4 16" xfId="1154" xr:uid="{AC27E724-691E-457C-AAED-05B478705227}"/>
    <cellStyle name="Heading 4 17" xfId="1155" xr:uid="{91A03ADC-963F-4601-867B-1C3FE614C26C}"/>
    <cellStyle name="Heading 4 18" xfId="1156" xr:uid="{5F82CB02-30E3-4595-88F2-97B8358CB994}"/>
    <cellStyle name="Heading 4 2" xfId="167" xr:uid="{D56C3B73-C85D-4761-AE27-83735B9ED423}"/>
    <cellStyle name="Heading 4 2 2" xfId="168" xr:uid="{9FE85D7A-8536-43D2-97E8-EAAC470F21AA}"/>
    <cellStyle name="Heading 4 2 2 2" xfId="14413" xr:uid="{4EE6A767-E80F-4A9F-B413-3D1E78D88C23}"/>
    <cellStyle name="Heading 4 2 2 3" xfId="3860" xr:uid="{E080C1B5-20AC-4C02-AA6A-81E2DF6EE07B}"/>
    <cellStyle name="Heading 4 2 2 4" xfId="1158" xr:uid="{039517F7-1643-46E0-A2C8-4AFF6991E69C}"/>
    <cellStyle name="Heading 4 2 3" xfId="3593" xr:uid="{C7ACAEAD-928E-4C71-B820-3A339D40CC3C}"/>
    <cellStyle name="Heading 4 2 4" xfId="7963" xr:uid="{50ABB16F-1CE6-4E46-B538-12C4FBEE2AB1}"/>
    <cellStyle name="Heading 4 2 5" xfId="3020" xr:uid="{6F1049A1-DDD4-4C5B-A0C6-987E45F6D32E}"/>
    <cellStyle name="Heading 4 2 6" xfId="1157" xr:uid="{1E978102-6E1C-43BD-ACB1-C0CBF3A507D5}"/>
    <cellStyle name="Heading 4 3" xfId="169" xr:uid="{B8076603-91CD-4127-9E8D-0C242B6CF85A}"/>
    <cellStyle name="Heading 4 3 2" xfId="1160" xr:uid="{3EB85C77-B505-418A-A031-A6681F25D9E5}"/>
    <cellStyle name="Heading 4 3 2 2" xfId="3861" xr:uid="{9C31F84F-DE7A-4FF6-8640-A20E93595623}"/>
    <cellStyle name="Heading 4 3 3" xfId="3594" xr:uid="{B873EADF-0E76-4FC0-A297-3CCDF5A839BC}"/>
    <cellStyle name="Heading 4 3 4" xfId="1159" xr:uid="{3BC4FBAA-3A15-4267-8559-71D4F7ACCC74}"/>
    <cellStyle name="Heading 4 4" xfId="1161" xr:uid="{6CA76EE9-6CD5-49AE-89DA-F5D6126BD59A}"/>
    <cellStyle name="Heading 4 5" xfId="1162" xr:uid="{2D7FD309-6C99-4F4C-B61C-E27C4D7145FA}"/>
    <cellStyle name="Heading 4 5 2" xfId="7964" xr:uid="{557F827F-9274-4831-AA75-4AE4E2437CAC}"/>
    <cellStyle name="Heading 4 6" xfId="1163" xr:uid="{2A68B5B9-DA19-4F74-B82B-C2EA7F6B8BA5}"/>
    <cellStyle name="Heading 4 6 2" xfId="7965" xr:uid="{16C01537-4BCE-4AEF-9E95-2B1367A7FCEA}"/>
    <cellStyle name="Heading 4 7" xfId="1164" xr:uid="{139B21C8-7A20-4121-8C26-95BDEE90E634}"/>
    <cellStyle name="Heading 4 7 2" xfId="7966" xr:uid="{DDEA1AEC-7A6F-43E2-ABCC-FBA6959E6B00}"/>
    <cellStyle name="Heading 4 8" xfId="1165" xr:uid="{32DDEF9D-8438-4082-8C6C-5EA4C37707FB}"/>
    <cellStyle name="Heading 4 8 2" xfId="7967" xr:uid="{84B37B9E-8DB3-4395-B4CB-1E670599051E}"/>
    <cellStyle name="Heading 4 9" xfId="1166" xr:uid="{1F9B7AF8-A10F-4CC4-83FF-8F3F9D95A5DE}"/>
    <cellStyle name="Heading 4 9 2" xfId="7968" xr:uid="{CB41EF33-EE81-4AFD-A223-1B3E8831A1C6}"/>
    <cellStyle name="Heading 4." xfId="1167" xr:uid="{79DE194D-642D-42C1-B741-88DB9AAE3DCE}"/>
    <cellStyle name="Heading 5" xfId="1168" xr:uid="{4EBDEE90-BE91-4A46-B691-8B96BAC7E05B}"/>
    <cellStyle name="Heading 5 2" xfId="1169" xr:uid="{2E3EE30B-9981-422C-95AD-4EFD8543D2CA}"/>
    <cellStyle name="Heading 5 2 2" xfId="1170" xr:uid="{2CEC115A-35D5-4F73-BC72-98C4F73E170C}"/>
    <cellStyle name="Heading 5 2 2 2" xfId="2703" xr:uid="{FA142C61-E8DD-4507-A444-00EA740B9D97}"/>
    <cellStyle name="Heading 5 2 2 3" xfId="2773" xr:uid="{5649688D-85A4-42EB-A2F1-D33798184F81}"/>
    <cellStyle name="Heading 5 2 3" xfId="2702" xr:uid="{2CA009AA-67AF-4B79-99B4-2BEB176E4CBB}"/>
    <cellStyle name="Heading 5 2 4" xfId="2774" xr:uid="{93280F8D-E876-43E7-A64B-1E7B2F3DEF3B}"/>
    <cellStyle name="Heading 5 3" xfId="1171" xr:uid="{68EF8525-5F80-4CBB-B276-D87F49B2981E}"/>
    <cellStyle name="Heading 5 3 2" xfId="1172" xr:uid="{68821EA8-4EF1-45A4-BB3F-26CE3E67B3D3}"/>
    <cellStyle name="Heading 5 3 2 2" xfId="2705" xr:uid="{B3E12461-B4BD-433A-ADBA-7AE77F6887BC}"/>
    <cellStyle name="Heading 5 3 2 3" xfId="2771" xr:uid="{24718238-BBC9-4123-B9E8-736CCE8A9A7D}"/>
    <cellStyle name="Heading 5 3 3" xfId="2704" xr:uid="{5D32B6FF-8247-4016-81C2-AABF20814E3D}"/>
    <cellStyle name="Heading 5 3 4" xfId="2772" xr:uid="{E15E0FDA-5B63-4B62-8E2E-3D863AD9FAF4}"/>
    <cellStyle name="Heading 5 4" xfId="1173" xr:uid="{E29371E2-342E-41F6-9B3A-96934E84A9DF}"/>
    <cellStyle name="Heading 5 4 2" xfId="2706" xr:uid="{BA4560AC-93D0-4387-8D5C-8A19AC041F81}"/>
    <cellStyle name="Heading 5 4 3" xfId="2770" xr:uid="{46B6F3D4-E493-430B-86C3-D5B135874CA0}"/>
    <cellStyle name="Heading 5 5" xfId="2701" xr:uid="{76B6CF6E-FF11-4CDD-B4B9-1E4A8241E84B}"/>
    <cellStyle name="Heading 5 6" xfId="2775" xr:uid="{ED19664D-A86B-485C-8B30-ED04D988B5D9}"/>
    <cellStyle name="heading 5 7" xfId="7969" xr:uid="{54648FD0-2A18-4D8B-9366-15B70973621E}"/>
    <cellStyle name="Heading 6" xfId="1174" xr:uid="{E014434A-DA77-47FA-9EB7-180366FCD1B4}"/>
    <cellStyle name="Heading 6 2" xfId="1175" xr:uid="{B364998E-EA86-4916-981C-F3BEDE3296C4}"/>
    <cellStyle name="Heading 6 2 2" xfId="1176" xr:uid="{125AD11E-13FF-4AFF-8F4A-72914C8F049E}"/>
    <cellStyle name="Heading 6 2 2 2" xfId="2709" xr:uid="{17897DF6-F630-4492-9EC1-60FFCF957A77}"/>
    <cellStyle name="Heading 6 2 2 3" xfId="2767" xr:uid="{E3E9ED64-AD18-4E88-BB33-61731EE88184}"/>
    <cellStyle name="Heading 6 2 3" xfId="2708" xr:uid="{1360A1AF-7EAF-4AEC-846E-C2C246F6A607}"/>
    <cellStyle name="Heading 6 2 4" xfId="2768" xr:uid="{727C1D5F-5FF2-4047-B3F7-CDD1C0419906}"/>
    <cellStyle name="Heading 6 3" xfId="1177" xr:uid="{7909EAA8-9164-45D6-A5FD-8148D18A9E94}"/>
    <cellStyle name="Heading 6 3 2" xfId="1178" xr:uid="{C11C4401-BEDB-4D34-A5A1-C9B62C4E0BD6}"/>
    <cellStyle name="Heading 6 3 2 2" xfId="2711" xr:uid="{CC12DD3C-2BA6-46C1-B08C-4D4C6BB078F0}"/>
    <cellStyle name="Heading 6 3 2 3" xfId="2765" xr:uid="{0A60C8C5-9E68-4016-88A7-86543A6CDC2D}"/>
    <cellStyle name="Heading 6 3 3" xfId="2710" xr:uid="{8A6CF49D-733C-4B9E-A5FD-3BCF32D27FEB}"/>
    <cellStyle name="Heading 6 3 4" xfId="2766" xr:uid="{8A3B8770-C9E5-437F-B396-81CE76618FA9}"/>
    <cellStyle name="Heading 6 4" xfId="1179" xr:uid="{FDBA3681-4CA3-4AD1-BFC4-22FC9B171607}"/>
    <cellStyle name="Heading 6 4 2" xfId="2712" xr:uid="{999BE943-6F27-47E3-973A-44D19EA4C41E}"/>
    <cellStyle name="Heading 6 4 3" xfId="2764" xr:uid="{96AB571B-F086-41D6-ADD8-65642AC13F87}"/>
    <cellStyle name="Heading 6 5" xfId="2707" xr:uid="{9C0E6001-5DFB-4FBD-9EE9-57CBD68FBAD6}"/>
    <cellStyle name="Heading 6 6" xfId="2769" xr:uid="{7428415D-E82A-41DC-A0E6-69A09DD09392}"/>
    <cellStyle name="Heading 7" xfId="1180" xr:uid="{71AF57DC-86F1-45A3-A1EA-5FD52D5F210F}"/>
    <cellStyle name="Heading 7 2" xfId="1181" xr:uid="{B1A1C370-9E0B-4DBE-B355-FCDC3674EC5A}"/>
    <cellStyle name="Heading 7 2 2" xfId="2714" xr:uid="{EC9B6D10-90F2-4DFB-8BE4-7DF8240DB860}"/>
    <cellStyle name="Heading 7 2 3" xfId="2762" xr:uid="{E87C4930-6B9F-4F6E-9A95-A08A28B4399F}"/>
    <cellStyle name="Heading 7 3" xfId="2713" xr:uid="{22F5890F-A47A-4863-B9FE-83E707D8BDD1}"/>
    <cellStyle name="Heading 7 4" xfId="2763" xr:uid="{80DAB1B4-D421-4B98-9E8E-DA5048F76623}"/>
    <cellStyle name="Heading 8" xfId="1182" xr:uid="{11CB4AFA-94E9-4FC3-9A30-6CBBB3749C1F}"/>
    <cellStyle name="Heading 8 2" xfId="1183" xr:uid="{91A55AAB-34CF-48FC-BCCA-5E50015E3200}"/>
    <cellStyle name="Heading 8 2 2" xfId="2716" xr:uid="{4D88C753-A84E-4D43-86DD-C3EF15747E1A}"/>
    <cellStyle name="Heading 8 2 3" xfId="2760" xr:uid="{11DDBDB2-5E86-4E6B-AA63-B94E68D1080F}"/>
    <cellStyle name="Heading 8 3" xfId="2715" xr:uid="{10B8E3D3-CB99-48A2-8517-BD1E0526E679}"/>
    <cellStyle name="Heading 8 4" xfId="2761" xr:uid="{26097329-63D1-4FB8-81A1-5C3651C5D06F}"/>
    <cellStyle name="Heading 9" xfId="1184" xr:uid="{0C948002-3BAC-49CF-901C-95AB2F9C56A8}"/>
    <cellStyle name="Heading 9 2" xfId="1185" xr:uid="{754BB914-5DBB-4D8D-9C0B-53EBB55ADE5D}"/>
    <cellStyle name="Heading 9 2 2" xfId="2718" xr:uid="{4E89E44F-D85D-44F1-A8AD-CEDB849B2188}"/>
    <cellStyle name="Heading 9 2 3" xfId="2758" xr:uid="{BCF29802-7726-4C7F-B556-3B94803AFBBE}"/>
    <cellStyle name="Heading 9 3" xfId="2717" xr:uid="{4019281A-D4C2-4164-AC84-5039AA25C324}"/>
    <cellStyle name="Heading 9 4" xfId="2759" xr:uid="{0BE417E0-17D3-4780-8AFA-F8F0609383E2}"/>
    <cellStyle name="Heading(4)" xfId="170" xr:uid="{0DDEE498-6D0C-44F4-8EBC-397265D67EE4}"/>
    <cellStyle name="Heading1" xfId="1186" xr:uid="{627E674E-8C5F-4C54-9108-BBB3181B8348}"/>
    <cellStyle name="Heading1 2" xfId="1187" xr:uid="{BCBD22DA-378C-4DF1-B181-2337B1114C30}"/>
    <cellStyle name="Heading1 3" xfId="7970" xr:uid="{FF2160DD-A4BF-4D3E-9020-3302C8EF5CDA}"/>
    <cellStyle name="Heading1 4" xfId="23964" xr:uid="{08774977-8257-4E3F-AC54-53CBD7B99D0D}"/>
    <cellStyle name="Heading2" xfId="1188" xr:uid="{3C2A83EE-05FF-40BC-AB5A-99599403122E}"/>
    <cellStyle name="Heading2 2" xfId="7971" xr:uid="{71BE49FD-CF80-46B3-A494-2461C7F8DA76}"/>
    <cellStyle name="Heading3" xfId="1189" xr:uid="{248A8291-7C14-4F30-B9C2-96D3FC1E0A13}"/>
    <cellStyle name="Heading4" xfId="1190" xr:uid="{5BD8604C-7AA1-42D0-8BFD-81FB631F4BB3}"/>
    <cellStyle name="Heading4 2" xfId="1191" xr:uid="{9CBC4FAD-89C1-40BE-8DA6-7233FDD3903A}"/>
    <cellStyle name="Heading4_7. Ass" xfId="1192" xr:uid="{1845BEE0-3DAA-4722-9CB9-4B294B8F1D98}"/>
    <cellStyle name="HeadingMerged" xfId="7972" xr:uid="{D935D6A9-2C46-4953-A73A-D3F5C656A70A}"/>
    <cellStyle name="Headings" xfId="1193" xr:uid="{D3884E31-03F0-4518-9F96-C0C4166CE56C}"/>
    <cellStyle name="Hidden" xfId="1194" xr:uid="{512A97A6-F97E-4EF2-AE4C-236FC871E09C}"/>
    <cellStyle name="Hidden 2" xfId="7974" xr:uid="{E822358E-9954-4424-85C1-40154345EB6C}"/>
    <cellStyle name="Hidden 3" xfId="7973" xr:uid="{6F4F6E1A-C7A0-40D4-B516-A7856B0E64A7}"/>
    <cellStyle name="Historical year" xfId="7975" xr:uid="{638DD0B9-338B-4D66-86EB-0035F36C4FD1}"/>
    <cellStyle name="HPproduct" xfId="1195" xr:uid="{154AFC4F-E076-4F1F-A9D8-C31ACE9A0510}"/>
    <cellStyle name="HPproduct 2" xfId="2757" xr:uid="{01A1DC89-BEA2-417F-8F7A-90C0F898260B}"/>
    <cellStyle name="Hyperlink" xfId="10" builtinId="8"/>
    <cellStyle name="Hyperlink 2" xfId="171" xr:uid="{823AF27D-9C3F-4597-A65F-0D0B902BFAB7}"/>
    <cellStyle name="Hyperlink 2 2" xfId="359" xr:uid="{E5871B0F-34E8-47DF-9597-540BC7091633}"/>
    <cellStyle name="Hyperlink 2 2 2" xfId="3791" xr:uid="{B76E5CB0-4D9C-43AC-B66D-E16C645E5DBD}"/>
    <cellStyle name="Hyperlink 2 2 3" xfId="2995" xr:uid="{11ED9CAC-73D8-4B20-AA0D-4B46D2BEDD18}"/>
    <cellStyle name="Hyperlink 2 3" xfId="360" xr:uid="{A19E6682-3DB9-4E57-A6F4-2C1837281C23}"/>
    <cellStyle name="Hyperlink 2 3 2" xfId="3524" xr:uid="{5F4EAB4B-A7D2-4200-9F05-CC96064C0524}"/>
    <cellStyle name="Hyperlink 3" xfId="361" xr:uid="{08B5833F-1CF1-4181-B159-96D87BABBDB2}"/>
    <cellStyle name="Hyperlink 3 2" xfId="4051" xr:uid="{C7CE310F-C004-4B1D-B4B8-F23FB867A4BF}"/>
    <cellStyle name="Hyperlink 3 2 2" xfId="14414" xr:uid="{81EF6E6C-377B-4BEF-A96D-480643EC5AAB}"/>
    <cellStyle name="Hyperlink 3 3" xfId="3783" xr:uid="{BEE319BC-B1FB-4CCB-9229-1382E7DC5462}"/>
    <cellStyle name="Hyperlink 3 4" xfId="7976" xr:uid="{600D9106-DD88-489B-997A-9A110E7BFD60}"/>
    <cellStyle name="Hyperlink 3 5" xfId="3049" xr:uid="{499DB189-EC2A-4FE8-86A9-9837C896BFD9}"/>
    <cellStyle name="Hyperlink 3 6" xfId="1196" xr:uid="{6DB23549-8522-4B49-ABCC-F3239746E24F}"/>
    <cellStyle name="Hyperlink 4" xfId="362" xr:uid="{D0BF19B5-30E1-4429-B47F-AC446454DC43}"/>
    <cellStyle name="Hyperlink 4 2" xfId="2262" xr:uid="{8C7E681D-13EA-45C4-A25C-5375568894A6}"/>
    <cellStyle name="Hyperlink 4 2 2" xfId="7977" xr:uid="{76626891-9340-4F8E-A10C-6F79C7FBD827}"/>
    <cellStyle name="Hyperlink 4 3" xfId="3972" xr:uid="{4500566D-FD7A-441A-8BCD-6B27FFAFC6A9}"/>
    <cellStyle name="Hyperlink 4 4" xfId="1197" xr:uid="{E2173844-7D41-4130-8265-7B4819F16D4A}"/>
    <cellStyle name="Hyperlink 5" xfId="565" xr:uid="{67BFBBC7-C506-49E6-B4B3-A050E2DA369C}"/>
    <cellStyle name="Hyperlink 5 2" xfId="8831" xr:uid="{C0D61600-217E-4748-A629-12DF02751720}"/>
    <cellStyle name="Hyperlink Arrow" xfId="172" xr:uid="{67337B20-48D3-4E8D-8019-2120ADE8D2BA}"/>
    <cellStyle name="Hyperlink Arrow 2" xfId="3862" xr:uid="{57FF41C0-EDF7-4394-991D-065E838EF6DE}"/>
    <cellStyle name="Hyperlink Arrow 3" xfId="3595" xr:uid="{2DE05601-CD87-44D8-94F8-57DDB18FD6DD}"/>
    <cellStyle name="Hyperlink Arrow 4" xfId="3021" xr:uid="{752515C4-D8A0-4C0C-86F1-A191C94E23E1}"/>
    <cellStyle name="Hyperlink Arrow 5" xfId="1198" xr:uid="{06F7D520-CE21-44E0-B532-EE47D90463F3}"/>
    <cellStyle name="Hyperlink Arrow." xfId="1199" xr:uid="{791F026B-9B93-4FFE-A482-AB525EF9C7F3}"/>
    <cellStyle name="Hyperlink Check" xfId="1200" xr:uid="{5F8294AE-B389-43E1-8D19-9DAD0A4C8CF7}"/>
    <cellStyle name="Hyperlink Check." xfId="1201" xr:uid="{D422CCB4-7601-4D77-9321-010115749CC6}"/>
    <cellStyle name="Hyperlink Text" xfId="173" xr:uid="{F82DAC61-5579-42EA-AA84-8B0A1EFCD1CB}"/>
    <cellStyle name="Hyperlink Text 2" xfId="3863" xr:uid="{9C15B233-D6A9-4FD1-AF47-7943666495FC}"/>
    <cellStyle name="Hyperlink Text 3" xfId="3596" xr:uid="{015319B6-1198-4E44-B4EA-D4A3F876FD26}"/>
    <cellStyle name="Hyperlink Text 4" xfId="3022" xr:uid="{1AD7EDC0-A682-431B-A32A-2E6DBE4C14F6}"/>
    <cellStyle name="Hyperlink Text 5" xfId="1202" xr:uid="{99F9C228-8313-4988-B347-F6B3868851DA}"/>
    <cellStyle name="Hyperlink Text." xfId="1203" xr:uid="{708EB262-2C27-4E05-A884-31102FB82B14}"/>
    <cellStyle name="Hyperlink TOC 1." xfId="1204" xr:uid="{F9594D0A-D99B-4A2E-9CDD-B44F0496F819}"/>
    <cellStyle name="Hyperlink TOC 2." xfId="1205" xr:uid="{0FFB5A50-B014-4C42-9ED6-44D868C686AC}"/>
    <cellStyle name="Hyperlink TOC 3." xfId="1206" xr:uid="{6E63A311-4DA2-4A02-ACB6-419874FD2447}"/>
    <cellStyle name="Hyperlink TOC 4." xfId="1207" xr:uid="{86FE09E3-5089-4DB1-84E0-1B4CF9D78391}"/>
    <cellStyle name="import" xfId="363" xr:uid="{F0377664-8BE7-41C6-BFEA-02F20C925258}"/>
    <cellStyle name="import%" xfId="364" xr:uid="{B1BAEAD8-179E-4DBA-8C22-3FB73AC2A7EA}"/>
    <cellStyle name="import_ICRC Electricity model 1-1  (1 Feb 2003) " xfId="174" xr:uid="{4D51A7A6-BC23-406F-927C-A54151362BD7}"/>
    <cellStyle name="Index" xfId="1208" xr:uid="{585E2257-51AA-464F-B9AC-1E4C975CE85F}"/>
    <cellStyle name="Index 2" xfId="7979" xr:uid="{8B3B4998-8B05-4767-A25E-26AA5DB23A70}"/>
    <cellStyle name="Index 3" xfId="7978" xr:uid="{FCE26329-A987-4994-986F-30C15A5E71E2}"/>
    <cellStyle name="INP_Background" xfId="1209" xr:uid="{1AF6FBF6-AD53-4146-9AC3-AF1E7A5D4004}"/>
    <cellStyle name="Input - Comma" xfId="7980" xr:uid="{7E544385-8567-4845-A288-C90A3A3E7E08}"/>
    <cellStyle name="Input - Comma [0]" xfId="7981" xr:uid="{282E016F-ABEB-49C9-8CB5-740600F1E302}"/>
    <cellStyle name="Input - Date" xfId="7982" xr:uid="{C3246CE6-6146-4AB0-A94D-9AF00F3FF7FB}"/>
    <cellStyle name="Input - Percent [2]" xfId="7983" xr:uid="{F1B86DD4-C740-49E3-9687-EFA2DC4B4EE3}"/>
    <cellStyle name="Input $" xfId="1210" xr:uid="{A73E583D-9F93-4987-AFA0-1D06498BB438}"/>
    <cellStyle name="Input $ 2" xfId="1211" xr:uid="{4C5F29EA-EC22-4B5A-9DE6-6E86E286C95B}"/>
    <cellStyle name="Input $_6. Ass-Fin" xfId="1212" xr:uid="{98371844-2C1F-494B-BFC1-8769F6289F4C}"/>
    <cellStyle name="Input %" xfId="1213" xr:uid="{8326F6F6-38DF-4427-8869-009CF91DE49E}"/>
    <cellStyle name="Input (External Spreadsheet)" xfId="571" xr:uid="{D32ADA1D-55E1-4D3A-B7D2-2B21BE32AD1B}"/>
    <cellStyle name="Input (Fixed)" xfId="572" xr:uid="{CA90F36D-9B93-4277-A90A-724FE0C02C5A}"/>
    <cellStyle name="Input (User)" xfId="573" xr:uid="{051B0F14-5667-46C2-9839-8658374BB042}"/>
    <cellStyle name="Input [B]" xfId="7984" xr:uid="{C7CC21F2-3AB1-460C-A261-08441CEDC0BA}"/>
    <cellStyle name="Input [B] 2" xfId="12373" xr:uid="{437C5CAE-7F0B-4464-834F-4FD2165C2420}"/>
    <cellStyle name="Input [B] 2 2" xfId="21419" xr:uid="{246313B2-B94F-47D3-8527-6B40F63F97E1}"/>
    <cellStyle name="Input [B] 2 3" xfId="23611" xr:uid="{B36ABBA1-E24A-421E-B185-7F36F95DD918}"/>
    <cellStyle name="Input [B] 3" xfId="14415" xr:uid="{3258AEE7-7766-41F3-B914-14CFCEE5E4EC}"/>
    <cellStyle name="Input [B] 4" xfId="17951" xr:uid="{6694C9D0-0F6F-4A7C-A049-1A0829A19AF4}"/>
    <cellStyle name="Input [B] 5" xfId="23414" xr:uid="{2E42B560-2F9B-47D3-BE12-7B20B5CA04D1}"/>
    <cellStyle name="Input [yellow]" xfId="1214" xr:uid="{79490713-B2BB-4152-BBF8-B317FFC77D0A}"/>
    <cellStyle name="Input [yellow] 2" xfId="1215" xr:uid="{C9DF5B15-FEEA-46C1-9F91-5F55564A9E68}"/>
    <cellStyle name="Input [yellow] 2 2" xfId="2755" xr:uid="{D1AD90EB-40FA-4321-AE14-3EB210AC7784}"/>
    <cellStyle name="Input [yellow] 2 2 2" xfId="21420" xr:uid="{9BBF6548-B365-4E8C-A48A-C312DBF692F6}"/>
    <cellStyle name="Input [yellow] 2 3" xfId="2734" xr:uid="{82733F6D-560B-4812-B474-56BC48644D90}"/>
    <cellStyle name="Input [yellow] 2 3 2" xfId="23612" xr:uid="{F6CB758F-4740-40E4-A931-7A59B21E4932}"/>
    <cellStyle name="Input [yellow] 2 4" xfId="23966" xr:uid="{D008CD13-B26C-4D4E-B240-2E15652AF0EF}"/>
    <cellStyle name="Input [yellow] 3" xfId="2756" xr:uid="{1B07F1C4-36DD-46A2-9D1F-75E4E638F7E4}"/>
    <cellStyle name="Input [yellow] 3 2" xfId="14416" xr:uid="{7F97F4C1-0302-4C25-B7D7-095F5C0F626B}"/>
    <cellStyle name="Input [yellow] 4" xfId="2733" xr:uid="{D08C2611-6012-414C-BBF4-47F5C7B6007D}"/>
    <cellStyle name="Input [yellow] 4 2" xfId="17952" xr:uid="{21B4BC18-C313-40E3-BF28-8FE615A99945}"/>
    <cellStyle name="Input [yellow] 5" xfId="23415" xr:uid="{2E61A2EE-DFBC-4D8B-99EE-26642F824512}"/>
    <cellStyle name="Input [yellow] 6" xfId="23965" xr:uid="{DF9E0E37-9A64-4DD5-9CAE-5EE4193ECA3F}"/>
    <cellStyle name="Input 1" xfId="7985" xr:uid="{5FE5D1A7-789E-4335-B06A-1BDF680552F7}"/>
    <cellStyle name="Input 10" xfId="1216" xr:uid="{5BFFC067-1D4A-4D1C-90A2-382D577164C8}"/>
    <cellStyle name="Input 10 2" xfId="12374" xr:uid="{0E341B0F-147C-4472-9A55-61F0B128B4C6}"/>
    <cellStyle name="Input 10 2 2" xfId="21421" xr:uid="{D3D2442F-7D04-48DC-BC34-7D715B034FF2}"/>
    <cellStyle name="Input 10 2 3" xfId="23613" xr:uid="{E336957B-4123-4443-BB97-EE3A7AEE8E84}"/>
    <cellStyle name="Input 10 3" xfId="14417" xr:uid="{1B55EC58-8AF6-42E4-A3B0-662DF9CC1009}"/>
    <cellStyle name="Input 10 4" xfId="17953" xr:uid="{7326E3F7-9C1B-4E74-A526-28331AA79589}"/>
    <cellStyle name="Input 10 5" xfId="23416" xr:uid="{5C157A78-ACB0-4AB9-9AF8-C6F422ACBA53}"/>
    <cellStyle name="Input 10 6" xfId="7986" xr:uid="{974AD837-7206-4324-84BF-21E33AD360D5}"/>
    <cellStyle name="Input 11" xfId="1217" xr:uid="{BDE0B18E-2605-4D0E-98D5-2905121B4A5C}"/>
    <cellStyle name="Input 11 2" xfId="12375" xr:uid="{1B9617ED-E339-4120-B9B4-7D28F2D61942}"/>
    <cellStyle name="Input 11 2 2" xfId="21422" xr:uid="{9F49951E-FB95-4A88-9611-AC7BAE66D437}"/>
    <cellStyle name="Input 11 2 3" xfId="23614" xr:uid="{1CCA3636-0751-49AC-858F-93C9D5E6ED7E}"/>
    <cellStyle name="Input 11 3" xfId="14418" xr:uid="{CD90A088-022B-4F85-9AF9-FFBDBA78CB03}"/>
    <cellStyle name="Input 11 4" xfId="17954" xr:uid="{C341A13C-62F2-4D81-ACFA-994E5DB1A79C}"/>
    <cellStyle name="Input 11 5" xfId="23417" xr:uid="{ECD2AA86-6663-433B-9E77-DFE861E09129}"/>
    <cellStyle name="Input 11 6" xfId="7987" xr:uid="{FC3F2366-BB21-4FD0-9EBD-1292DDEA1E2E}"/>
    <cellStyle name="Input 12" xfId="1218" xr:uid="{9505B35C-6FFA-406E-BF8E-96A1BAB45A12}"/>
    <cellStyle name="Input 12 2" xfId="2754" xr:uid="{323FB39F-45A2-4B88-BA8E-11401FA7B640}"/>
    <cellStyle name="Input 12 2 2" xfId="21423" xr:uid="{7D8C57F9-3BCE-4ACD-B0E1-70764C1F94A5}"/>
    <cellStyle name="Input 12 2 3" xfId="23615" xr:uid="{D729CBEB-341A-4AAD-B6A3-86464F2D1078}"/>
    <cellStyle name="Input 12 2 4" xfId="12376" xr:uid="{B8B03EA9-3F7F-4DEB-AB99-5E3F173807A1}"/>
    <cellStyle name="Input 12 3" xfId="2735" xr:uid="{3800B755-D0A1-447D-BC36-69EFFD6B8DB9}"/>
    <cellStyle name="Input 12 3 2" xfId="14419" xr:uid="{EAF5FEDF-4897-42DA-A18B-B074786A21AC}"/>
    <cellStyle name="Input 12 4" xfId="17955" xr:uid="{19539571-5E5C-40FE-8A51-EE55C3CB58C6}"/>
    <cellStyle name="Input 12 5" xfId="23418" xr:uid="{1E06B3F5-1A48-442F-97F1-25AA12165D98}"/>
    <cellStyle name="Input 13" xfId="1219" xr:uid="{43A10061-2B51-4654-8A75-D158740F4578}"/>
    <cellStyle name="Input 13 2" xfId="2533" xr:uid="{A532AC0D-A6F7-44CF-8821-B0378D46FC25}"/>
    <cellStyle name="Input 13 2 2" xfId="21424" xr:uid="{39811EA7-14D9-44C4-9D18-D1C48BCA87E6}"/>
    <cellStyle name="Input 13 2 3" xfId="23616" xr:uid="{09BE8AB9-3A33-40D8-AFEA-54CDC51B6914}"/>
    <cellStyle name="Input 13 2 4" xfId="12377" xr:uid="{7307FE6F-8A1D-413B-A6EC-FBDDAB4E3111}"/>
    <cellStyle name="Input 13 3" xfId="2736" xr:uid="{BBC320A0-9B50-4C51-92B8-68960CB97D96}"/>
    <cellStyle name="Input 13 3 2" xfId="14420" xr:uid="{1A1AE875-0190-4CAC-BEAD-2087B8D07AEF}"/>
    <cellStyle name="Input 13 4" xfId="17956" xr:uid="{1353D68F-0154-4FB0-B415-D5C1771D90F4}"/>
    <cellStyle name="Input 13 5" xfId="23419" xr:uid="{6CF98ABB-93C1-4164-845A-258A3E6A8E02}"/>
    <cellStyle name="Input 2" xfId="175" xr:uid="{BD67E609-5E79-44EA-B04B-BF8FF6B5C35F}"/>
    <cellStyle name="Input 2 10" xfId="4146" xr:uid="{F2730566-3320-4A0B-A347-2E177B3BE092}"/>
    <cellStyle name="Input 2 10 2" xfId="10003" xr:uid="{C8439D2E-B2E2-45DD-8CC1-CF2ACB078309}"/>
    <cellStyle name="Input 2 10 2 2" xfId="19049" xr:uid="{4CDA5DE8-5E4E-4BD0-BC79-F1CC421017D8}"/>
    <cellStyle name="Input 2 10 3" xfId="15563" xr:uid="{18279264-5DFC-4064-BE77-32A3FDCE6FF5}"/>
    <cellStyle name="Input 2 10 4" xfId="22403" xr:uid="{D0F05A4E-A772-4342-856C-AE3DFF0DEB17}"/>
    <cellStyle name="Input 2 11" xfId="4298" xr:uid="{61C06093-5871-486B-A5AF-9A96859781C4}"/>
    <cellStyle name="Input 2 11 2" xfId="10155" xr:uid="{78175446-72C2-4F14-924A-F88009A48098}"/>
    <cellStyle name="Input 2 11 2 2" xfId="19201" xr:uid="{615D1D06-3F21-4590-B827-33A35764AA56}"/>
    <cellStyle name="Input 2 11 3" xfId="15715" xr:uid="{B571175A-5DC6-42C3-95E8-DF51A6E51AAD}"/>
    <cellStyle name="Input 2 11 4" xfId="23420" xr:uid="{FBD3F737-31D8-4105-9FBF-D41F131C6288}"/>
    <cellStyle name="Input 2 12" xfId="12498" xr:uid="{EA6272E9-03FF-480C-9B23-E94659FC58C2}"/>
    <cellStyle name="Input 2 12 2" xfId="23617" xr:uid="{3ACA1D4F-6B16-4E51-BBA1-4B304478C969}"/>
    <cellStyle name="Input 2 13" xfId="13693" xr:uid="{B2EA466A-0C41-4310-820E-83F4C8134EBA}"/>
    <cellStyle name="Input 2 14" xfId="14665" xr:uid="{311BA9CF-638B-4652-9489-0D38E989DB6C}"/>
    <cellStyle name="Input 2 15" xfId="23741" xr:uid="{C9588A77-704E-4914-8492-36D5094AF544}"/>
    <cellStyle name="Input 2 2" xfId="365" xr:uid="{B0D44298-6F43-47B1-826A-7AD39F86B551}"/>
    <cellStyle name="Input 2 2 10" xfId="4306" xr:uid="{CA98A57C-7986-440C-A209-1A79815E43D6}"/>
    <cellStyle name="Input 2 2 10 2" xfId="10163" xr:uid="{6165A1FD-0D60-4F91-9B84-9BC17BAF1206}"/>
    <cellStyle name="Input 2 2 10 2 2" xfId="19209" xr:uid="{157497AB-B5C7-4C17-8859-D5D335102F57}"/>
    <cellStyle name="Input 2 2 10 3" xfId="15723" xr:uid="{C22D5654-0EE1-47DA-A2E0-2167C92BCA3B}"/>
    <cellStyle name="Input 2 2 11" xfId="4176" xr:uid="{A5DE7DD5-7647-412C-9F71-4ABF0792F153}"/>
    <cellStyle name="Input 2 2 11 2" xfId="10033" xr:uid="{65D399F4-52D3-4473-9818-F22BDD56660E}"/>
    <cellStyle name="Input 2 2 11 2 2" xfId="19079" xr:uid="{BED38883-1D65-4E12-A0DC-B3BB9C7C3F6D}"/>
    <cellStyle name="Input 2 2 11 3" xfId="15593" xr:uid="{FD092AD7-A891-4C28-A876-EEE077FD1563}"/>
    <cellStyle name="Input 2 2 12" xfId="7988" xr:uid="{B8496D12-91BD-4568-9FA9-BB797F0C158A}"/>
    <cellStyle name="Input 2 2 13" xfId="9108" xr:uid="{B5C60389-0C82-48A0-820F-EC0C97D854A2}"/>
    <cellStyle name="Input 2 2 13 2" xfId="18154" xr:uid="{16119661-D753-40BE-9575-B54132BFB24E}"/>
    <cellStyle name="Input 2 2 14" xfId="12508" xr:uid="{6119AA48-FCF6-4CC6-A6A0-5722B14C7708}"/>
    <cellStyle name="Input 2 2 15" xfId="13702" xr:uid="{36E31886-6E6A-492F-B944-39F87768C399}"/>
    <cellStyle name="Input 2 2 16" xfId="14677" xr:uid="{7C6A0345-3DE7-4EA9-9BDA-F8996788BBA0}"/>
    <cellStyle name="Input 2 2 17" xfId="21552" xr:uid="{4FE70CEE-5A29-4823-81AF-91FD2BCBD78B}"/>
    <cellStyle name="Input 2 2 18" xfId="23742" xr:uid="{7F18E9BF-68A4-4111-B6DE-8CAD18B291C6}"/>
    <cellStyle name="Input 2 2 2" xfId="2299" xr:uid="{227797F8-4163-440D-9D92-72A890799437}"/>
    <cellStyle name="Input 2 2 2 10" xfId="9137" xr:uid="{5D279886-C903-40C0-9A5D-D63549183853}"/>
    <cellStyle name="Input 2 2 2 10 2" xfId="18183" xr:uid="{BA7703B3-5499-4FF9-8A9B-F339926168CC}"/>
    <cellStyle name="Input 2 2 2 11" xfId="12535" xr:uid="{389D2256-0837-4183-9D8F-16FA1F660281}"/>
    <cellStyle name="Input 2 2 2 12" xfId="13729" xr:uid="{1619E148-DD79-4D62-B0AC-9500065E3F1B}"/>
    <cellStyle name="Input 2 2 2 13" xfId="14706" xr:uid="{DF120550-BF8F-4FB5-94DA-872A8791E326}"/>
    <cellStyle name="Input 2 2 2 14" xfId="21578" xr:uid="{FC2D091B-2CC6-482E-9E50-0B94FF02A408}"/>
    <cellStyle name="Input 2 2 2 15" xfId="23743" xr:uid="{3F8D21CF-E1CB-467B-9CEC-27C21B44F30C}"/>
    <cellStyle name="Input 2 2 2 2" xfId="2300" xr:uid="{D43B8784-8AD4-4FFF-BAFD-0AF32B4CA68D}"/>
    <cellStyle name="Input 2 2 2 2 10" xfId="13151" xr:uid="{DCE4B641-F6F9-459C-AAB2-107D91F57D90}"/>
    <cellStyle name="Input 2 2 2 2 11" xfId="13785" xr:uid="{9F6C4102-B62A-4ED6-A526-560F60E19507}"/>
    <cellStyle name="Input 2 2 2 2 12" xfId="14760" xr:uid="{89FB5CCC-99B8-4DF4-9E8C-D55E7077F7B7}"/>
    <cellStyle name="Input 2 2 2 2 13" xfId="21630" xr:uid="{59BF860D-8D32-468C-B7DA-D1C6B8BE116C}"/>
    <cellStyle name="Input 2 2 2 2 2" xfId="2678" xr:uid="{45FBDAB9-5AD4-42AD-8B97-57F3C2A2C8C8}"/>
    <cellStyle name="Input 2 2 2 2 2 10" xfId="15187" xr:uid="{1C1A475D-8DB1-4339-BB4A-524510B9828E}"/>
    <cellStyle name="Input 2 2 2 2 2 11" xfId="22056" xr:uid="{C32BB064-EA16-4952-BAC5-FC7B2084E8E8}"/>
    <cellStyle name="Input 2 2 2 2 2 12" xfId="3407" xr:uid="{F7CC641B-2FF8-42BB-BA47-E61C209712BF}"/>
    <cellStyle name="Input 2 2 2 2 2 2" xfId="4630" xr:uid="{4CF2F294-F3AB-45A5-BDD9-281A9D7C120D}"/>
    <cellStyle name="Input 2 2 2 2 2 2 2" xfId="10487" xr:uid="{D2A8CA31-C7B6-470F-BE15-161779D92C63}"/>
    <cellStyle name="Input 2 2 2 2 2 2 2 2" xfId="19533" xr:uid="{5CC3A27E-65C8-4CB7-AB9D-E11D6EC3D39E}"/>
    <cellStyle name="Input 2 2 2 2 2 2 3" xfId="16047" xr:uid="{3A1A6566-EBA5-48CC-B9A1-8B92D25AB6C3}"/>
    <cellStyle name="Input 2 2 2 2 2 2 4" xfId="22712" xr:uid="{2FE5102D-144B-4ED3-AAE7-12446373ACB8}"/>
    <cellStyle name="Input 2 2 2 2 2 3" xfId="5131" xr:uid="{FCAD4EFC-F1A9-44BF-BBCA-37CFCE00A1C1}"/>
    <cellStyle name="Input 2 2 2 2 2 3 2" xfId="10984" xr:uid="{2AD08777-C979-4CED-AC2C-7C1D51425EA4}"/>
    <cellStyle name="Input 2 2 2 2 2 3 2 2" xfId="20030" xr:uid="{5BE6837C-0230-49D4-94E4-E5EC7D767D15}"/>
    <cellStyle name="Input 2 2 2 2 2 3 3" xfId="16544" xr:uid="{CD6ACD04-2054-4B31-BB03-1D675C9C9772}"/>
    <cellStyle name="Input 2 2 2 2 2 3 4" xfId="23207" xr:uid="{B9BE0F47-1201-4D3A-AFEA-D884A3BAEE3D}"/>
    <cellStyle name="Input 2 2 2 2 2 4" xfId="5746" xr:uid="{DA8C53FC-D6EE-4D05-B257-8E07107D8558}"/>
    <cellStyle name="Input 2 2 2 2 2 4 2" xfId="11599" xr:uid="{715DB1F3-9805-4ED0-B191-2D20C1998627}"/>
    <cellStyle name="Input 2 2 2 2 2 4 2 2" xfId="20645" xr:uid="{37782E97-B1AC-45C1-A670-DDD24A62D295}"/>
    <cellStyle name="Input 2 2 2 2 2 4 3" xfId="17159" xr:uid="{70183D24-333D-43E8-8C5F-F3AA64FCE02D}"/>
    <cellStyle name="Input 2 2 2 2 2 5" xfId="6357" xr:uid="{A38DA7A8-C513-4F34-B059-B2F97ED2B716}"/>
    <cellStyle name="Input 2 2 2 2 2 5 2" xfId="12204" xr:uid="{45BFA124-12E1-4FD9-9643-1A12EA4ACBDC}"/>
    <cellStyle name="Input 2 2 2 2 2 5 2 2" xfId="21250" xr:uid="{66478DDE-1531-4B1E-A6C5-FF1DC4D474D3}"/>
    <cellStyle name="Input 2 2 2 2 2 5 3" xfId="17770" xr:uid="{DC566C3B-5573-4CF0-A65C-6728D2D06F4C}"/>
    <cellStyle name="Input 2 2 2 2 2 6" xfId="9618" xr:uid="{31D5A968-95E2-47C0-80AC-D9715F9A02DB}"/>
    <cellStyle name="Input 2 2 2 2 2 6 2" xfId="18664" xr:uid="{E10D8D53-6637-421E-9CFD-0C5C2CB33519}"/>
    <cellStyle name="Input 2 2 2 2 2 7" xfId="13016" xr:uid="{6D3ED4F2-A077-4100-BF2F-FF715D4280CB}"/>
    <cellStyle name="Input 2 2 2 2 2 8" xfId="13573" xr:uid="{7513733F-CCEA-491C-9439-711FA17DC479}"/>
    <cellStyle name="Input 2 2 2 2 2 9" xfId="14212" xr:uid="{07C7E30F-08C6-46F0-9197-E81221460499}"/>
    <cellStyle name="Input 2 2 2 2 3" xfId="3195" xr:uid="{8B6EE27D-A4BA-49B2-9B31-2295EF11E4D7}"/>
    <cellStyle name="Input 2 2 2 2 3 10" xfId="14975" xr:uid="{C10DCF12-4F33-4B73-8921-DB605865A12D}"/>
    <cellStyle name="Input 2 2 2 2 3 11" xfId="21845" xr:uid="{EADA3D94-A9BA-4B4E-93B2-78AEFD8694C6}"/>
    <cellStyle name="Input 2 2 2 2 3 2" xfId="4418" xr:uid="{35E07006-EFAD-461E-A433-53787C07D07F}"/>
    <cellStyle name="Input 2 2 2 2 3 2 2" xfId="10275" xr:uid="{87CD2566-2BEB-4988-99C1-A1309D2D7359}"/>
    <cellStyle name="Input 2 2 2 2 3 2 2 2" xfId="19321" xr:uid="{AEDB0092-B521-40E8-84D3-6BE63F13077B}"/>
    <cellStyle name="Input 2 2 2 2 3 2 3" xfId="15835" xr:uid="{B98E183F-5E22-4747-B4A2-F87BEE3B2819}"/>
    <cellStyle name="Input 2 2 2 2 3 2 4" xfId="22501" xr:uid="{BAF21856-B158-4295-805C-BEA98DDAFA52}"/>
    <cellStyle name="Input 2 2 2 2 3 3" xfId="4919" xr:uid="{69BC8002-FB08-4601-832C-80A6AEFFBDBC}"/>
    <cellStyle name="Input 2 2 2 2 3 3 2" xfId="10772" xr:uid="{F00E4DD1-C83D-4A50-B865-59D409F87BA2}"/>
    <cellStyle name="Input 2 2 2 2 3 3 2 2" xfId="19818" xr:uid="{FCC52029-3937-4D92-B8E0-D21798A1ED04}"/>
    <cellStyle name="Input 2 2 2 2 3 3 3" xfId="16332" xr:uid="{B654C738-2008-4307-8797-06447D775F33}"/>
    <cellStyle name="Input 2 2 2 2 3 3 4" xfId="22996" xr:uid="{F020E713-305A-4933-B6BB-2A0970CBE3E6}"/>
    <cellStyle name="Input 2 2 2 2 3 4" xfId="5534" xr:uid="{24053293-6FBD-412A-8830-FBBA56E1F5C7}"/>
    <cellStyle name="Input 2 2 2 2 3 4 2" xfId="11387" xr:uid="{2769448C-6460-42DE-804A-3E01AB5BFD67}"/>
    <cellStyle name="Input 2 2 2 2 3 4 2 2" xfId="20433" xr:uid="{94C799BA-43CE-4C40-B572-417FA9F171BF}"/>
    <cellStyle name="Input 2 2 2 2 3 4 3" xfId="16947" xr:uid="{5D3CDBF5-BB77-4DB5-9AEB-2873988F051B}"/>
    <cellStyle name="Input 2 2 2 2 3 5" xfId="6145" xr:uid="{96BD2163-4A8E-4B46-AE30-6889CFF56434}"/>
    <cellStyle name="Input 2 2 2 2 3 5 2" xfId="11992" xr:uid="{F3F1E250-9E3D-47BB-8C75-73028D485BAE}"/>
    <cellStyle name="Input 2 2 2 2 3 5 2 2" xfId="21038" xr:uid="{882FEA55-5432-4007-B851-E689FE07D8FA}"/>
    <cellStyle name="Input 2 2 2 2 3 5 3" xfId="17558" xr:uid="{83C5087B-F6F1-4267-AC02-0158F45A8352}"/>
    <cellStyle name="Input 2 2 2 2 3 6" xfId="9406" xr:uid="{3081118B-97EB-4C9E-A0D0-085ACEA8DE18}"/>
    <cellStyle name="Input 2 2 2 2 3 6 2" xfId="18452" xr:uid="{C61670C7-A9EA-49F3-AA2E-2205562F4CA5}"/>
    <cellStyle name="Input 2 2 2 2 3 7" xfId="12804" xr:uid="{DBEA93F4-B25E-4606-AA96-DE5118C1129F}"/>
    <cellStyle name="Input 2 2 2 2 3 8" xfId="13362" xr:uid="{5E5F8860-B1E3-4B77-BE06-CAE041023AB6}"/>
    <cellStyle name="Input 2 2 2 2 3 9" xfId="14000" xr:uid="{65ED8762-45AA-4419-8A3C-68342F63C326}"/>
    <cellStyle name="Input 2 2 2 2 4" xfId="4010" xr:uid="{ADD5B20C-74B1-4E72-8BE6-7A1FE39779F8}"/>
    <cellStyle name="Input 2 2 2 2 4 2" xfId="9872" xr:uid="{82469F98-7B02-4473-B6B3-633FBFCD38AF}"/>
    <cellStyle name="Input 2 2 2 2 4 2 2" xfId="18918" xr:uid="{C57CF721-32CB-4384-9C82-2B488B80EA37}"/>
    <cellStyle name="Input 2 2 2 2 4 3" xfId="15434" xr:uid="{AA0252FB-9738-44B6-98B0-DCAF1017BEAD}"/>
    <cellStyle name="Input 2 2 2 2 4 4" xfId="22233" xr:uid="{94B449D4-4F54-4E6E-B7DE-7C1955E02D82}"/>
    <cellStyle name="Input 2 2 2 2 5" xfId="4113" xr:uid="{EBA58809-8522-46F4-942B-3EE74DBB801D}"/>
    <cellStyle name="Input 2 2 2 2 5 2" xfId="9970" xr:uid="{6CFF1C76-0CE1-4C9E-A9F7-C4C0EEBAF62A}"/>
    <cellStyle name="Input 2 2 2 2 5 2 2" xfId="19016" xr:uid="{0F4731ED-8AD6-4E2A-A5D7-FB51F31D2453}"/>
    <cellStyle name="Input 2 2 2 2 5 3" xfId="15530" xr:uid="{FCBD8760-3660-48C0-BC81-E7E9ED7B39AE}"/>
    <cellStyle name="Input 2 2 2 2 6" xfId="5319" xr:uid="{2778DB7C-0CD7-4605-A048-C9AEB208F52C}"/>
    <cellStyle name="Input 2 2 2 2 6 2" xfId="11172" xr:uid="{9DC78F2B-D81A-44C2-99AA-4926336AB8CE}"/>
    <cellStyle name="Input 2 2 2 2 6 2 2" xfId="20218" xr:uid="{CF4DBF79-D21E-414A-8162-FD557858ABCD}"/>
    <cellStyle name="Input 2 2 2 2 6 3" xfId="16732" xr:uid="{C08E0000-B35B-4F3D-8796-3D4CABDEB07C}"/>
    <cellStyle name="Input 2 2 2 2 7" xfId="5930" xr:uid="{D76B31D9-4AC5-4AB0-9C6E-880F1F1E571A}"/>
    <cellStyle name="Input 2 2 2 2 7 2" xfId="11781" xr:uid="{080563C6-CA5C-4E5D-8CB4-15C5996AEA80}"/>
    <cellStyle name="Input 2 2 2 2 7 2 2" xfId="20827" xr:uid="{DA761841-BA4E-4104-965F-51794AD792A7}"/>
    <cellStyle name="Input 2 2 2 2 7 3" xfId="17343" xr:uid="{527F0B2D-C124-438A-B3EB-113796C493C6}"/>
    <cellStyle name="Input 2 2 2 2 8" xfId="9191" xr:uid="{066EDEEF-136B-4BEA-A5E8-A9C38CB2EE35}"/>
    <cellStyle name="Input 2 2 2 2 8 2" xfId="18237" xr:uid="{F074F1AA-97B9-4DFB-BD17-B2EE32E38A38}"/>
    <cellStyle name="Input 2 2 2 2 9" xfId="12589" xr:uid="{5C29BA65-DE7E-4623-B4A3-AB5AD2172030}"/>
    <cellStyle name="Input 2 2 2 3" xfId="2679" xr:uid="{46364436-8414-4030-8EC9-85CF685B8D71}"/>
    <cellStyle name="Input 2 2 2 3 10" xfId="15133" xr:uid="{EDDDC1F4-AF28-425F-9581-410BBEC72A56}"/>
    <cellStyle name="Input 2 2 2 3 11" xfId="22002" xr:uid="{3F1B9FF4-DE7B-4583-80C0-0AFC8BC216DC}"/>
    <cellStyle name="Input 2 2 2 3 12" xfId="3353" xr:uid="{E7BC04F1-A995-49AD-8BDF-F5C34AAEBF79}"/>
    <cellStyle name="Input 2 2 2 3 2" xfId="4576" xr:uid="{48EEB6AC-64AB-4DCF-959B-F2893B5EAFA6}"/>
    <cellStyle name="Input 2 2 2 3 2 2" xfId="10433" xr:uid="{C7BA359E-89C9-4A4C-BD88-8047A68621F4}"/>
    <cellStyle name="Input 2 2 2 3 2 2 2" xfId="19479" xr:uid="{BBB056D2-BC90-403C-904C-60B5F745A08E}"/>
    <cellStyle name="Input 2 2 2 3 2 3" xfId="15993" xr:uid="{B65CD173-7EF9-49D3-BDE1-A40E00ADCB48}"/>
    <cellStyle name="Input 2 2 2 3 2 4" xfId="22658" xr:uid="{6EAAD7F0-4B70-494E-A1FC-468817ED13A5}"/>
    <cellStyle name="Input 2 2 2 3 3" xfId="5077" xr:uid="{0D4231EE-31A9-413A-8D7E-356DB0B5647A}"/>
    <cellStyle name="Input 2 2 2 3 3 2" xfId="10930" xr:uid="{FF20EDF6-DE1A-4831-AAF7-F5C55F4FF2D9}"/>
    <cellStyle name="Input 2 2 2 3 3 2 2" xfId="19976" xr:uid="{E2D4406D-DE48-4538-9B38-B904F468E1E0}"/>
    <cellStyle name="Input 2 2 2 3 3 3" xfId="16490" xr:uid="{7CA8D3A2-CC57-43CE-9327-339C8A7F9827}"/>
    <cellStyle name="Input 2 2 2 3 3 4" xfId="23153" xr:uid="{3125AD5F-EC8C-4C74-8C3B-343231CDAB46}"/>
    <cellStyle name="Input 2 2 2 3 4" xfId="5692" xr:uid="{D698B3B3-3FBE-40DC-A170-B7FE16636699}"/>
    <cellStyle name="Input 2 2 2 3 4 2" xfId="11545" xr:uid="{158BA53D-1FA5-4533-BC0C-31E283DE8C02}"/>
    <cellStyle name="Input 2 2 2 3 4 2 2" xfId="20591" xr:uid="{BE98C6B9-AD1F-4D3B-B569-CA1BB5F7085D}"/>
    <cellStyle name="Input 2 2 2 3 4 3" xfId="17105" xr:uid="{923BC757-64A9-4ACD-8B0B-D401377FD9D5}"/>
    <cellStyle name="Input 2 2 2 3 5" xfId="6303" xr:uid="{2977FDB9-0D3F-48CB-B383-FA74AD3A0D40}"/>
    <cellStyle name="Input 2 2 2 3 5 2" xfId="12150" xr:uid="{3DCDDE65-EB13-45AA-82A6-37511B6B28C6}"/>
    <cellStyle name="Input 2 2 2 3 5 2 2" xfId="21196" xr:uid="{B2F899FA-C565-4964-B41C-25337BB9EF9B}"/>
    <cellStyle name="Input 2 2 2 3 5 3" xfId="17716" xr:uid="{6328A476-F2ED-488D-8581-E7E9C4F08EF5}"/>
    <cellStyle name="Input 2 2 2 3 6" xfId="9564" xr:uid="{7168045E-0848-4EB1-90C9-E9BD5395E1D1}"/>
    <cellStyle name="Input 2 2 2 3 6 2" xfId="18610" xr:uid="{6DE10CB0-919D-4216-A770-B26EAC9A6EFA}"/>
    <cellStyle name="Input 2 2 2 3 7" xfId="12962" xr:uid="{B49D4E80-347B-43DE-878E-844F755DA1C6}"/>
    <cellStyle name="Input 2 2 2 3 8" xfId="13519" xr:uid="{7EB5E7DF-14F1-4A1C-8DDB-F71BA9BCC10C}"/>
    <cellStyle name="Input 2 2 2 3 9" xfId="14158" xr:uid="{F353ED63-0643-4D72-B24E-215B53D3F2F0}"/>
    <cellStyle name="Input 2 2 2 4" xfId="3141" xr:uid="{EB4B3C43-630B-43D5-BC23-9FA1034A8526}"/>
    <cellStyle name="Input 2 2 2 4 10" xfId="14921" xr:uid="{2887294B-84CE-4AE9-BFD1-CE4C76A88352}"/>
    <cellStyle name="Input 2 2 2 4 11" xfId="21789" xr:uid="{76C4DE66-05FE-4966-B3BC-2AA5DA3C1BB0}"/>
    <cellStyle name="Input 2 2 2 4 2" xfId="4362" xr:uid="{702A730C-32DE-4B05-B132-37C4ADC4BE07}"/>
    <cellStyle name="Input 2 2 2 4 2 2" xfId="10219" xr:uid="{3B1BD3C3-4BC0-4EEC-95B9-26F64E57AAB6}"/>
    <cellStyle name="Input 2 2 2 4 2 2 2" xfId="19265" xr:uid="{A4CFC0E0-0931-49B9-864B-F9A4E0E46F00}"/>
    <cellStyle name="Input 2 2 2 4 2 3" xfId="15779" xr:uid="{C91B431A-1C55-475B-9074-5307E913D667}"/>
    <cellStyle name="Input 2 2 2 4 2 4" xfId="22445" xr:uid="{0CFE0258-ABE2-4EEA-A412-7B8511DF0BCA}"/>
    <cellStyle name="Input 2 2 2 4 3" xfId="4863" xr:uid="{5DCFA012-569E-4C56-A35D-264CC6C1051C}"/>
    <cellStyle name="Input 2 2 2 4 3 2" xfId="10718" xr:uid="{675C7902-DAB7-42C5-95E3-7354E4CE48FA}"/>
    <cellStyle name="Input 2 2 2 4 3 2 2" xfId="19764" xr:uid="{3F250B65-CC0D-4AE1-98EE-24D98107E7F1}"/>
    <cellStyle name="Input 2 2 2 4 3 3" xfId="16278" xr:uid="{6B999EB4-59CE-45DC-9CCA-E276E1BB1B95}"/>
    <cellStyle name="Input 2 2 2 4 3 4" xfId="22940" xr:uid="{3C777777-11C2-4A23-838B-9618609533AF}"/>
    <cellStyle name="Input 2 2 2 4 4" xfId="5478" xr:uid="{0B093343-D7DD-4AD1-937A-88A5AB02F22E}"/>
    <cellStyle name="Input 2 2 2 4 4 2" xfId="11331" xr:uid="{CCB6950A-BA9B-4A05-A39F-DB13C55A8B19}"/>
    <cellStyle name="Input 2 2 2 4 4 2 2" xfId="20377" xr:uid="{F952A392-B0DE-4662-AD81-D92CB86787CA}"/>
    <cellStyle name="Input 2 2 2 4 4 3" xfId="16891" xr:uid="{6606CE31-27F5-496E-983F-FDC05FC0BAEE}"/>
    <cellStyle name="Input 2 2 2 4 5" xfId="6089" xr:uid="{F6884891-7B28-4FF2-8B0B-4C064ED77DEC}"/>
    <cellStyle name="Input 2 2 2 4 5 2" xfId="11938" xr:uid="{93A884B8-292F-4341-8A86-D4C59569D554}"/>
    <cellStyle name="Input 2 2 2 4 5 2 2" xfId="20984" xr:uid="{5D430B8A-09DD-4168-8059-65872E372AB6}"/>
    <cellStyle name="Input 2 2 2 4 5 3" xfId="17502" xr:uid="{3E31E056-DCDC-4348-BDA9-3D1F81C55303}"/>
    <cellStyle name="Input 2 2 2 4 6" xfId="9352" xr:uid="{7A223DE3-1492-4256-8724-364A3BBB524E}"/>
    <cellStyle name="Input 2 2 2 4 6 2" xfId="18398" xr:uid="{84E90B7E-697F-441D-90B3-9E0CB64F74B7}"/>
    <cellStyle name="Input 2 2 2 4 7" xfId="12748" xr:uid="{3BAE4937-B143-4052-8566-D14784E82F2F}"/>
    <cellStyle name="Input 2 2 2 4 8" xfId="13308" xr:uid="{5E5F0319-6885-4163-B171-6882C26487CD}"/>
    <cellStyle name="Input 2 2 2 4 9" xfId="13944" xr:uid="{EA6D24C6-EE26-4EFA-A713-10B4437A6E6B}"/>
    <cellStyle name="Input 2 2 2 5" xfId="3742" xr:uid="{83D09A07-CF7A-4446-B55B-F9B179D8633E}"/>
    <cellStyle name="Input 2 2 2 5 2" xfId="9784" xr:uid="{87959AD3-02F0-453C-AFF0-D0DA434037C5}"/>
    <cellStyle name="Input 2 2 2 5 2 2" xfId="18830" xr:uid="{D74FC76C-3CD1-4F0C-9499-6CCE93186C73}"/>
    <cellStyle name="Input 2 2 2 5 3" xfId="15350" xr:uid="{E18C452C-1001-49F8-BA43-97889153B280}"/>
    <cellStyle name="Input 2 2 2 5 4" xfId="22329" xr:uid="{86700A75-2A19-4052-948C-EC1B89BD34E5}"/>
    <cellStyle name="Input 2 2 2 6" xfId="4226" xr:uid="{AC6B5BEB-C036-4579-B41B-B26CFCDD1D35}"/>
    <cellStyle name="Input 2 2 2 6 2" xfId="10083" xr:uid="{68DFBD43-25D7-47ED-8584-11A817E9B34D}"/>
    <cellStyle name="Input 2 2 2 6 2 2" xfId="19129" xr:uid="{B1B24E09-95F6-4C91-AC86-B0E00B1AFC7F}"/>
    <cellStyle name="Input 2 2 2 6 3" xfId="15643" xr:uid="{33D824A7-EC97-4D0F-A860-52C57C8B626E}"/>
    <cellStyle name="Input 2 2 2 6 4" xfId="22398" xr:uid="{8C72367B-BE04-4D4C-996E-4540DD5B8E88}"/>
    <cellStyle name="Input 2 2 2 7" xfId="4289" xr:uid="{B86F2487-C415-402A-978B-9645AB3BAED6}"/>
    <cellStyle name="Input 2 2 2 7 2" xfId="10146" xr:uid="{5FA1D722-B1B9-49D1-BEFC-894BD34015DE}"/>
    <cellStyle name="Input 2 2 2 7 2 2" xfId="19192" xr:uid="{3D21E2C7-BBE1-4560-8E7F-182BC169F2A0}"/>
    <cellStyle name="Input 2 2 2 7 3" xfId="15706" xr:uid="{61E5F102-8623-4E22-85C8-2E10A274156E}"/>
    <cellStyle name="Input 2 2 2 8" xfId="5263" xr:uid="{04467857-8FB1-4759-A540-ABEB26DB51F9}"/>
    <cellStyle name="Input 2 2 2 8 2" xfId="11116" xr:uid="{1247CB7D-5CA7-4DA2-8DD9-5D5E86FAA79D}"/>
    <cellStyle name="Input 2 2 2 8 2 2" xfId="20162" xr:uid="{135A42F7-5BD5-4C43-95B5-6F72EE891B17}"/>
    <cellStyle name="Input 2 2 2 8 3" xfId="16676" xr:uid="{A9F0182F-7562-4661-8D25-665A73A4AA32}"/>
    <cellStyle name="Input 2 2 2 9" xfId="5874" xr:uid="{07A3C5BD-86F4-4EBB-B0F2-0A9A978DE0F6}"/>
    <cellStyle name="Input 2 2 2 9 2" xfId="11727" xr:uid="{B0D0F76F-A37A-410D-B407-98ECA6792CEB}"/>
    <cellStyle name="Input 2 2 2 9 2 2" xfId="20773" xr:uid="{F9BDA253-346E-4C8D-ABF0-8B2BA2B3481C}"/>
    <cellStyle name="Input 2 2 2 9 3" xfId="17287" xr:uid="{44673EBB-003C-475B-B996-1CD6CAAC7645}"/>
    <cellStyle name="Input 2 2 3" xfId="2301" xr:uid="{861A1CD4-61CD-4DC6-8A25-4F755E610C00}"/>
    <cellStyle name="Input 2 2 3 10" xfId="9138" xr:uid="{C6686BA1-D115-4191-9C8A-CFA0BAC23934}"/>
    <cellStyle name="Input 2 2 3 10 2" xfId="18184" xr:uid="{657356FD-8F15-4A6F-BA24-AB898429BE35}"/>
    <cellStyle name="Input 2 2 3 11" xfId="12536" xr:uid="{4D859EAE-D6DE-4AF4-A313-B640D1136247}"/>
    <cellStyle name="Input 2 2 3 12" xfId="13730" xr:uid="{9C29FCA7-7F62-4111-B2C5-503C7AD828C5}"/>
    <cellStyle name="Input 2 2 3 13" xfId="14707" xr:uid="{5E112B3A-9D06-4CE4-9C44-02F83CC70551}"/>
    <cellStyle name="Input 2 2 3 14" xfId="21579" xr:uid="{95CA9711-FD5C-431D-A54D-E7A03D28EFB1}"/>
    <cellStyle name="Input 2 2 3 15" xfId="23744" xr:uid="{5BC5236A-DB58-48E6-9F94-A3A79CFA38BD}"/>
    <cellStyle name="Input 2 2 3 2" xfId="2302" xr:uid="{A6B6AF1E-F45F-437D-9949-B14968E93837}"/>
    <cellStyle name="Input 2 2 3 2 10" xfId="13152" xr:uid="{FC05B32B-F06E-4175-AC53-8364C09ED079}"/>
    <cellStyle name="Input 2 2 3 2 11" xfId="13786" xr:uid="{541C02BC-0D30-4A65-87EC-07249667EDB9}"/>
    <cellStyle name="Input 2 2 3 2 12" xfId="14761" xr:uid="{B4C79924-C862-4C16-9D0D-69E6732263DE}"/>
    <cellStyle name="Input 2 2 3 2 13" xfId="21631" xr:uid="{858CF83A-CC12-4357-B609-E7B42920DCB1}"/>
    <cellStyle name="Input 2 2 3 2 2" xfId="2569" xr:uid="{9C65F2D4-10CC-4A41-B6EA-5C66A8336562}"/>
    <cellStyle name="Input 2 2 3 2 2 10" xfId="15188" xr:uid="{BA9E1037-FA35-4A56-81E0-C0C9033B22CD}"/>
    <cellStyle name="Input 2 2 3 2 2 11" xfId="22057" xr:uid="{DD605971-655E-4A2A-9202-6EAAE17CE726}"/>
    <cellStyle name="Input 2 2 3 2 2 12" xfId="3408" xr:uid="{D24C9E77-3067-4E95-8E4F-49D344919D72}"/>
    <cellStyle name="Input 2 2 3 2 2 2" xfId="4631" xr:uid="{30E25030-05FE-49A9-B26F-F3BC29A16C76}"/>
    <cellStyle name="Input 2 2 3 2 2 2 2" xfId="10488" xr:uid="{F46EDBDC-67EF-4E17-8456-D64716E80900}"/>
    <cellStyle name="Input 2 2 3 2 2 2 2 2" xfId="19534" xr:uid="{8B8DA7EF-8195-4723-A672-C6903CDE5675}"/>
    <cellStyle name="Input 2 2 3 2 2 2 3" xfId="16048" xr:uid="{B1FFD1A2-AF5C-4D46-B111-BEF9B731468A}"/>
    <cellStyle name="Input 2 2 3 2 2 2 4" xfId="22713" xr:uid="{A84AB097-EEC3-417A-9711-76127B694302}"/>
    <cellStyle name="Input 2 2 3 2 2 3" xfId="5132" xr:uid="{1E86D423-24A3-41A8-A660-D534E8DCE741}"/>
    <cellStyle name="Input 2 2 3 2 2 3 2" xfId="10985" xr:uid="{51C9A791-9EB1-4104-90D3-302947D89AC3}"/>
    <cellStyle name="Input 2 2 3 2 2 3 2 2" xfId="20031" xr:uid="{ADE2F132-1DCC-4811-848B-22F13D3CF17C}"/>
    <cellStyle name="Input 2 2 3 2 2 3 3" xfId="16545" xr:uid="{429BD1EB-2846-4D3F-B199-76BD5056399E}"/>
    <cellStyle name="Input 2 2 3 2 2 3 4" xfId="23208" xr:uid="{4BC31056-0BC5-4BC3-A923-7CB169A9A40A}"/>
    <cellStyle name="Input 2 2 3 2 2 4" xfId="5747" xr:uid="{342345A5-24D1-45D6-8FCC-BF1C985414F6}"/>
    <cellStyle name="Input 2 2 3 2 2 4 2" xfId="11600" xr:uid="{608B19A4-09B5-4B3A-9BB7-9A1761836223}"/>
    <cellStyle name="Input 2 2 3 2 2 4 2 2" xfId="20646" xr:uid="{B212B4F7-17D7-4E7F-9C90-62BAF5870629}"/>
    <cellStyle name="Input 2 2 3 2 2 4 3" xfId="17160" xr:uid="{3C852594-31D4-45F7-BFAD-55030D27BCBB}"/>
    <cellStyle name="Input 2 2 3 2 2 5" xfId="6358" xr:uid="{BF0CA133-D23A-4DAB-BDB8-85D082BF1EE7}"/>
    <cellStyle name="Input 2 2 3 2 2 5 2" xfId="12205" xr:uid="{C5A66D2C-3BD8-4A38-9DF2-375E8408770D}"/>
    <cellStyle name="Input 2 2 3 2 2 5 2 2" xfId="21251" xr:uid="{FA706562-754F-49CF-84E4-E4CFCB05200E}"/>
    <cellStyle name="Input 2 2 3 2 2 5 3" xfId="17771" xr:uid="{BC337F3C-94C6-4709-8F8B-E7445F64AC09}"/>
    <cellStyle name="Input 2 2 3 2 2 6" xfId="9619" xr:uid="{B5F32A2C-3BC6-48B8-839E-1C1112320E37}"/>
    <cellStyle name="Input 2 2 3 2 2 6 2" xfId="18665" xr:uid="{CB3EED47-FDC5-41A0-A1EF-F1ABF5061FFB}"/>
    <cellStyle name="Input 2 2 3 2 2 7" xfId="13017" xr:uid="{E774D951-7B24-498F-926A-AD6A1D19A073}"/>
    <cellStyle name="Input 2 2 3 2 2 8" xfId="13574" xr:uid="{D6E34758-3C6D-4869-9302-D91A1C0CEFD9}"/>
    <cellStyle name="Input 2 2 3 2 2 9" xfId="14213" xr:uid="{197E4976-EB49-401D-B3A7-2B46D62416D8}"/>
    <cellStyle name="Input 2 2 3 2 3" xfId="3196" xr:uid="{A9FC69BB-4B79-4487-81CD-3D69B2C2B264}"/>
    <cellStyle name="Input 2 2 3 2 3 10" xfId="14976" xr:uid="{3D3860CB-430C-496E-A00A-711E53B3E25C}"/>
    <cellStyle name="Input 2 2 3 2 3 11" xfId="21846" xr:uid="{CB27C3C2-99F7-4DAB-A5B2-979B13C2F451}"/>
    <cellStyle name="Input 2 2 3 2 3 2" xfId="4419" xr:uid="{E2759861-9EA8-4ABE-9E66-A9DC285769BF}"/>
    <cellStyle name="Input 2 2 3 2 3 2 2" xfId="10276" xr:uid="{06572311-2F15-4AD3-8B1B-CC314A4D7C48}"/>
    <cellStyle name="Input 2 2 3 2 3 2 2 2" xfId="19322" xr:uid="{FAA267A2-715A-4682-9B4A-205920B2D4BC}"/>
    <cellStyle name="Input 2 2 3 2 3 2 3" xfId="15836" xr:uid="{0CB58C89-738E-4362-A7A2-7D85A75726DC}"/>
    <cellStyle name="Input 2 2 3 2 3 2 4" xfId="22502" xr:uid="{FC190795-0927-49CB-A1EB-CACE24B2F034}"/>
    <cellStyle name="Input 2 2 3 2 3 3" xfId="4920" xr:uid="{F2634579-0B8D-456E-8B60-08A52162C303}"/>
    <cellStyle name="Input 2 2 3 2 3 3 2" xfId="10773" xr:uid="{A57CC9FD-F2E8-4D2C-9A03-B127E6C1B4A1}"/>
    <cellStyle name="Input 2 2 3 2 3 3 2 2" xfId="19819" xr:uid="{E3E746A3-08B9-482B-96F9-5DD2C7D01AE0}"/>
    <cellStyle name="Input 2 2 3 2 3 3 3" xfId="16333" xr:uid="{0168B161-9BEC-4EFE-9C59-8E271DFD6621}"/>
    <cellStyle name="Input 2 2 3 2 3 3 4" xfId="22997" xr:uid="{32758163-C3E5-4EE8-9011-D8C4D6E85500}"/>
    <cellStyle name="Input 2 2 3 2 3 4" xfId="5535" xr:uid="{66330DF6-06B5-42EC-826B-C9B3AC00DEFE}"/>
    <cellStyle name="Input 2 2 3 2 3 4 2" xfId="11388" xr:uid="{471F6873-A476-4893-9DDC-FD95C9FAD9AF}"/>
    <cellStyle name="Input 2 2 3 2 3 4 2 2" xfId="20434" xr:uid="{4C7A7121-1F0D-405A-ACFA-F2654F9CCB85}"/>
    <cellStyle name="Input 2 2 3 2 3 4 3" xfId="16948" xr:uid="{363B606E-7E4C-43F0-9914-8911A8E55F26}"/>
    <cellStyle name="Input 2 2 3 2 3 5" xfId="6146" xr:uid="{CD5045D0-87F3-4103-9732-04D4F1BF6286}"/>
    <cellStyle name="Input 2 2 3 2 3 5 2" xfId="11993" xr:uid="{5E66967E-DF90-4DFA-8B88-7C47658CDDFE}"/>
    <cellStyle name="Input 2 2 3 2 3 5 2 2" xfId="21039" xr:uid="{268D9821-871E-40AB-A7CC-12DA7DBAB31F}"/>
    <cellStyle name="Input 2 2 3 2 3 5 3" xfId="17559" xr:uid="{B6E188BC-2BF6-4603-B86D-8428DDA02162}"/>
    <cellStyle name="Input 2 2 3 2 3 6" xfId="9407" xr:uid="{E3A3031D-63D1-494C-8BA7-315601B0447A}"/>
    <cellStyle name="Input 2 2 3 2 3 6 2" xfId="18453" xr:uid="{6D106DBC-996D-4407-B637-AD176A406897}"/>
    <cellStyle name="Input 2 2 3 2 3 7" xfId="12805" xr:uid="{BA88B452-ED20-43F5-96B2-6717BCA3F825}"/>
    <cellStyle name="Input 2 2 3 2 3 8" xfId="13363" xr:uid="{7295F7C2-2EB1-45F6-8F16-0FAEF16A4A7D}"/>
    <cellStyle name="Input 2 2 3 2 3 9" xfId="14001" xr:uid="{2D4B1221-7EBC-47A8-92C0-ACD667B735A5}"/>
    <cellStyle name="Input 2 2 3 2 4" xfId="4011" xr:uid="{5E7FE0BE-BC1B-4760-A22F-CE3F252A5DE0}"/>
    <cellStyle name="Input 2 2 3 2 4 2" xfId="9873" xr:uid="{A39A575A-119D-45D8-B86B-B5091EF3319C}"/>
    <cellStyle name="Input 2 2 3 2 4 2 2" xfId="18919" xr:uid="{3D429D61-1B33-4BCB-B80B-239BF00BFA08}"/>
    <cellStyle name="Input 2 2 3 2 4 3" xfId="15435" xr:uid="{9B142C53-61BB-448B-A9B2-4EF9ABB8A3F4}"/>
    <cellStyle name="Input 2 2 3 2 4 4" xfId="22232" xr:uid="{B68266F5-055E-49B3-8105-71232BCDC52B}"/>
    <cellStyle name="Input 2 2 3 2 5" xfId="4112" xr:uid="{3EEE1A30-1318-40B9-A19F-87E4D45D2BFC}"/>
    <cellStyle name="Input 2 2 3 2 5 2" xfId="9969" xr:uid="{1436A16A-97B3-4B56-B277-F205B941F6EB}"/>
    <cellStyle name="Input 2 2 3 2 5 2 2" xfId="19015" xr:uid="{FC7AA24B-6C2F-4554-AE17-714C63F52DAA}"/>
    <cellStyle name="Input 2 2 3 2 5 3" xfId="15529" xr:uid="{A5B78FA2-F995-494D-B558-09B9F58A658E}"/>
    <cellStyle name="Input 2 2 3 2 6" xfId="5320" xr:uid="{DC9B7D94-91BC-4A0D-AE49-7B7F40B33003}"/>
    <cellStyle name="Input 2 2 3 2 6 2" xfId="11173" xr:uid="{73992C63-CEA7-4D4D-B49B-EB5EF411BD2F}"/>
    <cellStyle name="Input 2 2 3 2 6 2 2" xfId="20219" xr:uid="{A547EFFD-329D-4C2A-A36A-7DD2011B84D2}"/>
    <cellStyle name="Input 2 2 3 2 6 3" xfId="16733" xr:uid="{1009B1FE-398E-4BF3-851F-4FE309976BC2}"/>
    <cellStyle name="Input 2 2 3 2 7" xfId="5931" xr:uid="{B2374AE4-2139-4386-80DD-9DB497D72EE9}"/>
    <cellStyle name="Input 2 2 3 2 7 2" xfId="11782" xr:uid="{F81146E6-6458-4823-B2E2-93CC88BAABB2}"/>
    <cellStyle name="Input 2 2 3 2 7 2 2" xfId="20828" xr:uid="{453EC4E0-D060-4608-B4DA-DDEFBD299825}"/>
    <cellStyle name="Input 2 2 3 2 7 3" xfId="17344" xr:uid="{8FFD894B-8ADD-4037-8E38-D9C89BCEC1A1}"/>
    <cellStyle name="Input 2 2 3 2 8" xfId="9192" xr:uid="{87891047-6CC3-4187-8845-4874A8BEB766}"/>
    <cellStyle name="Input 2 2 3 2 8 2" xfId="18238" xr:uid="{4C935707-0C57-499C-8D05-173A2DCF252F}"/>
    <cellStyle name="Input 2 2 3 2 9" xfId="12590" xr:uid="{ADC644D1-FF78-41F3-AAE1-9A9370484219}"/>
    <cellStyle name="Input 2 2 3 3" xfId="2677" xr:uid="{AE77341C-2DB9-4418-98AE-D739CE6FBBE4}"/>
    <cellStyle name="Input 2 2 3 3 10" xfId="15134" xr:uid="{8177C635-E672-4257-BD83-C866EC7007BA}"/>
    <cellStyle name="Input 2 2 3 3 11" xfId="22003" xr:uid="{6AD166AC-CC8C-4A99-A44E-312DBFF83EA3}"/>
    <cellStyle name="Input 2 2 3 3 12" xfId="3354" xr:uid="{7F24A15C-C2A6-4F32-975E-AC57901B30BA}"/>
    <cellStyle name="Input 2 2 3 3 2" xfId="4577" xr:uid="{E3365378-2D1F-4572-9F91-E8CCE5043413}"/>
    <cellStyle name="Input 2 2 3 3 2 2" xfId="10434" xr:uid="{E4E9C584-F67D-4D3F-9E27-481BB7414202}"/>
    <cellStyle name="Input 2 2 3 3 2 2 2" xfId="19480" xr:uid="{1FA8FF2F-706C-4094-B30D-BB13B51B8E66}"/>
    <cellStyle name="Input 2 2 3 3 2 3" xfId="15994" xr:uid="{1EF3B07E-3BC3-43CB-9AC1-D6A0F941B5EE}"/>
    <cellStyle name="Input 2 2 3 3 2 4" xfId="22659" xr:uid="{E0BA62B6-3C5B-485B-8098-3144650C3D47}"/>
    <cellStyle name="Input 2 2 3 3 3" xfId="5078" xr:uid="{B8E3F227-10E6-4995-B117-57873F9F4C18}"/>
    <cellStyle name="Input 2 2 3 3 3 2" xfId="10931" xr:uid="{8C3539BB-F659-4296-9A17-E394C6A095AA}"/>
    <cellStyle name="Input 2 2 3 3 3 2 2" xfId="19977" xr:uid="{F396501F-D983-4CFA-B9FF-664549E115E3}"/>
    <cellStyle name="Input 2 2 3 3 3 3" xfId="16491" xr:uid="{E38627DE-10E2-4403-9F4B-AF7124C0677D}"/>
    <cellStyle name="Input 2 2 3 3 3 4" xfId="23154" xr:uid="{DBC1E7A4-D602-431A-8E72-CA814B3F75F6}"/>
    <cellStyle name="Input 2 2 3 3 4" xfId="5693" xr:uid="{67EFE51A-E4A2-4F29-83C8-18B34AAB5143}"/>
    <cellStyle name="Input 2 2 3 3 4 2" xfId="11546" xr:uid="{F94D05FA-2370-475C-96D2-D5E3370C39FB}"/>
    <cellStyle name="Input 2 2 3 3 4 2 2" xfId="20592" xr:uid="{F7B72F15-CE6A-4564-BADC-5994D7A8B002}"/>
    <cellStyle name="Input 2 2 3 3 4 3" xfId="17106" xr:uid="{98598DFA-23B3-4B2E-ADDC-00B464F9F429}"/>
    <cellStyle name="Input 2 2 3 3 5" xfId="6304" xr:uid="{1D5D0BD0-32D7-4F7F-A75A-7B8BA5E3AF7C}"/>
    <cellStyle name="Input 2 2 3 3 5 2" xfId="12151" xr:uid="{CA076626-1411-411B-BEDD-88931FDA18A6}"/>
    <cellStyle name="Input 2 2 3 3 5 2 2" xfId="21197" xr:uid="{DD1353A1-98B7-4468-A269-C285E0051FFC}"/>
    <cellStyle name="Input 2 2 3 3 5 3" xfId="17717" xr:uid="{79DE8E58-2978-4704-AD6F-F5BB42DEB695}"/>
    <cellStyle name="Input 2 2 3 3 6" xfId="9565" xr:uid="{4A0B2C39-2948-41F7-8E91-9FE2D1D3E0D2}"/>
    <cellStyle name="Input 2 2 3 3 6 2" xfId="18611" xr:uid="{3EAF764E-F75C-4E6F-83CD-AD1789E56E53}"/>
    <cellStyle name="Input 2 2 3 3 7" xfId="12963" xr:uid="{FF985074-1682-4BD5-8B41-50572181981B}"/>
    <cellStyle name="Input 2 2 3 3 8" xfId="13520" xr:uid="{5298AEAB-CA6F-4418-A8A4-36E6BEA165D2}"/>
    <cellStyle name="Input 2 2 3 3 9" xfId="14159" xr:uid="{1D80108D-8162-4C56-9FF3-008BBE565A89}"/>
    <cellStyle name="Input 2 2 3 4" xfId="3142" xr:uid="{10C44FF8-A6FC-4020-981A-F98A208C446A}"/>
    <cellStyle name="Input 2 2 3 4 10" xfId="14922" xr:uid="{1FFC6907-4AEF-4094-BEB5-89061271F8FB}"/>
    <cellStyle name="Input 2 2 3 4 11" xfId="21790" xr:uid="{4C2840FA-BE37-42F7-9619-605AE18FC1E9}"/>
    <cellStyle name="Input 2 2 3 4 2" xfId="4363" xr:uid="{936FBA1C-36DE-40D7-BA4A-90A54E4542AC}"/>
    <cellStyle name="Input 2 2 3 4 2 2" xfId="10220" xr:uid="{381323AC-8EA5-4ECF-A640-4CF1160454C2}"/>
    <cellStyle name="Input 2 2 3 4 2 2 2" xfId="19266" xr:uid="{F865B3B3-B562-49FE-A7C3-F59E92B17B5B}"/>
    <cellStyle name="Input 2 2 3 4 2 3" xfId="15780" xr:uid="{9FBC0601-C170-4D09-BA39-5E66AA7E2D44}"/>
    <cellStyle name="Input 2 2 3 4 2 4" xfId="22446" xr:uid="{1AB8D513-E1C9-4F9A-A3BD-6E93D2977BD4}"/>
    <cellStyle name="Input 2 2 3 4 3" xfId="4864" xr:uid="{8C492245-285A-4DF5-BF2A-6BFCBB7C40EE}"/>
    <cellStyle name="Input 2 2 3 4 3 2" xfId="10719" xr:uid="{DA826321-6722-40B3-B19E-323187F49AE9}"/>
    <cellStyle name="Input 2 2 3 4 3 2 2" xfId="19765" xr:uid="{507825A2-4535-412D-916A-522D81FACCAB}"/>
    <cellStyle name="Input 2 2 3 4 3 3" xfId="16279" xr:uid="{6BDAC8B4-695C-4B41-ACAB-ED7C60DB4CAF}"/>
    <cellStyle name="Input 2 2 3 4 3 4" xfId="22941" xr:uid="{7A289E7B-E8C6-4F23-8117-BED26AE3B6A4}"/>
    <cellStyle name="Input 2 2 3 4 4" xfId="5479" xr:uid="{A9BE15E5-3BAB-41E9-90E5-EFE70840FC71}"/>
    <cellStyle name="Input 2 2 3 4 4 2" xfId="11332" xr:uid="{C81CF66E-7E90-4585-9DF8-AE6130C1B4C3}"/>
    <cellStyle name="Input 2 2 3 4 4 2 2" xfId="20378" xr:uid="{13F0FE03-7C90-4194-A322-51C4AA19A9D4}"/>
    <cellStyle name="Input 2 2 3 4 4 3" xfId="16892" xr:uid="{2AEA3CE5-76FA-445E-99EA-0420DB44D5B5}"/>
    <cellStyle name="Input 2 2 3 4 5" xfId="6090" xr:uid="{921655C4-27D3-4572-AF93-89ABD9F22AAC}"/>
    <cellStyle name="Input 2 2 3 4 5 2" xfId="11939" xr:uid="{323D72EF-B194-4D4A-B68A-1219CAAE33F9}"/>
    <cellStyle name="Input 2 2 3 4 5 2 2" xfId="20985" xr:uid="{31D13EE0-ED01-48F9-83D8-1CA2778DFA34}"/>
    <cellStyle name="Input 2 2 3 4 5 3" xfId="17503" xr:uid="{F0A0E952-AD9D-4D47-A574-952DCB9D78BC}"/>
    <cellStyle name="Input 2 2 3 4 6" xfId="9353" xr:uid="{F673ED21-AB2E-4A15-AFF6-20CE48C1DBE2}"/>
    <cellStyle name="Input 2 2 3 4 6 2" xfId="18399" xr:uid="{FE09DEE2-D9C3-42A5-AD51-B5620E97BF19}"/>
    <cellStyle name="Input 2 2 3 4 7" xfId="12749" xr:uid="{4ED281EB-E311-4784-8A8F-56CF13D773DC}"/>
    <cellStyle name="Input 2 2 3 4 8" xfId="13309" xr:uid="{CF335270-0618-4D4A-9317-6AFE26677E25}"/>
    <cellStyle name="Input 2 2 3 4 9" xfId="13945" xr:uid="{C3D0EC84-3547-43BD-B033-11EB19BA59D1}"/>
    <cellStyle name="Input 2 2 3 5" xfId="3743" xr:uid="{161B7563-A593-445E-B1D9-DF133E789373}"/>
    <cellStyle name="Input 2 2 3 5 2" xfId="9785" xr:uid="{CF79ABB8-99E7-41F2-A5E2-059B27B4239C}"/>
    <cellStyle name="Input 2 2 3 5 2 2" xfId="18831" xr:uid="{D7A1C247-E2E8-4C2A-B20E-3210F9A8E7CB}"/>
    <cellStyle name="Input 2 2 3 5 3" xfId="15351" xr:uid="{B257EC64-9C63-4F03-9A24-7DBF29405DAC}"/>
    <cellStyle name="Input 2 2 3 5 4" xfId="22330" xr:uid="{9B22D028-5FFB-42F4-BDA9-B9F894FED5C3}"/>
    <cellStyle name="Input 2 2 3 6" xfId="4227" xr:uid="{04E42309-BC3C-4621-9967-D2F59D1D0514}"/>
    <cellStyle name="Input 2 2 3 6 2" xfId="10084" xr:uid="{0F0AEBC5-E91E-47BB-85F4-BF552D666F10}"/>
    <cellStyle name="Input 2 2 3 6 2 2" xfId="19130" xr:uid="{7D0146A2-FA7D-47E0-BA9B-4AE82E45EC70}"/>
    <cellStyle name="Input 2 2 3 6 3" xfId="15644" xr:uid="{32ACA33D-502A-41EA-9C41-ECB2CFA69569}"/>
    <cellStyle name="Input 2 2 3 6 4" xfId="22397" xr:uid="{63249CC6-FF2A-48D6-8594-A2CD4BF1D67E}"/>
    <cellStyle name="Input 2 2 3 7" xfId="4288" xr:uid="{024A8C0A-A977-4037-AE93-84C60855BDB5}"/>
    <cellStyle name="Input 2 2 3 7 2" xfId="10145" xr:uid="{BC3E5222-C769-42F6-BB4F-1AD5766BD032}"/>
    <cellStyle name="Input 2 2 3 7 2 2" xfId="19191" xr:uid="{68B07ABE-02A0-40D9-9F0A-F79C1CBB3F0B}"/>
    <cellStyle name="Input 2 2 3 7 3" xfId="15705" xr:uid="{37DB63BB-F9D4-4660-B4EB-A04DB3AFB2D1}"/>
    <cellStyle name="Input 2 2 3 8" xfId="5264" xr:uid="{C500AFAE-54E9-47CD-93A1-0A626A631470}"/>
    <cellStyle name="Input 2 2 3 8 2" xfId="11117" xr:uid="{51124651-4BA1-4C74-BE3E-0ADA0D801E93}"/>
    <cellStyle name="Input 2 2 3 8 2 2" xfId="20163" xr:uid="{4CEA2966-F2D7-4A9C-8552-BA47B6515A60}"/>
    <cellStyle name="Input 2 2 3 8 3" xfId="16677" xr:uid="{5B50F4D1-E35B-479C-A4CE-ABFCE819ABF1}"/>
    <cellStyle name="Input 2 2 3 9" xfId="5875" xr:uid="{55DD7F5A-CB06-4985-A68E-BE701ACDAEC0}"/>
    <cellStyle name="Input 2 2 3 9 2" xfId="11728" xr:uid="{16C47470-49FE-4F1E-BFF7-5FC170937456}"/>
    <cellStyle name="Input 2 2 3 9 2 2" xfId="20774" xr:uid="{78C2194F-812D-46AD-9BFE-AC8CA92E3F2C}"/>
    <cellStyle name="Input 2 2 3 9 3" xfId="17288" xr:uid="{04530698-77A7-4E4F-BC88-B599B7C628C0}"/>
    <cellStyle name="Input 2 2 4" xfId="2303" xr:uid="{AD7EC089-87A5-41BA-9F0F-D74BD014BEBD}"/>
    <cellStyle name="Input 2 2 4 10" xfId="13153" xr:uid="{E8CB8D6A-A5E7-4E4E-A8DD-F4FEC1756FA0}"/>
    <cellStyle name="Input 2 2 4 11" xfId="13787" xr:uid="{DC229703-70D5-4F95-A431-1E7A86DD0EB3}"/>
    <cellStyle name="Input 2 2 4 12" xfId="14762" xr:uid="{12407EB7-F5A6-4CCD-B167-A1E1CC2D7C4A}"/>
    <cellStyle name="Input 2 2 4 13" xfId="21632" xr:uid="{02E4F7E0-4DF5-42CC-9BD5-797A6FE792A9}"/>
    <cellStyle name="Input 2 2 4 2" xfId="2568" xr:uid="{0AC235DA-A84F-435F-AF13-53D95788F07F}"/>
    <cellStyle name="Input 2 2 4 2 10" xfId="15189" xr:uid="{D85E5221-D397-44A3-B1A2-3DDAE0F84BCE}"/>
    <cellStyle name="Input 2 2 4 2 11" xfId="22058" xr:uid="{F0FC52BE-3647-4061-8788-9956400BDD19}"/>
    <cellStyle name="Input 2 2 4 2 12" xfId="3409" xr:uid="{CCC30D2A-2323-4F46-80D7-E2A5B8755576}"/>
    <cellStyle name="Input 2 2 4 2 2" xfId="4632" xr:uid="{F27F5E83-551C-4620-B69A-8BCEFA751EC9}"/>
    <cellStyle name="Input 2 2 4 2 2 2" xfId="10489" xr:uid="{3A80E643-73EE-4B53-B586-C5915E4D25E9}"/>
    <cellStyle name="Input 2 2 4 2 2 2 2" xfId="19535" xr:uid="{A170C5A7-93B1-4625-A15D-6F1E62F84BF1}"/>
    <cellStyle name="Input 2 2 4 2 2 3" xfId="16049" xr:uid="{B8A49C97-A230-491C-A983-DA6BEEF15A84}"/>
    <cellStyle name="Input 2 2 4 2 2 4" xfId="22714" xr:uid="{F64E1F15-5D20-4346-87E0-CFE9C8DFBA70}"/>
    <cellStyle name="Input 2 2 4 2 3" xfId="5133" xr:uid="{96EBF8EC-35D6-4B35-B7C1-132D293F72A0}"/>
    <cellStyle name="Input 2 2 4 2 3 2" xfId="10986" xr:uid="{F7884382-5954-4AC2-AB32-18F479E1F8AF}"/>
    <cellStyle name="Input 2 2 4 2 3 2 2" xfId="20032" xr:uid="{C9575FB8-7396-4357-949F-428CC987BF67}"/>
    <cellStyle name="Input 2 2 4 2 3 3" xfId="16546" xr:uid="{E739587D-35D5-4F22-83C3-9C6860949136}"/>
    <cellStyle name="Input 2 2 4 2 3 4" xfId="23209" xr:uid="{80B521DF-ED3E-4C77-B70F-294BAC26815E}"/>
    <cellStyle name="Input 2 2 4 2 4" xfId="5748" xr:uid="{8D5DA23E-7176-434D-9001-DBE6222752AF}"/>
    <cellStyle name="Input 2 2 4 2 4 2" xfId="11601" xr:uid="{67D8BD3E-E6B0-49D6-86D7-F03F8BC81FB9}"/>
    <cellStyle name="Input 2 2 4 2 4 2 2" xfId="20647" xr:uid="{8CCC368A-F897-4522-8045-774940EFDE62}"/>
    <cellStyle name="Input 2 2 4 2 4 3" xfId="17161" xr:uid="{39FF9AE6-A71B-42C4-AE4C-1E94D55609AB}"/>
    <cellStyle name="Input 2 2 4 2 5" xfId="6359" xr:uid="{E4D5F47A-2E05-4829-B3C6-6B85E979A5AA}"/>
    <cellStyle name="Input 2 2 4 2 5 2" xfId="12206" xr:uid="{7A2FA82E-4D64-4095-A132-7C97F58F0902}"/>
    <cellStyle name="Input 2 2 4 2 5 2 2" xfId="21252" xr:uid="{83B8DC2F-61EE-4F2E-85A1-CA1FB40B7FAD}"/>
    <cellStyle name="Input 2 2 4 2 5 3" xfId="17772" xr:uid="{AD7E44E8-96A3-4FC0-B7C2-B8C1AC0B1AD9}"/>
    <cellStyle name="Input 2 2 4 2 6" xfId="9620" xr:uid="{E67BBAA5-B0BB-4359-A1D5-C1A8B78BA057}"/>
    <cellStyle name="Input 2 2 4 2 6 2" xfId="18666" xr:uid="{BB65D1DF-6CA4-488B-8819-7284EC0611DF}"/>
    <cellStyle name="Input 2 2 4 2 7" xfId="13018" xr:uid="{276F51CD-A884-4BF9-9A47-75B6DDAD6019}"/>
    <cellStyle name="Input 2 2 4 2 8" xfId="13575" xr:uid="{99A07CCA-19AA-428E-BD4E-9F621A376FAD}"/>
    <cellStyle name="Input 2 2 4 2 9" xfId="14214" xr:uid="{15CABCC4-CE66-4C8B-A0A6-CDF0A897C3F7}"/>
    <cellStyle name="Input 2 2 4 3" xfId="3197" xr:uid="{B9A42A4D-79E8-42AF-B34A-9DCC3ED43C11}"/>
    <cellStyle name="Input 2 2 4 3 10" xfId="14977" xr:uid="{03842AD7-9A8C-4415-81F4-C76764DD1865}"/>
    <cellStyle name="Input 2 2 4 3 11" xfId="21847" xr:uid="{2C21E266-2883-49D6-8D6E-830E08A71ECC}"/>
    <cellStyle name="Input 2 2 4 3 2" xfId="4420" xr:uid="{FE4A1409-512D-4C30-BA8B-56D0520D6991}"/>
    <cellStyle name="Input 2 2 4 3 2 2" xfId="10277" xr:uid="{A98F6358-039C-4628-ABA6-8E80F05B5BAA}"/>
    <cellStyle name="Input 2 2 4 3 2 2 2" xfId="19323" xr:uid="{B3CA1B27-9E4F-4BE1-B9F8-EE57E1883F3A}"/>
    <cellStyle name="Input 2 2 4 3 2 3" xfId="15837" xr:uid="{45FBFDEE-4690-4819-834D-78FAF9E620CB}"/>
    <cellStyle name="Input 2 2 4 3 2 4" xfId="22503" xr:uid="{63C5ED6B-976B-49D5-B45C-EF0C27A173F9}"/>
    <cellStyle name="Input 2 2 4 3 3" xfId="4921" xr:uid="{1A5744E3-FE07-4DFB-B055-6B23546ABA57}"/>
    <cellStyle name="Input 2 2 4 3 3 2" xfId="10774" xr:uid="{F594DA73-A14E-493F-99E3-D0B675CD4916}"/>
    <cellStyle name="Input 2 2 4 3 3 2 2" xfId="19820" xr:uid="{87C621C8-1B76-4D03-A3AE-2F265DDD0AD0}"/>
    <cellStyle name="Input 2 2 4 3 3 3" xfId="16334" xr:uid="{1AA9A003-C301-4669-9FD7-075C074F4E8F}"/>
    <cellStyle name="Input 2 2 4 3 3 4" xfId="22998" xr:uid="{3EAC2C44-A46A-45BD-9800-CBEA908C69C3}"/>
    <cellStyle name="Input 2 2 4 3 4" xfId="5536" xr:uid="{4B828CF9-E675-4CA2-836F-73200CCAED80}"/>
    <cellStyle name="Input 2 2 4 3 4 2" xfId="11389" xr:uid="{744F72E1-B72A-4CC1-9E1D-A56D4685E762}"/>
    <cellStyle name="Input 2 2 4 3 4 2 2" xfId="20435" xr:uid="{6BC52321-A026-4AB3-B47D-06582CA32F79}"/>
    <cellStyle name="Input 2 2 4 3 4 3" xfId="16949" xr:uid="{D08A00D9-25D9-477D-A4FC-65D2BF8DB7EB}"/>
    <cellStyle name="Input 2 2 4 3 5" xfId="6147" xr:uid="{55FE0D4D-7545-4398-86A5-37B2CDE7DCD2}"/>
    <cellStyle name="Input 2 2 4 3 5 2" xfId="11994" xr:uid="{5638DE8F-30B4-4BD6-95EE-851DAFB19550}"/>
    <cellStyle name="Input 2 2 4 3 5 2 2" xfId="21040" xr:uid="{3D63C134-4761-4FCF-8C2C-7472305FE901}"/>
    <cellStyle name="Input 2 2 4 3 5 3" xfId="17560" xr:uid="{148DA526-A895-4DEB-B405-6EDC033B5903}"/>
    <cellStyle name="Input 2 2 4 3 6" xfId="9408" xr:uid="{DEBBB824-7C87-46A7-AF04-BC24021A3FF8}"/>
    <cellStyle name="Input 2 2 4 3 6 2" xfId="18454" xr:uid="{A4692AB6-7E2A-4AAE-9D9D-0D99FB8ACFDA}"/>
    <cellStyle name="Input 2 2 4 3 7" xfId="12806" xr:uid="{5277DEDE-9845-45C9-9972-180D88558BD5}"/>
    <cellStyle name="Input 2 2 4 3 8" xfId="13364" xr:uid="{FF4DEB2E-1ECE-4A49-8B8F-EBF8308EA3AD}"/>
    <cellStyle name="Input 2 2 4 3 9" xfId="14002" xr:uid="{96AF4013-A365-4AE6-8F9F-7D24E9951405}"/>
    <cellStyle name="Input 2 2 4 4" xfId="3982" xr:uid="{7A4B1BE1-30EA-4AC2-B485-9185442AC226}"/>
    <cellStyle name="Input 2 2 4 4 2" xfId="9844" xr:uid="{054E3C26-95AF-4A41-8AAA-5D82F5AD6CD6}"/>
    <cellStyle name="Input 2 2 4 4 2 2" xfId="18890" xr:uid="{B39AF3E1-23EE-45D7-8AB8-85D9EB40FD97}"/>
    <cellStyle name="Input 2 2 4 4 3" xfId="15406" xr:uid="{D4F5906A-3982-4248-9777-8F665B8F662F}"/>
    <cellStyle name="Input 2 2 4 4 4" xfId="22231" xr:uid="{1FA76FEE-14E3-4CE6-86CC-B71C8A139C01}"/>
    <cellStyle name="Input 2 2 4 5" xfId="4111" xr:uid="{625BAA88-AD9E-4A1C-853C-364C27FB8E80}"/>
    <cellStyle name="Input 2 2 4 5 2" xfId="9968" xr:uid="{B47AC325-60C4-4DDD-88A2-3BE3D93686AE}"/>
    <cellStyle name="Input 2 2 4 5 2 2" xfId="19014" xr:uid="{BBCFDF99-6636-42BD-A07C-8CCBEA13A5DE}"/>
    <cellStyle name="Input 2 2 4 5 3" xfId="15528" xr:uid="{DDC5B3EC-27C6-4170-A314-4323ED24A04E}"/>
    <cellStyle name="Input 2 2 4 6" xfId="5321" xr:uid="{CA52EBA6-4B11-4492-A137-7C824F97E1BA}"/>
    <cellStyle name="Input 2 2 4 6 2" xfId="11174" xr:uid="{7B9D3F0E-A67A-43FD-821B-B7E9AD30E39A}"/>
    <cellStyle name="Input 2 2 4 6 2 2" xfId="20220" xr:uid="{088BD84A-D665-4A72-A7F4-01D495CFB252}"/>
    <cellStyle name="Input 2 2 4 6 3" xfId="16734" xr:uid="{66BEFFA8-FBE1-4208-AB25-DADF5810F09E}"/>
    <cellStyle name="Input 2 2 4 7" xfId="5932" xr:uid="{79C056E6-F268-46A9-8E32-D02C2F071164}"/>
    <cellStyle name="Input 2 2 4 7 2" xfId="11783" xr:uid="{FB38A1E3-C5A0-4565-9A07-B408E9B0E385}"/>
    <cellStyle name="Input 2 2 4 7 2 2" xfId="20829" xr:uid="{543B2A32-87C9-4F13-9C84-335AB5766FB8}"/>
    <cellStyle name="Input 2 2 4 7 3" xfId="17345" xr:uid="{91F6E614-1496-4680-9DB5-D46ACCE5467F}"/>
    <cellStyle name="Input 2 2 4 8" xfId="9193" xr:uid="{440A7BC1-B5C9-4BD7-8A5B-C69A4D2D10EC}"/>
    <cellStyle name="Input 2 2 4 8 2" xfId="18239" xr:uid="{1E8E9569-75DA-4C4C-9176-C30863E9D4F5}"/>
    <cellStyle name="Input 2 2 4 9" xfId="12591" xr:uid="{0F1A46D0-3EA4-465F-B04A-104792AB1D0B}"/>
    <cellStyle name="Input 2 2 5" xfId="2943" xr:uid="{1FD00CCA-AEA6-41DA-948A-5D714616C89A}"/>
    <cellStyle name="Input 2 2 5 10" xfId="15106" xr:uid="{56D95BBF-515F-4BB6-B44B-ACDA022150E3}"/>
    <cellStyle name="Input 2 2 5 11" xfId="21975" xr:uid="{BAF4721F-A687-4B2C-9AFC-68B070CED245}"/>
    <cellStyle name="Input 2 2 5 12" xfId="3326" xr:uid="{327F5937-C07B-4B63-9221-1631CF6ED9C4}"/>
    <cellStyle name="Input 2 2 5 2" xfId="4549" xr:uid="{81CBE799-5EFD-498E-AB5F-974ED9D20E8F}"/>
    <cellStyle name="Input 2 2 5 2 2" xfId="10406" xr:uid="{2A11C151-9D73-44F9-B989-2F073C5E394D}"/>
    <cellStyle name="Input 2 2 5 2 2 2" xfId="19452" xr:uid="{31375A69-2E79-44EE-BF80-BD34A1F2ADBB}"/>
    <cellStyle name="Input 2 2 5 2 3" xfId="15966" xr:uid="{F1B65754-8B3E-44F0-8558-123A2E2BA06A}"/>
    <cellStyle name="Input 2 2 5 2 4" xfId="22631" xr:uid="{65CF944B-0090-438B-A5ED-1A6F74FB8AEB}"/>
    <cellStyle name="Input 2 2 5 3" xfId="5050" xr:uid="{1F666393-2CE8-4FA5-90B6-0A3AE66A1B02}"/>
    <cellStyle name="Input 2 2 5 3 2" xfId="10903" xr:uid="{1C24922E-F4DA-48FD-8A2E-5273581DEA5A}"/>
    <cellStyle name="Input 2 2 5 3 2 2" xfId="19949" xr:uid="{6F46ACAA-F1AB-41EF-A848-57EFE28533E3}"/>
    <cellStyle name="Input 2 2 5 3 3" xfId="16463" xr:uid="{029BA1E2-FB6F-404D-94DD-22060E1A362E}"/>
    <cellStyle name="Input 2 2 5 3 4" xfId="23126" xr:uid="{97992083-6880-4BFC-9CEA-630967F3F0CA}"/>
    <cellStyle name="Input 2 2 5 4" xfId="5665" xr:uid="{738F7DF8-5521-438E-ABAD-A658FA26DF1A}"/>
    <cellStyle name="Input 2 2 5 4 2" xfId="11518" xr:uid="{DBAB52D5-3079-4567-8124-F1124C822BDF}"/>
    <cellStyle name="Input 2 2 5 4 2 2" xfId="20564" xr:uid="{44BD1FD9-8878-44A1-A772-47B618474384}"/>
    <cellStyle name="Input 2 2 5 4 3" xfId="17078" xr:uid="{B4A5426A-28A6-46FA-800F-0227F3A80E4A}"/>
    <cellStyle name="Input 2 2 5 5" xfId="6276" xr:uid="{AD64B815-6410-41B6-BFA4-FD5C2761918E}"/>
    <cellStyle name="Input 2 2 5 5 2" xfId="12123" xr:uid="{FF6F6596-5FF9-4960-95A0-9222E0CC4D0A}"/>
    <cellStyle name="Input 2 2 5 5 2 2" xfId="21169" xr:uid="{1A62DF8D-37D6-437C-944F-0E4D54B73FEC}"/>
    <cellStyle name="Input 2 2 5 5 3" xfId="17689" xr:uid="{857C11B6-50C1-440A-98E3-39255E2D1BF6}"/>
    <cellStyle name="Input 2 2 5 6" xfId="9537" xr:uid="{97FE6241-A96C-48DD-9B72-14FC48E1AF1C}"/>
    <cellStyle name="Input 2 2 5 6 2" xfId="18583" xr:uid="{24C65967-22DA-410F-8323-00EF925EAACD}"/>
    <cellStyle name="Input 2 2 5 7" xfId="12935" xr:uid="{1E8D4943-4790-482D-8022-5199091F421F}"/>
    <cellStyle name="Input 2 2 5 8" xfId="13492" xr:uid="{3CC02FFE-2911-424F-998C-82BE8BD65C5A}"/>
    <cellStyle name="Input 2 2 5 9" xfId="14131" xr:uid="{2B2B9A43-5538-4639-8E13-D6E5B4EDCF71}"/>
    <cellStyle name="Input 2 2 6" xfId="3114" xr:uid="{A671678A-90F8-43C8-AC39-DC84EEBBD13B}"/>
    <cellStyle name="Input 2 2 6 10" xfId="14894" xr:uid="{0C7E514C-B6EC-4ADD-8C50-319FD378D109}"/>
    <cellStyle name="Input 2 2 6 11" xfId="21762" xr:uid="{D673BBA7-03C1-4A49-909B-10879794CFB1}"/>
    <cellStyle name="Input 2 2 6 2" xfId="4335" xr:uid="{7B489977-A30F-4FE5-8E2C-9957843B0891}"/>
    <cellStyle name="Input 2 2 6 2 2" xfId="10192" xr:uid="{61F00AE5-62FB-496B-8738-E724DA9FAF49}"/>
    <cellStyle name="Input 2 2 6 2 2 2" xfId="19238" xr:uid="{638A1DBB-66E0-4150-99C0-87EAF18643A5}"/>
    <cellStyle name="Input 2 2 6 2 3" xfId="15752" xr:uid="{215FF92E-1FBE-49C4-969D-392D52950A71}"/>
    <cellStyle name="Input 2 2 6 2 4" xfId="22418" xr:uid="{2D8C9E70-4364-4BED-BFA9-587D0F7F7763}"/>
    <cellStyle name="Input 2 2 6 3" xfId="4836" xr:uid="{74ADE8DE-46D4-45D4-AF49-F920E2648BC2}"/>
    <cellStyle name="Input 2 2 6 3 2" xfId="10691" xr:uid="{0BDC6A9E-3597-4913-8C59-0D4161DF56DD}"/>
    <cellStyle name="Input 2 2 6 3 2 2" xfId="19737" xr:uid="{48374A27-5CC3-45F8-89E9-CDC48F5C15E3}"/>
    <cellStyle name="Input 2 2 6 3 3" xfId="16251" xr:uid="{019E4C5A-4336-4F1A-BB1A-D20B5DC5DC6D}"/>
    <cellStyle name="Input 2 2 6 3 4" xfId="22913" xr:uid="{A0EBCCF7-5F4E-498A-90A6-44D0E99F9817}"/>
    <cellStyle name="Input 2 2 6 4" xfId="5451" xr:uid="{5418E26F-8DD0-4D59-8E89-B36715D68C80}"/>
    <cellStyle name="Input 2 2 6 4 2" xfId="11304" xr:uid="{1C15D634-71BD-4BA5-8C58-F6ED820C04C2}"/>
    <cellStyle name="Input 2 2 6 4 2 2" xfId="20350" xr:uid="{F7AE0FA6-90BE-4203-810F-D389F0AC4FB0}"/>
    <cellStyle name="Input 2 2 6 4 3" xfId="16864" xr:uid="{B63A9713-8BF6-4277-8187-7366E4E73D3E}"/>
    <cellStyle name="Input 2 2 6 5" xfId="6062" xr:uid="{545DD64C-70DA-4DD1-ABA3-D6104AF1D960}"/>
    <cellStyle name="Input 2 2 6 5 2" xfId="11911" xr:uid="{F5CF0B2C-634A-494A-929E-72CFAB4ABEAA}"/>
    <cellStyle name="Input 2 2 6 5 2 2" xfId="20957" xr:uid="{9F2DC799-6B0D-4F3E-84D1-AB29CCD15C27}"/>
    <cellStyle name="Input 2 2 6 5 3" xfId="17475" xr:uid="{1EDDAD35-8A19-488E-BA4F-6135432974FC}"/>
    <cellStyle name="Input 2 2 6 6" xfId="9325" xr:uid="{23A11A75-DF57-41A0-969A-B35D7A56CB1E}"/>
    <cellStyle name="Input 2 2 6 6 2" xfId="18371" xr:uid="{88F4BADC-10E1-4CDB-902B-9A1CB8B98136}"/>
    <cellStyle name="Input 2 2 6 7" xfId="12721" xr:uid="{ABF528B5-9553-43BA-ABF0-3FA06223B089}"/>
    <cellStyle name="Input 2 2 6 8" xfId="13281" xr:uid="{DFB4DB8D-C61C-4B53-81EC-3CD9F4200CC8}"/>
    <cellStyle name="Input 2 2 6 9" xfId="13917" xr:uid="{B54E04E2-257B-4B1E-AD02-33F845DA1501}"/>
    <cellStyle name="Input 2 2 7" xfId="3714" xr:uid="{86C0D35C-8321-4F27-8F4A-FE6D9AC4364B}"/>
    <cellStyle name="Input 2 2 7 2" xfId="9756" xr:uid="{5413853B-CD61-4E46-80B7-3468EE8703AA}"/>
    <cellStyle name="Input 2 2 7 2 2" xfId="18802" xr:uid="{1D1B408F-3C0A-40F7-85BD-E136F5236056}"/>
    <cellStyle name="Input 2 2 7 3" xfId="14422" xr:uid="{2071CF77-EAB9-479D-89FC-7E36710041DA}"/>
    <cellStyle name="Input 2 2 7 4" xfId="15322" xr:uid="{4CFB5F06-7725-4CF8-A5EB-B53CC34D1A6F}"/>
    <cellStyle name="Input 2 2 7 5" xfId="22301" xr:uid="{B62E2908-421B-4055-927D-9AA48906678E}"/>
    <cellStyle name="Input 2 2 8" xfId="4198" xr:uid="{5E8C3405-C932-47CC-A981-3B0773491827}"/>
    <cellStyle name="Input 2 2 8 2" xfId="10055" xr:uid="{1FC3CA2D-1C49-4880-9968-B80D4DFBF1E2}"/>
    <cellStyle name="Input 2 2 8 2 2" xfId="19101" xr:uid="{838F2459-C9E2-42D3-8AE8-F039BD9B5757}"/>
    <cellStyle name="Input 2 2 8 3" xfId="15615" xr:uid="{4403E76B-456E-4037-A5A7-6869C2FC0743}"/>
    <cellStyle name="Input 2 2 8 4" xfId="22277" xr:uid="{E65D6673-7AB4-4351-8522-73240806439D}"/>
    <cellStyle name="Input 2 2 9" xfId="4187" xr:uid="{F1C03042-2332-4299-962D-DCD7452952E6}"/>
    <cellStyle name="Input 2 2 9 2" xfId="10044" xr:uid="{D700B106-6460-43F7-AF09-305A4159CACC}"/>
    <cellStyle name="Input 2 2 9 2 2" xfId="19090" xr:uid="{64B6C798-0050-47F0-9EDF-29FD94060A50}"/>
    <cellStyle name="Input 2 2 9 3" xfId="15604" xr:uid="{3A345BB3-6E58-4F96-8E63-1243573590BC}"/>
    <cellStyle name="Input 2 2 9 4" xfId="23421" xr:uid="{108C9348-47B6-4064-A4E1-E0AD5A8863A0}"/>
    <cellStyle name="Input 2 3" xfId="366" xr:uid="{48EF7192-AD39-46C4-AFD5-6952A820A089}"/>
    <cellStyle name="Input 2 3 10" xfId="4307" xr:uid="{683FDAAF-C2A9-4614-AD8B-3E31188BF6FD}"/>
    <cellStyle name="Input 2 3 10 2" xfId="10164" xr:uid="{94127D45-2E8A-4BEF-B2CD-6C45D1825C68}"/>
    <cellStyle name="Input 2 3 10 2 2" xfId="19210" xr:uid="{8F2AC6CA-B8FB-4450-BAF2-95559920B4FA}"/>
    <cellStyle name="Input 2 3 10 3" xfId="15724" xr:uid="{D771B5CA-9AB6-4897-8A94-EF91DE0A16F6}"/>
    <cellStyle name="Input 2 3 11" xfId="4175" xr:uid="{D9CBB317-897E-4F39-AC37-77818266748D}"/>
    <cellStyle name="Input 2 3 11 2" xfId="10032" xr:uid="{06443403-2A9D-4B9A-892D-7B8C8FC0AC7E}"/>
    <cellStyle name="Input 2 3 11 2 2" xfId="19078" xr:uid="{E2674F84-E7F4-4D5E-94A1-D6BED4D3958C}"/>
    <cellStyle name="Input 2 3 11 3" xfId="15592" xr:uid="{5AC64CB2-95A9-4636-B7EF-898AA8E9D790}"/>
    <cellStyle name="Input 2 3 12" xfId="9109" xr:uid="{4F687B2C-100D-4E07-96AA-DC5C0FB78EAD}"/>
    <cellStyle name="Input 2 3 12 2" xfId="18155" xr:uid="{9DE253E4-0886-4EA3-AD4D-511D06FCCBF4}"/>
    <cellStyle name="Input 2 3 13" xfId="12509" xr:uid="{43110F03-F76D-4D4D-B34E-3A5124B09007}"/>
    <cellStyle name="Input 2 3 14" xfId="13703" xr:uid="{EB213A5A-273C-408B-96A0-29D9E8FDEAB2}"/>
    <cellStyle name="Input 2 3 15" xfId="14678" xr:uid="{8A89258F-C972-4CB3-8EC8-10AF1AC54AB4}"/>
    <cellStyle name="Input 2 3 16" xfId="21553" xr:uid="{83AF1FC3-8B3F-4003-9E4D-7C7E2B987658}"/>
    <cellStyle name="Input 2 3 17" xfId="23745" xr:uid="{13F5B7AE-580B-44F3-9632-424E1F471E97}"/>
    <cellStyle name="Input 2 3 2" xfId="2304" xr:uid="{6739F6FE-03AD-4BC5-A332-0D552D227E8C}"/>
    <cellStyle name="Input 2 3 2 10" xfId="9139" xr:uid="{F6A10B90-41F1-48FA-BB7C-901EE0A9163D}"/>
    <cellStyle name="Input 2 3 2 10 2" xfId="18185" xr:uid="{52B6ADFD-1B6F-4A6B-971D-0040D264D97D}"/>
    <cellStyle name="Input 2 3 2 11" xfId="12537" xr:uid="{89549D9A-B868-40DD-A901-E53CF578B6C0}"/>
    <cellStyle name="Input 2 3 2 12" xfId="13731" xr:uid="{85E5E072-C13F-45FF-8B5E-234B8E6A82B3}"/>
    <cellStyle name="Input 2 3 2 13" xfId="14708" xr:uid="{553F9BD7-E26A-48B0-9838-635C3CA68E26}"/>
    <cellStyle name="Input 2 3 2 14" xfId="21580" xr:uid="{A151D6E9-F280-49F2-8B3F-53A42CE74033}"/>
    <cellStyle name="Input 2 3 2 15" xfId="23746" xr:uid="{BAAD72CC-6E76-4BFC-A944-EEDE94640F34}"/>
    <cellStyle name="Input 2 3 2 2" xfId="2305" xr:uid="{546D6EFA-4908-4646-BAA8-651502FFC302}"/>
    <cellStyle name="Input 2 3 2 2 10" xfId="13154" xr:uid="{55467B0C-3387-4DBE-99FC-A4949632584A}"/>
    <cellStyle name="Input 2 3 2 2 11" xfId="13788" xr:uid="{8636220C-4745-4C3C-9053-2AD268F6923F}"/>
    <cellStyle name="Input 2 3 2 2 12" xfId="14763" xr:uid="{BDC64CB2-83F5-4F8E-A571-2A8C43AB0EF3}"/>
    <cellStyle name="Input 2 3 2 2 13" xfId="21633" xr:uid="{0219A974-DC13-4E54-9AAE-7FFFC544CDD3}"/>
    <cellStyle name="Input 2 3 2 2 2" xfId="2675" xr:uid="{A3564B16-3A31-4DD4-B4B5-3EA40F939F01}"/>
    <cellStyle name="Input 2 3 2 2 2 10" xfId="15190" xr:uid="{78CDCF05-5144-4771-918F-E759229E5AE7}"/>
    <cellStyle name="Input 2 3 2 2 2 11" xfId="22059" xr:uid="{F0E7A4B9-AEFE-4067-AB92-A10EEFA0BD8A}"/>
    <cellStyle name="Input 2 3 2 2 2 12" xfId="3410" xr:uid="{1A059E87-B373-4CA4-BDDF-FE31BE3B201C}"/>
    <cellStyle name="Input 2 3 2 2 2 2" xfId="4633" xr:uid="{9290A155-769A-43A1-AED8-E392DE40E9B8}"/>
    <cellStyle name="Input 2 3 2 2 2 2 2" xfId="10490" xr:uid="{8167A7C8-3729-44C6-9533-5F44EC4605B9}"/>
    <cellStyle name="Input 2 3 2 2 2 2 2 2" xfId="19536" xr:uid="{B34320E5-D824-406D-8A08-B28E739ECA27}"/>
    <cellStyle name="Input 2 3 2 2 2 2 3" xfId="16050" xr:uid="{AA6A0DE3-34AC-466B-ABE6-F4D1E6F428F8}"/>
    <cellStyle name="Input 2 3 2 2 2 2 4" xfId="22715" xr:uid="{CFD0A1ED-B094-445C-AA9C-8128B07BDFC3}"/>
    <cellStyle name="Input 2 3 2 2 2 3" xfId="5134" xr:uid="{D26C4600-E459-403C-AF39-921B51EEAA91}"/>
    <cellStyle name="Input 2 3 2 2 2 3 2" xfId="10987" xr:uid="{E404E78C-3BE6-47EC-A178-A9E139135314}"/>
    <cellStyle name="Input 2 3 2 2 2 3 2 2" xfId="20033" xr:uid="{65A07BF6-A9D4-4EE2-A7A9-01DB42FD8B39}"/>
    <cellStyle name="Input 2 3 2 2 2 3 3" xfId="16547" xr:uid="{2B6D132B-643B-4C45-AAB1-F9E14845737C}"/>
    <cellStyle name="Input 2 3 2 2 2 3 4" xfId="23210" xr:uid="{2A3EED06-02C3-4669-9DDC-C26C40C01CBA}"/>
    <cellStyle name="Input 2 3 2 2 2 4" xfId="5749" xr:uid="{A7B1EAA6-00EA-4577-B132-FBA885DCEAF0}"/>
    <cellStyle name="Input 2 3 2 2 2 4 2" xfId="11602" xr:uid="{0E6B55FB-A12D-468F-ADFD-8478C987AFEF}"/>
    <cellStyle name="Input 2 3 2 2 2 4 2 2" xfId="20648" xr:uid="{93C84289-EAB3-473D-902C-307D802DA8B7}"/>
    <cellStyle name="Input 2 3 2 2 2 4 3" xfId="17162" xr:uid="{4C9891B5-A4E0-4025-A19A-50D1E05D315E}"/>
    <cellStyle name="Input 2 3 2 2 2 5" xfId="6360" xr:uid="{43B4A02F-6E79-4F9A-866C-9CB633786118}"/>
    <cellStyle name="Input 2 3 2 2 2 5 2" xfId="12207" xr:uid="{BC9923D6-88A3-4876-8B7C-BED9AB5C3D7E}"/>
    <cellStyle name="Input 2 3 2 2 2 5 2 2" xfId="21253" xr:uid="{951F9AA4-7FE7-4037-93D2-9FBCC3D5B92D}"/>
    <cellStyle name="Input 2 3 2 2 2 5 3" xfId="17773" xr:uid="{B179B8B3-7C38-471B-A994-A9FAB9602EAD}"/>
    <cellStyle name="Input 2 3 2 2 2 6" xfId="9621" xr:uid="{A2298A6E-793C-4789-A685-3CB19985C616}"/>
    <cellStyle name="Input 2 3 2 2 2 6 2" xfId="18667" xr:uid="{20F1E478-B003-48D7-8683-9514391BE782}"/>
    <cellStyle name="Input 2 3 2 2 2 7" xfId="13019" xr:uid="{275B7B78-CEDE-437D-8AA3-246F5BB966F0}"/>
    <cellStyle name="Input 2 3 2 2 2 8" xfId="13576" xr:uid="{5031419F-407B-40BE-A83F-1AB768B9946B}"/>
    <cellStyle name="Input 2 3 2 2 2 9" xfId="14215" xr:uid="{79EB8E04-C6D6-4934-A1B8-04604E3CB3D7}"/>
    <cellStyle name="Input 2 3 2 2 3" xfId="3198" xr:uid="{E1D26314-33D0-4981-B420-96B996D82A76}"/>
    <cellStyle name="Input 2 3 2 2 3 10" xfId="14978" xr:uid="{8A4AE4A3-A92A-4B89-96FC-98BA24DD98A5}"/>
    <cellStyle name="Input 2 3 2 2 3 11" xfId="21848" xr:uid="{3B926F18-0AE0-4322-83D7-93FBBCD40ED1}"/>
    <cellStyle name="Input 2 3 2 2 3 2" xfId="4421" xr:uid="{B1FB154E-BDD8-40D1-AF61-24965388BD6F}"/>
    <cellStyle name="Input 2 3 2 2 3 2 2" xfId="10278" xr:uid="{9EED2219-CAE1-4620-92FC-6E1FDFA61A98}"/>
    <cellStyle name="Input 2 3 2 2 3 2 2 2" xfId="19324" xr:uid="{C75F934F-3D40-448E-9868-77F4AB221391}"/>
    <cellStyle name="Input 2 3 2 2 3 2 3" xfId="15838" xr:uid="{DC746E4F-BE5B-4183-9B21-1446CFE832C8}"/>
    <cellStyle name="Input 2 3 2 2 3 2 4" xfId="22504" xr:uid="{12826648-5D5F-432D-B00D-4F11D132530D}"/>
    <cellStyle name="Input 2 3 2 2 3 3" xfId="4922" xr:uid="{7507947E-81E0-496D-BFD3-920E94C331E2}"/>
    <cellStyle name="Input 2 3 2 2 3 3 2" xfId="10775" xr:uid="{221F3852-652A-48CC-82FC-EEF2C6C3961E}"/>
    <cellStyle name="Input 2 3 2 2 3 3 2 2" xfId="19821" xr:uid="{AB3E8B5E-0F72-4531-8632-2B02C5CDAFB1}"/>
    <cellStyle name="Input 2 3 2 2 3 3 3" xfId="16335" xr:uid="{9F5B229C-0763-471B-A4C9-504EE4DC2CA3}"/>
    <cellStyle name="Input 2 3 2 2 3 3 4" xfId="22999" xr:uid="{F9196AE7-1658-4B42-A2A9-7FA4C7A89E7E}"/>
    <cellStyle name="Input 2 3 2 2 3 4" xfId="5537" xr:uid="{571E2928-4B34-4CEF-953B-DF3D93A7DA77}"/>
    <cellStyle name="Input 2 3 2 2 3 4 2" xfId="11390" xr:uid="{809C71B3-722B-4F4C-A3F5-8BC36B3AA6C1}"/>
    <cellStyle name="Input 2 3 2 2 3 4 2 2" xfId="20436" xr:uid="{055CC894-1CAC-4DEB-842B-DE81D4E824C6}"/>
    <cellStyle name="Input 2 3 2 2 3 4 3" xfId="16950" xr:uid="{8AC17448-D22A-4471-986F-C3AEABBDFFBA}"/>
    <cellStyle name="Input 2 3 2 2 3 5" xfId="6148" xr:uid="{306FFC12-E2D3-4B4F-9DDB-35C89C46C028}"/>
    <cellStyle name="Input 2 3 2 2 3 5 2" xfId="11995" xr:uid="{66772851-FDF6-4F5C-BAB6-7155817561B2}"/>
    <cellStyle name="Input 2 3 2 2 3 5 2 2" xfId="21041" xr:uid="{D3337104-8870-4739-873B-CDD5F9CBFB21}"/>
    <cellStyle name="Input 2 3 2 2 3 5 3" xfId="17561" xr:uid="{85F51E5D-3A31-4229-8741-926FAE5CA80A}"/>
    <cellStyle name="Input 2 3 2 2 3 6" xfId="9409" xr:uid="{AC4B1C68-CE90-46E2-BB3D-0C074D4394D5}"/>
    <cellStyle name="Input 2 3 2 2 3 6 2" xfId="18455" xr:uid="{56B4CE41-360C-4719-BEED-87E1B7837A35}"/>
    <cellStyle name="Input 2 3 2 2 3 7" xfId="12807" xr:uid="{75CBDCD8-D44C-4AFB-8BBA-8A01DC684A74}"/>
    <cellStyle name="Input 2 3 2 2 3 8" xfId="13365" xr:uid="{EE07C41C-3562-4AA3-ACF1-966D43E8D741}"/>
    <cellStyle name="Input 2 3 2 2 3 9" xfId="14003" xr:uid="{26318B81-7E47-41A9-A250-41A50E187F26}"/>
    <cellStyle name="Input 2 3 2 2 4" xfId="4012" xr:uid="{4F466F6A-E9BA-46E3-87E8-4EFC40B18021}"/>
    <cellStyle name="Input 2 3 2 2 4 2" xfId="9874" xr:uid="{E210CE53-90F3-40AE-ADD8-3394EE4C95FF}"/>
    <cellStyle name="Input 2 3 2 2 4 2 2" xfId="18920" xr:uid="{50D96ACC-7C46-43C0-8CEF-619C80A728D3}"/>
    <cellStyle name="Input 2 3 2 2 4 3" xfId="15436" xr:uid="{3B83D719-C9A1-4CCF-9D5C-022702297C52}"/>
    <cellStyle name="Input 2 3 2 2 4 4" xfId="22230" xr:uid="{069C55E8-BA3D-4F36-A69F-2A697B228F69}"/>
    <cellStyle name="Input 2 3 2 2 5" xfId="4110" xr:uid="{0F532AC9-08C9-4D28-8EF3-583E3D6C2D66}"/>
    <cellStyle name="Input 2 3 2 2 5 2" xfId="9967" xr:uid="{68AD9661-0B2B-49B1-8781-24841D6EE457}"/>
    <cellStyle name="Input 2 3 2 2 5 2 2" xfId="19013" xr:uid="{C45FDABA-C032-418F-8BD8-37B5A18CEBE1}"/>
    <cellStyle name="Input 2 3 2 2 5 3" xfId="15527" xr:uid="{A0C78DFB-0533-43D6-B8B1-430EC46F0766}"/>
    <cellStyle name="Input 2 3 2 2 6" xfId="5322" xr:uid="{3CE196ED-4F2D-4EB2-AB00-96189F1BD3A7}"/>
    <cellStyle name="Input 2 3 2 2 6 2" xfId="11175" xr:uid="{BB8ECDEB-43F9-49FB-AB15-DE44D30F9728}"/>
    <cellStyle name="Input 2 3 2 2 6 2 2" xfId="20221" xr:uid="{580F3403-C0AD-4963-BA9B-E951478CDD60}"/>
    <cellStyle name="Input 2 3 2 2 6 3" xfId="16735" xr:uid="{96B761BB-A059-4CE6-9063-DC3E65DBACFE}"/>
    <cellStyle name="Input 2 3 2 2 7" xfId="5933" xr:uid="{7B89F2F0-E8A0-4082-9F76-81883852246F}"/>
    <cellStyle name="Input 2 3 2 2 7 2" xfId="11784" xr:uid="{500E4CB9-3A81-4BE9-9AB5-84E5C322B2B3}"/>
    <cellStyle name="Input 2 3 2 2 7 2 2" xfId="20830" xr:uid="{A9ECD6AE-ACB0-4140-ACEF-D63DADA7653F}"/>
    <cellStyle name="Input 2 3 2 2 7 3" xfId="17346" xr:uid="{9AA9A321-D539-406D-961D-865066335528}"/>
    <cellStyle name="Input 2 3 2 2 8" xfId="9194" xr:uid="{DA037D92-92DF-48D0-A2F7-0E9939616F75}"/>
    <cellStyle name="Input 2 3 2 2 8 2" xfId="18240" xr:uid="{78420B49-C2B2-4743-AF4D-31E69830E3A0}"/>
    <cellStyle name="Input 2 3 2 2 9" xfId="12592" xr:uid="{95F9AE22-33A7-4904-8E52-A06EB8BF45FA}"/>
    <cellStyle name="Input 2 3 2 3" xfId="2676" xr:uid="{928212AB-BABF-41A9-A52E-74BC2A89A433}"/>
    <cellStyle name="Input 2 3 2 3 10" xfId="15135" xr:uid="{C475CF13-A73C-4D41-8A20-AD640669C1F6}"/>
    <cellStyle name="Input 2 3 2 3 11" xfId="22004" xr:uid="{D9F78867-D602-4616-A517-59C384A0AE77}"/>
    <cellStyle name="Input 2 3 2 3 12" xfId="3355" xr:uid="{391DD3F1-995E-4098-9F6C-3B4606E61977}"/>
    <cellStyle name="Input 2 3 2 3 2" xfId="4578" xr:uid="{D822D985-4260-4A02-8625-316598012C83}"/>
    <cellStyle name="Input 2 3 2 3 2 2" xfId="10435" xr:uid="{C90A8755-BEE8-468F-A783-E15A74B1E54B}"/>
    <cellStyle name="Input 2 3 2 3 2 2 2" xfId="19481" xr:uid="{F3E4147D-78F6-4D74-A2BA-7F6D4AD32C7E}"/>
    <cellStyle name="Input 2 3 2 3 2 3" xfId="15995" xr:uid="{D93EEA4B-8AF6-46BC-BCD5-825CB8AD66E8}"/>
    <cellStyle name="Input 2 3 2 3 2 4" xfId="22660" xr:uid="{2DC0BED0-5036-42E2-B974-0ABEC49A7EE1}"/>
    <cellStyle name="Input 2 3 2 3 3" xfId="5079" xr:uid="{F35383E2-11D2-4FD7-BB5A-973181D9FF7B}"/>
    <cellStyle name="Input 2 3 2 3 3 2" xfId="10932" xr:uid="{F81BED1D-CC38-4E9B-8290-7530DA90D84E}"/>
    <cellStyle name="Input 2 3 2 3 3 2 2" xfId="19978" xr:uid="{66E07432-C9E9-495E-A0E0-19F6CFBD2160}"/>
    <cellStyle name="Input 2 3 2 3 3 3" xfId="16492" xr:uid="{FD6E877B-0249-4200-95EB-C982F78C1368}"/>
    <cellStyle name="Input 2 3 2 3 3 4" xfId="23155" xr:uid="{0F0A7C51-F6DD-433A-9220-B9D3D3079472}"/>
    <cellStyle name="Input 2 3 2 3 4" xfId="5694" xr:uid="{EE96B0BB-F56F-4B4E-B611-D8F9CF20DC28}"/>
    <cellStyle name="Input 2 3 2 3 4 2" xfId="11547" xr:uid="{C28DB3C7-15F3-41CB-80DA-066A43768B87}"/>
    <cellStyle name="Input 2 3 2 3 4 2 2" xfId="20593" xr:uid="{80185B4F-92DC-45EE-A518-D909E28A5415}"/>
    <cellStyle name="Input 2 3 2 3 4 3" xfId="17107" xr:uid="{AAE67A65-B8E5-40EE-8B8E-1907941AA498}"/>
    <cellStyle name="Input 2 3 2 3 5" xfId="6305" xr:uid="{AA6A8CE8-F69C-484E-AAD4-70AEC0B5A1D9}"/>
    <cellStyle name="Input 2 3 2 3 5 2" xfId="12152" xr:uid="{6A028856-36F3-4219-A2C1-B55F28A94064}"/>
    <cellStyle name="Input 2 3 2 3 5 2 2" xfId="21198" xr:uid="{15E29A26-5F18-4BCA-94CF-35CDF92042A1}"/>
    <cellStyle name="Input 2 3 2 3 5 3" xfId="17718" xr:uid="{D1B6D5ED-D4C0-4913-BD4E-B2B355DC4C41}"/>
    <cellStyle name="Input 2 3 2 3 6" xfId="9566" xr:uid="{A87C95A5-F298-405E-B6A0-5B70F6D23FD5}"/>
    <cellStyle name="Input 2 3 2 3 6 2" xfId="18612" xr:uid="{8DA40984-2B22-4A43-954F-2ECE4058E6AF}"/>
    <cellStyle name="Input 2 3 2 3 7" xfId="12964" xr:uid="{815425C3-DC03-4CC5-B145-A2A16115C300}"/>
    <cellStyle name="Input 2 3 2 3 8" xfId="13521" xr:uid="{63489FB1-B581-496B-AE54-AC627F1273AB}"/>
    <cellStyle name="Input 2 3 2 3 9" xfId="14160" xr:uid="{71D110CD-11D2-42C3-A86C-C1C0962B098E}"/>
    <cellStyle name="Input 2 3 2 4" xfId="3143" xr:uid="{69FC5458-6574-4420-8428-AFDFF2BAFB6E}"/>
    <cellStyle name="Input 2 3 2 4 10" xfId="14923" xr:uid="{843E4D9F-E64C-48AB-A624-3CFE52504EC6}"/>
    <cellStyle name="Input 2 3 2 4 11" xfId="21791" xr:uid="{7A352BF1-2ED0-4243-9A13-9D1666406855}"/>
    <cellStyle name="Input 2 3 2 4 2" xfId="4364" xr:uid="{0DC48D8E-E422-4452-8368-14DD3B5CB2F6}"/>
    <cellStyle name="Input 2 3 2 4 2 2" xfId="10221" xr:uid="{5B5E2B41-0047-44F1-854E-AB40026B3065}"/>
    <cellStyle name="Input 2 3 2 4 2 2 2" xfId="19267" xr:uid="{ACE1B923-E35E-4994-8AD4-D01442E1A9D0}"/>
    <cellStyle name="Input 2 3 2 4 2 3" xfId="15781" xr:uid="{02AE487C-E8C8-4322-8CFA-E7EFEB8BCDF5}"/>
    <cellStyle name="Input 2 3 2 4 2 4" xfId="22447" xr:uid="{617014B6-41BB-4E5C-9C18-C36C75975D5F}"/>
    <cellStyle name="Input 2 3 2 4 3" xfId="4865" xr:uid="{773C7928-B0BF-4B85-9DFF-B95E52A7B03E}"/>
    <cellStyle name="Input 2 3 2 4 3 2" xfId="10720" xr:uid="{416386BF-C7D2-4E84-B5E7-7969BCAAFA70}"/>
    <cellStyle name="Input 2 3 2 4 3 2 2" xfId="19766" xr:uid="{EA550167-166E-4EDC-9C14-30B71549D6B3}"/>
    <cellStyle name="Input 2 3 2 4 3 3" xfId="16280" xr:uid="{1D11FB6A-C02F-46B7-A269-8FE6842C2AAA}"/>
    <cellStyle name="Input 2 3 2 4 3 4" xfId="22942" xr:uid="{C8C3E5D6-CE2D-423C-ABC5-EE537972D087}"/>
    <cellStyle name="Input 2 3 2 4 4" xfId="5480" xr:uid="{3D38547F-0182-49FF-970F-6D51A31AF2B4}"/>
    <cellStyle name="Input 2 3 2 4 4 2" xfId="11333" xr:uid="{800FDF97-B289-4612-8D08-E755635CD349}"/>
    <cellStyle name="Input 2 3 2 4 4 2 2" xfId="20379" xr:uid="{79EED804-C28C-45C5-A540-07993699D5DC}"/>
    <cellStyle name="Input 2 3 2 4 4 3" xfId="16893" xr:uid="{3A76CB79-1E50-41C1-9FA9-15236E75F13C}"/>
    <cellStyle name="Input 2 3 2 4 5" xfId="6091" xr:uid="{C4080B2A-0CBA-44DC-896B-9018C35BF867}"/>
    <cellStyle name="Input 2 3 2 4 5 2" xfId="11940" xr:uid="{2764EAC1-E564-4175-B586-14A378AF0FAB}"/>
    <cellStyle name="Input 2 3 2 4 5 2 2" xfId="20986" xr:uid="{34677BFD-E983-46FE-AA90-CC1C3C792781}"/>
    <cellStyle name="Input 2 3 2 4 5 3" xfId="17504" xr:uid="{0F7245B2-CA9D-4CF5-8EE0-E17C4548770F}"/>
    <cellStyle name="Input 2 3 2 4 6" xfId="9354" xr:uid="{5E4A6789-A92A-4787-BAC5-AFEAB295FD47}"/>
    <cellStyle name="Input 2 3 2 4 6 2" xfId="18400" xr:uid="{ADBA8CFA-3A5C-4664-AED2-7F3B936E0986}"/>
    <cellStyle name="Input 2 3 2 4 7" xfId="12750" xr:uid="{2F3B120C-BF93-462B-996B-41F466C31CB7}"/>
    <cellStyle name="Input 2 3 2 4 8" xfId="13310" xr:uid="{19FABE21-01F6-42A4-878D-EC725FB71A65}"/>
    <cellStyle name="Input 2 3 2 4 9" xfId="13946" xr:uid="{9E77C633-3CD7-4550-AB0B-B2351955AAF1}"/>
    <cellStyle name="Input 2 3 2 5" xfId="3744" xr:uid="{9D6F3024-DFC2-4401-805C-304810CD028E}"/>
    <cellStyle name="Input 2 3 2 5 2" xfId="9786" xr:uid="{4A7D0A0B-E9E8-4DE2-8411-BA683091634D}"/>
    <cellStyle name="Input 2 3 2 5 2 2" xfId="18832" xr:uid="{7BFD1AB6-8C3C-4EA5-8CC6-5378C569A9A6}"/>
    <cellStyle name="Input 2 3 2 5 3" xfId="15352" xr:uid="{82C26615-2300-4682-A324-6820D7715385}"/>
    <cellStyle name="Input 2 3 2 5 4" xfId="22331" xr:uid="{BC5F4F26-2656-4AFD-9700-0E1B5937C85B}"/>
    <cellStyle name="Input 2 3 2 6" xfId="4228" xr:uid="{0ACA427C-F413-4300-8095-7E4FECD25493}"/>
    <cellStyle name="Input 2 3 2 6 2" xfId="10085" xr:uid="{4595F480-103B-4190-8B03-7080D5CA8BBD}"/>
    <cellStyle name="Input 2 3 2 6 2 2" xfId="19131" xr:uid="{EE7622A1-CCA6-48BB-98E5-660F0C57200B}"/>
    <cellStyle name="Input 2 3 2 6 3" xfId="15645" xr:uid="{9DF1C0D7-6B8F-4833-8EA0-365DA86CAF2A}"/>
    <cellStyle name="Input 2 3 2 6 4" xfId="22396" xr:uid="{64FACF7C-C0D0-487E-9FAD-C94D78F80765}"/>
    <cellStyle name="Input 2 3 2 7" xfId="4287" xr:uid="{FD92DA25-56BC-4501-B191-B054F7248CCB}"/>
    <cellStyle name="Input 2 3 2 7 2" xfId="10144" xr:uid="{52A05F4D-9ACA-4C8F-BFD7-64C779800EEA}"/>
    <cellStyle name="Input 2 3 2 7 2 2" xfId="19190" xr:uid="{A8268E16-8A0E-4186-9F5A-DE5C19761B88}"/>
    <cellStyle name="Input 2 3 2 7 3" xfId="15704" xr:uid="{9CEA4C0A-DC0E-46FC-8D9C-A1AE3A4D9C74}"/>
    <cellStyle name="Input 2 3 2 8" xfId="5265" xr:uid="{F0F4C94C-C070-4945-8E7F-8DB6FBD3C931}"/>
    <cellStyle name="Input 2 3 2 8 2" xfId="11118" xr:uid="{C82565E7-B71E-4F3E-87D5-D9744A7A0356}"/>
    <cellStyle name="Input 2 3 2 8 2 2" xfId="20164" xr:uid="{1DEF91FC-4AE0-4DE2-AECF-43199EAD606F}"/>
    <cellStyle name="Input 2 3 2 8 3" xfId="16678" xr:uid="{A67D3EAA-CA95-4625-B7F9-42ED9AC6F700}"/>
    <cellStyle name="Input 2 3 2 9" xfId="5876" xr:uid="{A2CB3595-2F8B-49E6-B960-46C7B643548D}"/>
    <cellStyle name="Input 2 3 2 9 2" xfId="11729" xr:uid="{B9A587BD-2453-4FC4-BD1A-F34BF6E53106}"/>
    <cellStyle name="Input 2 3 2 9 2 2" xfId="20775" xr:uid="{FBBF0383-F090-4B3A-B3CC-DA933862FA1F}"/>
    <cellStyle name="Input 2 3 2 9 3" xfId="17289" xr:uid="{A0A602C2-3201-4887-9A38-090961A7AA03}"/>
    <cellStyle name="Input 2 3 3" xfId="2306" xr:uid="{6E59F6F6-F496-45FF-BF89-BB63176F6F6C}"/>
    <cellStyle name="Input 2 3 3 10" xfId="9140" xr:uid="{8FE91A87-EAEC-4BD9-AD8B-CD323DF2BD9B}"/>
    <cellStyle name="Input 2 3 3 10 2" xfId="18186" xr:uid="{90FBF9F9-CEDE-4E23-97EB-A9658ED5170F}"/>
    <cellStyle name="Input 2 3 3 11" xfId="12538" xr:uid="{3B528C66-C1C8-4C6C-9A7E-4DA8696CD6D7}"/>
    <cellStyle name="Input 2 3 3 12" xfId="13732" xr:uid="{A35458E4-D7AB-4F92-9541-C7D21B126318}"/>
    <cellStyle name="Input 2 3 3 13" xfId="14709" xr:uid="{B713A8AA-11FD-43A5-A5F5-E5108D4CB782}"/>
    <cellStyle name="Input 2 3 3 14" xfId="21581" xr:uid="{6CF8568E-48C1-481A-91AE-D2F5FF82D41B}"/>
    <cellStyle name="Input 2 3 3 15" xfId="23747" xr:uid="{14433C4F-C77C-4B84-A2A9-35E3C7AB14C6}"/>
    <cellStyle name="Input 2 3 3 2" xfId="2307" xr:uid="{26ECB3BA-92C5-4E29-B154-1BA62C307F05}"/>
    <cellStyle name="Input 2 3 3 2 10" xfId="13155" xr:uid="{C4C246E3-EEFB-46A6-BF6A-19FDEED893E2}"/>
    <cellStyle name="Input 2 3 3 2 11" xfId="13789" xr:uid="{E622A4E6-044A-4BA9-802D-395960E56CC0}"/>
    <cellStyle name="Input 2 3 3 2 12" xfId="14764" xr:uid="{9DAA805A-D8E7-4A51-B9F2-D83D4C2A07B7}"/>
    <cellStyle name="Input 2 3 3 2 13" xfId="21634" xr:uid="{59779611-1629-4A83-8B5A-2428FE033DC0}"/>
    <cellStyle name="Input 2 3 3 2 2" xfId="2674" xr:uid="{AB07ED4B-9FCF-4086-B23B-90AFF52DC0A0}"/>
    <cellStyle name="Input 2 3 3 2 2 10" xfId="15191" xr:uid="{CDD450CE-453E-42FB-BDD7-AADD8D6B8D6A}"/>
    <cellStyle name="Input 2 3 3 2 2 11" xfId="22060" xr:uid="{E7B826DB-4FEA-4FCC-A3DD-59A1ED41BB6B}"/>
    <cellStyle name="Input 2 3 3 2 2 12" xfId="3411" xr:uid="{97E5674A-08B6-437E-9753-5C4C46E08EC2}"/>
    <cellStyle name="Input 2 3 3 2 2 2" xfId="4634" xr:uid="{0E3F34DC-D680-489E-A192-8D0075AE3670}"/>
    <cellStyle name="Input 2 3 3 2 2 2 2" xfId="10491" xr:uid="{79217340-18EE-45AE-8B77-C55D58AC2166}"/>
    <cellStyle name="Input 2 3 3 2 2 2 2 2" xfId="19537" xr:uid="{1C692C7F-1A6D-4FF7-A44D-437EB846E279}"/>
    <cellStyle name="Input 2 3 3 2 2 2 3" xfId="16051" xr:uid="{D88BCA5A-2B71-454C-BA57-6E5639E22613}"/>
    <cellStyle name="Input 2 3 3 2 2 2 4" xfId="22716" xr:uid="{B49DB243-0D45-42F3-9070-998DD50A8CD0}"/>
    <cellStyle name="Input 2 3 3 2 2 3" xfId="5135" xr:uid="{1B55648D-B0FA-430B-AAC5-CECA0CDDF3EE}"/>
    <cellStyle name="Input 2 3 3 2 2 3 2" xfId="10988" xr:uid="{0C5B7A06-BB9F-49E0-84E3-BB0D77A1A031}"/>
    <cellStyle name="Input 2 3 3 2 2 3 2 2" xfId="20034" xr:uid="{AEF85005-759D-44E6-AA57-7562F0020C88}"/>
    <cellStyle name="Input 2 3 3 2 2 3 3" xfId="16548" xr:uid="{926FCF82-CA43-4ACE-B463-C47248484456}"/>
    <cellStyle name="Input 2 3 3 2 2 3 4" xfId="23211" xr:uid="{334A5680-09ED-4B6D-A695-5824F8A5220E}"/>
    <cellStyle name="Input 2 3 3 2 2 4" xfId="5750" xr:uid="{2DDEFF55-1649-4B4F-B27A-38EF11DCB60B}"/>
    <cellStyle name="Input 2 3 3 2 2 4 2" xfId="11603" xr:uid="{EE811EA3-F2DC-4DAE-B10E-FB9D2CBA64FE}"/>
    <cellStyle name="Input 2 3 3 2 2 4 2 2" xfId="20649" xr:uid="{95C8E7AD-8D81-4F3D-9464-2B62E32D56C2}"/>
    <cellStyle name="Input 2 3 3 2 2 4 3" xfId="17163" xr:uid="{6332A943-1BFC-4569-A6FE-A4C7D0397A4F}"/>
    <cellStyle name="Input 2 3 3 2 2 5" xfId="6361" xr:uid="{ECA6055C-4B2C-403C-9D45-94E1F503DFA7}"/>
    <cellStyle name="Input 2 3 3 2 2 5 2" xfId="12208" xr:uid="{717C83FA-9FCB-4188-911F-8998E58F6968}"/>
    <cellStyle name="Input 2 3 3 2 2 5 2 2" xfId="21254" xr:uid="{09379F55-F0CF-426E-B26F-C8329FB36F0D}"/>
    <cellStyle name="Input 2 3 3 2 2 5 3" xfId="17774" xr:uid="{2727CCC6-6BD3-4572-A1C0-4D1CBA799329}"/>
    <cellStyle name="Input 2 3 3 2 2 6" xfId="9622" xr:uid="{B5D8A979-5174-4C4B-81D3-3D9FC57C9BCC}"/>
    <cellStyle name="Input 2 3 3 2 2 6 2" xfId="18668" xr:uid="{FD791F48-A8F4-455A-9C88-9D9DA1A72248}"/>
    <cellStyle name="Input 2 3 3 2 2 7" xfId="13020" xr:uid="{0EECC767-9B74-4D57-B44C-3CFE55517BCA}"/>
    <cellStyle name="Input 2 3 3 2 2 8" xfId="13577" xr:uid="{1BB4ACAA-6D4D-4904-8159-CA739CA01F75}"/>
    <cellStyle name="Input 2 3 3 2 2 9" xfId="14216" xr:uid="{04A207CF-DF4A-475B-B61D-FE3F3699CA6B}"/>
    <cellStyle name="Input 2 3 3 2 3" xfId="3199" xr:uid="{BAE1EB27-8F8D-4A6B-9211-F67917A03049}"/>
    <cellStyle name="Input 2 3 3 2 3 10" xfId="14979" xr:uid="{8D627261-123C-4902-8FF9-5C9D12A526D3}"/>
    <cellStyle name="Input 2 3 3 2 3 11" xfId="21849" xr:uid="{E06B4AB5-A099-4EF9-B34A-804BFAD028D8}"/>
    <cellStyle name="Input 2 3 3 2 3 2" xfId="4422" xr:uid="{25E55988-EFFC-4AC7-8D05-4F298770BB28}"/>
    <cellStyle name="Input 2 3 3 2 3 2 2" xfId="10279" xr:uid="{8D7C43C7-7754-45A3-B816-4F6DDB9D1AE7}"/>
    <cellStyle name="Input 2 3 3 2 3 2 2 2" xfId="19325" xr:uid="{2C0D8340-9BD7-4544-B5D4-59B60DF051AE}"/>
    <cellStyle name="Input 2 3 3 2 3 2 3" xfId="15839" xr:uid="{F665FCC4-F516-4036-B632-0BDBEE7AAEEE}"/>
    <cellStyle name="Input 2 3 3 2 3 2 4" xfId="22505" xr:uid="{3F5BD827-E68B-4FF7-B7DD-29CA231FB611}"/>
    <cellStyle name="Input 2 3 3 2 3 3" xfId="4923" xr:uid="{E47B14D4-6CA4-413E-A08D-46411DD765AD}"/>
    <cellStyle name="Input 2 3 3 2 3 3 2" xfId="10776" xr:uid="{5B18461A-4F87-4766-865D-999400121C30}"/>
    <cellStyle name="Input 2 3 3 2 3 3 2 2" xfId="19822" xr:uid="{70803C38-62B1-4D12-88F1-78A7940E2A85}"/>
    <cellStyle name="Input 2 3 3 2 3 3 3" xfId="16336" xr:uid="{39EE5C46-133B-43FD-9004-7B82DFD4B95D}"/>
    <cellStyle name="Input 2 3 3 2 3 3 4" xfId="23000" xr:uid="{0EB556C7-B9C9-4BAD-AE27-DBD5DFC10B76}"/>
    <cellStyle name="Input 2 3 3 2 3 4" xfId="5538" xr:uid="{B79CD35B-873A-4AA8-818E-CC7920CD27E9}"/>
    <cellStyle name="Input 2 3 3 2 3 4 2" xfId="11391" xr:uid="{F85D8ED7-B1D2-409B-9DA9-6C68361FF3FF}"/>
    <cellStyle name="Input 2 3 3 2 3 4 2 2" xfId="20437" xr:uid="{5BD266A1-4163-4817-8D2D-B4CA0DFED962}"/>
    <cellStyle name="Input 2 3 3 2 3 4 3" xfId="16951" xr:uid="{D0AC2737-C4CC-4DB2-95E2-06EBF16150E4}"/>
    <cellStyle name="Input 2 3 3 2 3 5" xfId="6149" xr:uid="{19751964-A416-49C5-9029-7A8EBE9B0195}"/>
    <cellStyle name="Input 2 3 3 2 3 5 2" xfId="11996" xr:uid="{EE50961E-CE30-4C88-A5B3-93853E5C4D6C}"/>
    <cellStyle name="Input 2 3 3 2 3 5 2 2" xfId="21042" xr:uid="{8805EB2D-4F05-4EE8-8646-97FD226CD9D7}"/>
    <cellStyle name="Input 2 3 3 2 3 5 3" xfId="17562" xr:uid="{0C48D9D0-5331-4C99-84A7-957EDF9731C3}"/>
    <cellStyle name="Input 2 3 3 2 3 6" xfId="9410" xr:uid="{4911D1ED-CA3B-46D2-8ACC-02D5E516F35C}"/>
    <cellStyle name="Input 2 3 3 2 3 6 2" xfId="18456" xr:uid="{02C91A2F-2AD1-4D8E-BE1E-01C042E26155}"/>
    <cellStyle name="Input 2 3 3 2 3 7" xfId="12808" xr:uid="{5A0B5696-741D-4983-AE3B-41FDB91F952E}"/>
    <cellStyle name="Input 2 3 3 2 3 8" xfId="13366" xr:uid="{E39FDCEC-E58B-4A63-A937-96BCCB92ABE4}"/>
    <cellStyle name="Input 2 3 3 2 3 9" xfId="14004" xr:uid="{BA99F2EE-84B0-4DC3-832D-6ECC1FD4E0DD}"/>
    <cellStyle name="Input 2 3 3 2 4" xfId="4013" xr:uid="{EAD4C705-C4A7-4A60-BC70-2BA0914E4D9B}"/>
    <cellStyle name="Input 2 3 3 2 4 2" xfId="9875" xr:uid="{4E2228FD-8302-4B33-8E6B-E6C7E295F45C}"/>
    <cellStyle name="Input 2 3 3 2 4 2 2" xfId="18921" xr:uid="{1CC88FB7-564C-46BF-9ADA-E4A40D842092}"/>
    <cellStyle name="Input 2 3 3 2 4 3" xfId="15437" xr:uid="{64C2D467-AD32-4FFF-A27E-826492B9427E}"/>
    <cellStyle name="Input 2 3 3 2 4 4" xfId="22229" xr:uid="{5C1E4AEE-5088-4CF6-91AA-2CA15E6E3B33}"/>
    <cellStyle name="Input 2 3 3 2 5" xfId="4109" xr:uid="{83F221BF-1940-40C7-941E-E43A65586EEF}"/>
    <cellStyle name="Input 2 3 3 2 5 2" xfId="9966" xr:uid="{A49B6009-68C2-4478-92F8-1A122B1DE2EA}"/>
    <cellStyle name="Input 2 3 3 2 5 2 2" xfId="19012" xr:uid="{DB0269DD-79E3-494B-904B-17B2323939A4}"/>
    <cellStyle name="Input 2 3 3 2 5 3" xfId="15526" xr:uid="{996DDBEA-524D-4CE8-A7B6-384E05EDFFFD}"/>
    <cellStyle name="Input 2 3 3 2 6" xfId="5323" xr:uid="{C68BFA6C-FAB6-471D-9F6D-FCA113CE0C48}"/>
    <cellStyle name="Input 2 3 3 2 6 2" xfId="11176" xr:uid="{0FA103B5-C1C1-487D-8911-D57C8F74618F}"/>
    <cellStyle name="Input 2 3 3 2 6 2 2" xfId="20222" xr:uid="{43355312-4809-4EA1-A4C4-5D4405A805B6}"/>
    <cellStyle name="Input 2 3 3 2 6 3" xfId="16736" xr:uid="{FFA709D4-109B-4FAE-BEF2-93E895BDE438}"/>
    <cellStyle name="Input 2 3 3 2 7" xfId="5934" xr:uid="{C41F6BBD-8877-4482-B8EE-8EE6272ED5C9}"/>
    <cellStyle name="Input 2 3 3 2 7 2" xfId="11785" xr:uid="{E6AA94C6-674B-4164-8689-3509B7581AFD}"/>
    <cellStyle name="Input 2 3 3 2 7 2 2" xfId="20831" xr:uid="{FA74649E-537C-4627-A032-FA316B986D30}"/>
    <cellStyle name="Input 2 3 3 2 7 3" xfId="17347" xr:uid="{CD5A364B-BEE5-48A9-B9CC-1BECB31AEF55}"/>
    <cellStyle name="Input 2 3 3 2 8" xfId="9195" xr:uid="{3FCB486B-D940-4175-8FD7-4C4B0CA7E089}"/>
    <cellStyle name="Input 2 3 3 2 8 2" xfId="18241" xr:uid="{2E3544F9-BDD1-443F-B6EE-41E9C0C5BDE6}"/>
    <cellStyle name="Input 2 3 3 2 9" xfId="12593" xr:uid="{69D2992A-7C59-42C9-8316-C5F7A762B341}"/>
    <cellStyle name="Input 2 3 3 3" xfId="2942" xr:uid="{823A7773-8DA2-4FC6-A836-472E8B212465}"/>
    <cellStyle name="Input 2 3 3 3 10" xfId="15136" xr:uid="{E43891AE-D15F-425B-AB37-D93CBD58885D}"/>
    <cellStyle name="Input 2 3 3 3 11" xfId="22005" xr:uid="{EB30DB7D-BBBC-4CE3-B320-4FABACDC8E87}"/>
    <cellStyle name="Input 2 3 3 3 12" xfId="3356" xr:uid="{9805E636-03F9-4EEA-A92A-CEB24CC3BC23}"/>
    <cellStyle name="Input 2 3 3 3 2" xfId="4579" xr:uid="{5C416B1F-877D-41AF-BDEF-3A81632602B4}"/>
    <cellStyle name="Input 2 3 3 3 2 2" xfId="10436" xr:uid="{7EE3D089-C3AF-4E92-B79D-E5A543D71375}"/>
    <cellStyle name="Input 2 3 3 3 2 2 2" xfId="19482" xr:uid="{E576008B-E12E-4528-95A9-7E1F34FBCA48}"/>
    <cellStyle name="Input 2 3 3 3 2 3" xfId="15996" xr:uid="{CA956DD3-E8DC-46CF-B4DE-DA2D797D4096}"/>
    <cellStyle name="Input 2 3 3 3 2 4" xfId="22661" xr:uid="{F7FFD8F5-B35D-40D8-A4D8-0F2FD5FD7827}"/>
    <cellStyle name="Input 2 3 3 3 3" xfId="5080" xr:uid="{B75AA76A-B971-4FDB-94D8-EBE772EE4D9D}"/>
    <cellStyle name="Input 2 3 3 3 3 2" xfId="10933" xr:uid="{17D87146-18C6-45F6-AA33-110801B16CEE}"/>
    <cellStyle name="Input 2 3 3 3 3 2 2" xfId="19979" xr:uid="{44B9F9B1-F6D7-4EBA-AD3F-7FB4C0AB323F}"/>
    <cellStyle name="Input 2 3 3 3 3 3" xfId="16493" xr:uid="{5E933149-52E3-43C1-8D42-177B0389DEC2}"/>
    <cellStyle name="Input 2 3 3 3 3 4" xfId="23156" xr:uid="{80C5AD91-8E95-4F1F-A41F-955D6275F115}"/>
    <cellStyle name="Input 2 3 3 3 4" xfId="5695" xr:uid="{3CC84CD9-7E6A-41DB-A4ED-E2FD7F1B2EEE}"/>
    <cellStyle name="Input 2 3 3 3 4 2" xfId="11548" xr:uid="{9BBEAC00-DFDA-485E-A25F-9D891F4B87AF}"/>
    <cellStyle name="Input 2 3 3 3 4 2 2" xfId="20594" xr:uid="{B1C1C3B4-1514-4746-AD01-6268E87F1316}"/>
    <cellStyle name="Input 2 3 3 3 4 3" xfId="17108" xr:uid="{04ADE8EE-9AB9-420A-B87A-689E09BD6E28}"/>
    <cellStyle name="Input 2 3 3 3 5" xfId="6306" xr:uid="{70410211-4C6C-4B03-A093-09B2B200ED1C}"/>
    <cellStyle name="Input 2 3 3 3 5 2" xfId="12153" xr:uid="{79E5AC1C-0759-4AEF-8AD9-CAC5CB2C5180}"/>
    <cellStyle name="Input 2 3 3 3 5 2 2" xfId="21199" xr:uid="{CA398611-2F6D-47DE-836A-B84495960810}"/>
    <cellStyle name="Input 2 3 3 3 5 3" xfId="17719" xr:uid="{A068F404-6557-49BE-A328-6C983709861B}"/>
    <cellStyle name="Input 2 3 3 3 6" xfId="9567" xr:uid="{6A220B33-6975-4DA2-A454-DB176A08D7B2}"/>
    <cellStyle name="Input 2 3 3 3 6 2" xfId="18613" xr:uid="{E22923B5-249F-47C8-BCEB-C0705678C75F}"/>
    <cellStyle name="Input 2 3 3 3 7" xfId="12965" xr:uid="{E9AA1D09-B188-4F86-911E-4E41F2A5C574}"/>
    <cellStyle name="Input 2 3 3 3 8" xfId="13522" xr:uid="{519EDD91-6DB7-4976-9DB7-471A3E5DA9AB}"/>
    <cellStyle name="Input 2 3 3 3 9" xfId="14161" xr:uid="{E027373E-5F9E-4156-8D0C-6D3EDC2F4115}"/>
    <cellStyle name="Input 2 3 3 4" xfId="3144" xr:uid="{CB4F8AAC-713D-42B6-8240-B993ED9738A4}"/>
    <cellStyle name="Input 2 3 3 4 10" xfId="14924" xr:uid="{FE754725-FD73-4AAC-A311-7932078BB5D4}"/>
    <cellStyle name="Input 2 3 3 4 11" xfId="21792" xr:uid="{492E9490-9FAD-43F5-BDA2-664193FE731E}"/>
    <cellStyle name="Input 2 3 3 4 2" xfId="4365" xr:uid="{CC142BF9-2402-403F-A4D8-E602F9627311}"/>
    <cellStyle name="Input 2 3 3 4 2 2" xfId="10222" xr:uid="{3AA5F9CD-F91D-467E-AEFF-EE496BAEB5ED}"/>
    <cellStyle name="Input 2 3 3 4 2 2 2" xfId="19268" xr:uid="{5C8E0E36-F095-430F-8375-324531884562}"/>
    <cellStyle name="Input 2 3 3 4 2 3" xfId="15782" xr:uid="{1F1724E2-6545-4DC2-8529-F1FE030673BD}"/>
    <cellStyle name="Input 2 3 3 4 2 4" xfId="22448" xr:uid="{32194911-A117-444C-B258-FB7ED5D30714}"/>
    <cellStyle name="Input 2 3 3 4 3" xfId="4866" xr:uid="{23B225E4-301D-43B3-A150-22254638107E}"/>
    <cellStyle name="Input 2 3 3 4 3 2" xfId="10721" xr:uid="{B2775A7F-4AFB-431D-AF23-4A7515BA3179}"/>
    <cellStyle name="Input 2 3 3 4 3 2 2" xfId="19767" xr:uid="{5FB423D2-1191-4993-851A-5C20D9AD8FC8}"/>
    <cellStyle name="Input 2 3 3 4 3 3" xfId="16281" xr:uid="{77FE020B-E38C-4C41-9F9D-454A1FDD0BA9}"/>
    <cellStyle name="Input 2 3 3 4 3 4" xfId="22943" xr:uid="{91B2ACEE-6FE0-4947-A1D6-F204B5D1F1B1}"/>
    <cellStyle name="Input 2 3 3 4 4" xfId="5481" xr:uid="{3BF93ED6-D68E-4ED1-A343-3CC535C18DA5}"/>
    <cellStyle name="Input 2 3 3 4 4 2" xfId="11334" xr:uid="{5F0DA951-4549-4CA3-A8A1-71A00FA054F7}"/>
    <cellStyle name="Input 2 3 3 4 4 2 2" xfId="20380" xr:uid="{74CC2F0B-0E75-42F7-A519-6F9CB4560D7A}"/>
    <cellStyle name="Input 2 3 3 4 4 3" xfId="16894" xr:uid="{F60FAE75-7B7E-48C4-AA1A-2C902FDF9E3B}"/>
    <cellStyle name="Input 2 3 3 4 5" xfId="6092" xr:uid="{AD0FF3E8-0F4B-4BB5-A58B-187709097BEF}"/>
    <cellStyle name="Input 2 3 3 4 5 2" xfId="11941" xr:uid="{70FF0D8E-73BE-41FF-BF29-5A19BBC9AD52}"/>
    <cellStyle name="Input 2 3 3 4 5 2 2" xfId="20987" xr:uid="{6F7BF85F-2B46-4989-8A94-741C7549B1E3}"/>
    <cellStyle name="Input 2 3 3 4 5 3" xfId="17505" xr:uid="{532A1B9A-5724-4FD5-8BD0-E9F3EC9C9F60}"/>
    <cellStyle name="Input 2 3 3 4 6" xfId="9355" xr:uid="{750AE256-38E7-44E6-82C7-BD76776707C5}"/>
    <cellStyle name="Input 2 3 3 4 6 2" xfId="18401" xr:uid="{C4AA9F14-B389-441A-8EEA-C05CC81C040E}"/>
    <cellStyle name="Input 2 3 3 4 7" xfId="12751" xr:uid="{43E49E98-89F4-440F-836E-74C9B9F49DE5}"/>
    <cellStyle name="Input 2 3 3 4 8" xfId="13311" xr:uid="{5F8A78F6-ABAE-4EEF-BAB9-33E7C13E432C}"/>
    <cellStyle name="Input 2 3 3 4 9" xfId="13947" xr:uid="{0F531293-CC76-4C4F-BCD9-7C87C97C1454}"/>
    <cellStyle name="Input 2 3 3 5" xfId="3745" xr:uid="{6A0AD919-D272-428F-B7A9-7E416E5AFBBF}"/>
    <cellStyle name="Input 2 3 3 5 2" xfId="9787" xr:uid="{3A6AD5A3-38B9-485D-A6BF-EAD59BBBB41D}"/>
    <cellStyle name="Input 2 3 3 5 2 2" xfId="18833" xr:uid="{3696544D-507B-40AB-BB52-7A3EFDD6919B}"/>
    <cellStyle name="Input 2 3 3 5 3" xfId="15353" xr:uid="{16008419-4F97-46F3-9A1D-F8840AF32A90}"/>
    <cellStyle name="Input 2 3 3 5 4" xfId="22332" xr:uid="{40555F4B-3A31-4392-9A6A-E44F28E65434}"/>
    <cellStyle name="Input 2 3 3 6" xfId="4229" xr:uid="{618D7151-15D2-4F00-8A86-94FA5F1398A8}"/>
    <cellStyle name="Input 2 3 3 6 2" xfId="10086" xr:uid="{7A668CAE-BF36-4582-BCF9-47CF1E7086D3}"/>
    <cellStyle name="Input 2 3 3 6 2 2" xfId="19132" xr:uid="{5BD927FA-2063-4F7E-A5B1-A3418577C6B9}"/>
    <cellStyle name="Input 2 3 3 6 3" xfId="15646" xr:uid="{A1B05B53-EF36-4624-8B14-94378EF0CCBE}"/>
    <cellStyle name="Input 2 3 3 6 4" xfId="22395" xr:uid="{494F04ED-FD05-4AF2-B18C-C2592C963995}"/>
    <cellStyle name="Input 2 3 3 7" xfId="4145" xr:uid="{843B5296-D34B-4B43-9409-FE5760FA59B2}"/>
    <cellStyle name="Input 2 3 3 7 2" xfId="10002" xr:uid="{610049DD-CB24-44B6-961F-5190EA1134E2}"/>
    <cellStyle name="Input 2 3 3 7 2 2" xfId="19048" xr:uid="{42325A2C-2612-4AB2-AC77-A47AD8855A0C}"/>
    <cellStyle name="Input 2 3 3 7 3" xfId="15562" xr:uid="{71637028-EFA7-4AA1-8CFA-CD78EF2EB809}"/>
    <cellStyle name="Input 2 3 3 8" xfId="5266" xr:uid="{61DF63EC-C31B-4F9B-84B9-679202FBD8F9}"/>
    <cellStyle name="Input 2 3 3 8 2" xfId="11119" xr:uid="{0DF64F34-5195-4513-9381-CAEDA33163E7}"/>
    <cellStyle name="Input 2 3 3 8 2 2" xfId="20165" xr:uid="{CD49ACA1-970B-4BDC-8588-903FA9A2B5BB}"/>
    <cellStyle name="Input 2 3 3 8 3" xfId="16679" xr:uid="{244A5136-1A09-49A6-8CD4-0E9A378A76A1}"/>
    <cellStyle name="Input 2 3 3 9" xfId="5877" xr:uid="{95E2144F-BE98-427F-B1ED-2276F1009415}"/>
    <cellStyle name="Input 2 3 3 9 2" xfId="11730" xr:uid="{6B29649B-1279-42B5-9C24-C5742D7BFBEA}"/>
    <cellStyle name="Input 2 3 3 9 2 2" xfId="20776" xr:uid="{966C4E8E-C83C-43D8-86A7-F024D68387AD}"/>
    <cellStyle name="Input 2 3 3 9 3" xfId="17290" xr:uid="{A2B0D695-47BE-4526-AB53-E2D75B9E67EC}"/>
    <cellStyle name="Input 2 3 4" xfId="2308" xr:uid="{F580D2FD-D09C-44EA-AC6D-61B9624831E4}"/>
    <cellStyle name="Input 2 3 4 10" xfId="13156" xr:uid="{6CBCBEE2-23DE-4BFB-B72F-A5170C3BC361}"/>
    <cellStyle name="Input 2 3 4 11" xfId="13790" xr:uid="{D19BFF81-674D-414B-9C42-C7490421FC90}"/>
    <cellStyle name="Input 2 3 4 12" xfId="14765" xr:uid="{18145570-DDC8-4136-8BAC-DF91FB5BD791}"/>
    <cellStyle name="Input 2 3 4 13" xfId="21635" xr:uid="{5F19456B-8B76-4937-B40E-657733B94CB6}"/>
    <cellStyle name="Input 2 3 4 2" xfId="2961" xr:uid="{98C60CAA-38A3-45EF-9A82-0CC9056B0505}"/>
    <cellStyle name="Input 2 3 4 2 10" xfId="15192" xr:uid="{C6EF2370-D756-4AEB-87B1-0B1112C97393}"/>
    <cellStyle name="Input 2 3 4 2 11" xfId="22061" xr:uid="{353B27A5-C2F2-4FB9-9FC5-58F3C523E21D}"/>
    <cellStyle name="Input 2 3 4 2 12" xfId="3412" xr:uid="{2DD637E3-FBD4-4DE2-850E-FA032A8B2930}"/>
    <cellStyle name="Input 2 3 4 2 2" xfId="4635" xr:uid="{2D9A53B9-3368-4578-B242-680521A9D66E}"/>
    <cellStyle name="Input 2 3 4 2 2 2" xfId="10492" xr:uid="{D9C07139-EC32-4F55-833C-1BB25DE57ECC}"/>
    <cellStyle name="Input 2 3 4 2 2 2 2" xfId="19538" xr:uid="{FDCBAF32-7D15-49B1-99B5-92F4785C71B5}"/>
    <cellStyle name="Input 2 3 4 2 2 3" xfId="16052" xr:uid="{9D79270E-B4CF-4304-9E49-5C8D7FAF3340}"/>
    <cellStyle name="Input 2 3 4 2 2 4" xfId="22717" xr:uid="{05E415E7-B6EA-49D4-812A-BE34C5C366A0}"/>
    <cellStyle name="Input 2 3 4 2 3" xfId="5136" xr:uid="{DF710946-32B7-4F97-A7C4-94B9090D2741}"/>
    <cellStyle name="Input 2 3 4 2 3 2" xfId="10989" xr:uid="{CE3ADBD6-1538-4E03-8118-30BBB1BDC1AB}"/>
    <cellStyle name="Input 2 3 4 2 3 2 2" xfId="20035" xr:uid="{B183DC80-7018-4D48-B7E5-BFD4D00BB2A8}"/>
    <cellStyle name="Input 2 3 4 2 3 3" xfId="16549" xr:uid="{3849FE53-177A-4A3F-B21A-CAF60256ECC2}"/>
    <cellStyle name="Input 2 3 4 2 3 4" xfId="23212" xr:uid="{45A1DFD5-FAB8-4253-95A7-88ED609F425E}"/>
    <cellStyle name="Input 2 3 4 2 4" xfId="5751" xr:uid="{62E6B0E7-469F-4E20-B104-4F00909752BD}"/>
    <cellStyle name="Input 2 3 4 2 4 2" xfId="11604" xr:uid="{4E106AC2-20FD-4159-98F3-A4A28C80C7A9}"/>
    <cellStyle name="Input 2 3 4 2 4 2 2" xfId="20650" xr:uid="{E4A58CDA-CABF-48B1-AF60-F13DB1CF50F7}"/>
    <cellStyle name="Input 2 3 4 2 4 3" xfId="17164" xr:uid="{FBCF1672-82DD-4E92-A7E4-848D33742285}"/>
    <cellStyle name="Input 2 3 4 2 5" xfId="6362" xr:uid="{849CEBDE-A792-4F55-A90C-A1A1A6620C2A}"/>
    <cellStyle name="Input 2 3 4 2 5 2" xfId="12209" xr:uid="{8E611C8F-5032-4DF4-A9B5-FF0EEC570E68}"/>
    <cellStyle name="Input 2 3 4 2 5 2 2" xfId="21255" xr:uid="{25F39FD3-989A-4D82-8861-1006BA850E66}"/>
    <cellStyle name="Input 2 3 4 2 5 3" xfId="17775" xr:uid="{233BBDC3-49F3-43B9-9F35-069DF5A83E89}"/>
    <cellStyle name="Input 2 3 4 2 6" xfId="9623" xr:uid="{91696642-8CFF-4C81-8DCB-E3BB99114ADB}"/>
    <cellStyle name="Input 2 3 4 2 6 2" xfId="18669" xr:uid="{7C64B6AB-CBC6-4F99-92F8-D646919A9566}"/>
    <cellStyle name="Input 2 3 4 2 7" xfId="13021" xr:uid="{738FFD42-216E-4658-AB76-4271B8C4C32A}"/>
    <cellStyle name="Input 2 3 4 2 8" xfId="13578" xr:uid="{A40535FF-EF0E-4AC1-B403-D90FD6BE2F4A}"/>
    <cellStyle name="Input 2 3 4 2 9" xfId="14217" xr:uid="{607DA6D1-05BE-4801-B20F-C79C57445BFA}"/>
    <cellStyle name="Input 2 3 4 3" xfId="3200" xr:uid="{16AC7729-5CE8-455C-A0B0-1C64820D66AE}"/>
    <cellStyle name="Input 2 3 4 3 10" xfId="14980" xr:uid="{B886B003-3CEB-4962-8D2D-3032C308FBE5}"/>
    <cellStyle name="Input 2 3 4 3 11" xfId="21850" xr:uid="{420E35A5-E000-4E8D-AC0A-04D703747899}"/>
    <cellStyle name="Input 2 3 4 3 2" xfId="4423" xr:uid="{B39E3A62-B4ED-4F5E-B128-A30533EFCEA3}"/>
    <cellStyle name="Input 2 3 4 3 2 2" xfId="10280" xr:uid="{83671364-197F-4EAE-9050-5BF0FF96C0D4}"/>
    <cellStyle name="Input 2 3 4 3 2 2 2" xfId="19326" xr:uid="{0B7D5AFA-43F4-40AE-82DD-2AE79C1B5266}"/>
    <cellStyle name="Input 2 3 4 3 2 3" xfId="15840" xr:uid="{7CC450F4-EBDD-4FB0-A78D-D750E814F754}"/>
    <cellStyle name="Input 2 3 4 3 2 4" xfId="22506" xr:uid="{FF9ECC8D-EAC2-4A1C-B92B-6A5237D3EF71}"/>
    <cellStyle name="Input 2 3 4 3 3" xfId="4924" xr:uid="{7985A6ED-3CFC-4B2E-8649-93BB04518645}"/>
    <cellStyle name="Input 2 3 4 3 3 2" xfId="10777" xr:uid="{7242F7AC-BDEB-4F58-B1DD-76A3C91DF5C1}"/>
    <cellStyle name="Input 2 3 4 3 3 2 2" xfId="19823" xr:uid="{C410B166-24B6-498F-B09F-CE6FF49B389B}"/>
    <cellStyle name="Input 2 3 4 3 3 3" xfId="16337" xr:uid="{F5C14158-CC57-4497-9FE0-F66C7DBF9CB6}"/>
    <cellStyle name="Input 2 3 4 3 3 4" xfId="23001" xr:uid="{74EB4CF5-BA60-4174-AE54-8CE0E1F81C59}"/>
    <cellStyle name="Input 2 3 4 3 4" xfId="5539" xr:uid="{FC1BA9AB-1974-475B-AD6B-F43F28E05811}"/>
    <cellStyle name="Input 2 3 4 3 4 2" xfId="11392" xr:uid="{6E54E1B5-5BEE-454D-AABE-5D4D720794CC}"/>
    <cellStyle name="Input 2 3 4 3 4 2 2" xfId="20438" xr:uid="{653DE8F2-8B5D-42C4-BC86-83BEC5763454}"/>
    <cellStyle name="Input 2 3 4 3 4 3" xfId="16952" xr:uid="{F2A8F671-6042-4341-A366-CD6B66F6D1EC}"/>
    <cellStyle name="Input 2 3 4 3 5" xfId="6150" xr:uid="{B2C4C8A8-E25C-467E-BBA6-E0D767067EDF}"/>
    <cellStyle name="Input 2 3 4 3 5 2" xfId="11997" xr:uid="{0CE74684-962A-4A58-9745-8F6D3BC23AEC}"/>
    <cellStyle name="Input 2 3 4 3 5 2 2" xfId="21043" xr:uid="{886D246B-B0F1-4383-B69E-B29BBBA71BEE}"/>
    <cellStyle name="Input 2 3 4 3 5 3" xfId="17563" xr:uid="{D1344AC9-2279-4753-9C1E-0430137FD762}"/>
    <cellStyle name="Input 2 3 4 3 6" xfId="9411" xr:uid="{C52190E2-0F05-4A0B-959C-D059D2F25A2F}"/>
    <cellStyle name="Input 2 3 4 3 6 2" xfId="18457" xr:uid="{B30DFF5F-65B8-4AED-8D55-3DB2DBB0E1D1}"/>
    <cellStyle name="Input 2 3 4 3 7" xfId="12809" xr:uid="{1AC0F02F-D138-45E5-AAE0-74F4585EACCC}"/>
    <cellStyle name="Input 2 3 4 3 8" xfId="13367" xr:uid="{D6F8D629-4110-4F8C-9CDF-93E3E6B658A9}"/>
    <cellStyle name="Input 2 3 4 3 9" xfId="14005" xr:uid="{52270916-CEA7-403C-B6BC-8450871F210F}"/>
    <cellStyle name="Input 2 3 4 4" xfId="3983" xr:uid="{AD4DE530-0371-438C-BD1E-EC0B610A80D3}"/>
    <cellStyle name="Input 2 3 4 4 2" xfId="9845" xr:uid="{3D4D9FD7-46DE-4E89-8EC7-1DF96C5A543D}"/>
    <cellStyle name="Input 2 3 4 4 2 2" xfId="18891" xr:uid="{240F3939-92FD-4339-B049-EAFB18E43056}"/>
    <cellStyle name="Input 2 3 4 4 3" xfId="15407" xr:uid="{82118FED-5150-47F4-ABC2-87A8FDA392F5}"/>
    <cellStyle name="Input 2 3 4 4 4" xfId="22228" xr:uid="{14990180-1BBE-43FF-9901-7607AEA4EDE9}"/>
    <cellStyle name="Input 2 3 4 5" xfId="4108" xr:uid="{5A41DD66-DD32-4AEF-BA12-89B8A079569E}"/>
    <cellStyle name="Input 2 3 4 5 2" xfId="9965" xr:uid="{06C9D839-5521-4DF4-974B-ADC682164455}"/>
    <cellStyle name="Input 2 3 4 5 2 2" xfId="19011" xr:uid="{4BCA32DB-CC6A-4829-B581-66F0B9F7A4BB}"/>
    <cellStyle name="Input 2 3 4 5 3" xfId="15525" xr:uid="{90BC5CA0-CFF7-4867-B8D0-5FB9FC576126}"/>
    <cellStyle name="Input 2 3 4 6" xfId="5324" xr:uid="{B11BF128-EB70-43EF-A75B-92D397E22F55}"/>
    <cellStyle name="Input 2 3 4 6 2" xfId="11177" xr:uid="{E095A78C-75E0-4459-8B5B-D3D3C56DCDBC}"/>
    <cellStyle name="Input 2 3 4 6 2 2" xfId="20223" xr:uid="{2C3F8F0E-27E3-4D3D-B9BD-27C9FC0A89EA}"/>
    <cellStyle name="Input 2 3 4 6 3" xfId="16737" xr:uid="{49255936-077D-415C-90CF-0B80E6F0A3BA}"/>
    <cellStyle name="Input 2 3 4 7" xfId="5935" xr:uid="{93947036-E633-4F16-A988-9CE8A0A9CEEB}"/>
    <cellStyle name="Input 2 3 4 7 2" xfId="11786" xr:uid="{1BC4B3DE-F10B-460B-9DDD-8C9BE24AB056}"/>
    <cellStyle name="Input 2 3 4 7 2 2" xfId="20832" xr:uid="{F058C800-8E03-40F1-AEAA-C500E56227A5}"/>
    <cellStyle name="Input 2 3 4 7 3" xfId="17348" xr:uid="{B102C1DF-5EC6-46EF-A24F-EDA6352C605A}"/>
    <cellStyle name="Input 2 3 4 8" xfId="9196" xr:uid="{A06FB1AE-0153-40BF-A4C8-EA5304B09B06}"/>
    <cellStyle name="Input 2 3 4 8 2" xfId="18242" xr:uid="{85592340-2E76-4DF6-84AC-E68F316ABA2F}"/>
    <cellStyle name="Input 2 3 4 9" xfId="12594" xr:uid="{A7821948-4692-4351-A42E-B0B057D44A5C}"/>
    <cellStyle name="Input 2 3 5" xfId="2567" xr:uid="{71B7306A-DE4A-47BF-A8F4-A9923C601B63}"/>
    <cellStyle name="Input 2 3 5 10" xfId="15107" xr:uid="{C101EE22-6CD7-4563-9009-369F58252D52}"/>
    <cellStyle name="Input 2 3 5 11" xfId="21976" xr:uid="{F4FFBDE4-BCAB-4CCC-B6C2-29F2945F0218}"/>
    <cellStyle name="Input 2 3 5 12" xfId="3327" xr:uid="{99141A08-CC3F-4E8F-9D6F-2BCE65ADD213}"/>
    <cellStyle name="Input 2 3 5 2" xfId="4550" xr:uid="{0D3BA4B6-8F9A-4C14-9CED-80D623E7466D}"/>
    <cellStyle name="Input 2 3 5 2 2" xfId="10407" xr:uid="{F0B6F3FA-D5C5-487A-B5F3-5DE0CB5F901F}"/>
    <cellStyle name="Input 2 3 5 2 2 2" xfId="19453" xr:uid="{6B04A5EB-2D25-4617-9BAD-ACC3F8062D05}"/>
    <cellStyle name="Input 2 3 5 2 3" xfId="15967" xr:uid="{34561771-16D3-49AF-8F6D-5E78DAE4EF00}"/>
    <cellStyle name="Input 2 3 5 2 4" xfId="22632" xr:uid="{F7DFBD8C-3B80-4042-BB11-5CB1CF25EEB5}"/>
    <cellStyle name="Input 2 3 5 3" xfId="5051" xr:uid="{5FE46CE1-7B12-4E9E-9FFE-D5FD3B05BEE5}"/>
    <cellStyle name="Input 2 3 5 3 2" xfId="10904" xr:uid="{B6E1D8C8-9982-471B-A98B-121DE03D047A}"/>
    <cellStyle name="Input 2 3 5 3 2 2" xfId="19950" xr:uid="{252EA95A-CFF6-447B-AC6C-8DE562EEBDF0}"/>
    <cellStyle name="Input 2 3 5 3 3" xfId="16464" xr:uid="{577DB790-B878-4791-961D-A701C41FA170}"/>
    <cellStyle name="Input 2 3 5 3 4" xfId="23127" xr:uid="{66066D63-B793-4EFB-B488-3C41E9FE715C}"/>
    <cellStyle name="Input 2 3 5 4" xfId="5666" xr:uid="{39217764-93F8-413F-A088-7D4D60EC9979}"/>
    <cellStyle name="Input 2 3 5 4 2" xfId="11519" xr:uid="{716A25C7-4FA4-4532-B566-F50980ADFF11}"/>
    <cellStyle name="Input 2 3 5 4 2 2" xfId="20565" xr:uid="{BF22417A-0C62-4D84-8722-B969184155E5}"/>
    <cellStyle name="Input 2 3 5 4 3" xfId="17079" xr:uid="{0955CADE-A50C-45B1-A8C5-075D78F2CA69}"/>
    <cellStyle name="Input 2 3 5 5" xfId="6277" xr:uid="{7AF9D1C0-8978-4CB6-9AFA-7705D856C5CA}"/>
    <cellStyle name="Input 2 3 5 5 2" xfId="12124" xr:uid="{4064099E-23D7-4AC7-84A3-459FDC271E11}"/>
    <cellStyle name="Input 2 3 5 5 2 2" xfId="21170" xr:uid="{BBE8E432-E739-4091-9CE1-29E15CD3AA95}"/>
    <cellStyle name="Input 2 3 5 5 3" xfId="17690" xr:uid="{887EEED7-DDFC-42D7-809D-10895FE0C674}"/>
    <cellStyle name="Input 2 3 5 6" xfId="9538" xr:uid="{2F14AB27-509F-4C12-839E-A32624E4EFF9}"/>
    <cellStyle name="Input 2 3 5 6 2" xfId="18584" xr:uid="{79BF54B1-6C51-4CB3-8C5E-7FDD74CB38B0}"/>
    <cellStyle name="Input 2 3 5 7" xfId="12936" xr:uid="{97499AFD-376A-4678-9959-F9C25A287975}"/>
    <cellStyle name="Input 2 3 5 8" xfId="13493" xr:uid="{E103A888-B5BC-4411-AE26-CD7101448B7B}"/>
    <cellStyle name="Input 2 3 5 9" xfId="14132" xr:uid="{DB9B97BA-B27B-450D-AA8C-5D189CA5A15B}"/>
    <cellStyle name="Input 2 3 6" xfId="3115" xr:uid="{7A244478-6A62-4A40-84F3-7E9381BAFB07}"/>
    <cellStyle name="Input 2 3 6 10" xfId="14895" xr:uid="{A00C71AA-02B7-4BDE-97A2-1918EDDF23BE}"/>
    <cellStyle name="Input 2 3 6 11" xfId="21763" xr:uid="{87BD1835-3F46-41D0-82C7-73ADD34D0545}"/>
    <cellStyle name="Input 2 3 6 2" xfId="4336" xr:uid="{9ACB5F10-38DF-4DF5-BC37-351E06DC4FC0}"/>
    <cellStyle name="Input 2 3 6 2 2" xfId="10193" xr:uid="{570E301E-0CBF-4702-BD55-596956157984}"/>
    <cellStyle name="Input 2 3 6 2 2 2" xfId="19239" xr:uid="{611C252C-C901-4D4D-A670-A554235C1F9A}"/>
    <cellStyle name="Input 2 3 6 2 3" xfId="15753" xr:uid="{52BF6AAE-FF53-4AC0-9A32-C7AD30034489}"/>
    <cellStyle name="Input 2 3 6 2 4" xfId="22419" xr:uid="{6471C930-365A-45B0-A32F-72FC46310CCD}"/>
    <cellStyle name="Input 2 3 6 3" xfId="4837" xr:uid="{C498B962-483D-4C47-9CDB-E3A3844190A8}"/>
    <cellStyle name="Input 2 3 6 3 2" xfId="10692" xr:uid="{9FB87F96-54ED-4EA7-A616-24AEAD4FAD6B}"/>
    <cellStyle name="Input 2 3 6 3 2 2" xfId="19738" xr:uid="{D160B161-8E31-4027-945B-09FFDF0EFCAB}"/>
    <cellStyle name="Input 2 3 6 3 3" xfId="16252" xr:uid="{842189DA-11AF-4061-8274-D99A0FE00620}"/>
    <cellStyle name="Input 2 3 6 3 4" xfId="22914" xr:uid="{33A59C00-00A5-4DC0-BEC8-2C0F5D8EC700}"/>
    <cellStyle name="Input 2 3 6 4" xfId="5452" xr:uid="{4B13CDE2-F59D-4FC0-AC5F-E504AF2F2A0B}"/>
    <cellStyle name="Input 2 3 6 4 2" xfId="11305" xr:uid="{AB9909DD-FC2D-4177-83B9-354ABB679BC2}"/>
    <cellStyle name="Input 2 3 6 4 2 2" xfId="20351" xr:uid="{3B3FF847-2E3C-436B-8EBD-C5BDF2FD8D91}"/>
    <cellStyle name="Input 2 3 6 4 3" xfId="16865" xr:uid="{E8D9C2C9-F64A-4C7A-B113-AF113931F761}"/>
    <cellStyle name="Input 2 3 6 5" xfId="6063" xr:uid="{6C6F55D9-FBB4-4F9D-9F23-DC3BD28526DA}"/>
    <cellStyle name="Input 2 3 6 5 2" xfId="11912" xr:uid="{D7F90346-B2FD-482C-83FF-D6F8EBFA18A1}"/>
    <cellStyle name="Input 2 3 6 5 2 2" xfId="20958" xr:uid="{7AF2204A-81AD-4B81-AF90-A5C03EC95B7F}"/>
    <cellStyle name="Input 2 3 6 5 3" xfId="17476" xr:uid="{4C20F52B-386E-4E1A-92E4-E89FF5A6A923}"/>
    <cellStyle name="Input 2 3 6 6" xfId="9326" xr:uid="{06E57A4D-80F4-49F0-B254-DA3EB57DC25E}"/>
    <cellStyle name="Input 2 3 6 6 2" xfId="18372" xr:uid="{A7200D6F-1C72-45E9-BD81-3C7F3FA46ECD}"/>
    <cellStyle name="Input 2 3 6 7" xfId="12722" xr:uid="{649CDA0A-886F-4DF6-9A9D-BBE598641A58}"/>
    <cellStyle name="Input 2 3 6 8" xfId="13282" xr:uid="{719A0169-DF8E-44E8-BB2A-EC850722AFEE}"/>
    <cellStyle name="Input 2 3 6 9" xfId="13918" xr:uid="{4CCEF516-35D4-48C0-AC75-34E611E60802}"/>
    <cellStyle name="Input 2 3 7" xfId="3715" xr:uid="{0770D072-84B7-4117-8E7C-898EE40B430B}"/>
    <cellStyle name="Input 2 3 7 2" xfId="9757" xr:uid="{2BD757A6-11ED-4453-BA13-2386A61A2D74}"/>
    <cellStyle name="Input 2 3 7 2 2" xfId="18803" xr:uid="{AB3CC9B0-299C-4F88-8066-2F853D5AF184}"/>
    <cellStyle name="Input 2 3 7 3" xfId="15323" xr:uid="{9314C39E-F1C5-4EC5-9282-ECFD9ACCFE6A}"/>
    <cellStyle name="Input 2 3 7 4" xfId="22302" xr:uid="{5C206EEC-8B19-4B7E-96D4-CFFEF0E08340}"/>
    <cellStyle name="Input 2 3 8" xfId="4199" xr:uid="{6E9466B5-C3BE-4DCC-869A-439EDAEB700D}"/>
    <cellStyle name="Input 2 3 8 2" xfId="10056" xr:uid="{F48B9E71-BF31-48FC-9DDC-3391D1073845}"/>
    <cellStyle name="Input 2 3 8 2 2" xfId="19102" xr:uid="{469D207E-29A5-4C1D-9CC2-F9470D513485}"/>
    <cellStyle name="Input 2 3 8 3" xfId="15616" xr:uid="{1310DA4A-3E23-4058-AD28-5F555EF27D09}"/>
    <cellStyle name="Input 2 3 8 4" xfId="22276" xr:uid="{D9010257-C1ED-451E-B8B4-42B37C63B525}"/>
    <cellStyle name="Input 2 3 9" xfId="4750" xr:uid="{0869600F-DCE2-4936-A2A7-BDD3F42A900C}"/>
    <cellStyle name="Input 2 3 9 2" xfId="10607" xr:uid="{FC90B30B-5A73-4A39-8E18-856255B59123}"/>
    <cellStyle name="Input 2 3 9 2 2" xfId="19653" xr:uid="{AA77187D-0A31-4DC1-B827-ACCB0836F018}"/>
    <cellStyle name="Input 2 3 9 3" xfId="16167" xr:uid="{59A754CD-6223-4E22-A5E8-2BDEE851DDF3}"/>
    <cellStyle name="Input 2 4" xfId="2309" xr:uid="{792436FB-FA39-463A-9341-2A3B0C0ED0F1}"/>
    <cellStyle name="Input 2 4 10" xfId="4308" xr:uid="{964BEF05-AEB9-498A-98CE-A5F462F0E07B}"/>
    <cellStyle name="Input 2 4 10 2" xfId="10165" xr:uid="{157A393D-3203-4418-B6AB-5ED87838BE48}"/>
    <cellStyle name="Input 2 4 10 2 2" xfId="19211" xr:uid="{36DAC834-8381-4758-930B-18A50BE2EEC2}"/>
    <cellStyle name="Input 2 4 10 3" xfId="15725" xr:uid="{98F2AE9D-29C4-4BE2-87E9-577F9CE370DD}"/>
    <cellStyle name="Input 2 4 11" xfId="4174" xr:uid="{5C5FFA9D-7CB0-4B88-A593-CDF9A805B098}"/>
    <cellStyle name="Input 2 4 11 2" xfId="10031" xr:uid="{B888C50A-DA41-49E8-A977-5D67D430C391}"/>
    <cellStyle name="Input 2 4 11 2 2" xfId="19077" xr:uid="{AA6006D7-B52D-412C-959E-42200DC3DA65}"/>
    <cellStyle name="Input 2 4 11 3" xfId="15591" xr:uid="{0193935F-1615-4D92-9AB8-8D470CA34815}"/>
    <cellStyle name="Input 2 4 12" xfId="9110" xr:uid="{3FE83DB9-4CEC-4635-A7D4-C633EB7ACDF2}"/>
    <cellStyle name="Input 2 4 12 2" xfId="18156" xr:uid="{1AA13525-D516-4379-B4ED-BC10A5A89093}"/>
    <cellStyle name="Input 2 4 13" xfId="12510" xr:uid="{F384DDD0-3E12-4D5B-966B-DD2A458E685A}"/>
    <cellStyle name="Input 2 4 14" xfId="13704" xr:uid="{4B9004A3-EC15-459B-AB54-5DC57CE0E60E}"/>
    <cellStyle name="Input 2 4 15" xfId="14679" xr:uid="{BFE1AB5B-20C4-4616-BA5B-58B3D579840E}"/>
    <cellStyle name="Input 2 4 16" xfId="21554" xr:uid="{77C596BD-7FFD-480C-87F3-B22C776A0F48}"/>
    <cellStyle name="Input 2 4 17" xfId="23748" xr:uid="{2D717D1B-CBBE-4483-8FBC-DF6C7D4C1A1F}"/>
    <cellStyle name="Input 2 4 2" xfId="2310" xr:uid="{A39FBD2C-921E-483F-AB2D-9A092C01B241}"/>
    <cellStyle name="Input 2 4 2 10" xfId="9141" xr:uid="{F3600BFD-3D8A-45F0-8AA1-B039AC078E49}"/>
    <cellStyle name="Input 2 4 2 10 2" xfId="18187" xr:uid="{43801728-C19F-4FE9-9501-45B157BED507}"/>
    <cellStyle name="Input 2 4 2 11" xfId="12539" xr:uid="{DE94C83C-AA04-49D4-AFAA-D8684B33FFDB}"/>
    <cellStyle name="Input 2 4 2 12" xfId="13733" xr:uid="{9894876A-9146-4A63-B6D1-6B0E5E5B015F}"/>
    <cellStyle name="Input 2 4 2 13" xfId="14710" xr:uid="{0B95D1A1-CE8F-4FEE-9D54-C910B408D0E4}"/>
    <cellStyle name="Input 2 4 2 14" xfId="21582" xr:uid="{83B7C758-63BE-4FB7-BF2A-46053AC12F80}"/>
    <cellStyle name="Input 2 4 2 15" xfId="23749" xr:uid="{6F74FAAE-3D07-4ACF-95CC-157D12458017}"/>
    <cellStyle name="Input 2 4 2 2" xfId="2311" xr:uid="{0DD42C5D-8627-47CD-A9DD-1A2CE7912D7A}"/>
    <cellStyle name="Input 2 4 2 2 10" xfId="13157" xr:uid="{75C08F80-7575-4E44-8BB8-BB22217358F1}"/>
    <cellStyle name="Input 2 4 2 2 11" xfId="13791" xr:uid="{CA555835-164D-4EC6-A98A-4AB615205613}"/>
    <cellStyle name="Input 2 4 2 2 12" xfId="14766" xr:uid="{8E74BEA9-5223-4507-BF71-0374476CDD9C}"/>
    <cellStyle name="Input 2 4 2 2 13" xfId="21636" xr:uid="{10294596-B77D-4075-A523-4A122DEDE0D4}"/>
    <cellStyle name="Input 2 4 2 2 2" xfId="2671" xr:uid="{E90220F6-8A73-47FF-9CA8-34B941141ADA}"/>
    <cellStyle name="Input 2 4 2 2 2 10" xfId="15193" xr:uid="{829FB2B6-95BC-47A7-9E63-14120D3EFCAE}"/>
    <cellStyle name="Input 2 4 2 2 2 11" xfId="22062" xr:uid="{C0F19F6B-CB8C-4828-A272-5C1D61A82087}"/>
    <cellStyle name="Input 2 4 2 2 2 12" xfId="3413" xr:uid="{C01FD8A3-CBC7-4A6F-9F0D-561F154FF7AB}"/>
    <cellStyle name="Input 2 4 2 2 2 2" xfId="4636" xr:uid="{F2781959-E11B-4E3E-AC5C-CA04F02058E5}"/>
    <cellStyle name="Input 2 4 2 2 2 2 2" xfId="10493" xr:uid="{966BB3C3-C8BE-479F-8616-009042179164}"/>
    <cellStyle name="Input 2 4 2 2 2 2 2 2" xfId="19539" xr:uid="{67242810-194B-4392-94CF-9EFC487E861E}"/>
    <cellStyle name="Input 2 4 2 2 2 2 3" xfId="16053" xr:uid="{ED5A1E34-F3D3-42B0-8591-8521F8EA2AFC}"/>
    <cellStyle name="Input 2 4 2 2 2 2 4" xfId="22718" xr:uid="{F7A86F9C-3A55-4C43-ACCD-2DA117FF7927}"/>
    <cellStyle name="Input 2 4 2 2 2 3" xfId="5137" xr:uid="{C4C49409-58AE-4780-8897-74DCCF9E2772}"/>
    <cellStyle name="Input 2 4 2 2 2 3 2" xfId="10990" xr:uid="{5AD26999-4110-4008-A10D-1108290EB564}"/>
    <cellStyle name="Input 2 4 2 2 2 3 2 2" xfId="20036" xr:uid="{C3070EA3-FD28-4EF8-89B7-9996E4C29C61}"/>
    <cellStyle name="Input 2 4 2 2 2 3 3" xfId="16550" xr:uid="{736B3783-4FD2-4E93-9DF9-3B14335A55A1}"/>
    <cellStyle name="Input 2 4 2 2 2 3 4" xfId="23213" xr:uid="{1E9DF8E6-5550-4DFD-A320-F99B554DDCE4}"/>
    <cellStyle name="Input 2 4 2 2 2 4" xfId="5752" xr:uid="{6A9FD2DE-DB0C-4BBB-920A-FF8B5294FC88}"/>
    <cellStyle name="Input 2 4 2 2 2 4 2" xfId="11605" xr:uid="{5E8DE761-AB4E-4524-93A7-197F124AC262}"/>
    <cellStyle name="Input 2 4 2 2 2 4 2 2" xfId="20651" xr:uid="{723B9BF9-B7A7-4CA3-8048-EA3E194214AF}"/>
    <cellStyle name="Input 2 4 2 2 2 4 3" xfId="17165" xr:uid="{610957CB-C06D-421E-B745-1561855B6F4F}"/>
    <cellStyle name="Input 2 4 2 2 2 5" xfId="6363" xr:uid="{0F6E9ED3-31E0-476F-B724-57ACC0403FD1}"/>
    <cellStyle name="Input 2 4 2 2 2 5 2" xfId="12210" xr:uid="{04816CB2-F268-4FEB-9F1A-278123507701}"/>
    <cellStyle name="Input 2 4 2 2 2 5 2 2" xfId="21256" xr:uid="{8F439E2A-57D9-44FF-861E-E10EA758A61A}"/>
    <cellStyle name="Input 2 4 2 2 2 5 3" xfId="17776" xr:uid="{2A41C17C-486B-4103-9089-ED6D04EFC092}"/>
    <cellStyle name="Input 2 4 2 2 2 6" xfId="9624" xr:uid="{82A70353-DA48-4446-A10C-E472A45B7A05}"/>
    <cellStyle name="Input 2 4 2 2 2 6 2" xfId="18670" xr:uid="{E93C3328-80ED-49B5-B7A0-50F140B97A70}"/>
    <cellStyle name="Input 2 4 2 2 2 7" xfId="13022" xr:uid="{FF490BBD-7256-4BEA-A758-74918C5C67EB}"/>
    <cellStyle name="Input 2 4 2 2 2 8" xfId="13579" xr:uid="{82557A16-8D76-40A3-80B4-1620CFB773B4}"/>
    <cellStyle name="Input 2 4 2 2 2 9" xfId="14218" xr:uid="{8A2C9FBE-1F48-41A9-9AA7-67052E35E39A}"/>
    <cellStyle name="Input 2 4 2 2 3" xfId="3201" xr:uid="{F69797D3-468D-4D65-B496-89EF21ADC5B8}"/>
    <cellStyle name="Input 2 4 2 2 3 10" xfId="14981" xr:uid="{AA8FF15D-5686-4F97-8A85-640F88C7BDB6}"/>
    <cellStyle name="Input 2 4 2 2 3 11" xfId="21851" xr:uid="{61348EE2-79F0-441E-A514-E79B14A4EF95}"/>
    <cellStyle name="Input 2 4 2 2 3 2" xfId="4424" xr:uid="{0BE99A7B-ED7E-4DEF-BD89-BED1BAE3DA63}"/>
    <cellStyle name="Input 2 4 2 2 3 2 2" xfId="10281" xr:uid="{0DF950A9-1B26-499F-9F64-7519E3C6AE76}"/>
    <cellStyle name="Input 2 4 2 2 3 2 2 2" xfId="19327" xr:uid="{69070981-B0FF-4E65-9BFB-A00A7C0A64F8}"/>
    <cellStyle name="Input 2 4 2 2 3 2 3" xfId="15841" xr:uid="{7C76A9B6-6233-4A44-AB34-4C13B0CA7E40}"/>
    <cellStyle name="Input 2 4 2 2 3 2 4" xfId="22507" xr:uid="{991F956C-E385-4FE8-9478-41545DE8C85A}"/>
    <cellStyle name="Input 2 4 2 2 3 3" xfId="4925" xr:uid="{C7CEF396-613D-42F6-B415-3E696C23B9C7}"/>
    <cellStyle name="Input 2 4 2 2 3 3 2" xfId="10778" xr:uid="{7C98B30E-C79C-48F8-A13B-31B8DCFBD5FE}"/>
    <cellStyle name="Input 2 4 2 2 3 3 2 2" xfId="19824" xr:uid="{6E68901B-1394-4B45-9FCF-B3B7F925C6F4}"/>
    <cellStyle name="Input 2 4 2 2 3 3 3" xfId="16338" xr:uid="{762CB868-8964-42DC-BA63-636FE56A2488}"/>
    <cellStyle name="Input 2 4 2 2 3 3 4" xfId="23002" xr:uid="{7A6710D6-DFA0-421C-A0A0-5C161E939FE1}"/>
    <cellStyle name="Input 2 4 2 2 3 4" xfId="5540" xr:uid="{4655BE64-D1AB-4D4B-9485-822C42AF25EE}"/>
    <cellStyle name="Input 2 4 2 2 3 4 2" xfId="11393" xr:uid="{37A796BD-1031-4ADB-802E-1C324A3859C9}"/>
    <cellStyle name="Input 2 4 2 2 3 4 2 2" xfId="20439" xr:uid="{8319BACC-2B64-4981-A03F-76752B1A91D2}"/>
    <cellStyle name="Input 2 4 2 2 3 4 3" xfId="16953" xr:uid="{239718FC-870A-45CE-9F5C-58C1374746C8}"/>
    <cellStyle name="Input 2 4 2 2 3 5" xfId="6151" xr:uid="{081B514D-E0E1-4831-9F12-1F87767CD8A0}"/>
    <cellStyle name="Input 2 4 2 2 3 5 2" xfId="11998" xr:uid="{9B24BCA7-AF18-4895-AA1F-AB8B4DDAE9C7}"/>
    <cellStyle name="Input 2 4 2 2 3 5 2 2" xfId="21044" xr:uid="{46DE9704-C09A-4970-B096-CC81214B8D7D}"/>
    <cellStyle name="Input 2 4 2 2 3 5 3" xfId="17564" xr:uid="{A6CAD7BA-DCE1-4747-B631-5B4C00D1EDD8}"/>
    <cellStyle name="Input 2 4 2 2 3 6" xfId="9412" xr:uid="{70E93A99-0FF1-404F-9CD7-354394BBE56B}"/>
    <cellStyle name="Input 2 4 2 2 3 6 2" xfId="18458" xr:uid="{AB5F838B-BB2C-48DD-B7AC-B5CC0761E59B}"/>
    <cellStyle name="Input 2 4 2 2 3 7" xfId="12810" xr:uid="{5FDDEF73-A0E8-4F94-B8C0-059B77ECB208}"/>
    <cellStyle name="Input 2 4 2 2 3 8" xfId="13368" xr:uid="{4CD256C8-1B82-4327-AF70-D4004139C922}"/>
    <cellStyle name="Input 2 4 2 2 3 9" xfId="14006" xr:uid="{48B89496-0F56-420D-8F5C-E2087AD6AFB8}"/>
    <cellStyle name="Input 2 4 2 2 4" xfId="4014" xr:uid="{1311C7A5-667A-4B3B-852D-E45036DFF58C}"/>
    <cellStyle name="Input 2 4 2 2 4 2" xfId="9876" xr:uid="{E0E1DDD9-AD2B-41D0-94B3-C51B53B1A2DD}"/>
    <cellStyle name="Input 2 4 2 2 4 2 2" xfId="18922" xr:uid="{9AFB7A26-811E-4284-BE83-D3354760C108}"/>
    <cellStyle name="Input 2 4 2 2 4 3" xfId="15438" xr:uid="{71020EEC-4012-484C-B7EE-CEF625E1E097}"/>
    <cellStyle name="Input 2 4 2 2 4 4" xfId="22227" xr:uid="{0170C1B6-B0F3-48F1-B5F4-A3D4F8458F36}"/>
    <cellStyle name="Input 2 4 2 2 5" xfId="4107" xr:uid="{ACCF1009-5F20-4E8A-B4C8-B493FF56CFD7}"/>
    <cellStyle name="Input 2 4 2 2 5 2" xfId="9964" xr:uid="{67B2D250-8066-45C2-ADFC-9A4D2325BA62}"/>
    <cellStyle name="Input 2 4 2 2 5 2 2" xfId="19010" xr:uid="{8096B81A-9E15-4D4F-A26F-FC34DC85E5A2}"/>
    <cellStyle name="Input 2 4 2 2 5 3" xfId="15524" xr:uid="{9F8CF4FD-F350-45C1-BA5E-182B5F71DD99}"/>
    <cellStyle name="Input 2 4 2 2 6" xfId="5325" xr:uid="{9EF33B88-D165-4A7F-8315-0E3F296B4B79}"/>
    <cellStyle name="Input 2 4 2 2 6 2" xfId="11178" xr:uid="{2318B060-0D3F-4333-95C4-97FF165E5F5D}"/>
    <cellStyle name="Input 2 4 2 2 6 2 2" xfId="20224" xr:uid="{7453A861-F847-47F6-B17C-7A209B12A076}"/>
    <cellStyle name="Input 2 4 2 2 6 3" xfId="16738" xr:uid="{9D0CD70E-D682-42EC-BE36-06D3480A5C50}"/>
    <cellStyle name="Input 2 4 2 2 7" xfId="5936" xr:uid="{9FFA92D7-4C56-4FD9-A90E-306EB327878F}"/>
    <cellStyle name="Input 2 4 2 2 7 2" xfId="11787" xr:uid="{63CD040F-0597-46D8-84EB-6E1061F97A42}"/>
    <cellStyle name="Input 2 4 2 2 7 2 2" xfId="20833" xr:uid="{51CFC5C0-0D9C-4579-B7DF-7C8D8841B458}"/>
    <cellStyle name="Input 2 4 2 2 7 3" xfId="17349" xr:uid="{63657BAA-C5A2-4053-AC88-C621F1949770}"/>
    <cellStyle name="Input 2 4 2 2 8" xfId="9197" xr:uid="{D2C4DDC7-861A-487E-B8D4-2922A20BAC03}"/>
    <cellStyle name="Input 2 4 2 2 8 2" xfId="18243" xr:uid="{FA879D52-9C96-42CA-8D4E-68231E15158C}"/>
    <cellStyle name="Input 2 4 2 2 9" xfId="12595" xr:uid="{6A7449FD-0682-47B5-837F-A0B5E2DB359D}"/>
    <cellStyle name="Input 2 4 2 3" xfId="2672" xr:uid="{0CD074BA-F5FF-4947-9BDF-CEA83C6520D7}"/>
    <cellStyle name="Input 2 4 2 3 10" xfId="15137" xr:uid="{62F8BC36-33EC-4098-BF64-74E846BDFA90}"/>
    <cellStyle name="Input 2 4 2 3 11" xfId="22006" xr:uid="{7A61E43C-2B41-4EDB-A33C-8B4E7DEC9BFC}"/>
    <cellStyle name="Input 2 4 2 3 12" xfId="3357" xr:uid="{B52C1EBE-6E49-4BB7-BE99-FF837731423A}"/>
    <cellStyle name="Input 2 4 2 3 2" xfId="4580" xr:uid="{45887A33-0F1D-49D8-8067-514B333B5FDE}"/>
    <cellStyle name="Input 2 4 2 3 2 2" xfId="10437" xr:uid="{367CC3AA-ABA9-4A7D-89F9-C462B25FFB0A}"/>
    <cellStyle name="Input 2 4 2 3 2 2 2" xfId="19483" xr:uid="{7EB00EEE-F82A-4DB1-B409-28F16B5E37B0}"/>
    <cellStyle name="Input 2 4 2 3 2 3" xfId="15997" xr:uid="{6F9BA34A-E16F-484E-BA9C-2F954BC30C1F}"/>
    <cellStyle name="Input 2 4 2 3 2 4" xfId="22662" xr:uid="{FDDC4188-129D-437F-B801-D0E3785B46FC}"/>
    <cellStyle name="Input 2 4 2 3 3" xfId="5081" xr:uid="{36CC6409-D6EE-44A3-BB47-61AC6F5461B6}"/>
    <cellStyle name="Input 2 4 2 3 3 2" xfId="10934" xr:uid="{564DA795-51BB-485B-943B-3E20032F2ACE}"/>
    <cellStyle name="Input 2 4 2 3 3 2 2" xfId="19980" xr:uid="{8E5E1A56-3126-4EE1-B1FA-D129BEBBC645}"/>
    <cellStyle name="Input 2 4 2 3 3 3" xfId="16494" xr:uid="{04FC4D44-8D31-442C-B3A8-946EAE8D405B}"/>
    <cellStyle name="Input 2 4 2 3 3 4" xfId="23157" xr:uid="{BF75AB9B-D0A8-47AC-ADA7-EFE06D8A2845}"/>
    <cellStyle name="Input 2 4 2 3 4" xfId="5696" xr:uid="{5D5EAD72-9C6F-40A3-A464-26A9EC4858D9}"/>
    <cellStyle name="Input 2 4 2 3 4 2" xfId="11549" xr:uid="{962BBDC0-072F-4772-B01C-A96513ECE28C}"/>
    <cellStyle name="Input 2 4 2 3 4 2 2" xfId="20595" xr:uid="{CE70C3CF-0A1F-474C-A7B1-632DA38E94BC}"/>
    <cellStyle name="Input 2 4 2 3 4 3" xfId="17109" xr:uid="{CBF402BB-666E-48EC-AB3C-344C630B822F}"/>
    <cellStyle name="Input 2 4 2 3 5" xfId="6307" xr:uid="{439E65F9-2F7F-4530-A711-D5C31A4AABD2}"/>
    <cellStyle name="Input 2 4 2 3 5 2" xfId="12154" xr:uid="{B1B003EE-7EA4-401F-AD94-343EB274EA21}"/>
    <cellStyle name="Input 2 4 2 3 5 2 2" xfId="21200" xr:uid="{BE7A909A-A5AD-4498-B6CD-E0EE8D4BED3A}"/>
    <cellStyle name="Input 2 4 2 3 5 3" xfId="17720" xr:uid="{EDE5F603-099F-420E-A19D-CDC73366E774}"/>
    <cellStyle name="Input 2 4 2 3 6" xfId="9568" xr:uid="{DEE02268-ADAB-4A47-A8C3-DC488E46E78C}"/>
    <cellStyle name="Input 2 4 2 3 6 2" xfId="18614" xr:uid="{C99E399C-4A9F-40A2-9BD3-BFC4F7ABD088}"/>
    <cellStyle name="Input 2 4 2 3 7" xfId="12966" xr:uid="{CE81B38F-7E4D-4718-860D-4B23D57CF6BC}"/>
    <cellStyle name="Input 2 4 2 3 8" xfId="13523" xr:uid="{DF130FE0-37E7-433B-8A62-EEE5902B518E}"/>
    <cellStyle name="Input 2 4 2 3 9" xfId="14162" xr:uid="{8136F888-35A5-400C-8F29-2BF26B9A3284}"/>
    <cellStyle name="Input 2 4 2 4" xfId="3145" xr:uid="{52F0393D-896D-4DF8-8361-A0101207ABE9}"/>
    <cellStyle name="Input 2 4 2 4 10" xfId="14925" xr:uid="{20004021-CC30-4531-ABFF-1513781762D8}"/>
    <cellStyle name="Input 2 4 2 4 11" xfId="21793" xr:uid="{EFAD3C0E-D8D9-40AE-B06F-9A90BD6C01C9}"/>
    <cellStyle name="Input 2 4 2 4 2" xfId="4366" xr:uid="{C79E4952-09C0-4998-90AB-B14FE9754B4B}"/>
    <cellStyle name="Input 2 4 2 4 2 2" xfId="10223" xr:uid="{FCDF52CD-5849-4009-9913-AF792532AD24}"/>
    <cellStyle name="Input 2 4 2 4 2 2 2" xfId="19269" xr:uid="{3F165406-3B1B-4A59-AE60-4218A470B466}"/>
    <cellStyle name="Input 2 4 2 4 2 3" xfId="15783" xr:uid="{E1D85FDA-6191-4EAD-9B33-5907DBD2A26A}"/>
    <cellStyle name="Input 2 4 2 4 2 4" xfId="22449" xr:uid="{B751713D-7961-4FE0-A08E-51683CA0FD68}"/>
    <cellStyle name="Input 2 4 2 4 3" xfId="4867" xr:uid="{9C2F1FB8-E2F6-4FB3-BD7F-7504835BF31D}"/>
    <cellStyle name="Input 2 4 2 4 3 2" xfId="10722" xr:uid="{EC1945C9-3670-4E23-AABB-E37FF1B9D965}"/>
    <cellStyle name="Input 2 4 2 4 3 2 2" xfId="19768" xr:uid="{CC4BE7A3-015B-44C2-AD2B-A022A67177FC}"/>
    <cellStyle name="Input 2 4 2 4 3 3" xfId="16282" xr:uid="{F3C5008C-D07B-495D-94C5-52751607B29D}"/>
    <cellStyle name="Input 2 4 2 4 3 4" xfId="22944" xr:uid="{A1724D1B-C69B-443C-9256-ECF490556782}"/>
    <cellStyle name="Input 2 4 2 4 4" xfId="5482" xr:uid="{BF7066B3-AA10-4B42-A2AB-4DC37C2A7629}"/>
    <cellStyle name="Input 2 4 2 4 4 2" xfId="11335" xr:uid="{A76F2731-5359-42A9-BCE9-C6C6A744A10F}"/>
    <cellStyle name="Input 2 4 2 4 4 2 2" xfId="20381" xr:uid="{202F866C-517A-4035-BD22-AA0BC5691707}"/>
    <cellStyle name="Input 2 4 2 4 4 3" xfId="16895" xr:uid="{8C5D56CC-C6E1-4892-9027-2678BAB5C2C6}"/>
    <cellStyle name="Input 2 4 2 4 5" xfId="6093" xr:uid="{1111FC00-3803-4BBB-B990-9C32B6F6DD46}"/>
    <cellStyle name="Input 2 4 2 4 5 2" xfId="11942" xr:uid="{E73FD391-90D1-4818-B989-C330DE930CEF}"/>
    <cellStyle name="Input 2 4 2 4 5 2 2" xfId="20988" xr:uid="{FCA0A89A-A652-4A13-8ED2-E8DE94518567}"/>
    <cellStyle name="Input 2 4 2 4 5 3" xfId="17506" xr:uid="{BFF0533E-8AA9-4DFC-B028-091F72035BF6}"/>
    <cellStyle name="Input 2 4 2 4 6" xfId="9356" xr:uid="{2A395D29-681D-4679-B31A-CF1FD0538180}"/>
    <cellStyle name="Input 2 4 2 4 6 2" xfId="18402" xr:uid="{3150F8E6-5D4E-4A1D-9820-4D58E8A1F2CB}"/>
    <cellStyle name="Input 2 4 2 4 7" xfId="12752" xr:uid="{9D64A117-B5F3-4F70-960B-2153B08F14D1}"/>
    <cellStyle name="Input 2 4 2 4 8" xfId="13312" xr:uid="{0A38620F-586F-45A8-89F7-E7167A230E09}"/>
    <cellStyle name="Input 2 4 2 4 9" xfId="13948" xr:uid="{20997C8A-251C-4F41-A6ED-1A605B2D155E}"/>
    <cellStyle name="Input 2 4 2 5" xfId="3746" xr:uid="{33CF1E71-6A13-4B18-9D62-7AF7D0D7BCC0}"/>
    <cellStyle name="Input 2 4 2 5 2" xfId="9788" xr:uid="{125F58A6-DBB3-48C0-909F-7D52F58865F1}"/>
    <cellStyle name="Input 2 4 2 5 2 2" xfId="18834" xr:uid="{D58D3773-57ED-422C-B4F9-3C9EA6BC5981}"/>
    <cellStyle name="Input 2 4 2 5 3" xfId="15354" xr:uid="{0F27AA7C-0F22-420B-A1FE-6DCAC40BC10A}"/>
    <cellStyle name="Input 2 4 2 5 4" xfId="22333" xr:uid="{ADFD0253-2BCD-4D65-B8CF-8911605F806B}"/>
    <cellStyle name="Input 2 4 2 6" xfId="4230" xr:uid="{6E0674D0-3AD1-49B8-A369-09335EE2CD4D}"/>
    <cellStyle name="Input 2 4 2 6 2" xfId="10087" xr:uid="{91E0DF7F-E6CE-47AE-8AD0-CB8B2C842601}"/>
    <cellStyle name="Input 2 4 2 6 2 2" xfId="19133" xr:uid="{9F9F4CD8-9A7F-44A7-A4EC-F952C7A97C29}"/>
    <cellStyle name="Input 2 4 2 6 3" xfId="15647" xr:uid="{A3AF517F-07E8-49FF-8198-9B402285C69E}"/>
    <cellStyle name="Input 2 4 2 6 4" xfId="22394" xr:uid="{A0A58D02-91AE-42A9-B3B7-5C138F6504A8}"/>
    <cellStyle name="Input 2 4 2 7" xfId="4144" xr:uid="{2B921B98-6FBE-4FFC-9746-D4FA696F19ED}"/>
    <cellStyle name="Input 2 4 2 7 2" xfId="10001" xr:uid="{17E0A212-F07F-4FD2-A297-F0DA247714DE}"/>
    <cellStyle name="Input 2 4 2 7 2 2" xfId="19047" xr:uid="{B8DE807D-160D-4706-972A-23E9D07C06CC}"/>
    <cellStyle name="Input 2 4 2 7 3" xfId="15561" xr:uid="{79C37ABE-8060-435E-A538-1734DA5CE70A}"/>
    <cellStyle name="Input 2 4 2 8" xfId="5267" xr:uid="{60D9145D-2348-4F2E-8C77-3844E4CC2D28}"/>
    <cellStyle name="Input 2 4 2 8 2" xfId="11120" xr:uid="{9C2B6401-5E74-4858-8C6A-82CC9D770757}"/>
    <cellStyle name="Input 2 4 2 8 2 2" xfId="20166" xr:uid="{E455F54F-FEAF-44A2-82BF-B3BBC7C8BB65}"/>
    <cellStyle name="Input 2 4 2 8 3" xfId="16680" xr:uid="{2347824C-F0AA-499A-A58C-292E8F230356}"/>
    <cellStyle name="Input 2 4 2 9" xfId="5878" xr:uid="{732A46F8-DF07-4555-B7C4-D4C4F0933F39}"/>
    <cellStyle name="Input 2 4 2 9 2" xfId="11731" xr:uid="{1114F427-5BE6-428F-9C03-27F3513049CD}"/>
    <cellStyle name="Input 2 4 2 9 2 2" xfId="20777" xr:uid="{094531DC-6D2F-4AA6-A27F-81731A20DB7A}"/>
    <cellStyle name="Input 2 4 2 9 3" xfId="17291" xr:uid="{9072EA25-CEC9-4041-B6B0-E2737FAC7E04}"/>
    <cellStyle name="Input 2 4 3" xfId="2312" xr:uid="{1ED5B2D4-8C50-44B1-B578-0B31F9DB57B7}"/>
    <cellStyle name="Input 2 4 3 10" xfId="9142" xr:uid="{59C8E045-1374-4D3A-8324-453B985F77B4}"/>
    <cellStyle name="Input 2 4 3 10 2" xfId="18188" xr:uid="{D252506E-9826-47B0-8217-C60CFB99680B}"/>
    <cellStyle name="Input 2 4 3 11" xfId="12540" xr:uid="{BF5D68BB-B5BE-4EFA-B68D-5424249A18A4}"/>
    <cellStyle name="Input 2 4 3 12" xfId="13734" xr:uid="{B47854FF-3859-41DA-BB99-2FBD51FBB9F8}"/>
    <cellStyle name="Input 2 4 3 13" xfId="14711" xr:uid="{DC187C4E-C7B1-4A76-85AD-C8BBDF560241}"/>
    <cellStyle name="Input 2 4 3 14" xfId="21583" xr:uid="{47C0732E-C22C-4051-870F-7F191D8075EF}"/>
    <cellStyle name="Input 2 4 3 15" xfId="23750" xr:uid="{1327D70E-8AFE-448B-9B05-1A5E7B03C9CB}"/>
    <cellStyle name="Input 2 4 3 2" xfId="2313" xr:uid="{109E5961-2886-43E4-BA35-58B105CB0758}"/>
    <cellStyle name="Input 2 4 3 2 10" xfId="13158" xr:uid="{CA9F2223-025E-4CEF-AD2C-127381CC7326}"/>
    <cellStyle name="Input 2 4 3 2 11" xfId="13792" xr:uid="{F7F954B9-B601-42E0-A4DA-DDBF3A0D9C88}"/>
    <cellStyle name="Input 2 4 3 2 12" xfId="14767" xr:uid="{95594F0E-04F6-4748-A3DB-D1A110886513}"/>
    <cellStyle name="Input 2 4 3 2 13" xfId="21637" xr:uid="{B5F31BE1-5EFB-4102-A0DF-550E2A92FF58}"/>
    <cellStyle name="Input 2 4 3 2 2" xfId="2669" xr:uid="{6AA91731-BF29-44FC-AAC9-023A242597C8}"/>
    <cellStyle name="Input 2 4 3 2 2 10" xfId="15194" xr:uid="{6654B9B3-D7AE-4BAC-AA60-249A8AF77F94}"/>
    <cellStyle name="Input 2 4 3 2 2 11" xfId="22063" xr:uid="{03F21171-5942-4CA8-9BB4-F559AF1C3371}"/>
    <cellStyle name="Input 2 4 3 2 2 12" xfId="3414" xr:uid="{2506A8F6-AF56-4927-B496-AD29D43DAA5F}"/>
    <cellStyle name="Input 2 4 3 2 2 2" xfId="4637" xr:uid="{AA74D94E-C4BD-4EC3-A716-06E7949FD3CF}"/>
    <cellStyle name="Input 2 4 3 2 2 2 2" xfId="10494" xr:uid="{042523F2-C26D-49D9-AC5E-9B6D84033243}"/>
    <cellStyle name="Input 2 4 3 2 2 2 2 2" xfId="19540" xr:uid="{4744EC28-2B55-4DA6-8626-9A7D18E7C91C}"/>
    <cellStyle name="Input 2 4 3 2 2 2 3" xfId="16054" xr:uid="{E78F2741-7F98-4593-BBCA-B0AA458D8204}"/>
    <cellStyle name="Input 2 4 3 2 2 2 4" xfId="22719" xr:uid="{91A9A77D-6CD0-4FC5-B143-7A109D374E69}"/>
    <cellStyle name="Input 2 4 3 2 2 3" xfId="5138" xr:uid="{74E3211F-BDD4-40A8-B5DB-580F11FDA22D}"/>
    <cellStyle name="Input 2 4 3 2 2 3 2" xfId="10991" xr:uid="{7AB3A8C3-22AB-4B31-8898-78651B02069A}"/>
    <cellStyle name="Input 2 4 3 2 2 3 2 2" xfId="20037" xr:uid="{67472281-DAF1-4DB6-9C49-0A08671E6B6D}"/>
    <cellStyle name="Input 2 4 3 2 2 3 3" xfId="16551" xr:uid="{E3518E17-BCAC-4380-9B14-424B25BE2DC3}"/>
    <cellStyle name="Input 2 4 3 2 2 3 4" xfId="23214" xr:uid="{632BB360-05EF-4B97-9407-100AEA7D4595}"/>
    <cellStyle name="Input 2 4 3 2 2 4" xfId="5753" xr:uid="{7EB5D7F9-9B00-4C78-9BD5-DCA2BAEE77F1}"/>
    <cellStyle name="Input 2 4 3 2 2 4 2" xfId="11606" xr:uid="{3A6519C8-1594-40E3-83A8-845AEA47E667}"/>
    <cellStyle name="Input 2 4 3 2 2 4 2 2" xfId="20652" xr:uid="{20342CD6-97DE-4849-87F5-886ED56E4F6C}"/>
    <cellStyle name="Input 2 4 3 2 2 4 3" xfId="17166" xr:uid="{E705283F-C8AE-43A6-96D1-2F815F83876F}"/>
    <cellStyle name="Input 2 4 3 2 2 5" xfId="6364" xr:uid="{A76BB4CA-4B95-4E82-A77B-BA9D162A360B}"/>
    <cellStyle name="Input 2 4 3 2 2 5 2" xfId="12211" xr:uid="{6263AEAF-B640-44E4-9F9B-24E869D96062}"/>
    <cellStyle name="Input 2 4 3 2 2 5 2 2" xfId="21257" xr:uid="{0275FF7C-F552-461F-B36A-8E0C1A5AE04D}"/>
    <cellStyle name="Input 2 4 3 2 2 5 3" xfId="17777" xr:uid="{722883C9-F1CA-44FF-A92F-26933A76A4FE}"/>
    <cellStyle name="Input 2 4 3 2 2 6" xfId="9625" xr:uid="{454A1323-E215-4E3C-ACAA-46D903661D5A}"/>
    <cellStyle name="Input 2 4 3 2 2 6 2" xfId="18671" xr:uid="{8A56E130-C48E-4E27-A1CA-7D7EE81A983F}"/>
    <cellStyle name="Input 2 4 3 2 2 7" xfId="13023" xr:uid="{1E86AE7D-0B49-4DDD-ACBC-50F0EFCD052B}"/>
    <cellStyle name="Input 2 4 3 2 2 8" xfId="13580" xr:uid="{1DAACF81-11C5-48CC-B366-2E540C94E0D5}"/>
    <cellStyle name="Input 2 4 3 2 2 9" xfId="14219" xr:uid="{5A1645C6-71C3-4583-8D76-C34EFB5A6024}"/>
    <cellStyle name="Input 2 4 3 2 3" xfId="3202" xr:uid="{0CEE7784-83D7-43BE-9FBA-B906EF16DCCA}"/>
    <cellStyle name="Input 2 4 3 2 3 10" xfId="14982" xr:uid="{510EA39C-4112-43AD-B268-3581B896E5D4}"/>
    <cellStyle name="Input 2 4 3 2 3 11" xfId="21852" xr:uid="{F2178C9C-2EDA-4956-9DD1-DD3E27B1E9CD}"/>
    <cellStyle name="Input 2 4 3 2 3 2" xfId="4425" xr:uid="{88C34F89-4631-40A9-9EDF-C56E4F1100D0}"/>
    <cellStyle name="Input 2 4 3 2 3 2 2" xfId="10282" xr:uid="{B42BA89E-2B32-4254-9579-4B8181F02749}"/>
    <cellStyle name="Input 2 4 3 2 3 2 2 2" xfId="19328" xr:uid="{0A1871B8-ACDF-4CC8-8FE6-B5407498ECB6}"/>
    <cellStyle name="Input 2 4 3 2 3 2 3" xfId="15842" xr:uid="{85A0142E-FAD8-4FCC-80B1-01E8B361EB34}"/>
    <cellStyle name="Input 2 4 3 2 3 2 4" xfId="22508" xr:uid="{0F32A0FF-2E5F-4280-890B-0F1E906E8F7F}"/>
    <cellStyle name="Input 2 4 3 2 3 3" xfId="4926" xr:uid="{1D746A8A-F7B2-4E9C-AF34-67B4269D4F72}"/>
    <cellStyle name="Input 2 4 3 2 3 3 2" xfId="10779" xr:uid="{AE1DA73B-3F9A-425F-85FD-228D5F70BA72}"/>
    <cellStyle name="Input 2 4 3 2 3 3 2 2" xfId="19825" xr:uid="{423A8C18-5878-471F-8375-743230947606}"/>
    <cellStyle name="Input 2 4 3 2 3 3 3" xfId="16339" xr:uid="{13BC1187-14E9-4125-87E5-B88217884E4B}"/>
    <cellStyle name="Input 2 4 3 2 3 3 4" xfId="23003" xr:uid="{D2DF8246-E2FC-43AA-A524-982E32D5D955}"/>
    <cellStyle name="Input 2 4 3 2 3 4" xfId="5541" xr:uid="{1E38A4BD-B111-4B72-9BB0-F750B51D3575}"/>
    <cellStyle name="Input 2 4 3 2 3 4 2" xfId="11394" xr:uid="{323DC0D4-5ACA-4614-AE5D-233014DE7570}"/>
    <cellStyle name="Input 2 4 3 2 3 4 2 2" xfId="20440" xr:uid="{62768EAB-9A1A-4E5C-83F6-36E0C45308E4}"/>
    <cellStyle name="Input 2 4 3 2 3 4 3" xfId="16954" xr:uid="{7AE7CAF0-568D-4A6F-8D2F-93AECF7C19C4}"/>
    <cellStyle name="Input 2 4 3 2 3 5" xfId="6152" xr:uid="{C7E25AF5-1177-4CE6-B08F-67BE10358BCB}"/>
    <cellStyle name="Input 2 4 3 2 3 5 2" xfId="11999" xr:uid="{B477253D-1863-4F98-9F54-59E0BE6EF93D}"/>
    <cellStyle name="Input 2 4 3 2 3 5 2 2" xfId="21045" xr:uid="{C648ACA5-15AA-4D0C-B0DF-E0CDAFC32023}"/>
    <cellStyle name="Input 2 4 3 2 3 5 3" xfId="17565" xr:uid="{29596197-EA01-499C-9AC3-9AD26974AB2B}"/>
    <cellStyle name="Input 2 4 3 2 3 6" xfId="9413" xr:uid="{E3BF82AC-719D-4E15-8ABE-5325D0D52424}"/>
    <cellStyle name="Input 2 4 3 2 3 6 2" xfId="18459" xr:uid="{151F1D9F-BC73-4A3B-9A61-1BE8DA038584}"/>
    <cellStyle name="Input 2 4 3 2 3 7" xfId="12811" xr:uid="{64AA2FBC-5610-420E-8C5E-ACE5591BCF48}"/>
    <cellStyle name="Input 2 4 3 2 3 8" xfId="13369" xr:uid="{E059F608-3765-4F0D-B4F4-A84B2942F548}"/>
    <cellStyle name="Input 2 4 3 2 3 9" xfId="14007" xr:uid="{0AC509B2-7C1F-48F4-90BF-9E66F3D85940}"/>
    <cellStyle name="Input 2 4 3 2 4" xfId="4015" xr:uid="{6E9B352D-E06C-4D53-863C-F4504FC448C5}"/>
    <cellStyle name="Input 2 4 3 2 4 2" xfId="9877" xr:uid="{E6C89630-5D60-450C-B113-978C76524F86}"/>
    <cellStyle name="Input 2 4 3 2 4 2 2" xfId="18923" xr:uid="{6E1C8BB4-7295-48BE-9571-55FD55BDF9A0}"/>
    <cellStyle name="Input 2 4 3 2 4 3" xfId="15439" xr:uid="{EA027F81-2996-4132-8458-9E7F222D9DDF}"/>
    <cellStyle name="Input 2 4 3 2 4 4" xfId="22226" xr:uid="{87DA8D7A-1558-4F34-A31E-902C6F7252E8}"/>
    <cellStyle name="Input 2 4 3 2 5" xfId="4106" xr:uid="{701F56C9-26E3-4A7A-AF6C-71A9B5E64E02}"/>
    <cellStyle name="Input 2 4 3 2 5 2" xfId="9963" xr:uid="{58A21C8E-C94E-4443-A101-89F555AF899C}"/>
    <cellStyle name="Input 2 4 3 2 5 2 2" xfId="19009" xr:uid="{EB69AB45-D147-415D-BC20-8101DF257AC2}"/>
    <cellStyle name="Input 2 4 3 2 5 3" xfId="15523" xr:uid="{4E4FE034-D865-45EF-9B56-45D92BF4F8A1}"/>
    <cellStyle name="Input 2 4 3 2 6" xfId="5326" xr:uid="{20ED839F-53A1-43AC-B1A1-1FAAE9815819}"/>
    <cellStyle name="Input 2 4 3 2 6 2" xfId="11179" xr:uid="{D2030460-94A3-4362-8D1A-F6E8A98A9388}"/>
    <cellStyle name="Input 2 4 3 2 6 2 2" xfId="20225" xr:uid="{A39AA05B-A4EE-4535-90A2-475A9168CD40}"/>
    <cellStyle name="Input 2 4 3 2 6 3" xfId="16739" xr:uid="{84171916-DA15-44D7-8D61-9C8868B1C4DD}"/>
    <cellStyle name="Input 2 4 3 2 7" xfId="5937" xr:uid="{5B535762-3DE1-4AB9-B590-02609DC75A2E}"/>
    <cellStyle name="Input 2 4 3 2 7 2" xfId="11788" xr:uid="{457F1D00-F5F8-4750-A270-D96D39FBFD95}"/>
    <cellStyle name="Input 2 4 3 2 7 2 2" xfId="20834" xr:uid="{E61179F2-4920-4681-9549-75DA0AB5E0FF}"/>
    <cellStyle name="Input 2 4 3 2 7 3" xfId="17350" xr:uid="{C8B88B79-20E2-4D29-8E60-A5315BC6DBBA}"/>
    <cellStyle name="Input 2 4 3 2 8" xfId="9198" xr:uid="{7320DE0D-FB41-4881-B85D-507C1FB96D57}"/>
    <cellStyle name="Input 2 4 3 2 8 2" xfId="18244" xr:uid="{D00778DE-BB0A-4A08-8EB0-42D34426ACEE}"/>
    <cellStyle name="Input 2 4 3 2 9" xfId="12596" xr:uid="{BE7388A1-0518-4695-9355-36327FF19F00}"/>
    <cellStyle name="Input 2 4 3 3" xfId="2670" xr:uid="{1410DF56-CD0F-48D8-A01D-1FC563D1DDB5}"/>
    <cellStyle name="Input 2 4 3 3 10" xfId="15138" xr:uid="{4C17CECF-DB95-4C87-9019-4E4BB1822EE4}"/>
    <cellStyle name="Input 2 4 3 3 11" xfId="22007" xr:uid="{CD0BCF9A-473B-41E4-8B62-7468970E855F}"/>
    <cellStyle name="Input 2 4 3 3 12" xfId="3358" xr:uid="{EF493473-A6E0-47BF-9E1A-1E52A5046F62}"/>
    <cellStyle name="Input 2 4 3 3 2" xfId="4581" xr:uid="{CB04EEE3-8EA6-4AFE-BAA9-30EF503F2421}"/>
    <cellStyle name="Input 2 4 3 3 2 2" xfId="10438" xr:uid="{BF9E610A-CA8B-4AA9-BB09-ACE7B1F2496B}"/>
    <cellStyle name="Input 2 4 3 3 2 2 2" xfId="19484" xr:uid="{4F3C5EF1-841C-4201-8874-0F605A51F984}"/>
    <cellStyle name="Input 2 4 3 3 2 3" xfId="15998" xr:uid="{2BA8E041-82A4-4536-A9BF-A6330C615B30}"/>
    <cellStyle name="Input 2 4 3 3 2 4" xfId="22663" xr:uid="{8CFAD11E-0DA0-4D03-BFC3-20F9F1D73C38}"/>
    <cellStyle name="Input 2 4 3 3 3" xfId="5082" xr:uid="{86A16BBB-8047-466F-A17E-3E331E2FD5A7}"/>
    <cellStyle name="Input 2 4 3 3 3 2" xfId="10935" xr:uid="{8724FA01-F721-4779-8A94-2821E35E424E}"/>
    <cellStyle name="Input 2 4 3 3 3 2 2" xfId="19981" xr:uid="{5A0F9CAA-63AA-4DDF-A6CB-AA82E7F7EEF0}"/>
    <cellStyle name="Input 2 4 3 3 3 3" xfId="16495" xr:uid="{4E2FD6AD-6174-42C0-BF90-2050EDBF3E68}"/>
    <cellStyle name="Input 2 4 3 3 3 4" xfId="23158" xr:uid="{F061D54B-9342-4655-A9AB-C66D7F691E25}"/>
    <cellStyle name="Input 2 4 3 3 4" xfId="5697" xr:uid="{F1C83249-D212-4418-9CAE-41207B6A74B6}"/>
    <cellStyle name="Input 2 4 3 3 4 2" xfId="11550" xr:uid="{9EF3D815-382F-4255-8477-0FA20B3E3ED7}"/>
    <cellStyle name="Input 2 4 3 3 4 2 2" xfId="20596" xr:uid="{562F6167-4BB6-4269-97C7-81A51A50A4F3}"/>
    <cellStyle name="Input 2 4 3 3 4 3" xfId="17110" xr:uid="{587A8344-9245-4A6F-87AC-AFFA110A2607}"/>
    <cellStyle name="Input 2 4 3 3 5" xfId="6308" xr:uid="{6E1783BE-3442-456F-BE86-8AC07D983B21}"/>
    <cellStyle name="Input 2 4 3 3 5 2" xfId="12155" xr:uid="{35F566B4-A932-4EA7-90C0-F8C4FC005249}"/>
    <cellStyle name="Input 2 4 3 3 5 2 2" xfId="21201" xr:uid="{B2790742-BB07-4C7C-8677-8DECC0FE7D0E}"/>
    <cellStyle name="Input 2 4 3 3 5 3" xfId="17721" xr:uid="{72CB3D4F-49B0-417E-AD1A-8865FB89E14C}"/>
    <cellStyle name="Input 2 4 3 3 6" xfId="9569" xr:uid="{7EA0FED7-0B7E-4784-B841-0C99EF7CF69A}"/>
    <cellStyle name="Input 2 4 3 3 6 2" xfId="18615" xr:uid="{035C24A1-1FFF-4AE5-A78B-86A5F19BA333}"/>
    <cellStyle name="Input 2 4 3 3 7" xfId="12967" xr:uid="{499158BF-0A8B-49BD-A903-1F74D2CB6C96}"/>
    <cellStyle name="Input 2 4 3 3 8" xfId="13524" xr:uid="{2BB84CFB-C6DA-4957-BBE1-A2CDFA516D67}"/>
    <cellStyle name="Input 2 4 3 3 9" xfId="14163" xr:uid="{2294A51B-FEAA-4F2D-AF52-892E55B71803}"/>
    <cellStyle name="Input 2 4 3 4" xfId="3146" xr:uid="{6B4E7238-CDBA-44F7-9B76-B17B6ECA6D10}"/>
    <cellStyle name="Input 2 4 3 4 10" xfId="14926" xr:uid="{05F18E81-4B21-486C-AF02-C1FE18D5DB1E}"/>
    <cellStyle name="Input 2 4 3 4 11" xfId="21794" xr:uid="{1919A475-8C4B-426F-ADE9-F5C4FEB10E1A}"/>
    <cellStyle name="Input 2 4 3 4 2" xfId="4367" xr:uid="{8B87796F-FC0B-4DCE-A9FD-410D6C3DA2F7}"/>
    <cellStyle name="Input 2 4 3 4 2 2" xfId="10224" xr:uid="{0F98C307-97C8-4AB3-8E55-B9A9495A4293}"/>
    <cellStyle name="Input 2 4 3 4 2 2 2" xfId="19270" xr:uid="{C5DDD9A5-5D8F-4F0C-B85F-862EBCA9527D}"/>
    <cellStyle name="Input 2 4 3 4 2 3" xfId="15784" xr:uid="{3DE56891-9786-4CC2-89FA-CDDB82E69036}"/>
    <cellStyle name="Input 2 4 3 4 2 4" xfId="22450" xr:uid="{39982864-2843-48DD-A183-341ED8FAE332}"/>
    <cellStyle name="Input 2 4 3 4 3" xfId="4868" xr:uid="{CCDD1181-0318-4617-A7C0-DD46DE3BD734}"/>
    <cellStyle name="Input 2 4 3 4 3 2" xfId="10723" xr:uid="{D6AF1DF9-FAFF-4DE7-937F-EEBE2EF58F57}"/>
    <cellStyle name="Input 2 4 3 4 3 2 2" xfId="19769" xr:uid="{2F0CD5B7-7698-4582-A3C6-11B2C2712A65}"/>
    <cellStyle name="Input 2 4 3 4 3 3" xfId="16283" xr:uid="{F446B7DD-8E50-481F-8E41-0FAE20B54C58}"/>
    <cellStyle name="Input 2 4 3 4 3 4" xfId="22945" xr:uid="{BD60ABF9-28C3-48CF-A469-3F339A56379F}"/>
    <cellStyle name="Input 2 4 3 4 4" xfId="5483" xr:uid="{7B554121-DBD7-4CE3-B389-7C77B079413B}"/>
    <cellStyle name="Input 2 4 3 4 4 2" xfId="11336" xr:uid="{A9E163FA-D8CD-4D34-9A98-401DB2812644}"/>
    <cellStyle name="Input 2 4 3 4 4 2 2" xfId="20382" xr:uid="{EE33A0BA-3822-4EFC-89FE-F088D60B512F}"/>
    <cellStyle name="Input 2 4 3 4 4 3" xfId="16896" xr:uid="{0319C5AC-EA36-4D3A-A706-4BC316C973B6}"/>
    <cellStyle name="Input 2 4 3 4 5" xfId="6094" xr:uid="{6AA497CC-95F1-4796-9B53-F52AB0EFBF5B}"/>
    <cellStyle name="Input 2 4 3 4 5 2" xfId="11943" xr:uid="{6228B12F-1681-489E-A31B-B46DA409F3AE}"/>
    <cellStyle name="Input 2 4 3 4 5 2 2" xfId="20989" xr:uid="{99CCE15C-6F39-4D50-B121-F00BB97064FD}"/>
    <cellStyle name="Input 2 4 3 4 5 3" xfId="17507" xr:uid="{1402F3C7-1AFC-4BAB-80D4-420B0F3CE90C}"/>
    <cellStyle name="Input 2 4 3 4 6" xfId="9357" xr:uid="{CD4A6C48-A4FC-42CA-9B0D-37170FD0C1F0}"/>
    <cellStyle name="Input 2 4 3 4 6 2" xfId="18403" xr:uid="{CAC43EA8-A2B2-49FD-BADA-048163F8150B}"/>
    <cellStyle name="Input 2 4 3 4 7" xfId="12753" xr:uid="{DFE8764B-6D67-4277-A70C-C55977821527}"/>
    <cellStyle name="Input 2 4 3 4 8" xfId="13313" xr:uid="{821CD186-35FD-4435-AD8C-FB4F1BCA6D59}"/>
    <cellStyle name="Input 2 4 3 4 9" xfId="13949" xr:uid="{4578C408-B78F-440D-BE7D-B5A0AC465FCC}"/>
    <cellStyle name="Input 2 4 3 5" xfId="3747" xr:uid="{D9B67589-7FE6-4F56-9611-3449C09F3283}"/>
    <cellStyle name="Input 2 4 3 5 2" xfId="9789" xr:uid="{D1A750E2-16D7-453E-ADBC-33E5BD27CE12}"/>
    <cellStyle name="Input 2 4 3 5 2 2" xfId="18835" xr:uid="{4805F382-6DBF-4FAA-99BE-8BB787D8E994}"/>
    <cellStyle name="Input 2 4 3 5 3" xfId="15355" xr:uid="{3453489F-13B5-412D-89BB-0F45119895FD}"/>
    <cellStyle name="Input 2 4 3 5 4" xfId="22334" xr:uid="{ABE0EF84-E85A-460A-8234-309CAF3AD3AD}"/>
    <cellStyle name="Input 2 4 3 6" xfId="4231" xr:uid="{17EDD3E5-FD61-495F-BECD-2367125CE0AF}"/>
    <cellStyle name="Input 2 4 3 6 2" xfId="10088" xr:uid="{FEC8020D-49D5-49AE-9962-800181378BBF}"/>
    <cellStyle name="Input 2 4 3 6 2 2" xfId="19134" xr:uid="{51A09CA7-844B-4922-B27A-2BA3E869DEDD}"/>
    <cellStyle name="Input 2 4 3 6 3" xfId="15648" xr:uid="{0FCB1138-0DCB-4058-801E-4987D7311B29}"/>
    <cellStyle name="Input 2 4 3 6 4" xfId="22393" xr:uid="{88FC92A0-D0C7-4BC8-B20A-0BB9F7DD2C06}"/>
    <cellStyle name="Input 2 4 3 7" xfId="4267" xr:uid="{7D2D2499-D0FD-4F8A-A4D6-14E0DD0BF76C}"/>
    <cellStyle name="Input 2 4 3 7 2" xfId="10124" xr:uid="{0763E2B3-5FAA-4A01-B307-69504F46C713}"/>
    <cellStyle name="Input 2 4 3 7 2 2" xfId="19170" xr:uid="{25B74CDA-20F1-4773-8156-14F83746C655}"/>
    <cellStyle name="Input 2 4 3 7 3" xfId="15684" xr:uid="{A9A033D2-2776-457B-996D-0288555232D4}"/>
    <cellStyle name="Input 2 4 3 8" xfId="5268" xr:uid="{7D0BF9F1-46A6-4E71-83C2-C2EBBE64AA08}"/>
    <cellStyle name="Input 2 4 3 8 2" xfId="11121" xr:uid="{5DE2D7F2-81CF-420B-B4DB-9555843FC231}"/>
    <cellStyle name="Input 2 4 3 8 2 2" xfId="20167" xr:uid="{1D06D41C-9228-4801-8B9B-8FCC2DCB3B14}"/>
    <cellStyle name="Input 2 4 3 8 3" xfId="16681" xr:uid="{F6C7A9D5-EDAA-4417-AD66-EE2029750DD9}"/>
    <cellStyle name="Input 2 4 3 9" xfId="5879" xr:uid="{A1A0643C-36C9-41CC-A331-48A86595EACF}"/>
    <cellStyle name="Input 2 4 3 9 2" xfId="11732" xr:uid="{5634B18A-BCB9-4658-BC04-32CD99241F9F}"/>
    <cellStyle name="Input 2 4 3 9 2 2" xfId="20778" xr:uid="{491DD43E-ED18-4282-9EC2-E0429C066538}"/>
    <cellStyle name="Input 2 4 3 9 3" xfId="17292" xr:uid="{2085AE9C-FA14-4AF9-8084-06C827D4932E}"/>
    <cellStyle name="Input 2 4 4" xfId="2314" xr:uid="{47B481AE-69B4-4AC3-9177-8B9724CA5C3F}"/>
    <cellStyle name="Input 2 4 4 10" xfId="13159" xr:uid="{6F73C57A-39A4-4C51-BF63-DB4B128BDA61}"/>
    <cellStyle name="Input 2 4 4 11" xfId="13793" xr:uid="{F1B1E157-9B70-4B45-9397-EF02E4B5BF15}"/>
    <cellStyle name="Input 2 4 4 12" xfId="14768" xr:uid="{B50CEF8D-F360-4B8E-A3A5-3CD85FAC13A9}"/>
    <cellStyle name="Input 2 4 4 13" xfId="21638" xr:uid="{40A2F048-7B6C-4550-9069-F88A184389CC}"/>
    <cellStyle name="Input 2 4 4 2" xfId="2668" xr:uid="{EBE8DFDC-20AA-4263-915C-DA31514C09F5}"/>
    <cellStyle name="Input 2 4 4 2 10" xfId="15195" xr:uid="{2ACBF1FE-7DBF-4408-B6B4-3E13F8A55259}"/>
    <cellStyle name="Input 2 4 4 2 11" xfId="22064" xr:uid="{570865C4-0F4C-4C3A-8AB0-4CAF7B333E71}"/>
    <cellStyle name="Input 2 4 4 2 12" xfId="3415" xr:uid="{24F610B0-E3C4-4C2A-B1E6-12B6F918B682}"/>
    <cellStyle name="Input 2 4 4 2 2" xfId="4638" xr:uid="{1E626216-7046-4F00-9328-D63B1607F798}"/>
    <cellStyle name="Input 2 4 4 2 2 2" xfId="10495" xr:uid="{DE62BEC6-3C5B-482F-8CEF-6B835A12E254}"/>
    <cellStyle name="Input 2 4 4 2 2 2 2" xfId="19541" xr:uid="{9081EA7D-FCD7-4787-B5E2-83F739A1FD3A}"/>
    <cellStyle name="Input 2 4 4 2 2 3" xfId="16055" xr:uid="{2C5CB1FC-EABC-4C21-8A5C-F0C52C9EB330}"/>
    <cellStyle name="Input 2 4 4 2 2 4" xfId="22720" xr:uid="{FDD36F7F-CCD5-4ECE-8DC6-33AB0534B76F}"/>
    <cellStyle name="Input 2 4 4 2 3" xfId="5139" xr:uid="{5354CEB4-EF88-43FA-8C6F-4DEF79BF2B7C}"/>
    <cellStyle name="Input 2 4 4 2 3 2" xfId="10992" xr:uid="{DECFAEFC-FE72-4CC8-9668-14D7479F6B26}"/>
    <cellStyle name="Input 2 4 4 2 3 2 2" xfId="20038" xr:uid="{723DBE8A-7E45-43F7-A2DA-50B89DC4C49F}"/>
    <cellStyle name="Input 2 4 4 2 3 3" xfId="16552" xr:uid="{EA47E5E1-6869-4E6B-8E88-C249E4397F2B}"/>
    <cellStyle name="Input 2 4 4 2 3 4" xfId="23215" xr:uid="{BA46211B-86A6-4C14-B05D-5E397AE2448E}"/>
    <cellStyle name="Input 2 4 4 2 4" xfId="5754" xr:uid="{7356AFC3-FAF8-4E9D-BF0C-870C0043B086}"/>
    <cellStyle name="Input 2 4 4 2 4 2" xfId="11607" xr:uid="{B5250520-9AE0-457C-A9E8-2137D17E322F}"/>
    <cellStyle name="Input 2 4 4 2 4 2 2" xfId="20653" xr:uid="{2400082D-AE7F-48EF-AE5C-E7F8BAA1CCB0}"/>
    <cellStyle name="Input 2 4 4 2 4 3" xfId="17167" xr:uid="{E767F82A-B250-4D20-9C13-D3908479EF59}"/>
    <cellStyle name="Input 2 4 4 2 5" xfId="6365" xr:uid="{D015E8D5-F735-4A09-B240-AAFC065B5F26}"/>
    <cellStyle name="Input 2 4 4 2 5 2" xfId="12212" xr:uid="{7D56ABDB-1469-462E-BEA1-5F4A3BB6CF13}"/>
    <cellStyle name="Input 2 4 4 2 5 2 2" xfId="21258" xr:uid="{A0AF12B5-F0EB-49E3-BD5F-7239ACA8A927}"/>
    <cellStyle name="Input 2 4 4 2 5 3" xfId="17778" xr:uid="{DA17521C-5E8A-408A-8335-3D0974F48BA8}"/>
    <cellStyle name="Input 2 4 4 2 6" xfId="9626" xr:uid="{E91C99A0-DB13-45AB-9407-D2C3DB5A9712}"/>
    <cellStyle name="Input 2 4 4 2 6 2" xfId="18672" xr:uid="{E397CFDB-90BA-4C0B-9245-7AC4AE66E6A9}"/>
    <cellStyle name="Input 2 4 4 2 7" xfId="13024" xr:uid="{5A99720B-8A4C-4425-A391-9DD9B2F1F383}"/>
    <cellStyle name="Input 2 4 4 2 8" xfId="13581" xr:uid="{1C70CEA3-BEB9-4AFD-A25B-2E576E62C21A}"/>
    <cellStyle name="Input 2 4 4 2 9" xfId="14220" xr:uid="{8811C0BB-FD4C-4490-9BC4-5998E126D4DE}"/>
    <cellStyle name="Input 2 4 4 3" xfId="3203" xr:uid="{6B618727-0D90-4B98-A054-BE08828E439F}"/>
    <cellStyle name="Input 2 4 4 3 10" xfId="14983" xr:uid="{51C51565-3AB4-4EB1-9DEE-5DB4EA7925D8}"/>
    <cellStyle name="Input 2 4 4 3 11" xfId="21853" xr:uid="{6C3EB011-6FC8-4218-8FA0-7FAFD623B02B}"/>
    <cellStyle name="Input 2 4 4 3 2" xfId="4426" xr:uid="{085508BA-0867-4D6D-A92E-26F9516665BA}"/>
    <cellStyle name="Input 2 4 4 3 2 2" xfId="10283" xr:uid="{CE5D234A-69C4-4E5B-ADF5-76067A4E056F}"/>
    <cellStyle name="Input 2 4 4 3 2 2 2" xfId="19329" xr:uid="{FE57B16C-5939-4D57-86A1-129C6A22177E}"/>
    <cellStyle name="Input 2 4 4 3 2 3" xfId="15843" xr:uid="{FDF8B79D-17CD-4FC9-98C8-3FE23C4DB9D6}"/>
    <cellStyle name="Input 2 4 4 3 2 4" xfId="22509" xr:uid="{0412F137-D210-49E6-BBAB-0B7DD8663D2E}"/>
    <cellStyle name="Input 2 4 4 3 3" xfId="4927" xr:uid="{819EDBD6-6F57-4050-AA83-DCEF26B6B288}"/>
    <cellStyle name="Input 2 4 4 3 3 2" xfId="10780" xr:uid="{66C76C86-ACA0-4723-B981-FB9DBA8110F3}"/>
    <cellStyle name="Input 2 4 4 3 3 2 2" xfId="19826" xr:uid="{3305B0FC-BA98-48C3-8A2D-9D3658F541C8}"/>
    <cellStyle name="Input 2 4 4 3 3 3" xfId="16340" xr:uid="{1740B0F3-4B7C-42C7-9B71-F35039FA3308}"/>
    <cellStyle name="Input 2 4 4 3 3 4" xfId="23004" xr:uid="{A1BF9A74-2CF4-44F2-BC19-5996CEA2525A}"/>
    <cellStyle name="Input 2 4 4 3 4" xfId="5542" xr:uid="{8A910B02-5D6A-44B8-B1F7-27DF0938621C}"/>
    <cellStyle name="Input 2 4 4 3 4 2" xfId="11395" xr:uid="{6D4C3B18-27BD-4D62-B918-741EC6E66430}"/>
    <cellStyle name="Input 2 4 4 3 4 2 2" xfId="20441" xr:uid="{74C5A6CA-1B55-403A-A7CD-F9C4CE665346}"/>
    <cellStyle name="Input 2 4 4 3 4 3" xfId="16955" xr:uid="{253F778F-546A-47D8-A086-30CF26E59A11}"/>
    <cellStyle name="Input 2 4 4 3 5" xfId="6153" xr:uid="{8CDB220E-FA8C-4139-A38D-FE6252030B7A}"/>
    <cellStyle name="Input 2 4 4 3 5 2" xfId="12000" xr:uid="{5FBBA945-B04C-4D57-826D-A88826201C88}"/>
    <cellStyle name="Input 2 4 4 3 5 2 2" xfId="21046" xr:uid="{81C6ED37-34CC-438B-B82F-A0DAFA9B720F}"/>
    <cellStyle name="Input 2 4 4 3 5 3" xfId="17566" xr:uid="{2B832D42-568C-4F13-A7C6-823521354845}"/>
    <cellStyle name="Input 2 4 4 3 6" xfId="9414" xr:uid="{464E338A-72B0-4BD9-B9AF-6ADBA4A49A8B}"/>
    <cellStyle name="Input 2 4 4 3 6 2" xfId="18460" xr:uid="{FD4071BC-A82A-42AE-B97F-48BB20794ABD}"/>
    <cellStyle name="Input 2 4 4 3 7" xfId="12812" xr:uid="{0B7C6B61-6D9B-429D-A08B-DDFAC2D29B1E}"/>
    <cellStyle name="Input 2 4 4 3 8" xfId="13370" xr:uid="{CA068E79-7A65-4AE5-A959-F7650E8F6494}"/>
    <cellStyle name="Input 2 4 4 3 9" xfId="14008" xr:uid="{DEB70AB7-1C9E-4FCD-8CCC-96B85836C93C}"/>
    <cellStyle name="Input 2 4 4 4" xfId="3984" xr:uid="{8CEBF8AD-5C4B-4621-9481-DB6AC14CAC10}"/>
    <cellStyle name="Input 2 4 4 4 2" xfId="9846" xr:uid="{04C32C94-5A7C-4565-9676-F964E031ED74}"/>
    <cellStyle name="Input 2 4 4 4 2 2" xfId="18892" xr:uid="{8ABB8B52-30D6-4D15-8749-A3532AEC0F00}"/>
    <cellStyle name="Input 2 4 4 4 3" xfId="15408" xr:uid="{8347B172-4CF9-42B7-9B69-A3A885CC8B9B}"/>
    <cellStyle name="Input 2 4 4 4 4" xfId="22225" xr:uid="{27F26EEF-FF14-44AC-8DB1-C9696553A11E}"/>
    <cellStyle name="Input 2 4 4 5" xfId="4105" xr:uid="{E69A1991-F1A0-47C3-9120-CF52AE2B57CC}"/>
    <cellStyle name="Input 2 4 4 5 2" xfId="9962" xr:uid="{DA964425-D6DE-430B-84A0-A2E71E52403F}"/>
    <cellStyle name="Input 2 4 4 5 2 2" xfId="19008" xr:uid="{31A7208A-4CA4-4F97-B914-E7AD04351F03}"/>
    <cellStyle name="Input 2 4 4 5 3" xfId="15522" xr:uid="{3662C7B0-8B43-4F4F-AFD6-24965036970B}"/>
    <cellStyle name="Input 2 4 4 6" xfId="5327" xr:uid="{1AF9EA5E-3B0C-4CE0-A69A-500EFE5C1E0B}"/>
    <cellStyle name="Input 2 4 4 6 2" xfId="11180" xr:uid="{895EC2FF-4E25-4218-99EB-9FAB518CD1AB}"/>
    <cellStyle name="Input 2 4 4 6 2 2" xfId="20226" xr:uid="{000AFEEB-5D49-4C49-AB59-C4ABAE401A9C}"/>
    <cellStyle name="Input 2 4 4 6 3" xfId="16740" xr:uid="{69B80518-D93C-42AD-A63D-F2C7C320693E}"/>
    <cellStyle name="Input 2 4 4 7" xfId="5938" xr:uid="{49835798-559A-4332-9486-73B185F35CD5}"/>
    <cellStyle name="Input 2 4 4 7 2" xfId="11789" xr:uid="{B031BA77-0513-4F65-958D-FBA2B071A227}"/>
    <cellStyle name="Input 2 4 4 7 2 2" xfId="20835" xr:uid="{28D6FF5D-C773-46C5-924F-8C548F5E4EDE}"/>
    <cellStyle name="Input 2 4 4 7 3" xfId="17351" xr:uid="{47AF69E6-5066-4E4F-BA8B-BC4B11856081}"/>
    <cellStyle name="Input 2 4 4 8" xfId="9199" xr:uid="{98B132EA-71B2-4627-8273-0D815EA5A771}"/>
    <cellStyle name="Input 2 4 4 8 2" xfId="18245" xr:uid="{F8BAFCAD-D464-4405-BBDF-31F9BF687D1D}"/>
    <cellStyle name="Input 2 4 4 9" xfId="12597" xr:uid="{3FEDB8E0-9FEA-44C3-8089-E847D4864BA9}"/>
    <cellStyle name="Input 2 4 5" xfId="2673" xr:uid="{87E48C9F-14D7-45A7-96A1-5C501797BC25}"/>
    <cellStyle name="Input 2 4 5 10" xfId="15108" xr:uid="{2BE1F0D1-57FE-4AD2-A1DF-CAA0DCC783BB}"/>
    <cellStyle name="Input 2 4 5 11" xfId="21977" xr:uid="{DA2F374F-FAA1-4A0F-B0B6-F059BD7709A7}"/>
    <cellStyle name="Input 2 4 5 12" xfId="3328" xr:uid="{98DD2C08-5909-44AC-A946-5813865A4541}"/>
    <cellStyle name="Input 2 4 5 2" xfId="4551" xr:uid="{89E0BE36-27AD-4BAF-9932-BA427AA114F6}"/>
    <cellStyle name="Input 2 4 5 2 2" xfId="10408" xr:uid="{A859FB19-7ECE-4E17-BFDD-DF7250F3873C}"/>
    <cellStyle name="Input 2 4 5 2 2 2" xfId="19454" xr:uid="{D8FA2527-3EBA-4573-B557-4064972ED5B9}"/>
    <cellStyle name="Input 2 4 5 2 3" xfId="15968" xr:uid="{5993322E-430E-4F21-B3D6-FD97C4F97ECA}"/>
    <cellStyle name="Input 2 4 5 2 4" xfId="22633" xr:uid="{195D40DF-A660-4C72-A4D8-32ACD9C23E86}"/>
    <cellStyle name="Input 2 4 5 3" xfId="5052" xr:uid="{DAE971A4-07B6-4ECC-ABA0-66C13C063CB6}"/>
    <cellStyle name="Input 2 4 5 3 2" xfId="10905" xr:uid="{C1F98164-605A-4DD9-8E1D-FACFEB0BE582}"/>
    <cellStyle name="Input 2 4 5 3 2 2" xfId="19951" xr:uid="{B3F98D54-5798-4305-B5C3-7766F4CADF1B}"/>
    <cellStyle name="Input 2 4 5 3 3" xfId="16465" xr:uid="{9EAD9632-21FE-463F-BCA8-CA031DA0F008}"/>
    <cellStyle name="Input 2 4 5 3 4" xfId="23128" xr:uid="{A26C4259-D1CF-4EF0-B553-BC8E98795D0A}"/>
    <cellStyle name="Input 2 4 5 4" xfId="5667" xr:uid="{85EC17CD-4889-4EC8-8C91-8F95E7CABECC}"/>
    <cellStyle name="Input 2 4 5 4 2" xfId="11520" xr:uid="{81E5FA56-E78D-4A9E-8A84-718581DD9866}"/>
    <cellStyle name="Input 2 4 5 4 2 2" xfId="20566" xr:uid="{7402D060-504E-4170-9760-3015F069492A}"/>
    <cellStyle name="Input 2 4 5 4 3" xfId="17080" xr:uid="{F48894F8-17C8-47AB-8D57-96F2445A3E5D}"/>
    <cellStyle name="Input 2 4 5 5" xfId="6278" xr:uid="{9A19FB0B-7A01-4588-BF3B-24893EC39160}"/>
    <cellStyle name="Input 2 4 5 5 2" xfId="12125" xr:uid="{11BD9DFF-8169-4709-9152-11CF3C10A264}"/>
    <cellStyle name="Input 2 4 5 5 2 2" xfId="21171" xr:uid="{36BEC03C-0B71-4D16-9AD1-B3ADD42D84A9}"/>
    <cellStyle name="Input 2 4 5 5 3" xfId="17691" xr:uid="{856482C9-D36B-4C62-9912-470157267DD3}"/>
    <cellStyle name="Input 2 4 5 6" xfId="9539" xr:uid="{7BFEB3C0-AC7B-4F7D-9D81-0D48FC98A244}"/>
    <cellStyle name="Input 2 4 5 6 2" xfId="18585" xr:uid="{0EC09F9A-5374-442E-BBC0-9120BF7F4914}"/>
    <cellStyle name="Input 2 4 5 7" xfId="12937" xr:uid="{BBBFB356-533F-4D2F-A3A9-09870E4E02CB}"/>
    <cellStyle name="Input 2 4 5 8" xfId="13494" xr:uid="{1DB1CA64-773A-462F-8EB7-8491A3626088}"/>
    <cellStyle name="Input 2 4 5 9" xfId="14133" xr:uid="{3DFE44AD-F3DF-43DB-8D77-D5A80016DCAC}"/>
    <cellStyle name="Input 2 4 6" xfId="3116" xr:uid="{88FFF2F4-9984-44CA-BDAD-CBCD363C7B78}"/>
    <cellStyle name="Input 2 4 6 10" xfId="14896" xr:uid="{CFBE615A-BFC0-4775-93EA-9533CFABA682}"/>
    <cellStyle name="Input 2 4 6 11" xfId="21764" xr:uid="{9852C3B9-BB13-491D-A201-7A5572012015}"/>
    <cellStyle name="Input 2 4 6 2" xfId="4337" xr:uid="{F936D2C4-6300-44C7-9528-C9D48B132917}"/>
    <cellStyle name="Input 2 4 6 2 2" xfId="10194" xr:uid="{B94FDD5E-71F8-47C0-9D88-BD58E82B5CD0}"/>
    <cellStyle name="Input 2 4 6 2 2 2" xfId="19240" xr:uid="{76CF59E7-7C5E-4B28-AFDB-E37B7C09FBFB}"/>
    <cellStyle name="Input 2 4 6 2 3" xfId="15754" xr:uid="{3BA88851-E60B-4B52-9387-E79C30C7CB11}"/>
    <cellStyle name="Input 2 4 6 2 4" xfId="22420" xr:uid="{988E4247-88DC-4088-B6C2-E3907C608EAF}"/>
    <cellStyle name="Input 2 4 6 3" xfId="4838" xr:uid="{3DD57559-7D86-444E-9EB1-34FD405E93ED}"/>
    <cellStyle name="Input 2 4 6 3 2" xfId="10693" xr:uid="{3F9F422F-8798-4C2B-AF80-BF39F2F5F1FC}"/>
    <cellStyle name="Input 2 4 6 3 2 2" xfId="19739" xr:uid="{29F9F6EF-A3ED-4970-9B75-A4417F772A04}"/>
    <cellStyle name="Input 2 4 6 3 3" xfId="16253" xr:uid="{17BC5E11-B9F4-4C03-B1AD-922205E0155A}"/>
    <cellStyle name="Input 2 4 6 3 4" xfId="22915" xr:uid="{97983C3E-AF8E-42E8-81B6-F459B1246FCB}"/>
    <cellStyle name="Input 2 4 6 4" xfId="5453" xr:uid="{BAECEF2F-7423-42D9-90E9-75032FF58B70}"/>
    <cellStyle name="Input 2 4 6 4 2" xfId="11306" xr:uid="{295FBFA3-864A-4EC8-8DBD-30AA1C001FB5}"/>
    <cellStyle name="Input 2 4 6 4 2 2" xfId="20352" xr:uid="{E7EA59AF-199E-42FE-B990-65D71ECB0DFC}"/>
    <cellStyle name="Input 2 4 6 4 3" xfId="16866" xr:uid="{2E1D0CD8-880D-4E9A-A5A1-A2D8720A5216}"/>
    <cellStyle name="Input 2 4 6 5" xfId="6064" xr:uid="{A80D738B-2FC9-4A53-9FFC-198E0C5351C4}"/>
    <cellStyle name="Input 2 4 6 5 2" xfId="11913" xr:uid="{D6064CF8-FD9D-4143-830E-3C94E28B664B}"/>
    <cellStyle name="Input 2 4 6 5 2 2" xfId="20959" xr:uid="{52A38064-B206-48F1-8FA4-8E3710541E6C}"/>
    <cellStyle name="Input 2 4 6 5 3" xfId="17477" xr:uid="{7D1CD78D-0592-4C69-B926-2FE95934925F}"/>
    <cellStyle name="Input 2 4 6 6" xfId="9327" xr:uid="{17FF88E3-C030-4ED3-AFEE-40B85E81F6B5}"/>
    <cellStyle name="Input 2 4 6 6 2" xfId="18373" xr:uid="{E340A3B8-2B74-4ED5-A655-901313C66039}"/>
    <cellStyle name="Input 2 4 6 7" xfId="12723" xr:uid="{18B015C0-7FF6-45B0-AF73-ABF950BACDBF}"/>
    <cellStyle name="Input 2 4 6 8" xfId="13283" xr:uid="{519EE090-4126-4E19-AEBD-069F001B1B5E}"/>
    <cellStyle name="Input 2 4 6 9" xfId="13919" xr:uid="{5066E428-2EA4-47E5-AE70-47F52318FD55}"/>
    <cellStyle name="Input 2 4 7" xfId="3716" xr:uid="{1CB1DE57-ABB6-44DF-8B1E-4FB47EE3E316}"/>
    <cellStyle name="Input 2 4 7 2" xfId="9758" xr:uid="{9B85BC0B-511D-4C0F-B179-7B9413F5BCD0}"/>
    <cellStyle name="Input 2 4 7 2 2" xfId="18804" xr:uid="{84706CC8-B938-4120-A48C-A4EBD4C3207C}"/>
    <cellStyle name="Input 2 4 7 3" xfId="15324" xr:uid="{93A19E2C-78D4-4729-8963-36E444252200}"/>
    <cellStyle name="Input 2 4 7 4" xfId="22303" xr:uid="{A7B2B923-0FFD-4CD3-8DB3-5FBA755485D8}"/>
    <cellStyle name="Input 2 4 8" xfId="4200" xr:uid="{F5EE6B4E-381F-405D-BBC0-30237F0260D4}"/>
    <cellStyle name="Input 2 4 8 2" xfId="10057" xr:uid="{02F3D01F-EA19-4EA4-9135-91BA621D279D}"/>
    <cellStyle name="Input 2 4 8 2 2" xfId="19103" xr:uid="{E741D773-8554-40B2-8105-A58D621122A7}"/>
    <cellStyle name="Input 2 4 8 3" xfId="15617" xr:uid="{FCBF5E3A-96BD-45E0-9471-A0D72B09E320}"/>
    <cellStyle name="Input 2 4 8 4" xfId="22275" xr:uid="{391866C1-3A91-4DE7-AACD-D25FC3AB56F3}"/>
    <cellStyle name="Input 2 4 9" xfId="4061" xr:uid="{75E308A4-658E-4CD4-B8A5-09AD5A25941B}"/>
    <cellStyle name="Input 2 4 9 2" xfId="9918" xr:uid="{16366E7C-E0F2-4DE0-AF5A-0E4443930680}"/>
    <cellStyle name="Input 2 4 9 2 2" xfId="18964" xr:uid="{375C8128-C958-4437-AC0F-1F140E90197E}"/>
    <cellStyle name="Input 2 4 9 3" xfId="15478" xr:uid="{FE0E3005-844B-417B-8888-AE00B0E0F554}"/>
    <cellStyle name="Input 2 5" xfId="2315" xr:uid="{819BEA16-B3B6-447A-8E86-BFEFCC09B272}"/>
    <cellStyle name="Input 2 5 10" xfId="4309" xr:uid="{A1E52F94-7ABF-4195-8CD2-FDAC62BD1B05}"/>
    <cellStyle name="Input 2 5 10 2" xfId="10166" xr:uid="{A885CA72-DACC-4536-B1B4-B8F8546EF378}"/>
    <cellStyle name="Input 2 5 10 2 2" xfId="19212" xr:uid="{8AB50582-4CB2-4C7B-A873-4D0567780E21}"/>
    <cellStyle name="Input 2 5 10 3" xfId="15726" xr:uid="{B677112F-114D-43DF-9457-CE047CF23DC4}"/>
    <cellStyle name="Input 2 5 11" xfId="4173" xr:uid="{647FCA5D-D634-47E5-B70F-6B6D87B85E59}"/>
    <cellStyle name="Input 2 5 11 2" xfId="10030" xr:uid="{758B919D-0F67-4C96-9F26-E8F28B696EAE}"/>
    <cellStyle name="Input 2 5 11 2 2" xfId="19076" xr:uid="{2719FFCA-9797-45EA-8B5B-F2366B8E0FB7}"/>
    <cellStyle name="Input 2 5 11 3" xfId="15590" xr:uid="{CD7962C5-421C-4FA0-ADE0-CD564845681D}"/>
    <cellStyle name="Input 2 5 12" xfId="9111" xr:uid="{0E4AF811-2A8C-432D-A043-5A0AC4B37AF2}"/>
    <cellStyle name="Input 2 5 12 2" xfId="18157" xr:uid="{615A2130-4427-4230-A613-945AB06EDF7A}"/>
    <cellStyle name="Input 2 5 13" xfId="12511" xr:uid="{104CE009-68A2-468E-A754-836802DCE4C4}"/>
    <cellStyle name="Input 2 5 14" xfId="13705" xr:uid="{0ED52FE9-F8E1-43FF-B72D-05946B9A9CAC}"/>
    <cellStyle name="Input 2 5 15" xfId="14680" xr:uid="{D0226AE4-7571-4464-AB49-187EC06D8B6D}"/>
    <cellStyle name="Input 2 5 16" xfId="21555" xr:uid="{8925B1B4-5D35-4877-8948-D7AA0DD13B6F}"/>
    <cellStyle name="Input 2 5 17" xfId="23751" xr:uid="{FF6B697D-8CB6-4BD6-B13D-90B56DF77478}"/>
    <cellStyle name="Input 2 5 2" xfId="2316" xr:uid="{248FAF10-EC4F-41B7-B99C-DFFC253BAD45}"/>
    <cellStyle name="Input 2 5 2 10" xfId="9143" xr:uid="{363615C5-C692-4E32-B9D5-68A030EAECA7}"/>
    <cellStyle name="Input 2 5 2 10 2" xfId="18189" xr:uid="{E88A275F-F131-424B-8957-5E5BFF55ADE0}"/>
    <cellStyle name="Input 2 5 2 11" xfId="12541" xr:uid="{825F1DA0-CC8A-4D6B-B3E7-FFEF8E1A9ABD}"/>
    <cellStyle name="Input 2 5 2 12" xfId="13735" xr:uid="{4AF205DB-3B1A-4BB5-8368-34B909AC4990}"/>
    <cellStyle name="Input 2 5 2 13" xfId="14712" xr:uid="{25C8D79B-C6E7-4005-9DEF-070B46121EF2}"/>
    <cellStyle name="Input 2 5 2 14" xfId="21584" xr:uid="{E39F2185-AD38-47B3-B2E9-3514C34EB2F1}"/>
    <cellStyle name="Input 2 5 2 15" xfId="23752" xr:uid="{4A0EA820-F063-408A-BE82-8313D1D6DEA6}"/>
    <cellStyle name="Input 2 5 2 2" xfId="2317" xr:uid="{C720A8EB-9FEB-4018-BD3A-75162C2533F8}"/>
    <cellStyle name="Input 2 5 2 2 10" xfId="13160" xr:uid="{C2DAFCA1-2220-4729-B1F3-0C071F582D36}"/>
    <cellStyle name="Input 2 5 2 2 11" xfId="13794" xr:uid="{7F253DD3-B2D5-461C-B8F5-A16B8521882F}"/>
    <cellStyle name="Input 2 5 2 2 12" xfId="14769" xr:uid="{56F4674D-3498-4043-A4F0-9569C59ED532}"/>
    <cellStyle name="Input 2 5 2 2 13" xfId="21639" xr:uid="{5B3526BB-5E16-4A83-B903-7905516E2F08}"/>
    <cellStyle name="Input 2 5 2 2 2" xfId="2945" xr:uid="{7A6C0997-FEF6-4175-B678-5D8A8AC2DEAC}"/>
    <cellStyle name="Input 2 5 2 2 2 10" xfId="15196" xr:uid="{D8BD68F5-5B12-4335-BFA4-7DA4748AB2CB}"/>
    <cellStyle name="Input 2 5 2 2 2 11" xfId="22065" xr:uid="{A16B2703-80C5-435F-93ED-01AE392735BB}"/>
    <cellStyle name="Input 2 5 2 2 2 12" xfId="3416" xr:uid="{5A3A0E7F-97B6-4D55-A8E0-94E42F51742D}"/>
    <cellStyle name="Input 2 5 2 2 2 2" xfId="4639" xr:uid="{DA6B908F-2E4C-40A9-92EA-AE9EBCD45110}"/>
    <cellStyle name="Input 2 5 2 2 2 2 2" xfId="10496" xr:uid="{897855BF-998B-43E6-9E71-4D8C19D76DA6}"/>
    <cellStyle name="Input 2 5 2 2 2 2 2 2" xfId="19542" xr:uid="{2454F915-2658-44BF-9BFC-A997694502C8}"/>
    <cellStyle name="Input 2 5 2 2 2 2 3" xfId="16056" xr:uid="{C0D11E9A-7560-4E89-82DC-4EF5A6826AEE}"/>
    <cellStyle name="Input 2 5 2 2 2 2 4" xfId="22721" xr:uid="{1A6C44E0-2182-48E3-94CB-EEE6AF9411FF}"/>
    <cellStyle name="Input 2 5 2 2 2 3" xfId="5140" xr:uid="{631DAF33-DF1B-4B21-8040-F331ADCEB44F}"/>
    <cellStyle name="Input 2 5 2 2 2 3 2" xfId="10993" xr:uid="{371413A7-DF78-472B-BD97-BF9D2C7BD56B}"/>
    <cellStyle name="Input 2 5 2 2 2 3 2 2" xfId="20039" xr:uid="{D333C86B-029E-4A0C-AC0A-73A8BFFA8CCE}"/>
    <cellStyle name="Input 2 5 2 2 2 3 3" xfId="16553" xr:uid="{37FDE376-154C-4399-928E-BDE3760E44AF}"/>
    <cellStyle name="Input 2 5 2 2 2 3 4" xfId="23216" xr:uid="{BFDF4461-C9E1-42D6-A9DA-CD8089346CB1}"/>
    <cellStyle name="Input 2 5 2 2 2 4" xfId="5755" xr:uid="{B01D6A5F-9688-4DBE-9E4B-CFDACAF4A15C}"/>
    <cellStyle name="Input 2 5 2 2 2 4 2" xfId="11608" xr:uid="{835DCB04-8B92-42D5-8B7C-2383F7B2B7F9}"/>
    <cellStyle name="Input 2 5 2 2 2 4 2 2" xfId="20654" xr:uid="{7741D24F-F893-4E53-80D4-2B9849374F58}"/>
    <cellStyle name="Input 2 5 2 2 2 4 3" xfId="17168" xr:uid="{DF9E839B-71FC-4A7A-B42F-029B07E0DA41}"/>
    <cellStyle name="Input 2 5 2 2 2 5" xfId="6366" xr:uid="{84AD3430-C21C-4AD8-816C-A5544B828987}"/>
    <cellStyle name="Input 2 5 2 2 2 5 2" xfId="12213" xr:uid="{B11B12A4-EA07-4AA2-A24A-FF6726787033}"/>
    <cellStyle name="Input 2 5 2 2 2 5 2 2" xfId="21259" xr:uid="{6DFF2035-903F-406B-8354-F72B5CD9344C}"/>
    <cellStyle name="Input 2 5 2 2 2 5 3" xfId="17779" xr:uid="{3732BDD8-DEE3-4503-BB99-5D9E6D5A12D0}"/>
    <cellStyle name="Input 2 5 2 2 2 6" xfId="9627" xr:uid="{08EC6ED4-4BFD-4DD5-BA19-9F7EFA497494}"/>
    <cellStyle name="Input 2 5 2 2 2 6 2" xfId="18673" xr:uid="{B06EFBD6-9180-4EEE-9615-9FDE83E36A7B}"/>
    <cellStyle name="Input 2 5 2 2 2 7" xfId="13025" xr:uid="{7FA2F1F6-C519-4A12-A321-1EC22DBBA338}"/>
    <cellStyle name="Input 2 5 2 2 2 8" xfId="13582" xr:uid="{A28C5E9F-8EE1-4575-853A-2F9D04CC3E8E}"/>
    <cellStyle name="Input 2 5 2 2 2 9" xfId="14221" xr:uid="{B69B9E56-D243-4437-9D28-DBE1BB27EFED}"/>
    <cellStyle name="Input 2 5 2 2 3" xfId="3204" xr:uid="{56ED7707-6CE2-4F48-B3AE-FA043E843C03}"/>
    <cellStyle name="Input 2 5 2 2 3 10" xfId="14984" xr:uid="{1423438C-5722-4184-B387-4A89B61BD9F6}"/>
    <cellStyle name="Input 2 5 2 2 3 11" xfId="21854" xr:uid="{8622539C-EADD-439A-9AB0-451968E623C4}"/>
    <cellStyle name="Input 2 5 2 2 3 2" xfId="4427" xr:uid="{7F38A39A-88A0-4DA9-9167-1CC96F7CE23B}"/>
    <cellStyle name="Input 2 5 2 2 3 2 2" xfId="10284" xr:uid="{832833CF-E8C6-4EBD-A1AF-39439CF672E8}"/>
    <cellStyle name="Input 2 5 2 2 3 2 2 2" xfId="19330" xr:uid="{4FA11B3B-70B1-4831-B99A-B63B1574AAD4}"/>
    <cellStyle name="Input 2 5 2 2 3 2 3" xfId="15844" xr:uid="{5F9FA0C8-DD4D-473D-BCB6-5CF290ED2A14}"/>
    <cellStyle name="Input 2 5 2 2 3 2 4" xfId="22510" xr:uid="{8C9E3AE0-67A9-4B7F-867A-C60C13D2A5E5}"/>
    <cellStyle name="Input 2 5 2 2 3 3" xfId="4928" xr:uid="{D8833B25-73C3-4581-A1FD-FDB58FE2A34C}"/>
    <cellStyle name="Input 2 5 2 2 3 3 2" xfId="10781" xr:uid="{8CCFB29C-758B-4664-98D7-236DE5794E1F}"/>
    <cellStyle name="Input 2 5 2 2 3 3 2 2" xfId="19827" xr:uid="{2D637EC1-F0C5-4AD9-95A5-96C5D36FC9FE}"/>
    <cellStyle name="Input 2 5 2 2 3 3 3" xfId="16341" xr:uid="{7CE7B959-8AA4-4EBF-AB43-3FAA0775CD17}"/>
    <cellStyle name="Input 2 5 2 2 3 3 4" xfId="23005" xr:uid="{4FD19434-7574-4900-A893-A358E87F835A}"/>
    <cellStyle name="Input 2 5 2 2 3 4" xfId="5543" xr:uid="{58C5BA9D-A75C-4B2E-8454-08FE69E6A8A5}"/>
    <cellStyle name="Input 2 5 2 2 3 4 2" xfId="11396" xr:uid="{44AB4709-97C0-40C7-AF68-EA992BF2CB60}"/>
    <cellStyle name="Input 2 5 2 2 3 4 2 2" xfId="20442" xr:uid="{361F63A5-2513-4643-9FD4-9BCE6302776E}"/>
    <cellStyle name="Input 2 5 2 2 3 4 3" xfId="16956" xr:uid="{EFBFF806-461D-4F67-92FE-E7A77B469A6A}"/>
    <cellStyle name="Input 2 5 2 2 3 5" xfId="6154" xr:uid="{19A8A471-EE57-4F38-B3CF-5BAE5DEA54A1}"/>
    <cellStyle name="Input 2 5 2 2 3 5 2" xfId="12001" xr:uid="{1B38713B-FE07-446E-9CA2-C2BA2351379F}"/>
    <cellStyle name="Input 2 5 2 2 3 5 2 2" xfId="21047" xr:uid="{8DA1DE3B-9E43-4E88-B3CB-E9D5AD473FE8}"/>
    <cellStyle name="Input 2 5 2 2 3 5 3" xfId="17567" xr:uid="{8EA05AD7-4489-4FAD-BD47-11DFCDB2D905}"/>
    <cellStyle name="Input 2 5 2 2 3 6" xfId="9415" xr:uid="{D88034BD-F45F-4B7E-AE47-2C1A4A5EE347}"/>
    <cellStyle name="Input 2 5 2 2 3 6 2" xfId="18461" xr:uid="{31F1919F-02BA-4D5A-83A0-200761FF1886}"/>
    <cellStyle name="Input 2 5 2 2 3 7" xfId="12813" xr:uid="{938898FF-56E2-4C7B-BBE2-C8826D8F11F0}"/>
    <cellStyle name="Input 2 5 2 2 3 8" xfId="13371" xr:uid="{A5109634-64BF-46B6-B72F-EFCE50A58BAF}"/>
    <cellStyle name="Input 2 5 2 2 3 9" xfId="14009" xr:uid="{6872A199-6B8B-4A8C-94A4-154C9856CAE6}"/>
    <cellStyle name="Input 2 5 2 2 4" xfId="4016" xr:uid="{2C269CF6-FA88-4C49-88B9-4BFC31F293BC}"/>
    <cellStyle name="Input 2 5 2 2 4 2" xfId="9878" xr:uid="{D9AAE270-981F-4236-AAB2-7584D4EB6A28}"/>
    <cellStyle name="Input 2 5 2 2 4 2 2" xfId="18924" xr:uid="{5DFF4F1F-6B2E-43BA-B411-1A3264E538B6}"/>
    <cellStyle name="Input 2 5 2 2 4 3" xfId="15440" xr:uid="{94C0897A-671E-429B-92B8-156656E747A5}"/>
    <cellStyle name="Input 2 5 2 2 4 4" xfId="22224" xr:uid="{598D9C9F-48B9-4BF1-93D9-FCD3D27874E1}"/>
    <cellStyle name="Input 2 5 2 2 5" xfId="4104" xr:uid="{F3444FA5-16B9-4026-8354-469A32FE1EE7}"/>
    <cellStyle name="Input 2 5 2 2 5 2" xfId="9961" xr:uid="{2CD4DF8D-2CE1-40E8-853A-8095B325D5BD}"/>
    <cellStyle name="Input 2 5 2 2 5 2 2" xfId="19007" xr:uid="{BA5EFD72-12EA-4FD1-A0A4-874A9EA6227A}"/>
    <cellStyle name="Input 2 5 2 2 5 3" xfId="15521" xr:uid="{072A67D0-FF09-4E6A-ADCC-A88649FF9D7A}"/>
    <cellStyle name="Input 2 5 2 2 6" xfId="5328" xr:uid="{F0310E53-1FFF-4C55-9ADC-BE26D74A34B8}"/>
    <cellStyle name="Input 2 5 2 2 6 2" xfId="11181" xr:uid="{2C8BE3D1-A7A0-4939-BE87-7AF18B5601DF}"/>
    <cellStyle name="Input 2 5 2 2 6 2 2" xfId="20227" xr:uid="{13C720C4-97D0-4749-B819-4042FB2F7ACD}"/>
    <cellStyle name="Input 2 5 2 2 6 3" xfId="16741" xr:uid="{AD43CE40-FC19-4E08-A6AD-022002DC7A9E}"/>
    <cellStyle name="Input 2 5 2 2 7" xfId="5939" xr:uid="{DE7A30B9-4B42-4A85-BDF1-D88630F4B9F1}"/>
    <cellStyle name="Input 2 5 2 2 7 2" xfId="11790" xr:uid="{748512F6-905E-45A1-9F10-1E94B3E99364}"/>
    <cellStyle name="Input 2 5 2 2 7 2 2" xfId="20836" xr:uid="{5A89355B-BC07-4ECE-B1B5-7D7B616559C6}"/>
    <cellStyle name="Input 2 5 2 2 7 3" xfId="17352" xr:uid="{E41E539F-95E5-4003-8B79-B86C92CD43FA}"/>
    <cellStyle name="Input 2 5 2 2 8" xfId="9200" xr:uid="{2247F5EF-DB42-45BC-A140-CB3EF0B5942B}"/>
    <cellStyle name="Input 2 5 2 2 8 2" xfId="18246" xr:uid="{D7A47563-DBF8-4C0A-A712-BE5F32419213}"/>
    <cellStyle name="Input 2 5 2 2 9" xfId="12598" xr:uid="{FA237081-FFC2-499F-9CC9-4E3D2B0DDB5A}"/>
    <cellStyle name="Input 2 5 2 3" xfId="2520" xr:uid="{05EC49DF-4240-4599-93F9-3788348860C5}"/>
    <cellStyle name="Input 2 5 2 3 10" xfId="15139" xr:uid="{BD381297-8407-43AD-AABF-5A18B245ACD7}"/>
    <cellStyle name="Input 2 5 2 3 11" xfId="22008" xr:uid="{86398CF4-F3A2-41A7-BF77-718ABE726E1E}"/>
    <cellStyle name="Input 2 5 2 3 12" xfId="3359" xr:uid="{28231748-08BA-49FC-B50B-73F5B68A60DD}"/>
    <cellStyle name="Input 2 5 2 3 2" xfId="4582" xr:uid="{B1F87C7C-1953-48BB-A5C0-AB96846226FA}"/>
    <cellStyle name="Input 2 5 2 3 2 2" xfId="10439" xr:uid="{88B27E4B-41B9-4073-83B1-0443B7535241}"/>
    <cellStyle name="Input 2 5 2 3 2 2 2" xfId="19485" xr:uid="{4D716DE3-AEC0-4533-B8FD-6A5E28C6DF22}"/>
    <cellStyle name="Input 2 5 2 3 2 3" xfId="15999" xr:uid="{454F4B57-1600-45EE-BE02-62933265E57E}"/>
    <cellStyle name="Input 2 5 2 3 2 4" xfId="22664" xr:uid="{AC94B03D-693D-4C39-B2D3-D0228C6AE162}"/>
    <cellStyle name="Input 2 5 2 3 3" xfId="5083" xr:uid="{080CFE67-7FD1-4F64-8BC1-C851708B565D}"/>
    <cellStyle name="Input 2 5 2 3 3 2" xfId="10936" xr:uid="{189E4EC3-3767-4EAE-B611-501C65985D4B}"/>
    <cellStyle name="Input 2 5 2 3 3 2 2" xfId="19982" xr:uid="{AF4B9779-C11C-4078-A470-37112F44AB16}"/>
    <cellStyle name="Input 2 5 2 3 3 3" xfId="16496" xr:uid="{E3AF1AD0-375C-4D5B-BB8A-09D7BE9E6969}"/>
    <cellStyle name="Input 2 5 2 3 3 4" xfId="23159" xr:uid="{94F6ACE7-FC10-46D4-9FF8-F6D211534764}"/>
    <cellStyle name="Input 2 5 2 3 4" xfId="5698" xr:uid="{52F43A07-70C3-4B2E-B051-F0678F2B093B}"/>
    <cellStyle name="Input 2 5 2 3 4 2" xfId="11551" xr:uid="{D4AACD95-A813-4232-8319-5C63A48299DE}"/>
    <cellStyle name="Input 2 5 2 3 4 2 2" xfId="20597" xr:uid="{36BA0B9D-BC02-4268-B1F7-92A7C7D47ACB}"/>
    <cellStyle name="Input 2 5 2 3 4 3" xfId="17111" xr:uid="{E80CF644-DC5E-40C6-AE9C-41F05F89443D}"/>
    <cellStyle name="Input 2 5 2 3 5" xfId="6309" xr:uid="{2F2AF3A9-5DF3-4906-9EC2-AE11DD76ED90}"/>
    <cellStyle name="Input 2 5 2 3 5 2" xfId="12156" xr:uid="{417702A3-66D2-4574-9B43-8EFD217E8DBC}"/>
    <cellStyle name="Input 2 5 2 3 5 2 2" xfId="21202" xr:uid="{153F4D55-6FB4-405A-87AF-1DA5A2589FF5}"/>
    <cellStyle name="Input 2 5 2 3 5 3" xfId="17722" xr:uid="{7F741DA9-885A-44C6-9969-7A67CC96E5C3}"/>
    <cellStyle name="Input 2 5 2 3 6" xfId="9570" xr:uid="{020410B7-E78C-46B3-B99D-97AD2EEF64DE}"/>
    <cellStyle name="Input 2 5 2 3 6 2" xfId="18616" xr:uid="{4DC1B3E2-D7D6-4392-BA5C-918D253D87EB}"/>
    <cellStyle name="Input 2 5 2 3 7" xfId="12968" xr:uid="{8B86ABF2-91D8-4490-BF79-0F702B683029}"/>
    <cellStyle name="Input 2 5 2 3 8" xfId="13525" xr:uid="{D01EE21E-8D39-4B4C-AA88-11A74F9DE113}"/>
    <cellStyle name="Input 2 5 2 3 9" xfId="14164" xr:uid="{30F523C1-71EF-4D32-A2ED-ADE5AFAC3EA9}"/>
    <cellStyle name="Input 2 5 2 4" xfId="3147" xr:uid="{9791E481-A53D-4B84-9B6E-96BC67E57C39}"/>
    <cellStyle name="Input 2 5 2 4 10" xfId="14927" xr:uid="{10ECD0C5-CB92-4021-9314-A096EB675D36}"/>
    <cellStyle name="Input 2 5 2 4 11" xfId="21795" xr:uid="{16177FA0-4258-4277-8ACE-E0936DA10675}"/>
    <cellStyle name="Input 2 5 2 4 2" xfId="4368" xr:uid="{020BF5E0-E20D-498C-9E8B-77A07FA1F852}"/>
    <cellStyle name="Input 2 5 2 4 2 2" xfId="10225" xr:uid="{9A5181F3-E72A-408B-A087-522FC2A11B6B}"/>
    <cellStyle name="Input 2 5 2 4 2 2 2" xfId="19271" xr:uid="{940C3CB1-0B97-42E4-A7BD-2C7384988F7D}"/>
    <cellStyle name="Input 2 5 2 4 2 3" xfId="15785" xr:uid="{49163EF3-9B9C-4222-B4A3-A76F4C4953BA}"/>
    <cellStyle name="Input 2 5 2 4 2 4" xfId="22451" xr:uid="{18858129-D49B-4D5C-97C2-94C0E05902B5}"/>
    <cellStyle name="Input 2 5 2 4 3" xfId="4869" xr:uid="{AA4FA8CF-5F06-41C6-A9DB-57240C27468D}"/>
    <cellStyle name="Input 2 5 2 4 3 2" xfId="10724" xr:uid="{CCD735C8-A09D-4E16-9815-AED9927DA50D}"/>
    <cellStyle name="Input 2 5 2 4 3 2 2" xfId="19770" xr:uid="{C3C14215-7DE9-43A7-B1DB-101863814CFB}"/>
    <cellStyle name="Input 2 5 2 4 3 3" xfId="16284" xr:uid="{4F0FBAF1-1ADD-4704-86C4-E3EFF149ED5A}"/>
    <cellStyle name="Input 2 5 2 4 3 4" xfId="22946" xr:uid="{3E0B0DA6-9FF1-4F06-A31F-E0AF3AFA1241}"/>
    <cellStyle name="Input 2 5 2 4 4" xfId="5484" xr:uid="{E740C1C0-310A-478C-9906-408CF80B853F}"/>
    <cellStyle name="Input 2 5 2 4 4 2" xfId="11337" xr:uid="{D62CD447-6E1D-4E5F-92D0-BBEC818F0ABC}"/>
    <cellStyle name="Input 2 5 2 4 4 2 2" xfId="20383" xr:uid="{E3B7D84C-72DE-4114-A034-615153C2514F}"/>
    <cellStyle name="Input 2 5 2 4 4 3" xfId="16897" xr:uid="{2844DA96-E116-4F17-A23D-19BCD285C3CD}"/>
    <cellStyle name="Input 2 5 2 4 5" xfId="6095" xr:uid="{35D797F6-F1C0-4380-97BC-7BA7B131BDFE}"/>
    <cellStyle name="Input 2 5 2 4 5 2" xfId="11944" xr:uid="{3615FC90-17BC-4D83-9C90-E75318B5AAC9}"/>
    <cellStyle name="Input 2 5 2 4 5 2 2" xfId="20990" xr:uid="{CEE91A59-BA8C-4389-9BB0-01B8343DC755}"/>
    <cellStyle name="Input 2 5 2 4 5 3" xfId="17508" xr:uid="{A75C8069-02E4-4E57-A2E0-3D9B28DB9D0B}"/>
    <cellStyle name="Input 2 5 2 4 6" xfId="9358" xr:uid="{8000B7BD-4604-4289-BBB9-FC9E58A32189}"/>
    <cellStyle name="Input 2 5 2 4 6 2" xfId="18404" xr:uid="{633C90F4-7F0B-4DD1-A10A-65D1B689ACBE}"/>
    <cellStyle name="Input 2 5 2 4 7" xfId="12754" xr:uid="{F200C490-A611-476B-962C-E01EF1BE81F0}"/>
    <cellStyle name="Input 2 5 2 4 8" xfId="13314" xr:uid="{2E2A2046-B44E-4A4F-ACEC-1810745842DC}"/>
    <cellStyle name="Input 2 5 2 4 9" xfId="13950" xr:uid="{C0AD85ED-90F3-499B-8EAE-D93DC774E823}"/>
    <cellStyle name="Input 2 5 2 5" xfId="3748" xr:uid="{FE9581C1-5616-4172-AB03-3711E63506FD}"/>
    <cellStyle name="Input 2 5 2 5 2" xfId="9790" xr:uid="{9CFB99FD-B356-448A-93C9-9FFF206D66B4}"/>
    <cellStyle name="Input 2 5 2 5 2 2" xfId="18836" xr:uid="{7C7C993E-2427-48F3-945F-9AD682131983}"/>
    <cellStyle name="Input 2 5 2 5 3" xfId="15356" xr:uid="{50087550-5057-49F6-BE9C-86F4A6DDAAD9}"/>
    <cellStyle name="Input 2 5 2 5 4" xfId="22335" xr:uid="{28101855-32B1-4CAD-B36C-5591F6A2341E}"/>
    <cellStyle name="Input 2 5 2 6" xfId="4232" xr:uid="{73AFA9AB-716F-4505-8939-885FCA203496}"/>
    <cellStyle name="Input 2 5 2 6 2" xfId="10089" xr:uid="{F8EFD4FA-F9E4-4EA5-9890-5D1A22A2C7C4}"/>
    <cellStyle name="Input 2 5 2 6 2 2" xfId="19135" xr:uid="{12294DDB-328A-4E63-B976-653B2D1ED29F}"/>
    <cellStyle name="Input 2 5 2 6 3" xfId="15649" xr:uid="{1CF46177-8200-43DD-AE3B-E4FC9C94CFB1}"/>
    <cellStyle name="Input 2 5 2 6 4" xfId="22392" xr:uid="{9A33AEA8-56C0-4DC0-8DB9-18AE30F33BFA}"/>
    <cellStyle name="Input 2 5 2 7" xfId="4062" xr:uid="{01841E16-50F0-4EA0-B3EE-F7D909864B73}"/>
    <cellStyle name="Input 2 5 2 7 2" xfId="9919" xr:uid="{8658EA4C-A296-4B96-8C93-149A81C0F98D}"/>
    <cellStyle name="Input 2 5 2 7 2 2" xfId="18965" xr:uid="{B0205204-3382-4DF2-82B9-6D94E7287C03}"/>
    <cellStyle name="Input 2 5 2 7 3" xfId="15479" xr:uid="{4AF50DDE-5C90-4602-898E-6AFDA2794424}"/>
    <cellStyle name="Input 2 5 2 8" xfId="5269" xr:uid="{F9D655FC-78A5-4224-9508-DAA71F1D0725}"/>
    <cellStyle name="Input 2 5 2 8 2" xfId="11122" xr:uid="{9DE3E24B-0F6D-4EBC-BD56-9F83870C1714}"/>
    <cellStyle name="Input 2 5 2 8 2 2" xfId="20168" xr:uid="{FADDF8BB-C67B-46FB-BFDF-A8AD0F004BB6}"/>
    <cellStyle name="Input 2 5 2 8 3" xfId="16682" xr:uid="{E6AA891C-A38E-451C-84A8-24BE2F348ABF}"/>
    <cellStyle name="Input 2 5 2 9" xfId="5880" xr:uid="{0CDFE256-8032-4A57-9E31-1A90A63E98B5}"/>
    <cellStyle name="Input 2 5 2 9 2" xfId="11733" xr:uid="{5380CEA5-00D0-4CCE-9309-60B5302CC4EC}"/>
    <cellStyle name="Input 2 5 2 9 2 2" xfId="20779" xr:uid="{5E5B0537-EA0A-4AEC-B523-7C7FD7DDF62F}"/>
    <cellStyle name="Input 2 5 2 9 3" xfId="17293" xr:uid="{AB1C99B5-AB1C-4BE7-A9BB-8D7859367AA5}"/>
    <cellStyle name="Input 2 5 3" xfId="2318" xr:uid="{F9A77ECF-CE5E-4211-8121-84A46FEBAEB6}"/>
    <cellStyle name="Input 2 5 3 10" xfId="9144" xr:uid="{C125D74B-570B-4D24-BEA4-75BF208EE21B}"/>
    <cellStyle name="Input 2 5 3 10 2" xfId="18190" xr:uid="{55E3049A-45C8-458F-AE08-4261D9800294}"/>
    <cellStyle name="Input 2 5 3 11" xfId="12542" xr:uid="{76D77B25-62A3-4962-8A22-D50AA98FD362}"/>
    <cellStyle name="Input 2 5 3 12" xfId="13736" xr:uid="{03762D60-4714-4955-BA6B-1B50E9A0151F}"/>
    <cellStyle name="Input 2 5 3 13" xfId="14713" xr:uid="{D97D54C6-64DA-4786-841E-3F4EBA0CC5F3}"/>
    <cellStyle name="Input 2 5 3 14" xfId="21585" xr:uid="{4DFB187C-4059-4FEC-BAE6-124AD48FFC6F}"/>
    <cellStyle name="Input 2 5 3 15" xfId="23753" xr:uid="{2E08DDB6-5BEB-4CCC-9EF5-11773191AC98}"/>
    <cellStyle name="Input 2 5 3 2" xfId="2319" xr:uid="{676B3465-2C74-4A05-A59F-6F3B3774215F}"/>
    <cellStyle name="Input 2 5 3 2 10" xfId="13161" xr:uid="{F213B5EB-28A2-4425-A345-A957A85A9E6E}"/>
    <cellStyle name="Input 2 5 3 2 11" xfId="13795" xr:uid="{64AEBD04-09F6-42E9-9BD3-1B3D2B6E1A8F}"/>
    <cellStyle name="Input 2 5 3 2 12" xfId="14770" xr:uid="{82D309EA-76A7-434B-9F21-C72347A798BB}"/>
    <cellStyle name="Input 2 5 3 2 13" xfId="21640" xr:uid="{0340D12F-5943-478C-91F2-6979B7DBD8E1}"/>
    <cellStyle name="Input 2 5 3 2 2" xfId="2666" xr:uid="{D73158A5-FFEC-4A2F-A5B6-516524225234}"/>
    <cellStyle name="Input 2 5 3 2 2 10" xfId="15197" xr:uid="{0E5C5A69-9494-4F21-BCFB-8D1FBE2A1D51}"/>
    <cellStyle name="Input 2 5 3 2 2 11" xfId="22066" xr:uid="{44A05958-7D10-442B-8062-8279AC042551}"/>
    <cellStyle name="Input 2 5 3 2 2 12" xfId="3417" xr:uid="{09F88DE5-48E7-4DB0-BBC9-322EDE749E87}"/>
    <cellStyle name="Input 2 5 3 2 2 2" xfId="4640" xr:uid="{9DE80875-A15D-464B-8772-B4E8F88481B8}"/>
    <cellStyle name="Input 2 5 3 2 2 2 2" xfId="10497" xr:uid="{7DBEB24E-D7CA-4189-8A7B-A3AFD7CDFCEF}"/>
    <cellStyle name="Input 2 5 3 2 2 2 2 2" xfId="19543" xr:uid="{46AE605D-57FD-4362-8F0B-908AF8CC23E7}"/>
    <cellStyle name="Input 2 5 3 2 2 2 3" xfId="16057" xr:uid="{2DC6FF82-288F-4B4D-9716-4803F63D62F1}"/>
    <cellStyle name="Input 2 5 3 2 2 2 4" xfId="22722" xr:uid="{34DD3EC1-4F6C-4A3C-BF48-0443CBA1DCA4}"/>
    <cellStyle name="Input 2 5 3 2 2 3" xfId="5141" xr:uid="{0C39FFBF-548F-4298-9B21-97EBE796C9F0}"/>
    <cellStyle name="Input 2 5 3 2 2 3 2" xfId="10994" xr:uid="{C7534471-E22B-4EF5-95C3-DF4F005D182D}"/>
    <cellStyle name="Input 2 5 3 2 2 3 2 2" xfId="20040" xr:uid="{24671A7D-C64C-4A9F-BD00-3F5E53CC61B7}"/>
    <cellStyle name="Input 2 5 3 2 2 3 3" xfId="16554" xr:uid="{7958524B-6B7B-47D2-9C08-7B191231ECA5}"/>
    <cellStyle name="Input 2 5 3 2 2 3 4" xfId="23217" xr:uid="{F30CAC12-E2A6-4743-9600-63D736C70483}"/>
    <cellStyle name="Input 2 5 3 2 2 4" xfId="5756" xr:uid="{E46F35C0-FB24-4C0B-BDE4-2AB871881549}"/>
    <cellStyle name="Input 2 5 3 2 2 4 2" xfId="11609" xr:uid="{294CBC0F-DC2B-40BE-8633-7D6A3EF6D27E}"/>
    <cellStyle name="Input 2 5 3 2 2 4 2 2" xfId="20655" xr:uid="{AA01E580-8456-440D-BD64-028BF9530DEB}"/>
    <cellStyle name="Input 2 5 3 2 2 4 3" xfId="17169" xr:uid="{3D9AD236-9FAF-49E9-AE16-17B81DB62497}"/>
    <cellStyle name="Input 2 5 3 2 2 5" xfId="6367" xr:uid="{2DD65DE4-9794-4920-93E1-C242409FC48E}"/>
    <cellStyle name="Input 2 5 3 2 2 5 2" xfId="12214" xr:uid="{5F9B1FE1-8811-4CA8-846D-A0A56B16F610}"/>
    <cellStyle name="Input 2 5 3 2 2 5 2 2" xfId="21260" xr:uid="{24F39B05-E2C4-4187-9A9B-3F96BDEB925B}"/>
    <cellStyle name="Input 2 5 3 2 2 5 3" xfId="17780" xr:uid="{70578E91-C476-4B45-96E3-25A3EE2CCF61}"/>
    <cellStyle name="Input 2 5 3 2 2 6" xfId="9628" xr:uid="{1FB3AD8A-8E29-4677-BCFF-8D52A354031A}"/>
    <cellStyle name="Input 2 5 3 2 2 6 2" xfId="18674" xr:uid="{21F1B96E-EB8A-46E4-A836-5E1B013D8EDB}"/>
    <cellStyle name="Input 2 5 3 2 2 7" xfId="13026" xr:uid="{D142524E-12D4-44BA-8D79-115AC52E3733}"/>
    <cellStyle name="Input 2 5 3 2 2 8" xfId="13583" xr:uid="{40D4ECE8-BE9C-4A60-86C4-8BD0C2A994F3}"/>
    <cellStyle name="Input 2 5 3 2 2 9" xfId="14222" xr:uid="{922B8EE0-C377-44EF-B6BC-6035266E875E}"/>
    <cellStyle name="Input 2 5 3 2 3" xfId="3205" xr:uid="{29550E05-8705-4E5D-85A9-D91F8553AD6A}"/>
    <cellStyle name="Input 2 5 3 2 3 10" xfId="14985" xr:uid="{FDD32933-2189-4C7A-BBC7-2DD3845FC6F6}"/>
    <cellStyle name="Input 2 5 3 2 3 11" xfId="21855" xr:uid="{D4FCA03F-2FFA-473E-B97F-76E7626AAEB8}"/>
    <cellStyle name="Input 2 5 3 2 3 2" xfId="4428" xr:uid="{0C1B69BC-9BE7-4EB1-82DA-2ECF660DDE3A}"/>
    <cellStyle name="Input 2 5 3 2 3 2 2" xfId="10285" xr:uid="{CFFD7AA4-4585-4E33-BEF6-DA590C3FC522}"/>
    <cellStyle name="Input 2 5 3 2 3 2 2 2" xfId="19331" xr:uid="{71974D66-C75C-433E-9B1F-C8D4280967DD}"/>
    <cellStyle name="Input 2 5 3 2 3 2 3" xfId="15845" xr:uid="{C6178496-A706-4E2B-92D4-591F2EA6A5F1}"/>
    <cellStyle name="Input 2 5 3 2 3 2 4" xfId="22511" xr:uid="{A74ACB5D-AB3C-463B-84D4-7599C7F0AA11}"/>
    <cellStyle name="Input 2 5 3 2 3 3" xfId="4929" xr:uid="{4C6804D9-19B0-465C-86BD-85C8CBE2C3C3}"/>
    <cellStyle name="Input 2 5 3 2 3 3 2" xfId="10782" xr:uid="{C7E8D917-31A3-4032-A352-B122CA70E0AF}"/>
    <cellStyle name="Input 2 5 3 2 3 3 2 2" xfId="19828" xr:uid="{6C43642D-A043-489E-AAB2-38109C3C173C}"/>
    <cellStyle name="Input 2 5 3 2 3 3 3" xfId="16342" xr:uid="{8B2B9C60-DBD0-4F01-B2F7-567F03CA8BDE}"/>
    <cellStyle name="Input 2 5 3 2 3 3 4" xfId="23006" xr:uid="{04B8F25F-2313-4EF8-A8E1-8FE9A6721108}"/>
    <cellStyle name="Input 2 5 3 2 3 4" xfId="5544" xr:uid="{2C66D75F-9D5E-4380-8EAE-B58EBE498F62}"/>
    <cellStyle name="Input 2 5 3 2 3 4 2" xfId="11397" xr:uid="{F1ADF6C1-D7A6-4F9A-B41C-339BB5819CC3}"/>
    <cellStyle name="Input 2 5 3 2 3 4 2 2" xfId="20443" xr:uid="{AC86BFCD-AD0A-4EB4-9317-D655DCDBB920}"/>
    <cellStyle name="Input 2 5 3 2 3 4 3" xfId="16957" xr:uid="{2B7D7126-DC38-4D15-BBC5-68D84B22703F}"/>
    <cellStyle name="Input 2 5 3 2 3 5" xfId="6155" xr:uid="{E74524AE-6408-4870-AF46-4A1A9CB550BD}"/>
    <cellStyle name="Input 2 5 3 2 3 5 2" xfId="12002" xr:uid="{C06ECFE2-9754-4CBA-8084-FBDEA90ABAB9}"/>
    <cellStyle name="Input 2 5 3 2 3 5 2 2" xfId="21048" xr:uid="{783394F4-8767-4CA3-AD54-F3D163B09436}"/>
    <cellStyle name="Input 2 5 3 2 3 5 3" xfId="17568" xr:uid="{57D1CA4C-80E3-463C-BC1F-321654130973}"/>
    <cellStyle name="Input 2 5 3 2 3 6" xfId="9416" xr:uid="{7C91DB55-E433-4B52-8B60-2A744A7DA5EC}"/>
    <cellStyle name="Input 2 5 3 2 3 6 2" xfId="18462" xr:uid="{B880982C-D05C-4480-A8E3-1C938A0DD722}"/>
    <cellStyle name="Input 2 5 3 2 3 7" xfId="12814" xr:uid="{2DE9C37A-CFA9-4CDB-9D89-317E0E24D403}"/>
    <cellStyle name="Input 2 5 3 2 3 8" xfId="13372" xr:uid="{6F862509-B6F4-4326-98B7-1A25F5EB64E5}"/>
    <cellStyle name="Input 2 5 3 2 3 9" xfId="14010" xr:uid="{06B350B4-63CD-48B4-826E-A4E55AEBF9F7}"/>
    <cellStyle name="Input 2 5 3 2 4" xfId="4017" xr:uid="{4CF9048E-AC27-4BB8-8CF1-A5BBE8F9EAA9}"/>
    <cellStyle name="Input 2 5 3 2 4 2" xfId="9879" xr:uid="{9AD7CDEC-D1C2-43B9-ADFD-0997ED5524C6}"/>
    <cellStyle name="Input 2 5 3 2 4 2 2" xfId="18925" xr:uid="{5C8C55D3-5652-4E8D-80F1-67E5274580A4}"/>
    <cellStyle name="Input 2 5 3 2 4 3" xfId="15441" xr:uid="{9E9FDDF0-9D83-422D-AB45-1B82C61BC1B7}"/>
    <cellStyle name="Input 2 5 3 2 4 4" xfId="22223" xr:uid="{6B04B1C0-54F2-4979-9099-27B195FC8ECB}"/>
    <cellStyle name="Input 2 5 3 2 5" xfId="4103" xr:uid="{E965EF86-F9F8-48E1-B935-727DD8649BB4}"/>
    <cellStyle name="Input 2 5 3 2 5 2" xfId="9960" xr:uid="{7F12BC30-CAC2-4F7F-A842-DC4D3D012AFC}"/>
    <cellStyle name="Input 2 5 3 2 5 2 2" xfId="19006" xr:uid="{F5BD3B70-71D6-4984-88B2-7A5728EC33A9}"/>
    <cellStyle name="Input 2 5 3 2 5 3" xfId="15520" xr:uid="{1F3A1342-4EDC-42F6-9D28-E0590752222B}"/>
    <cellStyle name="Input 2 5 3 2 6" xfId="5329" xr:uid="{3A3113C6-346C-4852-B7A4-A5CC01DB6CD7}"/>
    <cellStyle name="Input 2 5 3 2 6 2" xfId="11182" xr:uid="{EC0F9828-8AE4-4F69-9245-288F016499EE}"/>
    <cellStyle name="Input 2 5 3 2 6 2 2" xfId="20228" xr:uid="{658D9ED7-5F63-423F-9C5A-1CECA363A310}"/>
    <cellStyle name="Input 2 5 3 2 6 3" xfId="16742" xr:uid="{AA78ECDF-0430-4BFF-9D9F-F8101D343D5C}"/>
    <cellStyle name="Input 2 5 3 2 7" xfId="5940" xr:uid="{51EA44B3-E9A0-4491-B499-6F115199D4F6}"/>
    <cellStyle name="Input 2 5 3 2 7 2" xfId="11791" xr:uid="{B13B4AED-708E-4D97-80C7-6C1416A07E3C}"/>
    <cellStyle name="Input 2 5 3 2 7 2 2" xfId="20837" xr:uid="{E59708F6-71E0-4474-B468-8424D92CCB86}"/>
    <cellStyle name="Input 2 5 3 2 7 3" xfId="17353" xr:uid="{234516FB-58EB-4B38-8AC0-E4427EC68882}"/>
    <cellStyle name="Input 2 5 3 2 8" xfId="9201" xr:uid="{03F3D37F-0B1E-4576-A753-4987B6CE62C9}"/>
    <cellStyle name="Input 2 5 3 2 8 2" xfId="18247" xr:uid="{F194C698-18AB-44EF-A19D-A1A0F4C4F849}"/>
    <cellStyle name="Input 2 5 3 2 9" xfId="12599" xr:uid="{B3D02DD6-4589-4AC4-BF66-808393C683B0}"/>
    <cellStyle name="Input 2 5 3 3" xfId="2667" xr:uid="{2124FF31-0768-40FC-B119-017B2E7C8ACF}"/>
    <cellStyle name="Input 2 5 3 3 10" xfId="15140" xr:uid="{2AA12C3B-898A-4A2B-9957-88FCA0A9653F}"/>
    <cellStyle name="Input 2 5 3 3 11" xfId="22009" xr:uid="{1C9D8B7C-0BEB-4059-948A-BC9FA0A0BDB7}"/>
    <cellStyle name="Input 2 5 3 3 12" xfId="3360" xr:uid="{56F4FA67-1A46-40AF-AA7E-5675F6C79D5A}"/>
    <cellStyle name="Input 2 5 3 3 2" xfId="4583" xr:uid="{2C9A6503-D0DE-464C-9390-F60C2DBAC3F4}"/>
    <cellStyle name="Input 2 5 3 3 2 2" xfId="10440" xr:uid="{4B67AF95-6C71-472A-BE8C-93DF38415C15}"/>
    <cellStyle name="Input 2 5 3 3 2 2 2" xfId="19486" xr:uid="{4AC0EC81-52DA-4817-9BAE-CC23D6A7C520}"/>
    <cellStyle name="Input 2 5 3 3 2 3" xfId="16000" xr:uid="{12AA6350-2023-4DC5-AA02-FD44219004DC}"/>
    <cellStyle name="Input 2 5 3 3 2 4" xfId="22665" xr:uid="{6A0E88A4-F446-490D-8160-12465968A6AC}"/>
    <cellStyle name="Input 2 5 3 3 3" xfId="5084" xr:uid="{719CD05A-78D7-4918-9975-D21A7BCC81D0}"/>
    <cellStyle name="Input 2 5 3 3 3 2" xfId="10937" xr:uid="{4FBAC7D3-B6E1-498F-83AB-3118CD5FC89E}"/>
    <cellStyle name="Input 2 5 3 3 3 2 2" xfId="19983" xr:uid="{0F4E7ED8-BAE1-4C89-BD3E-CC429CC9D653}"/>
    <cellStyle name="Input 2 5 3 3 3 3" xfId="16497" xr:uid="{F48C1714-02B4-4A41-AC71-2F809BC04CF5}"/>
    <cellStyle name="Input 2 5 3 3 3 4" xfId="23160" xr:uid="{80FECAFE-17B0-4F4B-9B61-FFC09933BAA8}"/>
    <cellStyle name="Input 2 5 3 3 4" xfId="5699" xr:uid="{04240A7A-5919-4C27-8933-4FFBC36390DD}"/>
    <cellStyle name="Input 2 5 3 3 4 2" xfId="11552" xr:uid="{31465729-39C1-4198-BBB2-157E49D213CE}"/>
    <cellStyle name="Input 2 5 3 3 4 2 2" xfId="20598" xr:uid="{2A445599-2F5B-4FEE-ACC5-7C274FCAFA24}"/>
    <cellStyle name="Input 2 5 3 3 4 3" xfId="17112" xr:uid="{27420EE4-048C-4447-8260-40F114F9944E}"/>
    <cellStyle name="Input 2 5 3 3 5" xfId="6310" xr:uid="{6E7C7781-F390-4237-8C58-A79770358B02}"/>
    <cellStyle name="Input 2 5 3 3 5 2" xfId="12157" xr:uid="{55F5A578-B208-4062-A778-A78DE6B51A5F}"/>
    <cellStyle name="Input 2 5 3 3 5 2 2" xfId="21203" xr:uid="{BDC12358-A2D5-4849-9C92-703766539C01}"/>
    <cellStyle name="Input 2 5 3 3 5 3" xfId="17723" xr:uid="{AE2B10B1-BDEF-4B98-BDCB-88406E4FA817}"/>
    <cellStyle name="Input 2 5 3 3 6" xfId="9571" xr:uid="{B6F31ECC-E70B-496F-8A76-1624DF4C9D9D}"/>
    <cellStyle name="Input 2 5 3 3 6 2" xfId="18617" xr:uid="{B812CB56-94B9-4B5D-ACC1-C78A45E0947A}"/>
    <cellStyle name="Input 2 5 3 3 7" xfId="12969" xr:uid="{57D17D07-FCF8-4C27-AB9B-33CD52E8CA45}"/>
    <cellStyle name="Input 2 5 3 3 8" xfId="13526" xr:uid="{6EAD77DA-6E98-409F-A50F-0BF934D883BC}"/>
    <cellStyle name="Input 2 5 3 3 9" xfId="14165" xr:uid="{B54207EC-55AB-42CB-A2E7-FC258D9894B4}"/>
    <cellStyle name="Input 2 5 3 4" xfId="3148" xr:uid="{0C331141-637E-406A-B00C-71C4EC9CCB10}"/>
    <cellStyle name="Input 2 5 3 4 10" xfId="14928" xr:uid="{7429E7ED-DF92-423D-A316-C6121B691361}"/>
    <cellStyle name="Input 2 5 3 4 11" xfId="21796" xr:uid="{63B37AB1-620B-4CBA-BE28-27C42E205741}"/>
    <cellStyle name="Input 2 5 3 4 2" xfId="4369" xr:uid="{EE21FFB9-8067-40F3-8C89-C268F6EC9F54}"/>
    <cellStyle name="Input 2 5 3 4 2 2" xfId="10226" xr:uid="{29094B29-9509-473C-8ACE-331C92B13BED}"/>
    <cellStyle name="Input 2 5 3 4 2 2 2" xfId="19272" xr:uid="{679B55FD-7754-4F1F-A520-96EAC7EDB445}"/>
    <cellStyle name="Input 2 5 3 4 2 3" xfId="15786" xr:uid="{074E1C94-D337-445C-A5EF-4D5448282DBC}"/>
    <cellStyle name="Input 2 5 3 4 2 4" xfId="22452" xr:uid="{7A3A00BF-6950-419E-A2D8-77EFA496AE23}"/>
    <cellStyle name="Input 2 5 3 4 3" xfId="4870" xr:uid="{765443C4-1FF7-4A18-95DF-1933BF955DAD}"/>
    <cellStyle name="Input 2 5 3 4 3 2" xfId="10725" xr:uid="{32B02525-D5A4-416E-B5A7-9B52B14F7B05}"/>
    <cellStyle name="Input 2 5 3 4 3 2 2" xfId="19771" xr:uid="{AAADA5E9-3FDB-46B4-BF0C-C29ABF45F837}"/>
    <cellStyle name="Input 2 5 3 4 3 3" xfId="16285" xr:uid="{41873C3F-A306-47A9-A1F5-9EA0BCCFA7C0}"/>
    <cellStyle name="Input 2 5 3 4 3 4" xfId="22947" xr:uid="{73478A3F-AAC8-4B02-A82C-16FF7791B8D4}"/>
    <cellStyle name="Input 2 5 3 4 4" xfId="5485" xr:uid="{E244748C-C18F-424E-8AE5-9FD09A900CCF}"/>
    <cellStyle name="Input 2 5 3 4 4 2" xfId="11338" xr:uid="{97F71D06-E2B0-423F-A005-0D78643E2C3B}"/>
    <cellStyle name="Input 2 5 3 4 4 2 2" xfId="20384" xr:uid="{E01E1271-9F83-4F25-A4A6-3F47B4FD4826}"/>
    <cellStyle name="Input 2 5 3 4 4 3" xfId="16898" xr:uid="{27FF4837-AF95-4D52-A909-3B003E2F97C5}"/>
    <cellStyle name="Input 2 5 3 4 5" xfId="6096" xr:uid="{87CE92B8-9AE2-42DC-A7E9-32BCAC0BD834}"/>
    <cellStyle name="Input 2 5 3 4 5 2" xfId="11945" xr:uid="{9DFF8680-5FB7-41D2-B54A-413BDE01A5C6}"/>
    <cellStyle name="Input 2 5 3 4 5 2 2" xfId="20991" xr:uid="{B571E107-CEA1-491C-B837-0B53E954B503}"/>
    <cellStyle name="Input 2 5 3 4 5 3" xfId="17509" xr:uid="{4DDE69D2-585A-4D92-A01F-4B819A9379F5}"/>
    <cellStyle name="Input 2 5 3 4 6" xfId="9359" xr:uid="{E5A5AA7B-3378-4FB4-9E6E-A75C2507EFA0}"/>
    <cellStyle name="Input 2 5 3 4 6 2" xfId="18405" xr:uid="{DECD4099-44B2-4D19-BA6F-ADF66348B04D}"/>
    <cellStyle name="Input 2 5 3 4 7" xfId="12755" xr:uid="{40A0103F-4B16-4472-9790-59F7318897DF}"/>
    <cellStyle name="Input 2 5 3 4 8" xfId="13315" xr:uid="{FB6F4130-4929-4503-9B09-508458DD6440}"/>
    <cellStyle name="Input 2 5 3 4 9" xfId="13951" xr:uid="{B2EBB0D2-CF26-4984-88F7-08D207ECBA22}"/>
    <cellStyle name="Input 2 5 3 5" xfId="3749" xr:uid="{FFACE9B6-103E-48DD-93A5-B4E5FB0459BE}"/>
    <cellStyle name="Input 2 5 3 5 2" xfId="9791" xr:uid="{2E071863-A49B-4645-9829-74450319EF76}"/>
    <cellStyle name="Input 2 5 3 5 2 2" xfId="18837" xr:uid="{787D853F-5A65-4518-A792-D64DE394A928}"/>
    <cellStyle name="Input 2 5 3 5 3" xfId="15357" xr:uid="{D479E58E-225E-4916-8C8D-823EFEEC6DDC}"/>
    <cellStyle name="Input 2 5 3 5 4" xfId="22336" xr:uid="{28CD6D5F-EA24-4E24-998E-D8727A82D5F7}"/>
    <cellStyle name="Input 2 5 3 6" xfId="4233" xr:uid="{38EE89C6-9924-45D1-BAC0-28A36A22AA52}"/>
    <cellStyle name="Input 2 5 3 6 2" xfId="10090" xr:uid="{6D5B55D2-3C2C-408D-B162-C09E79EF0D31}"/>
    <cellStyle name="Input 2 5 3 6 2 2" xfId="19136" xr:uid="{30733152-9744-4A60-B39C-DF8BD8D06FF1}"/>
    <cellStyle name="Input 2 5 3 6 3" xfId="15650" xr:uid="{E47D3D6B-2F18-4C58-ACF8-59F72D24D10A}"/>
    <cellStyle name="Input 2 5 3 6 4" xfId="22391" xr:uid="{167F670F-FEDA-4981-95BA-4344B8BC9703}"/>
    <cellStyle name="Input 2 5 3 7" xfId="4188" xr:uid="{B59AFF61-E38B-48F9-8FDB-65B5FE49D8AD}"/>
    <cellStyle name="Input 2 5 3 7 2" xfId="10045" xr:uid="{BA90F9B3-4FE3-4CAA-99B3-384ABC511057}"/>
    <cellStyle name="Input 2 5 3 7 2 2" xfId="19091" xr:uid="{ED9A5393-D020-4C9A-9D14-1CFD5C0E180A}"/>
    <cellStyle name="Input 2 5 3 7 3" xfId="15605" xr:uid="{870BEEAE-FB22-4E6B-ADA0-E2C02EE8A1DD}"/>
    <cellStyle name="Input 2 5 3 8" xfId="5270" xr:uid="{ED1CB10F-4792-4CB0-8DDB-A8A4A3881D1A}"/>
    <cellStyle name="Input 2 5 3 8 2" xfId="11123" xr:uid="{DCB63BC1-8B6B-46A2-9648-5D0A498B5385}"/>
    <cellStyle name="Input 2 5 3 8 2 2" xfId="20169" xr:uid="{81AD136A-87FA-4447-961A-756DAEE5527F}"/>
    <cellStyle name="Input 2 5 3 8 3" xfId="16683" xr:uid="{FCA306C5-8852-4D21-AE93-B654497909F7}"/>
    <cellStyle name="Input 2 5 3 9" xfId="5881" xr:uid="{819ABA4E-6731-43D9-B7F0-2830585FA1EF}"/>
    <cellStyle name="Input 2 5 3 9 2" xfId="11734" xr:uid="{5A21A6DF-13FB-4918-B1F7-C50B945912FF}"/>
    <cellStyle name="Input 2 5 3 9 2 2" xfId="20780" xr:uid="{83C2F2E8-2D7A-4007-A0D4-2CCD7DA21D9C}"/>
    <cellStyle name="Input 2 5 3 9 3" xfId="17294" xr:uid="{5B77E4F7-E7DC-42E1-BF9A-0AC79BC9190D}"/>
    <cellStyle name="Input 2 5 4" xfId="2320" xr:uid="{272E2CFE-C535-4D7D-9BA6-B58C2DDF6F4C}"/>
    <cellStyle name="Input 2 5 4 10" xfId="13162" xr:uid="{8375A040-F0B6-4D19-ACD5-290F544B57F9}"/>
    <cellStyle name="Input 2 5 4 11" xfId="13796" xr:uid="{B8D1283F-E323-48C1-81B6-A1E636453B55}"/>
    <cellStyle name="Input 2 5 4 12" xfId="14771" xr:uid="{132A786E-F1FE-4179-9BD3-5C43F3317919}"/>
    <cellStyle name="Input 2 5 4 13" xfId="21641" xr:uid="{74BF690E-16D7-4CB7-86E9-75FA90E91B53}"/>
    <cellStyle name="Input 2 5 4 2" xfId="2665" xr:uid="{97A5C5E7-B7C0-4BFD-A575-AF084A803BBC}"/>
    <cellStyle name="Input 2 5 4 2 10" xfId="15198" xr:uid="{45543652-AF74-431F-965A-4DEF85202949}"/>
    <cellStyle name="Input 2 5 4 2 11" xfId="22067" xr:uid="{875818A3-6192-48D3-B58C-DD9D99154CC3}"/>
    <cellStyle name="Input 2 5 4 2 12" xfId="3418" xr:uid="{0348498A-40B4-46DD-B8A7-96653F5C9653}"/>
    <cellStyle name="Input 2 5 4 2 2" xfId="4641" xr:uid="{50DDBB00-9DC4-42C0-8ED6-1C88AE6609B4}"/>
    <cellStyle name="Input 2 5 4 2 2 2" xfId="10498" xr:uid="{1279A494-453A-4F77-AAAA-0AE22F888255}"/>
    <cellStyle name="Input 2 5 4 2 2 2 2" xfId="19544" xr:uid="{5150A16E-BFBE-4BD2-BA5F-40E30CB51818}"/>
    <cellStyle name="Input 2 5 4 2 2 3" xfId="16058" xr:uid="{19FD9783-35A4-4485-947B-4437132BAF4F}"/>
    <cellStyle name="Input 2 5 4 2 2 4" xfId="22723" xr:uid="{8FFAE245-07FB-4EB6-A224-70604FDFB33F}"/>
    <cellStyle name="Input 2 5 4 2 3" xfId="5142" xr:uid="{AE9097D1-BD0F-417C-8CE6-314E4652449A}"/>
    <cellStyle name="Input 2 5 4 2 3 2" xfId="10995" xr:uid="{BD4614B4-E825-410E-898C-50340319F7DB}"/>
    <cellStyle name="Input 2 5 4 2 3 2 2" xfId="20041" xr:uid="{65845891-3A3E-4408-8433-61C3AF0391F5}"/>
    <cellStyle name="Input 2 5 4 2 3 3" xfId="16555" xr:uid="{1F94AC48-8743-4256-B027-7ED0A9237BDA}"/>
    <cellStyle name="Input 2 5 4 2 3 4" xfId="23218" xr:uid="{0DBC1FB1-48A2-4AEE-B3AF-1779C7B2D7CB}"/>
    <cellStyle name="Input 2 5 4 2 4" xfId="5757" xr:uid="{1BB2D984-9FAA-4C77-9391-A7512771E022}"/>
    <cellStyle name="Input 2 5 4 2 4 2" xfId="11610" xr:uid="{55E5FA95-1FFE-4252-8D7E-0AD92395C2BF}"/>
    <cellStyle name="Input 2 5 4 2 4 2 2" xfId="20656" xr:uid="{EF6197F7-70EB-4769-ACD7-BC096F444A94}"/>
    <cellStyle name="Input 2 5 4 2 4 3" xfId="17170" xr:uid="{240FA28F-FBAC-41EA-B893-2877216900DB}"/>
    <cellStyle name="Input 2 5 4 2 5" xfId="6368" xr:uid="{4E2CD42F-0520-4CBF-8362-19FA249F7FAC}"/>
    <cellStyle name="Input 2 5 4 2 5 2" xfId="12215" xr:uid="{BF30F71E-7C55-47FA-A1EC-61C6896FF0D7}"/>
    <cellStyle name="Input 2 5 4 2 5 2 2" xfId="21261" xr:uid="{A8629842-B727-434B-825F-E2EEB74EBA41}"/>
    <cellStyle name="Input 2 5 4 2 5 3" xfId="17781" xr:uid="{3C94ED24-6D7D-4065-92CD-23328A001CC6}"/>
    <cellStyle name="Input 2 5 4 2 6" xfId="9629" xr:uid="{DF303060-2480-4DAD-8243-6CCB108C2E7B}"/>
    <cellStyle name="Input 2 5 4 2 6 2" xfId="18675" xr:uid="{268C4B0A-EABD-4B4F-8B75-E83A03F3BEAE}"/>
    <cellStyle name="Input 2 5 4 2 7" xfId="13027" xr:uid="{3A850DDF-3FE5-46CA-8C95-DB4E07087D71}"/>
    <cellStyle name="Input 2 5 4 2 8" xfId="13584" xr:uid="{96BEFF12-C9EE-4319-823F-12C3209B3E66}"/>
    <cellStyle name="Input 2 5 4 2 9" xfId="14223" xr:uid="{A9D865D0-D130-44A4-8FCC-CCA93318915A}"/>
    <cellStyle name="Input 2 5 4 3" xfId="3206" xr:uid="{7A0F5C5A-EEF1-499B-99C1-E9361B6EAB93}"/>
    <cellStyle name="Input 2 5 4 3 10" xfId="14986" xr:uid="{B397F69F-6382-4DDF-A0D4-82ADFDA05B72}"/>
    <cellStyle name="Input 2 5 4 3 11" xfId="21856" xr:uid="{355B7F02-6608-4573-8D95-209E0519C101}"/>
    <cellStyle name="Input 2 5 4 3 2" xfId="4429" xr:uid="{B8F48E9B-5653-4A4A-AF92-3DF32FA05187}"/>
    <cellStyle name="Input 2 5 4 3 2 2" xfId="10286" xr:uid="{23B4014D-F839-4C71-8CE2-3F48532624D1}"/>
    <cellStyle name="Input 2 5 4 3 2 2 2" xfId="19332" xr:uid="{F4796CA5-2616-4B23-BF65-15C80F486802}"/>
    <cellStyle name="Input 2 5 4 3 2 3" xfId="15846" xr:uid="{B43D38F6-27DB-4B1E-92B6-6D981F0D997E}"/>
    <cellStyle name="Input 2 5 4 3 2 4" xfId="22512" xr:uid="{58A21AF3-90A1-4185-B0D6-75FBA9D4220D}"/>
    <cellStyle name="Input 2 5 4 3 3" xfId="4930" xr:uid="{299D8063-B63E-439C-83FB-FCF524B7E65D}"/>
    <cellStyle name="Input 2 5 4 3 3 2" xfId="10783" xr:uid="{BE31E9AC-CD8B-42F6-B266-7965AC01DC11}"/>
    <cellStyle name="Input 2 5 4 3 3 2 2" xfId="19829" xr:uid="{D8C4D709-009B-4A0F-8CAB-35D1792B7442}"/>
    <cellStyle name="Input 2 5 4 3 3 3" xfId="16343" xr:uid="{3C188EEE-75C8-4564-85AA-B4784D0B466B}"/>
    <cellStyle name="Input 2 5 4 3 3 4" xfId="23007" xr:uid="{F3040324-55C5-4FE5-AFD3-01C16100F6DD}"/>
    <cellStyle name="Input 2 5 4 3 4" xfId="5545" xr:uid="{D5FBFFF4-D16A-44D7-833F-03F8A04C4F59}"/>
    <cellStyle name="Input 2 5 4 3 4 2" xfId="11398" xr:uid="{A9D8E76E-CFD4-4824-9A81-10850AEEDC02}"/>
    <cellStyle name="Input 2 5 4 3 4 2 2" xfId="20444" xr:uid="{994472A8-D161-44E6-8E27-8408B005CB1B}"/>
    <cellStyle name="Input 2 5 4 3 4 3" xfId="16958" xr:uid="{300CED33-8C1A-4827-9F0B-590ACD889CE9}"/>
    <cellStyle name="Input 2 5 4 3 5" xfId="6156" xr:uid="{8F91F31C-B44C-47B3-B5BC-89F46974A34C}"/>
    <cellStyle name="Input 2 5 4 3 5 2" xfId="12003" xr:uid="{3319AA3D-F32B-40E3-9617-C708DBB67FF1}"/>
    <cellStyle name="Input 2 5 4 3 5 2 2" xfId="21049" xr:uid="{26EB2BC9-7E8F-4BA8-9033-A2238F214398}"/>
    <cellStyle name="Input 2 5 4 3 5 3" xfId="17569" xr:uid="{0CAC0174-EA7B-4802-A3F6-670CE43F820C}"/>
    <cellStyle name="Input 2 5 4 3 6" xfId="9417" xr:uid="{E673123B-6DE9-4E19-B87B-770DA5A352E5}"/>
    <cellStyle name="Input 2 5 4 3 6 2" xfId="18463" xr:uid="{A80BD76D-6F43-4173-8FA9-D01F8F967252}"/>
    <cellStyle name="Input 2 5 4 3 7" xfId="12815" xr:uid="{CA1D0CFB-CFEC-46F6-B590-74F7BC1A1D89}"/>
    <cellStyle name="Input 2 5 4 3 8" xfId="13373" xr:uid="{524DC6EE-59BB-4266-8EAF-E9048B94A131}"/>
    <cellStyle name="Input 2 5 4 3 9" xfId="14011" xr:uid="{E20DBDB0-75FE-41CB-9202-F7CA9646B85F}"/>
    <cellStyle name="Input 2 5 4 4" xfId="3985" xr:uid="{160408F7-8BBC-4C81-966C-D5E83589AF8E}"/>
    <cellStyle name="Input 2 5 4 4 2" xfId="9847" xr:uid="{8B67B129-BA3D-4BF8-87E5-BCDE81E1E5E8}"/>
    <cellStyle name="Input 2 5 4 4 2 2" xfId="18893" xr:uid="{E1F35E1E-0156-4CD7-A35C-A06CBA99C324}"/>
    <cellStyle name="Input 2 5 4 4 3" xfId="15409" xr:uid="{CEDFF1C3-2475-4129-946A-29333F213491}"/>
    <cellStyle name="Input 2 5 4 4 4" xfId="22222" xr:uid="{EBA89BE8-97A6-4875-8945-5651E9329265}"/>
    <cellStyle name="Input 2 5 4 5" xfId="4102" xr:uid="{3BFDB6EF-AC3D-4E4E-9B73-C639386FDED6}"/>
    <cellStyle name="Input 2 5 4 5 2" xfId="9959" xr:uid="{40506197-BA71-446A-A78C-4077CD0B83AA}"/>
    <cellStyle name="Input 2 5 4 5 2 2" xfId="19005" xr:uid="{1567CF88-D63A-416A-81FE-E123C48457B6}"/>
    <cellStyle name="Input 2 5 4 5 3" xfId="15519" xr:uid="{9FC085F5-A5B3-4ACB-934D-D7E389625085}"/>
    <cellStyle name="Input 2 5 4 6" xfId="5330" xr:uid="{F756E4B4-B7B5-4FCE-9E59-3CF37D553BF8}"/>
    <cellStyle name="Input 2 5 4 6 2" xfId="11183" xr:uid="{E6C840AD-59E8-463B-8724-A6A22C8649AC}"/>
    <cellStyle name="Input 2 5 4 6 2 2" xfId="20229" xr:uid="{85ECCAA8-87CD-4A99-87C6-99F83021C059}"/>
    <cellStyle name="Input 2 5 4 6 3" xfId="16743" xr:uid="{2EC5B238-4692-4913-BF6B-E98AF367583F}"/>
    <cellStyle name="Input 2 5 4 7" xfId="5941" xr:uid="{EF3DBC02-6371-406B-B13F-C584F2505897}"/>
    <cellStyle name="Input 2 5 4 7 2" xfId="11792" xr:uid="{F944DDB1-CB09-4794-A68D-F90603CF1BC9}"/>
    <cellStyle name="Input 2 5 4 7 2 2" xfId="20838" xr:uid="{69C930FA-BF58-453F-A75D-629D4BFEFB4B}"/>
    <cellStyle name="Input 2 5 4 7 3" xfId="17354" xr:uid="{A9AD477E-9783-4E6C-ADDF-B18FDAC44441}"/>
    <cellStyle name="Input 2 5 4 8" xfId="9202" xr:uid="{ACF72551-E3F6-4437-B6B2-93FF3B812BF3}"/>
    <cellStyle name="Input 2 5 4 8 2" xfId="18248" xr:uid="{F9682AB4-E16C-484D-9BA7-11388E8B4981}"/>
    <cellStyle name="Input 2 5 4 9" xfId="12600" xr:uid="{3ACD7C30-8804-42B1-9AD1-1C49B7FF2107}"/>
    <cellStyle name="Input 2 5 5" xfId="2913" xr:uid="{E8B8BB10-EEFF-4F21-B06E-6DA6F8929B5A}"/>
    <cellStyle name="Input 2 5 5 10" xfId="15109" xr:uid="{CD435C44-5793-4CB3-9FB7-C4BF35D41158}"/>
    <cellStyle name="Input 2 5 5 11" xfId="21978" xr:uid="{A9FCE623-7EE0-4D68-9A02-6669ED7A5550}"/>
    <cellStyle name="Input 2 5 5 12" xfId="3329" xr:uid="{57B3CC1F-5EA6-4209-950B-4CEDA7604D9B}"/>
    <cellStyle name="Input 2 5 5 2" xfId="4552" xr:uid="{1B188A48-5325-4D1A-8B33-740C7FB50192}"/>
    <cellStyle name="Input 2 5 5 2 2" xfId="10409" xr:uid="{5B2F720D-6140-440A-9EC6-D3AF96237BBB}"/>
    <cellStyle name="Input 2 5 5 2 2 2" xfId="19455" xr:uid="{70A6FC15-BF94-4EAB-95C5-5A1CC80C1B14}"/>
    <cellStyle name="Input 2 5 5 2 3" xfId="15969" xr:uid="{3EA82CB1-4529-4F85-B455-6ED018061F70}"/>
    <cellStyle name="Input 2 5 5 2 4" xfId="22634" xr:uid="{AB7F4358-BE39-4908-893E-FA63173B1728}"/>
    <cellStyle name="Input 2 5 5 3" xfId="5053" xr:uid="{A5C92CA2-EB1F-4FC5-8FD8-0EC912B92AE6}"/>
    <cellStyle name="Input 2 5 5 3 2" xfId="10906" xr:uid="{4944E692-BF44-450B-B657-55A2AFD44EAF}"/>
    <cellStyle name="Input 2 5 5 3 2 2" xfId="19952" xr:uid="{05E5F7DE-FC22-45A8-9CE6-803A61D7CCE0}"/>
    <cellStyle name="Input 2 5 5 3 3" xfId="16466" xr:uid="{DD5DB642-CFC6-4BB7-85B6-70B4E5C790C5}"/>
    <cellStyle name="Input 2 5 5 3 4" xfId="23129" xr:uid="{A7E1E72E-0F19-418B-8AE4-6507FCE0E997}"/>
    <cellStyle name="Input 2 5 5 4" xfId="5668" xr:uid="{CBD33593-F902-4D8F-A787-CB00D2872041}"/>
    <cellStyle name="Input 2 5 5 4 2" xfId="11521" xr:uid="{BA957019-AED6-4F7A-A749-884E9264C111}"/>
    <cellStyle name="Input 2 5 5 4 2 2" xfId="20567" xr:uid="{6BECEB1A-C2D2-4997-9012-A7D1B1A262AD}"/>
    <cellStyle name="Input 2 5 5 4 3" xfId="17081" xr:uid="{668DEFC8-474D-4D49-A64B-EBF173A60E79}"/>
    <cellStyle name="Input 2 5 5 5" xfId="6279" xr:uid="{A8868F54-AD56-42A8-8D0C-487A8BDAF2B5}"/>
    <cellStyle name="Input 2 5 5 5 2" xfId="12126" xr:uid="{E625F045-FEAE-4027-8FD1-613218BF7AFE}"/>
    <cellStyle name="Input 2 5 5 5 2 2" xfId="21172" xr:uid="{8C933831-9047-46C3-A6F1-FDD702282D53}"/>
    <cellStyle name="Input 2 5 5 5 3" xfId="17692" xr:uid="{AE929265-C682-4C4D-8028-31C29090B89F}"/>
    <cellStyle name="Input 2 5 5 6" xfId="9540" xr:uid="{A3DE91AA-6CE6-48A5-9C56-A25E929973BB}"/>
    <cellStyle name="Input 2 5 5 6 2" xfId="18586" xr:uid="{BCB75483-4DBC-41C4-ACD5-2F22E9EEDE6D}"/>
    <cellStyle name="Input 2 5 5 7" xfId="12938" xr:uid="{4B86CE58-0CB7-43F0-A931-77F6683B6C5B}"/>
    <cellStyle name="Input 2 5 5 8" xfId="13495" xr:uid="{253846FD-F61F-48ED-813A-EC512789EAEC}"/>
    <cellStyle name="Input 2 5 5 9" xfId="14134" xr:uid="{E3D89891-5CAC-43E1-B650-AC5016EB36FA}"/>
    <cellStyle name="Input 2 5 6" xfId="3117" xr:uid="{BA331FB5-6813-4761-8968-DDE3D8021B98}"/>
    <cellStyle name="Input 2 5 6 10" xfId="14897" xr:uid="{E8A684AD-8574-463D-8A50-CBD46B1E1237}"/>
    <cellStyle name="Input 2 5 6 11" xfId="21765" xr:uid="{65173E6F-7B67-497D-9982-AB1362544B48}"/>
    <cellStyle name="Input 2 5 6 2" xfId="4338" xr:uid="{C5B2055E-6EF2-4B34-808F-3CB8C863CE28}"/>
    <cellStyle name="Input 2 5 6 2 2" xfId="10195" xr:uid="{2A25F8A0-844B-4346-A14E-1CD432EFE610}"/>
    <cellStyle name="Input 2 5 6 2 2 2" xfId="19241" xr:uid="{70A2DE66-7C7F-49A7-A939-DB5582BACB7A}"/>
    <cellStyle name="Input 2 5 6 2 3" xfId="15755" xr:uid="{5AAA7495-1DA3-462A-B14D-FEF7A4DD5BBD}"/>
    <cellStyle name="Input 2 5 6 2 4" xfId="22421" xr:uid="{50652EEB-A5B0-4039-9415-5F7872291929}"/>
    <cellStyle name="Input 2 5 6 3" xfId="4839" xr:uid="{5EE5D4F4-01C9-4D55-B110-7C0D0DF491EB}"/>
    <cellStyle name="Input 2 5 6 3 2" xfId="10694" xr:uid="{DBB93FCE-776C-4BCF-86F4-C7E19AA4ED2D}"/>
    <cellStyle name="Input 2 5 6 3 2 2" xfId="19740" xr:uid="{223E5A98-22B0-4F25-8714-6F8C713D4D95}"/>
    <cellStyle name="Input 2 5 6 3 3" xfId="16254" xr:uid="{4E660FDC-0913-4CC2-B759-4A033B9067DB}"/>
    <cellStyle name="Input 2 5 6 3 4" xfId="22916" xr:uid="{CCF2D407-1777-4E08-9054-C76E21F9990C}"/>
    <cellStyle name="Input 2 5 6 4" xfId="5454" xr:uid="{27600C86-5007-46A4-9842-162EA6AB7213}"/>
    <cellStyle name="Input 2 5 6 4 2" xfId="11307" xr:uid="{37E11AEB-372A-4D7A-BAAA-87E9875F1E27}"/>
    <cellStyle name="Input 2 5 6 4 2 2" xfId="20353" xr:uid="{FCCC75A4-1757-44C7-8C5D-BA9162CBF078}"/>
    <cellStyle name="Input 2 5 6 4 3" xfId="16867" xr:uid="{880489E0-5B2F-41C0-A4F6-FA5807743DF7}"/>
    <cellStyle name="Input 2 5 6 5" xfId="6065" xr:uid="{A8B36140-8610-4415-8330-EF507B5CE7FA}"/>
    <cellStyle name="Input 2 5 6 5 2" xfId="11914" xr:uid="{9E716E2B-FFAF-45D6-ADC9-58BCA6ED6D7A}"/>
    <cellStyle name="Input 2 5 6 5 2 2" xfId="20960" xr:uid="{DC506393-4C28-4056-BF6C-BB6090D9CC65}"/>
    <cellStyle name="Input 2 5 6 5 3" xfId="17478" xr:uid="{9D9EA9BE-2A19-4759-BD73-1BF54852D059}"/>
    <cellStyle name="Input 2 5 6 6" xfId="9328" xr:uid="{061C21C0-15EB-40C3-9772-84192FCB2771}"/>
    <cellStyle name="Input 2 5 6 6 2" xfId="18374" xr:uid="{4674E99D-C331-4921-8BD3-A83AEB25E4E8}"/>
    <cellStyle name="Input 2 5 6 7" xfId="12724" xr:uid="{863326D9-A629-459A-B718-A72E4FFAE43E}"/>
    <cellStyle name="Input 2 5 6 8" xfId="13284" xr:uid="{C23AC18E-E758-41CA-897C-BE70B891FB1D}"/>
    <cellStyle name="Input 2 5 6 9" xfId="13920" xr:uid="{DC78E41F-2ECE-4C30-95CE-D85ADF3B7F3E}"/>
    <cellStyle name="Input 2 5 7" xfId="3717" xr:uid="{62731F64-23FD-4C04-96B5-6423A84C3142}"/>
    <cellStyle name="Input 2 5 7 2" xfId="9759" xr:uid="{6DD4313D-53E4-4945-AB74-DFE345DFFEFB}"/>
    <cellStyle name="Input 2 5 7 2 2" xfId="18805" xr:uid="{E92DE0EC-FC2E-4AAC-88FE-926306AB2BC2}"/>
    <cellStyle name="Input 2 5 7 3" xfId="15325" xr:uid="{5108F237-16FB-4E55-9F9B-14932C7E18D7}"/>
    <cellStyle name="Input 2 5 7 4" xfId="22304" xr:uid="{597464BD-B43C-4344-88CD-7528CC66D11B}"/>
    <cellStyle name="Input 2 5 8" xfId="4201" xr:uid="{6653C178-234E-4B0E-A7E7-8B8C87E8ED1E}"/>
    <cellStyle name="Input 2 5 8 2" xfId="10058" xr:uid="{CA96DF76-868C-4BE5-BE0D-6EFF64446369}"/>
    <cellStyle name="Input 2 5 8 2 2" xfId="19104" xr:uid="{453A3577-7EE0-4492-B886-C808BC2FB7E0}"/>
    <cellStyle name="Input 2 5 8 3" xfId="15618" xr:uid="{1907D43B-F5DD-4B16-827C-ECC59880DC3B}"/>
    <cellStyle name="Input 2 5 8 4" xfId="22274" xr:uid="{2A40B864-10F5-4646-A086-C288B957CA05}"/>
    <cellStyle name="Input 2 5 9" xfId="4156" xr:uid="{8416BCDC-319C-4555-AEB6-D5352DC5F3E3}"/>
    <cellStyle name="Input 2 5 9 2" xfId="10013" xr:uid="{D34321C5-C664-4524-BBD9-7250CE0FDE5A}"/>
    <cellStyle name="Input 2 5 9 2 2" xfId="19059" xr:uid="{1D3623C5-7D5B-4E24-B7D5-4C9FF59B1FAA}"/>
    <cellStyle name="Input 2 5 9 3" xfId="15573" xr:uid="{DDF9359A-014E-40ED-B15D-AEAD3D01679F}"/>
    <cellStyle name="Input 2 6" xfId="2321" xr:uid="{B7A59291-3284-4412-A6C1-F2740EF87E37}"/>
    <cellStyle name="Input 2 6 10" xfId="13163" xr:uid="{6CE020C7-BE61-4A7F-BBC6-A198BDFD6899}"/>
    <cellStyle name="Input 2 6 11" xfId="13797" xr:uid="{4EB5A112-5EB3-46CB-B97B-E6C160B1FA7F}"/>
    <cellStyle name="Input 2 6 12" xfId="14772" xr:uid="{858C68F7-CA25-4D8E-BD97-F546A921157B}"/>
    <cellStyle name="Input 2 6 13" xfId="21642" xr:uid="{5F94DCEE-5F2B-44A7-84B1-1C76682FF847}"/>
    <cellStyle name="Input 2 6 2" xfId="2664" xr:uid="{CA5F8040-8A4F-44B1-8885-62E79A2BDC63}"/>
    <cellStyle name="Input 2 6 2 10" xfId="15199" xr:uid="{522E2D07-2F6F-470F-8B8A-1A50264475CC}"/>
    <cellStyle name="Input 2 6 2 11" xfId="22068" xr:uid="{0F6136C9-54A5-4B97-AE0D-3071CF5538FC}"/>
    <cellStyle name="Input 2 6 2 12" xfId="3419" xr:uid="{F76DDCFE-8178-440A-BD0F-C6635DD66F4E}"/>
    <cellStyle name="Input 2 6 2 2" xfId="4642" xr:uid="{EA321EC9-2778-4514-80C1-3CE179193175}"/>
    <cellStyle name="Input 2 6 2 2 2" xfId="10499" xr:uid="{35377DE4-1E74-4E2D-9D74-7034F3B54DDF}"/>
    <cellStyle name="Input 2 6 2 2 2 2" xfId="19545" xr:uid="{0D709514-B5CA-4750-8532-8CEB3F88091A}"/>
    <cellStyle name="Input 2 6 2 2 3" xfId="16059" xr:uid="{0886A3B9-6444-4B1E-A0F0-ABB1DF036206}"/>
    <cellStyle name="Input 2 6 2 2 4" xfId="22724" xr:uid="{2C284CBA-CBB3-4B64-BDFB-BE0392038E0B}"/>
    <cellStyle name="Input 2 6 2 3" xfId="5143" xr:uid="{6C1FCA39-079A-4442-BF4C-02EE97697146}"/>
    <cellStyle name="Input 2 6 2 3 2" xfId="10996" xr:uid="{ED98088B-C137-4B47-B8D8-05F863A8B3E7}"/>
    <cellStyle name="Input 2 6 2 3 2 2" xfId="20042" xr:uid="{781E1FD6-5297-46FB-A136-3FA74DB7A561}"/>
    <cellStyle name="Input 2 6 2 3 3" xfId="16556" xr:uid="{6E6028D9-FD32-43DF-9D20-46FBD9B3F237}"/>
    <cellStyle name="Input 2 6 2 3 4" xfId="23219" xr:uid="{61E3F99F-702D-4884-9126-6723D46E9C69}"/>
    <cellStyle name="Input 2 6 2 4" xfId="5758" xr:uid="{437AFDF8-36F1-4CD4-AE6E-CC55892DBA9E}"/>
    <cellStyle name="Input 2 6 2 4 2" xfId="11611" xr:uid="{7ED6C273-21F1-4D68-8E0A-40515253A7F8}"/>
    <cellStyle name="Input 2 6 2 4 2 2" xfId="20657" xr:uid="{E4F0FEB5-9F88-4FDA-A46E-CFDAA7832072}"/>
    <cellStyle name="Input 2 6 2 4 3" xfId="17171" xr:uid="{D48B28F4-08C6-4686-B54A-C244DB0C606A}"/>
    <cellStyle name="Input 2 6 2 5" xfId="6369" xr:uid="{0D75A134-20E9-4D2F-AED9-DE9CE7007BF0}"/>
    <cellStyle name="Input 2 6 2 5 2" xfId="12216" xr:uid="{E8FA644B-C35C-432C-9F27-F4530EE1752C}"/>
    <cellStyle name="Input 2 6 2 5 2 2" xfId="21262" xr:uid="{80DB9C2C-BE2B-4F75-91B1-A2C581028B4F}"/>
    <cellStyle name="Input 2 6 2 5 3" xfId="17782" xr:uid="{08DC0DF8-0A07-426B-94B4-EAB2AC031DBF}"/>
    <cellStyle name="Input 2 6 2 6" xfId="9630" xr:uid="{1705506D-4F8B-44CE-A859-D5D949540ECA}"/>
    <cellStyle name="Input 2 6 2 6 2" xfId="18676" xr:uid="{26489CEF-4CF8-48D5-99B9-7DEBC2DA92E6}"/>
    <cellStyle name="Input 2 6 2 7" xfId="13028" xr:uid="{0247B749-814F-4E65-871D-8ABE2E618BEC}"/>
    <cellStyle name="Input 2 6 2 8" xfId="13585" xr:uid="{9EDFFA8D-CE37-42E4-A32B-9FFC019DD748}"/>
    <cellStyle name="Input 2 6 2 9" xfId="14224" xr:uid="{7D4B2FD8-D6F2-4822-B327-EA0689BF50E2}"/>
    <cellStyle name="Input 2 6 3" xfId="3207" xr:uid="{4B4CEF21-A9A7-470D-900B-DF73662F8637}"/>
    <cellStyle name="Input 2 6 3 10" xfId="14987" xr:uid="{AEE255CD-9A8B-4B55-878E-9A5BC81AE97F}"/>
    <cellStyle name="Input 2 6 3 11" xfId="21857" xr:uid="{A82C778F-B103-41D1-89D7-98488979F0C3}"/>
    <cellStyle name="Input 2 6 3 2" xfId="4430" xr:uid="{EECC92F3-43B7-45E2-AD07-4D30685E4386}"/>
    <cellStyle name="Input 2 6 3 2 2" xfId="10287" xr:uid="{07F585DA-272B-484D-8C2E-D49F45AA44C0}"/>
    <cellStyle name="Input 2 6 3 2 2 2" xfId="19333" xr:uid="{A5263CC9-3908-4EE2-9F62-4A5BC8066A4B}"/>
    <cellStyle name="Input 2 6 3 2 3" xfId="15847" xr:uid="{EBD1ABB9-4B43-4D73-8D62-3725B9AB557F}"/>
    <cellStyle name="Input 2 6 3 2 4" xfId="22513" xr:uid="{5422D6B5-DBC1-4973-B676-E82FD78F7328}"/>
    <cellStyle name="Input 2 6 3 3" xfId="4931" xr:uid="{B5E8D7B1-5033-4A32-B96F-B83BDD4A4047}"/>
    <cellStyle name="Input 2 6 3 3 2" xfId="10784" xr:uid="{2BC1797D-C194-46FF-B896-0A361D71A3E3}"/>
    <cellStyle name="Input 2 6 3 3 2 2" xfId="19830" xr:uid="{F0D0453B-9FA9-4F7E-A041-068B0E4BEC90}"/>
    <cellStyle name="Input 2 6 3 3 3" xfId="16344" xr:uid="{D6ABAC66-A938-4421-B9E1-0C95941A0FBB}"/>
    <cellStyle name="Input 2 6 3 3 4" xfId="23008" xr:uid="{70223539-DA46-4757-B12A-561053465F0C}"/>
    <cellStyle name="Input 2 6 3 4" xfId="5546" xr:uid="{7797284D-54EE-44B1-952A-9014236E38EF}"/>
    <cellStyle name="Input 2 6 3 4 2" xfId="11399" xr:uid="{A5A3D17E-7E1E-4213-9F2E-10841D54218E}"/>
    <cellStyle name="Input 2 6 3 4 2 2" xfId="20445" xr:uid="{294082ED-224B-47EC-BB3E-EB691D206438}"/>
    <cellStyle name="Input 2 6 3 4 3" xfId="16959" xr:uid="{2ED47A77-BB91-4158-A047-4B9B3B115B55}"/>
    <cellStyle name="Input 2 6 3 5" xfId="6157" xr:uid="{F524D735-A541-4591-AD18-3F84350B512D}"/>
    <cellStyle name="Input 2 6 3 5 2" xfId="12004" xr:uid="{D02CA57A-F19F-41AD-8D84-AF8399B536D5}"/>
    <cellStyle name="Input 2 6 3 5 2 2" xfId="21050" xr:uid="{6AAB05A1-3E93-40F5-BD83-84E7DB4B2E49}"/>
    <cellStyle name="Input 2 6 3 5 3" xfId="17570" xr:uid="{78FDC94C-DC2E-43F6-9D45-202C9144C892}"/>
    <cellStyle name="Input 2 6 3 6" xfId="9418" xr:uid="{6B410FE6-20B3-4574-92B8-209F55EB8389}"/>
    <cellStyle name="Input 2 6 3 6 2" xfId="18464" xr:uid="{44BADFC3-FDF9-496F-BE83-0A900E484DD9}"/>
    <cellStyle name="Input 2 6 3 7" xfId="12816" xr:uid="{6AB97AB4-F043-4080-99C0-632329A8B3BD}"/>
    <cellStyle name="Input 2 6 3 8" xfId="13374" xr:uid="{76407E06-9120-4EEA-A55F-BA2F80FB88C3}"/>
    <cellStyle name="Input 2 6 3 9" xfId="14012" xr:uid="{64A07AC6-D492-44BC-B726-E1136FD70BE1}"/>
    <cellStyle name="Input 2 6 4" xfId="3864" xr:uid="{23DBDDC8-7520-488F-9119-E1C3E0AFE2F8}"/>
    <cellStyle name="Input 2 6 4 2" xfId="9831" xr:uid="{EC4B3F30-23BF-4EA6-926D-99CF1558C7C4}"/>
    <cellStyle name="Input 2 6 4 2 2" xfId="18877" xr:uid="{2C7FEB9A-D9E3-4546-A287-C867E3375470}"/>
    <cellStyle name="Input 2 6 4 3" xfId="15393" xr:uid="{8637E093-327A-4602-92E0-7AA005CA47E8}"/>
    <cellStyle name="Input 2 6 4 4" xfId="22221" xr:uid="{A6FED8BB-2008-4F3B-A966-163A21089348}"/>
    <cellStyle name="Input 2 6 5" xfId="4101" xr:uid="{552B9E7F-B91C-413F-99C0-974242BC6F7B}"/>
    <cellStyle name="Input 2 6 5 2" xfId="9958" xr:uid="{6D386291-41BC-4A05-8EC9-06F628B1BD9A}"/>
    <cellStyle name="Input 2 6 5 2 2" xfId="19004" xr:uid="{87757AAC-B6E1-4371-B583-EF1B272E06B1}"/>
    <cellStyle name="Input 2 6 5 3" xfId="15518" xr:uid="{9BDC144A-24EF-441B-922C-6E34B836B740}"/>
    <cellStyle name="Input 2 6 6" xfId="5331" xr:uid="{34ACBC85-C995-41EE-B9C0-95DFF253D193}"/>
    <cellStyle name="Input 2 6 6 2" xfId="11184" xr:uid="{4AAA6F9D-9336-4DEE-A179-BACE8E415872}"/>
    <cellStyle name="Input 2 6 6 2 2" xfId="20230" xr:uid="{3EDAB3E7-3E0D-48ED-970A-F962F6B882B8}"/>
    <cellStyle name="Input 2 6 6 3" xfId="16744" xr:uid="{ED6BA4C5-3403-4D4A-9591-1B94B062349D}"/>
    <cellStyle name="Input 2 6 7" xfId="5942" xr:uid="{7E34F898-BD89-43E0-8E57-254FDE09D979}"/>
    <cellStyle name="Input 2 6 7 2" xfId="11793" xr:uid="{672AD706-BBFC-4BBD-B228-5027A006F1BF}"/>
    <cellStyle name="Input 2 6 7 2 2" xfId="20839" xr:uid="{54E16DB7-E967-4206-9E04-86B22EA76F5C}"/>
    <cellStyle name="Input 2 6 7 3" xfId="17355" xr:uid="{12886792-E1EA-4434-AC92-B565098A90A4}"/>
    <cellStyle name="Input 2 6 8" xfId="9203" xr:uid="{18C4F511-DBCB-4D32-848A-3A301832081C}"/>
    <cellStyle name="Input 2 6 8 2" xfId="18249" xr:uid="{B80001FB-A1D7-4DE3-898A-C37D22B689ED}"/>
    <cellStyle name="Input 2 6 9" xfId="12601" xr:uid="{E2EC4468-15E4-4DC0-8518-B4359F959095}"/>
    <cellStyle name="Input 2 7" xfId="2532" xr:uid="{397F7F50-53EB-45B3-90F7-C9B51EAFDB56}"/>
    <cellStyle name="Input 2 7 10" xfId="15095" xr:uid="{4392CDFA-85A0-400E-A1E0-3FE7515160FB}"/>
    <cellStyle name="Input 2 7 11" xfId="21965" xr:uid="{FDD20650-84F1-4436-A19F-80858E55F485}"/>
    <cellStyle name="Input 2 7 12" xfId="3315" xr:uid="{5E028E4E-D960-4075-864B-DAA611DA54AA}"/>
    <cellStyle name="Input 2 7 2" xfId="4538" xr:uid="{2EB8896F-7D66-41BE-A95C-C9ED8E9A40B8}"/>
    <cellStyle name="Input 2 7 2 2" xfId="10395" xr:uid="{FABEF25A-992B-4B22-9949-1A048AA05DBE}"/>
    <cellStyle name="Input 2 7 2 2 2" xfId="19441" xr:uid="{E34812A5-DB98-4C20-9AEA-D7655C68B8A5}"/>
    <cellStyle name="Input 2 7 2 3" xfId="15955" xr:uid="{DB272EE3-98A3-419B-B5EB-C8CEA05292F6}"/>
    <cellStyle name="Input 2 7 2 4" xfId="22621" xr:uid="{972A9BAE-EB7D-4A09-9BAB-A8BAC917721B}"/>
    <cellStyle name="Input 2 7 3" xfId="5039" xr:uid="{0ADE3B6B-68C3-43FA-8239-0A9278280A69}"/>
    <cellStyle name="Input 2 7 3 2" xfId="10892" xr:uid="{DC629296-2A7A-4B90-99D3-63D9D0DCD8AC}"/>
    <cellStyle name="Input 2 7 3 2 2" xfId="19938" xr:uid="{18952ED4-0B0A-49EA-B8AF-7D1895E50165}"/>
    <cellStyle name="Input 2 7 3 3" xfId="16452" xr:uid="{9D222F6F-404A-4798-A9E7-AF7A97068993}"/>
    <cellStyle name="Input 2 7 3 4" xfId="23116" xr:uid="{F863B003-1703-4CEE-AC84-9F3D0BF03BFA}"/>
    <cellStyle name="Input 2 7 4" xfId="5654" xr:uid="{E046EBC7-FF2E-4396-AB5D-24534DDD4F88}"/>
    <cellStyle name="Input 2 7 4 2" xfId="11507" xr:uid="{60CA770C-E956-4870-84A4-FFBF7E29E4CB}"/>
    <cellStyle name="Input 2 7 4 2 2" xfId="20553" xr:uid="{3EC0D055-3E5D-41AC-94B0-9E27E7744B5D}"/>
    <cellStyle name="Input 2 7 4 3" xfId="17067" xr:uid="{3E60CE01-1DE4-4778-AE37-D7862F144FD6}"/>
    <cellStyle name="Input 2 7 5" xfId="6265" xr:uid="{E27E3861-17A1-4DC0-9B94-8319CE3F8622}"/>
    <cellStyle name="Input 2 7 5 2" xfId="12112" xr:uid="{E70B69CF-2646-43EC-9941-0F11F03C1879}"/>
    <cellStyle name="Input 2 7 5 2 2" xfId="21158" xr:uid="{97B14EDF-6B67-438C-93B3-81961D29EF4A}"/>
    <cellStyle name="Input 2 7 5 3" xfId="17678" xr:uid="{7492449A-78A7-45D8-9618-C4487E21B15B}"/>
    <cellStyle name="Input 2 7 6" xfId="9526" xr:uid="{806561F9-BBB2-40CF-B1AC-07CA6FC104DB}"/>
    <cellStyle name="Input 2 7 6 2" xfId="18572" xr:uid="{E689DFC9-F1C5-41E0-90FF-D97F11B028A5}"/>
    <cellStyle name="Input 2 7 7" xfId="12924" xr:uid="{8646D9DF-647F-4C0A-9A46-1B9FF8872524}"/>
    <cellStyle name="Input 2 7 8" xfId="13482" xr:uid="{69B852F2-BEDB-4A18-8E91-3657D9718EEA}"/>
    <cellStyle name="Input 2 7 9" xfId="14120" xr:uid="{20B1F377-9B0F-44DF-8A9E-C5A0DE1FC587}"/>
    <cellStyle name="Input 2 8" xfId="2737" xr:uid="{ABA6F41B-94FD-48C8-AFA1-A9E55B8FDFA5}"/>
    <cellStyle name="Input 2 8 10" xfId="14884" xr:uid="{3FFFCD3B-9032-44B1-8B0B-C9B3DD999D34}"/>
    <cellStyle name="Input 2 8 11" xfId="21751" xr:uid="{795A2421-D341-4DE7-AC39-00C3A2AF7FE4}"/>
    <cellStyle name="Input 2 8 12" xfId="3103" xr:uid="{58AA9E42-290F-4C5A-ABB0-AEC15202E56C}"/>
    <cellStyle name="Input 2 8 2" xfId="4324" xr:uid="{1D44516E-7211-4E0D-8701-2530A951C827}"/>
    <cellStyle name="Input 2 8 2 2" xfId="10181" xr:uid="{89019372-0B8B-4DB8-BF67-BF80CCD909F9}"/>
    <cellStyle name="Input 2 8 2 2 2" xfId="19227" xr:uid="{59B26174-E2F8-45E6-8928-FAA8369C114A}"/>
    <cellStyle name="Input 2 8 2 3" xfId="15741" xr:uid="{E1021E73-5C55-442A-95CF-183BB1850005}"/>
    <cellStyle name="Input 2 8 2 4" xfId="22407" xr:uid="{4232B6CC-87E1-49C2-85E2-9B139EF80D1F}"/>
    <cellStyle name="Input 2 8 3" xfId="4825" xr:uid="{609C9E56-BF20-4AB7-BCA0-051FCF596795}"/>
    <cellStyle name="Input 2 8 3 2" xfId="10681" xr:uid="{FEEEC817-C156-42D7-89A5-D6B1A9A5445A}"/>
    <cellStyle name="Input 2 8 3 2 2" xfId="19727" xr:uid="{E3684DEE-5BD8-4BDF-9593-83E989A49869}"/>
    <cellStyle name="Input 2 8 3 3" xfId="16241" xr:uid="{1965BED2-3044-46A4-A8E9-9123877C0A28}"/>
    <cellStyle name="Input 2 8 3 4" xfId="22902" xr:uid="{6AFABD7D-41BC-4F2F-BE3A-439C545C9431}"/>
    <cellStyle name="Input 2 8 4" xfId="5440" xr:uid="{061A5BDB-BF54-4CCD-BFBE-482052F45C97}"/>
    <cellStyle name="Input 2 8 4 2" xfId="11293" xr:uid="{7E3F4822-DD16-4AB7-B6BB-44E5FF6DCFD3}"/>
    <cellStyle name="Input 2 8 4 2 2" xfId="20339" xr:uid="{2C24BEB5-EA96-42E2-BD22-3EFD8F518AED}"/>
    <cellStyle name="Input 2 8 4 3" xfId="16853" xr:uid="{6CE3B670-1698-460A-A806-406213D051AF}"/>
    <cellStyle name="Input 2 8 5" xfId="6051" xr:uid="{613F2D15-484B-4CE6-AD47-8C11A9875860}"/>
    <cellStyle name="Input 2 8 5 2" xfId="11901" xr:uid="{FD85B808-2EF7-4667-9F49-72A1B9D138B8}"/>
    <cellStyle name="Input 2 8 5 2 2" xfId="20947" xr:uid="{02C99C75-5B7C-432E-BA1D-77419AAEFAAB}"/>
    <cellStyle name="Input 2 8 5 3" xfId="17464" xr:uid="{1AB42E30-B203-4FCE-9DB2-5FF1B4DE5251}"/>
    <cellStyle name="Input 2 8 6" xfId="9315" xr:uid="{C4674F6D-3A10-406C-BDFB-BF99FE7CF8EF}"/>
    <cellStyle name="Input 2 8 6 2" xfId="18361" xr:uid="{25D72E6B-0497-4590-B807-2079A41A9FD3}"/>
    <cellStyle name="Input 2 8 7" xfId="12710" xr:uid="{F9749878-BA91-4DE5-A9AE-D17E5A29993E}"/>
    <cellStyle name="Input 2 8 8" xfId="13271" xr:uid="{E060080A-ED6D-476D-A6EA-97F17FDF9CDA}"/>
    <cellStyle name="Input 2 8 9" xfId="13906" xr:uid="{142169F3-C69A-4367-819F-268AD851B85E}"/>
    <cellStyle name="Input 2 9" xfId="3597" xr:uid="{DA65D330-0677-46FF-B35E-5382B00CBD09}"/>
    <cellStyle name="Input 2 9 2" xfId="9742" xr:uid="{544AB9AB-A374-4C98-9C9A-D1E77638A433}"/>
    <cellStyle name="Input 2 9 2 2" xfId="18788" xr:uid="{07D8D65B-2FC4-4D88-B77E-AB7103686099}"/>
    <cellStyle name="Input 2 9 3" xfId="14421" xr:uid="{47874E2D-D70D-4ED6-8600-550A60F6F5A2}"/>
    <cellStyle name="Input 2 9 4" xfId="15309" xr:uid="{F155B384-8245-4693-A30A-3343C62192F5}"/>
    <cellStyle name="Input 2 9 5" xfId="22265" xr:uid="{559962F9-A577-4B1B-B3D4-EEAC12C78FDF}"/>
    <cellStyle name="Input 2_Corporate Allocators" xfId="7989" xr:uid="{CBB84902-42A9-437B-B607-925F6B9588A8}"/>
    <cellStyle name="Input 3" xfId="1220" xr:uid="{0A003D71-5056-4F00-9534-F6754B582E05}"/>
    <cellStyle name="Input 3 2" xfId="12378" xr:uid="{DC14D497-4E35-461B-9282-677E2CDBE9E6}"/>
    <cellStyle name="Input 3 2 2" xfId="21425" xr:uid="{0C0FB8D3-1EDA-4B63-81A5-AE1E1F1A69F4}"/>
    <cellStyle name="Input 3 2 3" xfId="23618" xr:uid="{EF6AC5ED-D515-4188-97C5-08FF4AF3B4B4}"/>
    <cellStyle name="Input 3 3" xfId="14423" xr:uid="{6F0AE870-8D7E-408E-BCEF-93E61F460906}"/>
    <cellStyle name="Input 3 4" xfId="17957" xr:uid="{859BDC0F-A30B-42DC-855F-C9BC21AC60F5}"/>
    <cellStyle name="Input 3 5" xfId="23422" xr:uid="{6397AC21-C225-49FF-BF24-014DC2121002}"/>
    <cellStyle name="Input 3 6" xfId="7990" xr:uid="{B86C3147-89EC-4D4B-BFD3-505943C5CCDB}"/>
    <cellStyle name="Input 4" xfId="1221" xr:uid="{B493B93C-126C-451B-A513-2181CC926C49}"/>
    <cellStyle name="Input 4 2" xfId="12379" xr:uid="{2DB91B26-30A8-43E3-BB07-01A747FC2D39}"/>
    <cellStyle name="Input 4 2 2" xfId="21426" xr:uid="{1E2E7DA5-528F-4C0F-BDE6-D1988D183C70}"/>
    <cellStyle name="Input 4 2 3" xfId="23619" xr:uid="{CFB3BAAB-3502-4307-BAF9-1BD76A1303B0}"/>
    <cellStyle name="Input 4 3" xfId="14424" xr:uid="{469AD754-479F-4922-892B-D2418F498E7C}"/>
    <cellStyle name="Input 4 4" xfId="17958" xr:uid="{AD419FB1-A4B9-4554-B79B-6E55B01F7BC1}"/>
    <cellStyle name="Input 4 5" xfId="23423" xr:uid="{8E7C093A-3A13-4702-9227-0F62EE28F25A}"/>
    <cellStyle name="Input 4 6" xfId="7991" xr:uid="{F09FA80C-6E1A-40FB-A03D-EA9CEBB1DAE7}"/>
    <cellStyle name="Input 5" xfId="1222" xr:uid="{8202E5CA-E696-4741-A649-DCB4C9646DFA}"/>
    <cellStyle name="Input 5 2" xfId="12380" xr:uid="{28D9E207-1523-42C4-9B69-39E745DE7BFF}"/>
    <cellStyle name="Input 5 2 2" xfId="21427" xr:uid="{26D78D2D-96D2-4CBE-BE55-B745E9990957}"/>
    <cellStyle name="Input 5 2 3" xfId="23620" xr:uid="{926E8D73-DBB3-485D-AFC2-C713EBAA805B}"/>
    <cellStyle name="Input 5 3" xfId="14425" xr:uid="{6D92DEF5-DB9D-4121-A404-143D2C8C0538}"/>
    <cellStyle name="Input 5 4" xfId="17959" xr:uid="{15B1F73F-E797-4C71-8CDE-6649825D365D}"/>
    <cellStyle name="Input 5 5" xfId="23424" xr:uid="{248EA983-6FA8-41D3-ACCA-DD8F907B798A}"/>
    <cellStyle name="Input 5 6" xfId="7992" xr:uid="{81B6E6D7-DC47-4DE8-B7E3-9796FDAAA5CA}"/>
    <cellStyle name="Input 6" xfId="1223" xr:uid="{0592FB96-FA3D-4A06-890D-C2E899583A83}"/>
    <cellStyle name="Input 6 2" xfId="12381" xr:uid="{AE366EBB-29FF-4D5E-97E6-F3AE46170110}"/>
    <cellStyle name="Input 6 2 2" xfId="21428" xr:uid="{917A1A71-3E34-4497-BD48-32DC784707A5}"/>
    <cellStyle name="Input 6 2 3" xfId="23621" xr:uid="{74808684-20C5-431A-B685-456F4930DC93}"/>
    <cellStyle name="Input 6 3" xfId="14426" xr:uid="{972DB75A-CBDD-4BFF-8B80-52B6230ABD87}"/>
    <cellStyle name="Input 6 4" xfId="17960" xr:uid="{6E1AFA9C-9FD6-43F2-9DFD-732B4B57C734}"/>
    <cellStyle name="Input 6 5" xfId="23425" xr:uid="{1D93CB76-2178-4296-B13C-0D69F502B164}"/>
    <cellStyle name="Input 6 6" xfId="7993" xr:uid="{52FBC07D-8338-4EEB-8559-9838A3232D2C}"/>
    <cellStyle name="Input 7" xfId="1224" xr:uid="{E8365EB1-C125-41D9-BCFA-7C789E6CB4A0}"/>
    <cellStyle name="Input 7 2" xfId="12382" xr:uid="{295E423F-ED5E-4678-93AC-C79872E8C9BF}"/>
    <cellStyle name="Input 7 2 2" xfId="21429" xr:uid="{FE01FB2B-3043-4775-BB50-FDDD788D4B79}"/>
    <cellStyle name="Input 7 2 3" xfId="23622" xr:uid="{A8A06A96-C937-4401-A945-EA04114B06F6}"/>
    <cellStyle name="Input 7 3" xfId="14427" xr:uid="{5D5A3BD1-9AA9-4F93-BD41-C090C6FE885F}"/>
    <cellStyle name="Input 7 4" xfId="17961" xr:uid="{BDE0B169-EDEA-41C7-A2A3-8491A893E3BE}"/>
    <cellStyle name="Input 7 5" xfId="23426" xr:uid="{5802C1E8-BE1F-46CE-A65D-69DF6D11047E}"/>
    <cellStyle name="Input 7 6" xfId="7994" xr:uid="{0DE2684C-59C3-4942-8831-94569189A23B}"/>
    <cellStyle name="Input 8" xfId="1225" xr:uid="{64EF8566-91E4-4833-9755-2784BCF047DB}"/>
    <cellStyle name="Input 8 2" xfId="12383" xr:uid="{4617A2D2-9D08-431F-A78B-CB3C5C6D032A}"/>
    <cellStyle name="Input 8 2 2" xfId="21430" xr:uid="{DABB94DB-58E9-4A25-A177-4A218E8D958D}"/>
    <cellStyle name="Input 8 2 3" xfId="23623" xr:uid="{53C22913-0E93-494A-9A5D-8D3E5949F527}"/>
    <cellStyle name="Input 8 3" xfId="14428" xr:uid="{2D82FC8E-7456-46B5-96AD-A1E3AA186821}"/>
    <cellStyle name="Input 8 4" xfId="17962" xr:uid="{154DF6EF-8C06-4BDD-9AE8-B7B2DD960272}"/>
    <cellStyle name="Input 8 5" xfId="23427" xr:uid="{569032C8-7D7E-42CE-8688-5906BAACDBD8}"/>
    <cellStyle name="Input 8 6" xfId="7995" xr:uid="{6E26E363-2B21-4972-B37B-8985415DB691}"/>
    <cellStyle name="Input 9" xfId="1226" xr:uid="{15129186-B6CF-49E8-94CD-E6386DFEB66D}"/>
    <cellStyle name="Input 9 2" xfId="12384" xr:uid="{8985E0E2-CDD8-4A80-A736-B749B593B5F5}"/>
    <cellStyle name="Input 9 2 2" xfId="21431" xr:uid="{8F38C050-F969-4302-AA88-C2D545A69937}"/>
    <cellStyle name="Input 9 2 3" xfId="23624" xr:uid="{D8D7B2BB-6DE8-4A32-8F86-D9678D17BEC1}"/>
    <cellStyle name="Input 9 3" xfId="14429" xr:uid="{4C49B2B2-C58F-4D4D-9862-A2394621940C}"/>
    <cellStyle name="Input 9 4" xfId="17963" xr:uid="{90D0A977-5B1E-4CFE-A073-8DD11A50C7D7}"/>
    <cellStyle name="Input 9 5" xfId="23428" xr:uid="{1F7B98C8-44AD-49C0-9F82-0D730E5F21A1}"/>
    <cellStyle name="Input 9 6" xfId="7996" xr:uid="{82EB4A17-9413-4C93-8E9E-E68BA1DE52FC}"/>
    <cellStyle name="Input text" xfId="1227" xr:uid="{65A36796-5857-4F05-A0EB-C72422777AE6}"/>
    <cellStyle name="Input text 2" xfId="1228" xr:uid="{83EF03FD-E610-4865-8531-B86C6DB40D58}"/>
    <cellStyle name="Input text_6. Ass-Fin" xfId="1229" xr:uid="{FA7A5BEC-701B-4E6B-B2CD-15B431495924}"/>
    <cellStyle name="Input1" xfId="34" xr:uid="{73D89C6A-30A6-4483-B271-94A2E4858C01}"/>
    <cellStyle name="Input1 2" xfId="176" xr:uid="{2A312D3B-FA94-455F-BF5D-32BED8F5B9FC}"/>
    <cellStyle name="Input1 2 2" xfId="367" xr:uid="{12422797-7539-4788-AE6C-5C724310F13B}"/>
    <cellStyle name="Input1 2 3" xfId="1230" xr:uid="{9A627AC8-03D4-42DC-9E86-A0DBD7BE9958}"/>
    <cellStyle name="Input1 3" xfId="368" xr:uid="{34559533-33AA-4AAA-9BA1-24764DBA607E}"/>
    <cellStyle name="Input1 3 2" xfId="369" xr:uid="{4496C076-0B0F-44B7-BCC8-302344708EC1}"/>
    <cellStyle name="Input1 3 2 2" xfId="6482" xr:uid="{58B5833E-1C09-4795-9555-33917E182B9E}"/>
    <cellStyle name="Input1 3 3" xfId="3050" xr:uid="{817A129A-3408-4513-B5DE-1AED4CC947ED}"/>
    <cellStyle name="Input1 3 4" xfId="1231" xr:uid="{F0729BD9-E046-4227-8E95-82F7E4EB7D8C}"/>
    <cellStyle name="Input1 4" xfId="370" xr:uid="{ECD89904-5BC5-44C7-94F8-75BC02561A14}"/>
    <cellStyle name="Input1 4 2" xfId="2322" xr:uid="{F852107E-8230-4857-A598-A56D492947D0}"/>
    <cellStyle name="Input1 5" xfId="371" xr:uid="{61DDD9CD-9B46-4587-A3C7-47F83A4EFAF7}"/>
    <cellStyle name="Input1 6" xfId="596" xr:uid="{99061F7F-FF23-4ED4-98ED-146C11488A28}"/>
    <cellStyle name="Input1%" xfId="372" xr:uid="{797812F0-1B06-4A2A-BD6A-D016F62E4CD5}"/>
    <cellStyle name="Input1_ICRC Electricity model 1-1  (1 Feb 2003) " xfId="177" xr:uid="{64BE9D37-66BD-444B-A980-9FC73933CFB0}"/>
    <cellStyle name="Input1default" xfId="373" xr:uid="{7A89CF7C-F311-493C-A5E6-68524F920C6D}"/>
    <cellStyle name="Input1default%" xfId="374" xr:uid="{D1C01355-AC8D-4638-99E8-897E24151C2C}"/>
    <cellStyle name="Input2" xfId="178" xr:uid="{13EE1FB7-4A68-4458-A157-EB54C307EF3A}"/>
    <cellStyle name="Input2 2" xfId="179" xr:uid="{04273B88-99CD-4932-9048-7F9EF2C251D7}"/>
    <cellStyle name="Input2 3" xfId="375" xr:uid="{3E031FC6-81F5-42F3-87C7-880D10E70070}"/>
    <cellStyle name="Input3" xfId="35" xr:uid="{6A719555-1A97-4D6E-AE1F-3D128904B142}"/>
    <cellStyle name="Input3 2" xfId="180" xr:uid="{48173701-D1AF-486E-BC7E-05A07344B1E6}"/>
    <cellStyle name="Input3 2 2" xfId="1232" xr:uid="{72253AD6-9B23-42AC-845E-9861FC68C325}"/>
    <cellStyle name="Input3 3" xfId="376" xr:uid="{397B522F-F6EC-43DB-809D-EEB048DF70E9}"/>
    <cellStyle name="Input3 3 2" xfId="2323" xr:uid="{F896AB95-F217-4D87-A873-5D137AEC537B}"/>
    <cellStyle name="Input3 4" xfId="2324" xr:uid="{A35BB5B0-4EA9-4470-B5F2-63A02B486B8E}"/>
    <cellStyle name="Input3 5" xfId="597" xr:uid="{041CD787-EE6C-47BF-96C8-E8E1F790F7D4}"/>
    <cellStyle name="InputCell" xfId="377" xr:uid="{F7B44023-9E30-4A47-8665-9E5A7966C688}"/>
    <cellStyle name="InputCell 2" xfId="378" xr:uid="{C6BA9206-59C4-40EC-98AB-A6B6EB079A9D}"/>
    <cellStyle name="InputCell 3" xfId="379" xr:uid="{5FC5E8EE-256C-4B74-902D-6B7ED24E2D0D}"/>
    <cellStyle name="InputCellText" xfId="380" xr:uid="{F949D199-7D46-4767-97BF-92440777DE7C}"/>
    <cellStyle name="InputCellText 2" xfId="381" xr:uid="{F713E254-74C9-45B7-993E-59EFE484BC80}"/>
    <cellStyle name="InputCellText 3" xfId="382" xr:uid="{5FEA90DF-10E4-4B7F-AE77-D4364512665E}"/>
    <cellStyle name="InputMandatory" xfId="7997" xr:uid="{1FECB6CA-6AB5-4B3A-B79B-2C9729988001}"/>
    <cellStyle name="InputMandatory 2" xfId="12385" xr:uid="{947F413A-D5C2-4601-813E-F2FC9DD26E9A}"/>
    <cellStyle name="InputMandatory 2 2" xfId="21432" xr:uid="{C1459341-0B57-48DE-BEB7-227A9213FCB9}"/>
    <cellStyle name="InputMandatory 2 3" xfId="23625" xr:uid="{6DBAC90F-6B4F-4F0D-A498-3B8A2C5E750F}"/>
    <cellStyle name="InputMandatory 3" xfId="14430" xr:uid="{87943E2C-EB75-4E78-869F-5C6C464C7636}"/>
    <cellStyle name="InputMandatory 4" xfId="17964" xr:uid="{F58DD5B6-BC43-4319-8EBD-3A28A0DFFF46}"/>
    <cellStyle name="InputMandatory 5" xfId="23429" xr:uid="{19877BC0-CC8F-4920-8667-676C982A35C7}"/>
    <cellStyle name="InputOptional" xfId="7998" xr:uid="{2C69DFD8-8140-40E6-867F-F0A76C2BAFD3}"/>
    <cellStyle name="InputOptional 2" xfId="12386" xr:uid="{59862B22-3514-428D-84F8-3EA89AC16D1B}"/>
    <cellStyle name="InputOptional 2 2" xfId="21433" xr:uid="{4E4DED5F-C78E-405E-B431-16B089E8CFFC}"/>
    <cellStyle name="InputOptional 2 3" xfId="23626" xr:uid="{C5C903AE-BE97-4D0C-8BF8-9F199C0A98BC}"/>
    <cellStyle name="InputOptional 3" xfId="14431" xr:uid="{86A7637B-9AEB-49FC-9AD6-BE2C36F87BA9}"/>
    <cellStyle name="InputOptional 4" xfId="17965" xr:uid="{A16A6BF3-198C-4007-B07B-4F5CB4739B02}"/>
    <cellStyle name="InputOptional 5" xfId="23430" xr:uid="{A9E98868-970C-4E00-BBFD-E529DAF990BE}"/>
    <cellStyle name="Integer" xfId="1233" xr:uid="{44CE715A-71E4-40CF-99B2-0FAF037E0567}"/>
    <cellStyle name="Internal Ref" xfId="2325" xr:uid="{2EC26A0B-1C7D-4E83-A11D-9DF346892EEE}"/>
    <cellStyle name="Internal Ref 2" xfId="23967" xr:uid="{8959B8BF-52CB-4F43-9224-0FCD7456EFFD}"/>
    <cellStyle name="JUNTR" xfId="1234" xr:uid="{D7018060-B9FB-4FF4-BFDF-D60761A52AA4}"/>
    <cellStyle name="key result" xfId="383" xr:uid="{1C9D12AE-E342-4B81-AC24-4571F6E5FD10}"/>
    <cellStyle name="KPMG Heading 1" xfId="1235" xr:uid="{5C1AB757-04C8-4C91-9DB2-1683661CA8C0}"/>
    <cellStyle name="KPMG Heading 2" xfId="1236" xr:uid="{50811343-2ABE-463E-A4E6-C8B37083A2FE}"/>
    <cellStyle name="KPMG Heading 3" xfId="1237" xr:uid="{2606161A-425C-465B-BBDB-7A91C0BC4FFF}"/>
    <cellStyle name="KPMG Heading 4" xfId="1238" xr:uid="{F26EAD7C-F895-4501-9CED-B174EDB19500}"/>
    <cellStyle name="KPMG Normal" xfId="1239" xr:uid="{76616447-CB83-4998-8723-F358ECC19CD5}"/>
    <cellStyle name="KPMG Normal Text" xfId="1240" xr:uid="{86A986FC-B4D6-426D-B5B4-8227F68AB512}"/>
    <cellStyle name="KPMG Normal_7. Ass" xfId="1241" xr:uid="{5D1B7871-1364-4BD7-8F69-40E47503CC54}"/>
    <cellStyle name="label" xfId="1242" xr:uid="{020A4DBD-AFF4-433F-B85D-5FDE0357AB86}"/>
    <cellStyle name="Line Calc" xfId="2326" xr:uid="{6025D03E-F4FA-4246-8E9F-9282EC6AF46E}"/>
    <cellStyle name="Line Calc 2" xfId="23968" xr:uid="{0915FAD0-58C5-48F4-ABC7-0AEEF3A44EFC}"/>
    <cellStyle name="Line Total" xfId="2327" xr:uid="{41384B6C-B45C-4C97-A6C8-3BAF8B0BA599}"/>
    <cellStyle name="Line Total 2" xfId="2663" xr:uid="{E098C05D-5870-4F83-A99B-A271B4B67036}"/>
    <cellStyle name="Lines" xfId="181" xr:uid="{2620DBE5-5BB3-4E87-B0B9-89ACE14E5782}"/>
    <cellStyle name="Lines 2" xfId="1243" xr:uid="{28311E8E-B03F-4999-874A-09D5794C1F9B}"/>
    <cellStyle name="Lines 2 2" xfId="3865" xr:uid="{7783270F-0486-4D94-B307-34CF4634A4CC}"/>
    <cellStyle name="Lines 3" xfId="3598" xr:uid="{A0A177EA-1698-4B65-B6F7-E2667EA7A893}"/>
    <cellStyle name="Lines_7. Ass" xfId="1244" xr:uid="{638EF399-D495-447F-BCC6-1B75E9AD51C3}"/>
    <cellStyle name="Link Currency (0)" xfId="1245" xr:uid="{F0597C08-9E94-4897-85E5-2C51C6D42CEC}"/>
    <cellStyle name="Link Currency (0) 10" xfId="8000" xr:uid="{46687E07-7DD6-40CE-9A22-BA4BD97F0973}"/>
    <cellStyle name="Link Currency (0) 10 2" xfId="8001" xr:uid="{E2F23374-EB8D-4DAE-89E3-5892EE387FA1}"/>
    <cellStyle name="Link Currency (0) 10 2 2" xfId="8002" xr:uid="{6553CDB7-BE06-4EA2-A7FF-D48B79364638}"/>
    <cellStyle name="Link Currency (0) 11" xfId="7999" xr:uid="{150278BF-3F15-40C2-9751-946F37A7B066}"/>
    <cellStyle name="Link Currency (0) 2" xfId="8003" xr:uid="{02771910-BD38-4ED6-9B20-38456FAA9421}"/>
    <cellStyle name="Link Currency (0) 2 2" xfId="8004" xr:uid="{7D264656-7C36-4399-B528-F251C2109812}"/>
    <cellStyle name="Link Currency (0) 2 3" xfId="8005" xr:uid="{2E65FF25-C86E-42E5-B96D-D44F1146C142}"/>
    <cellStyle name="Link Currency (0) 3" xfId="8006" xr:uid="{A039E21D-FF85-4F37-8F83-31D4A775BF6D}"/>
    <cellStyle name="Link Currency (0) 3 2" xfId="8007" xr:uid="{A403F2F2-F5EF-4D76-9B55-097754FF3A72}"/>
    <cellStyle name="Link Currency (0) 3 3" xfId="8008" xr:uid="{33FACCEF-EADF-4B37-83DC-EAEE71B72274}"/>
    <cellStyle name="Link Currency (0) 4" xfId="8009" xr:uid="{F7C53660-A538-4997-A622-2F355DE10D03}"/>
    <cellStyle name="Link Currency (0) 4 2" xfId="8010" xr:uid="{1C49793A-77F5-497D-9A77-5DCAB5D6D6F4}"/>
    <cellStyle name="Link Currency (0) 4 3" xfId="8011" xr:uid="{1438BC79-D3E9-4950-A22B-560239E31B8A}"/>
    <cellStyle name="Link Currency (0) 5" xfId="8012" xr:uid="{BFFD1300-481D-48F7-91C5-2D4F98C0D39B}"/>
    <cellStyle name="Link Currency (0) 5 2" xfId="8013" xr:uid="{BE63F413-845D-4405-BF49-CEE61066D3A7}"/>
    <cellStyle name="Link Currency (0) 5 3" xfId="8014" xr:uid="{EC7A3C79-6669-488C-8EFA-7B308EB2FD40}"/>
    <cellStyle name="Link Currency (0) 6" xfId="8015" xr:uid="{78364F95-9E4C-4FD3-9A67-B777F995D0F8}"/>
    <cellStyle name="Link Currency (0) 6 2" xfId="8016" xr:uid="{3E676C6C-42AE-439F-835D-D2EA90EB8D71}"/>
    <cellStyle name="Link Currency (0) 6 3" xfId="8017" xr:uid="{3DF292F3-38F9-4AA1-BF7D-0E9DE464833C}"/>
    <cellStyle name="Link Currency (0) 7" xfId="8018" xr:uid="{37992DE3-61AB-4013-8C07-ACCE3F306EC3}"/>
    <cellStyle name="Link Currency (0) 7 2" xfId="8019" xr:uid="{AE084DEA-63FB-46DE-B558-FE555EBAE0FD}"/>
    <cellStyle name="Link Currency (0) 7 3" xfId="8020" xr:uid="{8C7665CD-3D7F-4874-B83D-8CDB78209BC7}"/>
    <cellStyle name="Link Currency (0) 8" xfId="8021" xr:uid="{6317E65D-0BE0-41A1-80D7-D3297387724C}"/>
    <cellStyle name="Link Currency (0) 8 2" xfId="8022" xr:uid="{5DD92B18-E537-4D10-9C03-447887551041}"/>
    <cellStyle name="Link Currency (0) 8 3" xfId="8023" xr:uid="{B8CA4861-90F9-4721-876E-0D442AE79A5B}"/>
    <cellStyle name="Link Currency (0) 9" xfId="8024" xr:uid="{23CCD88F-C085-46E7-8083-55D55DE4007B}"/>
    <cellStyle name="Link Currency (0) 9 2" xfId="8025" xr:uid="{D5948A41-376E-4901-A120-097E45CB6A49}"/>
    <cellStyle name="Link Currency (0) 9 3" xfId="8026" xr:uid="{49A305D7-FB47-4671-AF94-43C9A87DD86A}"/>
    <cellStyle name="Link Currency (2)" xfId="1246" xr:uid="{749202A4-6903-4557-ADC9-5A6CEFAE9A57}"/>
    <cellStyle name="Link Currency (2) 10" xfId="8028" xr:uid="{0644C9D6-199A-4202-AE60-99E3BDC75D93}"/>
    <cellStyle name="Link Currency (2) 10 2" xfId="8029" xr:uid="{4A6D801B-5F8F-49CD-8641-D672575D1584}"/>
    <cellStyle name="Link Currency (2) 10 2 2" xfId="8030" xr:uid="{81738F63-0C03-49C6-98C5-A84D98FBF243}"/>
    <cellStyle name="Link Currency (2) 11" xfId="8027" xr:uid="{5CF02035-6434-4129-9F0F-0B4C42124159}"/>
    <cellStyle name="Link Currency (2) 2" xfId="8031" xr:uid="{28C1194F-4795-4576-931A-6488D012B85C}"/>
    <cellStyle name="Link Currency (2) 2 2" xfId="8032" xr:uid="{3A0CFE5D-355C-4606-9E45-086EA0E6D1B7}"/>
    <cellStyle name="Link Currency (2) 2 3" xfId="8033" xr:uid="{DA55E3BF-31B2-41B8-AF4A-CF6183611DAE}"/>
    <cellStyle name="Link Currency (2) 3" xfId="8034" xr:uid="{06E3430A-B324-4C96-814D-27618A0E39C7}"/>
    <cellStyle name="Link Currency (2) 3 2" xfId="8035" xr:uid="{9F879BA2-2CCA-4511-97EB-3BED5CF32932}"/>
    <cellStyle name="Link Currency (2) 3 3" xfId="8036" xr:uid="{12CFC41C-FABF-4A0A-8400-65F04D38CA6D}"/>
    <cellStyle name="Link Currency (2) 4" xfId="8037" xr:uid="{6BA9E0AC-8C75-4C50-BF14-40BA3C4985BE}"/>
    <cellStyle name="Link Currency (2) 4 2" xfId="8038" xr:uid="{9599668A-05C3-4804-8E7A-3E35CEA4068E}"/>
    <cellStyle name="Link Currency (2) 4 3" xfId="8039" xr:uid="{6BCDE280-5533-40F5-925D-DB1DBD9A15C0}"/>
    <cellStyle name="Link Currency (2) 5" xfId="8040" xr:uid="{AA467DDF-5239-447B-9BE3-3462F61695D1}"/>
    <cellStyle name="Link Currency (2) 5 2" xfId="8041" xr:uid="{BA748165-450F-4B6A-8194-021E720E8D8B}"/>
    <cellStyle name="Link Currency (2) 5 3" xfId="8042" xr:uid="{2BFE396F-9D93-460B-ACEB-79D45CFF63C3}"/>
    <cellStyle name="Link Currency (2) 6" xfId="8043" xr:uid="{039F9063-123D-42F3-A457-C9C01CE03A3D}"/>
    <cellStyle name="Link Currency (2) 6 2" xfId="8044" xr:uid="{22920823-0B9E-4C9C-A52B-08ECF35437D1}"/>
    <cellStyle name="Link Currency (2) 6 3" xfId="8045" xr:uid="{420B3C79-F8B9-42E1-8058-C0A5735DAA3F}"/>
    <cellStyle name="Link Currency (2) 7" xfId="8046" xr:uid="{935EA102-406A-4B1B-93E3-1BA4A36DACBE}"/>
    <cellStyle name="Link Currency (2) 7 2" xfId="8047" xr:uid="{FD7854B2-0E9E-4BF3-9C06-4472BCD437F1}"/>
    <cellStyle name="Link Currency (2) 7 3" xfId="8048" xr:uid="{66291F9F-6137-48CE-9FC3-9F975CAC703D}"/>
    <cellStyle name="Link Currency (2) 8" xfId="8049" xr:uid="{24E1DFE0-A939-4340-89E0-C6716E1CBAAB}"/>
    <cellStyle name="Link Currency (2) 8 2" xfId="8050" xr:uid="{ADCED7BA-0DE5-4446-AEE3-F6AE01B2056F}"/>
    <cellStyle name="Link Currency (2) 8 3" xfId="8051" xr:uid="{5EDDADA7-9652-459C-91B3-FB1073C85DEA}"/>
    <cellStyle name="Link Currency (2) 9" xfId="8052" xr:uid="{A3306785-54CA-4543-A83E-6433712ED459}"/>
    <cellStyle name="Link Currency (2) 9 2" xfId="8053" xr:uid="{9494AE13-B8A0-427C-9DAB-BC083242498B}"/>
    <cellStyle name="Link Currency (2) 9 3" xfId="8054" xr:uid="{3A0C0357-6CC7-4401-8B80-F378E1CAA77D}"/>
    <cellStyle name="Link Units (0)" xfId="1247" xr:uid="{BD5FB753-6C5D-468A-BED0-372E6A61FF18}"/>
    <cellStyle name="Link Units (0) 10" xfId="8056" xr:uid="{513174E5-B598-491F-A9CB-3355031E11D4}"/>
    <cellStyle name="Link Units (0) 10 2" xfId="8057" xr:uid="{3142799E-66C4-4167-97C1-A96B7921FD22}"/>
    <cellStyle name="Link Units (0) 10 2 2" xfId="8058" xr:uid="{FDC154FD-9204-4FAC-83DC-782AA7C3A879}"/>
    <cellStyle name="Link Units (0) 11" xfId="8055" xr:uid="{01A6E9D5-8CFC-49D2-9468-9AE6ACCBEEF7}"/>
    <cellStyle name="Link Units (0) 2" xfId="8059" xr:uid="{8BA0C1A8-3991-40F3-AF8D-1058DE1EF888}"/>
    <cellStyle name="Link Units (0) 2 2" xfId="8060" xr:uid="{1A7CEF9E-2D16-411F-9A24-B88F74C3DAA0}"/>
    <cellStyle name="Link Units (0) 2 3" xfId="8061" xr:uid="{0AD3F153-14D7-4766-806A-C126F603607C}"/>
    <cellStyle name="Link Units (0) 3" xfId="8062" xr:uid="{C37517C9-8E24-4364-921A-5F8470FA730F}"/>
    <cellStyle name="Link Units (0) 3 2" xfId="8063" xr:uid="{4A57012F-BB4B-43CB-B311-3667958D5227}"/>
    <cellStyle name="Link Units (0) 3 3" xfId="8064" xr:uid="{4587546D-4090-4B41-B8F3-31D16FBC85FA}"/>
    <cellStyle name="Link Units (0) 4" xfId="8065" xr:uid="{4B94B8C5-7974-4704-90EC-10A539EC6E67}"/>
    <cellStyle name="Link Units (0) 4 2" xfId="8066" xr:uid="{2052EB28-5C7B-4143-8264-C3B1FE8C9F0D}"/>
    <cellStyle name="Link Units (0) 4 3" xfId="8067" xr:uid="{F6842E80-0732-48DD-AB7E-78F7914525C7}"/>
    <cellStyle name="Link Units (0) 5" xfId="8068" xr:uid="{8498FA50-C527-48C2-BF2E-C2595E70187A}"/>
    <cellStyle name="Link Units (0) 5 2" xfId="8069" xr:uid="{6D4049B5-2443-4637-B173-C5852378E96C}"/>
    <cellStyle name="Link Units (0) 5 3" xfId="8070" xr:uid="{8C644680-9BCD-4822-B400-DD8FD3AA549C}"/>
    <cellStyle name="Link Units (0) 6" xfId="8071" xr:uid="{DED26995-EB92-482C-BBF9-78E0DB12FF40}"/>
    <cellStyle name="Link Units (0) 6 2" xfId="8072" xr:uid="{4B07AA23-486E-4C16-906D-1EA41021F8E0}"/>
    <cellStyle name="Link Units (0) 6 3" xfId="8073" xr:uid="{BB30E135-6C5F-4C32-99C8-9732A8F4F1BA}"/>
    <cellStyle name="Link Units (0) 7" xfId="8074" xr:uid="{974A797E-9055-4799-820C-5D03AAE717E8}"/>
    <cellStyle name="Link Units (0) 7 2" xfId="8075" xr:uid="{7309595B-7BAA-474C-AF77-87A2AEAE659C}"/>
    <cellStyle name="Link Units (0) 7 3" xfId="8076" xr:uid="{EAD065B1-764C-41D9-A25C-49CB336CF213}"/>
    <cellStyle name="Link Units (0) 8" xfId="8077" xr:uid="{A552A360-1824-41B8-B931-6C41B9387989}"/>
    <cellStyle name="Link Units (0) 8 2" xfId="8078" xr:uid="{C2B0B634-D404-46E0-9845-06C5AB011BDB}"/>
    <cellStyle name="Link Units (0) 8 3" xfId="8079" xr:uid="{6CA7AD18-1354-4CF0-B19D-EA4041EAF765}"/>
    <cellStyle name="Link Units (0) 9" xfId="8080" xr:uid="{592397D7-6A97-42E4-A5F3-026AB964A954}"/>
    <cellStyle name="Link Units (0) 9 2" xfId="8081" xr:uid="{8FF8A2CD-8C0D-4AC8-B7E5-9DC16F0782AE}"/>
    <cellStyle name="Link Units (0) 9 3" xfId="8082" xr:uid="{E93BF269-02C5-45E3-ACCE-4229C1F9E51B}"/>
    <cellStyle name="Link Units (1)" xfId="1248" xr:uid="{C8976DCD-121A-4D7C-8D7F-B090923BB987}"/>
    <cellStyle name="Link Units (1) 10" xfId="8084" xr:uid="{9827EAA3-5649-4014-B05C-BDC810F23D20}"/>
    <cellStyle name="Link Units (1) 10 2" xfId="8085" xr:uid="{3285B20B-BCFB-4F3B-9A86-0087D5024404}"/>
    <cellStyle name="Link Units (1) 10 2 2" xfId="8086" xr:uid="{B33EC108-FE8B-4078-B228-A8B361A06376}"/>
    <cellStyle name="Link Units (1) 11" xfId="8083" xr:uid="{197559F2-A048-49C7-B11B-07B3B21CD538}"/>
    <cellStyle name="Link Units (1) 2" xfId="8087" xr:uid="{B1D7B580-A87C-4C9C-AB43-305D32F5D398}"/>
    <cellStyle name="Link Units (1) 2 2" xfId="8088" xr:uid="{4C0DFC11-393C-465D-8A44-5CB9C7989154}"/>
    <cellStyle name="Link Units (1) 2 3" xfId="8089" xr:uid="{39089DBC-865B-4765-8F64-41DBA44723FE}"/>
    <cellStyle name="Link Units (1) 3" xfId="8090" xr:uid="{3B66A9A3-8030-4C8E-AA6A-A61E131DCFFC}"/>
    <cellStyle name="Link Units (1) 3 2" xfId="8091" xr:uid="{D1A1787C-A402-4205-BBB5-B6B3B450060A}"/>
    <cellStyle name="Link Units (1) 3 3" xfId="8092" xr:uid="{5F62AAA5-161C-448C-8032-8F3999221676}"/>
    <cellStyle name="Link Units (1) 4" xfId="8093" xr:uid="{0DDE1F43-A537-436E-920E-E51FD6D55E4D}"/>
    <cellStyle name="Link Units (1) 4 2" xfId="8094" xr:uid="{E4D91A9A-C9A2-47F9-B935-B575D1A45E90}"/>
    <cellStyle name="Link Units (1) 4 3" xfId="8095" xr:uid="{9EA3EBBC-DFE4-4229-B708-E08D350846C6}"/>
    <cellStyle name="Link Units (1) 5" xfId="8096" xr:uid="{5AAA0FC0-39D2-40D2-AF00-6EA2779F87F5}"/>
    <cellStyle name="Link Units (1) 5 2" xfId="8097" xr:uid="{63C3EF41-ECF4-4178-85A8-E8FFCAB20774}"/>
    <cellStyle name="Link Units (1) 5 3" xfId="8098" xr:uid="{0E6D0BC0-5F50-48CB-A2D0-6B85D607BC6E}"/>
    <cellStyle name="Link Units (1) 6" xfId="8099" xr:uid="{E1EFA718-0AAF-4436-BC32-23673FBD4420}"/>
    <cellStyle name="Link Units (1) 6 2" xfId="8100" xr:uid="{916A0BAA-1518-4A9F-A2AF-C26D48CA10D3}"/>
    <cellStyle name="Link Units (1) 6 3" xfId="8101" xr:uid="{78DEA8E1-F3FA-44F7-8FE6-6DB06F06A185}"/>
    <cellStyle name="Link Units (1) 7" xfId="8102" xr:uid="{8BFCF8E4-A810-41BF-BE6D-165188C7D7E3}"/>
    <cellStyle name="Link Units (1) 7 2" xfId="8103" xr:uid="{F218CEBB-32E0-4768-9096-11608D40714B}"/>
    <cellStyle name="Link Units (1) 7 3" xfId="8104" xr:uid="{4656ED0D-5234-42AD-BA60-24BDC4EF0BDE}"/>
    <cellStyle name="Link Units (1) 8" xfId="8105" xr:uid="{AB9F140C-B1BA-49F4-9C22-7B912A63D940}"/>
    <cellStyle name="Link Units (1) 8 2" xfId="8106" xr:uid="{757479B4-3C01-4889-9F8C-F44341B9B4A1}"/>
    <cellStyle name="Link Units (1) 8 3" xfId="8107" xr:uid="{6AA0AD20-6657-4A73-9941-34C5DE5469F6}"/>
    <cellStyle name="Link Units (1) 9" xfId="8108" xr:uid="{54D12E98-CAF7-4CBD-A51A-844D6C2705D7}"/>
    <cellStyle name="Link Units (1) 9 2" xfId="8109" xr:uid="{44B8E882-B91B-4C84-AC31-74F11B8D58B8}"/>
    <cellStyle name="Link Units (1) 9 3" xfId="8110" xr:uid="{7573D529-4CC6-4F28-8830-B4736534067C}"/>
    <cellStyle name="Link Units (2)" xfId="1249" xr:uid="{D9017921-5729-4016-ADED-409ABB8D98E2}"/>
    <cellStyle name="Link Units (2) 10" xfId="8112" xr:uid="{E834356E-2474-475E-A8C4-1199C7CCDB54}"/>
    <cellStyle name="Link Units (2) 10 2" xfId="8113" xr:uid="{F3CD3D60-28BD-4B24-AF3A-E5D916579779}"/>
    <cellStyle name="Link Units (2) 10 2 2" xfId="8114" xr:uid="{C9A27042-6233-4745-B5CE-78FF68744DCF}"/>
    <cellStyle name="Link Units (2) 11" xfId="8111" xr:uid="{A70DCF95-7C55-4B1B-B85C-4E813952FE1C}"/>
    <cellStyle name="Link Units (2) 2" xfId="8115" xr:uid="{8A5CED2A-50A6-4723-9F66-90EAA9B9AEC5}"/>
    <cellStyle name="Link Units (2) 2 2" xfId="8116" xr:uid="{213D5AFC-FF29-48BA-9B0A-42F6619C5291}"/>
    <cellStyle name="Link Units (2) 2 3" xfId="8117" xr:uid="{7803797E-2C79-449E-8360-D1468B7ADF19}"/>
    <cellStyle name="Link Units (2) 3" xfId="8118" xr:uid="{797411E9-74CC-4A5F-84F5-57300B133C2E}"/>
    <cellStyle name="Link Units (2) 3 2" xfId="8119" xr:uid="{26D6DF41-5C85-42F1-9E07-2BE6627A0BD4}"/>
    <cellStyle name="Link Units (2) 3 3" xfId="8120" xr:uid="{AA0D7FBC-2C8E-40DB-BB8D-B10C85767DED}"/>
    <cellStyle name="Link Units (2) 4" xfId="8121" xr:uid="{ABF8F13D-FD00-47E0-B9C1-18D8CFC9ACB5}"/>
    <cellStyle name="Link Units (2) 4 2" xfId="8122" xr:uid="{4D869C73-C6BB-48E3-8CC5-6C05E6C625A9}"/>
    <cellStyle name="Link Units (2) 4 3" xfId="8123" xr:uid="{E8D1AE83-BDB2-4CB3-97E5-2BCFEEC1AA91}"/>
    <cellStyle name="Link Units (2) 5" xfId="8124" xr:uid="{56D2A527-141A-48FE-B70C-D6FDDF4B83EA}"/>
    <cellStyle name="Link Units (2) 5 2" xfId="8125" xr:uid="{619A27D9-1C51-45C4-BE23-E8B6E7E73499}"/>
    <cellStyle name="Link Units (2) 5 3" xfId="8126" xr:uid="{06F33BFB-214A-4842-A73F-99E6F0B4D719}"/>
    <cellStyle name="Link Units (2) 6" xfId="8127" xr:uid="{0F5E93BD-CF13-4745-ACBD-1CDA3AC01360}"/>
    <cellStyle name="Link Units (2) 6 2" xfId="8128" xr:uid="{D786801E-1279-49AF-B317-E6679D5736A2}"/>
    <cellStyle name="Link Units (2) 6 3" xfId="8129" xr:uid="{9B59FB35-0161-40BA-830A-BE5651580C30}"/>
    <cellStyle name="Link Units (2) 7" xfId="8130" xr:uid="{B23F981A-7956-4A8B-9E08-C0F0A0037942}"/>
    <cellStyle name="Link Units (2) 7 2" xfId="8131" xr:uid="{E36D2EC6-5FAC-4B72-A889-257492D79D27}"/>
    <cellStyle name="Link Units (2) 7 3" xfId="8132" xr:uid="{61401AC4-EB51-4F12-8010-AF9FE4FBA18B}"/>
    <cellStyle name="Link Units (2) 8" xfId="8133" xr:uid="{E803B22A-A31E-4362-8B61-945F3787D8D6}"/>
    <cellStyle name="Link Units (2) 8 2" xfId="8134" xr:uid="{A667C743-1CC8-42E7-8C5D-D2E6BB3734FE}"/>
    <cellStyle name="Link Units (2) 8 3" xfId="8135" xr:uid="{289FCF3D-ED83-404A-9DF6-7E6623B6A311}"/>
    <cellStyle name="Link Units (2) 9" xfId="8136" xr:uid="{85D7C6F5-62AD-4DAF-A415-232B1B031F4B}"/>
    <cellStyle name="Link Units (2) 9 2" xfId="8137" xr:uid="{BDFFF3C9-291B-49C8-AE80-6CE52FD977B5}"/>
    <cellStyle name="Link Units (2) 9 3" xfId="8138" xr:uid="{31FE4762-B0B5-46F3-AEE0-2BCC6C183D21}"/>
    <cellStyle name="Linked Cell 10" xfId="8139" xr:uid="{970734AB-1D3C-4639-B727-EF3FBF9AA9C3}"/>
    <cellStyle name="Linked Cell 11" xfId="8140" xr:uid="{5A11E9EC-7241-43FE-A252-A5D65BA41D46}"/>
    <cellStyle name="Linked Cell 2" xfId="182" xr:uid="{D000CB88-8C30-474F-849A-E12F1952A3BF}"/>
    <cellStyle name="Linked Cell 2 2" xfId="3866" xr:uid="{233E7015-7482-46A9-BE29-5D087AE46726}"/>
    <cellStyle name="Linked Cell 2 3" xfId="3599" xr:uid="{D1AED7FC-D5A4-4D02-9062-3BF35B50FB2A}"/>
    <cellStyle name="Linked Cell 3" xfId="8141" xr:uid="{FC3AE83C-53A3-4A02-A05D-6910E4817D2D}"/>
    <cellStyle name="Linked Cell 4" xfId="8142" xr:uid="{715782D4-D124-477C-8600-A743C3C6D39B}"/>
    <cellStyle name="Linked Cell 5" xfId="8143" xr:uid="{EBF8CD2F-CFE0-4422-A3EC-E7712E697FD6}"/>
    <cellStyle name="Linked Cell 6" xfId="8144" xr:uid="{E9A5421E-1346-42A8-A57F-1CACBC1DEC1F}"/>
    <cellStyle name="Linked Cell 7" xfId="8145" xr:uid="{C0E16CDF-A980-4356-BBC8-3BE70EDCDEE1}"/>
    <cellStyle name="Linked Cell 8" xfId="8146" xr:uid="{76100DF5-E87F-4BC5-9B0F-EE2F72894AAE}"/>
    <cellStyle name="Linked Cell 9" xfId="8147" xr:uid="{1ECE7AD0-4EAC-4441-860A-2AC5B50755F6}"/>
    <cellStyle name="List Price" xfId="1250" xr:uid="{83927834-A9D9-4B79-83F3-F55F3580456F}"/>
    <cellStyle name="Local import" xfId="384" xr:uid="{6D4FBD0A-9AA3-48FF-A7B7-925C9132FE65}"/>
    <cellStyle name="Local import %" xfId="385" xr:uid="{3C3FD7D7-4C01-40C4-84BC-7DF338A7D1D6}"/>
    <cellStyle name="LongDate" xfId="1251" xr:uid="{7111E2B4-060E-4348-9D81-294DE27ED59F}"/>
    <cellStyle name="Lookup Table Heading" xfId="1252" xr:uid="{9CF7CFC6-66AC-4548-BD44-E0A682312D88}"/>
    <cellStyle name="Lookup Table Heading 2" xfId="1253" xr:uid="{1C917485-99A0-4B2B-BA68-4125FC9BD3F2}"/>
    <cellStyle name="Lookup Table Heading 2 2" xfId="2752" xr:uid="{55239B5F-3187-478F-B8B3-99689B3B18D6}"/>
    <cellStyle name="Lookup Table Heading 2 3" xfId="2682" xr:uid="{2EA944B2-9DC4-4142-8E32-191E111D5110}"/>
    <cellStyle name="Lookup Table Heading 3" xfId="2753" xr:uid="{698C052C-F473-46E4-B94F-541D4577B2D0}"/>
    <cellStyle name="Lookup Table Heading 4" xfId="2738" xr:uid="{71059A17-9B96-419F-BEA1-EB9CA5109808}"/>
    <cellStyle name="Lookup Table Heading." xfId="1254" xr:uid="{691DF2B0-4BFB-4064-8749-1C5250CBEB90}"/>
    <cellStyle name="Lookup Table Heading. 2" xfId="2751" xr:uid="{AEEBBB8B-26D0-4F87-9511-25803877B456}"/>
    <cellStyle name="Lookup Table Heading. 3" xfId="2739" xr:uid="{A2063E80-F164-4CEE-91EE-37E835A16D2D}"/>
    <cellStyle name="Lookup Table Heading_6. Ass-Fin" xfId="1255" xr:uid="{83AECBEC-E22E-4705-B72D-77AA4FF15301}"/>
    <cellStyle name="Lookup Table Label" xfId="1256" xr:uid="{F0F16C83-405B-488D-BC9F-E7BFC874B888}"/>
    <cellStyle name="Lookup Table Label 2" xfId="1257" xr:uid="{18F252BA-4D1E-420F-9498-795BC5AE8F04}"/>
    <cellStyle name="Lookup Table Label 2 2" xfId="2749" xr:uid="{838B96EC-8AB3-41E5-B0B0-B4E10582A65D}"/>
    <cellStyle name="Lookup Table Label 2 3" xfId="2973" xr:uid="{58F8835D-EFB3-4A5E-BF3A-584E517B9843}"/>
    <cellStyle name="Lookup Table Label 3" xfId="2750" xr:uid="{EB4DD72A-7260-4076-8201-5DF8AA32DB33}"/>
    <cellStyle name="Lookup Table Label 4" xfId="2740" xr:uid="{218A94CE-7DAE-463B-966B-5FE37E246D84}"/>
    <cellStyle name="Lookup Table Label." xfId="1258" xr:uid="{B43F796D-58D2-43EE-BFEC-C9749D8E2177}"/>
    <cellStyle name="Lookup Table Label. 2" xfId="2748" xr:uid="{4682F2C5-9D89-4A9F-B559-C8AEC626DE00}"/>
    <cellStyle name="Lookup Table Label. 3" xfId="2741" xr:uid="{959014F4-4570-47DA-8573-50D00F8A5A03}"/>
    <cellStyle name="Lookup Table Label_6. Ass-Fin" xfId="1259" xr:uid="{EE850A0D-6EA8-4B57-B0D1-393446A08D1E}"/>
    <cellStyle name="Lookup Table Number" xfId="1260" xr:uid="{CA5F09BF-050A-4D90-89ED-C5766EAA99C0}"/>
    <cellStyle name="Lookup Table Number 2" xfId="1261" xr:uid="{E1801C8B-1435-4F95-B926-3B7B2AA7BD46}"/>
    <cellStyle name="Lookup Table Number 2 2" xfId="2746" xr:uid="{5CF11936-C94C-46A3-8CA8-4E7829D5FB4F}"/>
    <cellStyle name="Lookup Table Number 2 3" xfId="2743" xr:uid="{E978219B-30A8-429E-B357-4C4B03DA992A}"/>
    <cellStyle name="Lookup Table Number 3" xfId="2747" xr:uid="{E19C200C-AF4F-4E81-B440-353821477E51}"/>
    <cellStyle name="Lookup Table Number 4" xfId="2742" xr:uid="{5FDDCA0C-157F-4FCA-BD44-F92528B18FC8}"/>
    <cellStyle name="Lookup Table Number." xfId="1262" xr:uid="{E40A98C8-1FF5-45E3-820F-C39CFE816D2C}"/>
    <cellStyle name="Lookup Table Number. 2" xfId="2745" xr:uid="{53BB3A73-DDA5-40AF-B151-006B78590AC0}"/>
    <cellStyle name="Lookup Table Number. 3" xfId="2744" xr:uid="{C9F2275F-94B8-450D-988B-5F6C7F12681B}"/>
    <cellStyle name="Lookup Table Number_6. Ass-Fin" xfId="1263" xr:uid="{AD7E2A66-6AED-4544-9E78-3AD78AC90C68}"/>
    <cellStyle name="LV Input" xfId="8148" xr:uid="{30F5AC9C-DBDB-4212-8DDA-3D68BF749B9F}"/>
    <cellStyle name="Macro" xfId="1264" xr:uid="{7ABFE16F-5250-4C5D-B5FC-93740BB2B259}"/>
    <cellStyle name="Malý nadpis" xfId="1265" xr:uid="{34EEC17A-DE46-43BF-9D80-BE0B929CCC8D}"/>
    <cellStyle name="meny_laroux" xfId="1266" xr:uid="{0AF44B5A-5277-4372-907F-31D79280E869}"/>
    <cellStyle name="Milliers [0]_Dossier financier HECC" xfId="1267" xr:uid="{8A7DA505-47FD-49F9-AF04-47A7F3A1B859}"/>
    <cellStyle name="Millions" xfId="1268" xr:uid="{9744E4B9-15DE-4904-B40F-72C65D8F0F02}"/>
    <cellStyle name="Mine" xfId="183" xr:uid="{F6173CDE-B6DC-4582-A583-F7DF2AF1BB15}"/>
    <cellStyle name="miny_laroux" xfId="1269" xr:uid="{FABF5127-3505-4EFA-A75F-5A8C3EC3A9BC}"/>
    <cellStyle name="Model Name" xfId="184" xr:uid="{7D5D218A-3C56-496E-A6D0-3FA2B37ABE23}"/>
    <cellStyle name="Model Name 2" xfId="2328" xr:uid="{F7EBD9B0-47A5-4A6A-873F-227DBC6AAD96}"/>
    <cellStyle name="Model Name 2 2" xfId="3867" xr:uid="{56B7C0A4-F61E-4564-9D2F-60BDBAA41B0F}"/>
    <cellStyle name="Model Name 3" xfId="3600" xr:uid="{8BDE96CD-0B16-4969-9025-7E465365B15F}"/>
    <cellStyle name="Model Name 4" xfId="3023" xr:uid="{16600A28-CA8E-42DE-BC2C-CAE666650588}"/>
    <cellStyle name="Model Name 5" xfId="1270" xr:uid="{21C0B756-A07C-4C6C-B522-85DB134F8D70}"/>
    <cellStyle name="Model Name." xfId="1271" xr:uid="{73E6A6A9-C608-474D-91E1-6C851B049134}"/>
    <cellStyle name="Moeda [0]_RESULTS" xfId="1272" xr:uid="{A04D3C5F-CA43-4273-B2F1-1B18E2892CD2}"/>
    <cellStyle name="Moeda_RESULTS" xfId="1273" xr:uid="{3513E436-BD01-40FB-ACAF-9EABADA8BC83}"/>
    <cellStyle name="multiple" xfId="1274" xr:uid="{6C0CD9B8-135A-4E28-BF52-A6DEC5234E81}"/>
    <cellStyle name="Multiple 2" xfId="8149" xr:uid="{72D0D617-531D-429B-8612-C3DA51CEE9A6}"/>
    <cellStyle name="Multiple." xfId="1275" xr:uid="{5B5D151F-C1B7-4BFA-9F01-C533345C1155}"/>
    <cellStyle name="Named Range" xfId="8150" xr:uid="{91726EBB-6E79-43BC-98FB-A06BD36B5D10}"/>
    <cellStyle name="Named Range Tag" xfId="8151" xr:uid="{6BB6B229-3698-4B62-8870-454F905EF79E}"/>
    <cellStyle name="Neutral 10" xfId="8152" xr:uid="{E2905AE1-6750-441D-8904-EFF9096EB8CE}"/>
    <cellStyle name="Neutral 11" xfId="8153" xr:uid="{235D4EC7-7ECC-47C2-9E57-B6CCC45F2845}"/>
    <cellStyle name="Neutral 2" xfId="185" xr:uid="{0F226DA8-66F5-4389-A136-119CE8E6605B}"/>
    <cellStyle name="Neutral 2 2" xfId="3868" xr:uid="{FB0A0772-3391-456B-A1C3-5E8D7D121006}"/>
    <cellStyle name="Neutral 2 3" xfId="3601" xr:uid="{FD712ABA-411B-442E-B300-0061C6DEA191}"/>
    <cellStyle name="Neutral 3" xfId="8154" xr:uid="{CBCB3336-73D5-4D3E-B686-CC7E55F5FA56}"/>
    <cellStyle name="Neutral 4" xfId="8155" xr:uid="{5DBB04C4-99E4-4ED8-823A-7D17FC3CE849}"/>
    <cellStyle name="Neutral 5" xfId="8156" xr:uid="{41059E32-7CFA-4F46-8B20-5C3DEC3B01AF}"/>
    <cellStyle name="Neutral 6" xfId="8157" xr:uid="{F8BF6C76-630D-44CB-8628-D75F891427F6}"/>
    <cellStyle name="Neutral 7" xfId="8158" xr:uid="{D6C9DC99-5956-4EE8-9015-705D51AFC72F}"/>
    <cellStyle name="Neutral 8" xfId="8159" xr:uid="{660AB68C-91FE-4302-8344-08EF244FBFFB}"/>
    <cellStyle name="Neutral 9" xfId="8160" xr:uid="{CF8E9C10-C9D4-4A86-AF20-FE22C670716C}"/>
    <cellStyle name="New" xfId="8161" xr:uid="{E54C8B58-A961-4EF5-8A23-9BFC237EA984}"/>
    <cellStyle name="Non crit Input 0.0" xfId="1276" xr:uid="{611836FD-7D1D-4BB3-86CD-74355ACB3FB0}"/>
    <cellStyle name="NonInputCell" xfId="386" xr:uid="{0012B97D-4B58-4A79-B8A6-57679B9935E5}"/>
    <cellStyle name="NonInputCell 2" xfId="387" xr:uid="{13770548-0D48-418A-9EA9-01C95B1B48B3}"/>
    <cellStyle name="NonInputCell 3" xfId="388" xr:uid="{79FF9B88-8D0D-4B5B-849E-DF6604749291}"/>
    <cellStyle name="Normal" xfId="0" builtinId="0"/>
    <cellStyle name="Normal - Style1" xfId="186" xr:uid="{B91C3311-FF5E-4612-B4F8-32255F80419C}"/>
    <cellStyle name="Normal - Style1 2" xfId="8163" xr:uid="{228B4BB7-7D8F-4E4E-A1D5-04B7D24186FE}"/>
    <cellStyle name="Normal - Style1 3" xfId="8162" xr:uid="{22674904-9C3F-443A-A606-DDC58B2CDD8B}"/>
    <cellStyle name="Normal - Style2" xfId="1277" xr:uid="{EC655996-02C8-46E1-81D2-06D0DF641565}"/>
    <cellStyle name="Normal - Style3" xfId="1278" xr:uid="{29764E81-BB63-4096-8A28-4DA4C4A766E5}"/>
    <cellStyle name="Normal - Style4" xfId="1279" xr:uid="{E5B8AB04-7A35-4CF7-9168-50815461DEAC}"/>
    <cellStyle name="Normal - Style5" xfId="1280" xr:uid="{62FAA11D-8A23-4C31-BEB2-B7D834B55445}"/>
    <cellStyle name="Normal - Style6" xfId="8164" xr:uid="{A16D21A4-CD69-40D8-9567-A084873BFD7B}"/>
    <cellStyle name="Normal - Style7" xfId="8165" xr:uid="{01F5DA10-2D6F-46CC-9430-60E7E7BA27C7}"/>
    <cellStyle name="Normal - Style8" xfId="8166" xr:uid="{50E5A96D-7B5C-4250-B93E-094953E9F65C}"/>
    <cellStyle name="Normal 10" xfId="282" xr:uid="{2B554289-498A-4365-813D-575BFEEF24FA}"/>
    <cellStyle name="Normal 10 10" xfId="1282" xr:uid="{7D81C4D0-4142-4F3A-A2A1-F627DF64A518}"/>
    <cellStyle name="Normal 10 11" xfId="1283" xr:uid="{99F4AA9C-E0D2-4AAB-86A1-E5EA975EE33B}"/>
    <cellStyle name="Normal 10 12" xfId="1284" xr:uid="{F9D929CA-A073-48DC-8C68-4BD6CBA51AD9}"/>
    <cellStyle name="Normal 10 13" xfId="1285" xr:uid="{C4B2C080-E6E9-487A-91F8-AD004539559F}"/>
    <cellStyle name="Normal 10 14" xfId="1286" xr:uid="{B63C2E05-90F7-42CE-83A1-AC0BF64011BD}"/>
    <cellStyle name="Normal 10 15" xfId="1287" xr:uid="{DCE0C781-4B18-4C13-9189-B7B62F02193C}"/>
    <cellStyle name="Normal 10 16" xfId="1288" xr:uid="{F1A1AE1D-1066-4298-8661-11F78E51A2DA}"/>
    <cellStyle name="Normal 10 17" xfId="1289" xr:uid="{B556CBA2-8EC3-4BF5-9B32-9B97E379428D}"/>
    <cellStyle name="Normal 10 18" xfId="3001" xr:uid="{31F86B82-ED1F-49E9-9259-9ADA1B1A8A89}"/>
    <cellStyle name="Normal 10 19" xfId="1281" xr:uid="{46DB1716-8064-4787-BC49-82EEEC0AEBCB}"/>
    <cellStyle name="Normal 10 2" xfId="283" xr:uid="{A180E0A0-3388-4B61-BC98-CD4BBB770910}"/>
    <cellStyle name="Normal 10 2 10" xfId="1291" xr:uid="{2D93CE10-2D10-44D1-BA9F-97BAD1BAC1CD}"/>
    <cellStyle name="Normal 10 2 11" xfId="1292" xr:uid="{3C192D3D-6882-473A-BDFC-DB46ED48E5B1}"/>
    <cellStyle name="Normal 10 2 12" xfId="1293" xr:uid="{79B06AAD-7640-48B0-A18E-3DC2CE578565}"/>
    <cellStyle name="Normal 10 2 13" xfId="1294" xr:uid="{C9D57BD0-0841-4B91-8EEB-03B3C75592EB}"/>
    <cellStyle name="Normal 10 2 14" xfId="1295" xr:uid="{5D17032A-58DE-47C7-AC81-A7BFF7AF6FA0}"/>
    <cellStyle name="Normal 10 2 15" xfId="1296" xr:uid="{E1379E57-7D5A-47C6-B8CD-6EB56D0CA992}"/>
    <cellStyle name="Normal 10 2 16" xfId="1297" xr:uid="{8CE76448-A5FD-479A-A0E7-30BD6A77A6F1}"/>
    <cellStyle name="Normal 10 2 17" xfId="3787" xr:uid="{984D0CDA-75DA-4AF4-931B-B8CE64B841E7}"/>
    <cellStyle name="Normal 10 2 18" xfId="1290" xr:uid="{E815F3FC-D927-491B-82B3-0382BE15B3F4}"/>
    <cellStyle name="Normal 10 2 2" xfId="1298" xr:uid="{5CED6CC0-A4EA-413D-AF25-FA5BAA5FB025}"/>
    <cellStyle name="Normal 10 2 2 2" xfId="1299" xr:uid="{22A0BCEA-B932-4F7A-B699-B3A6C2FF586C}"/>
    <cellStyle name="Normal 10 2 2 3" xfId="8168" xr:uid="{F7451F3E-B3E5-483E-9535-319C82A0090F}"/>
    <cellStyle name="Normal 10 2 3" xfId="1300" xr:uid="{A4C5130F-6196-4574-B7BF-454EB3436C83}"/>
    <cellStyle name="Normal 10 2 4" xfId="1301" xr:uid="{F2D7FB0D-6E9E-4E0A-BBED-2F3913C39BB9}"/>
    <cellStyle name="Normal 10 2 5" xfId="1302" xr:uid="{68E1D3C0-0BA6-4803-8F7B-73C30326092A}"/>
    <cellStyle name="Normal 10 2 6" xfId="1303" xr:uid="{811DCCEE-D90C-4B31-93D7-3D6016D33FEE}"/>
    <cellStyle name="Normal 10 2 7" xfId="1304" xr:uid="{8B688E52-AA56-40DF-9A1B-4B6E89596428}"/>
    <cellStyle name="Normal 10 2 8" xfId="1305" xr:uid="{78E80FFD-B6EF-4AD2-9C85-842E0A06314A}"/>
    <cellStyle name="Normal 10 2 9" xfId="1306" xr:uid="{B69DE626-F92D-48D2-A650-60B97D9AB746}"/>
    <cellStyle name="Normal 10 3" xfId="1307" xr:uid="{42FCAF29-39C5-4D9A-9252-F38B5D6C5C13}"/>
    <cellStyle name="Normal 10 3 2" xfId="14432" xr:uid="{38C9350F-B165-4508-BBCD-EE0317981276}"/>
    <cellStyle name="Normal 10 3 3" xfId="3520" xr:uid="{55C05615-D615-4711-B064-34B12FC4F041}"/>
    <cellStyle name="Normal 10 4" xfId="1308" xr:uid="{7E5DF49A-5D8C-4102-88F6-3FB32C388EBA}"/>
    <cellStyle name="Normal 10 4 2" xfId="8167" xr:uid="{B425DD43-57DE-4AE3-8ABA-681B22107534}"/>
    <cellStyle name="Normal 10 5" xfId="1309" xr:uid="{B2B00093-7AAF-46F3-AE7C-DED69A4FA1DD}"/>
    <cellStyle name="Normal 10 6" xfId="1310" xr:uid="{686F75CA-9AD2-47EC-9D98-B7745BF3CE61}"/>
    <cellStyle name="Normal 10 7" xfId="1311" xr:uid="{EF060F43-DC29-4C1C-851B-E50A1A963E37}"/>
    <cellStyle name="Normal 10 8" xfId="1312" xr:uid="{E37B54B2-3F6D-465D-B61C-F1CBD86FB89B}"/>
    <cellStyle name="Normal 10 9" xfId="1313" xr:uid="{16E9BB16-D2D8-41E5-A770-0FF367D78996}"/>
    <cellStyle name="Normal 10_7-11 Budget Scenarios v1.2" xfId="1314" xr:uid="{A8B14A48-9369-4FD0-B09E-F8127DCC4C2F}"/>
    <cellStyle name="Normal 106" xfId="13137" xr:uid="{F254BDEF-9851-4C2A-9C7E-140C23A2DEBF}"/>
    <cellStyle name="Normal 11" xfId="389" xr:uid="{F70406EC-8B10-4180-B314-559C7EDEA756}"/>
    <cellStyle name="Normal 11 2" xfId="390" xr:uid="{93CBB63B-4B8D-42B8-AF0E-042A3E5D6F34}"/>
    <cellStyle name="Normal 11 2 2" xfId="8169" xr:uid="{5E8A91DE-8EBE-42F5-A46A-195096E140DF}"/>
    <cellStyle name="Normal 11 2 3" xfId="3869" xr:uid="{23BA4C24-8BD7-4DE7-8F1E-48030378EDB0}"/>
    <cellStyle name="Normal 11 3" xfId="391" xr:uid="{C2464619-8E40-403F-B551-0619012B74CF}"/>
    <cellStyle name="Normal 11 3 2" xfId="3602" xr:uid="{615BBF61-7016-4680-B466-FC456331B702}"/>
    <cellStyle name="Normal 11 4" xfId="392" xr:uid="{68662CAE-2510-45C2-9583-FB58129E7E52}"/>
    <cellStyle name="Normal 114" xfId="37" xr:uid="{C172E6DF-2980-411B-AC44-724E6CF623F6}"/>
    <cellStyle name="Normal 114 2" xfId="3516" xr:uid="{A9514A69-0809-450D-8297-3F91C64210AC}"/>
    <cellStyle name="Normal 114 2 2" xfId="8170" xr:uid="{AC41E366-F248-4BE2-B70E-0EE3478F27FB}"/>
    <cellStyle name="Normal 12" xfId="393" xr:uid="{E41240D7-8AFC-46D4-ACA9-C56230B79333}"/>
    <cellStyle name="Normal 12 2" xfId="394" xr:uid="{BA71C948-3EFA-4FD3-8394-4AA3D26B335D}"/>
    <cellStyle name="Normal 12 2 2" xfId="8172" xr:uid="{7F3A3C15-945F-4FF3-B8C6-A76B6F66ED2A}"/>
    <cellStyle name="Normal 12 2 3" xfId="3971" xr:uid="{7D28BDB1-26F9-4531-866D-C8C88DCFFBFC}"/>
    <cellStyle name="Normal 12 2 4" xfId="1316" xr:uid="{98099D6C-B86E-456D-BC1F-9CE64F5D72FB}"/>
    <cellStyle name="Normal 12 3" xfId="1317" xr:uid="{07D7C129-6FBD-448C-8D6F-41280C321A9D}"/>
    <cellStyle name="Normal 12 3 2" xfId="14433" xr:uid="{72992F2C-A225-4BAF-8AEE-C84A4608CBC6}"/>
    <cellStyle name="Normal 12 3 3" xfId="3704" xr:uid="{A5F22C23-036F-4530-9C61-5C3BBA6C00D3}"/>
    <cellStyle name="Normal 12 4" xfId="1318" xr:uid="{ADE14BAD-80EC-4FFF-9106-B78EBAE12971}"/>
    <cellStyle name="Normal 12 4 2" xfId="8171" xr:uid="{A5A20441-13E6-4A6F-A6DB-44F074F56822}"/>
    <cellStyle name="Normal 12 5" xfId="1319" xr:uid="{2598764F-C433-4457-9AB3-D80C166186BD}"/>
    <cellStyle name="Normal 12 6" xfId="3045" xr:uid="{9598BB7C-5D8C-40AF-B53B-D4D6FE91F741}"/>
    <cellStyle name="Normal 12 7" xfId="1315" xr:uid="{4D8D1693-E877-43F1-81BB-B31D29339AFA}"/>
    <cellStyle name="Normal 12_7-11 Budget Scenarios v1.2" xfId="1320" xr:uid="{AF7D6118-C4BC-4F6D-8D4C-8D2E494DCE0A}"/>
    <cellStyle name="Normal 13" xfId="187" xr:uid="{1E2299E5-091D-436A-896A-D219472A2DCA}"/>
    <cellStyle name="Normal 13 2" xfId="188" xr:uid="{EF32196D-FEDC-4189-A59C-35BA0242DC55}"/>
    <cellStyle name="Normal 13 2 2" xfId="1322" xr:uid="{D3F6D3AE-0249-4273-A188-07309DF5674A}"/>
    <cellStyle name="Normal 13 2 2 2" xfId="1323" xr:uid="{926F8BE7-5E40-4EFF-9B18-E3791B3AA1E1}"/>
    <cellStyle name="Normal 13 2 2 2 2" xfId="14435" xr:uid="{E8598549-28FD-4911-AFFE-7300D6162EEE}"/>
    <cellStyle name="Normal 13 2 2 3" xfId="2329" xr:uid="{B9A2DF7C-510F-4750-A235-77F5285FF87F}"/>
    <cellStyle name="Normal 13 2 2 4" xfId="3973" xr:uid="{D15E7D85-B34C-4863-89C8-E758914B0484}"/>
    <cellStyle name="Normal 13 2 3" xfId="1324" xr:uid="{7C09E4B1-BB2F-49DF-AC2D-CE983C5F53EC}"/>
    <cellStyle name="Normal 13 2 3 2" xfId="3705" xr:uid="{33C5B4DC-5EFD-4168-8A0D-7A9E5D20F06B}"/>
    <cellStyle name="Normal 13 2 4" xfId="1325" xr:uid="{C35DDD97-8A2B-4ADE-8282-0907316F02F6}"/>
    <cellStyle name="Normal 13 2 4 2" xfId="8174" xr:uid="{85293C77-5D9C-4A1D-B2B8-4EDC46F1C31F}"/>
    <cellStyle name="Normal 13 2 5" xfId="1326" xr:uid="{CBEBA906-B6DA-407C-AA16-ABD7B1F1BB7E}"/>
    <cellStyle name="Normal 13 2 6" xfId="1321" xr:uid="{7DD9FBAF-7477-45E2-A8EF-7F1DAC599E58}"/>
    <cellStyle name="Normal 13 3" xfId="1327" xr:uid="{70997E56-B465-4973-8849-3180A66E8204}"/>
    <cellStyle name="Normal 13 3 2" xfId="1328" xr:uid="{83F531CA-BAEC-4B7A-A02A-25EB7D4055A9}"/>
    <cellStyle name="Normal 13 3 3" xfId="3786" xr:uid="{27518DEE-546D-4126-ABB1-34F4B73500B8}"/>
    <cellStyle name="Normal 13 4" xfId="1329" xr:uid="{7FFDB73E-6FAA-4644-A275-2E6BE794BD5C}"/>
    <cellStyle name="Normal 13 4 2" xfId="14434" xr:uid="{35EF19C1-FF12-4E73-BF8C-6DD694E321F5}"/>
    <cellStyle name="Normal 13 4 3" xfId="3519" xr:uid="{ECA1A79F-ED7C-4818-B224-8FA0F8B45AFB}"/>
    <cellStyle name="Normal 13 5" xfId="1330" xr:uid="{69E90F82-8259-40CA-AA74-18CE3C8456AE}"/>
    <cellStyle name="Normal 13 5 2" xfId="8173" xr:uid="{6200D659-192B-4BA8-A660-5ECBECA1EE91}"/>
    <cellStyle name="Normal 13_29(d) - Gas extensions -tariffs" xfId="189" xr:uid="{7B878DD6-BBC1-4231-9ED6-4B9E7D4954EE}"/>
    <cellStyle name="Normal 14" xfId="286" xr:uid="{2FC0E1AC-3B9D-474A-838C-9AED29A2CCEA}"/>
    <cellStyle name="Normal 14 2" xfId="395" xr:uid="{52E56D71-B828-4C6D-A2E6-12C152BE2351}"/>
    <cellStyle name="Normal 14 2 2" xfId="3870" xr:uid="{6E876333-C825-479E-B69D-BF985FC8339C}"/>
    <cellStyle name="Normal 14 2 2 2" xfId="14436" xr:uid="{B625AA5F-8061-499F-9A6A-0AF6031A72B8}"/>
    <cellStyle name="Normal 14 2 3" xfId="3603" xr:uid="{167F87D6-A3C4-4DE9-A7A3-4FF207FB2875}"/>
    <cellStyle name="Normal 14 2 4" xfId="8176" xr:uid="{D9784DC5-1726-4EBE-BB1F-1953FE6201BB}"/>
    <cellStyle name="Normal 14 2 5" xfId="3024" xr:uid="{FAE78823-99C3-45D5-B60B-4518E7477141}"/>
    <cellStyle name="Normal 14 3" xfId="396" xr:uid="{99F3AD61-76EC-49B1-AF0B-984B5264B13C}"/>
    <cellStyle name="Normal 14 3 2" xfId="397" xr:uid="{A4721C80-5654-44BD-82C4-5CAA3E120546}"/>
    <cellStyle name="Normal 14 3 2 2" xfId="8177" xr:uid="{EB5CD84B-D0D1-4DD5-B14F-48648D225884}"/>
    <cellStyle name="Normal 14 3 3" xfId="398" xr:uid="{1C97A2DD-34F1-4BF1-A1C6-38A71B877D51}"/>
    <cellStyle name="Normal 14 3 3 2" xfId="3793" xr:uid="{4BF29A27-0F2F-4DBF-91F5-3A1E4F4ED393}"/>
    <cellStyle name="Normal 14 3 4" xfId="1332" xr:uid="{E12525AF-EED3-4849-9940-696B3F9BF482}"/>
    <cellStyle name="Normal 14 4" xfId="399" xr:uid="{64B03A05-83D3-4058-8E7D-6F7C3407697A}"/>
    <cellStyle name="Normal 14 4 2" xfId="8178" xr:uid="{9FEEE15D-897F-4F27-9050-F734EF779578}"/>
    <cellStyle name="Normal 14 4 3" xfId="3526" xr:uid="{3E75D1B6-1966-4531-893A-8786BE66E732}"/>
    <cellStyle name="Normal 14 4 4" xfId="1333" xr:uid="{D016B518-E064-4CE9-A285-CB7F660A5ACF}"/>
    <cellStyle name="Normal 14 5" xfId="400" xr:uid="{0EDFF8B6-6CD5-4C10-AE61-A10E25693B9D}"/>
    <cellStyle name="Normal 14 5 2" xfId="8179" xr:uid="{CD428010-F846-4C86-8E19-6A417C3554CC}"/>
    <cellStyle name="Normal 14 5 3" xfId="1334" xr:uid="{F9EC2213-CFCD-46D6-854D-CF2EE588CD7C}"/>
    <cellStyle name="Normal 14 6" xfId="8180" xr:uid="{B902082D-DAC9-4438-9784-72D466B6CA91}"/>
    <cellStyle name="Normal 14 7" xfId="8175" xr:uid="{B8042CC0-3B3E-4DA9-B8E4-5812DDB9A90A}"/>
    <cellStyle name="Normal 14 8" xfId="3004" xr:uid="{1D616497-F949-4AE4-85F4-E1E1EB7FD289}"/>
    <cellStyle name="Normal 14 9" xfId="1331" xr:uid="{9A62277A-C687-402F-821A-B6E8A1598E95}"/>
    <cellStyle name="Normal 14_7-11 Budget Scenarios v1.2" xfId="1335" xr:uid="{AEBB8DE3-E65D-4E86-B36E-CA0E0CA7E249}"/>
    <cellStyle name="Normal 143" xfId="2330" xr:uid="{12BBD5FD-86E4-45B1-83FC-7F117513B2CA}"/>
    <cellStyle name="Normal 143 2" xfId="3871" xr:uid="{11B866B4-0C45-4765-95AC-6CEBE201910D}"/>
    <cellStyle name="Normal 143 2 2" xfId="14437" xr:uid="{F4F3084F-186D-4AAB-A1B6-D474FB6C2806}"/>
    <cellStyle name="Normal 143 3" xfId="3604" xr:uid="{52BCFF74-D516-43C5-B407-B518B4B5C155}"/>
    <cellStyle name="Normal 143 4" xfId="8181" xr:uid="{EAC72423-25B1-4C58-B7CF-3D399B2A62F5}"/>
    <cellStyle name="Normal 144" xfId="2331" xr:uid="{BC5CDCFF-6771-470F-B358-EEEFE37F4B35}"/>
    <cellStyle name="Normal 144 2" xfId="3872" xr:uid="{366B63A7-185E-4C2F-BA65-CC6C89925FD5}"/>
    <cellStyle name="Normal 144 2 2" xfId="14438" xr:uid="{EADE4EA3-F45F-47C0-99AD-C88809A5BC10}"/>
    <cellStyle name="Normal 144 3" xfId="3605" xr:uid="{B8253B5E-29AE-4891-A4D0-CE25BE032A71}"/>
    <cellStyle name="Normal 144 4" xfId="8182" xr:uid="{8AC9ADA8-25C1-4857-9AE5-7145CFFAD187}"/>
    <cellStyle name="Normal 147" xfId="2332" xr:uid="{59F87B3F-656F-4202-A2C3-50D041DF5270}"/>
    <cellStyle name="Normal 147 2" xfId="3873" xr:uid="{E76D7B0B-0CDB-45D9-A6EB-196DD3E9FBC3}"/>
    <cellStyle name="Normal 147 2 2" xfId="14439" xr:uid="{C3E712B5-028E-485D-9364-4C6CEC4C3FEB}"/>
    <cellStyle name="Normal 147 3" xfId="3606" xr:uid="{690C7869-F885-4930-B4B7-C9652F585B30}"/>
    <cellStyle name="Normal 147 4" xfId="8183" xr:uid="{65B80E7E-97F3-4B0C-A32F-C0DC2E6CA574}"/>
    <cellStyle name="Normal 148" xfId="2333" xr:uid="{B3123B8D-0169-4EC3-A63B-27DF738B49F7}"/>
    <cellStyle name="Normal 148 2" xfId="3874" xr:uid="{4920F388-0641-459F-8AEA-2A6E96BBFD7F}"/>
    <cellStyle name="Normal 148 2 2" xfId="14440" xr:uid="{E9008A51-5256-4BCC-A807-508B09C238EF}"/>
    <cellStyle name="Normal 148 3" xfId="3607" xr:uid="{3EF2E926-33B9-49E2-BDEC-BFA38C788BCA}"/>
    <cellStyle name="Normal 148 4" xfId="8184" xr:uid="{2A4C7CBE-B246-4235-A780-3FAF6BFE1F16}"/>
    <cellStyle name="Normal 149" xfId="2334" xr:uid="{C6F60D0F-02E2-4D89-9DE5-F6B5325C3B2F}"/>
    <cellStyle name="Normal 149 2" xfId="3875" xr:uid="{3AA75B5F-C151-42C5-A322-0098267C0CA6}"/>
    <cellStyle name="Normal 149 2 2" xfId="14441" xr:uid="{4DF10DED-6249-49D5-953B-A74321DFD46B}"/>
    <cellStyle name="Normal 149 3" xfId="3608" xr:uid="{22AF658B-FDE5-434A-89EB-387BEA0710B5}"/>
    <cellStyle name="Normal 149 4" xfId="8185" xr:uid="{FF82BC2A-3AFB-48C1-AF1C-BD3B79B95408}"/>
    <cellStyle name="Normal 15" xfId="190" xr:uid="{F00AE9CD-42C3-4678-8D6D-B5EFB4B3512F}"/>
    <cellStyle name="Normal 15 2" xfId="401" xr:uid="{A88F68A4-B847-40F8-9CAA-D653FACC337B}"/>
    <cellStyle name="Normal 15 2 2" xfId="8187" xr:uid="{51C71B6D-9F84-4C0D-9790-985CB7B928A8}"/>
    <cellStyle name="Normal 15 3" xfId="8188" xr:uid="{6DB2175A-16F1-4036-BC8F-911420EA732E}"/>
    <cellStyle name="Normal 15 4" xfId="8189" xr:uid="{DE74E058-C58B-4BBE-BB6B-3F97A077A902}"/>
    <cellStyle name="Normal 15 5" xfId="8190" xr:uid="{A8CB3BCA-F3D8-4764-A568-28882CB5E1EF}"/>
    <cellStyle name="Normal 15 6" xfId="8191" xr:uid="{738DBBE7-4570-4169-988B-ED01720C0F2D}"/>
    <cellStyle name="Normal 15 7" xfId="8186" xr:uid="{FCF23DE4-0D0D-4BFB-A91A-64659B7675AA}"/>
    <cellStyle name="Normal 15 8" xfId="3784" xr:uid="{ABAB0FEB-9A29-42E3-BD92-0C903A8AEAEE}"/>
    <cellStyle name="Normal 15 9" xfId="1336" xr:uid="{FFCDE5E6-7C35-479E-B224-7763B9821439}"/>
    <cellStyle name="Normal 150" xfId="2335" xr:uid="{E404DDFB-ED51-4F91-B34D-CFBEAC8813F1}"/>
    <cellStyle name="Normal 150 2" xfId="3876" xr:uid="{02A61323-BAE0-40A3-9592-E654E8B415FE}"/>
    <cellStyle name="Normal 150 2 2" xfId="14442" xr:uid="{0C6BF282-EA68-40CC-9C6D-7BA4EFDE7169}"/>
    <cellStyle name="Normal 150 3" xfId="3609" xr:uid="{7F18C8FA-06BF-42FA-AC71-6E3DD3A5563C}"/>
    <cellStyle name="Normal 150 4" xfId="8192" xr:uid="{589FC16B-5D4E-4878-9988-38F71AF0DD1D}"/>
    <cellStyle name="Normal 151" xfId="2336" xr:uid="{1595A141-6EE9-464D-8483-02A009B73C7F}"/>
    <cellStyle name="Normal 151 2" xfId="3877" xr:uid="{AB4A2665-40C7-4BCA-929D-A6BE4ECA7C37}"/>
    <cellStyle name="Normal 151 2 2" xfId="14443" xr:uid="{BD71620E-EDBB-4666-929E-6FFA56E57A6C}"/>
    <cellStyle name="Normal 151 3" xfId="3610" xr:uid="{94571AE4-7CF5-44F2-85F6-CA44D809D645}"/>
    <cellStyle name="Normal 151 4" xfId="8193" xr:uid="{647E7D29-EE36-4BD8-8AFF-8C4B5BD887DB}"/>
    <cellStyle name="Normal 152" xfId="1337" xr:uid="{71F59F2C-D00B-41C1-A323-D9508F30D489}"/>
    <cellStyle name="Normal 152 2" xfId="3878" xr:uid="{1573A864-E96B-4845-8F0D-67BCBD6E205E}"/>
    <cellStyle name="Normal 152 2 2" xfId="14444" xr:uid="{CBCBB88C-EA0A-4B42-AB46-E5CE2BD5B1B7}"/>
    <cellStyle name="Normal 152 3" xfId="3611" xr:uid="{C67FA0D1-EC3E-4079-90A0-824151D4A1C4}"/>
    <cellStyle name="Normal 152 4" xfId="8194" xr:uid="{E0F40BD3-51CA-4953-977C-DAA4D6430D07}"/>
    <cellStyle name="Normal 152 5" xfId="3025" xr:uid="{8F6B5BDF-8EA4-4A76-896F-741E5F03E217}"/>
    <cellStyle name="Normal 153" xfId="2337" xr:uid="{6612805D-9124-4234-BFEA-E8933CA018B7}"/>
    <cellStyle name="Normal 153 2" xfId="3879" xr:uid="{C8094E05-588A-462A-A574-D6C605379762}"/>
    <cellStyle name="Normal 153 2 2" xfId="14445" xr:uid="{2B512981-E863-4360-BF8C-8579D3C8DA40}"/>
    <cellStyle name="Normal 153 3" xfId="3612" xr:uid="{E735B9EA-9ABD-4D4B-8CA1-3E0EA9E17A47}"/>
    <cellStyle name="Normal 153 4" xfId="8195" xr:uid="{7E12FF86-4BB0-47D6-89A0-1EE4B7169B70}"/>
    <cellStyle name="Normal 154" xfId="2338" xr:uid="{4EA5A21A-33F5-4E34-A566-39D180985665}"/>
    <cellStyle name="Normal 154 2" xfId="3880" xr:uid="{D0371C19-7D69-4207-80DE-B854955F0BC1}"/>
    <cellStyle name="Normal 154 2 2" xfId="14446" xr:uid="{750AFB05-815E-4CCD-A748-48D3D0BCA9DE}"/>
    <cellStyle name="Normal 154 3" xfId="3613" xr:uid="{077A0F4C-C738-4043-8B26-9B573DEADE88}"/>
    <cellStyle name="Normal 154 4" xfId="8196" xr:uid="{3DA8D2D1-45FB-43E7-8FE5-232C18C17E41}"/>
    <cellStyle name="Normal 155" xfId="2339" xr:uid="{A94A0EAC-FF98-4F3C-8AC6-34EC3F8F8064}"/>
    <cellStyle name="Normal 155 2" xfId="3881" xr:uid="{5C7FEE6D-D7CB-401F-B17B-9607BB5FA31D}"/>
    <cellStyle name="Normal 155 2 2" xfId="14447" xr:uid="{D83385F1-F487-49BF-996B-5FE3A9657294}"/>
    <cellStyle name="Normal 155 3" xfId="3614" xr:uid="{5CE8F3EE-8620-4AD0-BD18-664BF0D0BBAD}"/>
    <cellStyle name="Normal 155 4" xfId="8197" xr:uid="{B3A96625-BF5C-431B-8EFA-5A364002E373}"/>
    <cellStyle name="Normal 156" xfId="2340" xr:uid="{1A2E79EE-EDEB-4695-9069-35A663BB8332}"/>
    <cellStyle name="Normal 156 2" xfId="3882" xr:uid="{400ABE28-8BF6-4440-BD6D-82C52F30783C}"/>
    <cellStyle name="Normal 156 2 2" xfId="14448" xr:uid="{AA786462-126B-478A-89E3-CD15470BDEC0}"/>
    <cellStyle name="Normal 156 3" xfId="3615" xr:uid="{EA7D9476-16DA-47F3-BCB3-A579ABF5A8F1}"/>
    <cellStyle name="Normal 156 4" xfId="8198" xr:uid="{E5A5E77D-3CE1-4555-908E-FE160D752C2B}"/>
    <cellStyle name="Normal 16" xfId="191" xr:uid="{9404AE1D-96FD-43F6-9B41-4BCD40A311C9}"/>
    <cellStyle name="Normal 16 2" xfId="402" xr:uid="{FAEF65B8-ABC5-4472-AE9A-6F34FB364EF0}"/>
    <cellStyle name="Normal 16 2 2" xfId="1338" xr:uid="{70DA8719-54F3-408C-B10C-9F01722B7346}"/>
    <cellStyle name="Normal 16 3" xfId="8200" xr:uid="{AAE577F0-94E3-4144-83D4-A44E387C1C2A}"/>
    <cellStyle name="Normal 16 4" xfId="8201" xr:uid="{50B5C324-B9D8-4B21-AE19-EAB091AD30B8}"/>
    <cellStyle name="Normal 16 5" xfId="8202" xr:uid="{3685DE55-CD22-448C-A8A6-17F13B2926C6}"/>
    <cellStyle name="Normal 16 6" xfId="8199" xr:uid="{9E3933A1-F192-4273-AEC7-1E34ABCF2C36}"/>
    <cellStyle name="Normal 16 7" xfId="4052" xr:uid="{0F430942-C666-40EF-BE6B-EB1B59ABB34A}"/>
    <cellStyle name="Normal 161" xfId="2341" xr:uid="{B6DAD2A4-482C-4D56-87BF-9C57E2C11E18}"/>
    <cellStyle name="Normal 161 2" xfId="3883" xr:uid="{7C9A0225-3C0E-4A4C-BE78-603754E6C2B3}"/>
    <cellStyle name="Normal 161 2 2" xfId="14449" xr:uid="{A74255D3-0F32-47C4-BFF2-F33E81E841D6}"/>
    <cellStyle name="Normal 161 3" xfId="3616" xr:uid="{3041F571-D362-4EA3-934B-12ED263FD1F7}"/>
    <cellStyle name="Normal 161 4" xfId="8203" xr:uid="{39BA0A52-132A-44C2-9FC0-13C9CD180E7F}"/>
    <cellStyle name="Normal 162" xfId="2342" xr:uid="{D0F8BC00-0E32-498D-AE8B-D59A0A5D634B}"/>
    <cellStyle name="Normal 162 2" xfId="3884" xr:uid="{DEDDA46B-5161-4148-8FC9-0A17648E8DF7}"/>
    <cellStyle name="Normal 162 2 2" xfId="14450" xr:uid="{645D6A78-83B7-466B-84E8-96F9EFB318A4}"/>
    <cellStyle name="Normal 162 3" xfId="3617" xr:uid="{D80A622E-C1E5-4049-B213-0C896B9F90A7}"/>
    <cellStyle name="Normal 162 4" xfId="8204" xr:uid="{E66CB107-F176-484E-A1C9-74F3067D12FF}"/>
    <cellStyle name="Normal 163" xfId="2343" xr:uid="{0F878D4C-E8FD-4856-A746-1FD787882009}"/>
    <cellStyle name="Normal 163 2" xfId="3885" xr:uid="{A2CBED8F-AE0F-4E5C-A044-507217DA0289}"/>
    <cellStyle name="Normal 163 2 2" xfId="14451" xr:uid="{A074CA33-D782-4541-87F3-829DB1667722}"/>
    <cellStyle name="Normal 163 3" xfId="3618" xr:uid="{46756C30-ED7C-4905-89B1-444F5689A975}"/>
    <cellStyle name="Normal 163 4" xfId="8205" xr:uid="{CD7766F7-E911-4A43-B8C5-0C527A60D816}"/>
    <cellStyle name="Normal 164" xfId="2344" xr:uid="{1F3351A0-1A91-40AE-B41D-00F7D4DF2551}"/>
    <cellStyle name="Normal 164 2" xfId="3886" xr:uid="{E266A55C-A670-41C0-A706-F04F49F12B64}"/>
    <cellStyle name="Normal 164 2 2" xfId="14452" xr:uid="{EB52DCC8-EB4A-49E5-A466-A2B6DD25D5E7}"/>
    <cellStyle name="Normal 164 3" xfId="3619" xr:uid="{36F7B49A-9B37-4052-9F35-9EF1EAB73754}"/>
    <cellStyle name="Normal 164 4" xfId="8206" xr:uid="{9BAD9BCE-2AEB-4ECF-8DF9-2A195EBA548A}"/>
    <cellStyle name="Normal 169" xfId="2345" xr:uid="{587AA71F-6CA0-476A-BC01-2EFE8D17443D}"/>
    <cellStyle name="Normal 169 2" xfId="3887" xr:uid="{18D1711E-3223-48F9-B3F3-A2037996EF7F}"/>
    <cellStyle name="Normal 169 2 2" xfId="14453" xr:uid="{0F70560F-ACBA-4297-8964-048BA7F77EA5}"/>
    <cellStyle name="Normal 169 3" xfId="3620" xr:uid="{3850DFEF-7B52-4AAD-91B4-3898F65E60AC}"/>
    <cellStyle name="Normal 169 4" xfId="8207" xr:uid="{63E5C3B2-75EC-4E46-BD8F-1B5895DC4A88}"/>
    <cellStyle name="Normal 17" xfId="403" xr:uid="{75D1E60C-64F7-40E1-BCAF-243F05DE642C}"/>
    <cellStyle name="Normal 17 2" xfId="404" xr:uid="{74E7BE81-1024-47F8-8AC2-EED3FC649946}"/>
    <cellStyle name="Normal 17 2 2" xfId="405" xr:uid="{DC783704-CDB7-4737-A3F8-8A3F23F44BE2}"/>
    <cellStyle name="Normal 17 2 2 2" xfId="406" xr:uid="{48E766ED-8EBB-4A0C-A904-03FBB9D2A93F}"/>
    <cellStyle name="Normal 17 2 2 3" xfId="407" xr:uid="{E000CF01-BC6B-4C3D-974B-D7042C369D24}"/>
    <cellStyle name="Normal 17 2 2 4" xfId="8209" xr:uid="{391340E4-1C78-471F-9641-34662C40E84F}"/>
    <cellStyle name="Normal 17 2 3" xfId="408" xr:uid="{1AD0B3BB-9CA3-4FB0-AAB9-9B801E612F40}"/>
    <cellStyle name="Normal 17 2 4" xfId="409" xr:uid="{9C4490A7-34B7-4F64-8665-F142787637E6}"/>
    <cellStyle name="Normal 17 2 5" xfId="1339" xr:uid="{7DD4FDF2-E688-4031-A670-C67593A64858}"/>
    <cellStyle name="Normal 17 3" xfId="410" xr:uid="{FFB84804-CCD3-4A2A-9667-239665090C1E}"/>
    <cellStyle name="Normal 17 3 2" xfId="411" xr:uid="{55E8C562-A5A4-4F21-8B8B-9DDD77D7E28E}"/>
    <cellStyle name="Normal 17 3 2 2" xfId="412" xr:uid="{61DD2052-9E99-4C87-8852-8A35D5E21F6C}"/>
    <cellStyle name="Normal 17 3 2 3" xfId="413" xr:uid="{AD6656AD-5E84-4884-8D20-B574ADE9C902}"/>
    <cellStyle name="Normal 17 3 2 4" xfId="8210" xr:uid="{F7605E33-17EB-4ECE-82E8-92A1B2471D86}"/>
    <cellStyle name="Normal 17 3 3" xfId="414" xr:uid="{01E74096-5860-4288-9873-3DB3A4FD2A9F}"/>
    <cellStyle name="Normal 17 3 4" xfId="415" xr:uid="{723C073A-BDE5-41BB-98B5-C48FCD85E832}"/>
    <cellStyle name="Normal 17 3 5" xfId="1340" xr:uid="{22A88C25-4F59-4646-BBC5-A61CC1487AE9}"/>
    <cellStyle name="Normal 17 4" xfId="416" xr:uid="{81052434-BEC5-4623-9252-34E6AAB22E3A}"/>
    <cellStyle name="Normal 17 4 2" xfId="417" xr:uid="{4D4C2CEA-DFE7-4A6C-A94B-A71AE5ABF029}"/>
    <cellStyle name="Normal 17 4 2 2" xfId="8211" xr:uid="{10D15086-9376-4A0A-BA74-4AE6B0DF4838}"/>
    <cellStyle name="Normal 17 4 3" xfId="418" xr:uid="{C97222AF-561F-48C0-A3EE-14059109A761}"/>
    <cellStyle name="Normal 17 4 4" xfId="1341" xr:uid="{8370C6CA-5DBB-4A99-94D3-8BB7BB357E47}"/>
    <cellStyle name="Normal 17 5" xfId="419" xr:uid="{F3A3E577-9EF4-46F0-9A7F-DC7D0C0A27B9}"/>
    <cellStyle name="Normal 17 5 2" xfId="8212" xr:uid="{801173DA-8F8B-46EE-9F3D-357A81663D50}"/>
    <cellStyle name="Normal 17 6" xfId="420" xr:uid="{E1475CE9-CE55-4E22-9F1E-B2F90FFFF815}"/>
    <cellStyle name="Normal 17 6 2" xfId="8208" xr:uid="{F1757E44-BE97-45A8-A09E-36D263BFFB1C}"/>
    <cellStyle name="Normal 17 7" xfId="3517" xr:uid="{89120E43-916D-4EB6-BD55-01D63D48C6F1}"/>
    <cellStyle name="Normal 170" xfId="2346" xr:uid="{C72CD948-D829-45D6-A17B-082A4131CDFE}"/>
    <cellStyle name="Normal 170 2" xfId="3888" xr:uid="{2AE72CBD-D253-4939-B29E-265A109B7D86}"/>
    <cellStyle name="Normal 170 2 2" xfId="14454" xr:uid="{731EE2B9-3D1C-4CF4-A469-AB3E47B6F505}"/>
    <cellStyle name="Normal 170 3" xfId="3621" xr:uid="{6016DF40-7123-472D-9A11-28FF1FE34859}"/>
    <cellStyle name="Normal 170 4" xfId="8213" xr:uid="{74CE05D7-E761-44F4-B9FA-40566FBC9F23}"/>
    <cellStyle name="Normal 171" xfId="2347" xr:uid="{071FC8F1-69C5-45DC-A4AF-FC88CB2DBC40}"/>
    <cellStyle name="Normal 171 2" xfId="3889" xr:uid="{DBE593F1-63E4-4CFC-B273-D03062681B9E}"/>
    <cellStyle name="Normal 171 2 2" xfId="14455" xr:uid="{E0646285-ABBA-44CA-B925-C12217C0A04C}"/>
    <cellStyle name="Normal 171 3" xfId="3622" xr:uid="{79FE4487-D0AF-440F-B9B9-ACCDB4D7D398}"/>
    <cellStyle name="Normal 171 4" xfId="8214" xr:uid="{ED82BC1B-9D36-455C-9163-80131A09906C}"/>
    <cellStyle name="Normal 172" xfId="2348" xr:uid="{C032521F-4245-417C-B64F-22507E2D9951}"/>
    <cellStyle name="Normal 172 2" xfId="3890" xr:uid="{978493DD-3A3D-4231-9926-4A3292A3197E}"/>
    <cellStyle name="Normal 172 2 2" xfId="14456" xr:uid="{7BD6641B-FBAE-43F0-8FE5-E24D024A4E68}"/>
    <cellStyle name="Normal 172 3" xfId="3623" xr:uid="{5C0649A6-5CF9-4037-A96D-64F7468460A0}"/>
    <cellStyle name="Normal 172 4" xfId="8215" xr:uid="{ED6A8E2D-453D-4DB2-9B88-C1F1DCA426D0}"/>
    <cellStyle name="Normal 177" xfId="2349" xr:uid="{80A5A65E-892D-4D43-8C31-959D58113F4E}"/>
    <cellStyle name="Normal 177 2" xfId="3891" xr:uid="{1514C431-EF65-4B0D-A380-E1EB182E2C0D}"/>
    <cellStyle name="Normal 177 2 2" xfId="14457" xr:uid="{8B308C6D-D54F-426E-B361-632D66DED3E1}"/>
    <cellStyle name="Normal 177 3" xfId="3624" xr:uid="{5E825E27-3CBD-476C-8DC5-7FA069F644BE}"/>
    <cellStyle name="Normal 177 4" xfId="8216" xr:uid="{9B192D19-F9CB-4F4B-9650-90B04810683E}"/>
    <cellStyle name="Normal 178" xfId="2350" xr:uid="{8D8D3889-0EC7-485F-8622-2EAA9CCA4047}"/>
    <cellStyle name="Normal 178 2" xfId="3892" xr:uid="{B47D6154-DA40-4B8E-AD9C-DEB0636B6D9D}"/>
    <cellStyle name="Normal 178 2 2" xfId="14458" xr:uid="{68B22261-8B22-46F8-99F6-1E0D86BB92F4}"/>
    <cellStyle name="Normal 178 3" xfId="3625" xr:uid="{90D15033-F9E2-4F71-BBD7-415ED826D7C2}"/>
    <cellStyle name="Normal 178 4" xfId="8217" xr:uid="{EAEF33C8-7A36-4530-B5D0-7D392CEB5342}"/>
    <cellStyle name="Normal 179" xfId="2351" xr:uid="{4AABD646-E689-4707-AA15-7A1278BFF6A6}"/>
    <cellStyle name="Normal 179 2" xfId="3893" xr:uid="{92B47F54-B9B7-4C31-8B7C-E22861654488}"/>
    <cellStyle name="Normal 179 2 2" xfId="14459" xr:uid="{94A87BB3-985B-41E6-AE4A-BC5603E82661}"/>
    <cellStyle name="Normal 179 3" xfId="3626" xr:uid="{E4DEC9F0-4ED7-40CD-B1C9-023F01036B67}"/>
    <cellStyle name="Normal 179 4" xfId="8218" xr:uid="{EE382BD7-7B69-4338-BE3B-DC29A399C144}"/>
    <cellStyle name="Normal 18" xfId="421" xr:uid="{249469B4-37F5-466C-9366-26EAE83C86EC}"/>
    <cellStyle name="Normal 18 2" xfId="422" xr:uid="{DEFA34AF-59DA-4FE1-AF93-A7C345EFD4E3}"/>
    <cellStyle name="Normal 18 2 2" xfId="8220" xr:uid="{1F12A2D4-A22B-458E-966D-8267E49E2F52}"/>
    <cellStyle name="Normal 18 2 3" xfId="1343" xr:uid="{00EF07FC-1E4F-4B74-A161-37E91D72C8B6}"/>
    <cellStyle name="Normal 18 3" xfId="8221" xr:uid="{6C80DB2A-B2F2-4728-AB53-7EC2C39CA683}"/>
    <cellStyle name="Normal 18 4" xfId="8219" xr:uid="{222D1AF7-CFC2-4835-8B74-F3296F78BCC7}"/>
    <cellStyle name="Normal 18 5" xfId="4055" xr:uid="{A096D829-84DC-4D24-B029-BDAAB4495FA9}"/>
    <cellStyle name="Normal 18 6" xfId="1342" xr:uid="{6B085FA7-0C9A-42C4-ABF3-71307D1C7CEB}"/>
    <cellStyle name="Normal 180" xfId="2352" xr:uid="{BF30F20D-0E32-49D5-BF48-799CEB156476}"/>
    <cellStyle name="Normal 180 2" xfId="3894" xr:uid="{E061058F-23D2-4D5C-A1BF-2CFF98DC889A}"/>
    <cellStyle name="Normal 180 2 2" xfId="14460" xr:uid="{3129865C-6A4E-4EFC-9136-33A2D58871A9}"/>
    <cellStyle name="Normal 180 3" xfId="3627" xr:uid="{080A45BC-2BE2-463A-B144-8A77985CF424}"/>
    <cellStyle name="Normal 180 4" xfId="8222" xr:uid="{E06B6C3E-4837-4757-BEA2-ED90158A652C}"/>
    <cellStyle name="Normal 181" xfId="2353" xr:uid="{7ABA0F92-4E0C-46ED-ADC9-9471A225AD98}"/>
    <cellStyle name="Normal 181 2" xfId="3895" xr:uid="{04EE3741-493F-441E-9A62-6D3DD6270C6A}"/>
    <cellStyle name="Normal 181 2 2" xfId="14461" xr:uid="{2F0CC265-270A-49B6-8E39-FBFEE8F56FA2}"/>
    <cellStyle name="Normal 181 3" xfId="3628" xr:uid="{E32D6E6C-2C9F-4F3E-BADB-F849FBDA8746}"/>
    <cellStyle name="Normal 181 4" xfId="8223" xr:uid="{D43FD25C-B831-471F-A57A-66CFFA53EE59}"/>
    <cellStyle name="Normal 182" xfId="2354" xr:uid="{C76288BB-AB85-4DEE-BAED-98D324968323}"/>
    <cellStyle name="Normal 182 2" xfId="3896" xr:uid="{853927BD-B0EC-4BF6-BC10-E32AD483EE5E}"/>
    <cellStyle name="Normal 182 2 2" xfId="14462" xr:uid="{54676262-F723-44B9-86D4-E18DE2440F3F}"/>
    <cellStyle name="Normal 182 3" xfId="3629" xr:uid="{50B5CF2C-E96A-42D5-AE3A-1F16B38C5213}"/>
    <cellStyle name="Normal 182 4" xfId="8224" xr:uid="{6C1D1B3D-F77A-4532-9884-0FB46315063A}"/>
    <cellStyle name="Normal 183" xfId="2355" xr:uid="{7320020B-E558-4D5D-98BF-F72D361C94BB}"/>
    <cellStyle name="Normal 183 2" xfId="3897" xr:uid="{42C88B91-F2C4-47A8-91B3-4D3F68233BAC}"/>
    <cellStyle name="Normal 183 2 2" xfId="14463" xr:uid="{1323F683-EAC0-470F-9320-9C066C88BC70}"/>
    <cellStyle name="Normal 183 3" xfId="3630" xr:uid="{9CEE52C8-FBE1-43AD-9FEB-18813BDCB149}"/>
    <cellStyle name="Normal 183 4" xfId="8225" xr:uid="{23DE6B5D-033F-4710-BC11-B095391330E7}"/>
    <cellStyle name="Normal 184" xfId="2356" xr:uid="{A7EF2FB7-B86A-4D21-A79F-10CEDD8900BB}"/>
    <cellStyle name="Normal 184 2" xfId="3898" xr:uid="{46E7B1D2-9B1E-4837-A1B7-C3E47B57EB53}"/>
    <cellStyle name="Normal 184 2 2" xfId="14464" xr:uid="{85DE95CA-6DD3-4D3F-8381-1DF2DF577397}"/>
    <cellStyle name="Normal 184 3" xfId="3631" xr:uid="{A83EE1E9-1525-438B-8330-0A14303CC05D}"/>
    <cellStyle name="Normal 184 4" xfId="8226" xr:uid="{47D13C32-637B-4DC7-AB51-C731A82533BE}"/>
    <cellStyle name="Normal 185" xfId="2357" xr:uid="{5EFAF5C0-E1F3-4C5E-AAEC-C72BC5BD0509}"/>
    <cellStyle name="Normal 185 2" xfId="3899" xr:uid="{9849C010-08D2-47FC-BC6A-E9A825196ACF}"/>
    <cellStyle name="Normal 185 2 2" xfId="14465" xr:uid="{3CE7BACA-73AF-4D9C-8946-53F2D2087B1C}"/>
    <cellStyle name="Normal 185 3" xfId="3632" xr:uid="{D8982FFD-AFB7-4900-B0DC-3E239575E9C5}"/>
    <cellStyle name="Normal 185 4" xfId="8227" xr:uid="{1A70AC14-913D-45AA-978F-F5B2E60D0C53}"/>
    <cellStyle name="Normal 186" xfId="2358" xr:uid="{3C796C02-AAC4-4F8F-A17E-A9160FF499AC}"/>
    <cellStyle name="Normal 186 2" xfId="3900" xr:uid="{2846206D-4930-4205-B26A-13D73F59DD9C}"/>
    <cellStyle name="Normal 186 2 2" xfId="14466" xr:uid="{20FEF4EE-E48A-49B6-8E8B-2811C7C4117C}"/>
    <cellStyle name="Normal 186 3" xfId="3633" xr:uid="{B0D8DE63-628B-4DDF-B2C7-EDA2A0550CF9}"/>
    <cellStyle name="Normal 186 4" xfId="8228" xr:uid="{AE37DE3F-F3A7-4572-810B-9F597AEED69C}"/>
    <cellStyle name="Normal 187" xfId="2359" xr:uid="{0DF40B7C-359C-4EB8-91BA-13F7BEDF96A9}"/>
    <cellStyle name="Normal 187 2" xfId="3901" xr:uid="{AA049C6A-A6DB-41D4-BA8E-1B3A1CDEEE02}"/>
    <cellStyle name="Normal 187 2 2" xfId="14467" xr:uid="{28F5F80B-9F77-4140-9B68-0C4F34E7F236}"/>
    <cellStyle name="Normal 187 3" xfId="3634" xr:uid="{A7FA4DAD-10C3-4ADC-823B-75BD88E2316A}"/>
    <cellStyle name="Normal 187 4" xfId="8229" xr:uid="{D313863C-990B-4D7C-A98B-6F382F00E161}"/>
    <cellStyle name="Normal 188" xfId="2360" xr:uid="{EE3D8A5C-8095-4B5A-820E-BCE9E054B5E7}"/>
    <cellStyle name="Normal 188 2" xfId="3902" xr:uid="{76695128-988C-4E6F-99EE-4E866ED8DF49}"/>
    <cellStyle name="Normal 188 2 2" xfId="14468" xr:uid="{5347EF97-AE72-4528-B7C9-67B01D5F4A6C}"/>
    <cellStyle name="Normal 188 3" xfId="3635" xr:uid="{F4F1CAEB-F942-4D8C-BB21-DA74B98F349C}"/>
    <cellStyle name="Normal 188 4" xfId="8230" xr:uid="{FC3AEF62-7919-4275-95B2-E45169B10535}"/>
    <cellStyle name="Normal 189" xfId="2361" xr:uid="{6E756C8E-4FF0-4FCD-AE06-D6F2CB5BE7EE}"/>
    <cellStyle name="Normal 189 2" xfId="3903" xr:uid="{6050C507-A1D6-4A8D-9EA1-AF61CB3203C5}"/>
    <cellStyle name="Normal 189 2 2" xfId="14469" xr:uid="{44DDDF03-C827-4D43-B943-08877FF47923}"/>
    <cellStyle name="Normal 189 3" xfId="3636" xr:uid="{DB00A24D-0A6E-451A-B79A-393614BB917A}"/>
    <cellStyle name="Normal 189 4" xfId="8231" xr:uid="{141145C8-C4BC-498C-B9D1-48E9ACF88368}"/>
    <cellStyle name="Normal 19" xfId="423" xr:uid="{C3AB83A9-7DCF-4C2C-AF01-2231FDBF3C7A}"/>
    <cellStyle name="Normal 19 2" xfId="8233" xr:uid="{D0412A11-218B-41AF-9FA0-00129A64EC44}"/>
    <cellStyle name="Normal 19 2 2" xfId="8234" xr:uid="{6442A422-1C5E-42DE-BD1D-2E5F8E51FFF9}"/>
    <cellStyle name="Normal 19 3" xfId="8235" xr:uid="{2E801016-0897-4A79-8357-4F0D4A52E7FC}"/>
    <cellStyle name="Normal 19 4" xfId="8232" xr:uid="{310F45EE-846E-4194-833F-63F9006EF88F}"/>
    <cellStyle name="Normal 19 5" xfId="4054" xr:uid="{9AD2E352-93F8-411A-B5F4-BE4403A52B41}"/>
    <cellStyle name="Normal 19 6" xfId="1344" xr:uid="{FCB9D972-E232-4082-A438-B08AB4AC0DC2}"/>
    <cellStyle name="Normal 190" xfId="2362" xr:uid="{44B68DF2-4C8E-44BA-B182-5FBAF2884CAB}"/>
    <cellStyle name="Normal 190 2" xfId="3904" xr:uid="{0CD097C4-028D-499D-A0AA-3AEE628C2B21}"/>
    <cellStyle name="Normal 190 2 2" xfId="14470" xr:uid="{E8B050DE-341D-4C43-A470-88FE4349BB3C}"/>
    <cellStyle name="Normal 190 3" xfId="3637" xr:uid="{53B062F2-49F4-438A-809A-D2CD6613E6AF}"/>
    <cellStyle name="Normal 190 4" xfId="8236" xr:uid="{4CFC7617-6149-4FA7-8B5A-0EDCD3D20679}"/>
    <cellStyle name="Normal 192" xfId="2363" xr:uid="{221436AA-7991-45A5-9655-E8E55531EB8B}"/>
    <cellStyle name="Normal 192 2" xfId="3905" xr:uid="{7AA6FB5D-3F9C-4682-B55D-ECC077BB6A03}"/>
    <cellStyle name="Normal 192 2 2" xfId="14471" xr:uid="{BC6DA011-3F33-48F1-8FA3-E23004035F34}"/>
    <cellStyle name="Normal 192 3" xfId="3638" xr:uid="{FB8D1E76-5BAE-4EFE-BB3B-590E8CB88432}"/>
    <cellStyle name="Normal 192 4" xfId="8237" xr:uid="{3A8F5E36-4495-46AD-87F0-33AC7C3DEA9E}"/>
    <cellStyle name="Normal 193" xfId="2364" xr:uid="{E2B05B4B-52D9-4DFB-8064-9B43628297C6}"/>
    <cellStyle name="Normal 193 2" xfId="3906" xr:uid="{7B94225A-FBC7-4739-B6C7-ED001FD15AE9}"/>
    <cellStyle name="Normal 193 2 2" xfId="14472" xr:uid="{70BA4409-7118-4967-AABB-4BF2DD6EF941}"/>
    <cellStyle name="Normal 193 3" xfId="3639" xr:uid="{110EC212-B1E3-4C8C-B9EB-10ADD8EA8FF9}"/>
    <cellStyle name="Normal 193 4" xfId="8238" xr:uid="{609C9C82-1523-4EF3-9FE3-96AD862D6D4D}"/>
    <cellStyle name="Normal 196" xfId="2365" xr:uid="{D2EE22C6-57CD-4CEE-8468-AC5ABB31E9FC}"/>
    <cellStyle name="Normal 196 2" xfId="3907" xr:uid="{96C7E688-0DF7-4DC0-BA1C-1D7B36822763}"/>
    <cellStyle name="Normal 196 2 2" xfId="14473" xr:uid="{7CFC5247-5337-447B-97C4-DE2E438AC7A6}"/>
    <cellStyle name="Normal 196 3" xfId="3640" xr:uid="{CB9C31D1-DEDD-4DB9-A542-BDAF48D718B2}"/>
    <cellStyle name="Normal 196 4" xfId="8239" xr:uid="{63214D65-68DC-4F53-B477-D1B79AEF48A7}"/>
    <cellStyle name="Normal 197" xfId="2366" xr:uid="{2926945A-98C7-4D63-AE7B-8B92A841DD42}"/>
    <cellStyle name="Normal 197 2" xfId="3908" xr:uid="{2DEC8E3E-2CD2-4080-A1CF-47F66BF1F70D}"/>
    <cellStyle name="Normal 197 2 2" xfId="14474" xr:uid="{0D2CDE7E-7E31-40B6-80FB-412CDBBDAE7B}"/>
    <cellStyle name="Normal 197 3" xfId="3641" xr:uid="{B60FF2C3-2A7D-40FC-92F2-63D62045BD99}"/>
    <cellStyle name="Normal 197 4" xfId="8240" xr:uid="{E7BF2F42-827A-45FC-964B-9855288DBE74}"/>
    <cellStyle name="Normal 198" xfId="2367" xr:uid="{1FD0A0A3-1F09-429C-896D-ABF26E3A4082}"/>
    <cellStyle name="Normal 198 2" xfId="3909" xr:uid="{5EFF46E9-E3FE-4490-A2D4-795B7E5E446C}"/>
    <cellStyle name="Normal 198 2 2" xfId="14475" xr:uid="{8DAC4330-53CA-4CB8-BB09-D123E109CC00}"/>
    <cellStyle name="Normal 198 3" xfId="3642" xr:uid="{D96C027E-BE26-4E54-8232-557FC0ED0B6B}"/>
    <cellStyle name="Normal 198 4" xfId="8241" xr:uid="{F5749EF0-F411-4184-AA9E-5C6801929A2D}"/>
    <cellStyle name="Normal 199" xfId="2368" xr:uid="{8120A0EE-2AE0-428B-8343-EE2EE38F2E68}"/>
    <cellStyle name="Normal 199 2" xfId="3910" xr:uid="{3B8391EA-BE11-47A2-B018-FA86656C0B59}"/>
    <cellStyle name="Normal 199 2 2" xfId="14476" xr:uid="{277B7D5B-5AD5-452F-9A18-3F4D1146D8F3}"/>
    <cellStyle name="Normal 199 3" xfId="3643" xr:uid="{E5F0C1A7-F12B-4449-803E-4E7CD1F6ED0C}"/>
    <cellStyle name="Normal 199 4" xfId="8242" xr:uid="{ADBF2D32-B1B3-4E96-A221-F92AC26919A9}"/>
    <cellStyle name="Normal 2" xfId="7" xr:uid="{BAAEC8C0-23C7-4E0B-8C59-7E385D23C4E9}"/>
    <cellStyle name="Normal 2 10" xfId="1345" xr:uid="{6E140568-1CD1-4D94-946B-0AF1F75D6FCA}"/>
    <cellStyle name="Normal 2 10 2" xfId="8936" xr:uid="{52716533-EF9F-444F-9E9B-D787B4F7497A}"/>
    <cellStyle name="Normal 2 10 3" xfId="8907" xr:uid="{DE4679CF-D6B6-4663-AE99-8DEC1F980163}"/>
    <cellStyle name="Normal 2 11" xfId="1346" xr:uid="{7C7ED95A-56E8-4B12-AD98-DA6A6C1AEF36}"/>
    <cellStyle name="Normal 2 11 2" xfId="8910" xr:uid="{A38BC364-41D1-4806-B64C-2307ABA2C2DE}"/>
    <cellStyle name="Normal 2 12" xfId="1347" xr:uid="{E76BF2DF-955F-44F9-9E75-F78885D1E6AB}"/>
    <cellStyle name="Normal 2 12 2" xfId="8949" xr:uid="{22EF9B91-8A3B-4877-883B-B40F8FEFD625}"/>
    <cellStyle name="Normal 2 13" xfId="1348" xr:uid="{094B200F-CAB9-4D3C-AF0E-1B8269F45848}"/>
    <cellStyle name="Normal 2 13 2" xfId="6477" xr:uid="{6D6EA4B8-CC6D-4146-B39E-86636F0422CF}"/>
    <cellStyle name="Normal 2 14" xfId="1349" xr:uid="{3E70CAB1-340A-40CB-8521-416C03257885}"/>
    <cellStyle name="Normal 2 15" xfId="1350" xr:uid="{30A5ED0F-12AC-4B91-BCAC-53FA9E4F06DF}"/>
    <cellStyle name="Normal 2 16" xfId="1351" xr:uid="{E2AD41AC-1C89-41FE-9E27-08722098A73E}"/>
    <cellStyle name="Normal 2 17" xfId="1352" xr:uid="{EE5015C7-0BE9-418A-88CB-A037669135F5}"/>
    <cellStyle name="Normal 2 17 2" xfId="2" xr:uid="{A413C069-02B8-4632-8B37-C11EE2B49761}"/>
    <cellStyle name="Normal 2 18" xfId="1353" xr:uid="{CAA7654C-F3D2-40DC-9A13-2A930E4F1814}"/>
    <cellStyle name="Normal 2 19" xfId="1354" xr:uid="{25386F2F-C4E1-4086-B995-730DD933A94D}"/>
    <cellStyle name="Normal 2 2" xfId="11" xr:uid="{5C61A76A-6D67-4FFC-912F-2BFDE6CA049F}"/>
    <cellStyle name="Normal 2 2 10" xfId="1355" xr:uid="{6404A190-8B91-4BF7-854C-4526034FB769}"/>
    <cellStyle name="Normal 2 2 11" xfId="1356" xr:uid="{CF610C5F-7D48-441A-9E57-E4436F3EE1A5}"/>
    <cellStyle name="Normal 2 2 12" xfId="1357" xr:uid="{F0FDFF38-8F86-49D7-96D1-CD864FFB02F6}"/>
    <cellStyle name="Normal 2 2 13" xfId="1358" xr:uid="{65F42B65-104C-471E-8783-8457CC192AB3}"/>
    <cellStyle name="Normal 2 2 14" xfId="1359" xr:uid="{04D38451-7DDF-485F-9402-B6A91C30B563}"/>
    <cellStyle name="Normal 2 2 15" xfId="1360" xr:uid="{B686B54F-92D9-4A59-8404-2FAA531A2673}"/>
    <cellStyle name="Normal 2 2 16" xfId="1361" xr:uid="{7CB449FB-6CBE-4A3C-89AC-3F9A153445D2}"/>
    <cellStyle name="Normal 2 2 17" xfId="1362" xr:uid="{5BB2623A-175D-400F-9FC5-49818FFF39BD}"/>
    <cellStyle name="Normal 2 2 18" xfId="1363" xr:uid="{8855E211-5E63-4F8E-8220-A123E59B4066}"/>
    <cellStyle name="Normal 2 2 19" xfId="1364" xr:uid="{BD224246-AD18-418C-AB74-88F1EFACD7FE}"/>
    <cellStyle name="Normal 2 2 2" xfId="192" xr:uid="{20A64DC7-C017-42E9-A39D-D284982E0E96}"/>
    <cellStyle name="Normal 2 2 2 10" xfId="1365" xr:uid="{5C286EB3-B069-4467-8C77-121D6796A56D}"/>
    <cellStyle name="Normal 2 2 2 11" xfId="1366" xr:uid="{51E312B0-2811-4812-A75C-EBAC9CCF9222}"/>
    <cellStyle name="Normal 2 2 2 12" xfId="1367" xr:uid="{B2569398-8249-4E70-8755-7715A72BBFA4}"/>
    <cellStyle name="Normal 2 2 2 13" xfId="1368" xr:uid="{1E7816A1-2F37-4405-BA97-7D0A27FEB27E}"/>
    <cellStyle name="Normal 2 2 2 14" xfId="1369" xr:uid="{BAC69A6C-D29A-4CF1-BC07-012CC590BD6A}"/>
    <cellStyle name="Normal 2 2 2 15" xfId="1370" xr:uid="{7E7162DB-0C02-4D65-AA64-99E51CD4D039}"/>
    <cellStyle name="Normal 2 2 2 16" xfId="1371" xr:uid="{4C5C6F8D-0757-4EB9-BE4E-FA54D1BC1999}"/>
    <cellStyle name="Normal 2 2 2 17" xfId="1372" xr:uid="{679F1158-6B12-485A-80B4-78BE544314E5}"/>
    <cellStyle name="Normal 2 2 2 18" xfId="1373" xr:uid="{393068F3-09CE-4E8E-B0CD-AFC42DBCA39D}"/>
    <cellStyle name="Normal 2 2 2 18 2" xfId="1374" xr:uid="{D0C0BD2F-3C6D-4F1E-8466-D35950451834}"/>
    <cellStyle name="Normal 2 2 2 19" xfId="1375" xr:uid="{FBFA303D-D60D-4D53-B0C0-C0849FF1CF50}"/>
    <cellStyle name="Normal 2 2 2 2" xfId="1376" xr:uid="{AEFD4CA1-7F8A-442F-8969-FD446E5364DD}"/>
    <cellStyle name="Normal 2 2 2 2 10" xfId="1377" xr:uid="{03FF4E5C-2E24-469A-861F-5885A9A6CB63}"/>
    <cellStyle name="Normal 2 2 2 2 11" xfId="1378" xr:uid="{E2F3F175-0F87-4460-970E-F1586EDF5526}"/>
    <cellStyle name="Normal 2 2 2 2 12" xfId="1379" xr:uid="{75C9CA00-7FFB-49C1-B6FC-D81CA8D579DE}"/>
    <cellStyle name="Normal 2 2 2 2 13" xfId="1380" xr:uid="{C99578B1-FE56-44DF-94B2-4F46186953E1}"/>
    <cellStyle name="Normal 2 2 2 2 14" xfId="1381" xr:uid="{CE288051-A79E-4B35-B3D8-87FB5CC7AFCB}"/>
    <cellStyle name="Normal 2 2 2 2 15" xfId="1382" xr:uid="{98705C13-2401-4ACD-8D12-6635F48B21D0}"/>
    <cellStyle name="Normal 2 2 2 2 16" xfId="1383" xr:uid="{36750D89-1D60-4635-993D-23A1DD332244}"/>
    <cellStyle name="Normal 2 2 2 2 17" xfId="1384" xr:uid="{6D68DAEF-185A-41A0-B01C-027AB5C6C102}"/>
    <cellStyle name="Normal 2 2 2 2 18" xfId="1385" xr:uid="{93F3A774-3417-49CD-A5C2-B7B7A53A8CD9}"/>
    <cellStyle name="Normal 2 2 2 2 18 2" xfId="1386" xr:uid="{9B368AD8-DE39-4217-B277-1EF1BC4F1109}"/>
    <cellStyle name="Normal 2 2 2 2 19" xfId="1387" xr:uid="{56D9105A-4437-484C-8C47-8BD5CFA96DB1}"/>
    <cellStyle name="Normal 2 2 2 2 2" xfId="1388" xr:uid="{6027974A-E5B3-4CAD-8C59-3FFDFD654BA6}"/>
    <cellStyle name="Normal 2 2 2 2 2 10" xfId="1389" xr:uid="{74E8053E-5920-42CF-BAA5-7D6BBB975BAF}"/>
    <cellStyle name="Normal 2 2 2 2 2 11" xfId="1390" xr:uid="{307BA0BA-DA12-41C7-B97C-1EC5610F99B5}"/>
    <cellStyle name="Normal 2 2 2 2 2 12" xfId="1391" xr:uid="{C3B9FC45-A324-4417-BDC3-38F9F6030D32}"/>
    <cellStyle name="Normal 2 2 2 2 2 13" xfId="1392" xr:uid="{28A4E5E9-54E3-41DF-9DF0-087799EC1F6A}"/>
    <cellStyle name="Normal 2 2 2 2 2 14" xfId="1393" xr:uid="{56B00FA4-FC7B-456B-90FE-493D0CD9B54A}"/>
    <cellStyle name="Normal 2 2 2 2 2 15" xfId="1394" xr:uid="{0E612505-CAEC-46D5-8A3F-8D82B45BDFDD}"/>
    <cellStyle name="Normal 2 2 2 2 2 16" xfId="1395" xr:uid="{856F61E9-8F46-4F28-81EC-D515C3C0589C}"/>
    <cellStyle name="Normal 2 2 2 2 2 17" xfId="1396" xr:uid="{C351F977-BD70-4C1F-A376-2027F895CBB7}"/>
    <cellStyle name="Normal 2 2 2 2 2 17 2" xfId="1397" xr:uid="{9D4AC90E-C937-48D2-9B9C-72105360884A}"/>
    <cellStyle name="Normal 2 2 2 2 2 18" xfId="1398" xr:uid="{C910CCCF-77E3-4F63-BEC5-201A6BB4DA91}"/>
    <cellStyle name="Normal 2 2 2 2 2 19" xfId="1399" xr:uid="{57888AF5-24C8-44F6-9238-CE3CC2E32C37}"/>
    <cellStyle name="Normal 2 2 2 2 2 2" xfId="1400" xr:uid="{B55A0398-2B16-449D-9CB5-F93C04259FEA}"/>
    <cellStyle name="Normal 2 2 2 2 2 2 10" xfId="1401" xr:uid="{796C8A5A-7BBE-4A65-9BD6-C22ACD18856F}"/>
    <cellStyle name="Normal 2 2 2 2 2 2 11" xfId="1402" xr:uid="{D8442294-8150-4B39-8F58-E1DB3BD2C585}"/>
    <cellStyle name="Normal 2 2 2 2 2 2 12" xfId="1403" xr:uid="{314CEF65-D845-4913-B9F4-3C5260C42253}"/>
    <cellStyle name="Normal 2 2 2 2 2 2 13" xfId="1404" xr:uid="{950FD5D9-CE5C-462F-8390-ABEDAC9A5C43}"/>
    <cellStyle name="Normal 2 2 2 2 2 2 14" xfId="1405" xr:uid="{A1A39C14-7FD7-471D-8A25-AC8ED933C902}"/>
    <cellStyle name="Normal 2 2 2 2 2 2 15" xfId="1406" xr:uid="{9A405C22-3DA6-4C9F-BA91-E14B5EFE8BE5}"/>
    <cellStyle name="Normal 2 2 2 2 2 2 16" xfId="1407" xr:uid="{30493D1D-68CC-4036-B45C-B1AE0B440534}"/>
    <cellStyle name="Normal 2 2 2 2 2 2 17" xfId="1408" xr:uid="{47BD03C3-457B-454A-A4DC-E00BBDA75150}"/>
    <cellStyle name="Normal 2 2 2 2 2 2 17 2" xfId="1409" xr:uid="{79709022-24EE-4CCA-BF66-C95CAA28AFA6}"/>
    <cellStyle name="Normal 2 2 2 2 2 2 18" xfId="1410" xr:uid="{CC7E5423-D037-4D9A-9187-A587EF7F55DD}"/>
    <cellStyle name="Normal 2 2 2 2 2 2 19" xfId="1411" xr:uid="{4EBEF87E-FEE4-4717-8234-BF97747DC8D0}"/>
    <cellStyle name="Normal 2 2 2 2 2 2 2" xfId="1412" xr:uid="{B352282F-0559-422A-846A-01A4796F98DF}"/>
    <cellStyle name="Normal 2 2 2 2 2 2 2 10" xfId="1413" xr:uid="{2DBC6781-BC4A-4D34-8B5A-C9780D5EC1F1}"/>
    <cellStyle name="Normal 2 2 2 2 2 2 2 2" xfId="1414" xr:uid="{C33595C2-8B48-481F-A092-FA9C03448288}"/>
    <cellStyle name="Normal 2 2 2 2 2 2 2 2 10" xfId="1415" xr:uid="{24F5F9D8-A252-4883-9989-1101463B5F1C}"/>
    <cellStyle name="Normal 2 2 2 2 2 2 2 2 2" xfId="1416" xr:uid="{34B711DE-16AE-496A-9C2C-C15115607A01}"/>
    <cellStyle name="Normal 2 2 2 2 2 2 2 2 2 2" xfId="1417" xr:uid="{AE9D9ED0-2CE6-412B-89BA-569022AB786E}"/>
    <cellStyle name="Normal 2 2 2 2 2 2 2 2 2 2 2" xfId="1418" xr:uid="{B1F96D52-17E5-45B0-BFBC-DC26ECA915BB}"/>
    <cellStyle name="Normal 2 2 2 2 2 2 2 2 2 2 2 2" xfId="1419" xr:uid="{088D04FF-B219-40E8-ADCA-837B35BBF3BD}"/>
    <cellStyle name="Normal 2 2 2 2 2 2 2 2 2 2 2 2 2" xfId="1420" xr:uid="{FE8F9EB4-EB85-4B1E-9B3D-9D99D71B1984}"/>
    <cellStyle name="Normal 2 2 2 2 2 2 2 2 2 2 2 2 2 2" xfId="1421" xr:uid="{4B5DAB0D-AAB2-4DB8-918F-27A82B953473}"/>
    <cellStyle name="Normal 2 2 2 2 2 2 2 2 2 2 2 3" xfId="1422" xr:uid="{1CCFE0B6-0C5B-4919-96A5-7B5F9602C04B}"/>
    <cellStyle name="Normal 2 2 2 2 2 2 2 2 2 2 3" xfId="1423" xr:uid="{81CF021D-EE75-4E31-A236-E69908F4971F}"/>
    <cellStyle name="Normal 2 2 2 2 2 2 2 2 2 3" xfId="1424" xr:uid="{A1EFDF14-A049-48B8-9BDC-C9C19BF8936B}"/>
    <cellStyle name="Normal 2 2 2 2 2 2 2 2 2 4" xfId="1425" xr:uid="{61F19431-AFDE-4190-973F-BAD189C25D54}"/>
    <cellStyle name="Normal 2 2 2 2 2 2 2 2 3" xfId="1426" xr:uid="{129F9A75-6CAB-47D0-A9EB-71CF78FC7F03}"/>
    <cellStyle name="Normal 2 2 2 2 2 2 2 2 4" xfId="1427" xr:uid="{9447F989-5BA6-4FD2-961D-6FA3E6AEBC75}"/>
    <cellStyle name="Normal 2 2 2 2 2 2 2 2 5" xfId="1428" xr:uid="{044D57F5-193C-4A47-BA33-0576B4857721}"/>
    <cellStyle name="Normal 2 2 2 2 2 2 2 2 6" xfId="1429" xr:uid="{393D0E60-1897-4B63-8939-0937187F332F}"/>
    <cellStyle name="Normal 2 2 2 2 2 2 2 2 7" xfId="1430" xr:uid="{3F5D29F7-C288-44FA-A041-E23496AA8BE3}"/>
    <cellStyle name="Normal 2 2 2 2 2 2 2 2 8" xfId="1431" xr:uid="{4C80C04D-640B-44F2-8375-9517FF4F192D}"/>
    <cellStyle name="Normal 2 2 2 2 2 2 2 2 9" xfId="1432" xr:uid="{871619F0-55BD-42BC-B0DE-AC382D174CF4}"/>
    <cellStyle name="Normal 2 2 2 2 2 2 2 3" xfId="1433" xr:uid="{E2EB4689-57A9-47D0-8629-96D210331006}"/>
    <cellStyle name="Normal 2 2 2 2 2 2 2 3 2" xfId="1434" xr:uid="{12DCD83F-9EE4-488A-8757-5A6D86D11DAF}"/>
    <cellStyle name="Normal 2 2 2 2 2 2 2 4" xfId="1435" xr:uid="{A57E3806-DA7A-421B-99DA-0D6232C35BCE}"/>
    <cellStyle name="Normal 2 2 2 2 2 2 2 5" xfId="1436" xr:uid="{2A2789EF-0A52-46B7-94B7-C00F43F591F2}"/>
    <cellStyle name="Normal 2 2 2 2 2 2 2 6" xfId="1437" xr:uid="{72D3F5C2-E262-428E-AEF4-251C5347B22E}"/>
    <cellStyle name="Normal 2 2 2 2 2 2 2 7" xfId="1438" xr:uid="{69B5F4D1-7699-4E1C-8BE0-3281B0F5927F}"/>
    <cellStyle name="Normal 2 2 2 2 2 2 2 8" xfId="1439" xr:uid="{076AA1AF-7A37-45EE-925D-02A27561FFC9}"/>
    <cellStyle name="Normal 2 2 2 2 2 2 2 9" xfId="1440" xr:uid="{14D33D61-140B-483E-A3AA-BF5CC6F1FB41}"/>
    <cellStyle name="Normal 2 2 2 2 2 2 20" xfId="1441" xr:uid="{EF578489-B52A-47CD-956E-CB3852B0FE01}"/>
    <cellStyle name="Normal 2 2 2 2 2 2 21" xfId="1442" xr:uid="{98F8701F-2B16-4106-A4B3-F44B585187D5}"/>
    <cellStyle name="Normal 2 2 2 2 2 2 22" xfId="1443" xr:uid="{91C03DD7-B445-4E6E-B3CC-7E73F164B8C7}"/>
    <cellStyle name="Normal 2 2 2 2 2 2 23" xfId="1444" xr:uid="{3527E581-97A8-4857-936F-B00D191A195F}"/>
    <cellStyle name="Normal 2 2 2 2 2 2 24" xfId="1445" xr:uid="{578F787B-3886-4979-AEA7-B881D4D92208}"/>
    <cellStyle name="Normal 2 2 2 2 2 2 3" xfId="1446" xr:uid="{15C9504D-2E57-4CFC-AA80-E1E560C0B72F}"/>
    <cellStyle name="Normal 2 2 2 2 2 2 4" xfId="1447" xr:uid="{25F473CC-535F-4464-B58C-33B981CBDE73}"/>
    <cellStyle name="Normal 2 2 2 2 2 2 5" xfId="1448" xr:uid="{89F3265E-7410-4A06-A2A2-CE5401A1C57B}"/>
    <cellStyle name="Normal 2 2 2 2 2 2 6" xfId="1449" xr:uid="{58094EC6-B17B-4DC3-969C-C02B12814E9A}"/>
    <cellStyle name="Normal 2 2 2 2 2 2 7" xfId="1450" xr:uid="{EFAE492C-75F5-47D2-8B55-1D626F0C0E11}"/>
    <cellStyle name="Normal 2 2 2 2 2 2 8" xfId="1451" xr:uid="{337C67F2-B972-4A49-AFBF-2BBD4B16AA1D}"/>
    <cellStyle name="Normal 2 2 2 2 2 2 9" xfId="1452" xr:uid="{D999F8E6-5129-4E34-94E6-5F927F5DFA54}"/>
    <cellStyle name="Normal 2 2 2 2 2 20" xfId="1453" xr:uid="{85A99EFB-7155-4293-B5FE-084018513E06}"/>
    <cellStyle name="Normal 2 2 2 2 2 21" xfId="1454" xr:uid="{7F881B2C-7900-415C-8753-FC4DC83AD86F}"/>
    <cellStyle name="Normal 2 2 2 2 2 22" xfId="1455" xr:uid="{142CC77C-31D4-405E-B5E0-3EA81675B6D8}"/>
    <cellStyle name="Normal 2 2 2 2 2 23" xfId="1456" xr:uid="{4238C779-102E-41AB-810B-0B7AE4D6F5C3}"/>
    <cellStyle name="Normal 2 2 2 2 2 24" xfId="1457" xr:uid="{8D29EC39-6D9A-411D-B537-EE41667C9036}"/>
    <cellStyle name="Normal 2 2 2 2 2 3" xfId="1458" xr:uid="{4A97CC82-9F1B-488D-81B3-7F4BAA707DEB}"/>
    <cellStyle name="Normal 2 2 2 2 2 3 2" xfId="1459" xr:uid="{B730CA61-0771-4464-A444-3B2A1DA42B77}"/>
    <cellStyle name="Normal 2 2 2 2 2 4" xfId="1460" xr:uid="{6765B508-3C91-4C72-947C-24A364A56984}"/>
    <cellStyle name="Normal 2 2 2 2 2 5" xfId="1461" xr:uid="{731CBC79-5D65-454B-B63C-40BA616522E6}"/>
    <cellStyle name="Normal 2 2 2 2 2 6" xfId="1462" xr:uid="{752393AB-F001-471B-8291-66D55FE4595F}"/>
    <cellStyle name="Normal 2 2 2 2 2 7" xfId="1463" xr:uid="{A827147A-1095-4538-A3A1-A4E64088C76E}"/>
    <cellStyle name="Normal 2 2 2 2 2 8" xfId="1464" xr:uid="{C9879B82-AD6D-4EFA-8770-180B8B50A8D7}"/>
    <cellStyle name="Normal 2 2 2 2 2 9" xfId="1465" xr:uid="{C5C81E04-AD74-4E1C-B361-E5EDEFDE5296}"/>
    <cellStyle name="Normal 2 2 2 2 20" xfId="1466" xr:uid="{634BC7D2-C172-4280-A4B1-F19FC8F49646}"/>
    <cellStyle name="Normal 2 2 2 2 21" xfId="1467" xr:uid="{6CF8DEA8-A593-4A5A-B200-9F59F2264150}"/>
    <cellStyle name="Normal 2 2 2 2 22" xfId="1468" xr:uid="{2795DF6C-4FEC-4C6A-A3B5-491C83225AE3}"/>
    <cellStyle name="Normal 2 2 2 2 23" xfId="1469" xr:uid="{49BFE9F7-1CF8-472C-914B-DEEED2E89EAB}"/>
    <cellStyle name="Normal 2 2 2 2 24" xfId="1470" xr:uid="{BD3417E5-9A15-4407-99BF-2AF9896483DC}"/>
    <cellStyle name="Normal 2 2 2 2 25" xfId="1471" xr:uid="{71B05AB1-D2C7-4894-B12B-640BF910F199}"/>
    <cellStyle name="Normal 2 2 2 2 26" xfId="3785" xr:uid="{6FE6465C-7F4A-49E2-B5AF-C45D8164DB22}"/>
    <cellStyle name="Normal 2 2 2 2 3" xfId="1472" xr:uid="{41A35A98-3F35-4761-A013-113D58938318}"/>
    <cellStyle name="Normal 2 2 2 2 4" xfId="1473" xr:uid="{B870E6A1-8813-440D-95D1-E37C918CF7A1}"/>
    <cellStyle name="Normal 2 2 2 2 4 2" xfId="1474" xr:uid="{7C21DC2A-B707-48BF-B451-EEE5986E7EF2}"/>
    <cellStyle name="Normal 2 2 2 2 5" xfId="1475" xr:uid="{993DF6C6-0874-480F-ACC6-156F478410D8}"/>
    <cellStyle name="Normal 2 2 2 2 6" xfId="1476" xr:uid="{B36AAEC5-57F8-4174-9BA3-CB54498FBA9F}"/>
    <cellStyle name="Normal 2 2 2 2 7" xfId="1477" xr:uid="{9A4DD0E3-2CE4-4AC3-932E-EEBB890C7C11}"/>
    <cellStyle name="Normal 2 2 2 2 8" xfId="1478" xr:uid="{3DC4D7C9-965F-444D-8FA7-228A188DE00E}"/>
    <cellStyle name="Normal 2 2 2 2 9" xfId="1479" xr:uid="{D3C9CD41-7909-4740-82FF-EE3F47C1A571}"/>
    <cellStyle name="Normal 2 2 2 20" xfId="1480" xr:uid="{283C764F-9C1E-4140-B1A1-BE3772FDEE71}"/>
    <cellStyle name="Normal 2 2 2 21" xfId="1481" xr:uid="{DF2BA1E9-2F1C-4482-A755-8D0A8EB8F201}"/>
    <cellStyle name="Normal 2 2 2 22" xfId="1482" xr:uid="{BCA731D5-CB72-4FE3-9665-2EDA48A2EF73}"/>
    <cellStyle name="Normal 2 2 2 23" xfId="1483" xr:uid="{20D5ADA1-9B3C-4EB4-93BC-96CD6E7E0A29}"/>
    <cellStyle name="Normal 2 2 2 24" xfId="1484" xr:uid="{4D5363D2-BBCE-4CF1-A5A3-41D65EF11A3D}"/>
    <cellStyle name="Normal 2 2 2 25" xfId="1485" xr:uid="{3089FB1A-9435-4652-9A53-A6918E6342C0}"/>
    <cellStyle name="Normal 2 2 2 3" xfId="1486" xr:uid="{6DD189F4-C23D-4E53-9D8A-2481E8C4A12E}"/>
    <cellStyle name="Normal 2 2 2 3 2" xfId="1487" xr:uid="{B11E7D61-FAEF-4AF1-9C9A-3C752A724BDE}"/>
    <cellStyle name="Normal 2 2 2 3 3" xfId="3518" xr:uid="{313B8B5F-2E75-4731-8989-F51FC2768AC9}"/>
    <cellStyle name="Normal 2 2 2 4" xfId="1488" xr:uid="{6FED8EF9-C54E-46D8-AFF7-600D3CCAA3C0}"/>
    <cellStyle name="Normal 2 2 2 4 2" xfId="1489" xr:uid="{2560E571-56DB-4770-84C8-5688BAB883D1}"/>
    <cellStyle name="Normal 2 2 2 5" xfId="1490" xr:uid="{C03779F3-2F45-49C7-A5D3-550D1A5A0533}"/>
    <cellStyle name="Normal 2 2 2 6" xfId="1491" xr:uid="{00AA79F5-6772-4BC3-A6F2-40096B847EC4}"/>
    <cellStyle name="Normal 2 2 2 7" xfId="1492" xr:uid="{1810614D-53DE-4CBC-8A24-B5C2141C9B02}"/>
    <cellStyle name="Normal 2 2 2 8" xfId="1493" xr:uid="{FA0EAB8C-F87C-49E3-9140-53CFDD8D8B82}"/>
    <cellStyle name="Normal 2 2 2 9" xfId="1494" xr:uid="{5B0CE845-9005-4BB3-8503-B65E830CDDC0}"/>
    <cellStyle name="Normal 2 2 20" xfId="1495" xr:uid="{7B956B21-9E54-48C4-BEDE-1587FBBBB398}"/>
    <cellStyle name="Normal 2 2 20 2" xfId="1496" xr:uid="{47B1A5FE-489D-4833-9B88-12D88A38EE67}"/>
    <cellStyle name="Normal 2 2 21" xfId="1497" xr:uid="{DA97E59C-96D2-40E0-B6ED-D77FECF7B80E}"/>
    <cellStyle name="Normal 2 2 22" xfId="1498" xr:uid="{89A954E1-F9DD-4AFC-B0ED-CFAF4504F0BD}"/>
    <cellStyle name="Normal 2 2 23" xfId="1499" xr:uid="{87ED01AE-4839-48BA-89A8-FC11263542F7}"/>
    <cellStyle name="Normal 2 2 24" xfId="1500" xr:uid="{5F404BA9-F0BD-4C7A-BF5A-7EE6F85394B8}"/>
    <cellStyle name="Normal 2 2 25" xfId="1501" xr:uid="{0095EF12-4A46-4C58-9FAC-A832BC24874E}"/>
    <cellStyle name="Normal 2 2 26" xfId="1502" xr:uid="{7E7EDB7D-9F9A-44A9-A4DE-84C0DCEBBF04}"/>
    <cellStyle name="Normal 2 2 27" xfId="1503" xr:uid="{9014605D-DFC4-4F55-9E87-7E1FCD9092F3}"/>
    <cellStyle name="Normal 2 2 3" xfId="424" xr:uid="{8656936D-4339-4F5A-B1ED-D24062CABCEF}"/>
    <cellStyle name="Normal 2 2 3 2" xfId="1505" xr:uid="{EC2BF71E-CACA-489A-8C22-6B3620D8EF73}"/>
    <cellStyle name="Normal 2 2 3 3" xfId="3912" xr:uid="{03D97E18-02B0-49F9-A978-88B8FA8C1278}"/>
    <cellStyle name="Normal 2 2 3 4" xfId="1504" xr:uid="{C27422A6-9EC6-45EE-BDB4-0419998BBFC1}"/>
    <cellStyle name="Normal 2 2 4" xfId="425" xr:uid="{8A4B46B9-D0D6-48A3-926A-071E826ECB91}"/>
    <cellStyle name="Normal 2 2 4 2" xfId="8243" xr:uid="{60DC8E52-3288-418B-8A22-06403FFC8D84}"/>
    <cellStyle name="Normal 2 2 4 3" xfId="3645" xr:uid="{C689D09E-A44E-4955-8DC5-10D72426BB3B}"/>
    <cellStyle name="Normal 2 2 5" xfId="426" xr:uid="{A9ADDEF4-C94A-4340-91D8-A713675E2109}"/>
    <cellStyle name="Normal 2 2 6" xfId="33" xr:uid="{39CD8376-0DBC-437D-A46B-1587E459A808}"/>
    <cellStyle name="Normal 2 2 6 2" xfId="1506" xr:uid="{49758A39-6EF1-4E68-9259-B51B8E5BF974}"/>
    <cellStyle name="Normal 2 2 7" xfId="1507" xr:uid="{790B33A0-D175-45E9-B350-38D30B1B4B4F}"/>
    <cellStyle name="Normal 2 2 8" xfId="1508" xr:uid="{BC87BF79-089D-417E-A418-DF447A115FD4}"/>
    <cellStyle name="Normal 2 2 9" xfId="1509" xr:uid="{A2D18AE0-DF4F-498C-9940-124C46BB998D}"/>
    <cellStyle name="Normal 2 2_Corporate Allocators" xfId="8244" xr:uid="{DCBE57CC-D611-43E1-96B8-E0C305D26F48}"/>
    <cellStyle name="Normal 2 20" xfId="1510" xr:uid="{F1C7DCCA-618F-4244-9A94-35DB14348932}"/>
    <cellStyle name="Normal 2 21" xfId="1511" xr:uid="{ACA5BD29-A348-498B-85C8-7329B2EDFD09}"/>
    <cellStyle name="Normal 2 21 2" xfId="1512" xr:uid="{240DB586-13B7-4731-8BFE-C7C7B6AA76D6}"/>
    <cellStyle name="Normal 2 22" xfId="1513" xr:uid="{7ADB509F-E1C3-4597-B6DF-2E265DB2A5F6}"/>
    <cellStyle name="Normal 2 23" xfId="1514" xr:uid="{FBFE274F-5EB2-4E31-BA38-457946279FE3}"/>
    <cellStyle name="Normal 2 24" xfId="1515" xr:uid="{DB2369DD-32FF-47C9-AF13-C8F31994FDC3}"/>
    <cellStyle name="Normal 2 25" xfId="1516" xr:uid="{6ADE3EA5-3AC4-46A1-9009-E8F2516F0D83}"/>
    <cellStyle name="Normal 2 26" xfId="1517" xr:uid="{80579DF1-AAE0-49F1-B4F2-235CFB765F93}"/>
    <cellStyle name="Normal 2 27" xfId="1518" xr:uid="{E4011337-0992-46D9-8C6C-E17EE5FAF3D9}"/>
    <cellStyle name="Normal 2 28" xfId="1519" xr:uid="{D577F57A-A4D0-4E38-B03B-C886479DE329}"/>
    <cellStyle name="Normal 2 29" xfId="1520" xr:uid="{5A8C71A6-CF2F-42BA-B3F3-FDF644E8A44B}"/>
    <cellStyle name="Normal 2 3" xfId="193" xr:uid="{F9AA27DC-FAA5-42E5-901F-79B297C025CA}"/>
    <cellStyle name="Normal 2 3 2" xfId="194" xr:uid="{38B51AA8-B5C4-4948-851E-9DD81FEEB2F6}"/>
    <cellStyle name="Normal 2 3 2 2" xfId="1521" xr:uid="{01595504-5067-4896-9471-55BC37186500}"/>
    <cellStyle name="Normal 2 3 2 2 2" xfId="8247" xr:uid="{CC8621DE-9AED-4B2A-971B-BA0FEB50268C}"/>
    <cellStyle name="Normal 2 3 2 3" xfId="8246" xr:uid="{DD365CC7-ACCA-4DD5-915B-EBE14B4200EB}"/>
    <cellStyle name="Normal 2 3 2 4" xfId="3913" xr:uid="{4C3F41B3-A696-4F93-A5C7-D43E4270772A}"/>
    <cellStyle name="Normal 2 3 3" xfId="1522" xr:uid="{28E89A90-4775-462D-B0BE-5CBB0162AEB5}"/>
    <cellStyle name="Normal 2 3 3 2" xfId="8248" xr:uid="{69BDF4F3-A383-40F0-853F-87D56BA55205}"/>
    <cellStyle name="Normal 2 3 3 3" xfId="3646" xr:uid="{DB4B5ED5-86BF-413B-B615-7C3F4546320F}"/>
    <cellStyle name="Normal 2 3 4" xfId="8245" xr:uid="{B66B53EC-9E7C-4769-93FF-6A3DBC8549CD}"/>
    <cellStyle name="Normal 2 3 5" xfId="8941" xr:uid="{76559B71-78CC-4FAB-855E-0745FDB039A6}"/>
    <cellStyle name="Normal 2 3 6" xfId="8950" xr:uid="{8357FB4B-C07E-4423-8FA8-003D181A95B1}"/>
    <cellStyle name="Normal 2 3 7" xfId="6478" xr:uid="{52E56436-5EAD-4CE0-9877-E2D4D4D0D444}"/>
    <cellStyle name="Normal 2 3 8" xfId="3026" xr:uid="{F21E8A81-3269-48DB-B9A2-D89E0DAB91FE}"/>
    <cellStyle name="Normal 2 3 9" xfId="2999" xr:uid="{6361ACDE-5F88-40FF-8EC4-7FBFE92D20DB}"/>
    <cellStyle name="Normal 2 3_29(d) - Gas extensions -tariffs" xfId="195" xr:uid="{4281A7BD-DFE6-4769-9E64-3BF71DAFD5B5}"/>
    <cellStyle name="Normal 2 30" xfId="1523" xr:uid="{A90A150B-BDC5-48B8-8859-F51C42801227}"/>
    <cellStyle name="Normal 2 31" xfId="1524" xr:uid="{F5C7459D-22F9-49C6-B27F-267B2D559020}"/>
    <cellStyle name="Normal 2 32" xfId="1525" xr:uid="{1A39E9B9-0474-437D-B4D8-686DC4B99200}"/>
    <cellStyle name="Normal 2 33" xfId="1526" xr:uid="{0DCDF42E-D880-456D-B801-289110F6A4F2}"/>
    <cellStyle name="Normal 2 34" xfId="1527" xr:uid="{FCD630B4-54C9-453F-9151-F418F2093063}"/>
    <cellStyle name="Normal 2 35" xfId="1528" xr:uid="{1B9C02A5-401E-463B-BC96-8EC4D2895AA7}"/>
    <cellStyle name="Normal 2 35 2" xfId="1529" xr:uid="{18A3D8C3-925E-411B-AC51-54CD2E55D631}"/>
    <cellStyle name="Normal 2 36" xfId="1530" xr:uid="{142DF06C-FC77-47FC-A4B7-117CE888D974}"/>
    <cellStyle name="Normal 2 37" xfId="1531" xr:uid="{CCAE3CCB-35DB-4985-B58C-0A5D50C6BFA3}"/>
    <cellStyle name="Normal 2 38" xfId="1532" xr:uid="{A01B9C0A-10F4-4BD7-BA75-6FE90544DA9A}"/>
    <cellStyle name="Normal 2 39" xfId="1533" xr:uid="{29066304-576B-4921-A5C1-42C1065983FA}"/>
    <cellStyle name="Normal 2 4" xfId="196" xr:uid="{9A4CAC6C-1C58-4604-9CFD-C01288C17D9E}"/>
    <cellStyle name="Normal 2 4 2" xfId="427" xr:uid="{87DC7A2B-686F-42EA-AF68-BB9E9C11326A}"/>
    <cellStyle name="Normal 2 4 2 2" xfId="14477" xr:uid="{F9032705-E64A-4C6B-8CAF-0AD173F53F4A}"/>
    <cellStyle name="Normal 2 4 2 3" xfId="3974" xr:uid="{9FFAF1D5-CC13-4D66-A17D-1D359D7843EC}"/>
    <cellStyle name="Normal 2 4 3" xfId="428" xr:uid="{6AF81391-3822-4FE2-ADC8-13B8890113B9}"/>
    <cellStyle name="Normal 2 4 3 2" xfId="3706" xr:uid="{B662FD5C-96B3-4A83-BBFD-CD08A6420BE9}"/>
    <cellStyle name="Normal 2 4 4" xfId="8249" xr:uid="{1907C530-4A9D-424B-9011-7A4450D3108E}"/>
    <cellStyle name="Normal 2 4 5" xfId="3046" xr:uid="{9795514C-7632-42C7-B196-B15D983670D7}"/>
    <cellStyle name="Normal 2 4 6" xfId="1534" xr:uid="{CB4967DD-192A-4BFD-8545-6AA15717DE17}"/>
    <cellStyle name="Normal 2 40" xfId="1535" xr:uid="{81024E58-2715-49E1-B628-B0DC51D9500A}"/>
    <cellStyle name="Normal 2 41" xfId="1536" xr:uid="{280DBCFA-964A-4FC4-9467-39698151B241}"/>
    <cellStyle name="Normal 2 42" xfId="1537" xr:uid="{CEDD4050-3F3C-482A-A350-0B227489E121}"/>
    <cellStyle name="Normal 2 43" xfId="1538" xr:uid="{5BBE81EB-6D8D-4DFC-A51A-A0277DDACC4B}"/>
    <cellStyle name="Normal 2 44" xfId="1539" xr:uid="{92CF83CB-1401-4F2B-81ED-204CAF42A0AF}"/>
    <cellStyle name="Normal 2 45" xfId="1540" xr:uid="{84E2717B-A634-4576-A994-A36A7691A475}"/>
    <cellStyle name="Normal 2 46" xfId="1541" xr:uid="{3E79A674-24BD-49AF-B9FC-E9F5B5F0D1E5}"/>
    <cellStyle name="Normal 2 47" xfId="1542" xr:uid="{C7DE1CC7-458B-40B4-8517-C17159E012CC}"/>
    <cellStyle name="Normal 2 48" xfId="1543" xr:uid="{1ED988EA-D85E-41B9-A81D-A9A4B23F90E6}"/>
    <cellStyle name="Normal 2 49" xfId="1544" xr:uid="{5FB8E5B1-CCB5-4972-9C97-79BAFA886ADD}"/>
    <cellStyle name="Normal 2 5" xfId="197" xr:uid="{3B2E74C4-FD4B-427A-A213-41F01AEADEE2}"/>
    <cellStyle name="Normal 2 5 2" xfId="8813" xr:uid="{26D2E184-20B2-4A9F-A21E-FB97D2C6E7EE}"/>
    <cellStyle name="Normal 2 5 3" xfId="3911" xr:uid="{0C4CCAB8-2575-44A3-9358-4128E1864A30}"/>
    <cellStyle name="Normal 2 5 4" xfId="1545" xr:uid="{9A346A4D-F648-46B2-A721-64BCF5533B3E}"/>
    <cellStyle name="Normal 2 50" xfId="1546" xr:uid="{3C1000AB-18E0-4A82-8209-113942373B56}"/>
    <cellStyle name="Normal 2 51" xfId="1547" xr:uid="{65AC3B84-DFDD-425A-AD1F-0B817C84798C}"/>
    <cellStyle name="Normal 2 52" xfId="1548" xr:uid="{391C22B7-042A-4D46-8F4E-2E249578AF59}"/>
    <cellStyle name="Normal 2 53" xfId="1549" xr:uid="{7A0179D2-2CA0-46EF-B420-2A19CB363B3A}"/>
    <cellStyle name="Normal 2 54" xfId="1550" xr:uid="{B37473A6-88D4-41C8-B882-947A90631B0D}"/>
    <cellStyle name="Normal 2 55" xfId="1551" xr:uid="{7AD36DB1-BA56-4397-9B07-8D8E65799226}"/>
    <cellStyle name="Normal 2 56" xfId="1552" xr:uid="{DED8C876-0974-44FD-ABB5-F7DDD64B4223}"/>
    <cellStyle name="Normal 2 57" xfId="1553" xr:uid="{0D645BF7-CFD9-4D0C-99D0-7D42122BD2B1}"/>
    <cellStyle name="Normal 2 58" xfId="1554" xr:uid="{11F543BC-29B0-40C2-AF7D-BCB9E7D05EC5}"/>
    <cellStyle name="Normal 2 59" xfId="1555" xr:uid="{A42A4C99-6921-48CE-A1D9-2798764ABE4B}"/>
    <cellStyle name="Normal 2 6" xfId="27" xr:uid="{964F0334-C827-4934-93E1-CEE507D5AFE6}"/>
    <cellStyle name="Normal 2 6 2" xfId="8814" xr:uid="{CCB4070A-4EC4-4229-9F0F-C5F725AF5591}"/>
    <cellStyle name="Normal 2 6 3" xfId="3644" xr:uid="{54976FD0-EC6E-4AFD-9095-488453A513F0}"/>
    <cellStyle name="Normal 2 6 4" xfId="1556" xr:uid="{B91056F5-D40F-43EF-B299-7F7833D924E1}"/>
    <cellStyle name="Normal 2 60" xfId="1557" xr:uid="{88FF4D20-D2E3-455C-B47D-72CFE9A0C857}"/>
    <cellStyle name="Normal 2 61" xfId="1558" xr:uid="{9FA8864C-5A7C-4852-B114-45D5EE923E5F}"/>
    <cellStyle name="Normal 2 62" xfId="1559" xr:uid="{3F34CC71-4B18-4F5A-88D7-1A6089D156C6}"/>
    <cellStyle name="Normal 2 63" xfId="1560" xr:uid="{4E26FEEC-6570-4A75-99C7-9B88F789F245}"/>
    <cellStyle name="Normal 2 64" xfId="1561" xr:uid="{38344007-9CC0-4FA7-9417-1987E0AA36CE}"/>
    <cellStyle name="Normal 2 65" xfId="1562" xr:uid="{0FD00055-B730-47D7-B909-3BD4B96E7D16}"/>
    <cellStyle name="Normal 2 66" xfId="1563" xr:uid="{0AA137F5-D59C-4410-B34A-8D8BF0EEAEE8}"/>
    <cellStyle name="Normal 2 67" xfId="1564" xr:uid="{AA54DA3A-C5E1-48A1-BEDC-656CE5EEFCFE}"/>
    <cellStyle name="Normal 2 68" xfId="2495" xr:uid="{31A42C0A-C4BC-4223-9FC4-3FD5F4DFAABA}"/>
    <cellStyle name="Normal 2 69" xfId="2996" xr:uid="{717E5D1E-EA26-467A-BE1C-C7D782335FD8}"/>
    <cellStyle name="Normal 2 7" xfId="1565" xr:uid="{4A8A503B-BE83-467B-B29C-F1DD276687E2}"/>
    <cellStyle name="Normal 2 7 2" xfId="8900" xr:uid="{025F57E7-D7F0-456C-8764-8BC66D8FDCED}"/>
    <cellStyle name="Normal 2 70" xfId="2997" xr:uid="{D22C5756-2738-4677-BFFB-8AB96E637B42}"/>
    <cellStyle name="Normal 2 71" xfId="2998" xr:uid="{83373381-CCFC-48B9-9D31-16DC863E6E2E}"/>
    <cellStyle name="Normal 2 72" xfId="23969" xr:uid="{185D3045-DC66-4CD4-8753-D7899AA9E425}"/>
    <cellStyle name="Normal 2 8" xfId="1566" xr:uid="{4A16A6AD-4772-4D50-BB31-166DB0E3B65B}"/>
    <cellStyle name="Normal 2 8 2" xfId="8908" xr:uid="{D98BF246-0876-49B4-A43A-BF2CDABC0B06}"/>
    <cellStyle name="Normal 2 9" xfId="1567" xr:uid="{9BB184B6-8E23-488A-9557-A568411E0264}"/>
    <cellStyle name="Normal 2 9 2" xfId="8945" xr:uid="{AEC27CDC-0ABB-43B9-9C2F-29BFBA48AB4F}"/>
    <cellStyle name="Normal 2_29(d) - Gas extensions -tariffs" xfId="198" xr:uid="{2FF429AC-835C-4D30-8370-C48B32C16739}"/>
    <cellStyle name="Normal 20" xfId="429" xr:uid="{3FBDCDBF-783B-4858-8F0C-0CD18BB69237}"/>
    <cellStyle name="Normal 20 2" xfId="430" xr:uid="{76DACA21-4B16-4AD0-88A4-FC16FE873024}"/>
    <cellStyle name="Normal 20 2 2" xfId="431" xr:uid="{1C4EE29A-2183-4538-A721-699A0B8025A2}"/>
    <cellStyle name="Normal 20 2 3" xfId="3788" xr:uid="{A863AA80-1710-4F96-8192-DD48BA780527}"/>
    <cellStyle name="Normal 20 2 4" xfId="1569" xr:uid="{3E995A5C-82B3-45A5-960C-420C41C80CAF}"/>
    <cellStyle name="Normal 20 3" xfId="432" xr:uid="{A8E038CC-24F6-4949-8B42-769264A178D6}"/>
    <cellStyle name="Normal 20 3 2" xfId="3521" xr:uid="{A38A3948-CFCE-42E9-94E6-85761BE76B70}"/>
    <cellStyle name="Normal 20 4" xfId="433" xr:uid="{6C526554-BD8B-4423-8FF6-03A700214C82}"/>
    <cellStyle name="Normal 20 5" xfId="1568" xr:uid="{6CC29DA8-08BB-4D10-A382-2B274DEB96F1}"/>
    <cellStyle name="Normal 200" xfId="2369" xr:uid="{3597CD64-A22D-47BC-B8AD-73DD033B5CBB}"/>
    <cellStyle name="Normal 200 2" xfId="3914" xr:uid="{4316D6ED-64DC-4B63-B847-7795F3F0B9CA}"/>
    <cellStyle name="Normal 200 2 2" xfId="14478" xr:uid="{3086C3AC-340E-4D3A-B8F3-FDA02341F565}"/>
    <cellStyle name="Normal 200 3" xfId="3647" xr:uid="{37951B98-B303-4EB9-B32C-9B5F7FCDA724}"/>
    <cellStyle name="Normal 200 4" xfId="8250" xr:uid="{0BF8D05B-35AB-4B22-B49A-79EAFCD59707}"/>
    <cellStyle name="Normal 201" xfId="2370" xr:uid="{5B1A5353-5CEC-45A0-8C7C-F6F0DD22C66F}"/>
    <cellStyle name="Normal 201 2" xfId="3915" xr:uid="{8606B9AF-18B3-4472-8450-8A5727B05ED4}"/>
    <cellStyle name="Normal 201 2 2" xfId="14479" xr:uid="{E2E51AD4-5748-4899-946D-4B6F6BF4DAAE}"/>
    <cellStyle name="Normal 201 3" xfId="3648" xr:uid="{CAC9B4D7-7EAB-45B7-93CC-E9A2DE602EF9}"/>
    <cellStyle name="Normal 201 4" xfId="8251" xr:uid="{0D3BF263-38E3-45F2-898D-BEEAC0AD196F}"/>
    <cellStyle name="Normal 202" xfId="2371" xr:uid="{A89BA0FD-71A6-4068-9E35-BBDE410B938D}"/>
    <cellStyle name="Normal 202 2" xfId="3916" xr:uid="{8544BB5C-6457-48BA-86E2-EE523BCDD5C8}"/>
    <cellStyle name="Normal 202 2 2" xfId="14480" xr:uid="{A6536BB3-88E5-446D-BCF0-49C96671D4F1}"/>
    <cellStyle name="Normal 202 3" xfId="3649" xr:uid="{C0D6176C-5C92-4F72-A94E-4FA1770F0D73}"/>
    <cellStyle name="Normal 202 4" xfId="8252" xr:uid="{CE94223C-8D63-4143-8410-1284B72FE23A}"/>
    <cellStyle name="Normal 203" xfId="2372" xr:uid="{4F393D91-8AE6-4F1B-9EC7-57BB671C2926}"/>
    <cellStyle name="Normal 203 2" xfId="3917" xr:uid="{2D8F4719-A5D2-4B37-9450-795787CC0C8E}"/>
    <cellStyle name="Normal 203 2 2" xfId="14481" xr:uid="{303AAACE-3AC4-4FA8-9B97-0728A2470222}"/>
    <cellStyle name="Normal 203 3" xfId="3650" xr:uid="{0D1FB252-4035-4428-A38F-233F4DFA2DA1}"/>
    <cellStyle name="Normal 203 4" xfId="8253" xr:uid="{E05DF639-9807-4194-8327-C3D5A80A4F0B}"/>
    <cellStyle name="Normal 204" xfId="2373" xr:uid="{2A38501D-056D-451F-ABB3-41521C8745B6}"/>
    <cellStyle name="Normal 204 2" xfId="3918" xr:uid="{8E7ADDCC-0011-4940-8E29-4C7F7AF69C55}"/>
    <cellStyle name="Normal 204 2 2" xfId="14482" xr:uid="{AB08AC51-3EDC-472F-A364-CE5C0DC63C3B}"/>
    <cellStyle name="Normal 204 3" xfId="3651" xr:uid="{BCFF4F71-A8F2-44E7-AD26-7D94E7C35FCF}"/>
    <cellStyle name="Normal 204 4" xfId="8254" xr:uid="{7686DC4C-3B9B-4EA4-8BBF-A27DB14BD89C}"/>
    <cellStyle name="Normal 205" xfId="2374" xr:uid="{E92FB441-1F7B-4016-99F6-A9D2E2E53301}"/>
    <cellStyle name="Normal 205 2" xfId="3919" xr:uid="{F594517F-B65F-4AFD-9BEE-C0FC2674C888}"/>
    <cellStyle name="Normal 205 2 2" xfId="14483" xr:uid="{5FD1F38A-0179-4C09-A8C8-404D21827745}"/>
    <cellStyle name="Normal 205 3" xfId="3652" xr:uid="{A181036C-9B7F-403C-98C4-8C61CDFE8F81}"/>
    <cellStyle name="Normal 205 4" xfId="8255" xr:uid="{AEE68080-4751-4161-8A64-74E17B9290E1}"/>
    <cellStyle name="Normal 207" xfId="2375" xr:uid="{4C06C125-54EC-47F1-AA49-30A03FCDAEC1}"/>
    <cellStyle name="Normal 207 2" xfId="3920" xr:uid="{CD172237-D6DF-4853-B013-42AE3849D778}"/>
    <cellStyle name="Normal 207 2 2" xfId="14484" xr:uid="{919D373D-EBD3-488D-B458-289957302B1A}"/>
    <cellStyle name="Normal 207 3" xfId="3653" xr:uid="{2CB95E3B-E56F-4E20-BD88-E560AE21C660}"/>
    <cellStyle name="Normal 207 4" xfId="8256" xr:uid="{5534896B-95A8-43AC-947A-2B5528DB350B}"/>
    <cellStyle name="Normal 208" xfId="2376" xr:uid="{13CC4C39-269B-4AB6-8147-9DF213EE1966}"/>
    <cellStyle name="Normal 208 2" xfId="3921" xr:uid="{BF69878B-060E-407F-BC13-351EE0F5DC43}"/>
    <cellStyle name="Normal 208 2 2" xfId="14485" xr:uid="{66BA7A4B-F587-4BC4-A704-364687BEC877}"/>
    <cellStyle name="Normal 208 3" xfId="3654" xr:uid="{9727A75F-B822-48B9-9DBC-4942C723C9B0}"/>
    <cellStyle name="Normal 208 4" xfId="8257" xr:uid="{D60846B1-731F-4C83-8B87-50440E764F72}"/>
    <cellStyle name="Normal 209" xfId="2377" xr:uid="{2BC090FB-98C4-4FAA-9D8A-8FBEED32142D}"/>
    <cellStyle name="Normal 209 2" xfId="3922" xr:uid="{21B4AEBA-955D-4B5F-B481-00308FB74A3B}"/>
    <cellStyle name="Normal 209 2 2" xfId="14486" xr:uid="{00D36156-FECB-46DE-8D0B-294AE08305E0}"/>
    <cellStyle name="Normal 209 3" xfId="3655" xr:uid="{63FBD852-3585-4BCA-8A44-9C26DE72A2EC}"/>
    <cellStyle name="Normal 209 4" xfId="8258" xr:uid="{11849327-88BE-4F33-BC78-804C2053D9D2}"/>
    <cellStyle name="Normal 21" xfId="434" xr:uid="{8BF09486-8AE3-4629-B4FE-56B8B4202C72}"/>
    <cellStyle name="Normal 21 10" xfId="1571" xr:uid="{39A662D9-721E-4F63-AFDD-2F1B4F476C3E}"/>
    <cellStyle name="Normal 21 11" xfId="1572" xr:uid="{497564F8-8E58-47C4-8EA4-925E3AFEA7C9}"/>
    <cellStyle name="Normal 21 12" xfId="1570" xr:uid="{FCF55EEC-A37B-4D10-932E-CB517E779E7F}"/>
    <cellStyle name="Normal 21 2" xfId="435" xr:uid="{173395C8-AA68-4D95-8BA1-C2A4C27616F1}"/>
    <cellStyle name="Normal 21 2 10" xfId="8259" xr:uid="{0CBE46D6-A983-42E0-AF08-C3B03FED8E58}"/>
    <cellStyle name="Normal 21 2 11" xfId="1573" xr:uid="{9813D4F9-3F8F-4DDC-A0F8-42AF4AFAAC24}"/>
    <cellStyle name="Normal 21 2 2" xfId="1574" xr:uid="{DBC36E18-612E-4BC5-990A-68433D686BDA}"/>
    <cellStyle name="Normal 21 2 2 2" xfId="1575" xr:uid="{8C77D0F6-7357-4963-A662-76B29B04AF8A}"/>
    <cellStyle name="Normal 21 2 2 2 2" xfId="1576" xr:uid="{BAAEC189-62AE-48DC-8546-2312CA433122}"/>
    <cellStyle name="Normal 21 2 2 2 2 2" xfId="1577" xr:uid="{C24E7177-B9BE-4355-BD45-727C5AB90BAB}"/>
    <cellStyle name="Normal 21 2 2 3" xfId="1578" xr:uid="{DF6B69A0-E9E1-403F-B615-59A60A63B8E4}"/>
    <cellStyle name="Normal 21 2 3" xfId="1579" xr:uid="{9A6ED4D7-85DF-4DC4-9E96-5D4ED90DA112}"/>
    <cellStyle name="Normal 21 2 4" xfId="1580" xr:uid="{FAF0CDC3-0885-497A-8A44-183542A21DC8}"/>
    <cellStyle name="Normal 21 2 5" xfId="1581" xr:uid="{65C1D33A-CD16-4D57-A0D0-B5195BFD1D94}"/>
    <cellStyle name="Normal 21 2 6" xfId="1582" xr:uid="{D16C0D20-3E8A-4194-9CFA-3EDDD08678E6}"/>
    <cellStyle name="Normal 21 2 7" xfId="1583" xr:uid="{D0C3B9E7-2C20-4B68-916B-1C32A3485B2F}"/>
    <cellStyle name="Normal 21 2 8" xfId="1584" xr:uid="{7FE78437-99C9-42BF-B54A-80B65A7FB8F6}"/>
    <cellStyle name="Normal 21 2 9" xfId="1585" xr:uid="{9E2C0519-27B4-4E6C-AF4C-63EFD910CB96}"/>
    <cellStyle name="Normal 21 3" xfId="436" xr:uid="{F7B18E81-5991-4379-BBEE-4E91F08CB548}"/>
    <cellStyle name="Normal 21 3 2" xfId="1586" xr:uid="{1A601FBF-E478-48E4-9AF0-620ED463B980}"/>
    <cellStyle name="Normal 21 4" xfId="1587" xr:uid="{DB881923-F24B-4865-A793-A8E8FEF798AF}"/>
    <cellStyle name="Normal 21 4 2" xfId="1588" xr:uid="{CDEB6C92-035C-494C-8A82-D0FE3E8831DF}"/>
    <cellStyle name="Normal 21 5" xfId="1589" xr:uid="{D7D9BF74-CBE2-4CD1-88B9-C4349E580CA5}"/>
    <cellStyle name="Normal 21 6" xfId="1590" xr:uid="{F6C8E113-7A74-46C6-9B36-43114C5D169E}"/>
    <cellStyle name="Normal 21 7" xfId="1591" xr:uid="{38F30F69-C016-4EEE-A40E-F2FA232783D9}"/>
    <cellStyle name="Normal 21 8" xfId="1592" xr:uid="{079900CC-8F75-431A-ABAF-E4B1DE63B393}"/>
    <cellStyle name="Normal 21 9" xfId="1593" xr:uid="{8DA0021B-34D0-465C-BAFD-5AA6E0D4A5BF}"/>
    <cellStyle name="Normal 210" xfId="2378" xr:uid="{A87A7C8D-7BAB-44F6-946D-4330994E1C8D}"/>
    <cellStyle name="Normal 210 2" xfId="3923" xr:uid="{52F95D18-29FC-4552-B70A-D81BB6D5B1B8}"/>
    <cellStyle name="Normal 210 2 2" xfId="14487" xr:uid="{DBB61B76-EE26-4043-BAD2-39BD9AA76F98}"/>
    <cellStyle name="Normal 210 3" xfId="3656" xr:uid="{70E8B1A4-658E-4FB3-A887-65991EED0834}"/>
    <cellStyle name="Normal 210 4" xfId="8260" xr:uid="{4D10ADA0-5D2F-4907-8DB6-938DACEE60AE}"/>
    <cellStyle name="Normal 211" xfId="2379" xr:uid="{EFA8D2C2-F200-415E-B6F1-96E9EA904A2F}"/>
    <cellStyle name="Normal 211 2" xfId="3924" xr:uid="{829CB560-B14A-4E3C-9159-19A17745DD22}"/>
    <cellStyle name="Normal 211 2 2" xfId="14488" xr:uid="{96F07F81-3CF3-44F8-B6BE-688ED6DFAD02}"/>
    <cellStyle name="Normal 211 3" xfId="3657" xr:uid="{ACFD8D64-58BA-44AD-BA2D-59F5ABC87773}"/>
    <cellStyle name="Normal 211 4" xfId="8261" xr:uid="{6E68893D-60F5-4630-A9CA-F89570D46140}"/>
    <cellStyle name="Normal 212" xfId="2380" xr:uid="{7CA65739-8318-44CD-92B0-B39174EE0FDF}"/>
    <cellStyle name="Normal 212 2" xfId="3925" xr:uid="{96D2CE97-65F4-48C0-BC30-45B476830F54}"/>
    <cellStyle name="Normal 212 2 2" xfId="14489" xr:uid="{867ED096-18FA-4ABB-AAEE-703A79AB5976}"/>
    <cellStyle name="Normal 212 3" xfId="3658" xr:uid="{8DD3D67A-1D0F-4D12-8E22-5E03CDCE595E}"/>
    <cellStyle name="Normal 212 4" xfId="8262" xr:uid="{EBB4991F-172C-4D46-8AA3-5730460E4743}"/>
    <cellStyle name="Normal 213" xfId="2381" xr:uid="{2680178B-E705-4CF1-B456-83139D425901}"/>
    <cellStyle name="Normal 213 2" xfId="3926" xr:uid="{0F88FDA4-C510-407C-BB28-97CC0C670593}"/>
    <cellStyle name="Normal 213 2 2" xfId="14490" xr:uid="{E6A1598A-439D-44BC-A083-34E396249BDB}"/>
    <cellStyle name="Normal 213 3" xfId="3659" xr:uid="{419EBD93-AD4A-469E-AA46-2AD772D50DED}"/>
    <cellStyle name="Normal 213 4" xfId="8263" xr:uid="{23606B09-5250-47C3-AAC3-D9757696A1C9}"/>
    <cellStyle name="Normal 214" xfId="2382" xr:uid="{4DD32F01-629E-4BFD-9209-4C9E6161DB47}"/>
    <cellStyle name="Normal 214 2" xfId="3927" xr:uid="{F932159F-C3DF-4D8D-B36F-CF6341F2186D}"/>
    <cellStyle name="Normal 214 2 2" xfId="14491" xr:uid="{7A294241-F378-4EFA-B173-05D24EC4A03E}"/>
    <cellStyle name="Normal 214 3" xfId="3660" xr:uid="{CB75D04B-D53E-4CC0-9F78-BFC960D46DBF}"/>
    <cellStyle name="Normal 214 4" xfId="8264" xr:uid="{D94B6A98-1E8A-43D2-8548-82462B9767F7}"/>
    <cellStyle name="Normal 215" xfId="2383" xr:uid="{24C1BD8B-3FEC-4248-8DA8-D428DB8B4D58}"/>
    <cellStyle name="Normal 215 2" xfId="3928" xr:uid="{943FE24F-56CB-482A-AE98-8431821240E2}"/>
    <cellStyle name="Normal 215 2 2" xfId="14492" xr:uid="{9955E4D7-9A24-4B27-A5D5-5109D57CE467}"/>
    <cellStyle name="Normal 215 3" xfId="3661" xr:uid="{EAD57737-3650-4C43-BE30-775D97F6D8B3}"/>
    <cellStyle name="Normal 215 4" xfId="8265" xr:uid="{5DF474E8-A49D-4AD9-B570-BCC8837398B3}"/>
    <cellStyle name="Normal 216" xfId="2384" xr:uid="{EA18F2DA-70A4-40F8-8EFC-A6CD37E13EE7}"/>
    <cellStyle name="Normal 216 2" xfId="3929" xr:uid="{33026E32-4826-497A-AA74-97AC168D3AAE}"/>
    <cellStyle name="Normal 216 2 2" xfId="14493" xr:uid="{05B04A5B-0995-4B82-B353-FD62BEEA311A}"/>
    <cellStyle name="Normal 216 3" xfId="3662" xr:uid="{E92403F2-A1CA-4F35-AFE7-3F820B12539B}"/>
    <cellStyle name="Normal 216 4" xfId="8266" xr:uid="{D6D4C734-74FD-47FC-BF0D-2805ADB7276A}"/>
    <cellStyle name="Normal 22" xfId="437" xr:uid="{582E69F4-C5BD-4CD6-AC8A-A0BFCEE5B495}"/>
    <cellStyle name="Normal 22 2" xfId="8268" xr:uid="{FD811A16-D195-4977-8371-D9F8E7FF0232}"/>
    <cellStyle name="Normal 22 3" xfId="8267" xr:uid="{BB4E2590-1B04-4B31-A995-D9E663135B7C}"/>
    <cellStyle name="Normal 22 4" xfId="1594" xr:uid="{131C2303-AB90-4609-9DF8-18507E5C6184}"/>
    <cellStyle name="Normal 23" xfId="438" xr:uid="{24BCB16B-A11B-4909-8A91-BB113E52A390}"/>
    <cellStyle name="Normal 23 10" xfId="1596" xr:uid="{6E081BCC-E7B7-4017-B7B0-C6D8249B0670}"/>
    <cellStyle name="Normal 23 11" xfId="1597" xr:uid="{3CA86365-B98D-449E-BBC9-34AD64278741}"/>
    <cellStyle name="Normal 23 12" xfId="1598" xr:uid="{8BF2FE78-BCE4-4BED-8995-14588EE58EA5}"/>
    <cellStyle name="Normal 23 13" xfId="1599" xr:uid="{D0A13BED-DB27-4E1C-B36F-FF3F3B500AB3}"/>
    <cellStyle name="Normal 23 14" xfId="1600" xr:uid="{5E759BF1-4085-4542-92F8-96545E945664}"/>
    <cellStyle name="Normal 23 15" xfId="1601" xr:uid="{F6619D50-E248-49B7-96C1-EDAE8F501C58}"/>
    <cellStyle name="Normal 23 16" xfId="1602" xr:uid="{15635B8B-1798-414D-AC97-AC3DE143B3EE}"/>
    <cellStyle name="Normal 23 17" xfId="8269" xr:uid="{9A559AFD-387A-47AD-95A7-9520B67CB05B}"/>
    <cellStyle name="Normal 23 18" xfId="1595" xr:uid="{40DDB8BC-47E4-4ACA-B3D7-807563F17410}"/>
    <cellStyle name="Normal 23 2" xfId="439" xr:uid="{BCF563A6-D89F-467B-AB7F-68031101856A}"/>
    <cellStyle name="Normal 23 2 2" xfId="440" xr:uid="{06C299C0-F2C8-4527-A431-56CD956A280E}"/>
    <cellStyle name="Normal 23 2 3" xfId="1603" xr:uid="{1D559A19-8981-43C5-9909-6EC53F11885E}"/>
    <cellStyle name="Normal 23 3" xfId="441" xr:uid="{9EF88DFA-255B-48DE-99C5-741F31361ADB}"/>
    <cellStyle name="Normal 23 3 2" xfId="1604" xr:uid="{68E9ABC6-AC7B-405C-973D-2682A884B5CF}"/>
    <cellStyle name="Normal 23 4" xfId="442" xr:uid="{999913DF-2497-46FE-9D3B-C1972A460840}"/>
    <cellStyle name="Normal 23 4 2" xfId="1605" xr:uid="{211E0C94-B3DA-466B-9702-04330EC0D717}"/>
    <cellStyle name="Normal 23 5" xfId="1606" xr:uid="{E2480B60-0E6D-4B9C-A9C7-906E79BB737F}"/>
    <cellStyle name="Normal 23 6" xfId="1607" xr:uid="{CD6F5C42-57D6-433D-8755-6045958DD816}"/>
    <cellStyle name="Normal 23 7" xfId="1608" xr:uid="{0F8E6B96-4873-4418-8BB6-8E599A07FF58}"/>
    <cellStyle name="Normal 23 8" xfId="1609" xr:uid="{D5D3AD77-815C-4FD5-B619-46B2D5AD04C2}"/>
    <cellStyle name="Normal 23 9" xfId="1610" xr:uid="{ECFFAFA3-7160-4EE7-B2D5-E548AE5E4259}"/>
    <cellStyle name="Normal 24" xfId="443" xr:uid="{0B63033C-8D6A-4119-A483-8269B48DA676}"/>
    <cellStyle name="Normal 24 2" xfId="444" xr:uid="{17DB03BC-5E3D-4F32-8BF6-4B92FED72960}"/>
    <cellStyle name="Normal 24 2 2" xfId="445" xr:uid="{7178147D-DD8B-4734-9321-ACBC157C730B}"/>
    <cellStyle name="Normal 24 3" xfId="446" xr:uid="{B4607227-A191-4BF7-B8C4-EBBDD9410349}"/>
    <cellStyle name="Normal 24 4" xfId="447" xr:uid="{809408BC-188E-432A-AF5F-AD053EDDE6C7}"/>
    <cellStyle name="Normal 24 5" xfId="1611" xr:uid="{AD2A4AB0-64B8-4B26-B023-F99DFB5A8CFC}"/>
    <cellStyle name="Normal 25" xfId="448" xr:uid="{16FF06A9-1331-47D7-A7B6-D3973E38CBF1}"/>
    <cellStyle name="Normal 25 10" xfId="1612" xr:uid="{93D49E7F-0D79-4E09-9E04-2FEA02EC3F83}"/>
    <cellStyle name="Normal 25 2" xfId="449" xr:uid="{561265EE-2C14-4207-8ED1-DC8B7C4EF796}"/>
    <cellStyle name="Normal 25 2 2" xfId="450" xr:uid="{210EB300-CE9D-4692-A5B6-BBB70FA057AA}"/>
    <cellStyle name="Normal 25 2 3" xfId="1613" xr:uid="{990AE613-C563-42CD-BF2E-8F3BC95042F2}"/>
    <cellStyle name="Normal 25 3" xfId="451" xr:uid="{19EB1652-C84F-456C-9B39-0752BAEDAB41}"/>
    <cellStyle name="Normal 25 3 2" xfId="1614" xr:uid="{1875BCCE-5DBB-4311-81F9-CAAB4D3FC594}"/>
    <cellStyle name="Normal 25 4" xfId="452" xr:uid="{2805FEA2-3373-4C7E-B9A1-6BC6A7189553}"/>
    <cellStyle name="Normal 25 4 2" xfId="1615" xr:uid="{68B23195-B4CD-4E30-A9A8-068BDE1108B4}"/>
    <cellStyle name="Normal 25 5" xfId="1616" xr:uid="{7AE2F191-02C2-4199-8939-034C79449D43}"/>
    <cellStyle name="Normal 25 6" xfId="1617" xr:uid="{C8DE6618-E727-4105-A7ED-D40335F924AF}"/>
    <cellStyle name="Normal 25 7" xfId="1618" xr:uid="{72017CC9-3A94-4B14-8C67-DD1CDC92E621}"/>
    <cellStyle name="Normal 25 8" xfId="1619" xr:uid="{0AF9302E-1055-440E-9DF0-DDE8683D88C1}"/>
    <cellStyle name="Normal 25 9" xfId="8270" xr:uid="{60C3E90A-8A59-4E4B-B917-D74DC49A53A3}"/>
    <cellStyle name="Normal 26" xfId="453" xr:uid="{AB3C15D9-6BF9-4FC9-B377-A4FB0FD06C9F}"/>
    <cellStyle name="Normal 26 2" xfId="454" xr:uid="{0108C8B6-1AAA-4FEA-A7E1-D3EA0BC189D7}"/>
    <cellStyle name="Normal 26 2 2" xfId="455" xr:uid="{4F099BBF-779F-4335-BEA4-7E4DCA2C3259}"/>
    <cellStyle name="Normal 26 2 3" xfId="1621" xr:uid="{BBF393A1-1ECF-4C16-A660-1C7031F0CAD1}"/>
    <cellStyle name="Normal 26 3" xfId="456" xr:uid="{FAD51BFC-EF6F-40BE-A4CD-482EEB997872}"/>
    <cellStyle name="Normal 26 3 2" xfId="8271" xr:uid="{83A7AF81-A185-4CB2-B47F-86F013D0D3FE}"/>
    <cellStyle name="Normal 26 4" xfId="457" xr:uid="{8710244B-834A-4F56-9655-77200F782557}"/>
    <cellStyle name="Normal 26 5" xfId="1620" xr:uid="{42D9AB47-8044-4D4A-B3F6-4B2BDE1F75CB}"/>
    <cellStyle name="Normal 27" xfId="458" xr:uid="{F2C2C0BE-1BE3-491D-89A1-6FF43FCC69FE}"/>
    <cellStyle name="Normal 27 2" xfId="1623" xr:uid="{CE6736C4-9859-4867-92BC-7A0AA818A419}"/>
    <cellStyle name="Normal 27 2 2" xfId="8272" xr:uid="{7454FAAC-4277-4027-BFFA-4DCCBDDB2CBD}"/>
    <cellStyle name="Normal 27 3" xfId="1624" xr:uid="{6C4FE3BA-6363-4841-A12E-36E5C9FAD926}"/>
    <cellStyle name="Normal 27 4" xfId="1625" xr:uid="{BD0B01AB-4B74-49F1-9DA5-8C181CF47705}"/>
    <cellStyle name="Normal 27 5" xfId="1626" xr:uid="{8E747F6D-5BDE-4B82-A774-190F5B0D0AD4}"/>
    <cellStyle name="Normal 27 6" xfId="1627" xr:uid="{9196D299-28A8-46D5-A48A-99A0C2B220E0}"/>
    <cellStyle name="Normal 27 7" xfId="1628" xr:uid="{8D8A206E-E5A9-4B7E-A3E8-D13187F48320}"/>
    <cellStyle name="Normal 27 8" xfId="1629" xr:uid="{1C24A2AD-4A2A-4801-9050-FB785399FE9E}"/>
    <cellStyle name="Normal 27 9" xfId="1622" xr:uid="{45B32374-1470-4948-9919-84A7768A09DF}"/>
    <cellStyle name="Normal 28" xfId="285" xr:uid="{AB05B8F4-FA3F-4D98-91BB-4E8DC9914272}"/>
    <cellStyle name="Normal 28 2" xfId="1631" xr:uid="{DF644A33-71DC-4A2D-BF76-6307F369C2CC}"/>
    <cellStyle name="Normal 28 2 2" xfId="8273" xr:uid="{0BA4813A-2A4D-4BC4-AB50-62C434AC8BF2}"/>
    <cellStyle name="Normal 28 3" xfId="1632" xr:uid="{845FF683-BD8B-46A0-8B0B-0F6EB305A755}"/>
    <cellStyle name="Normal 28 4" xfId="1633" xr:uid="{9A7A47BD-8E2C-473A-84AF-51534D0776A2}"/>
    <cellStyle name="Normal 28 5" xfId="1634" xr:uid="{746C4F6F-D8A1-4CD2-B84A-7B06BCE7FF56}"/>
    <cellStyle name="Normal 28 6" xfId="1635" xr:uid="{BEA837BD-4C30-4DCC-B9B2-4C10F85A8B0B}"/>
    <cellStyle name="Normal 28 7" xfId="1636" xr:uid="{5681DD99-8978-43D2-9E5D-DB014561F233}"/>
    <cellStyle name="Normal 28 8" xfId="1637" xr:uid="{1DC3FAB6-F4D7-4D00-A291-F52F4F8237C2}"/>
    <cellStyle name="Normal 28 9" xfId="1630" xr:uid="{5701C94E-BF3A-455D-8E02-CFFF25055AEE}"/>
    <cellStyle name="Normal 29" xfId="459" xr:uid="{B5531A51-E56E-4CB3-996E-FE2B9E31BD37}"/>
    <cellStyle name="Normal 29 2" xfId="1639" xr:uid="{A4393CC1-5D7B-4F18-9C66-ECDA19776AE5}"/>
    <cellStyle name="Normal 29 2 2" xfId="8274" xr:uid="{CACFBD64-7317-4BA2-8CC5-905A0AB12AC2}"/>
    <cellStyle name="Normal 29 3" xfId="1640" xr:uid="{B6BCB0F1-EB4A-42AF-9E64-99CA15CF84FA}"/>
    <cellStyle name="Normal 29 4" xfId="1641" xr:uid="{468F9B94-FDCC-4EE3-8245-15F8A5847A3F}"/>
    <cellStyle name="Normal 29 5" xfId="1642" xr:uid="{732B7859-4077-4974-BFD7-60929845B0BC}"/>
    <cellStyle name="Normal 29 6" xfId="1643" xr:uid="{8433AC36-C2D7-462E-B177-F74820053A68}"/>
    <cellStyle name="Normal 29 7" xfId="1644" xr:uid="{9662F0E6-F64C-490D-AFA4-21E9586A6938}"/>
    <cellStyle name="Normal 29 8" xfId="1645" xr:uid="{17AA45F6-C8FA-49B3-AEC5-B73CE052C661}"/>
    <cellStyle name="Normal 29 9" xfId="1638" xr:uid="{03C8A26F-CC6C-47AF-9332-159D1A7AF104}"/>
    <cellStyle name="Normal 3" xfId="12" xr:uid="{392AB655-45D7-4DA4-BDBE-DC76D4A8DECA}"/>
    <cellStyle name="Normal 3 10" xfId="1646" xr:uid="{88D4CCA0-F6BE-4001-AB37-223F23FCEAD7}"/>
    <cellStyle name="Normal 3 10 2" xfId="8276" xr:uid="{88F4D006-7D35-43E0-BF37-7CA14554DF40}"/>
    <cellStyle name="Normal 3 11" xfId="1647" xr:uid="{069A0D94-2DD9-4271-A354-32B95A387FEE}"/>
    <cellStyle name="Normal 3 11 2" xfId="8277" xr:uid="{E3CCC485-888A-4B90-9C96-65590856730A}"/>
    <cellStyle name="Normal 3 12" xfId="1648" xr:uid="{CC1DB35A-E64E-4D37-B733-B0F9266FB990}"/>
    <cellStyle name="Normal 3 12 2" xfId="8899" xr:uid="{B293FC29-7AF0-43F6-9575-B995D108BF88}"/>
    <cellStyle name="Normal 3 13" xfId="1649" xr:uid="{93197227-A23A-4D56-9747-6027EFC82977}"/>
    <cellStyle name="Normal 3 13 2" xfId="8930" xr:uid="{7E23EC6C-913D-4EF3-887C-BC10A587056D}"/>
    <cellStyle name="Normal 3 14" xfId="1650" xr:uid="{D63FD3B0-1692-43C7-B029-4136971283D7}"/>
    <cellStyle name="Normal 3 14 2" xfId="8275" xr:uid="{41F9B840-AA6B-472C-B8F5-70928D49A960}"/>
    <cellStyle name="Normal 3 15" xfId="1651" xr:uid="{9411BF95-4A74-49D3-AA7B-940CCA50575B}"/>
    <cellStyle name="Normal 3 16" xfId="1652" xr:uid="{5805D014-0428-4358-B45E-F903EE8C5421}"/>
    <cellStyle name="Normal 3 17" xfId="1653" xr:uid="{AA5B5196-8C90-46B8-AC84-DE1968AA4C99}"/>
    <cellStyle name="Normal 3 18" xfId="1654" xr:uid="{CDA799CF-A4E8-4B8F-BC0A-2A101F480F0A}"/>
    <cellStyle name="Normal 3 19" xfId="1655" xr:uid="{FFF0BA5B-9038-4205-98AA-0C759DA4853E}"/>
    <cellStyle name="Normal 3 2" xfId="199" xr:uid="{460CA503-B8A4-4A07-A57B-045F3E3A920F}"/>
    <cellStyle name="Normal 3 2 10" xfId="1657" xr:uid="{EF02F47C-1D38-4356-A41B-11AFD4DC7724}"/>
    <cellStyle name="Normal 3 2 11" xfId="1658" xr:uid="{C1F83A8C-2FE7-461D-A586-EAC81E145F24}"/>
    <cellStyle name="Normal 3 2 12" xfId="1659" xr:uid="{6F9C6464-545D-48C2-B85E-F5C1F56ED877}"/>
    <cellStyle name="Normal 3 2 13" xfId="1660" xr:uid="{BC33BB5D-E070-45C6-817C-A66159A7EED4}"/>
    <cellStyle name="Normal 3 2 14" xfId="3930" xr:uid="{90FB10AE-CFA4-4E61-8321-80B7E7075EA7}"/>
    <cellStyle name="Normal 3 2 15" xfId="1656" xr:uid="{F2F7C88B-28B0-4513-B0C2-8D4111F5FA1E}"/>
    <cellStyle name="Normal 3 2 2" xfId="1661" xr:uid="{201ADF22-AEB3-47BE-8EC9-2679CDEE254B}"/>
    <cellStyle name="Normal 3 2 2 10" xfId="1662" xr:uid="{AA06355C-16E0-493E-B42D-35E97E5E2807}"/>
    <cellStyle name="Normal 3 2 2 11" xfId="1663" xr:uid="{09FEF20E-42AB-4845-8299-657C017B3FA3}"/>
    <cellStyle name="Normal 3 2 2 12" xfId="1664" xr:uid="{5AC35C07-D398-444F-AB3D-0D7CED385417}"/>
    <cellStyle name="Normal 3 2 2 13" xfId="1665" xr:uid="{694DEACD-2E5F-4D75-BA84-DF23AA798184}"/>
    <cellStyle name="Normal 3 2 2 14" xfId="8279" xr:uid="{FED02A76-3C30-4C18-A876-BE04D938D7D4}"/>
    <cellStyle name="Normal 3 2 2 2" xfId="1666" xr:uid="{BEF7FFDA-F522-4574-9553-36EE840D6BBF}"/>
    <cellStyle name="Normal 3 2 2 2 10" xfId="1667" xr:uid="{9EA3F7BF-A6A1-4EF6-932B-3BE0E9DE60D4}"/>
    <cellStyle name="Normal 3 2 2 2 2" xfId="1668" xr:uid="{D7B0C769-B946-4731-A4D3-50A118D55267}"/>
    <cellStyle name="Normal 3 2 2 2 2 10" xfId="1669" xr:uid="{1D4E769F-BED9-4DAE-8C4C-D80FC6CE1E7B}"/>
    <cellStyle name="Normal 3 2 2 2 2 2" xfId="1670" xr:uid="{3F5691DC-E3DA-4A3F-9078-D3217CBC3FB1}"/>
    <cellStyle name="Normal 3 2 2 2 2 2 2" xfId="1671" xr:uid="{8C88A27E-A834-487B-9E47-4B29D267737D}"/>
    <cellStyle name="Normal 3 2 2 2 2 2 2 2" xfId="1672" xr:uid="{F22D8160-E7FB-4015-A38B-4F7D1936EDC0}"/>
    <cellStyle name="Normal 3 2 2 2 2 2 2 2 2" xfId="1673" xr:uid="{CAEF70A8-2F75-41D2-B1BC-6D0A2BD3FB97}"/>
    <cellStyle name="Normal 3 2 2 2 2 2 2 2 2 2" xfId="1674" xr:uid="{8546A03F-8116-4C77-8660-168280252B56}"/>
    <cellStyle name="Normal 3 2 2 2 2 2 2 2 2 2 2" xfId="1675" xr:uid="{946A2A4E-6B34-45FC-8064-96DF8B6AA90F}"/>
    <cellStyle name="Normal 3 2 2 2 2 2 2 2 3" xfId="1676" xr:uid="{87A1EDAC-7B2B-4BD1-A031-8D6E4293B902}"/>
    <cellStyle name="Normal 3 2 2 2 2 2 2 3" xfId="1677" xr:uid="{39991B0E-0229-401B-9D96-8AF7093CC3D0}"/>
    <cellStyle name="Normal 3 2 2 2 2 2 3" xfId="1678" xr:uid="{1ECC1547-4DFD-4AC1-8DD2-AFD2A849AED2}"/>
    <cellStyle name="Normal 3 2 2 2 2 2 4" xfId="1679" xr:uid="{D10CBAC2-A20E-4DBC-96FC-7826C9BBE380}"/>
    <cellStyle name="Normal 3 2 2 2 2 3" xfId="1680" xr:uid="{C9DA42BE-F321-4E3F-AAE8-A115022BD7E1}"/>
    <cellStyle name="Normal 3 2 2 2 2 4" xfId="1681" xr:uid="{04D4ACD1-F67B-474C-B19E-9BB4B8B396F2}"/>
    <cellStyle name="Normal 3 2 2 2 2 5" xfId="1682" xr:uid="{54F25F25-82D8-495E-BBC5-5B2331558C56}"/>
    <cellStyle name="Normal 3 2 2 2 2 6" xfId="1683" xr:uid="{272172AD-4CBE-45E4-9660-347C2A95FC03}"/>
    <cellStyle name="Normal 3 2 2 2 2 7" xfId="1684" xr:uid="{8DBEE998-AFD1-484D-891F-F7909C0C498A}"/>
    <cellStyle name="Normal 3 2 2 2 2 8" xfId="1685" xr:uid="{237104AC-1F14-491B-A952-EC61F17F9DCF}"/>
    <cellStyle name="Normal 3 2 2 2 2 9" xfId="1686" xr:uid="{4BB6A92F-326A-4354-A10D-8DD60ACD24C0}"/>
    <cellStyle name="Normal 3 2 2 2 3" xfId="1687" xr:uid="{316D44DD-9F88-4824-8582-B6752FDCBB4A}"/>
    <cellStyle name="Normal 3 2 2 2 3 2" xfId="1688" xr:uid="{A3910B92-34EB-40D6-83FA-9578C97C37DF}"/>
    <cellStyle name="Normal 3 2 2 2 4" xfId="1689" xr:uid="{2D4F5527-ED5C-465E-A39D-A0DF2E609BDA}"/>
    <cellStyle name="Normal 3 2 2 2 5" xfId="1690" xr:uid="{32112637-4FD5-4494-A217-913F2DB51479}"/>
    <cellStyle name="Normal 3 2 2 2 6" xfId="1691" xr:uid="{A86A1F4A-BDC2-46B8-8FC4-AF51144ED7CD}"/>
    <cellStyle name="Normal 3 2 2 2 7" xfId="1692" xr:uid="{70211E8A-1F91-4C1A-BA7D-682ED3FFAC37}"/>
    <cellStyle name="Normal 3 2 2 2 8" xfId="1693" xr:uid="{2BD49F6D-BBC4-4088-A242-1A27A080EF3F}"/>
    <cellStyle name="Normal 3 2 2 2 9" xfId="1694" xr:uid="{5EE6DB5D-4EF0-4C86-8FFD-E8324FBA76AD}"/>
    <cellStyle name="Normal 3 2 2 3" xfId="1695" xr:uid="{949E3469-0D7B-4BD9-82A7-7D171A5880AA}"/>
    <cellStyle name="Normal 3 2 2 4" xfId="1696" xr:uid="{C2B88066-9350-4C38-A54F-D1066E8CEC03}"/>
    <cellStyle name="Normal 3 2 2 5" xfId="1697" xr:uid="{077288ED-F303-4B07-BA0F-088865944C04}"/>
    <cellStyle name="Normal 3 2 2 6" xfId="1698" xr:uid="{BC9A4E8C-5F8B-4410-AACF-89B4E29B35D8}"/>
    <cellStyle name="Normal 3 2 2 6 2" xfId="1699" xr:uid="{384916B9-A4F8-4943-BA17-73D1AEC2FA27}"/>
    <cellStyle name="Normal 3 2 2 7" xfId="1700" xr:uid="{24E36FCE-AD24-44FE-A1EB-CD05A4A34BBB}"/>
    <cellStyle name="Normal 3 2 2 8" xfId="1701" xr:uid="{C067311A-5A4F-4A08-8A85-26249544B18A}"/>
    <cellStyle name="Normal 3 2 2 9" xfId="1702" xr:uid="{D6EE98B2-3838-4573-B206-48E43C0F04B2}"/>
    <cellStyle name="Normal 3 2 3" xfId="1703" xr:uid="{E7BD2751-83D5-4474-8DC7-0945FDA862D9}"/>
    <cellStyle name="Normal 3 2 3 2" xfId="1704" xr:uid="{AE2636B9-9138-400E-B540-94D6934021CB}"/>
    <cellStyle name="Normal 3 2 3 3" xfId="8278" xr:uid="{BFDA15A6-A191-4FAE-845E-8A97257FA7F0}"/>
    <cellStyle name="Normal 3 2 4" xfId="1705" xr:uid="{6F5819FF-74B4-4F65-B190-8A7231C3ED76}"/>
    <cellStyle name="Normal 3 2 4 2" xfId="23330" xr:uid="{ADD44A6F-0425-488C-A0F8-C8D22A951E8F}"/>
    <cellStyle name="Normal 3 2 5" xfId="1706" xr:uid="{AD493FB0-DEA5-44CD-AE96-C68F12EA035D}"/>
    <cellStyle name="Normal 3 2 6" xfId="1707" xr:uid="{D9448468-5015-4ECE-AA13-B238D3CB7F49}"/>
    <cellStyle name="Normal 3 2 6 2" xfId="1708" xr:uid="{E625121A-7C83-4BB9-90F3-5B7433EF70DF}"/>
    <cellStyle name="Normal 3 2 7" xfId="1709" xr:uid="{74E99475-3F0D-4F64-B3CE-40669229423D}"/>
    <cellStyle name="Normal 3 2 8" xfId="1710" xr:uid="{C9E27BBA-D967-461B-B914-E5C23254EE8C}"/>
    <cellStyle name="Normal 3 2 9" xfId="1711" xr:uid="{46C530C9-43DC-42A1-89FD-8BBBBED884B8}"/>
    <cellStyle name="Normal 3 2_Corporate Allocators" xfId="8280" xr:uid="{7B211CA0-A6E8-4CE6-B6A1-1BBCB442FE3F}"/>
    <cellStyle name="Normal 3 20" xfId="1712" xr:uid="{907CFB66-9F7C-4B76-BE74-C0DBAD6B5CAD}"/>
    <cellStyle name="Normal 3 21" xfId="1713" xr:uid="{77B1BCEB-B629-4152-B414-9B2B04FDA17D}"/>
    <cellStyle name="Normal 3 22" xfId="1714" xr:uid="{ED6B5243-69EA-473A-A114-7F7A750BDE3E}"/>
    <cellStyle name="Normal 3 23" xfId="1715" xr:uid="{D2E7BECD-EEA9-4092-B70F-E0434A3F651A}"/>
    <cellStyle name="Normal 3 24" xfId="1716" xr:uid="{A67B717B-0AC2-43D8-8867-F75227230E88}"/>
    <cellStyle name="Normal 3 25" xfId="1717" xr:uid="{B0AFB1E8-C5C0-445A-8A97-4509BE4BC175}"/>
    <cellStyle name="Normal 3 25 2" xfId="1718" xr:uid="{2A7E44D9-D4D1-410D-A352-A7266F76A987}"/>
    <cellStyle name="Normal 3 26" xfId="1719" xr:uid="{9C5F462E-DA53-451F-ABC7-8D4B1DB7C17A}"/>
    <cellStyle name="Normal 3 26 2" xfId="1720" xr:uid="{E0469718-4023-44F4-819E-07F3CD7C3899}"/>
    <cellStyle name="Normal 3 27" xfId="2498" xr:uid="{6289341D-1DDC-495E-BDB9-EA61E0131D43}"/>
    <cellStyle name="Normal 3 28" xfId="2505" xr:uid="{9B17F303-CDF6-41C3-8072-9C6B1797695B}"/>
    <cellStyle name="Normal 3 3" xfId="15" xr:uid="{0B4A5C78-CCF1-4A6A-B60C-BEC5020131D6}"/>
    <cellStyle name="Normal 3 3 2" xfId="461" xr:uid="{1B6E06B0-987D-4C15-8560-F9DB894C428D}"/>
    <cellStyle name="Normal 3 3 2 2" xfId="8281" xr:uid="{6CBF0BB1-B51F-4AEC-AE75-AB7624D78C9A}"/>
    <cellStyle name="Normal 3 3 2 3" xfId="1722" xr:uid="{552289F9-7DEE-46F8-9FA8-45D76A20419B}"/>
    <cellStyle name="Normal 3 3 3" xfId="462" xr:uid="{DA729656-84B1-487F-A42F-3C68D2019C05}"/>
    <cellStyle name="Normal 3 3 3 2" xfId="3663" xr:uid="{9A0F0247-7E13-4F3E-99E2-733ECF8188F5}"/>
    <cellStyle name="Normal 3 3 4" xfId="460" xr:uid="{DFAC8A3D-E9B3-4D86-B87D-610BB31302ED}"/>
    <cellStyle name="Normal 3 3 5" xfId="1721" xr:uid="{B96A1998-9F79-42A4-8980-DCC08E3AC66D}"/>
    <cellStyle name="Normal 3 4" xfId="463" xr:uid="{8EF5CE9C-BDCD-4832-990D-F394ABA2A46F}"/>
    <cellStyle name="Normal 3 4 2" xfId="8282" xr:uid="{620B9835-77A6-490E-BC74-86B05EDDF0DC}"/>
    <cellStyle name="Normal 3 4 3" xfId="1723" xr:uid="{DE6169C6-00AE-425B-BEC7-B54F503D6AA1}"/>
    <cellStyle name="Normal 3 5" xfId="464" xr:uid="{FCEBF417-4F73-4BE8-A89D-85E0721B7B5D}"/>
    <cellStyle name="Normal 3 5 2" xfId="465" xr:uid="{D6AC6EA5-76D5-4D6A-8E53-94BF275AE7BA}"/>
    <cellStyle name="Normal 3 5 2 2" xfId="8283" xr:uid="{5A7429B7-E3EC-4824-BC0C-BB86B35D85DB}"/>
    <cellStyle name="Normal 3 5 3" xfId="466" xr:uid="{A0DBF45D-09E4-4946-AA7C-BB6EE1E9A97E}"/>
    <cellStyle name="Normal 3 5 4" xfId="1724" xr:uid="{F1E717EA-F088-4C72-ACE1-47B8AD2712D1}"/>
    <cellStyle name="Normal 3 6" xfId="1725" xr:uid="{A88D159E-7E8F-45C9-B4F3-302999BC140E}"/>
    <cellStyle name="Normal 3 6 2" xfId="8284" xr:uid="{CC4BAA25-E7E5-4078-BF86-250B4C5A2E36}"/>
    <cellStyle name="Normal 3 7" xfId="1726" xr:uid="{7118D89E-330C-45F1-8607-DCD663A0F25C}"/>
    <cellStyle name="Normal 3 7 2" xfId="8285" xr:uid="{A36CBEFD-4347-498B-BF82-6810A66B6E32}"/>
    <cellStyle name="Normal 3 8" xfId="1727" xr:uid="{697B80F3-D60C-413E-A42F-7795BA3BD990}"/>
    <cellStyle name="Normal 3 8 2" xfId="8286" xr:uid="{50D69B16-8B31-4420-96C3-04B7D45D4A28}"/>
    <cellStyle name="Normal 3 9" xfId="1728" xr:uid="{DE3357A1-384A-4548-B283-3B609083DD7E}"/>
    <cellStyle name="Normal 3 9 2" xfId="8287" xr:uid="{89CC1CCD-1D73-482B-9BDB-43A8A84FDF45}"/>
    <cellStyle name="Normal 3_2011-12 budget info" xfId="8288" xr:uid="{6AE6D717-DE3A-4040-B939-A4A41D207C22}"/>
    <cellStyle name="Normal 30" xfId="467" xr:uid="{99C2CE3D-D863-4FB9-AFA5-0AC8E15659E0}"/>
    <cellStyle name="Normal 30 2" xfId="1730" xr:uid="{2CE7402F-D278-40D2-BD03-A248ADA3C549}"/>
    <cellStyle name="Normal 30 2 2" xfId="8289" xr:uid="{052A89AA-C587-4E84-BAA5-179D132A55BA}"/>
    <cellStyle name="Normal 30 3" xfId="1729" xr:uid="{C7E04C8C-2A49-4055-8E59-8FED2EB59777}"/>
    <cellStyle name="Normal 31" xfId="468" xr:uid="{4E28D2B4-85D5-43C5-9213-4ECB6E709F5C}"/>
    <cellStyle name="Normal 31 2" xfId="1732" xr:uid="{37C8D014-E8A9-4519-ABF9-CD8E49826CA3}"/>
    <cellStyle name="Normal 31 2 2" xfId="8290" xr:uid="{5AD10BFE-5550-420C-AF9F-0665917E4DD5}"/>
    <cellStyle name="Normal 31 3" xfId="1731" xr:uid="{9A7690AE-A16C-4260-B5B3-FD3ED355752C}"/>
    <cellStyle name="Normal 32" xfId="284" xr:uid="{12531F6C-6B73-4DFE-B438-8B44801CB713}"/>
    <cellStyle name="Normal 32 2" xfId="1734" xr:uid="{BD1E88F3-CB9A-4CF6-8DF8-3D357BBC0293}"/>
    <cellStyle name="Normal 32 3" xfId="1733" xr:uid="{896CD86C-D0DC-4A6F-8889-28FB3F4EB276}"/>
    <cellStyle name="Normal 33" xfId="469" xr:uid="{B2D6E4BE-9C18-4ADE-AE65-984330FF81BD}"/>
    <cellStyle name="Normal 33 2" xfId="1736" xr:uid="{25F62A42-11F0-463A-853A-1F859B921F62}"/>
    <cellStyle name="Normal 33 3" xfId="1735" xr:uid="{4DCE62DE-FACA-403D-A2AB-7DC3C03ED378}"/>
    <cellStyle name="Normal 34" xfId="1737" xr:uid="{FEEE571A-233C-4723-9CBE-E37BE657328B}"/>
    <cellStyle name="Normal 34 2" xfId="1738" xr:uid="{284EBFC1-37BA-4C6D-ACCF-ED18E41DB950}"/>
    <cellStyle name="Normal 35" xfId="1739" xr:uid="{B7039E74-9A89-4D50-B341-339667F43534}"/>
    <cellStyle name="Normal 35 2" xfId="1740" xr:uid="{89CA8E28-AF1A-418A-870D-C02AD9C92C40}"/>
    <cellStyle name="Normal 35 3" xfId="1741" xr:uid="{A4B112D1-7295-481A-852C-0EF899BC4318}"/>
    <cellStyle name="Normal 36" xfId="1742" xr:uid="{77D9B138-7C27-4767-91A8-12B441B69DBE}"/>
    <cellStyle name="Normal 37" xfId="1743" xr:uid="{B1148034-ABAB-4372-8F32-BF165D4E31E3}"/>
    <cellStyle name="Normal 37 2" xfId="3931" xr:uid="{C552E395-EFD3-43CB-91C6-504C9E91875F}"/>
    <cellStyle name="Normal 37 2 2" xfId="14494" xr:uid="{5BEC9E3C-6B23-4115-9F3B-6638D05B4ECE}"/>
    <cellStyle name="Normal 37 3" xfId="3664" xr:uid="{6E0F751B-75C3-4319-881A-E1FB4657ABBF}"/>
    <cellStyle name="Normal 37 4" xfId="8291" xr:uid="{BD044194-23E1-47F4-9FFC-6788C6F810CC}"/>
    <cellStyle name="Normal 37 5" xfId="3027" xr:uid="{C445FC2E-21D2-48DD-9A86-26B4F8D66FA5}"/>
    <cellStyle name="Normal 38" xfId="200" xr:uid="{6AB550CB-6044-4CE1-9076-A8CB10336EC9}"/>
    <cellStyle name="Normal 38 10" xfId="1744" xr:uid="{59690FC8-A2E6-439D-98C4-1C3BDAE2CBB3}"/>
    <cellStyle name="Normal 38 11" xfId="1745" xr:uid="{F0C8DAFD-423E-466E-99DD-FB49DB545903}"/>
    <cellStyle name="Normal 38 12" xfId="1746" xr:uid="{5EA5815A-2AC8-4DF7-9819-97B99CDEAC42}"/>
    <cellStyle name="Normal 38 13" xfId="1747" xr:uid="{EBA5B82C-A2B8-4CE8-91D2-2EB65C0F328B}"/>
    <cellStyle name="Normal 38 14" xfId="1748" xr:uid="{69A743AB-7BB1-4B6C-8138-A7309F687F9C}"/>
    <cellStyle name="Normal 38 15" xfId="1749" xr:uid="{EE212BF7-C5E8-44A4-9D4E-9E0589CF7C53}"/>
    <cellStyle name="Normal 38 16" xfId="1750" xr:uid="{0158CFC9-7808-448F-B3D7-7A820ECCCFE4}"/>
    <cellStyle name="Normal 38 17" xfId="1751" xr:uid="{4620B4BC-77F3-4DFC-AD36-1C5971DA97CB}"/>
    <cellStyle name="Normal 38 18" xfId="1752" xr:uid="{9E9B898F-09B0-4960-A69E-D2232144F0A0}"/>
    <cellStyle name="Normal 38 19" xfId="1753" xr:uid="{C35AEDCF-23BB-4674-BB10-7C485E763DE9}"/>
    <cellStyle name="Normal 38 2" xfId="201" xr:uid="{859E96E0-D8E0-4763-B5A3-9D279F3E6F56}"/>
    <cellStyle name="Normal 38 2 2" xfId="3932" xr:uid="{AD381DB7-F8F2-473B-8595-D390571AD0B1}"/>
    <cellStyle name="Normal 38 2 3" xfId="1754" xr:uid="{C3795607-2E80-4485-97E8-F2E4859C137F}"/>
    <cellStyle name="Normal 38 20" xfId="1755" xr:uid="{E303170E-4B4C-4E16-AE89-830F9FFA10F0}"/>
    <cellStyle name="Normal 38 21" xfId="1756" xr:uid="{2EE264D5-D580-4F68-97AD-33E79CF49042}"/>
    <cellStyle name="Normal 38 22" xfId="1757" xr:uid="{064D2FD6-F7CE-4682-BCBA-A2999C4A7C2F}"/>
    <cellStyle name="Normal 38 3" xfId="1758" xr:uid="{5A4D9538-0FC1-4E11-890B-7E18431479F3}"/>
    <cellStyle name="Normal 38 3 2" xfId="3665" xr:uid="{7F4D854B-19A7-41AF-87D4-2F01EDC4F8A6}"/>
    <cellStyle name="Normal 38 4" xfId="1759" xr:uid="{C7C3CCB4-FC03-4BB9-9999-F223694E4ADC}"/>
    <cellStyle name="Normal 38 5" xfId="1760" xr:uid="{C8EA7F23-F478-4C5B-8069-DD70118D78A6}"/>
    <cellStyle name="Normal 38 6" xfId="1761" xr:uid="{52A08F6E-973F-4BE4-A2E0-6BA2C05EC9C6}"/>
    <cellStyle name="Normal 38 7" xfId="1762" xr:uid="{AA9DBC3D-AF38-4D50-94E6-FC351571E775}"/>
    <cellStyle name="Normal 38 8" xfId="1763" xr:uid="{BDC9E408-B985-4EE7-8A57-47EA83E83AAE}"/>
    <cellStyle name="Normal 38 9" xfId="1764" xr:uid="{E7E226C7-4A7C-42B7-BC62-039FAC879E88}"/>
    <cellStyle name="Normal 38_29(d) - Gas extensions -tariffs" xfId="202" xr:uid="{A0DCEF68-2FF5-4D65-B994-965668CE3636}"/>
    <cellStyle name="Normal 39" xfId="1765" xr:uid="{4D649310-304A-4682-B5E3-81E12B1CDAB9}"/>
    <cellStyle name="Normal 39 2" xfId="3933" xr:uid="{9E71C260-2844-4BD0-B49C-CE65F098472A}"/>
    <cellStyle name="Normal 39 2 2" xfId="14495" xr:uid="{83A6BE1B-7E0E-4E96-8093-E40E98C2310C}"/>
    <cellStyle name="Normal 39 3" xfId="3666" xr:uid="{D37C57A4-5A8D-46B1-948C-117D23B73FFB}"/>
    <cellStyle name="Normal 39 4" xfId="8292" xr:uid="{F683DF3E-3E8E-4A6A-88B1-8B52068AA673}"/>
    <cellStyle name="Normal 39 5" xfId="3028" xr:uid="{70C4E530-DE7C-4A3E-A51D-7D235C622FC1}"/>
    <cellStyle name="Normal 4" xfId="13" xr:uid="{D41E51AD-02B5-478A-8659-3B255D4815CC}"/>
    <cellStyle name="Normal 4 10" xfId="1766" xr:uid="{37CE36C9-133C-42BD-905E-9CB9C0392A30}"/>
    <cellStyle name="Normal 4 11" xfId="1767" xr:uid="{568F2933-51F4-49AB-BAB8-9C5C66E01E98}"/>
    <cellStyle name="Normal 4 12" xfId="1768" xr:uid="{A2A8811A-130A-41F9-B47A-D2E900CDA70C}"/>
    <cellStyle name="Normal 4 13" xfId="1769" xr:uid="{42AC91B9-54CA-4BB0-92CF-20B1097F7529}"/>
    <cellStyle name="Normal 4 14" xfId="1770" xr:uid="{90CAA75E-890D-4190-9B7C-3360EF7E6D40}"/>
    <cellStyle name="Normal 4 15" xfId="2503" xr:uid="{325D872C-C5C9-494A-AF2D-0A29BC850BD6}"/>
    <cellStyle name="Normal 4 16" xfId="3005" xr:uid="{15DDBFED-F7E2-4C61-A4A9-EC8478E781F5}"/>
    <cellStyle name="Normal 4 17" xfId="598" xr:uid="{8F755741-2992-49B4-B41E-F97E198D8A09}"/>
    <cellStyle name="Normal 4 2" xfId="36" xr:uid="{1859C31D-A0D7-49A5-9F47-E8E47A3C0F17}"/>
    <cellStyle name="Normal 4 2 2" xfId="470" xr:uid="{C90928A2-52FB-4FA6-B05C-19EB6C18A19A}"/>
    <cellStyle name="Normal 4 2 2 2" xfId="471" xr:uid="{F4814EFE-3A55-41C8-9AAB-8F9CDB5F9365}"/>
    <cellStyle name="Normal 4 2 2 2 2" xfId="472" xr:uid="{C973A7F1-B30F-4906-82F1-13BD0E908912}"/>
    <cellStyle name="Normal 4 2 2 2 2 2" xfId="14594" xr:uid="{7B34DACC-D756-422B-A95B-0FF55C2267BE}"/>
    <cellStyle name="Normal 4 2 2 2 3" xfId="473" xr:uid="{D3F85298-326D-4E4E-AB91-6005ADAF23BC}"/>
    <cellStyle name="Normal 4 2 2 2 3 2" xfId="3790" xr:uid="{39FD1C52-E9EB-4CFE-9D9C-967C1F914C25}"/>
    <cellStyle name="Normal 4 2 2 2 4" xfId="1773" xr:uid="{12199D5E-B2CD-44D8-A624-648C1B0518F0}"/>
    <cellStyle name="Normal 4 2 2 3" xfId="474" xr:uid="{6FB5C7E5-7079-4827-AAFB-AB6EDB5F6341}"/>
    <cellStyle name="Normal 4 2 2 3 2" xfId="3523" xr:uid="{34974E9F-AE8E-4DA2-88F9-CA4B9FA7F8B9}"/>
    <cellStyle name="Normal 4 2 2 4" xfId="475" xr:uid="{2E9F68E6-4B5E-40A6-A198-881FF204CFAE}"/>
    <cellStyle name="Normal 4 2 2 4 2" xfId="8892" xr:uid="{3E93468E-8524-4B74-B68B-3B47528A4589}"/>
    <cellStyle name="Normal 4 2 2 5" xfId="3002" xr:uid="{545767DE-152B-4CC7-B8F9-8D24BA28A859}"/>
    <cellStyle name="Normal 4 2 2 6" xfId="1772" xr:uid="{D4BCC885-C8D4-4D84-A9DB-E9442B00E3E7}"/>
    <cellStyle name="Normal 4 2 3" xfId="476" xr:uid="{59B6152E-0D7D-43FC-B84A-331935E8AD75}"/>
    <cellStyle name="Normal 4 2 3 2" xfId="477" xr:uid="{E6E8A789-2877-48E1-8A1E-E9AC1E3BA295}"/>
    <cellStyle name="Normal 4 2 3 2 2" xfId="478" xr:uid="{5E62B74B-97D8-4702-9C33-4048EEF5771E}"/>
    <cellStyle name="Normal 4 2 3 2 3" xfId="479" xr:uid="{E730CBD1-B42D-41B6-BC3D-B54FB18337BB}"/>
    <cellStyle name="Normal 4 2 3 2 4" xfId="14332" xr:uid="{8EFFBCE3-3326-4B9F-A24D-6E25DC73EE91}"/>
    <cellStyle name="Normal 4 2 3 3" xfId="480" xr:uid="{EF2E8446-9840-4705-96F1-D41CA88D9269}"/>
    <cellStyle name="Normal 4 2 3 3 2" xfId="3934" xr:uid="{544D08F2-816D-4C45-A171-6D2F42FA06A7}"/>
    <cellStyle name="Normal 4 2 3 4" xfId="481" xr:uid="{4D40827D-5CBB-474F-B975-05AB40D62FE4}"/>
    <cellStyle name="Normal 4 2 3 5" xfId="1774" xr:uid="{5E2FD467-5DD0-4029-A00F-9E550F946D07}"/>
    <cellStyle name="Normal 4 2 4" xfId="1775" xr:uid="{1473278B-CA49-4353-BA7A-D906DE6F5190}"/>
    <cellStyle name="Normal 4 2 4 2" xfId="3667" xr:uid="{AFD60E8A-915F-4EEA-B039-EDD23F8ADD6F}"/>
    <cellStyle name="Normal 4 2 5" xfId="1776" xr:uid="{A7D2C29A-965D-4DDD-B892-FC2C7A7AE2A3}"/>
    <cellStyle name="Normal 4 2 5 2" xfId="6485" xr:uid="{C839DFC2-1D2D-492D-AE6A-BE7C451BF1B0}"/>
    <cellStyle name="Normal 4 2 6" xfId="3029" xr:uid="{2EE181E8-970B-4CB1-A17E-0A3FA1CA4D2B}"/>
    <cellStyle name="Normal 4 2 7" xfId="1771" xr:uid="{65E4A4F7-6B74-4186-8078-51A12DF626BF}"/>
    <cellStyle name="Normal 4 3" xfId="203" xr:uid="{580A3501-8625-42B3-AA83-0E58DA0E8D65}"/>
    <cellStyle name="Normal 4 3 2" xfId="482" xr:uid="{BDEF36DD-81B6-42F8-8F01-D27FB4C82295}"/>
    <cellStyle name="Normal 4 3 2 2" xfId="483" xr:uid="{ABC3E18C-12C8-458C-8207-D1D00A2BFE0F}"/>
    <cellStyle name="Normal 4 3 2 3" xfId="484" xr:uid="{AA0192DA-57F2-4C4D-B256-18A858F6ABB3}"/>
    <cellStyle name="Normal 4 3 2 4" xfId="8294" xr:uid="{7645CCEB-21A7-4808-B841-E08751E806E3}"/>
    <cellStyle name="Normal 4 3 3" xfId="485" xr:uid="{CE287C64-442E-40EF-BE57-D95248EB818B}"/>
    <cellStyle name="Normal 4 3 3 2" xfId="486" xr:uid="{CDDDE13E-F8CB-4C8C-9D60-3D49651883B5}"/>
    <cellStyle name="Normal 4 3 3 3" xfId="3794" xr:uid="{5E914CA6-1DE0-4F0D-8CF7-637067425980}"/>
    <cellStyle name="Normal 4 3 4" xfId="487" xr:uid="{361F4974-8235-4684-AE72-6AF54C98FB52}"/>
    <cellStyle name="Normal 4 3 5" xfId="1777" xr:uid="{30A15B2B-287A-4A98-9630-56C2891A1E43}"/>
    <cellStyle name="Normal 4 4" xfId="488" xr:uid="{C81F2EF3-55F1-436D-B36A-6B444524BFC0}"/>
    <cellStyle name="Normal 4 4 2" xfId="8295" xr:uid="{4169BCF8-4410-41A0-AFE0-973119F884D7}"/>
    <cellStyle name="Normal 4 4 3" xfId="3527" xr:uid="{AD7FB0CA-7A22-4CD6-BFDB-F5A482C99FDE}"/>
    <cellStyle name="Normal 4 4 4" xfId="1778" xr:uid="{42741674-8D69-4E83-A0C8-E8030E36023E}"/>
    <cellStyle name="Normal 4 5" xfId="489" xr:uid="{63E37285-CCDC-4379-96D5-549424E38324}"/>
    <cellStyle name="Normal 4 5 2" xfId="8898" xr:uid="{79BE4AC5-23D2-4EDD-B7AE-657AEA0DD339}"/>
    <cellStyle name="Normal 4 5 3" xfId="1779" xr:uid="{AC22FB67-5302-4AB6-A55B-A2D1CE9B6DB3}"/>
    <cellStyle name="Normal 4 6" xfId="490" xr:uid="{2379D292-69F8-4CD1-968B-773353801CD2}"/>
    <cellStyle name="Normal 4 6 2" xfId="8931" xr:uid="{9C2884CA-EDED-471B-B020-528FB6B34A10}"/>
    <cellStyle name="Normal 4 6 3" xfId="1780" xr:uid="{303FB36E-3F29-42B1-A171-95B6DB8C431E}"/>
    <cellStyle name="Normal 4 7" xfId="31" xr:uid="{6BB907FE-1B06-49C9-91AC-DED732E20C0F}"/>
    <cellStyle name="Normal 4 7 2" xfId="8293" xr:uid="{C64DBFA1-75A5-48F2-8097-C0DF5C2CC83D}"/>
    <cellStyle name="Normal 4 7 3" xfId="1781" xr:uid="{528FB1D5-5846-42EF-BF40-A33CF6A24244}"/>
    <cellStyle name="Normal 4 8" xfId="1782" xr:uid="{D3DA22CB-FF7E-4C26-ADED-003499DC5496}"/>
    <cellStyle name="Normal 4 9" xfId="1783" xr:uid="{2C382259-26D4-4738-98A1-571EE029E2F5}"/>
    <cellStyle name="Normal 4_2011-12 budget info" xfId="8296" xr:uid="{803260DD-1158-4078-9EE9-FCBA9F22C8D0}"/>
    <cellStyle name="Normal 40" xfId="204" xr:uid="{096FEBEA-71EF-40FF-AFE4-1D2F7153225D}"/>
    <cellStyle name="Normal 40 2" xfId="205" xr:uid="{026E1F46-4D0B-4636-BD18-53C8EC3E643F}"/>
    <cellStyle name="Normal 40 2 2" xfId="3935" xr:uid="{EB182E6B-F4D9-4137-95CD-A6AAE6C34D2A}"/>
    <cellStyle name="Normal 40 2 3" xfId="1785" xr:uid="{9928C320-AC6F-4EE4-94C5-1DB2C1C11B4F}"/>
    <cellStyle name="Normal 40 3" xfId="3668" xr:uid="{3485251C-F203-4671-9135-34367CF80DB7}"/>
    <cellStyle name="Normal 40 4" xfId="3030" xr:uid="{4AC92D97-E159-47D6-BB88-489ED441AB04}"/>
    <cellStyle name="Normal 40 5" xfId="1784" xr:uid="{30FDAE99-D78C-45ED-A28E-48ED1ADF41AC}"/>
    <cellStyle name="Normal 40_29(d) - Gas extensions -tariffs" xfId="206" xr:uid="{3C483FC9-755B-4817-AF70-19D63DD50FA7}"/>
    <cellStyle name="Normal 41" xfId="1786" xr:uid="{2F1CE804-AF6F-4787-9059-D2F31F01A392}"/>
    <cellStyle name="Normal 41 2" xfId="8297" xr:uid="{9728E6E9-F833-4196-8ECE-1D9A884957D9}"/>
    <cellStyle name="Normal 42" xfId="1787" xr:uid="{BA618CB2-1D34-4C61-9F2A-36646FDDBF8C}"/>
    <cellStyle name="Normal 42 2" xfId="8298" xr:uid="{529F1F59-9FE6-4106-8B77-AD8D09C2E9C2}"/>
    <cellStyle name="Normal 43" xfId="1788" xr:uid="{403C3D28-FB14-4399-877D-D595B1583E3C}"/>
    <cellStyle name="Normal 43 2" xfId="1789" xr:uid="{C7FB5D07-3068-44F8-B15D-54436394160D}"/>
    <cellStyle name="Normal 43 3" xfId="8299" xr:uid="{F39D1EDE-49EC-4520-8E89-74E17811BF60}"/>
    <cellStyle name="Normal 44" xfId="1790" xr:uid="{ADA37963-5C19-4536-A7B9-A4A1DCE88059}"/>
    <cellStyle name="Normal 44 2" xfId="8300" xr:uid="{C4B683EF-8923-461E-AC27-0178E30A276F}"/>
    <cellStyle name="Normal 45" xfId="1791" xr:uid="{035E6248-7E73-4644-B010-C33C68ED9E19}"/>
    <cellStyle name="Normal 45 2" xfId="1792" xr:uid="{06806326-03DF-4AE9-98F5-54A8EC762F87}"/>
    <cellStyle name="Normal 45 3" xfId="8301" xr:uid="{C374E2E9-FCE6-4742-9885-0CFCF5BA43FE}"/>
    <cellStyle name="Normal 46" xfId="1793" xr:uid="{D3C9EED1-8D7E-4DDD-AD55-DC8CD11ED69C}"/>
    <cellStyle name="Normal 46 2" xfId="1794" xr:uid="{5E2DEBE1-0D96-4B30-B5FF-E62E6FF2A837}"/>
    <cellStyle name="Normal 46 3" xfId="8302" xr:uid="{0FE702B5-64FC-4333-A01F-6D71A58928DA}"/>
    <cellStyle name="Normal 47" xfId="1795" xr:uid="{27DF6815-B8D5-418F-A3FE-0BE000335AC8}"/>
    <cellStyle name="Normal 47 2" xfId="1796" xr:uid="{FC19DDB3-4C33-490B-B1AB-5B48591AAA8D}"/>
    <cellStyle name="Normal 47 3" xfId="8303" xr:uid="{A85ACB07-A637-44A0-968D-EE5E0CB31AE4}"/>
    <cellStyle name="Normal 48" xfId="566" xr:uid="{B4F5CD80-97BE-49FC-95EF-84F6E39FCE56}"/>
    <cellStyle name="Normal 48 2" xfId="1797" xr:uid="{FF60B630-66D5-4B5C-9AD8-88811FD3461F}"/>
    <cellStyle name="Normal 49" xfId="1798" xr:uid="{6796DDAC-0612-4D0D-9345-BB790DB2CB14}"/>
    <cellStyle name="Normal 49 2" xfId="1799" xr:uid="{E320D522-8A61-4786-89F8-A5E341E1D1B9}"/>
    <cellStyle name="Normal 49 3" xfId="8304" xr:uid="{34765876-E830-40C9-A081-72699FAA619B}"/>
    <cellStyle name="Normal 5" xfId="14" xr:uid="{EB6DEDE5-92EF-4FC4-A53D-F5DB61FD1B78}"/>
    <cellStyle name="Normal 5 10" xfId="1801" xr:uid="{C0AFCFA6-80F8-4477-B34D-6CE12FC39BFC}"/>
    <cellStyle name="Normal 5 11" xfId="1802" xr:uid="{F622897E-54C6-4DC4-9C7E-A8AB81215C0A}"/>
    <cellStyle name="Normal 5 12" xfId="1803" xr:uid="{D23A41B4-7432-4433-8BF0-EE33A0FA6213}"/>
    <cellStyle name="Normal 5 13" xfId="1804" xr:uid="{EFC75089-4667-413C-BF73-1C2A398AAF81}"/>
    <cellStyle name="Normal 5 14" xfId="1805" xr:uid="{DD7555C0-4822-496D-BEBF-FC3720406306}"/>
    <cellStyle name="Normal 5 15" xfId="1806" xr:uid="{B03A2D2E-3AD1-4B2C-8649-272579CEFA37}"/>
    <cellStyle name="Normal 5 16" xfId="1807" xr:uid="{DE7CD952-130C-4C12-AA6F-64FBFE3F0F0F}"/>
    <cellStyle name="Normal 5 17" xfId="1808" xr:uid="{8E2A50B0-C298-4922-AD1A-F52D554B46DC}"/>
    <cellStyle name="Normal 5 18" xfId="1809" xr:uid="{58F9ECC5-7704-42E7-95AF-58FA3F773ECD}"/>
    <cellStyle name="Normal 5 19" xfId="1810" xr:uid="{CD09C14F-527E-47E6-9A3F-AE5E220ADAE7}"/>
    <cellStyle name="Normal 5 2" xfId="16" xr:uid="{3E0B4993-2BF4-4814-B5BF-0B024D695613}"/>
    <cellStyle name="Normal 5 2 10" xfId="1812" xr:uid="{6AAAE424-AB28-4E36-870F-EF4187CA0231}"/>
    <cellStyle name="Normal 5 2 11" xfId="1813" xr:uid="{62ADCDAD-EB07-41FB-BC17-09B5F14A29BC}"/>
    <cellStyle name="Normal 5 2 12" xfId="1814" xr:uid="{DCE7CE0E-F1D7-40A7-9F0F-39288224B572}"/>
    <cellStyle name="Normal 5 2 13" xfId="1815" xr:uid="{76C403CD-2F14-4252-B426-6F0E7CA75642}"/>
    <cellStyle name="Normal 5 2 14" xfId="1816" xr:uid="{FC361D59-8B39-4613-9879-671E98861752}"/>
    <cellStyle name="Normal 5 2 15" xfId="1817" xr:uid="{0D5F093E-C9C6-4BD6-B192-214613FEFCEE}"/>
    <cellStyle name="Normal 5 2 16" xfId="1818" xr:uid="{7353FE96-3DD1-4060-97AD-6E2E82E46400}"/>
    <cellStyle name="Normal 5 2 17" xfId="1819" xr:uid="{0AE17709-406F-4659-A840-316FE9C29153}"/>
    <cellStyle name="Normal 5 2 18" xfId="1820" xr:uid="{FB124ACE-CFBC-418D-8258-F6D078BD3445}"/>
    <cellStyle name="Normal 5 2 19" xfId="1821" xr:uid="{112B779B-0C7A-4150-B9EF-B8149C92C49B}"/>
    <cellStyle name="Normal 5 2 2" xfId="1822" xr:uid="{9FE58159-0B95-48BF-99A0-C2863226E47D}"/>
    <cellStyle name="Normal 5 2 2 10" xfId="1823" xr:uid="{C60D4490-6DCD-4E22-ACFE-2896885A6EEF}"/>
    <cellStyle name="Normal 5 2 2 11" xfId="1824" xr:uid="{403B82BE-D79A-487F-8AD3-B48581026EE4}"/>
    <cellStyle name="Normal 5 2 2 12" xfId="1825" xr:uid="{DB2CB657-7A43-4537-81A2-F628F79EB678}"/>
    <cellStyle name="Normal 5 2 2 13" xfId="1826" xr:uid="{BA8C300F-3B75-4A30-9AC5-8A74AD130909}"/>
    <cellStyle name="Normal 5 2 2 14" xfId="1827" xr:uid="{2A519370-A4D5-4D61-B52F-76CE2D01CE63}"/>
    <cellStyle name="Normal 5 2 2 15" xfId="1828" xr:uid="{217FF763-DB42-4189-92EB-D120A628F0D6}"/>
    <cellStyle name="Normal 5 2 2 16" xfId="1829" xr:uid="{D68A5505-59A3-4C4B-8537-DF136FC6B8DD}"/>
    <cellStyle name="Normal 5 2 2 17" xfId="1830" xr:uid="{036CB2C4-C74A-4FC7-9530-67645E25F197}"/>
    <cellStyle name="Normal 5 2 2 18" xfId="1831" xr:uid="{625838CB-27D3-41EB-BA09-D42757790333}"/>
    <cellStyle name="Normal 5 2 2 19" xfId="1832" xr:uid="{3529704E-1F4A-4F8E-8ED9-CD1E4CC85881}"/>
    <cellStyle name="Normal 5 2 2 2" xfId="1833" xr:uid="{D60CFB63-446E-48A3-9C54-958970A3D754}"/>
    <cellStyle name="Normal 5 2 2 2 10" xfId="1834" xr:uid="{CEA32CD3-4BBC-4CE1-A46B-734110AB98E7}"/>
    <cellStyle name="Normal 5 2 2 2 11" xfId="1835" xr:uid="{50540B0B-56E2-48AE-9D35-BB0E56CF357C}"/>
    <cellStyle name="Normal 5 2 2 2 12" xfId="1836" xr:uid="{B38CFCC4-E52C-4C10-930F-F9FFDA150C4F}"/>
    <cellStyle name="Normal 5 2 2 2 13" xfId="1837" xr:uid="{744EB74C-4BE5-475F-AEC2-BD18549742B4}"/>
    <cellStyle name="Normal 5 2 2 2 14" xfId="1838" xr:uid="{681AEFB7-F431-4C8E-8D7F-5AB8DBAE764A}"/>
    <cellStyle name="Normal 5 2 2 2 15" xfId="1839" xr:uid="{D711CD8E-531F-4E03-9F2E-93200A90F273}"/>
    <cellStyle name="Normal 5 2 2 2 16" xfId="1840" xr:uid="{85717525-89AC-46DE-9DAA-D1F08940315F}"/>
    <cellStyle name="Normal 5 2 2 2 17" xfId="1841" xr:uid="{4361FE12-1267-4404-A51B-9857BC660733}"/>
    <cellStyle name="Normal 5 2 2 2 18" xfId="1842" xr:uid="{7F3EE447-D58B-4A93-B9B5-B2E15B265166}"/>
    <cellStyle name="Normal 5 2 2 2 19" xfId="1843" xr:uid="{9F5229A2-6DFA-4B03-9F15-D65F356D249D}"/>
    <cellStyle name="Normal 5 2 2 2 2" xfId="1844" xr:uid="{7008E74E-1C00-4749-A92F-260807F79D93}"/>
    <cellStyle name="Normal 5 2 2 2 2 10" xfId="1845" xr:uid="{704DF2C0-6D33-4542-9A08-084757CF54F1}"/>
    <cellStyle name="Normal 5 2 2 2 2 11" xfId="1846" xr:uid="{F9C9515E-D7A6-4074-A4F3-D8A0B5AE400A}"/>
    <cellStyle name="Normal 5 2 2 2 2 12" xfId="1847" xr:uid="{8CE3E2C7-8068-4C7F-BF92-6E1595A1B790}"/>
    <cellStyle name="Normal 5 2 2 2 2 13" xfId="1848" xr:uid="{C896AFD5-A414-48D8-A7EC-ADF9FFF15139}"/>
    <cellStyle name="Normal 5 2 2 2 2 14" xfId="1849" xr:uid="{6D86F190-0D5D-4B77-9AA6-6F0310369676}"/>
    <cellStyle name="Normal 5 2 2 2 2 15" xfId="1850" xr:uid="{DCE07304-0310-4D40-9023-74E4BD265532}"/>
    <cellStyle name="Normal 5 2 2 2 2 16" xfId="1851" xr:uid="{6A879737-43BD-4C51-B0D1-827C737370D0}"/>
    <cellStyle name="Normal 5 2 2 2 2 2" xfId="1852" xr:uid="{6A68117F-6CB6-4A94-98D9-D51345EDE36B}"/>
    <cellStyle name="Normal 5 2 2 2 2 2 10" xfId="1853" xr:uid="{C8CC03A6-CE3B-46B1-A4B4-CCC7FE8394EF}"/>
    <cellStyle name="Normal 5 2 2 2 2 2 11" xfId="1854" xr:uid="{67FF020B-7359-45C8-9CB9-D3C1EE07AC4C}"/>
    <cellStyle name="Normal 5 2 2 2 2 2 12" xfId="1855" xr:uid="{5FC343C4-B74C-47E7-8066-ECA87F413937}"/>
    <cellStyle name="Normal 5 2 2 2 2 2 13" xfId="1856" xr:uid="{20011992-5496-40DA-8C05-C8AFD3543C7D}"/>
    <cellStyle name="Normal 5 2 2 2 2 2 14" xfId="1857" xr:uid="{833F027B-EEE6-4688-AA12-77A5E8E6EC61}"/>
    <cellStyle name="Normal 5 2 2 2 2 2 15" xfId="1858" xr:uid="{7A446233-7A87-4CA3-B80B-84DD99819CD8}"/>
    <cellStyle name="Normal 5 2 2 2 2 2 16" xfId="1859" xr:uid="{375B178C-97C1-4B38-B569-F277411228D4}"/>
    <cellStyle name="Normal 5 2 2 2 2 2 2" xfId="1860" xr:uid="{548AFCAC-3855-4BEB-8363-2D98E07075B0}"/>
    <cellStyle name="Normal 5 2 2 2 2 2 2 2" xfId="1861" xr:uid="{2803001D-7E6D-4344-BCB6-71784464E974}"/>
    <cellStyle name="Normal 5 2 2 2 2 2 3" xfId="1862" xr:uid="{BF255CC3-9BD0-474D-88D6-07B459E25E42}"/>
    <cellStyle name="Normal 5 2 2 2 2 2 4" xfId="1863" xr:uid="{AAA7A3A9-E68A-41B6-9A5F-C09143B7B1EF}"/>
    <cellStyle name="Normal 5 2 2 2 2 2 5" xfId="1864" xr:uid="{65D6C739-C8BD-4E66-8168-3C093D0719EE}"/>
    <cellStyle name="Normal 5 2 2 2 2 2 6" xfId="1865" xr:uid="{C6B9B5FE-01D0-4451-BFAE-29AAF6ECB0AE}"/>
    <cellStyle name="Normal 5 2 2 2 2 2 7" xfId="1866" xr:uid="{BBE4B005-7CC6-40CB-9CBD-A88028AAAA57}"/>
    <cellStyle name="Normal 5 2 2 2 2 2 8" xfId="1867" xr:uid="{329D9C77-CB17-4D6F-A4E6-D9852D5BE78C}"/>
    <cellStyle name="Normal 5 2 2 2 2 2 9" xfId="1868" xr:uid="{6378B3CC-160A-4EA5-9FE3-FEB79BF8DF9C}"/>
    <cellStyle name="Normal 5 2 2 2 2 3" xfId="1869" xr:uid="{FFC325E5-5DC8-44EE-B65D-B2F12DBA8DB9}"/>
    <cellStyle name="Normal 5 2 2 2 2 3 2" xfId="1870" xr:uid="{1F56C6F8-8A0B-4E43-B1E9-4E024780D022}"/>
    <cellStyle name="Normal 5 2 2 2 2 4" xfId="1871" xr:uid="{66E38CF1-78FB-46FA-A1FD-D2DA93A40F19}"/>
    <cellStyle name="Normal 5 2 2 2 2 5" xfId="1872" xr:uid="{3FEFDA20-11FD-4846-ABAB-896E9A4DFB0E}"/>
    <cellStyle name="Normal 5 2 2 2 2 6" xfId="1873" xr:uid="{5C4EBDC4-8092-488B-9C7E-00CE754A92C8}"/>
    <cellStyle name="Normal 5 2 2 2 2 7" xfId="1874" xr:uid="{6FFD2CCE-8D0A-417F-97A6-9F000490D969}"/>
    <cellStyle name="Normal 5 2 2 2 2 8" xfId="1875" xr:uid="{94F3C303-81D4-4638-B59C-3826A8D814E8}"/>
    <cellStyle name="Normal 5 2 2 2 2 9" xfId="1876" xr:uid="{77245A66-7F9F-4AB0-804A-EADD62ED70D7}"/>
    <cellStyle name="Normal 5 2 2 2 3" xfId="1877" xr:uid="{FE3C115C-309C-4A54-932D-57A7540E9E18}"/>
    <cellStyle name="Normal 5 2 2 2 4" xfId="1878" xr:uid="{A043257D-92B5-4E37-82C6-73B486FEDACC}"/>
    <cellStyle name="Normal 5 2 2 2 5" xfId="1879" xr:uid="{D111396D-BF58-44EA-94E7-E12174B0802D}"/>
    <cellStyle name="Normal 5 2 2 2 6" xfId="1880" xr:uid="{F81F649A-0C26-4906-83AF-0A4727F074FA}"/>
    <cellStyle name="Normal 5 2 2 2 6 2" xfId="1881" xr:uid="{1313B75E-3899-457D-810D-FC65660A5A4F}"/>
    <cellStyle name="Normal 5 2 2 2 7" xfId="1882" xr:uid="{504C0D3C-6180-46FF-B7FE-1C5B8B7F392C}"/>
    <cellStyle name="Normal 5 2 2 2 8" xfId="1883" xr:uid="{8AB010E4-7D58-4A3D-A699-9240D7221E88}"/>
    <cellStyle name="Normal 5 2 2 2 9" xfId="1884" xr:uid="{F789CB6F-DF73-4FFA-8946-DA382374EA02}"/>
    <cellStyle name="Normal 5 2 2 3" xfId="1885" xr:uid="{F741B6CA-49DB-42E1-ADC4-9A18C114EFD7}"/>
    <cellStyle name="Normal 5 2 2 3 2" xfId="1886" xr:uid="{7F3622AD-E951-44E5-8692-49860556B37B}"/>
    <cellStyle name="Normal 5 2 2 4" xfId="1887" xr:uid="{F11E00CA-EBE9-4F14-998A-57DE80E9F043}"/>
    <cellStyle name="Normal 5 2 2 5" xfId="1888" xr:uid="{75E0399D-F453-4D8C-AC7F-2B3E34C47369}"/>
    <cellStyle name="Normal 5 2 2 6" xfId="1889" xr:uid="{6DE002DF-9FF3-4837-8E2C-5E869073687A}"/>
    <cellStyle name="Normal 5 2 2 6 2" xfId="1890" xr:uid="{10E6D5B1-8B42-4119-ACF4-4C0A3E97DA13}"/>
    <cellStyle name="Normal 5 2 2 7" xfId="1891" xr:uid="{11CDB069-601D-4DFC-8A5F-17C658D4AA50}"/>
    <cellStyle name="Normal 5 2 2 8" xfId="1892" xr:uid="{875D350D-FB68-45F0-A583-9518A9F0FE73}"/>
    <cellStyle name="Normal 5 2 2 9" xfId="1893" xr:uid="{6CB41F76-BE57-4858-AA67-9A05F316FBAA}"/>
    <cellStyle name="Normal 5 2 20" xfId="3936" xr:uid="{914477C6-9627-4F73-9E39-FC356EF996A0}"/>
    <cellStyle name="Normal 5 2 21" xfId="1811" xr:uid="{FB22243D-E605-407A-87F3-01197823D181}"/>
    <cellStyle name="Normal 5 2 3" xfId="1894" xr:uid="{0515FFB7-F7CA-4494-8B61-6A2B7197EF94}"/>
    <cellStyle name="Normal 5 2 3 2" xfId="1895" xr:uid="{429F3D69-233B-482D-97F0-C0E64625DCE8}"/>
    <cellStyle name="Normal 5 2 4" xfId="1896" xr:uid="{C2F863B6-06C4-4CB4-AD7F-0062981BB8A7}"/>
    <cellStyle name="Normal 5 2 5" xfId="1897" xr:uid="{9D1AE219-A0A7-4CFC-A64B-6DE413641936}"/>
    <cellStyle name="Normal 5 2 6" xfId="1898" xr:uid="{7F948B85-52B7-43F8-A6E2-DA4851BEB0C9}"/>
    <cellStyle name="Normal 5 2 6 2" xfId="1899" xr:uid="{E838D5A3-7263-4418-B1EF-CB4C8A1E2A39}"/>
    <cellStyle name="Normal 5 2 7" xfId="1900" xr:uid="{7680DD08-5FCE-4930-8F42-24EF3C2F080A}"/>
    <cellStyle name="Normal 5 2 8" xfId="1901" xr:uid="{6EFA5178-AD47-40D3-88C7-0F3BD74ECEA7}"/>
    <cellStyle name="Normal 5 2 9" xfId="1902" xr:uid="{82EA6305-FBFC-46A8-B836-FE1824F1E19C}"/>
    <cellStyle name="Normal 5 20" xfId="1903" xr:uid="{757811A4-6D14-491F-AFE1-27F67526EFA7}"/>
    <cellStyle name="Normal 5 21" xfId="1904" xr:uid="{9E18B62D-D884-4E7F-BCCF-65FCAB8B6D1B}"/>
    <cellStyle name="Normal 5 22" xfId="2494" xr:uid="{41BF0409-B245-42D3-B5D7-7983F6300494}"/>
    <cellStyle name="Normal 5 23" xfId="1800" xr:uid="{5E130632-0CF4-4EA0-9F2A-27B0F4A31CDF}"/>
    <cellStyle name="Normal 5 3" xfId="491" xr:uid="{0B3160E5-285C-449E-BD5A-570BFE34F0F3}"/>
    <cellStyle name="Normal 5 3 2" xfId="8306" xr:uid="{3319B6EF-23A0-4D58-98E3-8B01A2A0468F}"/>
    <cellStyle name="Normal 5 3 3" xfId="3669" xr:uid="{7EABB31C-E6A0-48FD-B5FD-039414455956}"/>
    <cellStyle name="Normal 5 3 4" xfId="1905" xr:uid="{BEB48350-9D00-41FE-A17F-A478E4F84CB0}"/>
    <cellStyle name="Normal 5 4" xfId="207" xr:uid="{B41A4D2D-DFDB-43E4-BAD0-5E4E0526CDDC}"/>
    <cellStyle name="Normal 5 4 2" xfId="8307" xr:uid="{23E262AF-80E7-48A5-B0ED-7C06D66D1A27}"/>
    <cellStyle name="Normal 5 4 3" xfId="1906" xr:uid="{991D0F6A-4723-4C5D-8EFA-8EB90B24DE78}"/>
    <cellStyle name="Normal 5 5" xfId="1907" xr:uid="{8CFD8313-0DA6-4E98-93F1-FB64C8F21342}"/>
    <cellStyle name="Normal 5 5 2" xfId="8308" xr:uid="{49E5033C-AAB5-4147-9EC2-28E4460188EB}"/>
    <cellStyle name="Normal 5 6" xfId="1908" xr:uid="{56FB630C-B694-4B2B-9D0E-A1148559BA3D}"/>
    <cellStyle name="Normal 5 6 2" xfId="8932" xr:uid="{202DEE70-298F-4311-BD38-E59B6ECEB508}"/>
    <cellStyle name="Normal 5 7" xfId="1909" xr:uid="{7D1B3060-0D16-4013-BC2F-95F5D35BB0A4}"/>
    <cellStyle name="Normal 5 7 2" xfId="8305" xr:uid="{0E98FC8B-83EE-478E-AD78-345F49A85248}"/>
    <cellStyle name="Normal 5 8" xfId="1910" xr:uid="{8F50B24C-F887-44EF-93E7-9DD992459DEE}"/>
    <cellStyle name="Normal 5 9" xfId="1911" xr:uid="{0585C5C0-C72D-4772-A369-9A77E0DF42B9}"/>
    <cellStyle name="Normal 5_7-11 Budget Scenarios v1.2" xfId="1912" xr:uid="{B3C7861E-B4FA-485D-9E73-D24A5FC82BE6}"/>
    <cellStyle name="Normal 50" xfId="1913" xr:uid="{64B24B54-74D7-4D42-A0C7-29D41A5B80D3}"/>
    <cellStyle name="Normal 50 2" xfId="1914" xr:uid="{AEF890E7-548F-4E4B-94BA-22A785F1E564}"/>
    <cellStyle name="Normal 50 3" xfId="8309" xr:uid="{9EC13040-A052-424C-91EE-BB9A6B695B81}"/>
    <cellStyle name="Normal 51" xfId="1915" xr:uid="{C104AE9A-D761-4B09-A7C3-085CBFABBDD3}"/>
    <cellStyle name="Normal 51 2" xfId="1916" xr:uid="{C1877384-BEF5-4009-9568-DCBFC649533E}"/>
    <cellStyle name="Normal 52" xfId="1917" xr:uid="{EC5C2A7D-35E4-4DA8-9305-E446A417DA8A}"/>
    <cellStyle name="Normal 52 2" xfId="1918" xr:uid="{ADD26E9D-3550-4384-BC7D-14842FE807CA}"/>
    <cellStyle name="Normal 52 3" xfId="8310" xr:uid="{4B098EDE-F561-4563-8174-FAF561302A33}"/>
    <cellStyle name="Normal 53" xfId="1919" xr:uid="{D32D7C45-BB7D-4CF8-96C8-22C8253FBA90}"/>
    <cellStyle name="Normal 53 2" xfId="1920" xr:uid="{A86A8CE0-7E55-4F43-877C-79CD6AC03B9A}"/>
    <cellStyle name="Normal 53 3" xfId="8311" xr:uid="{3761009F-2FDD-42D3-A88A-1B3CBCE223A8}"/>
    <cellStyle name="Normal 54" xfId="1921" xr:uid="{63F84954-8F1B-45AA-97C7-069A94489496}"/>
    <cellStyle name="Normal 54 2" xfId="1922" xr:uid="{28AABD84-7E67-4AF9-B7DA-8BC5D589F11B}"/>
    <cellStyle name="Normal 54 3" xfId="8312" xr:uid="{1388C6B7-7941-4349-A336-80457D2A0694}"/>
    <cellStyle name="Normal 55" xfId="1923" xr:uid="{1332ED4C-BB81-4C0D-9A5F-4E7BBE5FA2A2}"/>
    <cellStyle name="Normal 55 2" xfId="1924" xr:uid="{3D856139-6A2B-4738-9A74-961F1AAEC4B6}"/>
    <cellStyle name="Normal 55 3" xfId="8313" xr:uid="{35E0D5BF-D350-4EB9-ACE5-BCB6134753FF}"/>
    <cellStyle name="Normal 56" xfId="1925" xr:uid="{8D025791-AACC-45DD-990E-7785FBF4F501}"/>
    <cellStyle name="Normal 56 2" xfId="1926" xr:uid="{0A6E1071-28C0-46DC-BB45-74A4C385D480}"/>
    <cellStyle name="Normal 56 3" xfId="8314" xr:uid="{68F84CBE-D360-470B-9836-A8F51642E8BC}"/>
    <cellStyle name="Normal 57" xfId="1927" xr:uid="{2F53B401-DDFD-40A2-99BB-67D3365E1299}"/>
    <cellStyle name="Normal 57 2" xfId="1928" xr:uid="{862F3456-046D-4766-97CD-6C3E9E70F646}"/>
    <cellStyle name="Normal 57 3" xfId="8315" xr:uid="{614F7918-1A49-46D9-86EC-21EA6BFE6B4D}"/>
    <cellStyle name="Normal 58" xfId="1929" xr:uid="{AB0E7FFA-8E75-4E7D-B3CA-C7E7F7A07281}"/>
    <cellStyle name="Normal 58 2" xfId="1930" xr:uid="{92F57B8D-4377-47D0-977C-2AF25BAA3D69}"/>
    <cellStyle name="Normal 58 3" xfId="8316" xr:uid="{5CE4657A-A36D-4DDC-B447-CD145D7146B5}"/>
    <cellStyle name="Normal 59" xfId="1931" xr:uid="{CC5A8244-9681-4106-930F-F8F58E7CBED2}"/>
    <cellStyle name="Normal 59 2" xfId="1932" xr:uid="{D4954A1B-60EC-4B30-A40B-DDEB164A6719}"/>
    <cellStyle name="Normal 59 3" xfId="8317" xr:uid="{C8FC2234-31BF-4169-80A4-E174E7F127E7}"/>
    <cellStyle name="Normal 6" xfId="5" xr:uid="{DBCB9E39-15FC-41BA-B8B6-957D79140EC7}"/>
    <cellStyle name="Normal 6 10" xfId="1933" xr:uid="{4055BCD7-0AAE-4AE0-8928-4417B08E1709}"/>
    <cellStyle name="Normal 6 11" xfId="1934" xr:uid="{CFE9D063-BBE8-4EF9-907B-9864096789ED}"/>
    <cellStyle name="Normal 6 12" xfId="3031" xr:uid="{13788B2D-55D6-430B-BB7B-0D65A67DF448}"/>
    <cellStyle name="Normal 6 13" xfId="23970" xr:uid="{438D156A-8C1F-40F6-9511-20B1A7247072}"/>
    <cellStyle name="Normal 6 2" xfId="209" xr:uid="{A5705994-3620-4E6B-BDC0-98630D5E0C26}"/>
    <cellStyle name="Normal 6 2 2" xfId="492" xr:uid="{66E9E78B-08F3-4F5B-B296-324CE4E92025}"/>
    <cellStyle name="Normal 6 2 2 2" xfId="8320" xr:uid="{36C718BA-FC20-449E-8D86-7A5156A46A46}"/>
    <cellStyle name="Normal 6 2 3" xfId="8321" xr:uid="{9045AAB0-F0C2-4275-9CB9-27C3D50BB10F}"/>
    <cellStyle name="Normal 6 2 4" xfId="8322" xr:uid="{3FE0F262-51C1-4535-854A-70CCE98F78CD}"/>
    <cellStyle name="Normal 6 2 5" xfId="8319" xr:uid="{AE33703D-D787-48F5-BEA0-AB150B5B6F5D}"/>
    <cellStyle name="Normal 6 2 6" xfId="3937" xr:uid="{E8AECE99-A07C-4251-9C53-667F3BD91C6F}"/>
    <cellStyle name="Normal 6 2 7" xfId="1935" xr:uid="{9E90BF88-402B-429F-ABF7-1CE55AF1225D}"/>
    <cellStyle name="Normal 6 3" xfId="208" xr:uid="{2F0A7E61-B3B3-4D57-843E-42C2C0B77495}"/>
    <cellStyle name="Normal 6 3 2" xfId="8323" xr:uid="{83F1532C-A57F-4920-830A-343A56CD604E}"/>
    <cellStyle name="Normal 6 3 3" xfId="3670" xr:uid="{334FF305-426D-4759-858E-054C24EACE49}"/>
    <cellStyle name="Normal 6 3 4" xfId="1936" xr:uid="{30CF270B-DA3D-43BD-8DE2-BE8F15DF7245}"/>
    <cellStyle name="Normal 6 4" xfId="1937" xr:uid="{DE1E4693-DA30-4A90-A533-EFF9AE26F0F4}"/>
    <cellStyle name="Normal 6 4 2" xfId="8324" xr:uid="{50CAB82B-F05D-4463-88D8-025E436B606B}"/>
    <cellStyle name="Normal 6 5" xfId="1938" xr:uid="{0D5A2DFA-8569-4681-B39D-C32108B336F7}"/>
    <cellStyle name="Normal 6 5 2" xfId="8325" xr:uid="{5F0383C4-DBC1-4A16-B476-B68322203FB1}"/>
    <cellStyle name="Normal 6 6" xfId="1939" xr:uid="{2556471A-AAF8-4752-8F58-5DF9067A6C2E}"/>
    <cellStyle name="Normal 6 6 2" xfId="8326" xr:uid="{3309C692-E4D1-4295-836F-100CFB4A6F48}"/>
    <cellStyle name="Normal 6 7" xfId="1940" xr:uid="{EB116A7D-D851-43E5-AB01-699AB17C6F84}"/>
    <cellStyle name="Normal 6 7 2" xfId="8897" xr:uid="{CDFC9AAA-5517-4EED-990A-F354501BD819}"/>
    <cellStyle name="Normal 6 8" xfId="1941" xr:uid="{1103994F-3796-4D2F-8164-3490730FB8A4}"/>
    <cellStyle name="Normal 6 8 2" xfId="8933" xr:uid="{F6B2C01D-C785-43B6-A67B-F8EB7CB225AE}"/>
    <cellStyle name="Normal 6 9" xfId="1942" xr:uid="{FECF3BAA-15B3-447D-BBED-5CCB4759D3E9}"/>
    <cellStyle name="Normal 6 9 2" xfId="8318" xr:uid="{56E0650C-05C5-4FC6-9A98-21D51819378A}"/>
    <cellStyle name="Normal 6_2011-12 budget info" xfId="8327" xr:uid="{9C844E21-EBAE-4C02-8E10-C735AADEDFAA}"/>
    <cellStyle name="Normal 60" xfId="1943" xr:uid="{4222CF2E-4DC2-46C2-BEB3-DB718118C51E}"/>
    <cellStyle name="Normal 60 2" xfId="1944" xr:uid="{C8988ED8-D98B-4FD0-8DC7-98307D1C89DD}"/>
    <cellStyle name="Normal 61" xfId="1945" xr:uid="{B04874D1-D0F6-4D25-A817-6935D43A9730}"/>
    <cellStyle name="Normal 61 2" xfId="1946" xr:uid="{38B9104A-CBDA-457A-9625-70D13BF2CEF9}"/>
    <cellStyle name="Normal 62" xfId="1947" xr:uid="{FF0D0222-9815-4CA3-8D85-3AF7B1F8E847}"/>
    <cellStyle name="Normal 63" xfId="1948" xr:uid="{A736D0F7-37E4-4566-9C13-872C1A6D6B8E}"/>
    <cellStyle name="Normal 63 2" xfId="1949" xr:uid="{5CEA71F9-A40D-4D13-AE83-2FDFFEDA749D}"/>
    <cellStyle name="Normal 63 3" xfId="8328" xr:uid="{2FE0DA53-841B-4C0F-869A-E69A3D5FB3D6}"/>
    <cellStyle name="Normal 64" xfId="1950" xr:uid="{E25B3D87-02E7-4C32-AA02-F8680C6C4B30}"/>
    <cellStyle name="Normal 64 2" xfId="8329" xr:uid="{F94BA7A2-F3E2-402C-8CF9-F964AE11FD69}"/>
    <cellStyle name="Normal 65" xfId="1951" xr:uid="{F679FAD2-7784-4E6E-879E-7667FE1B776D}"/>
    <cellStyle name="Normal 65 2" xfId="8330" xr:uid="{B4D77B06-5F99-4A46-BA4E-C7DE73691201}"/>
    <cellStyle name="Normal 66" xfId="1952" xr:uid="{D1A917C8-D324-42EF-A202-F4639FC8A171}"/>
    <cellStyle name="Normal 66 2" xfId="1953" xr:uid="{BDDC3086-E775-4085-B439-936DD64108FA}"/>
    <cellStyle name="Normal 66 3" xfId="8331" xr:uid="{DF19B15C-349E-4D14-AA50-04B3A95A1CA8}"/>
    <cellStyle name="Normal 67" xfId="1954" xr:uid="{D5633C2E-5BCB-49E0-9A5F-7383288337B6}"/>
    <cellStyle name="Normal 67 2" xfId="1955" xr:uid="{756FB5EF-8817-4F4F-B250-673F139DF543}"/>
    <cellStyle name="Normal 67 2 2" xfId="1956" xr:uid="{C4A53389-DC13-4C80-9CF6-DDAB5366FB2F}"/>
    <cellStyle name="Normal 67 3" xfId="1957" xr:uid="{AB25B58A-6593-4342-8520-8DE260F3AB62}"/>
    <cellStyle name="Normal 67 3 2" xfId="1958" xr:uid="{2C62FD96-2CF1-4398-8D8A-1E7FF03E73B2}"/>
    <cellStyle name="Normal 67 4" xfId="1959" xr:uid="{E7884ECC-9534-4503-9873-D3E3867FBF56}"/>
    <cellStyle name="Normal 68" xfId="1960" xr:uid="{43E9C78E-155C-44FE-8905-E83DE6952534}"/>
    <cellStyle name="Normal 68 2" xfId="1961" xr:uid="{AD553F6A-CE22-444F-B8CE-1D6E024726A4}"/>
    <cellStyle name="Normal 68 2 2" xfId="1962" xr:uid="{8D22D253-60EE-4D76-BF6A-97530EE7916C}"/>
    <cellStyle name="Normal 68 3" xfId="1963" xr:uid="{129CA8FC-97E1-4F20-9226-A1F6D338D0B8}"/>
    <cellStyle name="Normal 68 3 2" xfId="1964" xr:uid="{D937CE59-F416-4481-9558-C1FCD094E938}"/>
    <cellStyle name="Normal 68 4" xfId="1965" xr:uid="{532041C6-C447-4D22-B7AA-0B07E076B949}"/>
    <cellStyle name="Normal 69" xfId="1966" xr:uid="{A07DC834-2E07-4BD6-826E-1D9A2DD08B55}"/>
    <cellStyle name="Normal 69 2" xfId="1967" xr:uid="{15C68A43-130D-4199-9C0A-808B5632D7F2}"/>
    <cellStyle name="Normal 7" xfId="17" xr:uid="{A70441B7-A6AA-47AC-986A-38949D15164F}"/>
    <cellStyle name="Normal 7 10" xfId="1968" xr:uid="{AC76741F-6F95-4FC0-83D4-795FB1E60C70}"/>
    <cellStyle name="Normal 7 2" xfId="211" xr:uid="{953EB6AE-D836-45A6-A69E-70EA60436D24}"/>
    <cellStyle name="Normal 7 2 2" xfId="493" xr:uid="{D15F12ED-C167-43F5-9F1F-B7B9998302D8}"/>
    <cellStyle name="Normal 7 2 2 2" xfId="494" xr:uid="{96257EC9-AC15-4E5D-8717-FDC353B461C5}"/>
    <cellStyle name="Normal 7 2 2 2 2" xfId="8334" xr:uid="{395F5265-D99F-46A4-9449-6B7ED94AF8D2}"/>
    <cellStyle name="Normal 7 2 2 3" xfId="495" xr:uid="{E5BB7595-7B42-4F9F-8245-AF9C92DF4DDD}"/>
    <cellStyle name="Normal 7 2 3" xfId="496" xr:uid="{1A87A825-344E-4951-8DBE-A2E7E28C570A}"/>
    <cellStyle name="Normal 7 2 3 2" xfId="8335" xr:uid="{C5C5C952-AB4A-4A69-93EC-7D42028EB330}"/>
    <cellStyle name="Normal 7 2 4" xfId="497" xr:uid="{93208A61-E443-4A45-9949-373E1743E1EE}"/>
    <cellStyle name="Normal 7 2 4 2" xfId="8336" xr:uid="{59DD7B9C-FC79-4665-BECA-17BA69644568}"/>
    <cellStyle name="Normal 7 2 5" xfId="8333" xr:uid="{66A559BD-B454-482C-A57C-8D8E5B6CA639}"/>
    <cellStyle name="Normal 7 2 6" xfId="3938" xr:uid="{CDD178F1-5DF3-49C3-BD7D-F3659495CE00}"/>
    <cellStyle name="Normal 7 3" xfId="210" xr:uid="{353755B5-1083-4257-A6E8-36B38F6FEED1}"/>
    <cellStyle name="Normal 7 3 2" xfId="8337" xr:uid="{E6451EC0-1570-4A2C-9892-EC1B9488A0DC}"/>
    <cellStyle name="Normal 7 3 3" xfId="3671" xr:uid="{E5B22064-5C8E-4DA8-B8A6-C24D5369F882}"/>
    <cellStyle name="Normal 7 3 4" xfId="1969" xr:uid="{EDCAE005-F070-4B48-9908-B5C85CEDD87C}"/>
    <cellStyle name="Normal 7 4" xfId="1970" xr:uid="{ECE42408-9F3E-4821-9C34-D02DE9B97226}"/>
    <cellStyle name="Normal 7 4 2" xfId="8338" xr:uid="{6880A049-CEA7-426F-992A-9F2C8569BF34}"/>
    <cellStyle name="Normal 7 5" xfId="1971" xr:uid="{182E55B2-69B4-486C-9697-D42341849F46}"/>
    <cellStyle name="Normal 7 5 2" xfId="8339" xr:uid="{F926DF62-3096-4ED0-994D-A6CE2227A24D}"/>
    <cellStyle name="Normal 7 6" xfId="1972" xr:uid="{57A84F64-1A4A-40F7-B1B4-A24A149855C2}"/>
    <cellStyle name="Normal 7 6 2" xfId="1973" xr:uid="{08A2BDB2-0096-4BC9-9DCC-1DF82D5289DF}"/>
    <cellStyle name="Normal 7 6 3" xfId="8340" xr:uid="{A0DDD8A8-0E4E-4226-B875-BE5AF6F29541}"/>
    <cellStyle name="Normal 7 7" xfId="1974" xr:uid="{E6192B46-775C-4720-9E19-708788812345}"/>
    <cellStyle name="Normal 7 7 2" xfId="1975" xr:uid="{B0D83300-1569-4A7B-A9C1-48E584B18A59}"/>
    <cellStyle name="Normal 7 7 3" xfId="8895" xr:uid="{935EA90F-014D-4C5A-88E2-2ECAAE4955A8}"/>
    <cellStyle name="Normal 7 8" xfId="8332" xr:uid="{F7ED15BE-0DE6-481D-9089-B7E2C4C51C87}"/>
    <cellStyle name="Normal 7 9" xfId="3032" xr:uid="{FDC1ABB5-9140-46B2-8091-C3C3D0E433F9}"/>
    <cellStyle name="Normal 7_2011-12 budget info" xfId="8341" xr:uid="{3D648CE8-361A-461C-961F-9BF8C358C1C8}"/>
    <cellStyle name="Normal 70" xfId="1976" xr:uid="{51E7ADAF-013D-4A79-B6F6-D9D572A66D0A}"/>
    <cellStyle name="Normal 71" xfId="1977" xr:uid="{C1976BDE-DA68-400F-8CFB-68DDBB4D9732}"/>
    <cellStyle name="Normal 72" xfId="2254" xr:uid="{B9E6F437-D7E8-4B4E-8940-43F28EB511A9}"/>
    <cellStyle name="Normal 73" xfId="2256" xr:uid="{E623005E-6FD5-4AE2-8CD7-9BB58A7B8345}"/>
    <cellStyle name="Normal 74" xfId="2260" xr:uid="{08F0B7AE-7F52-4AF2-8ED3-4308FCF34198}"/>
    <cellStyle name="Normal 75" xfId="2489" xr:uid="{54D71F8B-A6FF-4DDA-8068-46EC44D5C1A2}"/>
    <cellStyle name="Normal 76" xfId="2497" xr:uid="{73BF24EF-A949-4D06-A2A2-A0D487054057}"/>
    <cellStyle name="Normal 77" xfId="2501" xr:uid="{39DA6408-B7D7-446C-8AA8-EEAE4037A4A9}"/>
    <cellStyle name="Normal 78" xfId="578" xr:uid="{42A089D5-041D-4A0E-BBBC-6CC469AE0429}"/>
    <cellStyle name="Normal 79" xfId="2507" xr:uid="{DDC0E27A-6876-4EC6-A0CC-89DC94219435}"/>
    <cellStyle name="Normal 8" xfId="212" xr:uid="{B3D71121-396D-46A4-A690-2FC993830896}"/>
    <cellStyle name="Normal 8 2" xfId="498" xr:uid="{F06B32AA-91BD-4CBA-848A-BFD36C189C9F}"/>
    <cellStyle name="Normal 8 2 2" xfId="499" xr:uid="{1D2F2807-92A2-47E8-8883-76DE07128ECD}"/>
    <cellStyle name="Normal 8 2 2 2" xfId="8343" xr:uid="{9C885827-C9C0-4B94-8C15-3182DD54D3C3}"/>
    <cellStyle name="Normal 8 2 2 3" xfId="3792" xr:uid="{169D8149-74E3-4B99-9B93-4F25F311FEB1}"/>
    <cellStyle name="Normal 8 2 3" xfId="500" xr:uid="{B3CFDEFA-DD3C-460E-A39F-484A4527F927}"/>
    <cellStyle name="Normal 8 2 3 2" xfId="501" xr:uid="{EE93210D-DB72-4C37-AFF9-041F37F8D35B}"/>
    <cellStyle name="Normal 8 2 3 2 2" xfId="8344" xr:uid="{2BA3B2A6-A390-4BC1-86AA-41544D7C126F}"/>
    <cellStyle name="Normal 8 2 3 3" xfId="502" xr:uid="{26F0ACD8-F9E6-4659-925D-41EBB82A4FFE}"/>
    <cellStyle name="Normal 8 2 3 4" xfId="3525" xr:uid="{45104DE5-CDB1-4E40-902F-49CBD6CF3096}"/>
    <cellStyle name="Normal 8 2 4" xfId="503" xr:uid="{26A18874-AAB9-4AA6-BA01-92F7EA0D6063}"/>
    <cellStyle name="Normal 8 2 4 2" xfId="8345" xr:uid="{081D54C4-5A01-4C9B-86A8-5FFCFBE37AAE}"/>
    <cellStyle name="Normal 8 2 5" xfId="8342" xr:uid="{7CB97BEA-7DEB-489D-9ADD-8B4ACDF15063}"/>
    <cellStyle name="Normal 8 2 6" xfId="3003" xr:uid="{8E2F1A99-1A10-4969-9C28-39C54EB4EF96}"/>
    <cellStyle name="Normal 8 2 7" xfId="1979" xr:uid="{400FBD43-F351-4CC5-95F1-6B41AD9F620A}"/>
    <cellStyle name="Normal 8 3" xfId="1980" xr:uid="{73152291-B56A-43B7-92DA-053592DE36F7}"/>
    <cellStyle name="Normal 8 3 2" xfId="8346" xr:uid="{7F953171-8518-4C91-ACD3-6B0D1D1BBA94}"/>
    <cellStyle name="Normal 8 3 3" xfId="3939" xr:uid="{9B43BC4A-97CF-41B1-94FF-8333B01BA16A}"/>
    <cellStyle name="Normal 8 4" xfId="1981" xr:uid="{075C0F7E-A1C1-46DE-8775-120DF8E81610}"/>
    <cellStyle name="Normal 8 4 2" xfId="8347" xr:uid="{F57BE2DE-1A26-4E20-A591-B7DB35B264CA}"/>
    <cellStyle name="Normal 8 4 3" xfId="3672" xr:uid="{A36D9E25-0C6E-4342-BC95-1736A3BD6F90}"/>
    <cellStyle name="Normal 8 5" xfId="8348" xr:uid="{3C680122-2810-4AE4-B030-FBE35ACE2283}"/>
    <cellStyle name="Normal 8 6" xfId="8349" xr:uid="{596BABC3-3BE8-432C-8FA7-A27493A4BA25}"/>
    <cellStyle name="Normal 8 7" xfId="3033" xr:uid="{1DA6F2FD-6146-4401-A52B-13AE26CD1644}"/>
    <cellStyle name="Normal 8 8" xfId="1978" xr:uid="{3D6FAA7C-CE11-46AC-A89F-35B4ED6A81FC}"/>
    <cellStyle name="Normal 8_7-11 Budget Scenarios v1.2" xfId="1982" xr:uid="{A5201DCD-CC24-4A8F-A6F0-BC198050D4D5}"/>
    <cellStyle name="Normal 80" xfId="2903" xr:uid="{AACCA394-4F2F-4603-B537-0B9E5D1E6971}"/>
    <cellStyle name="Normal 81" xfId="2510" xr:uid="{1A5076B3-0086-4E2C-8C3F-812987D50BC3}"/>
    <cellStyle name="Normal 82" xfId="2807" xr:uid="{2E13E888-BEA1-4AE0-B7EE-4F7D2AB3C7F7}"/>
    <cellStyle name="Normal 83" xfId="2950" xr:uid="{9AA6CCF0-889D-43E5-85D2-1C636F2E0429}"/>
    <cellStyle name="Normal 84" xfId="2935" xr:uid="{E846D9D1-278F-4CF8-B1CC-C583FCB9AAA2}"/>
    <cellStyle name="Normal 85" xfId="2972" xr:uid="{62B74E70-C2E4-4702-8B92-3734F418E2BC}"/>
    <cellStyle name="Normal 9" xfId="213" xr:uid="{3FAB8038-FEF6-4155-B3EA-7D4E35237242}"/>
    <cellStyle name="Normal 9 2" xfId="504" xr:uid="{ED55584B-3ED2-4A6D-8D53-F08DC13D4274}"/>
    <cellStyle name="Normal 9 2 2" xfId="8351" xr:uid="{48D493FF-A160-4596-B6C8-B5236C658CF0}"/>
    <cellStyle name="Normal 9 2 3" xfId="3940" xr:uid="{801847BD-D7C3-4A4A-A32E-1881C3493836}"/>
    <cellStyle name="Normal 9 2 4" xfId="1984" xr:uid="{956B3C92-3A76-4B29-B1BE-330DB63E8D0F}"/>
    <cellStyle name="Normal 9 3" xfId="1985" xr:uid="{12A34E36-E1D7-4D29-997A-50C0AF32FD9F}"/>
    <cellStyle name="Normal 9 3 2" xfId="8352" xr:uid="{38BC0A06-B1FB-47E2-846B-2D9F82512714}"/>
    <cellStyle name="Normal 9 3 3" xfId="3673" xr:uid="{84BAD115-4622-402B-8702-D8EFB8013102}"/>
    <cellStyle name="Normal 9 4" xfId="8353" xr:uid="{895B08BC-81C3-4C6C-86AD-99D197A1CAE9}"/>
    <cellStyle name="Normal 9 5" xfId="8354" xr:uid="{06B96DFE-F2A6-41A5-9DBF-9E605B0E46E8}"/>
    <cellStyle name="Normal 9 6" xfId="8350" xr:uid="{50F858C2-02DA-4BEE-AC27-14D74C02C1FB}"/>
    <cellStyle name="Normal 9 7" xfId="3034" xr:uid="{013D336D-4D31-4412-9ECC-28D559BB453C}"/>
    <cellStyle name="Normal 9 8" xfId="1983" xr:uid="{BBF2BF0B-0C1A-4195-88F7-94A6D75DE87A}"/>
    <cellStyle name="Normal 9_7-11 Budget Scenarios v1.2" xfId="1986" xr:uid="{FF8D4976-6AC8-461A-A24D-943F273583C1}"/>
    <cellStyle name="Normal U" xfId="1987" xr:uid="{0DA8D569-CFF1-4694-A896-4C8D909ADA1E}"/>
    <cellStyle name="Normal U 2" xfId="1988" xr:uid="{06290792-67A1-4727-B163-1A80989CB57E}"/>
    <cellStyle name="NormalGB" xfId="1989" xr:uid="{E75E462B-D96D-4BB8-B864-1DE8D0258F0E}"/>
    <cellStyle name="NormalGB 2" xfId="1990" xr:uid="{EB13C54F-834B-4457-BD77-D4C2790C836B}"/>
    <cellStyle name="NormalGB_1109 v1.5 MGH Corporate Model" xfId="1991" xr:uid="{B8B26C7B-A3BE-43FD-889C-49FA8464F8E0}"/>
    <cellStyle name="normální_laroux" xfId="1992" xr:uid="{174F05C9-0722-481C-A261-FDA17D95FE2A}"/>
    <cellStyle name="Note 10" xfId="8355" xr:uid="{EC2D07D3-CA95-47F6-AC21-544527497C1B}"/>
    <cellStyle name="Note 10 2" xfId="8356" xr:uid="{57035B7A-5A29-4F1B-8BC4-3CD4F87D15E6}"/>
    <cellStyle name="Note 10 2 2" xfId="8357" xr:uid="{683DE716-CF20-4392-A45E-64302E42C90D}"/>
    <cellStyle name="Note 10 2 2 2" xfId="12390" xr:uid="{A9EE182C-4D06-4129-8073-0E9499EA351E}"/>
    <cellStyle name="Note 10 2 2 2 2" xfId="21437" xr:uid="{AE4C2D4A-0FE1-4E0D-A447-788A90991B9F}"/>
    <cellStyle name="Note 10 2 2 2 3" xfId="23629" xr:uid="{DE5935F1-FBAF-4B19-9807-DC0A0F1320FF}"/>
    <cellStyle name="Note 10 2 2 3" xfId="14498" xr:uid="{C191AF56-12E2-4A74-98BA-1F073BF2DACD}"/>
    <cellStyle name="Note 10 2 2 4" xfId="17968" xr:uid="{143B054D-ECDD-4E61-8E19-EDCECA3D92C3}"/>
    <cellStyle name="Note 10 2 2 5" xfId="23433" xr:uid="{4A5942E6-7F03-46E3-8AF9-C1BE97C9DF7F}"/>
    <cellStyle name="Note 10 2 3" xfId="12389" xr:uid="{E7E7DA0B-B305-4060-A376-C1AF910A0FFD}"/>
    <cellStyle name="Note 10 2 3 2" xfId="21436" xr:uid="{FB80BF64-D026-41D3-B8F2-55D813BDF674}"/>
    <cellStyle name="Note 10 2 3 3" xfId="23628" xr:uid="{2A054610-432B-4329-86E8-F46F2B1BD5C8}"/>
    <cellStyle name="Note 10 2 4" xfId="14497" xr:uid="{42DD4A1E-6F59-44E4-87BC-083D411F3CCC}"/>
    <cellStyle name="Note 10 2 5" xfId="17967" xr:uid="{329A7137-A22D-42E2-89A4-5616E5218C6D}"/>
    <cellStyle name="Note 10 2 6" xfId="23432" xr:uid="{F4E4375F-6F7B-4EEE-B9B3-08AE645FB94E}"/>
    <cellStyle name="Note 10 3" xfId="8358" xr:uid="{DAA01844-F450-486D-A340-BDC26F2C00E3}"/>
    <cellStyle name="Note 10 3 2" xfId="12391" xr:uid="{8DD85468-D393-47BB-8639-96720BFB439B}"/>
    <cellStyle name="Note 10 3 2 2" xfId="21438" xr:uid="{A4FB0529-2457-4BF4-A97B-FC937974E2B8}"/>
    <cellStyle name="Note 10 3 2 3" xfId="23630" xr:uid="{FB9DC54D-A4FF-47FA-94B1-01F828E5915D}"/>
    <cellStyle name="Note 10 3 3" xfId="14499" xr:uid="{BC993824-348E-4104-9023-247D6129116C}"/>
    <cellStyle name="Note 10 3 4" xfId="17969" xr:uid="{884B3792-5E48-46B8-BC21-ED463500AC8F}"/>
    <cellStyle name="Note 10 3 5" xfId="23434" xr:uid="{911D9822-B53B-455D-9D6D-F7E160B30EEA}"/>
    <cellStyle name="Note 10 4" xfId="12388" xr:uid="{A89A68E8-CC70-408E-AE6C-F5A6B3B7CA42}"/>
    <cellStyle name="Note 10 4 2" xfId="21435" xr:uid="{DC8408DB-F3B0-4861-B83A-7E087C9F144C}"/>
    <cellStyle name="Note 10 4 3" xfId="23627" xr:uid="{A05878BE-A591-4A07-95BC-35DCD2E2D5CD}"/>
    <cellStyle name="Note 10 5" xfId="14496" xr:uid="{578EB4F2-317C-4296-A671-2CD78BC5654B}"/>
    <cellStyle name="Note 10 6" xfId="17966" xr:uid="{48DD5ABE-9EAF-4D45-8897-356605D96FEB}"/>
    <cellStyle name="Note 10 7" xfId="23431" xr:uid="{C827B8A2-0E9C-49DA-B167-68650D4034B9}"/>
    <cellStyle name="Note 11" xfId="8359" xr:uid="{177D12BD-03F7-4FDA-80D6-CCDB316EB768}"/>
    <cellStyle name="Note 11 2" xfId="12392" xr:uid="{59622E13-D742-43FC-9EAC-7690729A6433}"/>
    <cellStyle name="Note 11 2 2" xfId="21439" xr:uid="{70A7F335-B5CA-4023-9CB9-87616566B93E}"/>
    <cellStyle name="Note 11 2 3" xfId="23631" xr:uid="{D470D853-93E9-492E-976E-C525871B0AFD}"/>
    <cellStyle name="Note 11 3" xfId="14500" xr:uid="{B4BF877C-2C7C-470E-A620-403616774EF7}"/>
    <cellStyle name="Note 11 4" xfId="17970" xr:uid="{00547748-3104-48A2-AB0C-E5C9344E854C}"/>
    <cellStyle name="Note 11 5" xfId="23435" xr:uid="{D3B4B440-FDEE-46AF-A860-3745BE21871E}"/>
    <cellStyle name="Note 12" xfId="8360" xr:uid="{C7A32109-5E22-41D2-8494-399542F6894C}"/>
    <cellStyle name="Note 12 2" xfId="12393" xr:uid="{29EE141A-7E70-479E-8678-3CAD872D3498}"/>
    <cellStyle name="Note 12 2 2" xfId="21440" xr:uid="{8AB2A1CD-944D-47CF-A26D-EF36B5B48520}"/>
    <cellStyle name="Note 12 2 3" xfId="23632" xr:uid="{96FA8B73-AE8C-4BE6-806D-AE20B127278E}"/>
    <cellStyle name="Note 12 3" xfId="14501" xr:uid="{2AA5FA49-977E-41F7-AFDE-3EA6860EC069}"/>
    <cellStyle name="Note 12 4" xfId="17971" xr:uid="{202F4821-C499-47CC-8D43-726ED14D7D9B}"/>
    <cellStyle name="Note 12 5" xfId="23436" xr:uid="{7A1FEA47-27FB-4177-A941-D044040845B5}"/>
    <cellStyle name="Note 2" xfId="214" xr:uid="{8F3400BA-0B7C-42B0-83BB-CAF9E088533F}"/>
    <cellStyle name="Note 2 10" xfId="3104" xr:uid="{505DC14D-A4EF-43DA-8E95-D6799FD4921E}"/>
    <cellStyle name="Note 2 10 10" xfId="14885" xr:uid="{8F389D9F-4F96-414F-9F0C-C0C4D7CBD154}"/>
    <cellStyle name="Note 2 10 11" xfId="21752" xr:uid="{B21713A3-A654-4E84-ACCA-D10FC12E1711}"/>
    <cellStyle name="Note 2 10 2" xfId="4325" xr:uid="{0735587E-2F2C-4175-A38E-9EFB44B98F1C}"/>
    <cellStyle name="Note 2 10 2 2" xfId="10182" xr:uid="{1BAB03F5-A74B-442C-95F2-8646E6696DF4}"/>
    <cellStyle name="Note 2 10 2 2 2" xfId="19228" xr:uid="{2D8D76B8-3E14-4854-9F46-C68C8D99FFA4}"/>
    <cellStyle name="Note 2 10 2 3" xfId="15742" xr:uid="{43266CBB-049E-415C-A052-C3ACFBA79358}"/>
    <cellStyle name="Note 2 10 2 4" xfId="22408" xr:uid="{88F64747-528D-4B10-BC87-EF77EC009BD7}"/>
    <cellStyle name="Note 2 10 3" xfId="4826" xr:uid="{BBF3685A-6E15-43E4-B774-BC9E7A891310}"/>
    <cellStyle name="Note 2 10 3 2" xfId="10682" xr:uid="{0DCFF901-6A45-4680-BDAF-F19623B2A1FD}"/>
    <cellStyle name="Note 2 10 3 2 2" xfId="19728" xr:uid="{A985DCCF-F423-4F41-AC34-A72A083DA981}"/>
    <cellStyle name="Note 2 10 3 3" xfId="16242" xr:uid="{78256F8D-2D9C-4F42-A867-6DF3236BE497}"/>
    <cellStyle name="Note 2 10 3 4" xfId="22903" xr:uid="{6EAB7895-4730-4B53-AECC-400ECB181639}"/>
    <cellStyle name="Note 2 10 4" xfId="5441" xr:uid="{A25875B1-288C-40AA-8F70-4249A767E30E}"/>
    <cellStyle name="Note 2 10 4 2" xfId="11294" xr:uid="{4B474B1F-E491-4751-AFD1-56B3CC9BA463}"/>
    <cellStyle name="Note 2 10 4 2 2" xfId="20340" xr:uid="{BEB2EE31-425A-4FD9-AFA1-BD40F29CA66C}"/>
    <cellStyle name="Note 2 10 4 3" xfId="16854" xr:uid="{9A0F4D22-8EFF-42BB-9089-B0F65D49A8B0}"/>
    <cellStyle name="Note 2 10 5" xfId="6052" xr:uid="{2289B757-2DE3-480F-B919-979A783CCB17}"/>
    <cellStyle name="Note 2 10 5 2" xfId="11902" xr:uid="{E035DF6C-982F-4CD5-ABD9-D358D0B8C29A}"/>
    <cellStyle name="Note 2 10 5 2 2" xfId="20948" xr:uid="{F9552980-C287-4E3D-A987-368627EEDE02}"/>
    <cellStyle name="Note 2 10 5 3" xfId="17465" xr:uid="{B13E19F7-E08E-43E7-A417-3B971598DD43}"/>
    <cellStyle name="Note 2 10 6" xfId="9316" xr:uid="{74957E6F-2029-4EC0-908F-D945087BFDEA}"/>
    <cellStyle name="Note 2 10 6 2" xfId="18362" xr:uid="{15E5F369-1683-4077-AE7A-013A0FD0BF7B}"/>
    <cellStyle name="Note 2 10 7" xfId="12711" xr:uid="{4D144930-6796-4A2E-8D63-F1528EC14BB0}"/>
    <cellStyle name="Note 2 10 8" xfId="13272" xr:uid="{BE7E7171-7559-4119-83F6-871AFF538943}"/>
    <cellStyle name="Note 2 10 9" xfId="13907" xr:uid="{9C3133FD-60CF-4451-951B-8931B4F20964}"/>
    <cellStyle name="Note 2 11" xfId="3674" xr:uid="{67E706C1-07D6-4C66-B29A-98D364D91FAF}"/>
    <cellStyle name="Note 2 11 2" xfId="9744" xr:uid="{93BA138F-7180-40A8-A045-7D1C6FF8B4FB}"/>
    <cellStyle name="Note 2 11 2 2" xfId="18790" xr:uid="{AE51AD32-368F-455A-9EBA-70B3C6EE037D}"/>
    <cellStyle name="Note 2 11 3" xfId="14502" xr:uid="{9874DCA1-453D-46D1-87F6-E04479FFAE3B}"/>
    <cellStyle name="Note 2 11 4" xfId="15310" xr:uid="{110C5301-7210-4FD6-A23E-CB04C0508F4A}"/>
    <cellStyle name="Note 2 11 5" xfId="22288" xr:uid="{3D59EC5D-1AD2-4C19-88A4-DA819EB032E6}"/>
    <cellStyle name="Note 2 12" xfId="4182" xr:uid="{618F4249-CE4A-475A-B6D5-D0CF13491580}"/>
    <cellStyle name="Note 2 12 2" xfId="10039" xr:uid="{8716BB58-A183-41EC-991B-A9FB78D033ED}"/>
    <cellStyle name="Note 2 12 2 2" xfId="19085" xr:uid="{96259875-A9F4-402C-8EF1-C540B3849A3A}"/>
    <cellStyle name="Note 2 12 3" xfId="15599" xr:uid="{84C8EC70-E840-4F77-968E-0E310A5ABC90}"/>
    <cellStyle name="Note 2 12 4" xfId="22287" xr:uid="{B84E2B57-D97E-4E37-A246-9AE7FB758F70}"/>
    <cellStyle name="Note 2 13" xfId="12499" xr:uid="{7488B056-5175-4233-8731-E2D3D0ECDC86}"/>
    <cellStyle name="Note 2 13 2" xfId="23437" xr:uid="{5F3B9ABB-BBA4-4DA1-98AA-171EE6360F16}"/>
    <cellStyle name="Note 2 14" xfId="14666" xr:uid="{0C8D9AAC-861B-4796-92FD-23FB5A66B72C}"/>
    <cellStyle name="Note 2 14 2" xfId="23633" xr:uid="{755816DF-D085-4632-A662-7F306893E8C9}"/>
    <cellStyle name="Note 2 15" xfId="23754" xr:uid="{5074A7F8-191B-4865-BC14-4129652CFF4F}"/>
    <cellStyle name="Note 2 2" xfId="505" xr:uid="{A89D4331-D9EB-49FC-ACF0-9E89601DD24A}"/>
    <cellStyle name="Note 2 2 10" xfId="4310" xr:uid="{2004543C-DFCE-4365-B9A2-34FDB0CED6F5}"/>
    <cellStyle name="Note 2 2 10 2" xfId="10167" xr:uid="{858C82BB-1919-494F-B2D9-90B3ABC91E95}"/>
    <cellStyle name="Note 2 2 10 2 2" xfId="19213" xr:uid="{74B69602-7B08-4357-A588-DEF02312C3AB}"/>
    <cellStyle name="Note 2 2 10 3" xfId="15727" xr:uid="{B72330D3-AD7B-4C4C-AD9B-3C21CD3EA5C7}"/>
    <cellStyle name="Note 2 2 10 4" xfId="23634" xr:uid="{9D678007-6177-437A-AB87-598CC014483C}"/>
    <cellStyle name="Note 2 2 11" xfId="4172" xr:uid="{F51B5B32-78E9-4D1E-94CD-965C4CB0D45B}"/>
    <cellStyle name="Note 2 2 11 2" xfId="10029" xr:uid="{5E05370A-31A1-451B-B982-C08FDB6B9ED8}"/>
    <cellStyle name="Note 2 2 11 2 2" xfId="19075" xr:uid="{6D247925-4A01-4767-A2F9-870A175196DB}"/>
    <cellStyle name="Note 2 2 11 3" xfId="15589" xr:uid="{0147742A-00C6-4CDB-B33F-051F711BD9E2}"/>
    <cellStyle name="Note 2 2 12" xfId="9112" xr:uid="{FE042F70-F6BE-4BD5-AD31-F0C817C55B24}"/>
    <cellStyle name="Note 2 2 12 2" xfId="18158" xr:uid="{C4CA6D7D-6A6B-46B1-AAB8-551B3790B00F}"/>
    <cellStyle name="Note 2 2 13" xfId="12512" xr:uid="{B3D5314B-57D8-49FD-B273-E4153F29927C}"/>
    <cellStyle name="Note 2 2 14" xfId="13706" xr:uid="{48057620-2DA7-4921-ADC3-6431340639A9}"/>
    <cellStyle name="Note 2 2 15" xfId="14681" xr:uid="{D5616120-B9B1-47A9-80F6-C071A556E60B}"/>
    <cellStyle name="Note 2 2 16" xfId="23755" xr:uid="{2D40F83D-67F1-4651-AD0D-99A4D859B2D6}"/>
    <cellStyle name="Note 2 2 17" xfId="1993" xr:uid="{76519365-F3F2-44C7-B59D-CC16C2020285}"/>
    <cellStyle name="Note 2 2 2" xfId="2385" xr:uid="{FF7C3D41-2473-4217-AE80-C5963A28DC9E}"/>
    <cellStyle name="Note 2 2 2 10" xfId="5882" xr:uid="{C89DFDA7-537A-4670-9721-C7474E2E7797}"/>
    <cellStyle name="Note 2 2 2 10 2" xfId="11735" xr:uid="{BE8074C4-E79F-4FF9-BECD-6D5AFB2809AE}"/>
    <cellStyle name="Note 2 2 2 10 2 2" xfId="20781" xr:uid="{81E3D8A0-0828-40FD-A4E2-EBBFB48E1E0D}"/>
    <cellStyle name="Note 2 2 2 10 3" xfId="17295" xr:uid="{2298B9D8-EF61-40C0-A98D-EE8FC40F5841}"/>
    <cellStyle name="Note 2 2 2 11" xfId="9145" xr:uid="{2FCBEEED-A29E-47ED-8FF8-59A4BEBC4E12}"/>
    <cellStyle name="Note 2 2 2 11 2" xfId="18191" xr:uid="{01333F63-9E6D-4A4B-A584-B1839FE4BF3A}"/>
    <cellStyle name="Note 2 2 2 12" xfId="12543" xr:uid="{84B6FB6C-0F8A-459A-A781-323A248C877F}"/>
    <cellStyle name="Note 2 2 2 13" xfId="13737" xr:uid="{36B2CE52-70F8-4CB3-897E-9FAB2DEABEAE}"/>
    <cellStyle name="Note 2 2 2 14" xfId="14714" xr:uid="{58BDB8D8-F8C5-4475-92A6-45891DB019C6}"/>
    <cellStyle name="Note 2 2 2 15" xfId="23756" xr:uid="{AB8F1E76-E206-4E3B-990D-72BAE7757B01}"/>
    <cellStyle name="Note 2 2 2 16" xfId="23971" xr:uid="{59C1365B-FF74-474B-BFE6-4D1E39064C2E}"/>
    <cellStyle name="Note 2 2 2 2" xfId="2386" xr:uid="{9C9C3D87-74C9-45FB-B0BB-E37E7E5ABCDE}"/>
    <cellStyle name="Note 2 2 2 2 10" xfId="13164" xr:uid="{A3C93128-B5E8-44A5-865B-1F72943984E2}"/>
    <cellStyle name="Note 2 2 2 2 11" xfId="13798" xr:uid="{1391D38E-5192-41EC-B9C5-1021149EC880}"/>
    <cellStyle name="Note 2 2 2 2 12" xfId="14773" xr:uid="{A064C712-69A1-450B-9121-E16392761442}"/>
    <cellStyle name="Note 2 2 2 2 13" xfId="21643" xr:uid="{8E4356B8-43A9-424F-86C1-F97427A08F9A}"/>
    <cellStyle name="Note 2 2 2 2 14" xfId="23972" xr:uid="{DC5D13F9-FDD5-4632-9C87-4541639C0E07}"/>
    <cellStyle name="Note 2 2 2 2 2" xfId="2661" xr:uid="{5360EEF9-BAAD-46AD-98F7-A3C5FC800BCF}"/>
    <cellStyle name="Note 2 2 2 2 2 10" xfId="15200" xr:uid="{DA5931D1-54F1-49D0-9D94-BDFB9F6459C2}"/>
    <cellStyle name="Note 2 2 2 2 2 11" xfId="22069" xr:uid="{07A029D7-4124-4C71-9470-92B6571AB380}"/>
    <cellStyle name="Note 2 2 2 2 2 2" xfId="4643" xr:uid="{F12ABEEB-72B2-45C7-B855-374FC164CFDF}"/>
    <cellStyle name="Note 2 2 2 2 2 2 2" xfId="10500" xr:uid="{C4D85565-6818-4494-8BE4-61AFE1B74476}"/>
    <cellStyle name="Note 2 2 2 2 2 2 2 2" xfId="19546" xr:uid="{9C872EF4-53C7-40D2-9D55-294DA96C7E8A}"/>
    <cellStyle name="Note 2 2 2 2 2 2 3" xfId="16060" xr:uid="{9AF20429-F96C-4EE2-B830-95129B177411}"/>
    <cellStyle name="Note 2 2 2 2 2 2 4" xfId="22725" xr:uid="{0212F1DD-A7FF-4117-B4FB-A7ACF24A5056}"/>
    <cellStyle name="Note 2 2 2 2 2 3" xfId="5144" xr:uid="{B4FB441F-844F-43D4-AF0D-D8741685A1B5}"/>
    <cellStyle name="Note 2 2 2 2 2 3 2" xfId="10997" xr:uid="{94F6786D-90B9-46BC-A675-9021B5A112B1}"/>
    <cellStyle name="Note 2 2 2 2 2 3 2 2" xfId="20043" xr:uid="{133148C9-3BA8-4165-A12B-7BCB9484D772}"/>
    <cellStyle name="Note 2 2 2 2 2 3 3" xfId="16557" xr:uid="{3B541012-A62B-4088-9181-59E0566F28E2}"/>
    <cellStyle name="Note 2 2 2 2 2 3 4" xfId="23220" xr:uid="{F863716B-B3BF-4E31-94D1-A5643F6A1103}"/>
    <cellStyle name="Note 2 2 2 2 2 4" xfId="5759" xr:uid="{ECBC2E1B-0A62-48CD-A4C2-53193B6BC615}"/>
    <cellStyle name="Note 2 2 2 2 2 4 2" xfId="11612" xr:uid="{272187E2-50D8-4A73-9CB9-149DB3730FAE}"/>
    <cellStyle name="Note 2 2 2 2 2 4 2 2" xfId="20658" xr:uid="{197D606C-B99A-48E1-B576-D77BEF826B9A}"/>
    <cellStyle name="Note 2 2 2 2 2 4 3" xfId="17172" xr:uid="{B2C8C312-82BD-414E-A4A2-0821979C0B0E}"/>
    <cellStyle name="Note 2 2 2 2 2 5" xfId="6370" xr:uid="{AB6CDF3E-2040-401D-85BB-9C49D079A952}"/>
    <cellStyle name="Note 2 2 2 2 2 5 2" xfId="12217" xr:uid="{979B0FBC-4AFD-44D9-AFED-117589A9CDE9}"/>
    <cellStyle name="Note 2 2 2 2 2 5 2 2" xfId="21263" xr:uid="{2F1EDE9A-E147-4CB5-8D89-7583D85A338B}"/>
    <cellStyle name="Note 2 2 2 2 2 5 3" xfId="17783" xr:uid="{20995F12-EDBA-43FE-BBC7-6ABB76DBCB0B}"/>
    <cellStyle name="Note 2 2 2 2 2 6" xfId="9631" xr:uid="{3C1201A8-17A4-41A4-AA0C-6D904D0F85FE}"/>
    <cellStyle name="Note 2 2 2 2 2 6 2" xfId="18677" xr:uid="{56276C6A-B21F-4E0B-BF3A-52F0419B433E}"/>
    <cellStyle name="Note 2 2 2 2 2 7" xfId="13029" xr:uid="{F0A7BF0D-8926-45F7-A466-99060EE4515D}"/>
    <cellStyle name="Note 2 2 2 2 2 8" xfId="13586" xr:uid="{639691DF-111B-41A6-93BA-FC2B20CACB58}"/>
    <cellStyle name="Note 2 2 2 2 2 9" xfId="14225" xr:uid="{CD45ADF6-306C-4DA0-ACA4-E834D1D8A39F}"/>
    <cellStyle name="Note 2 2 2 2 3" xfId="3208" xr:uid="{5A79779D-F443-4A59-8E51-01204A8CD030}"/>
    <cellStyle name="Note 2 2 2 2 3 10" xfId="14988" xr:uid="{FFE86738-84FA-4F24-8CF6-1A830CD73D39}"/>
    <cellStyle name="Note 2 2 2 2 3 11" xfId="21858" xr:uid="{1B1991A5-BFA3-4103-86F2-82042754A37C}"/>
    <cellStyle name="Note 2 2 2 2 3 2" xfId="4431" xr:uid="{DC2743F7-48BD-4BEE-A451-77B062CE602E}"/>
    <cellStyle name="Note 2 2 2 2 3 2 2" xfId="10288" xr:uid="{94FCCF1A-227D-4318-B26C-8A71D934B5D5}"/>
    <cellStyle name="Note 2 2 2 2 3 2 2 2" xfId="19334" xr:uid="{7B6D9213-11E7-4987-B734-F49C2C44FC86}"/>
    <cellStyle name="Note 2 2 2 2 3 2 3" xfId="15848" xr:uid="{7CB1579A-2ED0-4148-874B-379B6CEE534A}"/>
    <cellStyle name="Note 2 2 2 2 3 2 4" xfId="22514" xr:uid="{535FE418-4F08-4C20-A1AD-B046688FD575}"/>
    <cellStyle name="Note 2 2 2 2 3 3" xfId="4932" xr:uid="{B2D8250C-F41C-4753-A957-ECAC64AB2E1F}"/>
    <cellStyle name="Note 2 2 2 2 3 3 2" xfId="10785" xr:uid="{0AD3BAE1-9112-4FCE-BD4F-6E16C55F2B0D}"/>
    <cellStyle name="Note 2 2 2 2 3 3 2 2" xfId="19831" xr:uid="{1C2F2F82-863D-4049-A51B-8C22B7810EA3}"/>
    <cellStyle name="Note 2 2 2 2 3 3 3" xfId="16345" xr:uid="{09223C24-7090-4370-967B-4B64C03A8284}"/>
    <cellStyle name="Note 2 2 2 2 3 3 4" xfId="23009" xr:uid="{E0EAA19A-018F-4C1E-B968-44D48AD97F57}"/>
    <cellStyle name="Note 2 2 2 2 3 4" xfId="5547" xr:uid="{B4F17F68-C324-4A5C-8372-E8D28259F9EE}"/>
    <cellStyle name="Note 2 2 2 2 3 4 2" xfId="11400" xr:uid="{E0B820D3-F109-4A37-AA01-DBECA30FDE09}"/>
    <cellStyle name="Note 2 2 2 2 3 4 2 2" xfId="20446" xr:uid="{03964E8B-57BD-4B24-9476-19E0AB7A3F73}"/>
    <cellStyle name="Note 2 2 2 2 3 4 3" xfId="16960" xr:uid="{F241FD45-1208-4467-BB07-C6F5D58F4E14}"/>
    <cellStyle name="Note 2 2 2 2 3 5" xfId="6158" xr:uid="{AA595D61-BD8E-4A15-B857-7434CF73FBA6}"/>
    <cellStyle name="Note 2 2 2 2 3 5 2" xfId="12005" xr:uid="{7B93C071-239C-439D-A4D8-D477E1667118}"/>
    <cellStyle name="Note 2 2 2 2 3 5 2 2" xfId="21051" xr:uid="{A3F511AB-7881-465F-9472-59B806443D33}"/>
    <cellStyle name="Note 2 2 2 2 3 5 3" xfId="17571" xr:uid="{33840F5C-740E-4158-82E9-6EDB1FD5A29E}"/>
    <cellStyle name="Note 2 2 2 2 3 6" xfId="9419" xr:uid="{FB49F4D6-C00A-413B-B026-9E7D39F0879D}"/>
    <cellStyle name="Note 2 2 2 2 3 6 2" xfId="18465" xr:uid="{AC5069AF-F26A-4D3D-91ED-96F9A22569CE}"/>
    <cellStyle name="Note 2 2 2 2 3 7" xfId="12817" xr:uid="{87DD4EC6-3736-4C73-AF63-16B13CF0BCD0}"/>
    <cellStyle name="Note 2 2 2 2 3 8" xfId="13375" xr:uid="{FC771FF7-A83A-4B2B-8970-1564F06B47E1}"/>
    <cellStyle name="Note 2 2 2 2 3 9" xfId="14013" xr:uid="{4ED1738E-714A-42C2-98AC-A00A34EB72B9}"/>
    <cellStyle name="Note 2 2 2 2 4" xfId="4018" xr:uid="{1F2402E2-843F-4BDC-AAB1-D0EC980B4A52}"/>
    <cellStyle name="Note 2 2 2 2 4 2" xfId="9880" xr:uid="{D062F2E3-37F7-48F2-8A4D-421E9BD15617}"/>
    <cellStyle name="Note 2 2 2 2 4 2 2" xfId="18926" xr:uid="{05216CB2-2619-4595-93A4-71E25B75D206}"/>
    <cellStyle name="Note 2 2 2 2 4 3" xfId="14505" xr:uid="{6F23BB3F-C59A-4744-BE19-47DFD9646324}"/>
    <cellStyle name="Note 2 2 2 2 4 4" xfId="15442" xr:uid="{8B76537C-9110-45E4-945E-4155FC210EA7}"/>
    <cellStyle name="Note 2 2 2 2 4 5" xfId="22220" xr:uid="{86125CA7-E9B1-44D0-8398-6A4424BD5BF0}"/>
    <cellStyle name="Note 2 2 2 2 5" xfId="4100" xr:uid="{2A12739F-6B7D-4CBA-AEDD-B2C20F194ACC}"/>
    <cellStyle name="Note 2 2 2 2 5 2" xfId="9957" xr:uid="{35233346-E1C2-4497-8E3B-121566DD89F2}"/>
    <cellStyle name="Note 2 2 2 2 5 2 2" xfId="19003" xr:uid="{EF6F1058-341D-45AA-A4DA-D4F6EA8DAD52}"/>
    <cellStyle name="Note 2 2 2 2 5 3" xfId="15517" xr:uid="{A923CFEB-4175-44FF-AC2C-AAF140537BCE}"/>
    <cellStyle name="Note 2 2 2 2 5 4" xfId="23440" xr:uid="{52865E55-20BB-4577-8E16-247A3F324A50}"/>
    <cellStyle name="Note 2 2 2 2 6" xfId="5332" xr:uid="{EAE159FF-AC6F-4AC4-A9A0-B9D1F30D612D}"/>
    <cellStyle name="Note 2 2 2 2 6 2" xfId="11185" xr:uid="{28D47809-324C-4E9E-AEB5-615D95A0A221}"/>
    <cellStyle name="Note 2 2 2 2 6 2 2" xfId="20231" xr:uid="{AB5CFB7C-3AF2-49EC-9BC3-3BEAB51EAE24}"/>
    <cellStyle name="Note 2 2 2 2 6 3" xfId="16745" xr:uid="{C5738002-EF51-4F7C-AF6E-D83D3F747571}"/>
    <cellStyle name="Note 2 2 2 2 6 4" xfId="23636" xr:uid="{CA293F31-F435-435A-9FA2-B70B8F9FDA28}"/>
    <cellStyle name="Note 2 2 2 2 7" xfId="5943" xr:uid="{61C7AA84-0D0E-4267-82BC-17905FD9AC91}"/>
    <cellStyle name="Note 2 2 2 2 7 2" xfId="11794" xr:uid="{96A060E5-F751-4846-AADA-D6B7A8F60FAD}"/>
    <cellStyle name="Note 2 2 2 2 7 2 2" xfId="20840" xr:uid="{369C1BE0-E16F-4E54-8A98-19E68DACA898}"/>
    <cellStyle name="Note 2 2 2 2 7 3" xfId="17356" xr:uid="{E3D838BD-06BB-4F45-B1C6-E30F43D015AF}"/>
    <cellStyle name="Note 2 2 2 2 8" xfId="9204" xr:uid="{50DBB389-15DC-4FD3-892C-D7B7CD090113}"/>
    <cellStyle name="Note 2 2 2 2 8 2" xfId="18250" xr:uid="{94556A5B-CA24-4379-A328-9B44763B4297}"/>
    <cellStyle name="Note 2 2 2 2 9" xfId="12602" xr:uid="{BC4C2C3A-7E9C-497B-81A4-41953EE38785}"/>
    <cellStyle name="Note 2 2 2 3" xfId="2662" xr:uid="{048F5D29-AAC4-4AF4-A18F-94FE74E839EA}"/>
    <cellStyle name="Note 2 2 2 3 10" xfId="13799" xr:uid="{9E7B5ED3-0B9E-407C-95FA-196E86EDC0EE}"/>
    <cellStyle name="Note 2 2 2 3 11" xfId="14774" xr:uid="{82EE625E-15A0-4807-B5DE-0259B1DCA073}"/>
    <cellStyle name="Note 2 2 2 3 12" xfId="21644" xr:uid="{E18820B1-ADDD-4AB9-9B79-7D14BAB1A50A}"/>
    <cellStyle name="Note 2 2 2 3 2" xfId="3420" xr:uid="{4676A686-3CE0-41F9-BDF7-08CA604C1C92}"/>
    <cellStyle name="Note 2 2 2 3 2 10" xfId="15201" xr:uid="{0CD7808A-CBDC-452A-B5C7-97089C4C6DD9}"/>
    <cellStyle name="Note 2 2 2 3 2 11" xfId="22070" xr:uid="{1768F5B9-2D31-4286-9C12-9C24130F1059}"/>
    <cellStyle name="Note 2 2 2 3 2 2" xfId="4644" xr:uid="{9DE406A2-A092-4E79-AFB7-815BEA24C072}"/>
    <cellStyle name="Note 2 2 2 3 2 2 2" xfId="10501" xr:uid="{17EA068C-5861-471D-9571-B9B316928E6D}"/>
    <cellStyle name="Note 2 2 2 3 2 2 2 2" xfId="19547" xr:uid="{E3D4E2D3-5F51-4749-8D67-DFC09310C01C}"/>
    <cellStyle name="Note 2 2 2 3 2 2 3" xfId="16061" xr:uid="{C1CCBD52-10D6-4E11-849A-9E5A32E8B0CF}"/>
    <cellStyle name="Note 2 2 2 3 2 2 4" xfId="22726" xr:uid="{EF9F7B6A-1A59-427D-821D-BBA7D376FA39}"/>
    <cellStyle name="Note 2 2 2 3 2 3" xfId="5145" xr:uid="{76F6EE3C-8555-42F6-9916-C8F8DD14AD48}"/>
    <cellStyle name="Note 2 2 2 3 2 3 2" xfId="10998" xr:uid="{25193CDC-7604-4FB9-A874-98DBF0BF3644}"/>
    <cellStyle name="Note 2 2 2 3 2 3 2 2" xfId="20044" xr:uid="{0A3D0097-D1BC-4DDE-AB46-F43325ED011B}"/>
    <cellStyle name="Note 2 2 2 3 2 3 3" xfId="16558" xr:uid="{13E743B9-4F67-4286-A517-EBD850B9071D}"/>
    <cellStyle name="Note 2 2 2 3 2 3 4" xfId="23221" xr:uid="{2D8FFD55-AD8D-47D6-8E4C-F2712AF94A9B}"/>
    <cellStyle name="Note 2 2 2 3 2 4" xfId="5760" xr:uid="{0E505C99-B2FB-4955-A6DD-EFFBBEF22EBC}"/>
    <cellStyle name="Note 2 2 2 3 2 4 2" xfId="11613" xr:uid="{0471E320-56E5-4116-BB13-4091BC7A847C}"/>
    <cellStyle name="Note 2 2 2 3 2 4 2 2" xfId="20659" xr:uid="{F53EBB54-F3C0-47DE-BB49-B1CD7D8CF1F4}"/>
    <cellStyle name="Note 2 2 2 3 2 4 3" xfId="17173" xr:uid="{85F90070-4EA5-4D38-90F9-ADF4C2AEB797}"/>
    <cellStyle name="Note 2 2 2 3 2 5" xfId="6371" xr:uid="{B8DE8B35-FDC4-4082-AD38-78FFD8881BF6}"/>
    <cellStyle name="Note 2 2 2 3 2 5 2" xfId="12218" xr:uid="{17A50409-A3F9-4B03-9C2E-8E1F495A3EA4}"/>
    <cellStyle name="Note 2 2 2 3 2 5 2 2" xfId="21264" xr:uid="{81A7ECC1-EDA2-451D-B1B0-12638A549700}"/>
    <cellStyle name="Note 2 2 2 3 2 5 3" xfId="17784" xr:uid="{F435A49C-3069-4135-BE85-77E5D8973B3F}"/>
    <cellStyle name="Note 2 2 2 3 2 6" xfId="9632" xr:uid="{B2DB7F21-58EF-4622-8ECA-AA85F9CF9221}"/>
    <cellStyle name="Note 2 2 2 3 2 6 2" xfId="18678" xr:uid="{674AC52F-6FE0-4854-A74D-F5FD016E8EF3}"/>
    <cellStyle name="Note 2 2 2 3 2 7" xfId="13030" xr:uid="{2BB94A5E-FF1C-4BD3-826E-3519CB2C5114}"/>
    <cellStyle name="Note 2 2 2 3 2 8" xfId="13587" xr:uid="{08198616-4246-4CA6-ABD6-68C86A5DAE7E}"/>
    <cellStyle name="Note 2 2 2 3 2 9" xfId="14226" xr:uid="{F534A6A7-00F8-4AA2-AB42-36E563CF66C3}"/>
    <cellStyle name="Note 2 2 2 3 3" xfId="3209" xr:uid="{DBB0DA40-979A-4889-92BF-2AABE286E37F}"/>
    <cellStyle name="Note 2 2 2 3 3 10" xfId="14989" xr:uid="{9742E5C4-B034-4203-83B2-F7E7183C485B}"/>
    <cellStyle name="Note 2 2 2 3 3 11" xfId="21859" xr:uid="{FB215841-9018-4EB5-B895-BADBE93FF57F}"/>
    <cellStyle name="Note 2 2 2 3 3 2" xfId="4432" xr:uid="{A4DA2655-D66A-4FA7-9ED2-47BA9653A271}"/>
    <cellStyle name="Note 2 2 2 3 3 2 2" xfId="10289" xr:uid="{C500D99D-23AC-4717-99F3-5C1DB3F66E5B}"/>
    <cellStyle name="Note 2 2 2 3 3 2 2 2" xfId="19335" xr:uid="{9D9BEA35-509D-4C94-9D25-45E9D87BD68E}"/>
    <cellStyle name="Note 2 2 2 3 3 2 3" xfId="15849" xr:uid="{C118FAF6-3C22-43E3-9038-57227619B66D}"/>
    <cellStyle name="Note 2 2 2 3 3 2 4" xfId="22515" xr:uid="{3FA20215-3EAD-49BC-857E-14700C082D05}"/>
    <cellStyle name="Note 2 2 2 3 3 3" xfId="4933" xr:uid="{EF4AE47D-E83F-4052-BA75-CDEA6D0F1756}"/>
    <cellStyle name="Note 2 2 2 3 3 3 2" xfId="10786" xr:uid="{50D99BF6-3219-4CF8-9B70-1F1026479CBE}"/>
    <cellStyle name="Note 2 2 2 3 3 3 2 2" xfId="19832" xr:uid="{DCCB4542-B613-4B77-BE16-04565E8C01ED}"/>
    <cellStyle name="Note 2 2 2 3 3 3 3" xfId="16346" xr:uid="{9D5F759C-1DAA-4DE8-944E-AE79F0762772}"/>
    <cellStyle name="Note 2 2 2 3 3 3 4" xfId="23010" xr:uid="{7D1D628B-84A9-4033-AA8A-139FF16FB081}"/>
    <cellStyle name="Note 2 2 2 3 3 4" xfId="5548" xr:uid="{27B9967F-6E71-4F5E-828A-DED7494BAF13}"/>
    <cellStyle name="Note 2 2 2 3 3 4 2" xfId="11401" xr:uid="{35629320-6E60-4E40-8359-A3CC45C1B6A4}"/>
    <cellStyle name="Note 2 2 2 3 3 4 2 2" xfId="20447" xr:uid="{84671AA7-1184-43F9-BB87-36BD9B2EDB11}"/>
    <cellStyle name="Note 2 2 2 3 3 4 3" xfId="16961" xr:uid="{B481875E-C01F-4D89-B264-90A10DCD56F9}"/>
    <cellStyle name="Note 2 2 2 3 3 5" xfId="6159" xr:uid="{F4AA44A8-11BD-43F4-ABE6-EBE05FA24ACD}"/>
    <cellStyle name="Note 2 2 2 3 3 5 2" xfId="12006" xr:uid="{F9C8220E-804C-4753-815B-C26D51968F30}"/>
    <cellStyle name="Note 2 2 2 3 3 5 2 2" xfId="21052" xr:uid="{0E276750-7A46-4DF7-B9FC-0F871B4896BC}"/>
    <cellStyle name="Note 2 2 2 3 3 5 3" xfId="17572" xr:uid="{5190D637-0080-4138-AECA-145628529186}"/>
    <cellStyle name="Note 2 2 2 3 3 6" xfId="9420" xr:uid="{A3D8B7A2-8736-47D5-B4E9-FDE1657B9303}"/>
    <cellStyle name="Note 2 2 2 3 3 6 2" xfId="18466" xr:uid="{CED88B59-B448-445E-A17F-D6B03B9ABB41}"/>
    <cellStyle name="Note 2 2 2 3 3 7" xfId="12818" xr:uid="{4E825492-C327-410B-ADA7-69127FDE14F4}"/>
    <cellStyle name="Note 2 2 2 3 3 8" xfId="13376" xr:uid="{C8B0C8AA-E95A-4E62-86B5-3A7E5DFABADF}"/>
    <cellStyle name="Note 2 2 2 3 3 9" xfId="14014" xr:uid="{36005A4D-B6CC-4F74-92AB-8BC1D92916A4}"/>
    <cellStyle name="Note 2 2 2 3 4" xfId="4099" xr:uid="{FDC7CC9B-09D5-4309-97F6-08CD60928D4D}"/>
    <cellStyle name="Note 2 2 2 3 4 2" xfId="9956" xr:uid="{0D1A2FA9-568C-4D86-950E-744BF198A20E}"/>
    <cellStyle name="Note 2 2 2 3 4 2 2" xfId="19002" xr:uid="{FD172006-4998-4BC6-AA04-1C66A3B39D96}"/>
    <cellStyle name="Note 2 2 2 3 4 3" xfId="15516" xr:uid="{5EDB37BA-F801-4338-9726-FEAF5B82AC9C}"/>
    <cellStyle name="Note 2 2 2 3 4 4" xfId="22219" xr:uid="{FCD1F068-346D-40B0-B686-55058CB81EC9}"/>
    <cellStyle name="Note 2 2 2 3 5" xfId="5333" xr:uid="{A1985A2C-0FC9-40C8-A8F8-84FD690E021B}"/>
    <cellStyle name="Note 2 2 2 3 5 2" xfId="11186" xr:uid="{2B2F798C-6D1A-4531-AB28-D53558A3A01B}"/>
    <cellStyle name="Note 2 2 2 3 5 2 2" xfId="20232" xr:uid="{CE156846-7530-4178-8A51-8D01B7073B16}"/>
    <cellStyle name="Note 2 2 2 3 5 3" xfId="16746" xr:uid="{C156084F-7463-4824-9C68-5A6BBAE22434}"/>
    <cellStyle name="Note 2 2 2 3 6" xfId="5944" xr:uid="{A201B482-4D3C-43C4-B094-783AACD774AC}"/>
    <cellStyle name="Note 2 2 2 3 6 2" xfId="11795" xr:uid="{9CEE4BE4-54C0-4988-865E-2DEBFD67822F}"/>
    <cellStyle name="Note 2 2 2 3 6 2 2" xfId="20841" xr:uid="{8DD581AB-714F-4A28-B1AB-37CF46286227}"/>
    <cellStyle name="Note 2 2 2 3 6 3" xfId="17357" xr:uid="{CA29A5A7-6614-4F13-8894-F1798526D132}"/>
    <cellStyle name="Note 2 2 2 3 7" xfId="9205" xr:uid="{0BEAB2FA-A70A-451E-A60D-9650834F1D01}"/>
    <cellStyle name="Note 2 2 2 3 7 2" xfId="18251" xr:uid="{46D181A2-2BE9-4558-8F19-235E45BDA2E3}"/>
    <cellStyle name="Note 2 2 2 3 8" xfId="12603" xr:uid="{5CD58ED6-2768-4F28-9591-5F430EF6B485}"/>
    <cellStyle name="Note 2 2 2 3 9" xfId="13165" xr:uid="{7984BE4C-C1A3-470F-9329-70FD47B7677F}"/>
    <cellStyle name="Note 2 2 2 4" xfId="3361" xr:uid="{32B287F6-4B07-492D-9AE8-B4E8AE7BEECB}"/>
    <cellStyle name="Note 2 2 2 4 10" xfId="15141" xr:uid="{EF392EAD-648F-4E0D-AE55-94DED6435125}"/>
    <cellStyle name="Note 2 2 2 4 11" xfId="22010" xr:uid="{E3E0C420-A655-43FD-98E1-44DDC78C0F64}"/>
    <cellStyle name="Note 2 2 2 4 2" xfId="4584" xr:uid="{85CBE770-81A1-47E1-860E-8442E8DB7A5C}"/>
    <cellStyle name="Note 2 2 2 4 2 2" xfId="10441" xr:uid="{C3775DF6-1821-4CB7-B89C-31AAC5CB7A53}"/>
    <cellStyle name="Note 2 2 2 4 2 2 2" xfId="19487" xr:uid="{5DF3A85B-5F93-43D1-AA4B-B6E46CD2036F}"/>
    <cellStyle name="Note 2 2 2 4 2 3" xfId="16001" xr:uid="{55B66691-402D-492D-BD74-15A919529F3A}"/>
    <cellStyle name="Note 2 2 2 4 2 4" xfId="22666" xr:uid="{636A2759-5F8E-49B5-9573-5BBCBF02B052}"/>
    <cellStyle name="Note 2 2 2 4 3" xfId="5085" xr:uid="{50C45D9D-0822-4B26-B85C-F3443CD82705}"/>
    <cellStyle name="Note 2 2 2 4 3 2" xfId="10938" xr:uid="{01FF45EC-8AB2-4C13-8EC2-8E2040A3822D}"/>
    <cellStyle name="Note 2 2 2 4 3 2 2" xfId="19984" xr:uid="{4F398B5A-0B68-4295-AF3C-AC0D795E3DC8}"/>
    <cellStyle name="Note 2 2 2 4 3 3" xfId="16498" xr:uid="{37F4AB8D-9CC1-49E8-AE20-868ADD457213}"/>
    <cellStyle name="Note 2 2 2 4 3 4" xfId="23161" xr:uid="{AAC1AA2B-B192-44E0-BF88-C347B7E321D9}"/>
    <cellStyle name="Note 2 2 2 4 4" xfId="5700" xr:uid="{E51C571A-35FE-4299-B8A9-602BE6EE898C}"/>
    <cellStyle name="Note 2 2 2 4 4 2" xfId="11553" xr:uid="{6E957B61-B3D8-4B32-AFE4-65CA614BD678}"/>
    <cellStyle name="Note 2 2 2 4 4 2 2" xfId="20599" xr:uid="{57D7909A-E3FB-49E9-9E87-2F096DFE3055}"/>
    <cellStyle name="Note 2 2 2 4 4 3" xfId="17113" xr:uid="{3730AAD5-026C-433E-8AC0-DCEF68D91176}"/>
    <cellStyle name="Note 2 2 2 4 5" xfId="6311" xr:uid="{56F1D8C5-2AD2-4F65-9F15-5EA953B6982F}"/>
    <cellStyle name="Note 2 2 2 4 5 2" xfId="12158" xr:uid="{00912EC1-D387-4819-9690-A958AB201000}"/>
    <cellStyle name="Note 2 2 2 4 5 2 2" xfId="21204" xr:uid="{F083A86B-A608-4805-A860-B2DCA5611C33}"/>
    <cellStyle name="Note 2 2 2 4 5 3" xfId="17724" xr:uid="{6132529F-A5FC-452C-AB3E-E7826B08F51E}"/>
    <cellStyle name="Note 2 2 2 4 6" xfId="9572" xr:uid="{C92CC203-5641-4092-826E-7CF68C616968}"/>
    <cellStyle name="Note 2 2 2 4 6 2" xfId="18618" xr:uid="{0EEA974D-E7BB-4DE9-B098-DE141CF73CA3}"/>
    <cellStyle name="Note 2 2 2 4 7" xfId="12970" xr:uid="{799C3236-49DD-4735-A6EF-3C967C3A1FBE}"/>
    <cellStyle name="Note 2 2 2 4 8" xfId="13527" xr:uid="{F2116DBF-F5F0-4BC4-9075-FAFD8A6E8C9D}"/>
    <cellStyle name="Note 2 2 2 4 9" xfId="14166" xr:uid="{C0E004E9-0B83-4444-A63D-47A76B0E2143}"/>
    <cellStyle name="Note 2 2 2 5" xfId="3149" xr:uid="{551EA076-28C5-4818-A7A8-E6FE52B048A9}"/>
    <cellStyle name="Note 2 2 2 5 10" xfId="14929" xr:uid="{FE9FEE58-20D6-4D70-9ABA-2587AFB294FE}"/>
    <cellStyle name="Note 2 2 2 5 11" xfId="21797" xr:uid="{9E37ADA0-84FB-43F4-A1DB-83D053205E7F}"/>
    <cellStyle name="Note 2 2 2 5 2" xfId="4370" xr:uid="{F6597033-2931-4ACE-9296-CB3592D108A5}"/>
    <cellStyle name="Note 2 2 2 5 2 2" xfId="10227" xr:uid="{4B10B64F-47DD-45A2-85B3-6198AE8072C3}"/>
    <cellStyle name="Note 2 2 2 5 2 2 2" xfId="19273" xr:uid="{39C70CB1-0EFB-4B43-B948-30B7D4037842}"/>
    <cellStyle name="Note 2 2 2 5 2 3" xfId="15787" xr:uid="{8954BFD6-9444-4D03-9EAD-AE52814CE2C8}"/>
    <cellStyle name="Note 2 2 2 5 2 4" xfId="22453" xr:uid="{360B2A00-3B7F-477C-AEA2-2844B14F2CA9}"/>
    <cellStyle name="Note 2 2 2 5 3" xfId="4871" xr:uid="{F7538691-5376-4A38-9431-D1670F294E54}"/>
    <cellStyle name="Note 2 2 2 5 3 2" xfId="10726" xr:uid="{EECD45F0-71A9-459A-971E-E78FA3A99A48}"/>
    <cellStyle name="Note 2 2 2 5 3 2 2" xfId="19772" xr:uid="{C14B4920-E535-4442-AC86-9AF64C9CB99B}"/>
    <cellStyle name="Note 2 2 2 5 3 3" xfId="16286" xr:uid="{D972C29D-132E-4F1A-B71C-029732F9E0F1}"/>
    <cellStyle name="Note 2 2 2 5 3 4" xfId="22948" xr:uid="{3EB340FF-8EBD-4F67-A4F5-4ED8EF9FF0B5}"/>
    <cellStyle name="Note 2 2 2 5 4" xfId="5486" xr:uid="{075D42FC-BD6F-41B1-B4B3-B76E6DD05FC0}"/>
    <cellStyle name="Note 2 2 2 5 4 2" xfId="11339" xr:uid="{3401B791-2E2E-4B85-BF25-389601383C31}"/>
    <cellStyle name="Note 2 2 2 5 4 2 2" xfId="20385" xr:uid="{05ACF114-D685-4A0C-9E5C-CEAB9A8DF568}"/>
    <cellStyle name="Note 2 2 2 5 4 3" xfId="16899" xr:uid="{ADA6C0FE-7147-42DA-9E7B-4C1DFBB72FD1}"/>
    <cellStyle name="Note 2 2 2 5 5" xfId="6097" xr:uid="{0A37CCD9-6A27-431B-85F0-0798850610F9}"/>
    <cellStyle name="Note 2 2 2 5 5 2" xfId="11946" xr:uid="{5BD9BFCA-9ABB-4405-B63B-75987B8E4E37}"/>
    <cellStyle name="Note 2 2 2 5 5 2 2" xfId="20992" xr:uid="{D7B830CF-4F67-4C63-BB2B-1E461EC3EF71}"/>
    <cellStyle name="Note 2 2 2 5 5 3" xfId="17510" xr:uid="{C58A9B66-C7C6-44E0-B9E9-79EB7786EF60}"/>
    <cellStyle name="Note 2 2 2 5 6" xfId="9360" xr:uid="{2B8222C4-2664-4D47-98F6-7FE64BD57916}"/>
    <cellStyle name="Note 2 2 2 5 6 2" xfId="18406" xr:uid="{F3A1B2E4-FBCA-4A79-989D-29B42BA08FAD}"/>
    <cellStyle name="Note 2 2 2 5 7" xfId="12756" xr:uid="{DAF4E79C-AD78-46D1-BFDC-25E6111086C1}"/>
    <cellStyle name="Note 2 2 2 5 8" xfId="13316" xr:uid="{60F7FD7B-D79A-464D-96B6-63F6D7946A8C}"/>
    <cellStyle name="Note 2 2 2 5 9" xfId="13952" xr:uid="{9ABBED53-6C98-44A3-9CD7-5BC31C53A8C3}"/>
    <cellStyle name="Note 2 2 2 6" xfId="3750" xr:uid="{97FB17EF-F37A-4D9B-9CD7-F35897F26FF3}"/>
    <cellStyle name="Note 2 2 2 6 2" xfId="9792" xr:uid="{E95A5A24-3A38-44CD-9D27-9B5A93D69502}"/>
    <cellStyle name="Note 2 2 2 6 2 2" xfId="18838" xr:uid="{31E2BEBB-1B67-47EE-A2D4-2743F4338742}"/>
    <cellStyle name="Note 2 2 2 6 3" xfId="14504" xr:uid="{CDA45124-3532-4F9C-9730-515A6283DD6B}"/>
    <cellStyle name="Note 2 2 2 6 4" xfId="15358" xr:uid="{ECED1BC5-5762-4115-87C8-6FF351E2F34C}"/>
    <cellStyle name="Note 2 2 2 6 5" xfId="22337" xr:uid="{E11CCEDA-60C6-453F-9FF5-32056B143D1B}"/>
    <cellStyle name="Note 2 2 2 7" xfId="4234" xr:uid="{576C0715-7EC3-4F45-8CFB-B84BA9A05EA2}"/>
    <cellStyle name="Note 2 2 2 7 2" xfId="10091" xr:uid="{E829E399-CE63-4EBD-8065-CB3DFAD3E701}"/>
    <cellStyle name="Note 2 2 2 7 2 2" xfId="19137" xr:uid="{073E4467-C8BF-407A-B54C-438F9AD661F0}"/>
    <cellStyle name="Note 2 2 2 7 3" xfId="15651" xr:uid="{0E1C85CB-01FE-42F1-947B-DDFF9E870918}"/>
    <cellStyle name="Note 2 2 2 7 4" xfId="22390" xr:uid="{9C59B75C-1629-4071-9163-B1463859E8A2}"/>
    <cellStyle name="Note 2 2 2 8" xfId="4143" xr:uid="{2CBD74E6-84CE-440E-9E8D-A796404FE892}"/>
    <cellStyle name="Note 2 2 2 8 2" xfId="10000" xr:uid="{8521CE33-A7B2-4439-84A3-8CACB4A099BC}"/>
    <cellStyle name="Note 2 2 2 8 2 2" xfId="19046" xr:uid="{4529C376-FAAF-4865-91DB-505EE65E20A0}"/>
    <cellStyle name="Note 2 2 2 8 3" xfId="15560" xr:uid="{28427597-AE36-4521-9848-A1AC24807787}"/>
    <cellStyle name="Note 2 2 2 8 4" xfId="23439" xr:uid="{429FA785-8911-4CE8-A218-F9A13475A6C0}"/>
    <cellStyle name="Note 2 2 2 9" xfId="5271" xr:uid="{F1D6F4D1-D52D-4EA9-BF82-BD90877611AC}"/>
    <cellStyle name="Note 2 2 2 9 2" xfId="11124" xr:uid="{04CEDC13-4574-44D0-8CA8-295A465C09D5}"/>
    <cellStyle name="Note 2 2 2 9 2 2" xfId="20170" xr:uid="{BBF02F7B-8A02-4F4A-BDA6-90D00B17A6A5}"/>
    <cellStyle name="Note 2 2 2 9 3" xfId="16684" xr:uid="{85FA1B45-EF27-4586-863A-FC2C78DF2760}"/>
    <cellStyle name="Note 2 2 2 9 4" xfId="23635" xr:uid="{DE8D619A-7B32-4308-9C10-14E827F0FB1D}"/>
    <cellStyle name="Note 2 2 3" xfId="2387" xr:uid="{4FD0F243-E4BD-412F-A993-1FBFA301A998}"/>
    <cellStyle name="Note 2 2 3 10" xfId="13166" xr:uid="{FA509876-ACC7-495B-88F9-CA8026B87B31}"/>
    <cellStyle name="Note 2 2 3 11" xfId="13800" xr:uid="{FB96229F-437B-4A21-BF05-3EB2D387C14F}"/>
    <cellStyle name="Note 2 2 3 12" xfId="14775" xr:uid="{270C922F-A1F6-4430-80DF-7B1705ACA6FD}"/>
    <cellStyle name="Note 2 2 3 13" xfId="21645" xr:uid="{195E3044-3001-4DAB-A15E-52FBF513284D}"/>
    <cellStyle name="Note 2 2 3 14" xfId="23973" xr:uid="{AA1A19D7-AA74-411E-AC0A-43C522BCDE10}"/>
    <cellStyle name="Note 2 2 3 2" xfId="2660" xr:uid="{0F49D990-0707-4AA3-B219-1BA1990FDD4A}"/>
    <cellStyle name="Note 2 2 3 2 10" xfId="15202" xr:uid="{BBF790BB-E60F-4F88-AE62-3E8D417E2449}"/>
    <cellStyle name="Note 2 2 3 2 11" xfId="22071" xr:uid="{8CDCCBEA-94F4-422F-83F4-54411BA68C85}"/>
    <cellStyle name="Note 2 2 3 2 2" xfId="4645" xr:uid="{61307EFC-F10C-4E1D-9837-30F4EE572F7D}"/>
    <cellStyle name="Note 2 2 3 2 2 2" xfId="10502" xr:uid="{AB42517F-E97E-4259-AAD6-7C71972EA7F5}"/>
    <cellStyle name="Note 2 2 3 2 2 2 2" xfId="19548" xr:uid="{9780303A-2572-4DB8-8EE6-654A8B4CDB14}"/>
    <cellStyle name="Note 2 2 3 2 2 3" xfId="16062" xr:uid="{1538D28B-D6EC-4366-A688-D774CB226D22}"/>
    <cellStyle name="Note 2 2 3 2 2 4" xfId="22727" xr:uid="{42A9E98E-CD1B-48E2-88A4-31D7F7103910}"/>
    <cellStyle name="Note 2 2 3 2 3" xfId="5146" xr:uid="{7077E4B4-9EBA-43E1-A421-4CC7B38F7AF9}"/>
    <cellStyle name="Note 2 2 3 2 3 2" xfId="10999" xr:uid="{C9336753-D592-48DB-9A3A-E9287669067C}"/>
    <cellStyle name="Note 2 2 3 2 3 2 2" xfId="20045" xr:uid="{7ABB6FC0-3A80-4141-B321-0CB9DF77922E}"/>
    <cellStyle name="Note 2 2 3 2 3 3" xfId="16559" xr:uid="{B720E04C-7F9C-4B43-843A-A6FEBADFE7C7}"/>
    <cellStyle name="Note 2 2 3 2 3 4" xfId="23222" xr:uid="{5D3B8318-7ED6-4956-B3B7-005C9FDAE6E7}"/>
    <cellStyle name="Note 2 2 3 2 4" xfId="5761" xr:uid="{B9AA9578-3CCF-4FFC-A073-467B98876E4D}"/>
    <cellStyle name="Note 2 2 3 2 4 2" xfId="11614" xr:uid="{69204967-A186-4B3F-8FA2-85D001D8153C}"/>
    <cellStyle name="Note 2 2 3 2 4 2 2" xfId="20660" xr:uid="{9A5EE5E7-0FB4-4CDE-A543-6A5F8126468E}"/>
    <cellStyle name="Note 2 2 3 2 4 3" xfId="17174" xr:uid="{148BE218-95BD-4229-87D4-033608FC647C}"/>
    <cellStyle name="Note 2 2 3 2 5" xfId="6372" xr:uid="{A3D92071-D339-4FD4-97CA-4B4E17FD6AAC}"/>
    <cellStyle name="Note 2 2 3 2 5 2" xfId="12219" xr:uid="{F2933FE9-96F4-48BE-AE17-A03DDD52ACCC}"/>
    <cellStyle name="Note 2 2 3 2 5 2 2" xfId="21265" xr:uid="{E9BF7B5F-EDC2-48B3-984D-0D4AF6369EAE}"/>
    <cellStyle name="Note 2 2 3 2 5 3" xfId="17785" xr:uid="{FB0D2892-5B65-4B99-B331-2FDB4C67CA40}"/>
    <cellStyle name="Note 2 2 3 2 6" xfId="9633" xr:uid="{886EAF32-74E8-445C-A4CD-520E5DF90932}"/>
    <cellStyle name="Note 2 2 3 2 6 2" xfId="18679" xr:uid="{95FA36CF-3B5D-4ECF-8ECC-9701E8AFCA20}"/>
    <cellStyle name="Note 2 2 3 2 7" xfId="13031" xr:uid="{7AF58008-5F83-47EB-B85B-E481E056F51B}"/>
    <cellStyle name="Note 2 2 3 2 8" xfId="13588" xr:uid="{C5EFCF0A-9927-4F0E-9009-FA55723C0E9A}"/>
    <cellStyle name="Note 2 2 3 2 9" xfId="14227" xr:uid="{1CE1670A-D390-496D-9162-A6D3D17DB532}"/>
    <cellStyle name="Note 2 2 3 3" xfId="3210" xr:uid="{804775C2-E5B1-41C7-B381-EC4099BE528F}"/>
    <cellStyle name="Note 2 2 3 3 10" xfId="14990" xr:uid="{39683AE1-5AA6-4764-817A-27E25AD4FBB8}"/>
    <cellStyle name="Note 2 2 3 3 11" xfId="21860" xr:uid="{E6C57BD3-5C17-41F0-9052-7B78680EB0FE}"/>
    <cellStyle name="Note 2 2 3 3 2" xfId="4433" xr:uid="{E5C76048-EAD9-4108-938E-3AB93D9C7613}"/>
    <cellStyle name="Note 2 2 3 3 2 2" xfId="10290" xr:uid="{4D400894-58FF-459B-AC75-F9A3C9B74893}"/>
    <cellStyle name="Note 2 2 3 3 2 2 2" xfId="19336" xr:uid="{762522BE-0E45-4C82-8F52-FB13C4475B58}"/>
    <cellStyle name="Note 2 2 3 3 2 3" xfId="15850" xr:uid="{085C6015-33D8-4B53-A75A-1FC20312A804}"/>
    <cellStyle name="Note 2 2 3 3 2 4" xfId="22516" xr:uid="{29F33247-0799-4131-9CB7-977FD8640586}"/>
    <cellStyle name="Note 2 2 3 3 3" xfId="4934" xr:uid="{FB531008-898B-46E5-AFBD-96780E13D376}"/>
    <cellStyle name="Note 2 2 3 3 3 2" xfId="10787" xr:uid="{9563D132-B6F9-4854-890F-DCEEB8AC577A}"/>
    <cellStyle name="Note 2 2 3 3 3 2 2" xfId="19833" xr:uid="{8B8CF3D1-9253-4474-AF05-0E9460E4DAD4}"/>
    <cellStyle name="Note 2 2 3 3 3 3" xfId="16347" xr:uid="{0E8AB974-F693-4520-81FF-224D2A55D939}"/>
    <cellStyle name="Note 2 2 3 3 3 4" xfId="23011" xr:uid="{AA8CD37D-6D4B-483F-9F82-22C56F580292}"/>
    <cellStyle name="Note 2 2 3 3 4" xfId="5549" xr:uid="{8B43F71F-B1DF-42D6-945C-B993427F0B23}"/>
    <cellStyle name="Note 2 2 3 3 4 2" xfId="11402" xr:uid="{0E040EA3-44E2-4FAE-886D-4591443936CB}"/>
    <cellStyle name="Note 2 2 3 3 4 2 2" xfId="20448" xr:uid="{07C1B724-6666-48A1-AB04-C962DBDA318B}"/>
    <cellStyle name="Note 2 2 3 3 4 3" xfId="16962" xr:uid="{74BFF540-1BD8-4BFD-B1E6-982BB55AD358}"/>
    <cellStyle name="Note 2 2 3 3 5" xfId="6160" xr:uid="{7B192F00-492C-4148-916D-DA383E4F38D6}"/>
    <cellStyle name="Note 2 2 3 3 5 2" xfId="12007" xr:uid="{111BADE0-91C6-4BBE-93FD-7D4337A519EA}"/>
    <cellStyle name="Note 2 2 3 3 5 2 2" xfId="21053" xr:uid="{BB973A05-4C31-45F2-8475-20DA1128B93E}"/>
    <cellStyle name="Note 2 2 3 3 5 3" xfId="17573" xr:uid="{50306CE9-4347-4E73-8B49-B8D34F468687}"/>
    <cellStyle name="Note 2 2 3 3 6" xfId="9421" xr:uid="{60152F7C-DC33-4801-B613-CB38F26ECC6A}"/>
    <cellStyle name="Note 2 2 3 3 6 2" xfId="18467" xr:uid="{2A112592-C530-4EAE-ABCA-F582A5ED0645}"/>
    <cellStyle name="Note 2 2 3 3 7" xfId="12819" xr:uid="{668D114F-44F7-4CD7-85C1-D88209E37E57}"/>
    <cellStyle name="Note 2 2 3 3 8" xfId="13377" xr:uid="{FE65A171-CACB-4F85-90F1-FD39BA6BED88}"/>
    <cellStyle name="Note 2 2 3 3 9" xfId="14015" xr:uid="{31AC326D-6E6F-4EC4-B494-3F06F0442FA3}"/>
    <cellStyle name="Note 2 2 3 4" xfId="3986" xr:uid="{33C71977-A7D0-49DB-8AF3-4D6C1FC802A3}"/>
    <cellStyle name="Note 2 2 3 4 2" xfId="9848" xr:uid="{0B69B55D-59B7-4824-8DDB-9E8130EE01E7}"/>
    <cellStyle name="Note 2 2 3 4 2 2" xfId="18894" xr:uid="{C0427269-008C-45F9-BE7F-72E109EE09E4}"/>
    <cellStyle name="Note 2 2 3 4 3" xfId="14506" xr:uid="{C6E73B8E-E1D3-419B-BD72-0FAEA578D506}"/>
    <cellStyle name="Note 2 2 3 4 4" xfId="15410" xr:uid="{3E6C6326-8734-441B-8D30-27FAF5EAADC7}"/>
    <cellStyle name="Note 2 2 3 4 5" xfId="22218" xr:uid="{B06FC0C9-B8DC-4633-B957-85BA4CE37DC7}"/>
    <cellStyle name="Note 2 2 3 5" xfId="4098" xr:uid="{2443EBD1-92CC-4292-BF5D-E76F63FFA62C}"/>
    <cellStyle name="Note 2 2 3 5 2" xfId="9955" xr:uid="{F6988A8B-82AA-487F-B4D3-492F10811353}"/>
    <cellStyle name="Note 2 2 3 5 2 2" xfId="19001" xr:uid="{31C73D78-25B7-4394-B73F-9581640E8431}"/>
    <cellStyle name="Note 2 2 3 5 3" xfId="15515" xr:uid="{9AF9CE58-19DD-42B6-9C3B-0058FB5AAAB2}"/>
    <cellStyle name="Note 2 2 3 5 4" xfId="23441" xr:uid="{3985BDEC-07B6-4839-AB25-8368C7D609A0}"/>
    <cellStyle name="Note 2 2 3 6" xfId="5334" xr:uid="{ECC81EC7-7721-4DB1-8959-0B386985B981}"/>
    <cellStyle name="Note 2 2 3 6 2" xfId="11187" xr:uid="{9FE5F84A-F0D4-43B7-A454-2061DC494987}"/>
    <cellStyle name="Note 2 2 3 6 2 2" xfId="20233" xr:uid="{19E664A4-9A93-4F54-BE80-35DEF9952286}"/>
    <cellStyle name="Note 2 2 3 6 3" xfId="16747" xr:uid="{74B8CEFE-F6A9-49E2-BAC8-5732A9F6DF9A}"/>
    <cellStyle name="Note 2 2 3 6 4" xfId="23637" xr:uid="{8CF8EB3A-934D-4F31-B673-E1D94B5CB594}"/>
    <cellStyle name="Note 2 2 3 7" xfId="5945" xr:uid="{0FFC717A-636F-4995-8EFA-BDEE6B28F043}"/>
    <cellStyle name="Note 2 2 3 7 2" xfId="11796" xr:uid="{826864E3-D0A9-4839-9F2C-1C98F1A2D1AE}"/>
    <cellStyle name="Note 2 2 3 7 2 2" xfId="20842" xr:uid="{A72934ED-8A22-4830-A90C-76D63AE22FB1}"/>
    <cellStyle name="Note 2 2 3 7 3" xfId="17358" xr:uid="{7FEC1CD2-6304-4B25-8799-81E970F2ABB8}"/>
    <cellStyle name="Note 2 2 3 8" xfId="9206" xr:uid="{A9299E4D-AEDD-465C-AC7B-9552728772E7}"/>
    <cellStyle name="Note 2 2 3 8 2" xfId="18252" xr:uid="{22EAE756-EF85-416F-B67A-1C7F94181291}"/>
    <cellStyle name="Note 2 2 3 9" xfId="12604" xr:uid="{893622E4-A3BF-4372-B87D-D3969C3CEDCD}"/>
    <cellStyle name="Note 2 2 4" xfId="2696" xr:uid="{B5C8B1FB-D1C8-4934-BDAB-B1867FB86514}"/>
    <cellStyle name="Note 2 2 4 10" xfId="13801" xr:uid="{92716442-0D30-4657-A895-B44FFE89F15E}"/>
    <cellStyle name="Note 2 2 4 11" xfId="14776" xr:uid="{D692AD85-9824-4B3E-B2DF-679FF9416CF3}"/>
    <cellStyle name="Note 2 2 4 12" xfId="21646" xr:uid="{805AFC5B-2DA6-4D57-BF7A-9E88266C91AF}"/>
    <cellStyle name="Note 2 2 4 13" xfId="3053" xr:uid="{BF236C90-9ADD-4C50-AAD2-808468A57A70}"/>
    <cellStyle name="Note 2 2 4 2" xfId="3421" xr:uid="{A405894C-3418-45AE-A80F-07C8A7F1BF76}"/>
    <cellStyle name="Note 2 2 4 2 10" xfId="15203" xr:uid="{F8B842B2-82C2-4FA3-9C56-7B56FC8EC889}"/>
    <cellStyle name="Note 2 2 4 2 11" xfId="22072" xr:uid="{74812494-2A3A-4A3D-B148-B2EBE63D1C6F}"/>
    <cellStyle name="Note 2 2 4 2 2" xfId="4646" xr:uid="{EE6F07F9-1969-4146-B3CC-D2CCF0681F88}"/>
    <cellStyle name="Note 2 2 4 2 2 2" xfId="10503" xr:uid="{E2DCAAF3-89AC-4C02-A1D8-4F722E3EF6FE}"/>
    <cellStyle name="Note 2 2 4 2 2 2 2" xfId="19549" xr:uid="{BA402FE1-AC5F-4998-A9B0-A8D5F234A509}"/>
    <cellStyle name="Note 2 2 4 2 2 3" xfId="16063" xr:uid="{04E50B78-1A17-4449-B623-DC24E0C1D6D4}"/>
    <cellStyle name="Note 2 2 4 2 2 4" xfId="22728" xr:uid="{9AA515FF-61D2-433A-AE0D-9F446E6575EF}"/>
    <cellStyle name="Note 2 2 4 2 3" xfId="5147" xr:uid="{22DD3ADE-6F6E-4486-A0B7-613834FFFEF6}"/>
    <cellStyle name="Note 2 2 4 2 3 2" xfId="11000" xr:uid="{3A571604-6B7B-4046-95C5-D95C764448D2}"/>
    <cellStyle name="Note 2 2 4 2 3 2 2" xfId="20046" xr:uid="{56C9AE92-69E7-4490-B074-F952055C60C2}"/>
    <cellStyle name="Note 2 2 4 2 3 3" xfId="16560" xr:uid="{2A220FD5-0D3B-46F1-9469-679A2BAA3F4D}"/>
    <cellStyle name="Note 2 2 4 2 3 4" xfId="23223" xr:uid="{3E58D2F0-DC53-4252-951A-DD0193E958A2}"/>
    <cellStyle name="Note 2 2 4 2 4" xfId="5762" xr:uid="{731EE6B1-215F-4E2F-A1E5-A128E59D77D6}"/>
    <cellStyle name="Note 2 2 4 2 4 2" xfId="11615" xr:uid="{61E5590A-61B6-454A-BDB0-638394B22D5C}"/>
    <cellStyle name="Note 2 2 4 2 4 2 2" xfId="20661" xr:uid="{9E4F2E01-1C9B-49DD-B89C-58F23AA182F8}"/>
    <cellStyle name="Note 2 2 4 2 4 3" xfId="17175" xr:uid="{96400556-5A5B-4EB9-93A1-067712847977}"/>
    <cellStyle name="Note 2 2 4 2 5" xfId="6373" xr:uid="{30356897-88C2-4300-89B7-C0FA56FB3FA2}"/>
    <cellStyle name="Note 2 2 4 2 5 2" xfId="12220" xr:uid="{AA2F7CAB-0CD0-44CF-99D5-ED80159E8449}"/>
    <cellStyle name="Note 2 2 4 2 5 2 2" xfId="21266" xr:uid="{AD91FA8E-04F1-4C4D-9EEC-E8A9DC8C3060}"/>
    <cellStyle name="Note 2 2 4 2 5 3" xfId="17786" xr:uid="{72E23FA1-A5CD-4B7F-8BBE-8CCD15765D20}"/>
    <cellStyle name="Note 2 2 4 2 6" xfId="9634" xr:uid="{ED139964-8794-464B-B1DC-A615176ACFC4}"/>
    <cellStyle name="Note 2 2 4 2 6 2" xfId="18680" xr:uid="{0AFB84DF-84F5-4198-BA32-35E80C6AE0D6}"/>
    <cellStyle name="Note 2 2 4 2 7" xfId="13032" xr:uid="{1357774F-2814-4DC2-9804-AB5A96556950}"/>
    <cellStyle name="Note 2 2 4 2 8" xfId="13589" xr:uid="{18919242-2DF2-4595-9909-C4F0983B2A58}"/>
    <cellStyle name="Note 2 2 4 2 9" xfId="14228" xr:uid="{5D132EA0-DAAF-462E-9EEB-839E6FD2D49A}"/>
    <cellStyle name="Note 2 2 4 3" xfId="3211" xr:uid="{6ABCDC10-3722-41B7-A587-5233D45EDBBA}"/>
    <cellStyle name="Note 2 2 4 3 10" xfId="14991" xr:uid="{5D787D13-B35F-4C11-880C-CFEAA3BACFBD}"/>
    <cellStyle name="Note 2 2 4 3 11" xfId="21861" xr:uid="{15B3CE3E-6C01-482E-8E3E-27CD200522CF}"/>
    <cellStyle name="Note 2 2 4 3 2" xfId="4434" xr:uid="{841940B7-057E-4766-AE4C-D5FE67A187C0}"/>
    <cellStyle name="Note 2 2 4 3 2 2" xfId="10291" xr:uid="{97816CBE-32A3-445F-A328-A9DF8025B56B}"/>
    <cellStyle name="Note 2 2 4 3 2 2 2" xfId="19337" xr:uid="{C4B0FD59-7F7E-4DD6-AD94-9B129EE649C7}"/>
    <cellStyle name="Note 2 2 4 3 2 3" xfId="15851" xr:uid="{C8EC362D-0C4B-4006-A09E-7E372A80B18C}"/>
    <cellStyle name="Note 2 2 4 3 2 4" xfId="22517" xr:uid="{AE73CC46-21CA-4C85-9D2C-387E8F0D5FFA}"/>
    <cellStyle name="Note 2 2 4 3 3" xfId="4935" xr:uid="{C8106C2D-48EE-4849-B782-7894DE932CD8}"/>
    <cellStyle name="Note 2 2 4 3 3 2" xfId="10788" xr:uid="{3DEC275D-D535-4DE4-BC26-087126009AA4}"/>
    <cellStyle name="Note 2 2 4 3 3 2 2" xfId="19834" xr:uid="{5B327378-7875-4BF8-8F26-5041A01AE361}"/>
    <cellStyle name="Note 2 2 4 3 3 3" xfId="16348" xr:uid="{7E9851AE-D808-4CE9-A752-178EBDB0A698}"/>
    <cellStyle name="Note 2 2 4 3 3 4" xfId="23012" xr:uid="{3555C3DB-CB6E-424F-886A-50C2F3DC3335}"/>
    <cellStyle name="Note 2 2 4 3 4" xfId="5550" xr:uid="{F7D80626-E780-46E0-ADCD-346B5E8A9B3D}"/>
    <cellStyle name="Note 2 2 4 3 4 2" xfId="11403" xr:uid="{48C919A0-2601-418C-9039-B152A05768C2}"/>
    <cellStyle name="Note 2 2 4 3 4 2 2" xfId="20449" xr:uid="{C4D2F17F-A422-4811-83BB-BE7216AF0C93}"/>
    <cellStyle name="Note 2 2 4 3 4 3" xfId="16963" xr:uid="{A8998FE3-DD03-470E-BEDF-C18DECBAF977}"/>
    <cellStyle name="Note 2 2 4 3 5" xfId="6161" xr:uid="{D5044CB7-75A4-4851-9AAA-C3424476DE48}"/>
    <cellStyle name="Note 2 2 4 3 5 2" xfId="12008" xr:uid="{34925F59-1457-4D85-B89A-F20769D08309}"/>
    <cellStyle name="Note 2 2 4 3 5 2 2" xfId="21054" xr:uid="{DEE2BEB2-5927-47F0-B4D0-57C110CF59A3}"/>
    <cellStyle name="Note 2 2 4 3 5 3" xfId="17574" xr:uid="{E1934F0B-CA6E-446C-9816-608242C25AF2}"/>
    <cellStyle name="Note 2 2 4 3 6" xfId="9422" xr:uid="{F8EC0870-5180-4DD7-8379-D2729AD2B3EB}"/>
    <cellStyle name="Note 2 2 4 3 6 2" xfId="18468" xr:uid="{13D21590-1FF3-49F0-B5FB-9A5B20776A23}"/>
    <cellStyle name="Note 2 2 4 3 7" xfId="12820" xr:uid="{795BE9D5-241F-436A-9B37-2CD65084A5E0}"/>
    <cellStyle name="Note 2 2 4 3 8" xfId="13378" xr:uid="{86FC9C3F-A963-4E71-8ECC-4F70A915C7FC}"/>
    <cellStyle name="Note 2 2 4 3 9" xfId="14016" xr:uid="{8AD9ED9B-7B4C-45B5-AB35-A2C0B5ABDF8D}"/>
    <cellStyle name="Note 2 2 4 4" xfId="4097" xr:uid="{CF2E26FB-36DB-4C85-BDF7-319FA861EBCD}"/>
    <cellStyle name="Note 2 2 4 4 2" xfId="9954" xr:uid="{61EBEF8D-9628-4A5D-A37B-11F29AD55870}"/>
    <cellStyle name="Note 2 2 4 4 2 2" xfId="19000" xr:uid="{CCA229A1-A11A-4A9C-9E61-28A68CC7EF60}"/>
    <cellStyle name="Note 2 2 4 4 3" xfId="15514" xr:uid="{82BD3946-423C-4227-9F8B-778C8F676516}"/>
    <cellStyle name="Note 2 2 4 4 4" xfId="22217" xr:uid="{0C78FDED-A549-4C4B-B4B3-9C5AF80EACBA}"/>
    <cellStyle name="Note 2 2 4 5" xfId="5335" xr:uid="{6194D4A7-5705-44DC-BA50-D0CD5B3A5284}"/>
    <cellStyle name="Note 2 2 4 5 2" xfId="11188" xr:uid="{E6014613-4F90-43A6-87EB-EEFCD8E27162}"/>
    <cellStyle name="Note 2 2 4 5 2 2" xfId="20234" xr:uid="{624ED943-09AD-4EB8-8291-9B2241DDC60A}"/>
    <cellStyle name="Note 2 2 4 5 3" xfId="16748" xr:uid="{09B742ED-644D-4DD1-B9C0-D81D081DCA12}"/>
    <cellStyle name="Note 2 2 4 6" xfId="5946" xr:uid="{0DE9DCA4-FAAC-4409-B2D2-CBEF49DE0C5B}"/>
    <cellStyle name="Note 2 2 4 6 2" xfId="11797" xr:uid="{0B956E10-DFBA-4A43-BD4C-529304CCD0CA}"/>
    <cellStyle name="Note 2 2 4 6 2 2" xfId="20843" xr:uid="{072C5F5B-CCD7-4570-A94B-EBE7F2B1065C}"/>
    <cellStyle name="Note 2 2 4 6 3" xfId="17359" xr:uid="{E06CF7F4-FA14-4D19-BEEE-CADA6061F71C}"/>
    <cellStyle name="Note 2 2 4 7" xfId="9207" xr:uid="{852B8E54-885B-4161-AAA5-24FF1A364242}"/>
    <cellStyle name="Note 2 2 4 7 2" xfId="18253" xr:uid="{A742CC78-C6B0-4CD1-8DED-474D5742B5B1}"/>
    <cellStyle name="Note 2 2 4 8" xfId="12605" xr:uid="{D2178144-3C0E-49D0-B791-A74A4CC076F4}"/>
    <cellStyle name="Note 2 2 4 9" xfId="13167" xr:uid="{17EF281A-8917-4B02-826A-22ACD7111C11}"/>
    <cellStyle name="Note 2 2 5" xfId="2788" xr:uid="{216A87F7-28AC-40CE-BBF3-AF904C858CD5}"/>
    <cellStyle name="Note 2 2 5 10" xfId="15110" xr:uid="{92BC1789-4DA4-4806-8C3D-6E0535715508}"/>
    <cellStyle name="Note 2 2 5 11" xfId="21979" xr:uid="{5A1E4152-F68A-480B-993A-061D5257D3EB}"/>
    <cellStyle name="Note 2 2 5 12" xfId="3330" xr:uid="{C1D42BFE-C83A-461E-A3C9-5730993B9E4C}"/>
    <cellStyle name="Note 2 2 5 2" xfId="4553" xr:uid="{3A737574-26BC-4035-89E7-13E23F3040B9}"/>
    <cellStyle name="Note 2 2 5 2 2" xfId="10410" xr:uid="{A3F54806-8937-4C26-969B-F84B14FA3BD4}"/>
    <cellStyle name="Note 2 2 5 2 2 2" xfId="19456" xr:uid="{976F0762-E41A-40AC-9847-11AEE2D99088}"/>
    <cellStyle name="Note 2 2 5 2 3" xfId="15970" xr:uid="{D4E23D85-200C-48AE-8E12-A2498A0067F6}"/>
    <cellStyle name="Note 2 2 5 2 4" xfId="22635" xr:uid="{6235CD81-C401-47AA-9907-6E1547B4D09E}"/>
    <cellStyle name="Note 2 2 5 3" xfId="5054" xr:uid="{FC796A23-6181-40B2-9493-F4C4D76E1294}"/>
    <cellStyle name="Note 2 2 5 3 2" xfId="10907" xr:uid="{812D249B-6959-4C3A-94A2-D10FD5382FE4}"/>
    <cellStyle name="Note 2 2 5 3 2 2" xfId="19953" xr:uid="{F9B90CDF-783A-4625-AA91-1E3B96D87B54}"/>
    <cellStyle name="Note 2 2 5 3 3" xfId="16467" xr:uid="{0E379748-157E-47F7-9396-F528C60DD1D3}"/>
    <cellStyle name="Note 2 2 5 3 4" xfId="23130" xr:uid="{4AACAC0F-D8DC-4256-AA75-E5082F253BBB}"/>
    <cellStyle name="Note 2 2 5 4" xfId="5669" xr:uid="{E8113E69-4CAD-49A4-AE03-E255718260A8}"/>
    <cellStyle name="Note 2 2 5 4 2" xfId="11522" xr:uid="{443BED0F-0D48-45F2-97CD-C9941496BF36}"/>
    <cellStyle name="Note 2 2 5 4 2 2" xfId="20568" xr:uid="{3B823626-C6A5-4C35-8E6D-28A5F6A01590}"/>
    <cellStyle name="Note 2 2 5 4 3" xfId="17082" xr:uid="{542FC4EE-E825-4F03-BA9A-223862C2B41B}"/>
    <cellStyle name="Note 2 2 5 5" xfId="6280" xr:uid="{84495EF9-87A8-4BCF-9513-9B9A02CDD786}"/>
    <cellStyle name="Note 2 2 5 5 2" xfId="12127" xr:uid="{FBE9CF51-776A-41C1-B470-547A4A0F7052}"/>
    <cellStyle name="Note 2 2 5 5 2 2" xfId="21173" xr:uid="{0A2DAD72-481F-45C6-91E0-B58089F67CB8}"/>
    <cellStyle name="Note 2 2 5 5 3" xfId="17693" xr:uid="{8DFDE0E5-A15E-40C9-81DB-4586E3BF41A1}"/>
    <cellStyle name="Note 2 2 5 6" xfId="9541" xr:uid="{83C8FB48-36E8-4A06-BE33-600C59F30297}"/>
    <cellStyle name="Note 2 2 5 6 2" xfId="18587" xr:uid="{57D6A8A9-25C8-4E7C-B840-DF96243A7A38}"/>
    <cellStyle name="Note 2 2 5 7" xfId="12939" xr:uid="{86726631-1873-4BA8-9E0C-3BD5BBB95038}"/>
    <cellStyle name="Note 2 2 5 8" xfId="13496" xr:uid="{080F846A-5849-4DF8-8A54-43B7EE4C7687}"/>
    <cellStyle name="Note 2 2 5 9" xfId="14135" xr:uid="{7878E214-BF1E-425E-AC0D-B8911A368447}"/>
    <cellStyle name="Note 2 2 6" xfId="3118" xr:uid="{8A865488-1F22-4AA5-B0E1-008D4B9F5C3E}"/>
    <cellStyle name="Note 2 2 6 10" xfId="14898" xr:uid="{F4400FB6-3898-4B52-BC2D-7C4576E8130A}"/>
    <cellStyle name="Note 2 2 6 11" xfId="21766" xr:uid="{BA616171-8082-47E3-A44D-EC4FF122DCDB}"/>
    <cellStyle name="Note 2 2 6 2" xfId="4339" xr:uid="{FFD9D153-E3AE-4611-B786-1AAD849E8646}"/>
    <cellStyle name="Note 2 2 6 2 2" xfId="10196" xr:uid="{DD12710F-AD57-410D-8E7B-C829117FD34F}"/>
    <cellStyle name="Note 2 2 6 2 2 2" xfId="19242" xr:uid="{B83638C2-042C-4787-A00B-F257DF501980}"/>
    <cellStyle name="Note 2 2 6 2 3" xfId="15756" xr:uid="{5B5B1B0B-CF82-45F6-9865-D80E0BD0E353}"/>
    <cellStyle name="Note 2 2 6 2 4" xfId="22422" xr:uid="{E0F8FC8D-01A7-48E4-AD83-0B77AEBB8A6F}"/>
    <cellStyle name="Note 2 2 6 3" xfId="4840" xr:uid="{3756280A-689D-4AAD-8E5C-E9A734DBB470}"/>
    <cellStyle name="Note 2 2 6 3 2" xfId="10695" xr:uid="{3A168331-2F66-4C90-A27C-C6423BAC079C}"/>
    <cellStyle name="Note 2 2 6 3 2 2" xfId="19741" xr:uid="{034EE677-00EC-4E95-AFC7-915AD0D828A8}"/>
    <cellStyle name="Note 2 2 6 3 3" xfId="16255" xr:uid="{241613EC-575F-49B7-AA6F-C326E435E5AC}"/>
    <cellStyle name="Note 2 2 6 3 4" xfId="22917" xr:uid="{20CF1D0D-8F49-4A11-A1DF-CA37F11691CD}"/>
    <cellStyle name="Note 2 2 6 4" xfId="5455" xr:uid="{6F76D477-08D0-4BB3-ACEB-E640CB6296BD}"/>
    <cellStyle name="Note 2 2 6 4 2" xfId="11308" xr:uid="{5D5E5F63-9A17-4A2A-BC6C-1736F7EFB3D5}"/>
    <cellStyle name="Note 2 2 6 4 2 2" xfId="20354" xr:uid="{286F807F-CAB2-48C8-8857-622821F2ACBF}"/>
    <cellStyle name="Note 2 2 6 4 3" xfId="16868" xr:uid="{61035E55-9EE3-4CFE-9065-CE91AE0ECC15}"/>
    <cellStyle name="Note 2 2 6 5" xfId="6066" xr:uid="{18D0C210-7582-41E8-B35C-82E31D3F2354}"/>
    <cellStyle name="Note 2 2 6 5 2" xfId="11915" xr:uid="{7FCF6AE0-F78B-45A5-95C0-616F73D5CC0F}"/>
    <cellStyle name="Note 2 2 6 5 2 2" xfId="20961" xr:uid="{3CCA1932-2FED-4564-A3B4-6F21BE131343}"/>
    <cellStyle name="Note 2 2 6 5 3" xfId="17479" xr:uid="{827F1B22-2904-4262-87BF-8481DF5538A2}"/>
    <cellStyle name="Note 2 2 6 6" xfId="9329" xr:uid="{8542040C-4111-468A-A524-C4749F3AFEE7}"/>
    <cellStyle name="Note 2 2 6 6 2" xfId="18375" xr:uid="{E2E9A384-B611-4549-B9CC-A0A4E61E3905}"/>
    <cellStyle name="Note 2 2 6 7" xfId="12725" xr:uid="{F2B4AE14-6F50-48CB-BF3C-9E4421DBB451}"/>
    <cellStyle name="Note 2 2 6 8" xfId="13285" xr:uid="{9F14FE92-C79E-4B50-BB57-C06BCBE277F9}"/>
    <cellStyle name="Note 2 2 6 9" xfId="13921" xr:uid="{47226A48-FB38-45F6-A7B5-05E1B2EB39E1}"/>
    <cellStyle name="Note 2 2 7" xfId="3718" xr:uid="{562F792E-C850-409F-B76B-0BB16C20A9FC}"/>
    <cellStyle name="Note 2 2 7 2" xfId="9760" xr:uid="{3EB39C73-F8CD-4D33-9EB8-1CD31E89D427}"/>
    <cellStyle name="Note 2 2 7 2 2" xfId="18806" xr:uid="{F89D3F84-7705-4839-8909-70A8203A75C5}"/>
    <cellStyle name="Note 2 2 7 3" xfId="14503" xr:uid="{12FE03D2-5681-4623-9826-6414A6F171A2}"/>
    <cellStyle name="Note 2 2 7 4" xfId="15326" xr:uid="{0C02FC60-7470-46FA-85CD-03BA03EB4FEA}"/>
    <cellStyle name="Note 2 2 7 5" xfId="22305" xr:uid="{9390FF12-3E9B-4620-85BC-B110F8C7C474}"/>
    <cellStyle name="Note 2 2 8" xfId="4202" xr:uid="{1D0CE5B1-4340-4BC9-A2B1-A8D5D2C83A41}"/>
    <cellStyle name="Note 2 2 8 2" xfId="10059" xr:uid="{2F1C3B29-8BDF-4C84-9EF5-5113977A9B51}"/>
    <cellStyle name="Note 2 2 8 2 2" xfId="19105" xr:uid="{163269BB-36C8-4038-BF64-D376361DAC46}"/>
    <cellStyle name="Note 2 2 8 3" xfId="15619" xr:uid="{732C9248-0BEF-4034-B248-0792BC3BB69B}"/>
    <cellStyle name="Note 2 2 8 4" xfId="22182" xr:uid="{4C0B8413-5DFE-4FAA-83A0-FB1112837F0F}"/>
    <cellStyle name="Note 2 2 9" xfId="4059" xr:uid="{5F135F37-2F26-49BB-86D7-9842425BB636}"/>
    <cellStyle name="Note 2 2 9 2" xfId="9916" xr:uid="{4287A7BE-8F23-41D1-B1EB-8FBFE4FF8AF7}"/>
    <cellStyle name="Note 2 2 9 2 2" xfId="18962" xr:uid="{94F62907-EB3D-433B-B94F-0F88C0CB624C}"/>
    <cellStyle name="Note 2 2 9 3" xfId="15476" xr:uid="{C87A0635-F7AF-4AE7-AB18-F68CF6D20B84}"/>
    <cellStyle name="Note 2 2 9 4" xfId="23438" xr:uid="{2E9B9476-843E-4063-859C-34A1B750C45A}"/>
    <cellStyle name="Note 2 3" xfId="506" xr:uid="{6C96CBF5-98F0-4711-BD40-34A4431B2DB0}"/>
    <cellStyle name="Note 2 3 10" xfId="4311" xr:uid="{3A95A16F-E56B-4382-BC79-1CC5B5E171BC}"/>
    <cellStyle name="Note 2 3 10 2" xfId="10168" xr:uid="{6AD3A785-3EAC-4134-B895-D56112DD00F0}"/>
    <cellStyle name="Note 2 3 10 2 2" xfId="19214" xr:uid="{7C40D874-0BF2-44EE-9DAF-70764BD64C28}"/>
    <cellStyle name="Note 2 3 10 3" xfId="15728" xr:uid="{228D725C-F3D8-4EB4-8F64-1D3F71220638}"/>
    <cellStyle name="Note 2 3 10 4" xfId="23638" xr:uid="{8DBF9FDE-A63F-442B-B29D-90B0E40B5E62}"/>
    <cellStyle name="Note 2 3 11" xfId="4171" xr:uid="{8C463595-5A0A-4FA3-B87B-A21091129FF0}"/>
    <cellStyle name="Note 2 3 11 2" xfId="10028" xr:uid="{95028E51-7529-4C94-A20E-68E325301F0B}"/>
    <cellStyle name="Note 2 3 11 2 2" xfId="19074" xr:uid="{42560197-ED86-4549-B36F-51FF3D04A561}"/>
    <cellStyle name="Note 2 3 11 3" xfId="15588" xr:uid="{B34A6F6C-7108-42F6-B2CA-256B97F91825}"/>
    <cellStyle name="Note 2 3 12" xfId="9113" xr:uid="{DF107910-7697-42CA-9DDE-DD116EFB8204}"/>
    <cellStyle name="Note 2 3 12 2" xfId="18159" xr:uid="{22F446F4-5B56-42BF-A7C4-E5C02D731561}"/>
    <cellStyle name="Note 2 3 13" xfId="12513" xr:uid="{45578043-337A-4984-A834-E5F776D007A5}"/>
    <cellStyle name="Note 2 3 14" xfId="13707" xr:uid="{B53601BA-CC2C-4747-9FCA-C5F78E40D33A}"/>
    <cellStyle name="Note 2 3 15" xfId="14682" xr:uid="{FD13B2AD-55F9-4EC3-A704-8426F80DDA87}"/>
    <cellStyle name="Note 2 3 16" xfId="23757" xr:uid="{F17C97D7-948E-4173-9ED2-B0E759CE678D}"/>
    <cellStyle name="Note 2 3 17" xfId="23974" xr:uid="{92672D51-7DBB-4A39-8DA1-F6E57FD18D81}"/>
    <cellStyle name="Note 2 3 2" xfId="2388" xr:uid="{167FED13-FD47-4B7D-89B1-EA40EF11DD58}"/>
    <cellStyle name="Note 2 3 2 10" xfId="5883" xr:uid="{1F7A8372-D86E-4168-8E73-96B3D654A9C6}"/>
    <cellStyle name="Note 2 3 2 10 2" xfId="11736" xr:uid="{16903553-E7A0-4FAE-9AD7-96CE1552BEA8}"/>
    <cellStyle name="Note 2 3 2 10 2 2" xfId="20782" xr:uid="{0D8340A4-3940-42A6-B7AC-29B935622028}"/>
    <cellStyle name="Note 2 3 2 10 3" xfId="17296" xr:uid="{EAA45BEE-B553-42BE-978C-5B513CD9D13B}"/>
    <cellStyle name="Note 2 3 2 11" xfId="9146" xr:uid="{07905615-7C3F-4FD6-9FC6-B3A981F096AA}"/>
    <cellStyle name="Note 2 3 2 11 2" xfId="18192" xr:uid="{C8652BF0-B303-458D-8416-2D6EAABD4ED4}"/>
    <cellStyle name="Note 2 3 2 12" xfId="12544" xr:uid="{83171AD1-EAB4-413D-8AD2-ED4BD1846833}"/>
    <cellStyle name="Note 2 3 2 13" xfId="13738" xr:uid="{925B67C6-5A2A-42FF-B586-C1DCA64E5690}"/>
    <cellStyle name="Note 2 3 2 14" xfId="14715" xr:uid="{10C2B9A5-1307-46C5-B042-EC1DC57E513F}"/>
    <cellStyle name="Note 2 3 2 15" xfId="23758" xr:uid="{1416461A-7E4A-45CA-B9B6-3683A712C097}"/>
    <cellStyle name="Note 2 3 2 16" xfId="23975" xr:uid="{71F0C061-78D9-4C2C-8E19-FB46D1E75F3E}"/>
    <cellStyle name="Note 2 3 2 2" xfId="2389" xr:uid="{D16EF4D1-80AF-4383-A38A-435D3915E768}"/>
    <cellStyle name="Note 2 3 2 2 10" xfId="13168" xr:uid="{E53D7AA3-1D88-4F07-8FCC-00BBEEE4ED85}"/>
    <cellStyle name="Note 2 3 2 2 11" xfId="13802" xr:uid="{17388C74-4606-4EC1-A191-2B2F283F5C9D}"/>
    <cellStyle name="Note 2 3 2 2 12" xfId="14777" xr:uid="{B771F5DC-D245-4CAC-A1B0-60E109E32742}"/>
    <cellStyle name="Note 2 3 2 2 13" xfId="21647" xr:uid="{517CA0FD-3F99-420B-97EC-6FFC3672D3FE}"/>
    <cellStyle name="Note 2 3 2 2 14" xfId="23976" xr:uid="{0AAB04D1-625F-4255-BCAF-3EA21F156D08}"/>
    <cellStyle name="Note 2 3 2 2 2" xfId="2657" xr:uid="{F92654B9-B2D3-48DC-A5BC-060BCB8FF73C}"/>
    <cellStyle name="Note 2 3 2 2 2 10" xfId="15204" xr:uid="{DABABA98-8D42-4D17-92B6-D32EC1A8369C}"/>
    <cellStyle name="Note 2 3 2 2 2 11" xfId="22073" xr:uid="{6337BB2B-BA90-4BB1-AC2D-8F205CB05583}"/>
    <cellStyle name="Note 2 3 2 2 2 2" xfId="4647" xr:uid="{0AC2DB98-D92C-4EAF-90E8-3D418ED6751B}"/>
    <cellStyle name="Note 2 3 2 2 2 2 2" xfId="10504" xr:uid="{41C5A625-327A-4913-82DF-FB69369C98A5}"/>
    <cellStyle name="Note 2 3 2 2 2 2 2 2" xfId="19550" xr:uid="{A7FFC5EF-52BB-401F-B2C8-25DA765F701F}"/>
    <cellStyle name="Note 2 3 2 2 2 2 3" xfId="16064" xr:uid="{EEE7DA33-BDF6-453A-AC8F-E629D641501D}"/>
    <cellStyle name="Note 2 3 2 2 2 2 4" xfId="22729" xr:uid="{C7D28BC4-9E17-4C99-BF4D-061A4860A60C}"/>
    <cellStyle name="Note 2 3 2 2 2 3" xfId="5148" xr:uid="{363D08A5-D6F9-4B6B-8B48-C2CCF886D3A0}"/>
    <cellStyle name="Note 2 3 2 2 2 3 2" xfId="11001" xr:uid="{BF4C37E7-1B47-470B-96C0-9E980B607B56}"/>
    <cellStyle name="Note 2 3 2 2 2 3 2 2" xfId="20047" xr:uid="{9639C7AC-9922-4838-A9FC-FCAAB0E59579}"/>
    <cellStyle name="Note 2 3 2 2 2 3 3" xfId="16561" xr:uid="{D8179226-0FFF-4117-B805-89F4A502244D}"/>
    <cellStyle name="Note 2 3 2 2 2 3 4" xfId="23224" xr:uid="{C34CBE01-1F74-429C-AE82-B2F2BADF8848}"/>
    <cellStyle name="Note 2 3 2 2 2 4" xfId="5763" xr:uid="{4507A837-A2D0-48E1-96A6-BA74341EE56C}"/>
    <cellStyle name="Note 2 3 2 2 2 4 2" xfId="11616" xr:uid="{325E3769-8A7E-4394-9A33-52F55B5C7AB5}"/>
    <cellStyle name="Note 2 3 2 2 2 4 2 2" xfId="20662" xr:uid="{FA4F3A22-D9F2-4450-B09A-ED4C8778E1C7}"/>
    <cellStyle name="Note 2 3 2 2 2 4 3" xfId="17176" xr:uid="{ABC2310A-70F1-4362-A6EC-5F5670A48A12}"/>
    <cellStyle name="Note 2 3 2 2 2 5" xfId="6374" xr:uid="{4830AAAC-E703-4600-B651-D532A4340E5A}"/>
    <cellStyle name="Note 2 3 2 2 2 5 2" xfId="12221" xr:uid="{FD9556A8-5EDB-4D6A-9D8E-5CE3F48FA83D}"/>
    <cellStyle name="Note 2 3 2 2 2 5 2 2" xfId="21267" xr:uid="{B32A865A-D2F8-41FD-B025-E5D5BD2701D5}"/>
    <cellStyle name="Note 2 3 2 2 2 5 3" xfId="17787" xr:uid="{0D0DCCC2-FAA7-4B4E-B663-787AF1E5DF1A}"/>
    <cellStyle name="Note 2 3 2 2 2 6" xfId="9635" xr:uid="{F2B73FCB-FA2E-4E54-952A-6D70C32DBBFB}"/>
    <cellStyle name="Note 2 3 2 2 2 6 2" xfId="18681" xr:uid="{D89D0157-9CA5-4AA8-84FB-EAA5FE17AD62}"/>
    <cellStyle name="Note 2 3 2 2 2 7" xfId="13033" xr:uid="{2C2C9320-9FC5-4A8C-9DF1-63F53649A2F3}"/>
    <cellStyle name="Note 2 3 2 2 2 8" xfId="13590" xr:uid="{35E8DFB3-D4FB-4F2F-AEF5-C18B07C0A982}"/>
    <cellStyle name="Note 2 3 2 2 2 9" xfId="14229" xr:uid="{FE696167-782C-4E16-A4F0-57CED3B9030C}"/>
    <cellStyle name="Note 2 3 2 2 3" xfId="3212" xr:uid="{EF81A934-DEB1-42EA-A1FF-28DCD1059A4E}"/>
    <cellStyle name="Note 2 3 2 2 3 10" xfId="14992" xr:uid="{17380518-E91F-4708-A1B4-88CBE1E8F19A}"/>
    <cellStyle name="Note 2 3 2 2 3 11" xfId="21862" xr:uid="{60B44446-1058-439A-81D4-0AE1EECB251D}"/>
    <cellStyle name="Note 2 3 2 2 3 2" xfId="4435" xr:uid="{D67CDC2B-EABA-4568-A2C3-84533143ED98}"/>
    <cellStyle name="Note 2 3 2 2 3 2 2" xfId="10292" xr:uid="{910480DD-8FD6-49E2-8B30-9175AD4EBC5E}"/>
    <cellStyle name="Note 2 3 2 2 3 2 2 2" xfId="19338" xr:uid="{C17C7175-E055-4573-89C5-60287AE4AB94}"/>
    <cellStyle name="Note 2 3 2 2 3 2 3" xfId="15852" xr:uid="{9CDDDCBB-F0AC-4AD6-A194-D2BA9ADDD5C4}"/>
    <cellStyle name="Note 2 3 2 2 3 2 4" xfId="22518" xr:uid="{9853EE12-7B96-4B94-88DA-331AA9094F3C}"/>
    <cellStyle name="Note 2 3 2 2 3 3" xfId="4936" xr:uid="{76F48B84-23E7-411D-897D-0646CE5EE8D4}"/>
    <cellStyle name="Note 2 3 2 2 3 3 2" xfId="10789" xr:uid="{7862668E-A116-4092-8EA3-F094A9F918ED}"/>
    <cellStyle name="Note 2 3 2 2 3 3 2 2" xfId="19835" xr:uid="{A7C0E3C4-4C7B-4811-A5F1-226DC89C392A}"/>
    <cellStyle name="Note 2 3 2 2 3 3 3" xfId="16349" xr:uid="{EF63CA19-C2F2-40B6-9913-891551A2DD1D}"/>
    <cellStyle name="Note 2 3 2 2 3 3 4" xfId="23013" xr:uid="{44096C19-C5D3-4159-853B-11240B2D835D}"/>
    <cellStyle name="Note 2 3 2 2 3 4" xfId="5551" xr:uid="{39E0E9AC-1454-4710-A93D-5F499F1961D8}"/>
    <cellStyle name="Note 2 3 2 2 3 4 2" xfId="11404" xr:uid="{426F7608-7265-456E-B279-99EF0D57A126}"/>
    <cellStyle name="Note 2 3 2 2 3 4 2 2" xfId="20450" xr:uid="{B20F526D-BB90-434A-A0CC-003D06CB5A45}"/>
    <cellStyle name="Note 2 3 2 2 3 4 3" xfId="16964" xr:uid="{5D5BCA46-AB9B-4F21-89D3-F270375FB7A5}"/>
    <cellStyle name="Note 2 3 2 2 3 5" xfId="6162" xr:uid="{7E2424DC-8E40-4826-B77F-45B4097141D0}"/>
    <cellStyle name="Note 2 3 2 2 3 5 2" xfId="12009" xr:uid="{8043E64F-01E5-47C4-B4F1-1EC0B2B2C60B}"/>
    <cellStyle name="Note 2 3 2 2 3 5 2 2" xfId="21055" xr:uid="{2ED244CF-F3A6-4573-91DF-8C264D914ECE}"/>
    <cellStyle name="Note 2 3 2 2 3 5 3" xfId="17575" xr:uid="{12F85EBB-1450-42C1-9E07-36FD599A747C}"/>
    <cellStyle name="Note 2 3 2 2 3 6" xfId="9423" xr:uid="{0B07F876-0C03-4824-990C-FA4EECCD6D06}"/>
    <cellStyle name="Note 2 3 2 2 3 6 2" xfId="18469" xr:uid="{130681D6-6BC8-490A-865D-4F52277B4479}"/>
    <cellStyle name="Note 2 3 2 2 3 7" xfId="12821" xr:uid="{F281FC96-76A8-4677-B13D-36D6145A7D99}"/>
    <cellStyle name="Note 2 3 2 2 3 8" xfId="13379" xr:uid="{A55363E0-8B48-4732-9065-B3E4CFFE39C2}"/>
    <cellStyle name="Note 2 3 2 2 3 9" xfId="14017" xr:uid="{6A2DAB48-9753-40BF-A2AA-2D7DC454B32F}"/>
    <cellStyle name="Note 2 3 2 2 4" xfId="4019" xr:uid="{FC8F1815-4631-43C3-BA3C-AF6EBF355269}"/>
    <cellStyle name="Note 2 3 2 2 4 2" xfId="9881" xr:uid="{0E943A2C-16A7-4721-BAAB-9C63652F315D}"/>
    <cellStyle name="Note 2 3 2 2 4 2 2" xfId="18927" xr:uid="{EF44651A-46AD-4C92-9CC1-A26B795412D7}"/>
    <cellStyle name="Note 2 3 2 2 4 3" xfId="15443" xr:uid="{AC77FBC5-DAAE-442F-BADB-85F1DB5B9AF8}"/>
    <cellStyle name="Note 2 3 2 2 4 4" xfId="22216" xr:uid="{1CA06838-4E71-49D9-A0EE-2C8A97681352}"/>
    <cellStyle name="Note 2 3 2 2 5" xfId="4096" xr:uid="{7FAD421C-CA5A-4E48-89F9-CAA3C94524C4}"/>
    <cellStyle name="Note 2 3 2 2 5 2" xfId="9953" xr:uid="{12CC2C12-E098-4EC0-B757-125D44C7D789}"/>
    <cellStyle name="Note 2 3 2 2 5 2 2" xfId="18999" xr:uid="{A8518DA1-5462-448D-8FAD-4B5A052A19D8}"/>
    <cellStyle name="Note 2 3 2 2 5 3" xfId="15513" xr:uid="{1E682053-B785-4D08-B7B9-E502585BE077}"/>
    <cellStyle name="Note 2 3 2 2 6" xfId="5336" xr:uid="{34F1C026-2561-4F41-9911-4DDCBF0B80F4}"/>
    <cellStyle name="Note 2 3 2 2 6 2" xfId="11189" xr:uid="{A921E1EF-E722-4F12-85DA-F00AA89DC4A4}"/>
    <cellStyle name="Note 2 3 2 2 6 2 2" xfId="20235" xr:uid="{BE3F6844-1FDC-4179-BCBA-32FE2391FAEB}"/>
    <cellStyle name="Note 2 3 2 2 6 3" xfId="16749" xr:uid="{08D1BAFB-1E1D-4E47-8CD4-745482E9FCF6}"/>
    <cellStyle name="Note 2 3 2 2 7" xfId="5947" xr:uid="{8798530D-69E1-46D2-93E6-B80F66DA892F}"/>
    <cellStyle name="Note 2 3 2 2 7 2" xfId="11798" xr:uid="{D67ACF20-8595-42D2-B6C7-A11EA0400746}"/>
    <cellStyle name="Note 2 3 2 2 7 2 2" xfId="20844" xr:uid="{47481BF0-3FCE-41FA-A1D0-F912D219BBE1}"/>
    <cellStyle name="Note 2 3 2 2 7 3" xfId="17360" xr:uid="{8018E29C-5B5F-4C84-A8F8-6B0354411770}"/>
    <cellStyle name="Note 2 3 2 2 8" xfId="9208" xr:uid="{C25918ED-5DFE-4FC2-8997-2F4569711281}"/>
    <cellStyle name="Note 2 3 2 2 8 2" xfId="18254" xr:uid="{15334F92-78E9-493F-9FD9-6E6ED0DE911C}"/>
    <cellStyle name="Note 2 3 2 2 9" xfId="12606" xr:uid="{1E5D8111-F19B-4B00-869A-6F9E7CE119AE}"/>
    <cellStyle name="Note 2 3 2 3" xfId="2658" xr:uid="{C7D9F187-0CAC-4282-8B44-FC13C519BB25}"/>
    <cellStyle name="Note 2 3 2 3 10" xfId="13803" xr:uid="{F11D4B2B-B211-4C68-8C81-528B5E14B92D}"/>
    <cellStyle name="Note 2 3 2 3 11" xfId="14778" xr:uid="{550C0EAF-41DE-4FC0-88B1-7EC5642D64D5}"/>
    <cellStyle name="Note 2 3 2 3 12" xfId="21648" xr:uid="{33CA0898-6C83-4A3B-ACF3-F8034EB4E3D7}"/>
    <cellStyle name="Note 2 3 2 3 2" xfId="3422" xr:uid="{7FF278E8-5CDE-4926-94C5-2B7C56A626A5}"/>
    <cellStyle name="Note 2 3 2 3 2 10" xfId="15205" xr:uid="{F5EFF2E1-7A32-48FB-92D0-F288DB776314}"/>
    <cellStyle name="Note 2 3 2 3 2 11" xfId="22074" xr:uid="{AE6F4382-F9EE-48DD-8845-D223063D6E1A}"/>
    <cellStyle name="Note 2 3 2 3 2 2" xfId="4648" xr:uid="{99ED6A8C-C6B8-4215-80C3-4089EDDD3FE7}"/>
    <cellStyle name="Note 2 3 2 3 2 2 2" xfId="10505" xr:uid="{6AF8A9CA-2269-419C-9322-0B9ECA6A7A35}"/>
    <cellStyle name="Note 2 3 2 3 2 2 2 2" xfId="19551" xr:uid="{16279758-D2EF-4F5C-B836-F4BB2BE1BF06}"/>
    <cellStyle name="Note 2 3 2 3 2 2 3" xfId="16065" xr:uid="{6D06489A-8861-4223-B2D7-B424224B4576}"/>
    <cellStyle name="Note 2 3 2 3 2 2 4" xfId="22730" xr:uid="{988EFA10-D975-4B78-98A7-507395A882B9}"/>
    <cellStyle name="Note 2 3 2 3 2 3" xfId="5149" xr:uid="{1F3D3E91-2FF5-4533-AB05-A23E4EC795AF}"/>
    <cellStyle name="Note 2 3 2 3 2 3 2" xfId="11002" xr:uid="{D402C5C8-3F23-4A06-A843-504DE9D3E9B5}"/>
    <cellStyle name="Note 2 3 2 3 2 3 2 2" xfId="20048" xr:uid="{40B4DD23-EBE4-43E1-A853-EAA72D4F3399}"/>
    <cellStyle name="Note 2 3 2 3 2 3 3" xfId="16562" xr:uid="{5BB93E29-A744-4F25-A439-5CA25B1E3542}"/>
    <cellStyle name="Note 2 3 2 3 2 3 4" xfId="23225" xr:uid="{489CA901-A18B-40A7-8B4D-447476BD8B9D}"/>
    <cellStyle name="Note 2 3 2 3 2 4" xfId="5764" xr:uid="{52383F54-FE81-4776-A27F-20056A67F5A1}"/>
    <cellStyle name="Note 2 3 2 3 2 4 2" xfId="11617" xr:uid="{42259094-585E-4590-B8E6-738B7426BBA9}"/>
    <cellStyle name="Note 2 3 2 3 2 4 2 2" xfId="20663" xr:uid="{14BEBA34-C08F-44B7-B6C3-10A6EE5D14BC}"/>
    <cellStyle name="Note 2 3 2 3 2 4 3" xfId="17177" xr:uid="{C7DEA052-A66E-48BF-BA37-F4EC9A08F402}"/>
    <cellStyle name="Note 2 3 2 3 2 5" xfId="6375" xr:uid="{7CD21A58-A3A6-4273-9616-E1227EEA3548}"/>
    <cellStyle name="Note 2 3 2 3 2 5 2" xfId="12222" xr:uid="{C0CEB279-5E61-45D0-9E4B-BEF1530195CE}"/>
    <cellStyle name="Note 2 3 2 3 2 5 2 2" xfId="21268" xr:uid="{89C72292-0900-46CE-9CB9-18403E646B7A}"/>
    <cellStyle name="Note 2 3 2 3 2 5 3" xfId="17788" xr:uid="{9B7ECA63-BDDC-4A34-996F-77BAE0FA26C1}"/>
    <cellStyle name="Note 2 3 2 3 2 6" xfId="9636" xr:uid="{909E02F7-F768-45F7-888A-6136F60D09A6}"/>
    <cellStyle name="Note 2 3 2 3 2 6 2" xfId="18682" xr:uid="{8B6B9D14-3AE6-418D-BC2B-8F3C4C87D198}"/>
    <cellStyle name="Note 2 3 2 3 2 7" xfId="13034" xr:uid="{1741646E-DE70-43F9-A36C-14A59C8B745B}"/>
    <cellStyle name="Note 2 3 2 3 2 8" xfId="13591" xr:uid="{515D3865-874D-48C2-BB13-AF65E9EF53B3}"/>
    <cellStyle name="Note 2 3 2 3 2 9" xfId="14230" xr:uid="{5F0FE123-448E-4709-B8B4-9908087B2099}"/>
    <cellStyle name="Note 2 3 2 3 3" xfId="3213" xr:uid="{A276DEBC-32BB-4376-B4CA-AF085BCA0A38}"/>
    <cellStyle name="Note 2 3 2 3 3 10" xfId="14993" xr:uid="{1ABEF844-91C7-4E93-9DF0-1B3A0051F4DE}"/>
    <cellStyle name="Note 2 3 2 3 3 11" xfId="21863" xr:uid="{BFE57540-42FC-47C4-9BB3-F5E8EFBB739E}"/>
    <cellStyle name="Note 2 3 2 3 3 2" xfId="4436" xr:uid="{67DBC6E4-67C6-430C-AD38-2E9CAB58AA94}"/>
    <cellStyle name="Note 2 3 2 3 3 2 2" xfId="10293" xr:uid="{3D07E7B6-A093-42B3-8D20-F846751038ED}"/>
    <cellStyle name="Note 2 3 2 3 3 2 2 2" xfId="19339" xr:uid="{FBCAADA4-EA62-415B-8822-B61AADDA7F66}"/>
    <cellStyle name="Note 2 3 2 3 3 2 3" xfId="15853" xr:uid="{A9CA4E4E-A8DB-4ECF-BC9C-4F4F0757A919}"/>
    <cellStyle name="Note 2 3 2 3 3 2 4" xfId="22519" xr:uid="{DA9646FB-9603-413E-9960-E6B9C7C8D910}"/>
    <cellStyle name="Note 2 3 2 3 3 3" xfId="4937" xr:uid="{CE2162D7-361D-470D-8768-24BD23BDA117}"/>
    <cellStyle name="Note 2 3 2 3 3 3 2" xfId="10790" xr:uid="{0E8FEC0F-66A9-45DE-9256-62EDF8CE5AED}"/>
    <cellStyle name="Note 2 3 2 3 3 3 2 2" xfId="19836" xr:uid="{5B9B97CE-0998-4B3F-BF64-F5F570C7EA0E}"/>
    <cellStyle name="Note 2 3 2 3 3 3 3" xfId="16350" xr:uid="{7256DD11-4376-489E-8BCD-A8F7BEA82F7F}"/>
    <cellStyle name="Note 2 3 2 3 3 3 4" xfId="23014" xr:uid="{E947C1C3-1FDF-4E82-AAAA-EC5DF8955575}"/>
    <cellStyle name="Note 2 3 2 3 3 4" xfId="5552" xr:uid="{95F6F3AA-D930-4334-909B-69F0989D5656}"/>
    <cellStyle name="Note 2 3 2 3 3 4 2" xfId="11405" xr:uid="{118F6BF6-3E26-4418-B3DC-13179A39F5A0}"/>
    <cellStyle name="Note 2 3 2 3 3 4 2 2" xfId="20451" xr:uid="{C295B6C5-5EB4-4DB9-A60A-D7CE139C1C9D}"/>
    <cellStyle name="Note 2 3 2 3 3 4 3" xfId="16965" xr:uid="{BA215805-8601-4EA0-B5F1-A441E93D4F84}"/>
    <cellStyle name="Note 2 3 2 3 3 5" xfId="6163" xr:uid="{B1A8D021-CC5F-441B-A553-72ECE6F48DC0}"/>
    <cellStyle name="Note 2 3 2 3 3 5 2" xfId="12010" xr:uid="{BA14C075-BDBE-4BEC-92FD-AB9AB29F4FAE}"/>
    <cellStyle name="Note 2 3 2 3 3 5 2 2" xfId="21056" xr:uid="{8254940B-4F11-4C2E-B397-F1F8F758D21B}"/>
    <cellStyle name="Note 2 3 2 3 3 5 3" xfId="17576" xr:uid="{478A98D8-88C1-4EEB-BE4A-56B63E22C1A4}"/>
    <cellStyle name="Note 2 3 2 3 3 6" xfId="9424" xr:uid="{1C98E818-3845-4781-A3A1-2E97054A4DAF}"/>
    <cellStyle name="Note 2 3 2 3 3 6 2" xfId="18470" xr:uid="{02253B51-FCA7-4C39-B4C8-B2576B6354CC}"/>
    <cellStyle name="Note 2 3 2 3 3 7" xfId="12822" xr:uid="{80032A19-DEAB-4ED4-BF2C-EB54C4B21FB1}"/>
    <cellStyle name="Note 2 3 2 3 3 8" xfId="13380" xr:uid="{EB376BAF-B4E8-4D56-AFE1-BEB5096F603D}"/>
    <cellStyle name="Note 2 3 2 3 3 9" xfId="14018" xr:uid="{C36C9B9A-E9B1-4919-B03A-E7FE1F157B19}"/>
    <cellStyle name="Note 2 3 2 3 4" xfId="4095" xr:uid="{BA822764-40F2-4EA7-B9CC-3A58A51582AF}"/>
    <cellStyle name="Note 2 3 2 3 4 2" xfId="9952" xr:uid="{B247ADD1-199C-43DD-84ED-5E815C449256}"/>
    <cellStyle name="Note 2 3 2 3 4 2 2" xfId="18998" xr:uid="{45F34128-B054-4200-81E7-92E59088F0C1}"/>
    <cellStyle name="Note 2 3 2 3 4 3" xfId="15512" xr:uid="{BD4E8738-5E28-4817-8301-6FD26727AA13}"/>
    <cellStyle name="Note 2 3 2 3 4 4" xfId="22215" xr:uid="{7ACFDC98-F292-4D4F-8F26-A265C6ECD11F}"/>
    <cellStyle name="Note 2 3 2 3 5" xfId="5337" xr:uid="{87EE8D95-D665-4477-8517-A678FBD3D4F2}"/>
    <cellStyle name="Note 2 3 2 3 5 2" xfId="11190" xr:uid="{8CB54EAE-B800-468E-BB3F-76A921E9A02A}"/>
    <cellStyle name="Note 2 3 2 3 5 2 2" xfId="20236" xr:uid="{A5DC8F50-C7DD-4C65-BEB5-816FABC31B3D}"/>
    <cellStyle name="Note 2 3 2 3 5 3" xfId="16750" xr:uid="{D3E268DD-06B7-4BD1-947F-A0819AF9A9C2}"/>
    <cellStyle name="Note 2 3 2 3 6" xfId="5948" xr:uid="{5B1AEFA5-52B9-4998-99FA-4F4EB750FC07}"/>
    <cellStyle name="Note 2 3 2 3 6 2" xfId="11799" xr:uid="{69C656E6-7111-44FE-975F-836BF4DF9BA2}"/>
    <cellStyle name="Note 2 3 2 3 6 2 2" xfId="20845" xr:uid="{F82960CB-DE48-48F1-9E47-747267D550D5}"/>
    <cellStyle name="Note 2 3 2 3 6 3" xfId="17361" xr:uid="{0A6A0190-141F-4F40-9A63-DA0987682856}"/>
    <cellStyle name="Note 2 3 2 3 7" xfId="9209" xr:uid="{8B0E2EC5-DB51-4C0D-BB32-72DF6E7B2519}"/>
    <cellStyle name="Note 2 3 2 3 7 2" xfId="18255" xr:uid="{A5AF847B-07A3-470D-A8D6-31EFA32FFF1B}"/>
    <cellStyle name="Note 2 3 2 3 8" xfId="12607" xr:uid="{6C8C07AE-7C89-4440-B735-C9EA37AC914B}"/>
    <cellStyle name="Note 2 3 2 3 9" xfId="13169" xr:uid="{4C781C3E-19AE-4DB0-82D6-0EB0A94E7138}"/>
    <cellStyle name="Note 2 3 2 4" xfId="3362" xr:uid="{B8DD9E9D-F45F-4BAF-AAAE-18F3BC29B2EA}"/>
    <cellStyle name="Note 2 3 2 4 10" xfId="15142" xr:uid="{4D9D164F-F34D-470A-93CA-D868897D0C06}"/>
    <cellStyle name="Note 2 3 2 4 11" xfId="22011" xr:uid="{8C9F6AE7-9F9B-4511-9207-5CA0E2628779}"/>
    <cellStyle name="Note 2 3 2 4 2" xfId="4585" xr:uid="{86374C89-70F3-4B8F-840C-41E06EE80164}"/>
    <cellStyle name="Note 2 3 2 4 2 2" xfId="10442" xr:uid="{11E77558-B302-4322-BF73-9EB776318659}"/>
    <cellStyle name="Note 2 3 2 4 2 2 2" xfId="19488" xr:uid="{B3E121B5-91DD-44D9-8BCA-A62C9F729D30}"/>
    <cellStyle name="Note 2 3 2 4 2 3" xfId="16002" xr:uid="{087AAC75-648D-4CAC-B736-FF782B23E370}"/>
    <cellStyle name="Note 2 3 2 4 2 4" xfId="22667" xr:uid="{44E6D89C-F5CF-48CB-8E92-1FBDA0AA0C4D}"/>
    <cellStyle name="Note 2 3 2 4 3" xfId="5086" xr:uid="{B3463707-FC17-458D-85E9-E81A680CE5B5}"/>
    <cellStyle name="Note 2 3 2 4 3 2" xfId="10939" xr:uid="{C2140DD6-00F4-41E1-AF2E-AAAB61EB38C2}"/>
    <cellStyle name="Note 2 3 2 4 3 2 2" xfId="19985" xr:uid="{CA29F0DC-2384-4A8D-B2DA-17BB4FF8FEC7}"/>
    <cellStyle name="Note 2 3 2 4 3 3" xfId="16499" xr:uid="{17E2A16C-B7C1-44BA-B74E-C0AE0B1260A1}"/>
    <cellStyle name="Note 2 3 2 4 3 4" xfId="23162" xr:uid="{45DA5CED-4D4E-4ED6-8B24-5B08DB21B46A}"/>
    <cellStyle name="Note 2 3 2 4 4" xfId="5701" xr:uid="{61DE2B03-C2D2-4A8B-BAB5-DA56ABD3D355}"/>
    <cellStyle name="Note 2 3 2 4 4 2" xfId="11554" xr:uid="{C719D771-52D5-4BBB-A9C6-605CC244043D}"/>
    <cellStyle name="Note 2 3 2 4 4 2 2" xfId="20600" xr:uid="{A77129BE-8AD1-488F-8F56-882095D22DF2}"/>
    <cellStyle name="Note 2 3 2 4 4 3" xfId="17114" xr:uid="{5A657D06-C943-46A5-BF26-9189F037D29E}"/>
    <cellStyle name="Note 2 3 2 4 5" xfId="6312" xr:uid="{34776102-D17F-49E5-BD0A-22009951D46A}"/>
    <cellStyle name="Note 2 3 2 4 5 2" xfId="12159" xr:uid="{29769D48-FC97-433B-950B-E526A948B5BB}"/>
    <cellStyle name="Note 2 3 2 4 5 2 2" xfId="21205" xr:uid="{86910C56-A978-4C4C-B322-A1F94894BB81}"/>
    <cellStyle name="Note 2 3 2 4 5 3" xfId="17725" xr:uid="{B3412F44-77F1-4B1C-B228-3D3E8B285B00}"/>
    <cellStyle name="Note 2 3 2 4 6" xfId="9573" xr:uid="{F802458D-3C09-417A-83AA-374AD86C972F}"/>
    <cellStyle name="Note 2 3 2 4 6 2" xfId="18619" xr:uid="{0936114A-2CEB-4245-84DD-AFFEB5FF2F94}"/>
    <cellStyle name="Note 2 3 2 4 7" xfId="12971" xr:uid="{7528188F-BFF0-40D9-8532-CE0A70C6859C}"/>
    <cellStyle name="Note 2 3 2 4 8" xfId="13528" xr:uid="{EBF55A19-1EEF-43E3-8A5D-B2EA95142B84}"/>
    <cellStyle name="Note 2 3 2 4 9" xfId="14167" xr:uid="{BC63C373-1B86-4DB1-87DD-0E4DBD934E5A}"/>
    <cellStyle name="Note 2 3 2 5" xfId="3150" xr:uid="{432C0161-AD3E-4EFE-99E2-DEAAA01C4760}"/>
    <cellStyle name="Note 2 3 2 5 10" xfId="14930" xr:uid="{4F203B6B-80F2-4B56-B9C1-261432D49385}"/>
    <cellStyle name="Note 2 3 2 5 11" xfId="21798" xr:uid="{37BDCD46-C62E-46CC-83D4-0BC4F98F05C3}"/>
    <cellStyle name="Note 2 3 2 5 2" xfId="4371" xr:uid="{69361116-768D-4385-AFCE-EDD40D85583A}"/>
    <cellStyle name="Note 2 3 2 5 2 2" xfId="10228" xr:uid="{E81165BF-6FBE-47B7-995B-3BEF37961A97}"/>
    <cellStyle name="Note 2 3 2 5 2 2 2" xfId="19274" xr:uid="{A3D9C333-BB12-4C87-A471-7C3D792E7ACA}"/>
    <cellStyle name="Note 2 3 2 5 2 3" xfId="15788" xr:uid="{61DE02EC-9365-4464-8814-3BA06806A74F}"/>
    <cellStyle name="Note 2 3 2 5 2 4" xfId="22454" xr:uid="{2972683A-AA8D-44D9-9E02-9C391B18A6B3}"/>
    <cellStyle name="Note 2 3 2 5 3" xfId="4872" xr:uid="{52EA5F56-3D09-4C2D-92B8-1D4BC2A04D3C}"/>
    <cellStyle name="Note 2 3 2 5 3 2" xfId="10727" xr:uid="{0ADCD9D2-5049-468F-82D9-7F02FF71E106}"/>
    <cellStyle name="Note 2 3 2 5 3 2 2" xfId="19773" xr:uid="{DC679030-114E-4626-BD5F-14960EE68A7B}"/>
    <cellStyle name="Note 2 3 2 5 3 3" xfId="16287" xr:uid="{07A3C1D2-8757-4FE9-A409-75ED08A1E1B8}"/>
    <cellStyle name="Note 2 3 2 5 3 4" xfId="22949" xr:uid="{0B985FC8-8AA8-45E4-9D7A-968BC94DF021}"/>
    <cellStyle name="Note 2 3 2 5 4" xfId="5487" xr:uid="{EA8281DA-D9AF-48AF-B63B-2A6E6D2E32EA}"/>
    <cellStyle name="Note 2 3 2 5 4 2" xfId="11340" xr:uid="{4EBEE37C-348B-4242-ABAB-B68842068736}"/>
    <cellStyle name="Note 2 3 2 5 4 2 2" xfId="20386" xr:uid="{15AFE5E0-8A51-4C1C-93E8-89AEA873E049}"/>
    <cellStyle name="Note 2 3 2 5 4 3" xfId="16900" xr:uid="{004C6259-37A9-4829-AE98-F0F16C0CD51B}"/>
    <cellStyle name="Note 2 3 2 5 5" xfId="6098" xr:uid="{ED936F4E-DE75-44CC-BDD7-5E4F36179DB7}"/>
    <cellStyle name="Note 2 3 2 5 5 2" xfId="11947" xr:uid="{32AE9789-E396-49F5-BF95-77ADBD7538CA}"/>
    <cellStyle name="Note 2 3 2 5 5 2 2" xfId="20993" xr:uid="{465E7B78-0B7E-4E68-9A95-44742A820DFB}"/>
    <cellStyle name="Note 2 3 2 5 5 3" xfId="17511" xr:uid="{2E22F5DA-61E3-4FE6-AD60-7EA6267EEEB6}"/>
    <cellStyle name="Note 2 3 2 5 6" xfId="9361" xr:uid="{07E6EF21-537D-498D-8FB7-46AA6983E62A}"/>
    <cellStyle name="Note 2 3 2 5 6 2" xfId="18407" xr:uid="{26EE4A3A-1FC3-4F33-BFBA-25C5CF295C4F}"/>
    <cellStyle name="Note 2 3 2 5 7" xfId="12757" xr:uid="{CAE70A52-FD6D-4515-A856-F9E197F3B538}"/>
    <cellStyle name="Note 2 3 2 5 8" xfId="13317" xr:uid="{BB4113E9-2AF6-4EC0-9360-4DF3EA3C3E33}"/>
    <cellStyle name="Note 2 3 2 5 9" xfId="13953" xr:uid="{884D7DF8-4323-43E4-9789-46FE32B5FCFA}"/>
    <cellStyle name="Note 2 3 2 6" xfId="3751" xr:uid="{4BE836B7-F95A-4758-9B83-BCDA8629F9FA}"/>
    <cellStyle name="Note 2 3 2 6 2" xfId="9793" xr:uid="{73F651A1-8BEE-4CE5-9A14-31F7DBAAA4C5}"/>
    <cellStyle name="Note 2 3 2 6 2 2" xfId="18839" xr:uid="{51D12532-36DD-434B-A1C4-16A96F0427A8}"/>
    <cellStyle name="Note 2 3 2 6 3" xfId="14508" xr:uid="{88BBD0CE-C788-4934-84F6-E422307DB367}"/>
    <cellStyle name="Note 2 3 2 6 4" xfId="15359" xr:uid="{E4B4C5C0-0B5A-4CBD-9F8A-A22BEB3A8908}"/>
    <cellStyle name="Note 2 3 2 6 5" xfId="22338" xr:uid="{2AD9F0D5-841C-42E5-A5D4-45AC18A064EB}"/>
    <cellStyle name="Note 2 3 2 7" xfId="4235" xr:uid="{94550197-F2B9-4159-9C4B-CDF8F8F5F7C8}"/>
    <cellStyle name="Note 2 3 2 7 2" xfId="10092" xr:uid="{4C58BE54-D34C-40FC-86CC-E876AFF64116}"/>
    <cellStyle name="Note 2 3 2 7 2 2" xfId="19138" xr:uid="{F09D6A58-4C38-4FE2-A7E7-155175F04775}"/>
    <cellStyle name="Note 2 3 2 7 3" xfId="15652" xr:uid="{AE5FB2B3-6416-4726-A2B9-6F525DD67806}"/>
    <cellStyle name="Note 2 3 2 7 4" xfId="22264" xr:uid="{D76D35C1-CFF1-4B79-82D2-42705D5977FA}"/>
    <cellStyle name="Note 2 3 2 8" xfId="4142" xr:uid="{8B6C3BB6-A856-4CC9-8A95-61D93FD987DB}"/>
    <cellStyle name="Note 2 3 2 8 2" xfId="9999" xr:uid="{4A0D8D23-3E0A-41A6-9981-75CB30D44F72}"/>
    <cellStyle name="Note 2 3 2 8 2 2" xfId="19045" xr:uid="{C2F28FED-4094-40B9-BA9D-043C699601BA}"/>
    <cellStyle name="Note 2 3 2 8 3" xfId="15559" xr:uid="{B557D716-4FB2-42F9-BD36-75617FD9B4A7}"/>
    <cellStyle name="Note 2 3 2 8 4" xfId="23443" xr:uid="{EA25158A-2A73-4DD0-806D-AE4BF96DD768}"/>
    <cellStyle name="Note 2 3 2 9" xfId="5272" xr:uid="{3151E3F9-CD66-4EEB-BC36-7D0595C3BA6F}"/>
    <cellStyle name="Note 2 3 2 9 2" xfId="11125" xr:uid="{26BE4A05-C78A-4C7A-99F4-855C51F49744}"/>
    <cellStyle name="Note 2 3 2 9 2 2" xfId="20171" xr:uid="{DC24583F-71B7-4E49-842C-036A4F604F90}"/>
    <cellStyle name="Note 2 3 2 9 3" xfId="16685" xr:uid="{4EB52100-C9A1-41E3-A1EE-407A3C45A382}"/>
    <cellStyle name="Note 2 3 2 9 4" xfId="23639" xr:uid="{C71D2894-F442-472A-8435-BADF0578EBB2}"/>
    <cellStyle name="Note 2 3 3" xfId="2390" xr:uid="{6CED80A8-2F4F-4749-AFF6-7B2DE118DA5E}"/>
    <cellStyle name="Note 2 3 3 10" xfId="13170" xr:uid="{9D75E3B4-EC57-4579-AD0C-26B102B6626D}"/>
    <cellStyle name="Note 2 3 3 11" xfId="13804" xr:uid="{565A2C70-C45A-41F4-B98E-FF4EF2C54DEE}"/>
    <cellStyle name="Note 2 3 3 12" xfId="14779" xr:uid="{76660A56-C212-4ECB-A413-9F68DF8E9E34}"/>
    <cellStyle name="Note 2 3 3 13" xfId="21649" xr:uid="{B4839CCA-9390-470F-9846-3521D89BC10F}"/>
    <cellStyle name="Note 2 3 3 14" xfId="23977" xr:uid="{2D9D1504-1FBB-40A8-BC13-872E023C1AD1}"/>
    <cellStyle name="Note 2 3 3 2" xfId="2656" xr:uid="{6CE3CC6A-EC94-42B9-A088-82924FA1E4FD}"/>
    <cellStyle name="Note 2 3 3 2 10" xfId="15206" xr:uid="{BB4A28D2-587E-407D-BA65-35D858BC5040}"/>
    <cellStyle name="Note 2 3 3 2 11" xfId="22075" xr:uid="{9500A244-2CCD-48A2-9032-986BC98EE1F1}"/>
    <cellStyle name="Note 2 3 3 2 2" xfId="4649" xr:uid="{A6FDD8A4-B7EC-4231-B111-D8FB2F048FF5}"/>
    <cellStyle name="Note 2 3 3 2 2 2" xfId="10506" xr:uid="{AB8296A9-3E79-4980-9440-AAC0E4F29EB9}"/>
    <cellStyle name="Note 2 3 3 2 2 2 2" xfId="19552" xr:uid="{5A4E9739-D74C-4138-B333-4D7FE69BAD70}"/>
    <cellStyle name="Note 2 3 3 2 2 3" xfId="16066" xr:uid="{D4998B5B-6928-4AB7-9700-A4A7E3D8DA04}"/>
    <cellStyle name="Note 2 3 3 2 2 4" xfId="22731" xr:uid="{994FF46B-2936-4CC6-9C5D-31EE6657220B}"/>
    <cellStyle name="Note 2 3 3 2 3" xfId="5150" xr:uid="{2D473B11-B327-4ABD-B328-4E033A7D91F6}"/>
    <cellStyle name="Note 2 3 3 2 3 2" xfId="11003" xr:uid="{5B361ACD-1775-4DDF-A451-B61221E9F17A}"/>
    <cellStyle name="Note 2 3 3 2 3 2 2" xfId="20049" xr:uid="{1D4EE3FB-0CB9-4164-A381-60903FAA67D5}"/>
    <cellStyle name="Note 2 3 3 2 3 3" xfId="16563" xr:uid="{154D4221-3648-4C2F-8857-4D5F6F9C4CD3}"/>
    <cellStyle name="Note 2 3 3 2 3 4" xfId="23226" xr:uid="{F241451A-8BCC-48EB-AFAD-F5D7B118F54C}"/>
    <cellStyle name="Note 2 3 3 2 4" xfId="5765" xr:uid="{7EC8007A-9376-4578-AC2B-E621C1100B97}"/>
    <cellStyle name="Note 2 3 3 2 4 2" xfId="11618" xr:uid="{7F217EA9-0386-431D-9742-FA4D605D3D88}"/>
    <cellStyle name="Note 2 3 3 2 4 2 2" xfId="20664" xr:uid="{497556E6-C371-4013-9422-70147CE507B3}"/>
    <cellStyle name="Note 2 3 3 2 4 3" xfId="17178" xr:uid="{F7649453-F077-4F75-A7C0-0DA51CE8FD55}"/>
    <cellStyle name="Note 2 3 3 2 5" xfId="6376" xr:uid="{0526914E-A4F2-4C29-9737-3E777787734F}"/>
    <cellStyle name="Note 2 3 3 2 5 2" xfId="12223" xr:uid="{CBF2DB01-C645-48BC-9212-E9B5B18C5834}"/>
    <cellStyle name="Note 2 3 3 2 5 2 2" xfId="21269" xr:uid="{DA9BDC3E-0D93-45CD-A442-09CC7BF3AA29}"/>
    <cellStyle name="Note 2 3 3 2 5 3" xfId="17789" xr:uid="{FAB7B57D-0519-4884-B3BF-2BE4F59DC74C}"/>
    <cellStyle name="Note 2 3 3 2 6" xfId="9637" xr:uid="{E606B919-2D9B-4D37-9C1A-3452F3E23151}"/>
    <cellStyle name="Note 2 3 3 2 6 2" xfId="18683" xr:uid="{8679149E-6FE1-4A70-A24A-78EF38BDDBDF}"/>
    <cellStyle name="Note 2 3 3 2 7" xfId="13035" xr:uid="{FEB9A4AA-0375-4658-BB6C-9F6A8AFAA87B}"/>
    <cellStyle name="Note 2 3 3 2 8" xfId="13592" xr:uid="{12B26268-D94A-494A-8FBC-704DBC0435E4}"/>
    <cellStyle name="Note 2 3 3 2 9" xfId="14231" xr:uid="{F2D84D64-1FA1-4CC0-A376-19C9DB7DB07F}"/>
    <cellStyle name="Note 2 3 3 3" xfId="3214" xr:uid="{612CB7BE-A1AD-4CE5-8F9D-A32AB0F478E7}"/>
    <cellStyle name="Note 2 3 3 3 10" xfId="14994" xr:uid="{75553766-F2F5-44DB-851E-85E4B44A7D91}"/>
    <cellStyle name="Note 2 3 3 3 11" xfId="21864" xr:uid="{73117619-B46F-4031-AEAE-BE522D07291D}"/>
    <cellStyle name="Note 2 3 3 3 2" xfId="4437" xr:uid="{1D9246A2-EF59-457C-904B-1AAF8C82EEAC}"/>
    <cellStyle name="Note 2 3 3 3 2 2" xfId="10294" xr:uid="{09262B2C-8964-49B9-BDA0-121F87697AC2}"/>
    <cellStyle name="Note 2 3 3 3 2 2 2" xfId="19340" xr:uid="{1F547EED-1453-46E5-A015-975A7431A651}"/>
    <cellStyle name="Note 2 3 3 3 2 3" xfId="15854" xr:uid="{7BE01603-620E-4605-AA49-429C89D4D4EA}"/>
    <cellStyle name="Note 2 3 3 3 2 4" xfId="22520" xr:uid="{C0EF6CDB-B83E-4C65-A2D1-375ECB684773}"/>
    <cellStyle name="Note 2 3 3 3 3" xfId="4938" xr:uid="{6D9263BF-9B74-4AFB-8DC8-4AD455881FDB}"/>
    <cellStyle name="Note 2 3 3 3 3 2" xfId="10791" xr:uid="{70D95489-0617-4A90-976E-6201CF4F3184}"/>
    <cellStyle name="Note 2 3 3 3 3 2 2" xfId="19837" xr:uid="{B12722E0-71F3-468E-B155-0CFD5C5AD9BE}"/>
    <cellStyle name="Note 2 3 3 3 3 3" xfId="16351" xr:uid="{D9EA1318-54F9-4556-B594-FE3CC439891B}"/>
    <cellStyle name="Note 2 3 3 3 3 4" xfId="23015" xr:uid="{0EB5A8AE-E5A2-4839-817D-00C58AC1B14F}"/>
    <cellStyle name="Note 2 3 3 3 4" xfId="5553" xr:uid="{AF681D81-1F08-444E-9492-D101D46A1210}"/>
    <cellStyle name="Note 2 3 3 3 4 2" xfId="11406" xr:uid="{294D1BE5-51EB-408A-93E2-36EDDC2F9D1E}"/>
    <cellStyle name="Note 2 3 3 3 4 2 2" xfId="20452" xr:uid="{54135C05-B48A-4F30-9B28-DD4872015FA5}"/>
    <cellStyle name="Note 2 3 3 3 4 3" xfId="16966" xr:uid="{7DAF529D-B040-431B-A8A5-43FDF4906F92}"/>
    <cellStyle name="Note 2 3 3 3 5" xfId="6164" xr:uid="{4E9558CB-9CF5-4A02-84DD-035C8662D07C}"/>
    <cellStyle name="Note 2 3 3 3 5 2" xfId="12011" xr:uid="{8487C727-B717-4EB7-B44A-5295B973185E}"/>
    <cellStyle name="Note 2 3 3 3 5 2 2" xfId="21057" xr:uid="{BAD54514-CF78-4D25-B47A-905DB163D531}"/>
    <cellStyle name="Note 2 3 3 3 5 3" xfId="17577" xr:uid="{B5A46A9B-F75A-4FE4-A42D-5F823A585898}"/>
    <cellStyle name="Note 2 3 3 3 6" xfId="9425" xr:uid="{D30BBC62-E3E2-4166-8101-95CCCECD8BFB}"/>
    <cellStyle name="Note 2 3 3 3 6 2" xfId="18471" xr:uid="{073BBB6E-1D8A-427C-97B9-A1B3FA2EACAB}"/>
    <cellStyle name="Note 2 3 3 3 7" xfId="12823" xr:uid="{2DD8E906-1D84-43D3-9E4F-9D02E76FFA1A}"/>
    <cellStyle name="Note 2 3 3 3 8" xfId="13381" xr:uid="{26F745D3-DF7F-4074-94CC-B0209712133D}"/>
    <cellStyle name="Note 2 3 3 3 9" xfId="14019" xr:uid="{E081692E-FE0A-4E31-9329-02AD26ADAB91}"/>
    <cellStyle name="Note 2 3 3 4" xfId="3987" xr:uid="{9559AAF2-3A4A-4D2A-A526-725D2BFECA37}"/>
    <cellStyle name="Note 2 3 3 4 2" xfId="9849" xr:uid="{1F9FD22A-22F4-483F-B912-F4356A509EC3}"/>
    <cellStyle name="Note 2 3 3 4 2 2" xfId="18895" xr:uid="{ED3B727D-482D-4421-A688-4563BAB5F1E4}"/>
    <cellStyle name="Note 2 3 3 4 3" xfId="15411" xr:uid="{E3C580A0-4ABE-4062-95E7-71B24168707C}"/>
    <cellStyle name="Note 2 3 3 4 4" xfId="22214" xr:uid="{821D4E7E-4170-48ED-B3E9-32E4DFA6A7B1}"/>
    <cellStyle name="Note 2 3 3 5" xfId="4094" xr:uid="{D15DE560-ECE4-452F-A5C1-C24AE83B4CE1}"/>
    <cellStyle name="Note 2 3 3 5 2" xfId="9951" xr:uid="{C9B63259-57A6-49A0-A1E7-2772F2B80EBC}"/>
    <cellStyle name="Note 2 3 3 5 2 2" xfId="18997" xr:uid="{F7490A5F-821F-4BAF-9A41-386B24E794C8}"/>
    <cellStyle name="Note 2 3 3 5 3" xfId="15511" xr:uid="{1FD6FB6E-C90C-4BBF-AF15-49C38B9097F7}"/>
    <cellStyle name="Note 2 3 3 6" xfId="5338" xr:uid="{A6EDE99E-C38C-4F0F-8086-CBD745ACA62D}"/>
    <cellStyle name="Note 2 3 3 6 2" xfId="11191" xr:uid="{9B98F3CC-B8B4-4F85-B8AD-4B58C97ACD1D}"/>
    <cellStyle name="Note 2 3 3 6 2 2" xfId="20237" xr:uid="{E6C3C387-AAA2-4D92-AA58-B9948685A33C}"/>
    <cellStyle name="Note 2 3 3 6 3" xfId="16751" xr:uid="{E33F8991-70EF-40A9-B153-EE27D5255966}"/>
    <cellStyle name="Note 2 3 3 7" xfId="5949" xr:uid="{D1E66F0B-79A8-4D95-85FB-7D142C06F918}"/>
    <cellStyle name="Note 2 3 3 7 2" xfId="11800" xr:uid="{349944A9-810E-40D2-829B-95532F9DD3F1}"/>
    <cellStyle name="Note 2 3 3 7 2 2" xfId="20846" xr:uid="{B0C12D28-B279-4BD1-8071-FF364ED10CDB}"/>
    <cellStyle name="Note 2 3 3 7 3" xfId="17362" xr:uid="{B2FAD5E5-DDD3-49CA-97F0-D84915B1BB95}"/>
    <cellStyle name="Note 2 3 3 8" xfId="9210" xr:uid="{62660495-DDBF-4425-8A54-7066E88FDF58}"/>
    <cellStyle name="Note 2 3 3 8 2" xfId="18256" xr:uid="{10C5C32F-61E7-4DB5-812C-8DE44F412958}"/>
    <cellStyle name="Note 2 3 3 9" xfId="12608" xr:uid="{70639784-82E7-4280-8C30-E757372E2A54}"/>
    <cellStyle name="Note 2 3 4" xfId="2659" xr:uid="{02D10881-ED22-49DA-9AFB-B8979B0C512D}"/>
    <cellStyle name="Note 2 3 4 10" xfId="13805" xr:uid="{E88696E0-D1B5-4103-AF8F-6760F6357052}"/>
    <cellStyle name="Note 2 3 4 11" xfId="14780" xr:uid="{29A36735-3A8C-4D14-AD98-DE7EDE88DECD}"/>
    <cellStyle name="Note 2 3 4 12" xfId="21650" xr:uid="{499F9986-FC1A-481F-BF95-E284CC4574E4}"/>
    <cellStyle name="Note 2 3 4 2" xfId="3423" xr:uid="{DBDBAC7E-BE59-4409-8414-09D7B44C4E01}"/>
    <cellStyle name="Note 2 3 4 2 10" xfId="15207" xr:uid="{B9715155-A699-458D-BA3A-2EC303862C15}"/>
    <cellStyle name="Note 2 3 4 2 11" xfId="22076" xr:uid="{97ED39FD-53E4-42F2-B24D-A7DBDEB7A295}"/>
    <cellStyle name="Note 2 3 4 2 2" xfId="4650" xr:uid="{660B23DA-C0C0-4A8D-AEBE-A13F408FE653}"/>
    <cellStyle name="Note 2 3 4 2 2 2" xfId="10507" xr:uid="{8B67B19A-7EEA-4C0A-93ED-BF66A88BD254}"/>
    <cellStyle name="Note 2 3 4 2 2 2 2" xfId="19553" xr:uid="{A8ADF15B-95D0-4772-B4EA-9795A59BD667}"/>
    <cellStyle name="Note 2 3 4 2 2 3" xfId="16067" xr:uid="{FA24A60D-8565-4F24-8B56-4CADB446FA84}"/>
    <cellStyle name="Note 2 3 4 2 2 4" xfId="22732" xr:uid="{3F590D94-3B82-4AE1-A0A6-EF8C4010F63B}"/>
    <cellStyle name="Note 2 3 4 2 3" xfId="5151" xr:uid="{D8E40836-1CA1-4718-8D38-A121390754E4}"/>
    <cellStyle name="Note 2 3 4 2 3 2" xfId="11004" xr:uid="{59C042A7-B625-447F-B481-72A10307B7B4}"/>
    <cellStyle name="Note 2 3 4 2 3 2 2" xfId="20050" xr:uid="{8F2760A1-FC2F-446E-B384-7239CFEF436F}"/>
    <cellStyle name="Note 2 3 4 2 3 3" xfId="16564" xr:uid="{31D7462B-8201-4C1E-B14D-0434E0C5370F}"/>
    <cellStyle name="Note 2 3 4 2 3 4" xfId="23227" xr:uid="{9F276DBA-70CA-496E-9E40-35B887A32BBE}"/>
    <cellStyle name="Note 2 3 4 2 4" xfId="5766" xr:uid="{28B05541-3CE9-4B80-9136-685EFCB48467}"/>
    <cellStyle name="Note 2 3 4 2 4 2" xfId="11619" xr:uid="{357EE4F7-92BF-4E0E-856E-DC0AB9346835}"/>
    <cellStyle name="Note 2 3 4 2 4 2 2" xfId="20665" xr:uid="{86B8E1FF-A2C1-40D1-B240-06EE7DD0356A}"/>
    <cellStyle name="Note 2 3 4 2 4 3" xfId="17179" xr:uid="{0CF824E4-CA3E-43E9-BF37-38C60B432E91}"/>
    <cellStyle name="Note 2 3 4 2 5" xfId="6377" xr:uid="{E89FB263-0580-4FC7-963F-68528DED41C1}"/>
    <cellStyle name="Note 2 3 4 2 5 2" xfId="12224" xr:uid="{919305F3-4454-4493-A9AB-6488058B2D72}"/>
    <cellStyle name="Note 2 3 4 2 5 2 2" xfId="21270" xr:uid="{7CD38B2A-B4D7-453B-9539-DE79E93CC291}"/>
    <cellStyle name="Note 2 3 4 2 5 3" xfId="17790" xr:uid="{E0A44626-F8D4-42FE-B28D-EC364AE3A1F1}"/>
    <cellStyle name="Note 2 3 4 2 6" xfId="9638" xr:uid="{2243341D-CD95-4E0A-97BE-BB65A0370158}"/>
    <cellStyle name="Note 2 3 4 2 6 2" xfId="18684" xr:uid="{6D723BDA-5D8A-4909-9D3B-FC91F81EB2A3}"/>
    <cellStyle name="Note 2 3 4 2 7" xfId="13036" xr:uid="{9C3CD259-8A3D-42FC-8945-62A572A13275}"/>
    <cellStyle name="Note 2 3 4 2 8" xfId="13593" xr:uid="{81053598-71A0-4924-BCE5-7E769EAF9181}"/>
    <cellStyle name="Note 2 3 4 2 9" xfId="14232" xr:uid="{176BC483-A7B1-4C37-9BD9-ACEB5A9DE9E8}"/>
    <cellStyle name="Note 2 3 4 3" xfId="3215" xr:uid="{37A11C38-59E4-4EE2-B425-390F20613AC5}"/>
    <cellStyle name="Note 2 3 4 3 10" xfId="14995" xr:uid="{BB4B18E9-E2DA-410E-BA24-435950BB2264}"/>
    <cellStyle name="Note 2 3 4 3 11" xfId="21865" xr:uid="{E7225402-D7F7-4831-AFBB-5D4D17B3E82D}"/>
    <cellStyle name="Note 2 3 4 3 2" xfId="4438" xr:uid="{E6FC7E8B-4C04-41A0-B46F-3D343FC4BE95}"/>
    <cellStyle name="Note 2 3 4 3 2 2" xfId="10295" xr:uid="{99DCD38A-FACF-465C-B6DD-3ED690581A95}"/>
    <cellStyle name="Note 2 3 4 3 2 2 2" xfId="19341" xr:uid="{F5A43536-9253-4337-9C91-2E060D7A02C8}"/>
    <cellStyle name="Note 2 3 4 3 2 3" xfId="15855" xr:uid="{2BFF0686-B743-4CFA-985D-0EA346F77328}"/>
    <cellStyle name="Note 2 3 4 3 2 4" xfId="22521" xr:uid="{6D223FE0-6498-448D-B14E-00AC353DE5A5}"/>
    <cellStyle name="Note 2 3 4 3 3" xfId="4939" xr:uid="{FD2CD023-DEF5-4B17-AAE6-1DB9756F551D}"/>
    <cellStyle name="Note 2 3 4 3 3 2" xfId="10792" xr:uid="{7453C5A7-338C-4F67-9707-76C0E2D746D7}"/>
    <cellStyle name="Note 2 3 4 3 3 2 2" xfId="19838" xr:uid="{05354CAB-3105-49B5-9D94-1E6209204282}"/>
    <cellStyle name="Note 2 3 4 3 3 3" xfId="16352" xr:uid="{C0D6B04B-9E72-41E0-9D7B-5AF824670778}"/>
    <cellStyle name="Note 2 3 4 3 3 4" xfId="23016" xr:uid="{3DD096B0-530F-4357-B3FC-A9FFBC8CB350}"/>
    <cellStyle name="Note 2 3 4 3 4" xfId="5554" xr:uid="{B27A998C-9FDA-4620-B417-66B5A92C4FAA}"/>
    <cellStyle name="Note 2 3 4 3 4 2" xfId="11407" xr:uid="{6E6889DF-82AD-4463-ADFD-96B437029A86}"/>
    <cellStyle name="Note 2 3 4 3 4 2 2" xfId="20453" xr:uid="{A7D9DE28-C46B-4DF0-A274-D7687C9AB379}"/>
    <cellStyle name="Note 2 3 4 3 4 3" xfId="16967" xr:uid="{339550D2-01C6-4F26-B31A-C8CA88C2AE6B}"/>
    <cellStyle name="Note 2 3 4 3 5" xfId="6165" xr:uid="{759D5B7B-430A-4767-B36D-7CD91BF980C9}"/>
    <cellStyle name="Note 2 3 4 3 5 2" xfId="12012" xr:uid="{783F6DFA-777D-462D-BF42-0DCEE65978E8}"/>
    <cellStyle name="Note 2 3 4 3 5 2 2" xfId="21058" xr:uid="{49DE0320-E24E-4900-BDCD-D051013175B0}"/>
    <cellStyle name="Note 2 3 4 3 5 3" xfId="17578" xr:uid="{F4D621CF-5259-4DE2-9DAF-18D740B1D7D4}"/>
    <cellStyle name="Note 2 3 4 3 6" xfId="9426" xr:uid="{E702793E-D88E-4936-909D-163294E8AB5D}"/>
    <cellStyle name="Note 2 3 4 3 6 2" xfId="18472" xr:uid="{C43EC39C-32CA-45B1-BC3F-C7F9CBB73789}"/>
    <cellStyle name="Note 2 3 4 3 7" xfId="12824" xr:uid="{54BFC781-014B-484B-8F69-3A868D603BF8}"/>
    <cellStyle name="Note 2 3 4 3 8" xfId="13382" xr:uid="{5B1C0FEB-CD1E-44E6-A543-20AE670E5CD0}"/>
    <cellStyle name="Note 2 3 4 3 9" xfId="14020" xr:uid="{8DC6A489-455C-4ED5-B01B-EEDABE2F823E}"/>
    <cellStyle name="Note 2 3 4 4" xfId="4093" xr:uid="{B3D8F7BC-C4D1-40C4-BA34-34791C826431}"/>
    <cellStyle name="Note 2 3 4 4 2" xfId="9950" xr:uid="{1F975276-83F6-4261-95C0-72A5DD5D06D0}"/>
    <cellStyle name="Note 2 3 4 4 2 2" xfId="18996" xr:uid="{F4F00981-68F1-4541-9903-C489CB7207AD}"/>
    <cellStyle name="Note 2 3 4 4 3" xfId="15510" xr:uid="{F6865A93-83C3-4CFF-8D9C-CEDD4862D737}"/>
    <cellStyle name="Note 2 3 4 4 4" xfId="22213" xr:uid="{A211969B-C091-4145-BF54-84C542CE8587}"/>
    <cellStyle name="Note 2 3 4 5" xfId="5339" xr:uid="{789B34E4-01B4-43ED-A4BB-45D521A4EAF3}"/>
    <cellStyle name="Note 2 3 4 5 2" xfId="11192" xr:uid="{4CFC9964-E8EE-4723-B3D1-DCA7EC931CE5}"/>
    <cellStyle name="Note 2 3 4 5 2 2" xfId="20238" xr:uid="{619E2C41-1495-4CD5-A221-1398180FD52C}"/>
    <cellStyle name="Note 2 3 4 5 3" xfId="16752" xr:uid="{165CF7C9-D602-4286-975C-07844F65FBE4}"/>
    <cellStyle name="Note 2 3 4 6" xfId="5950" xr:uid="{C6DA4573-DE8C-4947-96C0-50A4F199A4D4}"/>
    <cellStyle name="Note 2 3 4 6 2" xfId="11801" xr:uid="{B5B0F69C-DFEC-464E-8B6F-7E8E2E49D7A5}"/>
    <cellStyle name="Note 2 3 4 6 2 2" xfId="20847" xr:uid="{46208CEF-CB52-4484-9D08-EAB12C4A04DC}"/>
    <cellStyle name="Note 2 3 4 6 3" xfId="17363" xr:uid="{A883F435-DBE2-42BD-A7FB-5DF85DD75541}"/>
    <cellStyle name="Note 2 3 4 7" xfId="9211" xr:uid="{6CB5AE08-7347-4B0D-A967-1273F05419F9}"/>
    <cellStyle name="Note 2 3 4 7 2" xfId="18257" xr:uid="{6610F4DD-F095-4595-A1AF-55DD041AFE2C}"/>
    <cellStyle name="Note 2 3 4 8" xfId="12609" xr:uid="{2A310E14-CC53-4C66-A232-A60DEBAF4FA9}"/>
    <cellStyle name="Note 2 3 4 9" xfId="13171" xr:uid="{4EAACDDC-F414-470A-9C2E-FD265AB83408}"/>
    <cellStyle name="Note 2 3 5" xfId="3331" xr:uid="{E1CCEF3C-E147-4A86-A9BB-E6FC5D9387FD}"/>
    <cellStyle name="Note 2 3 5 10" xfId="15111" xr:uid="{D2E5C08C-6150-435B-AFF6-79AF03BED129}"/>
    <cellStyle name="Note 2 3 5 11" xfId="21980" xr:uid="{7B8C98BF-648E-407B-8840-BEEEB3592C6E}"/>
    <cellStyle name="Note 2 3 5 2" xfId="4554" xr:uid="{5ABA444E-16A7-449D-AC4C-4A690EFB95FE}"/>
    <cellStyle name="Note 2 3 5 2 2" xfId="10411" xr:uid="{06644634-79C6-46A3-81AC-20E3172153DB}"/>
    <cellStyle name="Note 2 3 5 2 2 2" xfId="19457" xr:uid="{7D06230C-C31F-475F-BBED-1F41D714A669}"/>
    <cellStyle name="Note 2 3 5 2 3" xfId="15971" xr:uid="{82D115A5-0B48-4AC8-8F47-F0B53ACA0BB1}"/>
    <cellStyle name="Note 2 3 5 2 4" xfId="22636" xr:uid="{B48242BC-826E-4253-AEEC-0F6006859BC1}"/>
    <cellStyle name="Note 2 3 5 3" xfId="5055" xr:uid="{E70C9609-6EE6-4021-82F3-4EF78439B2F8}"/>
    <cellStyle name="Note 2 3 5 3 2" xfId="10908" xr:uid="{F4CD8460-C16F-44FA-8011-2ED5148FEF2A}"/>
    <cellStyle name="Note 2 3 5 3 2 2" xfId="19954" xr:uid="{6B0D3BC2-CFCA-4540-BB29-CB281019FD18}"/>
    <cellStyle name="Note 2 3 5 3 3" xfId="16468" xr:uid="{2393E3B2-31AD-4FD4-AA36-DEC05A1078CC}"/>
    <cellStyle name="Note 2 3 5 3 4" xfId="23131" xr:uid="{546E2E46-9775-4EDB-89B4-A2FE43DB0F56}"/>
    <cellStyle name="Note 2 3 5 4" xfId="5670" xr:uid="{92741F1A-9FCE-4C39-BFFD-FD47F7A19019}"/>
    <cellStyle name="Note 2 3 5 4 2" xfId="11523" xr:uid="{2578AECC-E726-4A88-9738-61D37F2A9664}"/>
    <cellStyle name="Note 2 3 5 4 2 2" xfId="20569" xr:uid="{C8D28548-098B-46EF-917F-1EC3032E915C}"/>
    <cellStyle name="Note 2 3 5 4 3" xfId="17083" xr:uid="{B22F1B9B-1640-45CD-A9AD-4371D3FFEE1A}"/>
    <cellStyle name="Note 2 3 5 5" xfId="6281" xr:uid="{305FFAC7-EF37-4FCB-95DD-C27ECA1EF0A3}"/>
    <cellStyle name="Note 2 3 5 5 2" xfId="12128" xr:uid="{654A4437-0551-40B5-9879-36F7FFFB2983}"/>
    <cellStyle name="Note 2 3 5 5 2 2" xfId="21174" xr:uid="{10339F69-6F0B-4EB7-8D3C-DC42220FC2E1}"/>
    <cellStyle name="Note 2 3 5 5 3" xfId="17694" xr:uid="{B6D0E35A-C724-468D-B21B-02AAFF1EB363}"/>
    <cellStyle name="Note 2 3 5 6" xfId="9542" xr:uid="{99D517F7-4807-47DF-ADFA-7C464C689DCC}"/>
    <cellStyle name="Note 2 3 5 6 2" xfId="18588" xr:uid="{BAD1ECAB-9494-45E1-AB81-9B3B10038DAA}"/>
    <cellStyle name="Note 2 3 5 7" xfId="12940" xr:uid="{F0215957-1A9D-474B-A0C0-DA5AB68E7302}"/>
    <cellStyle name="Note 2 3 5 8" xfId="13497" xr:uid="{AC0C7BD3-1244-4402-AAFD-0442418B51D0}"/>
    <cellStyle name="Note 2 3 5 9" xfId="14136" xr:uid="{6340E406-EC1F-4AFB-B4A2-AD127704E2DE}"/>
    <cellStyle name="Note 2 3 6" xfId="3119" xr:uid="{B43425EE-09DC-4789-A62E-ED88BEE3F112}"/>
    <cellStyle name="Note 2 3 6 10" xfId="14899" xr:uid="{AC4A53BD-4F7A-437A-9068-F77E9C3C92B8}"/>
    <cellStyle name="Note 2 3 6 11" xfId="21767" xr:uid="{3756EBE6-B6B0-4F69-8374-28232779B86C}"/>
    <cellStyle name="Note 2 3 6 2" xfId="4340" xr:uid="{924520EB-46A5-4848-B181-F7602881DE3B}"/>
    <cellStyle name="Note 2 3 6 2 2" xfId="10197" xr:uid="{5D3ACCEB-BB47-48BA-9885-9D5EBC62B3CD}"/>
    <cellStyle name="Note 2 3 6 2 2 2" xfId="19243" xr:uid="{A55C6D6C-CD19-4E27-AB95-3748AA42EE12}"/>
    <cellStyle name="Note 2 3 6 2 3" xfId="15757" xr:uid="{37EAF53E-0B63-4993-AA72-BA33F0EE64F1}"/>
    <cellStyle name="Note 2 3 6 2 4" xfId="22423" xr:uid="{75662B19-489E-42D9-90AB-6D262BB01DE2}"/>
    <cellStyle name="Note 2 3 6 3" xfId="4841" xr:uid="{665791DE-915A-4289-AFB2-8C91528A955C}"/>
    <cellStyle name="Note 2 3 6 3 2" xfId="10696" xr:uid="{00238D2E-0571-49E6-B8A7-31F3E91BE9B8}"/>
    <cellStyle name="Note 2 3 6 3 2 2" xfId="19742" xr:uid="{BBE7939F-7607-4768-A99A-70F0EF0F9123}"/>
    <cellStyle name="Note 2 3 6 3 3" xfId="16256" xr:uid="{E27608B0-E27D-4CF1-A1EA-2BB7A1F27D96}"/>
    <cellStyle name="Note 2 3 6 3 4" xfId="22918" xr:uid="{03DAAA19-C11B-4CCD-8D71-FE8C9DAD2803}"/>
    <cellStyle name="Note 2 3 6 4" xfId="5456" xr:uid="{0F98AC54-E15D-4810-81D0-AA9007C9E2D4}"/>
    <cellStyle name="Note 2 3 6 4 2" xfId="11309" xr:uid="{20783538-9373-4B7E-996B-568FA7558277}"/>
    <cellStyle name="Note 2 3 6 4 2 2" xfId="20355" xr:uid="{E8B261D0-AACA-4BCA-BDE2-95E3E4FF3277}"/>
    <cellStyle name="Note 2 3 6 4 3" xfId="16869" xr:uid="{2A4EDD99-F932-4658-8C09-FDF9901073B9}"/>
    <cellStyle name="Note 2 3 6 5" xfId="6067" xr:uid="{EF84F89D-96F9-4084-BF4E-1E6F24A8C912}"/>
    <cellStyle name="Note 2 3 6 5 2" xfId="11916" xr:uid="{5D8EE6E7-E462-4BBF-9B7E-6DE3CD40D74A}"/>
    <cellStyle name="Note 2 3 6 5 2 2" xfId="20962" xr:uid="{7A156B3C-C6F4-45AD-ACF2-B003C970203F}"/>
    <cellStyle name="Note 2 3 6 5 3" xfId="17480" xr:uid="{C6F46D2F-D8CB-40D0-8466-7013945D8EC2}"/>
    <cellStyle name="Note 2 3 6 6" xfId="9330" xr:uid="{1B4A0F77-C07B-449D-9FCF-88AC3468C5D2}"/>
    <cellStyle name="Note 2 3 6 6 2" xfId="18376" xr:uid="{FC2519CC-A442-4B36-B4F4-E28458EBFAA7}"/>
    <cellStyle name="Note 2 3 6 7" xfId="12726" xr:uid="{31BC9790-F4B8-4A0B-9173-6156F484C3AF}"/>
    <cellStyle name="Note 2 3 6 8" xfId="13286" xr:uid="{04090BAE-E65C-449D-A1BB-6484ACD769C2}"/>
    <cellStyle name="Note 2 3 6 9" xfId="13922" xr:uid="{83FA7782-6297-4F09-AE5A-B07C14F31BEF}"/>
    <cellStyle name="Note 2 3 7" xfId="3719" xr:uid="{53603BE8-C656-49AD-A373-0E3680CFC1B1}"/>
    <cellStyle name="Note 2 3 7 2" xfId="9761" xr:uid="{BCC1213F-1EBB-4A77-B61F-F5E1B09E5859}"/>
    <cellStyle name="Note 2 3 7 2 2" xfId="18807" xr:uid="{FB5F18AA-A0C4-4FD3-9BF1-97604FB3A98B}"/>
    <cellStyle name="Note 2 3 7 3" xfId="14507" xr:uid="{402C4A52-53E8-4429-9532-80F82573DB9D}"/>
    <cellStyle name="Note 2 3 7 4" xfId="15327" xr:uid="{5FAAE7CB-1B76-40F6-9347-F9A69942A3A1}"/>
    <cellStyle name="Note 2 3 7 5" xfId="22306" xr:uid="{0F2026EB-4D3D-48F5-8B9B-BD5EDD615D4D}"/>
    <cellStyle name="Note 2 3 8" xfId="4203" xr:uid="{9CFB04DE-3D18-4D32-B186-040699BA761C}"/>
    <cellStyle name="Note 2 3 8 2" xfId="10060" xr:uid="{D9A1F421-EF51-40B5-A836-8EB6A96A4D01}"/>
    <cellStyle name="Note 2 3 8 2 2" xfId="19106" xr:uid="{65B4696B-8C91-4C7C-971C-BC12DC241900}"/>
    <cellStyle name="Note 2 3 8 3" xfId="15620" xr:uid="{5B35F56E-709D-46EE-AE68-85081FD5C974}"/>
    <cellStyle name="Note 2 3 8 4" xfId="22293" xr:uid="{48F2EB31-3C99-4D7E-82D3-55B0645A3F59}"/>
    <cellStyle name="Note 2 3 9" xfId="4155" xr:uid="{BB2B8087-5B98-403A-8499-F9B031ECF915}"/>
    <cellStyle name="Note 2 3 9 2" xfId="10012" xr:uid="{52ECD282-4037-4158-9EF7-AF0F08A94685}"/>
    <cellStyle name="Note 2 3 9 2 2" xfId="19058" xr:uid="{73D8F912-65F8-4C6E-A568-6E0E8A858D4F}"/>
    <cellStyle name="Note 2 3 9 3" xfId="15572" xr:uid="{FD7EA77B-30E7-4093-A48B-950E70B63E25}"/>
    <cellStyle name="Note 2 3 9 4" xfId="23442" xr:uid="{195A15F4-B19E-471E-9235-1767E07990F5}"/>
    <cellStyle name="Note 2 4" xfId="2391" xr:uid="{4276E480-52D7-43C8-8B02-7F4624A43881}"/>
    <cellStyle name="Note 2 4 10" xfId="4312" xr:uid="{E88B2D71-027A-4C46-BE60-AD61AEF788D6}"/>
    <cellStyle name="Note 2 4 10 2" xfId="10169" xr:uid="{5454CDB1-DB3F-4F97-AC34-8F4A3F650AC1}"/>
    <cellStyle name="Note 2 4 10 2 2" xfId="19215" xr:uid="{38EB4272-BFA4-4C4C-858F-279D1DF5D802}"/>
    <cellStyle name="Note 2 4 10 3" xfId="15729" xr:uid="{F5BA787D-48CE-494C-85B4-83906ABAE4A6}"/>
    <cellStyle name="Note 2 4 10 4" xfId="23640" xr:uid="{A0DAD66D-2D11-4465-B358-EE9B7C43CC00}"/>
    <cellStyle name="Note 2 4 11" xfId="4321" xr:uid="{8A67F48D-B258-4D36-9856-30BDB69466D9}"/>
    <cellStyle name="Note 2 4 11 2" xfId="10178" xr:uid="{02FE56A4-5AC6-463F-9ECC-EDD09D470C1C}"/>
    <cellStyle name="Note 2 4 11 2 2" xfId="19224" xr:uid="{A42C515B-52DB-4F12-91B3-07F9FDA09756}"/>
    <cellStyle name="Note 2 4 11 3" xfId="15738" xr:uid="{7B318F38-7FAC-45A1-B3AD-47BF2F840B7E}"/>
    <cellStyle name="Note 2 4 12" xfId="9114" xr:uid="{6A47088C-F957-493B-A5B3-1CB28CA012C2}"/>
    <cellStyle name="Note 2 4 12 2" xfId="18160" xr:uid="{FA869E37-3C5A-4F9C-9DEE-3667E3D85F70}"/>
    <cellStyle name="Note 2 4 13" xfId="12514" xr:uid="{C7DEC5DD-D0FA-453F-B637-6043BF8D5DE3}"/>
    <cellStyle name="Note 2 4 14" xfId="13708" xr:uid="{969B4F50-D2F3-4009-BB79-F0211DA83457}"/>
    <cellStyle name="Note 2 4 15" xfId="14683" xr:uid="{8D7B573E-9598-482E-B14D-A37A50ADAC2F}"/>
    <cellStyle name="Note 2 4 16" xfId="23759" xr:uid="{78CF0FC8-6BFC-4B5E-9C14-B5518FA8239E}"/>
    <cellStyle name="Note 2 4 17" xfId="23978" xr:uid="{87B61E59-3E82-4656-AE84-F4CA4FE87DC4}"/>
    <cellStyle name="Note 2 4 2" xfId="2392" xr:uid="{6BF1422E-9DE5-43BA-B248-5E170614AEDD}"/>
    <cellStyle name="Note 2 4 2 10" xfId="5884" xr:uid="{ACE2279D-C63A-4EE0-9AC2-227B2FB36692}"/>
    <cellStyle name="Note 2 4 2 10 2" xfId="11737" xr:uid="{C66519E8-28D8-483D-807A-02D4837D6C90}"/>
    <cellStyle name="Note 2 4 2 10 2 2" xfId="20783" xr:uid="{8B7549F8-F547-4981-AD74-442A6097ABD9}"/>
    <cellStyle name="Note 2 4 2 10 3" xfId="17297" xr:uid="{75175CA6-4641-4671-8C5C-A62B59F8A830}"/>
    <cellStyle name="Note 2 4 2 11" xfId="9147" xr:uid="{C18B8409-3659-4CC1-A73E-4B4049FB2827}"/>
    <cellStyle name="Note 2 4 2 11 2" xfId="18193" xr:uid="{5BD1AF59-8B5F-461E-8254-1D594DBC2A21}"/>
    <cellStyle name="Note 2 4 2 12" xfId="12545" xr:uid="{7AEAE364-8B9A-438A-BE66-B9DA8B4EE707}"/>
    <cellStyle name="Note 2 4 2 13" xfId="13739" xr:uid="{55668A89-23C2-42C7-825B-DD379C4C5D35}"/>
    <cellStyle name="Note 2 4 2 14" xfId="14716" xr:uid="{FD623B49-19F2-4723-A055-AF3C4D8907D7}"/>
    <cellStyle name="Note 2 4 2 15" xfId="21586" xr:uid="{4FB5AA65-D7A6-47DF-B55D-C9E6D7065B3B}"/>
    <cellStyle name="Note 2 4 2 16" xfId="23760" xr:uid="{CC32EB48-C7ED-44D6-9C7A-3A6610A06ADE}"/>
    <cellStyle name="Note 2 4 2 17" xfId="23979" xr:uid="{B961FFC0-8731-4A67-97E5-10159703872E}"/>
    <cellStyle name="Note 2 4 2 2" xfId="2393" xr:uid="{82E9FE04-9F0B-407D-9CA2-A85968E69E20}"/>
    <cellStyle name="Note 2 4 2 2 10" xfId="13172" xr:uid="{BE646BDE-F889-4A30-A2C0-57010A91ADA4}"/>
    <cellStyle name="Note 2 4 2 2 11" xfId="13806" xr:uid="{1312F066-E202-4483-A07A-2C4E36CEC5AE}"/>
    <cellStyle name="Note 2 4 2 2 12" xfId="14781" xr:uid="{37C4A400-9F41-47AD-95FD-A1ACF2511699}"/>
    <cellStyle name="Note 2 4 2 2 13" xfId="21651" xr:uid="{4F869F3F-BBF7-4CC7-9BA4-7DA7E8946D4C}"/>
    <cellStyle name="Note 2 4 2 2 14" xfId="23980" xr:uid="{8D9D2373-CA7A-4517-AB25-7171CEE5D33D}"/>
    <cellStyle name="Note 2 4 2 2 2" xfId="2653" xr:uid="{B9F156DE-BC67-4DD7-BFD3-EDEA02B76D95}"/>
    <cellStyle name="Note 2 4 2 2 2 10" xfId="15208" xr:uid="{CB149968-D4A9-485A-8138-F1396A118E91}"/>
    <cellStyle name="Note 2 4 2 2 2 11" xfId="22077" xr:uid="{08C39C1F-3698-48B4-8DA2-54CB2B575488}"/>
    <cellStyle name="Note 2 4 2 2 2 2" xfId="4651" xr:uid="{C9249541-E885-461F-B828-3A984C984DCA}"/>
    <cellStyle name="Note 2 4 2 2 2 2 2" xfId="10508" xr:uid="{07F84824-1AA2-4060-9735-1DBD597393D0}"/>
    <cellStyle name="Note 2 4 2 2 2 2 2 2" xfId="19554" xr:uid="{02F0FD7E-5507-432B-987D-6DB45779D3A3}"/>
    <cellStyle name="Note 2 4 2 2 2 2 3" xfId="16068" xr:uid="{FD73F32F-9136-4F31-9C76-54C679A2CFA4}"/>
    <cellStyle name="Note 2 4 2 2 2 2 4" xfId="22733" xr:uid="{39BE6C7F-9FA4-4242-AD1B-1432FE392115}"/>
    <cellStyle name="Note 2 4 2 2 2 3" xfId="5152" xr:uid="{6DF4275B-2226-40C6-9EC3-5957395B67CA}"/>
    <cellStyle name="Note 2 4 2 2 2 3 2" xfId="11005" xr:uid="{E50E8848-37C7-4723-A70C-C4912FCB2043}"/>
    <cellStyle name="Note 2 4 2 2 2 3 2 2" xfId="20051" xr:uid="{57699B0E-3D69-42A7-9AF7-5351EE469B66}"/>
    <cellStyle name="Note 2 4 2 2 2 3 3" xfId="16565" xr:uid="{579CC4F8-A81A-46A9-A1D6-35F9DE829979}"/>
    <cellStyle name="Note 2 4 2 2 2 3 4" xfId="23228" xr:uid="{F9A469FF-6AB5-41C6-B64E-AD3DF48F53B2}"/>
    <cellStyle name="Note 2 4 2 2 2 4" xfId="5767" xr:uid="{A7FC4C18-434C-4D5A-976B-8394928EBD1F}"/>
    <cellStyle name="Note 2 4 2 2 2 4 2" xfId="11620" xr:uid="{0270FFFC-4FFB-4CF4-8E97-187ED724472E}"/>
    <cellStyle name="Note 2 4 2 2 2 4 2 2" xfId="20666" xr:uid="{1E8F6BFE-4A3E-42E6-8254-22086FA389FF}"/>
    <cellStyle name="Note 2 4 2 2 2 4 3" xfId="17180" xr:uid="{FEB50F31-EFA9-4ADF-A2AA-86E5EF91E8BE}"/>
    <cellStyle name="Note 2 4 2 2 2 5" xfId="6378" xr:uid="{27218264-90E3-4C5A-8FE6-D66B4DEF91C6}"/>
    <cellStyle name="Note 2 4 2 2 2 5 2" xfId="12225" xr:uid="{D1910945-E982-4F6F-A2F2-2A0D91E2651E}"/>
    <cellStyle name="Note 2 4 2 2 2 5 2 2" xfId="21271" xr:uid="{97A97D73-F5B0-47DE-9F8F-CC026C2B9A39}"/>
    <cellStyle name="Note 2 4 2 2 2 5 3" xfId="17791" xr:uid="{4E5A3318-4C56-4E6E-88CC-90C56D899DA4}"/>
    <cellStyle name="Note 2 4 2 2 2 6" xfId="9639" xr:uid="{E5F5C585-1604-4C4A-B8F3-A8F1A86208AB}"/>
    <cellStyle name="Note 2 4 2 2 2 6 2" xfId="18685" xr:uid="{99E14E7B-2C62-463A-9941-67C3AAFDA4E8}"/>
    <cellStyle name="Note 2 4 2 2 2 7" xfId="13037" xr:uid="{04F951DD-274A-4A02-AE38-81F7DCB13610}"/>
    <cellStyle name="Note 2 4 2 2 2 8" xfId="13594" xr:uid="{62BCF3B6-20B9-4064-A2FF-1A70C833B8B7}"/>
    <cellStyle name="Note 2 4 2 2 2 9" xfId="14233" xr:uid="{57A147F4-3DE8-4EC6-98EC-D3BE730569ED}"/>
    <cellStyle name="Note 2 4 2 2 3" xfId="3216" xr:uid="{239F212C-ED38-4FFA-83FA-CB968A5F764D}"/>
    <cellStyle name="Note 2 4 2 2 3 10" xfId="14996" xr:uid="{FEA70BB1-5319-4555-9DDA-9578F83E45A9}"/>
    <cellStyle name="Note 2 4 2 2 3 11" xfId="21866" xr:uid="{C078F1AA-218F-4083-B1BA-0F7026457D14}"/>
    <cellStyle name="Note 2 4 2 2 3 2" xfId="4439" xr:uid="{1039B27C-1E6D-4834-8856-3D0E10A91F36}"/>
    <cellStyle name="Note 2 4 2 2 3 2 2" xfId="10296" xr:uid="{1CA1EC41-13F6-457C-A828-74CFC3AE64AA}"/>
    <cellStyle name="Note 2 4 2 2 3 2 2 2" xfId="19342" xr:uid="{8BD44028-9456-40D5-ACD3-0E65F32F23EC}"/>
    <cellStyle name="Note 2 4 2 2 3 2 3" xfId="15856" xr:uid="{E5C96C59-2F5F-40C0-8684-C142B50361EA}"/>
    <cellStyle name="Note 2 4 2 2 3 2 4" xfId="22522" xr:uid="{30F2B2B3-6FC6-484D-95F4-8DB1D36009CF}"/>
    <cellStyle name="Note 2 4 2 2 3 3" xfId="4940" xr:uid="{ACBB583F-F0C1-4564-9DCD-B0789858E935}"/>
    <cellStyle name="Note 2 4 2 2 3 3 2" xfId="10793" xr:uid="{BC4FEC83-59D8-46CD-BD03-76E0CFD7ABF9}"/>
    <cellStyle name="Note 2 4 2 2 3 3 2 2" xfId="19839" xr:uid="{BA6F2409-6546-4439-A4AB-DBA35A43D6CD}"/>
    <cellStyle name="Note 2 4 2 2 3 3 3" xfId="16353" xr:uid="{B46C4A6E-EA7A-4A59-805E-A2D448B786DE}"/>
    <cellStyle name="Note 2 4 2 2 3 3 4" xfId="23017" xr:uid="{37D9A430-BEC0-4C42-B320-D604557A5D48}"/>
    <cellStyle name="Note 2 4 2 2 3 4" xfId="5555" xr:uid="{E260ED64-0541-4925-9081-891A5420B700}"/>
    <cellStyle name="Note 2 4 2 2 3 4 2" xfId="11408" xr:uid="{63F5682E-2531-4811-A91D-C4B66B76C1DE}"/>
    <cellStyle name="Note 2 4 2 2 3 4 2 2" xfId="20454" xr:uid="{A5C065B1-7037-495C-8322-DE5E86CD5003}"/>
    <cellStyle name="Note 2 4 2 2 3 4 3" xfId="16968" xr:uid="{1D96C8A0-2049-4583-9350-97B410B5C4B6}"/>
    <cellStyle name="Note 2 4 2 2 3 5" xfId="6166" xr:uid="{5AF4F388-2EE7-49CF-9B3F-05534D20F4E8}"/>
    <cellStyle name="Note 2 4 2 2 3 5 2" xfId="12013" xr:uid="{390BEDBB-6369-4F2E-9567-B71CB220CC03}"/>
    <cellStyle name="Note 2 4 2 2 3 5 2 2" xfId="21059" xr:uid="{731E49FF-5643-4E1B-915B-1F46A7A4635C}"/>
    <cellStyle name="Note 2 4 2 2 3 5 3" xfId="17579" xr:uid="{813F39F1-D345-4FEA-9400-804946E3F373}"/>
    <cellStyle name="Note 2 4 2 2 3 6" xfId="9427" xr:uid="{C236B3F8-8175-4AF4-AA94-1E07CF9B68EE}"/>
    <cellStyle name="Note 2 4 2 2 3 6 2" xfId="18473" xr:uid="{8561DF4F-7E11-4A11-B4D9-7960963BF53D}"/>
    <cellStyle name="Note 2 4 2 2 3 7" xfId="12825" xr:uid="{FC944D62-8E8C-419E-9F90-F7D20C9FE97F}"/>
    <cellStyle name="Note 2 4 2 2 3 8" xfId="13383" xr:uid="{05038EB4-8CFB-4B4E-ABC4-50AE3F0AF385}"/>
    <cellStyle name="Note 2 4 2 2 3 9" xfId="14021" xr:uid="{CC773D7A-D128-4D7E-BDE9-3DCCD7D85963}"/>
    <cellStyle name="Note 2 4 2 2 4" xfId="4020" xr:uid="{A0D18573-A5C2-40F3-9E7D-8C6BB50D6686}"/>
    <cellStyle name="Note 2 4 2 2 4 2" xfId="9882" xr:uid="{D81C23F4-1C22-4567-81D6-F4011B7D16D7}"/>
    <cellStyle name="Note 2 4 2 2 4 2 2" xfId="18928" xr:uid="{CAD460F0-0415-4006-984E-21B763CA7F74}"/>
    <cellStyle name="Note 2 4 2 2 4 3" xfId="15444" xr:uid="{05A3286C-376A-4DBA-A0CA-4A8CEF2329B1}"/>
    <cellStyle name="Note 2 4 2 2 4 4" xfId="22212" xr:uid="{177B8F92-840A-4EE8-823F-9C0C77770226}"/>
    <cellStyle name="Note 2 4 2 2 5" xfId="4092" xr:uid="{D1E4357C-52B7-4F8B-B74F-C4DA22C92E2B}"/>
    <cellStyle name="Note 2 4 2 2 5 2" xfId="9949" xr:uid="{E86D4FD1-1D10-4D00-8237-D7BF39CCF25F}"/>
    <cellStyle name="Note 2 4 2 2 5 2 2" xfId="18995" xr:uid="{2070D3D0-FC67-4B48-BFF7-07E293CD2E87}"/>
    <cellStyle name="Note 2 4 2 2 5 3" xfId="15509" xr:uid="{20DD85FC-C162-4732-8912-5CF33765F1BE}"/>
    <cellStyle name="Note 2 4 2 2 6" xfId="5340" xr:uid="{0B0A0FD2-652F-498C-8F51-5A7D54D4B136}"/>
    <cellStyle name="Note 2 4 2 2 6 2" xfId="11193" xr:uid="{FACB6127-757A-4713-AD12-4E7863593AFD}"/>
    <cellStyle name="Note 2 4 2 2 6 2 2" xfId="20239" xr:uid="{C51781A6-CAEE-453D-AD93-86A9A907986B}"/>
    <cellStyle name="Note 2 4 2 2 6 3" xfId="16753" xr:uid="{5CCEC1E3-2411-4622-9D9D-75CBA80571F3}"/>
    <cellStyle name="Note 2 4 2 2 7" xfId="5951" xr:uid="{358BFF40-EE49-4823-9895-12010B17E92D}"/>
    <cellStyle name="Note 2 4 2 2 7 2" xfId="11802" xr:uid="{6C860088-E3C8-4C26-B7FE-C85895972702}"/>
    <cellStyle name="Note 2 4 2 2 7 2 2" xfId="20848" xr:uid="{A4E4B9DF-F70A-4E94-90AA-F958DF2FD314}"/>
    <cellStyle name="Note 2 4 2 2 7 3" xfId="17364" xr:uid="{20DDAF20-6F1C-4DCA-A467-B040DD9E3FB9}"/>
    <cellStyle name="Note 2 4 2 2 8" xfId="9212" xr:uid="{13BCC172-5E0A-4B31-8C42-9A94644EED23}"/>
    <cellStyle name="Note 2 4 2 2 8 2" xfId="18258" xr:uid="{539BE120-1237-40FB-BF6E-5D591B92BF14}"/>
    <cellStyle name="Note 2 4 2 2 9" xfId="12610" xr:uid="{AA889578-C54B-482E-871B-9B34058C88D5}"/>
    <cellStyle name="Note 2 4 2 3" xfId="2654" xr:uid="{41F7C41A-AEBE-41CD-B2A0-EC7E03DBCD9D}"/>
    <cellStyle name="Note 2 4 2 3 10" xfId="13807" xr:uid="{A00D3A43-8D36-45A2-9BF7-48729BF8F9CA}"/>
    <cellStyle name="Note 2 4 2 3 11" xfId="14782" xr:uid="{FC635C98-853D-40B3-B79F-D6E630429C50}"/>
    <cellStyle name="Note 2 4 2 3 12" xfId="21652" xr:uid="{60683ACB-D63F-4755-9EA2-2D37BBFBD38F}"/>
    <cellStyle name="Note 2 4 2 3 2" xfId="3424" xr:uid="{7F75A697-8BB3-4249-A6F5-B1F4570D4D1B}"/>
    <cellStyle name="Note 2 4 2 3 2 10" xfId="15209" xr:uid="{635108DC-BA58-44AD-93AB-4060504342AA}"/>
    <cellStyle name="Note 2 4 2 3 2 11" xfId="22078" xr:uid="{3F4B0A44-A768-4978-AC0B-729CE208AE1E}"/>
    <cellStyle name="Note 2 4 2 3 2 2" xfId="4652" xr:uid="{B20614AD-9F77-47B5-8BC2-B273AD0AC89E}"/>
    <cellStyle name="Note 2 4 2 3 2 2 2" xfId="10509" xr:uid="{5BAF8CF9-13E0-4E32-99E3-86AA7E077B07}"/>
    <cellStyle name="Note 2 4 2 3 2 2 2 2" xfId="19555" xr:uid="{4FECCD94-8F76-4A85-A9CB-592252C2DFDB}"/>
    <cellStyle name="Note 2 4 2 3 2 2 3" xfId="16069" xr:uid="{4971617C-F2BE-455F-B04A-FA6C1499C152}"/>
    <cellStyle name="Note 2 4 2 3 2 2 4" xfId="22734" xr:uid="{8C6CE547-1D6B-4E8E-A835-379DCF87CF7B}"/>
    <cellStyle name="Note 2 4 2 3 2 3" xfId="5153" xr:uid="{3DE30CCA-E87A-4DB0-B60A-87EF8855E3B6}"/>
    <cellStyle name="Note 2 4 2 3 2 3 2" xfId="11006" xr:uid="{A3695700-B35A-4C35-A252-2D0C0C43C4B0}"/>
    <cellStyle name="Note 2 4 2 3 2 3 2 2" xfId="20052" xr:uid="{8E2C6D9E-3324-47EF-9C4F-7C2C22FAC365}"/>
    <cellStyle name="Note 2 4 2 3 2 3 3" xfId="16566" xr:uid="{1BF99040-44D4-4D20-BE92-4AB8B34F5E5A}"/>
    <cellStyle name="Note 2 4 2 3 2 3 4" xfId="23229" xr:uid="{D99D1F47-0B7F-4F4F-AC0E-53295D6E6837}"/>
    <cellStyle name="Note 2 4 2 3 2 4" xfId="5768" xr:uid="{C988A392-5998-4298-84F3-B0B84E9E2473}"/>
    <cellStyle name="Note 2 4 2 3 2 4 2" xfId="11621" xr:uid="{00A9D91C-86AB-42F8-B284-B7463A8435D9}"/>
    <cellStyle name="Note 2 4 2 3 2 4 2 2" xfId="20667" xr:uid="{12B558EF-9F8B-4D2F-9183-049A25E40758}"/>
    <cellStyle name="Note 2 4 2 3 2 4 3" xfId="17181" xr:uid="{CEC3078B-ADCB-43B2-BAC9-2D4D26FEAE75}"/>
    <cellStyle name="Note 2 4 2 3 2 5" xfId="6379" xr:uid="{81989ADF-DEAD-4D13-9A8B-B10040556C67}"/>
    <cellStyle name="Note 2 4 2 3 2 5 2" xfId="12226" xr:uid="{EA77A998-EDF6-43AB-9E6A-7B3EB325D297}"/>
    <cellStyle name="Note 2 4 2 3 2 5 2 2" xfId="21272" xr:uid="{9580560E-DA3B-4321-B330-EE85F8DAB2AE}"/>
    <cellStyle name="Note 2 4 2 3 2 5 3" xfId="17792" xr:uid="{3E61BD3D-5B29-47BD-B416-F908862EEC52}"/>
    <cellStyle name="Note 2 4 2 3 2 6" xfId="9640" xr:uid="{29B8A863-C5D0-4B13-BCD6-9585877ACA67}"/>
    <cellStyle name="Note 2 4 2 3 2 6 2" xfId="18686" xr:uid="{CCBD6ADA-C7B1-46B3-9523-00D8F4E5B8E4}"/>
    <cellStyle name="Note 2 4 2 3 2 7" xfId="13038" xr:uid="{DBBC15A1-7A15-42EF-B21B-858EAED443DF}"/>
    <cellStyle name="Note 2 4 2 3 2 8" xfId="13595" xr:uid="{3D77F850-A6D8-4536-86D5-C847807AA540}"/>
    <cellStyle name="Note 2 4 2 3 2 9" xfId="14234" xr:uid="{7872FE45-A02E-4BF7-BA8F-1AF797C8FB4E}"/>
    <cellStyle name="Note 2 4 2 3 3" xfId="3217" xr:uid="{17B58992-7DB4-49E9-BEE0-E07DD32865D0}"/>
    <cellStyle name="Note 2 4 2 3 3 10" xfId="14997" xr:uid="{DFDB3163-441A-49B3-8CB2-36C62337FD0C}"/>
    <cellStyle name="Note 2 4 2 3 3 11" xfId="21867" xr:uid="{A152268E-9794-453C-AA40-8781949FE418}"/>
    <cellStyle name="Note 2 4 2 3 3 2" xfId="4440" xr:uid="{B23E8DF9-23E9-4C39-B4FE-A28AA7B42795}"/>
    <cellStyle name="Note 2 4 2 3 3 2 2" xfId="10297" xr:uid="{F809A7DA-AAF3-4351-8299-D038971BA02A}"/>
    <cellStyle name="Note 2 4 2 3 3 2 2 2" xfId="19343" xr:uid="{0E731E0D-0F0C-415E-9968-8D45E18A95C3}"/>
    <cellStyle name="Note 2 4 2 3 3 2 3" xfId="15857" xr:uid="{73A8AB74-9D23-4C27-81CB-260EA8179232}"/>
    <cellStyle name="Note 2 4 2 3 3 2 4" xfId="22523" xr:uid="{B34FE2E4-A770-4516-B48B-5168DEE33B78}"/>
    <cellStyle name="Note 2 4 2 3 3 3" xfId="4941" xr:uid="{F3D48D19-6DFC-47E0-B065-41215213A5E2}"/>
    <cellStyle name="Note 2 4 2 3 3 3 2" xfId="10794" xr:uid="{89E1BEB3-FD7F-4D93-A124-38E34E4DB3BC}"/>
    <cellStyle name="Note 2 4 2 3 3 3 2 2" xfId="19840" xr:uid="{389E808A-F011-41DE-B904-BA8E9DAA2D5C}"/>
    <cellStyle name="Note 2 4 2 3 3 3 3" xfId="16354" xr:uid="{032EC70F-25BE-40F8-B886-158214183C3C}"/>
    <cellStyle name="Note 2 4 2 3 3 3 4" xfId="23018" xr:uid="{3FE1EF84-EA4B-4F37-A8FF-2A49A9090414}"/>
    <cellStyle name="Note 2 4 2 3 3 4" xfId="5556" xr:uid="{878F27C4-C562-4A36-8F39-2DAC5ABC9574}"/>
    <cellStyle name="Note 2 4 2 3 3 4 2" xfId="11409" xr:uid="{1F7F79B6-89E1-4EB0-A5DF-10B11FC84C20}"/>
    <cellStyle name="Note 2 4 2 3 3 4 2 2" xfId="20455" xr:uid="{70B2664A-EB4C-4B31-B9B9-E4C7A44F08EA}"/>
    <cellStyle name="Note 2 4 2 3 3 4 3" xfId="16969" xr:uid="{3DDD2A84-CE48-47C8-9D37-98D29D55D410}"/>
    <cellStyle name="Note 2 4 2 3 3 5" xfId="6167" xr:uid="{29E16A88-6569-456D-851F-4908AA31E697}"/>
    <cellStyle name="Note 2 4 2 3 3 5 2" xfId="12014" xr:uid="{22069AF5-F9C6-4B5F-9235-DF3A0CAFF9E1}"/>
    <cellStyle name="Note 2 4 2 3 3 5 2 2" xfId="21060" xr:uid="{DD0648C6-BD47-4059-B395-A5DF3B8BB7D2}"/>
    <cellStyle name="Note 2 4 2 3 3 5 3" xfId="17580" xr:uid="{C81B684B-5BD5-4DEE-8C93-B6ABEAF7EF21}"/>
    <cellStyle name="Note 2 4 2 3 3 6" xfId="9428" xr:uid="{A8CE8799-DEBE-4042-8A6D-9C63CE7C2319}"/>
    <cellStyle name="Note 2 4 2 3 3 6 2" xfId="18474" xr:uid="{BC2515CC-C314-4CEE-A215-64D73745033C}"/>
    <cellStyle name="Note 2 4 2 3 3 7" xfId="12826" xr:uid="{EB35D0B3-36DF-4F90-B5C1-BB6B54F485B5}"/>
    <cellStyle name="Note 2 4 2 3 3 8" xfId="13384" xr:uid="{20E04234-2D12-4C17-86B3-2591860963A2}"/>
    <cellStyle name="Note 2 4 2 3 3 9" xfId="14022" xr:uid="{19B57D80-69DF-4206-AFA7-223FA75ADF63}"/>
    <cellStyle name="Note 2 4 2 3 4" xfId="4091" xr:uid="{5430945E-2DAC-4D84-99AB-0C2208A904AA}"/>
    <cellStyle name="Note 2 4 2 3 4 2" xfId="9948" xr:uid="{3F5FCF5B-B99F-4622-BB7A-8C0A29DCE695}"/>
    <cellStyle name="Note 2 4 2 3 4 2 2" xfId="18994" xr:uid="{C14ED21B-EC03-45BF-A3E8-A0F3402B6532}"/>
    <cellStyle name="Note 2 4 2 3 4 3" xfId="15508" xr:uid="{5D007F41-26EA-473A-9472-A44412ACB7C1}"/>
    <cellStyle name="Note 2 4 2 3 4 4" xfId="22211" xr:uid="{44027B90-2432-4F02-A736-5133C2AF906B}"/>
    <cellStyle name="Note 2 4 2 3 5" xfId="5341" xr:uid="{15BF5D69-F987-46EE-85FC-3B616A327423}"/>
    <cellStyle name="Note 2 4 2 3 5 2" xfId="11194" xr:uid="{1ED6141C-2454-4B6F-97FD-99E21A088BFF}"/>
    <cellStyle name="Note 2 4 2 3 5 2 2" xfId="20240" xr:uid="{7781C615-0567-441E-A2EB-23040024B8D8}"/>
    <cellStyle name="Note 2 4 2 3 5 3" xfId="16754" xr:uid="{394DAB64-E55D-4086-949A-D8BD4401D049}"/>
    <cellStyle name="Note 2 4 2 3 6" xfId="5952" xr:uid="{35CC7235-4BEA-41A7-825E-898BF21F1D9B}"/>
    <cellStyle name="Note 2 4 2 3 6 2" xfId="11803" xr:uid="{4C640BE3-82B0-4095-8E2E-53090F83A72E}"/>
    <cellStyle name="Note 2 4 2 3 6 2 2" xfId="20849" xr:uid="{4A15A408-BE91-4433-A82E-84840426988E}"/>
    <cellStyle name="Note 2 4 2 3 6 3" xfId="17365" xr:uid="{DBC8AC6C-FF8D-4709-9F24-C9611E238472}"/>
    <cellStyle name="Note 2 4 2 3 7" xfId="9213" xr:uid="{DC04A5F5-39D9-4BC3-B2EA-0BDAEBAAECBB}"/>
    <cellStyle name="Note 2 4 2 3 7 2" xfId="18259" xr:uid="{AF3F02CD-5296-4639-87FB-F3B1AA196F74}"/>
    <cellStyle name="Note 2 4 2 3 8" xfId="12611" xr:uid="{0B17DC83-D4A9-4FC0-B305-994233F3F188}"/>
    <cellStyle name="Note 2 4 2 3 9" xfId="13173" xr:uid="{25624AB1-E9CF-4B2C-896D-76FE19394790}"/>
    <cellStyle name="Note 2 4 2 4" xfId="3363" xr:uid="{BAC390CB-D37A-4201-8D82-F7C0AC74E052}"/>
    <cellStyle name="Note 2 4 2 4 10" xfId="15143" xr:uid="{B0F500D1-CE57-40CE-94E3-EEE160DB1509}"/>
    <cellStyle name="Note 2 4 2 4 11" xfId="22012" xr:uid="{C34C1736-EE30-4A6B-A9C1-6484C5B7FAD6}"/>
    <cellStyle name="Note 2 4 2 4 2" xfId="4586" xr:uid="{D46FE0C0-3712-482C-A136-92E68DE2CE8B}"/>
    <cellStyle name="Note 2 4 2 4 2 2" xfId="10443" xr:uid="{E330BA72-8C97-404A-98EB-A46D2162FFFD}"/>
    <cellStyle name="Note 2 4 2 4 2 2 2" xfId="19489" xr:uid="{04C0DFF0-8B66-4CE9-BE36-408887DEF749}"/>
    <cellStyle name="Note 2 4 2 4 2 3" xfId="16003" xr:uid="{295469CB-ED98-477D-976E-0D64E93653FF}"/>
    <cellStyle name="Note 2 4 2 4 2 4" xfId="22668" xr:uid="{5643357A-02FD-479B-BF6E-064DA724044D}"/>
    <cellStyle name="Note 2 4 2 4 3" xfId="5087" xr:uid="{6ED16269-D9D3-45DC-96AF-672F38F581C7}"/>
    <cellStyle name="Note 2 4 2 4 3 2" xfId="10940" xr:uid="{9D2702E7-CAA5-44F1-9A76-51111F037CB6}"/>
    <cellStyle name="Note 2 4 2 4 3 2 2" xfId="19986" xr:uid="{031FE301-A654-4F11-9135-27F8BAD59521}"/>
    <cellStyle name="Note 2 4 2 4 3 3" xfId="16500" xr:uid="{8DACBD59-2D56-4731-B9B2-3EB43138FE05}"/>
    <cellStyle name="Note 2 4 2 4 3 4" xfId="23163" xr:uid="{B36EE5E3-BD41-4001-9D0B-5E736EBAAA96}"/>
    <cellStyle name="Note 2 4 2 4 4" xfId="5702" xr:uid="{91B15A17-1C45-43DA-AADB-B7867F43031B}"/>
    <cellStyle name="Note 2 4 2 4 4 2" xfId="11555" xr:uid="{AC0BA728-8465-4EF5-8DEF-DBE103B24218}"/>
    <cellStyle name="Note 2 4 2 4 4 2 2" xfId="20601" xr:uid="{96CF6BD8-CAF0-449F-99AC-F02E64D2D30C}"/>
    <cellStyle name="Note 2 4 2 4 4 3" xfId="17115" xr:uid="{97B7DDBE-D64F-4931-9AEF-1C72CACD777C}"/>
    <cellStyle name="Note 2 4 2 4 5" xfId="6313" xr:uid="{3D91A5B4-633B-4C3E-B19E-397CD7D674E0}"/>
    <cellStyle name="Note 2 4 2 4 5 2" xfId="12160" xr:uid="{101007B3-A0D1-4FBC-80F6-B63C0471ED6D}"/>
    <cellStyle name="Note 2 4 2 4 5 2 2" xfId="21206" xr:uid="{5A87B5CA-E250-41E2-A481-6078BBD7E04B}"/>
    <cellStyle name="Note 2 4 2 4 5 3" xfId="17726" xr:uid="{E34BC6C3-ACA4-413E-8E2A-BFAA90786F32}"/>
    <cellStyle name="Note 2 4 2 4 6" xfId="9574" xr:uid="{598C31BC-65B6-4228-9AB3-BFDCBE070247}"/>
    <cellStyle name="Note 2 4 2 4 6 2" xfId="18620" xr:uid="{D1CF3A9B-FB7A-4C8E-8ACA-CC55388E41EC}"/>
    <cellStyle name="Note 2 4 2 4 7" xfId="12972" xr:uid="{6454CD99-E348-4CED-97ED-2C28D0E3DD1C}"/>
    <cellStyle name="Note 2 4 2 4 8" xfId="13529" xr:uid="{9CC8C1FF-B5B8-40F4-BE1E-E7AAB152DD46}"/>
    <cellStyle name="Note 2 4 2 4 9" xfId="14168" xr:uid="{46F02FFE-DFF3-4850-9E4D-69B901CA9E9E}"/>
    <cellStyle name="Note 2 4 2 5" xfId="3151" xr:uid="{EE65B409-D74F-4460-8A46-CEE0A43FB4C6}"/>
    <cellStyle name="Note 2 4 2 5 10" xfId="14931" xr:uid="{6FB76291-03E4-486D-886C-A2E2B7D4ECB2}"/>
    <cellStyle name="Note 2 4 2 5 11" xfId="21799" xr:uid="{9D74075E-54EE-4952-888C-49EFFBC42712}"/>
    <cellStyle name="Note 2 4 2 5 2" xfId="4372" xr:uid="{C2FE98C8-4853-4FAA-B170-FFC546B56696}"/>
    <cellStyle name="Note 2 4 2 5 2 2" xfId="10229" xr:uid="{A0943894-9979-4600-A95A-EF130DEC4149}"/>
    <cellStyle name="Note 2 4 2 5 2 2 2" xfId="19275" xr:uid="{D08E4F31-0275-4117-BCC2-F985A39A86FA}"/>
    <cellStyle name="Note 2 4 2 5 2 3" xfId="15789" xr:uid="{B8C9AD56-CB98-41CB-A250-3AA8BFD5BEDC}"/>
    <cellStyle name="Note 2 4 2 5 2 4" xfId="22455" xr:uid="{A7FEB08D-C946-48D9-AC9E-F80B3A59985F}"/>
    <cellStyle name="Note 2 4 2 5 3" xfId="4873" xr:uid="{9891148A-9F54-4D0D-8AFE-A06263B46AA4}"/>
    <cellStyle name="Note 2 4 2 5 3 2" xfId="10728" xr:uid="{0FD9679C-5B56-4D9B-B528-66183C595E10}"/>
    <cellStyle name="Note 2 4 2 5 3 2 2" xfId="19774" xr:uid="{CED7333C-DA35-4986-AE35-6FEBE51280F3}"/>
    <cellStyle name="Note 2 4 2 5 3 3" xfId="16288" xr:uid="{6D9D8582-942B-4CE2-9BD1-A4E0003CB1C7}"/>
    <cellStyle name="Note 2 4 2 5 3 4" xfId="22950" xr:uid="{8488AB4A-E56A-48E0-9D50-4D52016F46EA}"/>
    <cellStyle name="Note 2 4 2 5 4" xfId="5488" xr:uid="{85A813C9-1872-4A41-B649-4D78999FFDD8}"/>
    <cellStyle name="Note 2 4 2 5 4 2" xfId="11341" xr:uid="{D90C2677-11D8-411E-999F-C2C9E1CED5D8}"/>
    <cellStyle name="Note 2 4 2 5 4 2 2" xfId="20387" xr:uid="{5B079AAE-89FA-49B4-8176-FD37873D3E20}"/>
    <cellStyle name="Note 2 4 2 5 4 3" xfId="16901" xr:uid="{28682CC5-924E-4AD6-B46A-5BC6AA52131B}"/>
    <cellStyle name="Note 2 4 2 5 5" xfId="6099" xr:uid="{A152FCE5-DF3A-4D43-BD0D-F284816107BB}"/>
    <cellStyle name="Note 2 4 2 5 5 2" xfId="11948" xr:uid="{9D55F65E-1246-4708-BB85-119ADBC692A1}"/>
    <cellStyle name="Note 2 4 2 5 5 2 2" xfId="20994" xr:uid="{5D74BBCB-7365-47C3-A777-3FEB881C7C7B}"/>
    <cellStyle name="Note 2 4 2 5 5 3" xfId="17512" xr:uid="{6E6FB953-B585-40B4-BEA5-9E3EA006A53E}"/>
    <cellStyle name="Note 2 4 2 5 6" xfId="9362" xr:uid="{296423D2-B469-44F4-AB53-EA505DCCF755}"/>
    <cellStyle name="Note 2 4 2 5 6 2" xfId="18408" xr:uid="{1EA9247E-D699-490B-8DE2-A70AA36B7AFC}"/>
    <cellStyle name="Note 2 4 2 5 7" xfId="12758" xr:uid="{E9CA2219-BB52-4823-AC7C-9AC24B3165CB}"/>
    <cellStyle name="Note 2 4 2 5 8" xfId="13318" xr:uid="{F7F0E9F9-F697-47E3-8B43-C212CAF7B61F}"/>
    <cellStyle name="Note 2 4 2 5 9" xfId="13954" xr:uid="{06577E80-623F-41AA-820F-F3563814A988}"/>
    <cellStyle name="Note 2 4 2 6" xfId="3752" xr:uid="{87449C79-E1F1-40C8-9294-7495CEB7DE57}"/>
    <cellStyle name="Note 2 4 2 6 2" xfId="9794" xr:uid="{05DBF750-B1C7-45F2-8573-3B043A96A2E3}"/>
    <cellStyle name="Note 2 4 2 6 2 2" xfId="18840" xr:uid="{17B7416C-AF81-48BF-9DFD-3CFEEBC8FC64}"/>
    <cellStyle name="Note 2 4 2 6 3" xfId="15360" xr:uid="{8526FFEC-60C1-4F80-A45A-4F56B2F45198}"/>
    <cellStyle name="Note 2 4 2 6 4" xfId="22339" xr:uid="{C4191F66-EED2-4042-B399-E513075BB9C1}"/>
    <cellStyle name="Note 2 4 2 7" xfId="4236" xr:uid="{0B2B5DFE-7884-4083-A25C-63FADBE16A96}"/>
    <cellStyle name="Note 2 4 2 7 2" xfId="10093" xr:uid="{4676EA3A-9A73-4E6F-873A-6C2D08C5FAA5}"/>
    <cellStyle name="Note 2 4 2 7 2 2" xfId="19139" xr:uid="{96847280-508A-4F6E-B968-AE24722920DD}"/>
    <cellStyle name="Note 2 4 2 7 3" xfId="15653" xr:uid="{0517C080-0A8D-4384-B807-6CCD1AB2F911}"/>
    <cellStyle name="Note 2 4 2 7 4" xfId="22263" xr:uid="{77990ED0-4F81-4641-B95B-28C5D4C92864}"/>
    <cellStyle name="Note 2 4 2 8" xfId="4141" xr:uid="{4003CCF6-0DA7-4F50-BE7B-23C806DB298B}"/>
    <cellStyle name="Note 2 4 2 8 2" xfId="9998" xr:uid="{AE668869-374A-41FD-A414-4974BB7E05E2}"/>
    <cellStyle name="Note 2 4 2 8 2 2" xfId="19044" xr:uid="{FD3DCB01-BCAB-47D3-88B5-88197B8BECB6}"/>
    <cellStyle name="Note 2 4 2 8 3" xfId="15558" xr:uid="{55A15900-D46F-412C-8690-CD4128751692}"/>
    <cellStyle name="Note 2 4 2 9" xfId="5273" xr:uid="{5C068598-082E-4F64-855A-2B58E459D9A8}"/>
    <cellStyle name="Note 2 4 2 9 2" xfId="11126" xr:uid="{B347FF63-996B-4EE0-9AE6-00454EC4902C}"/>
    <cellStyle name="Note 2 4 2 9 2 2" xfId="20172" xr:uid="{C7EBC70A-4E46-4300-920E-E14F7501489F}"/>
    <cellStyle name="Note 2 4 2 9 3" xfId="16686" xr:uid="{D3BD637F-4346-4842-925A-D33E0CF16C63}"/>
    <cellStyle name="Note 2 4 3" xfId="2394" xr:uid="{C8188C07-BBA4-4AA7-B7FE-30686DE1C54D}"/>
    <cellStyle name="Note 2 4 3 10" xfId="13174" xr:uid="{6262CED1-2407-4046-A793-271219457E68}"/>
    <cellStyle name="Note 2 4 3 11" xfId="13808" xr:uid="{102B9993-7D45-4A7F-A51E-E4C8FD26926B}"/>
    <cellStyle name="Note 2 4 3 12" xfId="14783" xr:uid="{1B4F1246-5180-43E7-BAD4-C6697ACAB65F}"/>
    <cellStyle name="Note 2 4 3 13" xfId="21653" xr:uid="{4ED2C952-E801-4417-9F54-8CB5278EB187}"/>
    <cellStyle name="Note 2 4 3 14" xfId="23981" xr:uid="{45E0AEE6-64B5-4381-838F-E3C78D8284F3}"/>
    <cellStyle name="Note 2 4 3 2" xfId="2652" xr:uid="{3A5F789A-2EA9-4BC0-A0D5-1EFA3A170CBD}"/>
    <cellStyle name="Note 2 4 3 2 10" xfId="15210" xr:uid="{68EEDEE8-63BE-47D2-8730-29F612F1F43B}"/>
    <cellStyle name="Note 2 4 3 2 11" xfId="22079" xr:uid="{3E108E16-59A6-477A-ABA3-83418E7F4D9B}"/>
    <cellStyle name="Note 2 4 3 2 2" xfId="4653" xr:uid="{DA08F788-AA4C-4E3D-A5AC-9C93C460EB01}"/>
    <cellStyle name="Note 2 4 3 2 2 2" xfId="10510" xr:uid="{BF611333-748E-470A-9EFD-FF510C53FAB1}"/>
    <cellStyle name="Note 2 4 3 2 2 2 2" xfId="19556" xr:uid="{CB8DDD72-0BD4-4A26-A7C4-5594BC73CFEF}"/>
    <cellStyle name="Note 2 4 3 2 2 3" xfId="16070" xr:uid="{94B6537A-9D2B-42B5-ADC7-6D00E63FB56B}"/>
    <cellStyle name="Note 2 4 3 2 2 4" xfId="22735" xr:uid="{B83D2463-B85B-430E-8AA1-C0B1F8689D73}"/>
    <cellStyle name="Note 2 4 3 2 3" xfId="5154" xr:uid="{DC27580E-6CF1-4457-885A-64871DEAA834}"/>
    <cellStyle name="Note 2 4 3 2 3 2" xfId="11007" xr:uid="{861539E2-6003-40F9-97DC-4612A5137436}"/>
    <cellStyle name="Note 2 4 3 2 3 2 2" xfId="20053" xr:uid="{B55E2584-6101-4BB3-A110-B7B0AE6B12F9}"/>
    <cellStyle name="Note 2 4 3 2 3 3" xfId="16567" xr:uid="{ECDE5C53-CD3F-4A2A-90EF-5EEBE92A9A67}"/>
    <cellStyle name="Note 2 4 3 2 3 4" xfId="23230" xr:uid="{44E5DC9A-1690-40E8-9E96-BDE8A250A8F2}"/>
    <cellStyle name="Note 2 4 3 2 4" xfId="5769" xr:uid="{2429EEB5-EB9B-49C2-ACD0-26074DE7EC0A}"/>
    <cellStyle name="Note 2 4 3 2 4 2" xfId="11622" xr:uid="{83B63019-2E1D-4CEB-AEDA-4D4EEC37BEF6}"/>
    <cellStyle name="Note 2 4 3 2 4 2 2" xfId="20668" xr:uid="{0AEE6C33-731F-4FBC-9DAB-4A69640425B0}"/>
    <cellStyle name="Note 2 4 3 2 4 3" xfId="17182" xr:uid="{812768E5-F481-48F6-A55C-1D7885ED6E3C}"/>
    <cellStyle name="Note 2 4 3 2 5" xfId="6380" xr:uid="{B64DCF24-2B98-4E91-A898-EFF53FC35721}"/>
    <cellStyle name="Note 2 4 3 2 5 2" xfId="12227" xr:uid="{3BED14D3-F4C8-4A90-8C0E-9F7C948BF51C}"/>
    <cellStyle name="Note 2 4 3 2 5 2 2" xfId="21273" xr:uid="{48543DFE-8C93-4847-AD2D-FE29F5A5ED97}"/>
    <cellStyle name="Note 2 4 3 2 5 3" xfId="17793" xr:uid="{056A05D3-1BE9-484B-8B27-5640C4483240}"/>
    <cellStyle name="Note 2 4 3 2 6" xfId="9641" xr:uid="{B8874B12-DBC8-4444-ACB4-55EAA3635651}"/>
    <cellStyle name="Note 2 4 3 2 6 2" xfId="18687" xr:uid="{46EF53B9-57CD-4D4B-B7C6-CA84C35D37DC}"/>
    <cellStyle name="Note 2 4 3 2 7" xfId="13039" xr:uid="{D5D59906-2FD6-41D1-AE20-D15BAC516324}"/>
    <cellStyle name="Note 2 4 3 2 8" xfId="13596" xr:uid="{FB22BFE0-3C6C-4289-9600-96A546DB7521}"/>
    <cellStyle name="Note 2 4 3 2 9" xfId="14235" xr:uid="{93116FD3-7D04-4758-B229-6FBE33F75255}"/>
    <cellStyle name="Note 2 4 3 3" xfId="3218" xr:uid="{E0E62FCA-4D21-4AFA-9AF2-473E368C2CC0}"/>
    <cellStyle name="Note 2 4 3 3 10" xfId="14998" xr:uid="{AED36CCB-0484-4EF2-81F6-037B54FEB8C9}"/>
    <cellStyle name="Note 2 4 3 3 11" xfId="21868" xr:uid="{8B8F49EA-5949-4265-A670-4B4FA4B3E108}"/>
    <cellStyle name="Note 2 4 3 3 2" xfId="4441" xr:uid="{C5136BFB-A5B0-420A-9EAB-DA213F7DE54A}"/>
    <cellStyle name="Note 2 4 3 3 2 2" xfId="10298" xr:uid="{6715A177-CB3C-4F04-A38C-F217744915EE}"/>
    <cellStyle name="Note 2 4 3 3 2 2 2" xfId="19344" xr:uid="{0EFF6652-B43E-4FE4-AAF4-DCFDA7A9C63C}"/>
    <cellStyle name="Note 2 4 3 3 2 3" xfId="15858" xr:uid="{87E1D876-39B1-4F31-9E0B-7F5BDB88F298}"/>
    <cellStyle name="Note 2 4 3 3 2 4" xfId="22524" xr:uid="{198C5228-0431-445B-88B5-931813363F22}"/>
    <cellStyle name="Note 2 4 3 3 3" xfId="4942" xr:uid="{E661CFCF-4F4A-4A68-B2BC-FC1451544E78}"/>
    <cellStyle name="Note 2 4 3 3 3 2" xfId="10795" xr:uid="{A60AE33D-E436-471F-9543-6FCD1C9DD7E0}"/>
    <cellStyle name="Note 2 4 3 3 3 2 2" xfId="19841" xr:uid="{0764FA32-E1AE-4B0A-9378-B212C6E466F7}"/>
    <cellStyle name="Note 2 4 3 3 3 3" xfId="16355" xr:uid="{D14256F0-AFA9-4B0F-9FB5-4D1479AE086A}"/>
    <cellStyle name="Note 2 4 3 3 3 4" xfId="23019" xr:uid="{4D3AFB61-9AC4-45BC-A53A-6EED594133EF}"/>
    <cellStyle name="Note 2 4 3 3 4" xfId="5557" xr:uid="{201194A8-4809-4D86-9D27-A4B10FB8B85C}"/>
    <cellStyle name="Note 2 4 3 3 4 2" xfId="11410" xr:uid="{B378CF4D-867E-4682-A785-043E6143D548}"/>
    <cellStyle name="Note 2 4 3 3 4 2 2" xfId="20456" xr:uid="{8A9AA39A-6DC8-4ED8-852D-B9390B76A4AD}"/>
    <cellStyle name="Note 2 4 3 3 4 3" xfId="16970" xr:uid="{66558198-7A07-45F3-819F-4701E361D09A}"/>
    <cellStyle name="Note 2 4 3 3 5" xfId="6168" xr:uid="{375785DF-938F-4826-9099-D558CE480E70}"/>
    <cellStyle name="Note 2 4 3 3 5 2" xfId="12015" xr:uid="{6D07FD42-0A62-48CF-A439-A192D1C23770}"/>
    <cellStyle name="Note 2 4 3 3 5 2 2" xfId="21061" xr:uid="{282D3402-4329-42EE-9736-2DC7192F28D9}"/>
    <cellStyle name="Note 2 4 3 3 5 3" xfId="17581" xr:uid="{30CA30B4-F94E-4D55-B467-3A0C1E208F07}"/>
    <cellStyle name="Note 2 4 3 3 6" xfId="9429" xr:uid="{D9ABBA82-AC56-4E5F-A69A-E6FB891546A3}"/>
    <cellStyle name="Note 2 4 3 3 6 2" xfId="18475" xr:uid="{4B5AE8A1-2CCF-4108-A218-EB3E12AF2DBD}"/>
    <cellStyle name="Note 2 4 3 3 7" xfId="12827" xr:uid="{02966789-AC1F-46A8-9F8D-DC0A0185EBBA}"/>
    <cellStyle name="Note 2 4 3 3 8" xfId="13385" xr:uid="{90DAAE9E-8164-4D39-9851-14D3DA27893C}"/>
    <cellStyle name="Note 2 4 3 3 9" xfId="14023" xr:uid="{CDD4DD6A-491F-4D1E-BF29-33AB9C3A624D}"/>
    <cellStyle name="Note 2 4 3 4" xfId="3988" xr:uid="{172FD921-C137-4526-84DC-6E368A733760}"/>
    <cellStyle name="Note 2 4 3 4 2" xfId="9850" xr:uid="{29B7543E-2EEB-411F-B377-5B5328591FFB}"/>
    <cellStyle name="Note 2 4 3 4 2 2" xfId="18896" xr:uid="{E1B256A1-8BFA-4440-B2AA-F36852B8DB2C}"/>
    <cellStyle name="Note 2 4 3 4 3" xfId="15412" xr:uid="{068007B7-1D98-4ED7-B4E6-D4638590776C}"/>
    <cellStyle name="Note 2 4 3 4 4" xfId="22210" xr:uid="{37AC9740-EDF9-4B76-B443-7E01EB1A2C32}"/>
    <cellStyle name="Note 2 4 3 5" xfId="4090" xr:uid="{D9398EB8-71C6-498A-8FFB-CE4CB5604391}"/>
    <cellStyle name="Note 2 4 3 5 2" xfId="9947" xr:uid="{7A9C98FC-AB1F-4A0C-B5D3-93DCE1AC2683}"/>
    <cellStyle name="Note 2 4 3 5 2 2" xfId="18993" xr:uid="{ADDB2496-3898-4DCB-A6AC-AB10B1BD85CD}"/>
    <cellStyle name="Note 2 4 3 5 3" xfId="15507" xr:uid="{70E095C7-7E2D-4CC9-A966-362233E2A39C}"/>
    <cellStyle name="Note 2 4 3 6" xfId="5342" xr:uid="{A0BEE718-C2D4-4F3B-9A3B-4C00528947F7}"/>
    <cellStyle name="Note 2 4 3 6 2" xfId="11195" xr:uid="{E71FF8A2-80B1-4537-9F61-00F7D367DAED}"/>
    <cellStyle name="Note 2 4 3 6 2 2" xfId="20241" xr:uid="{7176AA9A-29D1-4D04-8805-B2EF03E91C40}"/>
    <cellStyle name="Note 2 4 3 6 3" xfId="16755" xr:uid="{CA3DEB07-1AF0-40D3-9714-F449D50134DC}"/>
    <cellStyle name="Note 2 4 3 7" xfId="5953" xr:uid="{93605AC2-29AE-41A6-8882-7C89B36BEB6E}"/>
    <cellStyle name="Note 2 4 3 7 2" xfId="11804" xr:uid="{15B4AC44-1704-405F-9489-4BE82534DB6D}"/>
    <cellStyle name="Note 2 4 3 7 2 2" xfId="20850" xr:uid="{CE7285D6-A40A-4DA2-B32C-FD7E1F2B7D8A}"/>
    <cellStyle name="Note 2 4 3 7 3" xfId="17366" xr:uid="{E0DBC816-7C71-4A6D-A654-659239357EFF}"/>
    <cellStyle name="Note 2 4 3 8" xfId="9214" xr:uid="{77844ABA-6F5E-478D-9774-EECD0DBE8CA0}"/>
    <cellStyle name="Note 2 4 3 8 2" xfId="18260" xr:uid="{EA9E4E60-CFD8-45FE-AFBC-BC28485BA48C}"/>
    <cellStyle name="Note 2 4 3 9" xfId="12612" xr:uid="{23825CE8-7188-451B-ACAB-510A99DFC90A}"/>
    <cellStyle name="Note 2 4 4" xfId="2655" xr:uid="{8438157D-4E09-4C97-B5D0-43E753E954A6}"/>
    <cellStyle name="Note 2 4 4 10" xfId="13809" xr:uid="{C92848CF-EDB5-4E40-83AB-508E718BCB63}"/>
    <cellStyle name="Note 2 4 4 11" xfId="14784" xr:uid="{607AA76E-AB7D-482D-90F8-458575AAA8A3}"/>
    <cellStyle name="Note 2 4 4 12" xfId="21654" xr:uid="{F8C7C5C2-66C1-4419-AEF1-4C64301C4508}"/>
    <cellStyle name="Note 2 4 4 2" xfId="3425" xr:uid="{52E5111E-CFE0-4651-980C-8ACFDF5D2AB8}"/>
    <cellStyle name="Note 2 4 4 2 10" xfId="15211" xr:uid="{1D4F79A2-9E9C-4B6C-A672-C65B21D84734}"/>
    <cellStyle name="Note 2 4 4 2 11" xfId="22080" xr:uid="{E697FB85-D36E-47F1-8910-146B39177643}"/>
    <cellStyle name="Note 2 4 4 2 2" xfId="4654" xr:uid="{78D715E2-69E2-4FCD-B28F-219995B9A5E1}"/>
    <cellStyle name="Note 2 4 4 2 2 2" xfId="10511" xr:uid="{1230EAA6-1166-4A29-8625-02B2FB2699E8}"/>
    <cellStyle name="Note 2 4 4 2 2 2 2" xfId="19557" xr:uid="{B2A54F13-C417-46FD-AB33-341B221C4F4D}"/>
    <cellStyle name="Note 2 4 4 2 2 3" xfId="16071" xr:uid="{38B8C998-A31A-4CE5-96DB-3CF44C41ED76}"/>
    <cellStyle name="Note 2 4 4 2 2 4" xfId="22736" xr:uid="{4FB31B3E-AD0C-4EFF-9550-3FBBA978B2E1}"/>
    <cellStyle name="Note 2 4 4 2 3" xfId="5155" xr:uid="{9D51DE58-FE4F-4824-B793-2DF83FDBB264}"/>
    <cellStyle name="Note 2 4 4 2 3 2" xfId="11008" xr:uid="{51B6DECD-B917-4F88-9FFB-90134D4FF56C}"/>
    <cellStyle name="Note 2 4 4 2 3 2 2" xfId="20054" xr:uid="{666F9C6B-ED5A-46A9-8E97-A88CF66EB092}"/>
    <cellStyle name="Note 2 4 4 2 3 3" xfId="16568" xr:uid="{180F001B-D92E-40DF-ADE5-7C3C74433A9B}"/>
    <cellStyle name="Note 2 4 4 2 3 4" xfId="23231" xr:uid="{36A3CAF5-39D2-4E15-AE60-46EEC02461F1}"/>
    <cellStyle name="Note 2 4 4 2 4" xfId="5770" xr:uid="{CB4928C2-3772-49C4-9A1E-AE49BBF14F5D}"/>
    <cellStyle name="Note 2 4 4 2 4 2" xfId="11623" xr:uid="{C23CC98D-2D7D-475C-B356-C2A0CA31F70C}"/>
    <cellStyle name="Note 2 4 4 2 4 2 2" xfId="20669" xr:uid="{24F80F8B-FC83-4CB7-845F-72E4A52F363B}"/>
    <cellStyle name="Note 2 4 4 2 4 3" xfId="17183" xr:uid="{803FDF06-7460-4A89-9743-48FFED5D99A2}"/>
    <cellStyle name="Note 2 4 4 2 5" xfId="6381" xr:uid="{9ACFDB57-957C-40FE-8DB8-4882B7CD5D0F}"/>
    <cellStyle name="Note 2 4 4 2 5 2" xfId="12228" xr:uid="{47DAA736-254B-4A5A-8C7B-9564398444C8}"/>
    <cellStyle name="Note 2 4 4 2 5 2 2" xfId="21274" xr:uid="{A76C39F0-3BFA-4DE3-A110-BFBEE5E22FB6}"/>
    <cellStyle name="Note 2 4 4 2 5 3" xfId="17794" xr:uid="{67930BE0-9385-47A7-BF2E-EFAF3498505A}"/>
    <cellStyle name="Note 2 4 4 2 6" xfId="9642" xr:uid="{778E5AFB-1E2F-4625-9280-D1C95DCEE3B4}"/>
    <cellStyle name="Note 2 4 4 2 6 2" xfId="18688" xr:uid="{9B621401-4BFA-4FAF-9A71-39A381521AAD}"/>
    <cellStyle name="Note 2 4 4 2 7" xfId="13040" xr:uid="{4420AFD9-66D4-4E4B-A60F-D7B74F77C045}"/>
    <cellStyle name="Note 2 4 4 2 8" xfId="13597" xr:uid="{A80B771B-A319-43BE-AEDF-893D654B5BFE}"/>
    <cellStyle name="Note 2 4 4 2 9" xfId="14236" xr:uid="{1EAEA6BE-AEC3-44AF-B454-8B0E944AB2D9}"/>
    <cellStyle name="Note 2 4 4 3" xfId="3219" xr:uid="{1B324B74-C5A9-488B-990F-7676C7880F19}"/>
    <cellStyle name="Note 2 4 4 3 10" xfId="14999" xr:uid="{B3E48483-11CC-47CF-AE3E-35B3EB7807F0}"/>
    <cellStyle name="Note 2 4 4 3 11" xfId="21869" xr:uid="{A0D83435-39DB-42A0-908F-6CB78AD80444}"/>
    <cellStyle name="Note 2 4 4 3 2" xfId="4442" xr:uid="{3C88982E-A71E-41D3-ACA3-14BCDF00F06A}"/>
    <cellStyle name="Note 2 4 4 3 2 2" xfId="10299" xr:uid="{85FEEA8D-B193-471D-A51E-E064E4BB65E3}"/>
    <cellStyle name="Note 2 4 4 3 2 2 2" xfId="19345" xr:uid="{A052B51E-3307-49E7-9A97-E6E3CF2F1461}"/>
    <cellStyle name="Note 2 4 4 3 2 3" xfId="15859" xr:uid="{2E2D3622-A48A-44AD-A6CF-6D1BC3850833}"/>
    <cellStyle name="Note 2 4 4 3 2 4" xfId="22525" xr:uid="{5E1A3183-4014-4CA3-974E-DCA018F000E3}"/>
    <cellStyle name="Note 2 4 4 3 3" xfId="4943" xr:uid="{817636F2-E214-4365-8672-F3D20995A08B}"/>
    <cellStyle name="Note 2 4 4 3 3 2" xfId="10796" xr:uid="{6E52A45E-E4D2-410B-821C-B5989D6B4513}"/>
    <cellStyle name="Note 2 4 4 3 3 2 2" xfId="19842" xr:uid="{B6EAEB6D-5D75-4F7B-A90A-44595EDBD908}"/>
    <cellStyle name="Note 2 4 4 3 3 3" xfId="16356" xr:uid="{F0EDA4D2-E39F-43FE-8764-3AE99DDE37C0}"/>
    <cellStyle name="Note 2 4 4 3 3 4" xfId="23020" xr:uid="{3C75F382-4B28-4F6D-BDDB-1AC8785FF8CB}"/>
    <cellStyle name="Note 2 4 4 3 4" xfId="5558" xr:uid="{8146D0C4-35C7-4042-AE75-6D7473472936}"/>
    <cellStyle name="Note 2 4 4 3 4 2" xfId="11411" xr:uid="{74745808-D430-4CCE-926D-3892F6E14DE7}"/>
    <cellStyle name="Note 2 4 4 3 4 2 2" xfId="20457" xr:uid="{14E9F16D-7842-42E9-846B-DE3AAE04DC28}"/>
    <cellStyle name="Note 2 4 4 3 4 3" xfId="16971" xr:uid="{1C31E516-6BAA-4730-B988-3E8A7269AAE8}"/>
    <cellStyle name="Note 2 4 4 3 5" xfId="6169" xr:uid="{D715D182-9351-43E6-8709-7210F90C5BB8}"/>
    <cellStyle name="Note 2 4 4 3 5 2" xfId="12016" xr:uid="{A4365EAE-7B27-4B3C-A8D6-139B83D5BBF3}"/>
    <cellStyle name="Note 2 4 4 3 5 2 2" xfId="21062" xr:uid="{6A7E2221-2A5D-42EB-B861-353431510022}"/>
    <cellStyle name="Note 2 4 4 3 5 3" xfId="17582" xr:uid="{D03E9E3D-354B-42EE-B99A-2C45BA7F7D32}"/>
    <cellStyle name="Note 2 4 4 3 6" xfId="9430" xr:uid="{AE858B19-4288-464B-A0F6-C4A8013C1DFE}"/>
    <cellStyle name="Note 2 4 4 3 6 2" xfId="18476" xr:uid="{C1A94F53-F617-48AD-8ED8-FC00E69B0C23}"/>
    <cellStyle name="Note 2 4 4 3 7" xfId="12828" xr:uid="{6BC5E88F-D7E7-438B-8469-8417D11663BA}"/>
    <cellStyle name="Note 2 4 4 3 8" xfId="13386" xr:uid="{98C67A2F-A31C-4E0D-9C98-A50C180D51AA}"/>
    <cellStyle name="Note 2 4 4 3 9" xfId="14024" xr:uid="{888F213C-CF79-4D64-B114-0E5A935D3DD6}"/>
    <cellStyle name="Note 2 4 4 4" xfId="4089" xr:uid="{30AEA69A-ACDD-4692-BC72-F878B0AF392B}"/>
    <cellStyle name="Note 2 4 4 4 2" xfId="9946" xr:uid="{19A4DF4A-4527-4C74-B53D-64F62C300436}"/>
    <cellStyle name="Note 2 4 4 4 2 2" xfId="18992" xr:uid="{8D567F2B-8F2C-40E2-95C9-B9FFDF363EA9}"/>
    <cellStyle name="Note 2 4 4 4 3" xfId="15506" xr:uid="{0D55B6A9-39BF-4698-9DD0-C3E2D798B764}"/>
    <cellStyle name="Note 2 4 4 4 4" xfId="22209" xr:uid="{3D87C1ED-FD1C-47AD-A21C-76F5A7CB2614}"/>
    <cellStyle name="Note 2 4 4 5" xfId="5343" xr:uid="{0A88B806-5AFB-499A-8043-E022692E5BB8}"/>
    <cellStyle name="Note 2 4 4 5 2" xfId="11196" xr:uid="{8B4873A1-7406-4B45-AF18-25AEFDA85790}"/>
    <cellStyle name="Note 2 4 4 5 2 2" xfId="20242" xr:uid="{1EF73509-0AC3-4CD9-A817-F5DC44DF64CC}"/>
    <cellStyle name="Note 2 4 4 5 3" xfId="16756" xr:uid="{0E5DD2DE-EA0F-4F14-831C-7A75CD6D2E5A}"/>
    <cellStyle name="Note 2 4 4 6" xfId="5954" xr:uid="{4B597D07-CA0A-4E5E-A4B0-9EB098B3A859}"/>
    <cellStyle name="Note 2 4 4 6 2" xfId="11805" xr:uid="{B885A066-6C6D-4B12-A7A9-19CE0CAFFF5B}"/>
    <cellStyle name="Note 2 4 4 6 2 2" xfId="20851" xr:uid="{BAEA1FD4-8456-4628-9F41-53EFB3B22FD1}"/>
    <cellStyle name="Note 2 4 4 6 3" xfId="17367" xr:uid="{DC69AD84-37A8-4A46-BA07-4A45E34B805D}"/>
    <cellStyle name="Note 2 4 4 7" xfId="9215" xr:uid="{E20A6930-3CB3-49F9-AA77-0AFDD975D0F4}"/>
    <cellStyle name="Note 2 4 4 7 2" xfId="18261" xr:uid="{0EB0EBB8-07DC-4CCF-B270-8E5FB02E21C6}"/>
    <cellStyle name="Note 2 4 4 8" xfId="12613" xr:uid="{27F96921-3E99-4B42-8D24-F17892082E07}"/>
    <cellStyle name="Note 2 4 4 9" xfId="13175" xr:uid="{3051FDC7-BF90-4C12-B26F-32A74E7938B2}"/>
    <cellStyle name="Note 2 4 5" xfId="3332" xr:uid="{5ED2DDBC-125A-49FB-9A32-25F66F82381B}"/>
    <cellStyle name="Note 2 4 5 10" xfId="15112" xr:uid="{4051A10D-3286-4519-8DB7-D068E76E73FD}"/>
    <cellStyle name="Note 2 4 5 11" xfId="21981" xr:uid="{A89616B2-C825-40A1-9D7F-6C2541EBC5D7}"/>
    <cellStyle name="Note 2 4 5 2" xfId="4555" xr:uid="{E8C812FA-B389-4782-A241-3A1CEF0249EF}"/>
    <cellStyle name="Note 2 4 5 2 2" xfId="10412" xr:uid="{A23E76D4-BCD8-4228-A757-0424843C37A2}"/>
    <cellStyle name="Note 2 4 5 2 2 2" xfId="19458" xr:uid="{D354EBCC-8A47-4E08-B806-C27009AC7D18}"/>
    <cellStyle name="Note 2 4 5 2 3" xfId="15972" xr:uid="{807B01D5-F2A1-45A5-B77E-9B7F2F9939E5}"/>
    <cellStyle name="Note 2 4 5 2 4" xfId="22637" xr:uid="{E3E870E9-68F6-4212-885A-FA439CB613E3}"/>
    <cellStyle name="Note 2 4 5 3" xfId="5056" xr:uid="{30C4E529-7D8C-4622-9E35-39A9AB2F9B57}"/>
    <cellStyle name="Note 2 4 5 3 2" xfId="10909" xr:uid="{4B5E64EB-5C61-49CE-99AD-A6E999E222B2}"/>
    <cellStyle name="Note 2 4 5 3 2 2" xfId="19955" xr:uid="{618363CB-9B58-412C-89E2-A28867DFF50D}"/>
    <cellStyle name="Note 2 4 5 3 3" xfId="16469" xr:uid="{FCCCB9EE-282C-4CCC-B6AF-E8E2FC2A23D8}"/>
    <cellStyle name="Note 2 4 5 3 4" xfId="23132" xr:uid="{89D54297-74B0-4A5C-9298-1CF2E930DE53}"/>
    <cellStyle name="Note 2 4 5 4" xfId="5671" xr:uid="{9EBD0778-6812-4DAC-A84C-92F31B6BEF6C}"/>
    <cellStyle name="Note 2 4 5 4 2" xfId="11524" xr:uid="{8B92435A-7FBE-4762-819D-4E0F7793304F}"/>
    <cellStyle name="Note 2 4 5 4 2 2" xfId="20570" xr:uid="{EF9C68C6-840C-44EC-AE29-38A01CAC6CB9}"/>
    <cellStyle name="Note 2 4 5 4 3" xfId="17084" xr:uid="{FAD15F3C-03DB-4352-91D2-D332EAE71257}"/>
    <cellStyle name="Note 2 4 5 5" xfId="6282" xr:uid="{29A45619-3599-4C68-BAF0-15F5084FC013}"/>
    <cellStyle name="Note 2 4 5 5 2" xfId="12129" xr:uid="{F08F9354-3A66-452F-AECB-4EEC0637EB4C}"/>
    <cellStyle name="Note 2 4 5 5 2 2" xfId="21175" xr:uid="{9C7D123E-09A2-48B8-B798-5C9754DC1B16}"/>
    <cellStyle name="Note 2 4 5 5 3" xfId="17695" xr:uid="{5D32FEFA-D523-4D7D-A759-E36B6DC57A75}"/>
    <cellStyle name="Note 2 4 5 6" xfId="9543" xr:uid="{0B82E24F-7D7B-4A44-954E-2E6D5EC7BC53}"/>
    <cellStyle name="Note 2 4 5 6 2" xfId="18589" xr:uid="{027F1EDF-9D10-48F6-8B13-76E8E48329B7}"/>
    <cellStyle name="Note 2 4 5 7" xfId="12941" xr:uid="{9BD01EDF-B105-42F9-B4AE-FDF98F0D7337}"/>
    <cellStyle name="Note 2 4 5 8" xfId="13498" xr:uid="{6EA221AC-64D6-4BE2-97EC-632352C7D9A4}"/>
    <cellStyle name="Note 2 4 5 9" xfId="14137" xr:uid="{1224F3B2-C8B7-407C-8724-3B75CF23E0BC}"/>
    <cellStyle name="Note 2 4 6" xfId="3120" xr:uid="{DA052262-2313-4417-BAEF-DF7F4FCF31A4}"/>
    <cellStyle name="Note 2 4 6 10" xfId="14900" xr:uid="{93D43033-9C87-429A-9407-D3678F8A63FC}"/>
    <cellStyle name="Note 2 4 6 11" xfId="21768" xr:uid="{9203F3A3-44CD-485C-A8AD-501DDED80AED}"/>
    <cellStyle name="Note 2 4 6 2" xfId="4341" xr:uid="{53B33EB5-48A5-4538-9E10-2485828A66A8}"/>
    <cellStyle name="Note 2 4 6 2 2" xfId="10198" xr:uid="{C623B8B7-7ED4-44F4-B77E-98EF9D97A451}"/>
    <cellStyle name="Note 2 4 6 2 2 2" xfId="19244" xr:uid="{9EC01CF1-B6F8-4937-B558-B0420A84CB6F}"/>
    <cellStyle name="Note 2 4 6 2 3" xfId="15758" xr:uid="{DF762C48-3EC4-48B3-B9EF-3F992473B592}"/>
    <cellStyle name="Note 2 4 6 2 4" xfId="22424" xr:uid="{641E6458-955D-4F88-AFA9-2BAAC9E2F721}"/>
    <cellStyle name="Note 2 4 6 3" xfId="4842" xr:uid="{DCF4740A-D559-4AF3-B208-FCC7441E9C6A}"/>
    <cellStyle name="Note 2 4 6 3 2" xfId="10697" xr:uid="{EA2A643A-5E00-4BA1-928E-8DD5CF03C399}"/>
    <cellStyle name="Note 2 4 6 3 2 2" xfId="19743" xr:uid="{172D5895-57DC-40FD-B232-4A1756175E33}"/>
    <cellStyle name="Note 2 4 6 3 3" xfId="16257" xr:uid="{522FA4FB-6C18-4174-9CFA-EAF3134945A1}"/>
    <cellStyle name="Note 2 4 6 3 4" xfId="22919" xr:uid="{230DC23F-A5DA-4139-8F49-3152BB2779B4}"/>
    <cellStyle name="Note 2 4 6 4" xfId="5457" xr:uid="{AC2C2430-2DDD-4A84-9DB3-BE483F6D17CF}"/>
    <cellStyle name="Note 2 4 6 4 2" xfId="11310" xr:uid="{0C1FF360-FDD0-4D43-BA0A-F711CDCFF998}"/>
    <cellStyle name="Note 2 4 6 4 2 2" xfId="20356" xr:uid="{846D3BED-D1DA-4298-BBF8-263808C53BEF}"/>
    <cellStyle name="Note 2 4 6 4 3" xfId="16870" xr:uid="{F309E79D-32F5-4D27-B2C2-32194E36C6DA}"/>
    <cellStyle name="Note 2 4 6 5" xfId="6068" xr:uid="{132957B2-6B23-4892-8D6F-69CC64BCB42E}"/>
    <cellStyle name="Note 2 4 6 5 2" xfId="11917" xr:uid="{E0C57EA6-E981-4DA3-8EDF-FD1D244A4CC9}"/>
    <cellStyle name="Note 2 4 6 5 2 2" xfId="20963" xr:uid="{F0ABE15B-1E1A-4012-97C1-9DB7A26F6284}"/>
    <cellStyle name="Note 2 4 6 5 3" xfId="17481" xr:uid="{6236F93A-4B63-4306-BFAC-3C56B78B993E}"/>
    <cellStyle name="Note 2 4 6 6" xfId="9331" xr:uid="{477B0581-5668-424B-A7DD-A6A8FA730BD2}"/>
    <cellStyle name="Note 2 4 6 6 2" xfId="18377" xr:uid="{18633ECE-DE02-402F-BF21-4863CD787AF4}"/>
    <cellStyle name="Note 2 4 6 7" xfId="12727" xr:uid="{89538558-80DC-40DB-99E8-D6CECC2364F2}"/>
    <cellStyle name="Note 2 4 6 8" xfId="13287" xr:uid="{5B542E0E-CA12-4FBF-A013-4AA1FF7B0259}"/>
    <cellStyle name="Note 2 4 6 9" xfId="13923" xr:uid="{5D113135-0A1B-4EA1-98F4-E1A8BD967A39}"/>
    <cellStyle name="Note 2 4 7" xfId="3720" xr:uid="{A97DE214-6159-4481-A7BD-53B3B4D791EA}"/>
    <cellStyle name="Note 2 4 7 2" xfId="9762" xr:uid="{20195DC0-042D-430F-A088-4788EA2F9346}"/>
    <cellStyle name="Note 2 4 7 2 2" xfId="18808" xr:uid="{F17574A9-991E-4FA1-BAF9-B80E7F90281C}"/>
    <cellStyle name="Note 2 4 7 3" xfId="14509" xr:uid="{E34192A5-419D-4357-BC7F-6E2814A220EF}"/>
    <cellStyle name="Note 2 4 7 4" xfId="15328" xr:uid="{85E08EF8-6F29-4FC7-8AE1-C00081E7E355}"/>
    <cellStyle name="Note 2 4 7 5" xfId="22307" xr:uid="{B2924160-7543-46E7-8757-A65BD7004716}"/>
    <cellStyle name="Note 2 4 8" xfId="4204" xr:uid="{E7F00667-5332-4482-AED3-657A6AF247BC}"/>
    <cellStyle name="Note 2 4 8 2" xfId="10061" xr:uid="{6BB2D78C-4959-4BDB-8DEC-08E778C5B7FA}"/>
    <cellStyle name="Note 2 4 8 2 2" xfId="19107" xr:uid="{CD331CC2-FFCA-44C5-9530-1BB16CEA61B3}"/>
    <cellStyle name="Note 2 4 8 3" xfId="15621" xr:uid="{C3B3C78C-314F-4B8B-B07F-6DD1175CCD76}"/>
    <cellStyle name="Note 2 4 8 4" xfId="22177" xr:uid="{7A2642AE-56F0-44AC-A86E-A57BDFFDB71A}"/>
    <cellStyle name="Note 2 4 9" xfId="4058" xr:uid="{5B723397-9F68-4789-8CE6-254A1C647CC4}"/>
    <cellStyle name="Note 2 4 9 2" xfId="9915" xr:uid="{B245FF9C-EE53-4E38-A785-4090A25759B4}"/>
    <cellStyle name="Note 2 4 9 2 2" xfId="18961" xr:uid="{B3A0C61D-A391-4A8E-93B8-0DCF16A272C0}"/>
    <cellStyle name="Note 2 4 9 3" xfId="15475" xr:uid="{FF5B3399-2386-4B9D-BCCD-F2033E3FA0F0}"/>
    <cellStyle name="Note 2 4 9 4" xfId="23444" xr:uid="{3CD8EB4A-E5EC-4E2D-8BD1-5B5F4EDCEF56}"/>
    <cellStyle name="Note 2 5" xfId="2395" xr:uid="{513D0BB2-9639-4BF2-AEC0-D28E48B0D426}"/>
    <cellStyle name="Note 2 5 10" xfId="4313" xr:uid="{B5B86EBA-3DA5-4417-ADAB-0EA4EFE64992}"/>
    <cellStyle name="Note 2 5 10 2" xfId="10170" xr:uid="{83B67E91-107C-46AF-B307-6009F9E76835}"/>
    <cellStyle name="Note 2 5 10 2 2" xfId="19216" xr:uid="{07CF9A10-1287-495A-B71B-05CFE7054A31}"/>
    <cellStyle name="Note 2 5 10 3" xfId="15730" xr:uid="{4EDACC05-5340-4449-AC3A-7DACE5AA9B0E}"/>
    <cellStyle name="Note 2 5 11" xfId="4170" xr:uid="{D420CC3A-905E-4613-97BC-7BA4D7C10C9C}"/>
    <cellStyle name="Note 2 5 11 2" xfId="10027" xr:uid="{3FAB6D77-7DFE-4580-A2FD-AD81A6D68270}"/>
    <cellStyle name="Note 2 5 11 2 2" xfId="19073" xr:uid="{702D5B05-EBE6-40EE-9B0E-670CD0B72C5E}"/>
    <cellStyle name="Note 2 5 11 3" xfId="15587" xr:uid="{7F1092DA-6D00-4B75-8254-4563018CA9D4}"/>
    <cellStyle name="Note 2 5 12" xfId="9115" xr:uid="{38DC6A23-ECD8-4748-BAA2-EF8D29B897AB}"/>
    <cellStyle name="Note 2 5 12 2" xfId="18161" xr:uid="{A29B47C4-EAB2-4B6F-8C4C-D8C9B9E96393}"/>
    <cellStyle name="Note 2 5 13" xfId="12515" xr:uid="{39B0C32D-D1D3-4323-A265-5DFC0FD89C27}"/>
    <cellStyle name="Note 2 5 14" xfId="13709" xr:uid="{833FE69A-F141-474D-B8CF-3627448D023D}"/>
    <cellStyle name="Note 2 5 15" xfId="14684" xr:uid="{6A6EE8B8-74B6-46BF-91DA-21556670F0CF}"/>
    <cellStyle name="Note 2 5 16" xfId="21556" xr:uid="{88DBE7E0-0CA4-4E60-8C81-96BB7B48A7B4}"/>
    <cellStyle name="Note 2 5 17" xfId="23761" xr:uid="{2520DA2F-712A-431D-9750-4142DE9ED810}"/>
    <cellStyle name="Note 2 5 18" xfId="23982" xr:uid="{CB75E2ED-3250-40ED-9492-D4C7D88339BB}"/>
    <cellStyle name="Note 2 5 2" xfId="2396" xr:uid="{186F332A-A9F7-43E2-B0B6-23D4B7ECE7A2}"/>
    <cellStyle name="Note 2 5 2 10" xfId="5885" xr:uid="{2F86D941-A17E-481D-A5D6-D26A9C7ECCAB}"/>
    <cellStyle name="Note 2 5 2 10 2" xfId="11738" xr:uid="{963015E3-95BC-4D07-9406-3B0DFC59EF7F}"/>
    <cellStyle name="Note 2 5 2 10 2 2" xfId="20784" xr:uid="{FA3E0929-A14E-4A63-9252-E39F5BA725D1}"/>
    <cellStyle name="Note 2 5 2 10 3" xfId="17298" xr:uid="{35BBDCFC-5E1F-4B3B-8040-EFA872C53910}"/>
    <cellStyle name="Note 2 5 2 11" xfId="9148" xr:uid="{457FD425-3F2E-45FB-BA92-1A3B57170CA2}"/>
    <cellStyle name="Note 2 5 2 11 2" xfId="18194" xr:uid="{D43A5B3C-9117-4332-9AB2-E3D850099E45}"/>
    <cellStyle name="Note 2 5 2 12" xfId="12546" xr:uid="{29ED02CB-A437-4184-AC79-71523758A52F}"/>
    <cellStyle name="Note 2 5 2 13" xfId="13740" xr:uid="{7DA01C4C-E634-4474-B7EA-242C9A888F15}"/>
    <cellStyle name="Note 2 5 2 14" xfId="14717" xr:uid="{06C7A238-B8D8-4504-A5C1-23D7A27DED1D}"/>
    <cellStyle name="Note 2 5 2 15" xfId="21587" xr:uid="{19D455A7-D0CE-47CB-98DB-AE746F8FDB63}"/>
    <cellStyle name="Note 2 5 2 16" xfId="23762" xr:uid="{5EAA2558-BFD5-4FA0-8B10-D6C3CC7576EC}"/>
    <cellStyle name="Note 2 5 2 17" xfId="23983" xr:uid="{0401465E-09FA-4A8E-9FD2-3CD7FB55CDA8}"/>
    <cellStyle name="Note 2 5 2 2" xfId="2397" xr:uid="{BC332EF4-AC46-43B5-AD51-B451FF2ACF39}"/>
    <cellStyle name="Note 2 5 2 2 10" xfId="13176" xr:uid="{C34BF569-426B-442D-9333-6BB83EC0D0BC}"/>
    <cellStyle name="Note 2 5 2 2 11" xfId="13810" xr:uid="{DAB89A6A-6B17-424B-981F-96A02C7245D9}"/>
    <cellStyle name="Note 2 5 2 2 12" xfId="14785" xr:uid="{44FE585E-7283-4337-9195-768348D450B1}"/>
    <cellStyle name="Note 2 5 2 2 13" xfId="21655" xr:uid="{F2C11E83-8A95-4B35-86B5-E00524CF768B}"/>
    <cellStyle name="Note 2 5 2 2 14" xfId="23984" xr:uid="{AA2CEBFC-C12E-489E-9BBD-DB366DC38903}"/>
    <cellStyle name="Note 2 5 2 2 2" xfId="2960" xr:uid="{1ABB856D-97B7-4E61-9E1A-A3D7889E4D36}"/>
    <cellStyle name="Note 2 5 2 2 2 10" xfId="15212" xr:uid="{AE0C8938-CF44-41E1-B484-C43F06C1D234}"/>
    <cellStyle name="Note 2 5 2 2 2 11" xfId="22081" xr:uid="{D61380BF-57BC-41F7-9074-85AF086FA18A}"/>
    <cellStyle name="Note 2 5 2 2 2 2" xfId="4655" xr:uid="{10AC3A49-AD44-4C3B-9FD1-826381E27009}"/>
    <cellStyle name="Note 2 5 2 2 2 2 2" xfId="10512" xr:uid="{6C0429F0-CF3C-467D-9CC3-F8EF93E47413}"/>
    <cellStyle name="Note 2 5 2 2 2 2 2 2" xfId="19558" xr:uid="{6B0C37B6-9959-4C22-83E6-BA09120E0FCB}"/>
    <cellStyle name="Note 2 5 2 2 2 2 3" xfId="16072" xr:uid="{290523C7-A698-4D88-9282-EF4E813007B3}"/>
    <cellStyle name="Note 2 5 2 2 2 2 4" xfId="22737" xr:uid="{8A3B62B9-6A97-4828-B082-CCE474B8DC8B}"/>
    <cellStyle name="Note 2 5 2 2 2 3" xfId="5156" xr:uid="{652CA204-914F-4744-9A14-8D402C74CC45}"/>
    <cellStyle name="Note 2 5 2 2 2 3 2" xfId="11009" xr:uid="{4525AD8B-5EA1-4524-BD84-2D3374FC843C}"/>
    <cellStyle name="Note 2 5 2 2 2 3 2 2" xfId="20055" xr:uid="{56B3862E-6DFC-4129-8723-56DF08E19CA3}"/>
    <cellStyle name="Note 2 5 2 2 2 3 3" xfId="16569" xr:uid="{1D29A026-E815-4DA3-A24C-ED8ECAC8BA74}"/>
    <cellStyle name="Note 2 5 2 2 2 3 4" xfId="23232" xr:uid="{31F3D9FE-0DD1-4356-9C4A-C286F03B0A01}"/>
    <cellStyle name="Note 2 5 2 2 2 4" xfId="5771" xr:uid="{962C8A2D-AADD-4285-BDD5-C35714F4B5AE}"/>
    <cellStyle name="Note 2 5 2 2 2 4 2" xfId="11624" xr:uid="{EC9F90EE-4AE3-4BA7-8F0B-1B7FCADD251B}"/>
    <cellStyle name="Note 2 5 2 2 2 4 2 2" xfId="20670" xr:uid="{AF698CBC-8A77-4540-8DC1-7F996E88EDB9}"/>
    <cellStyle name="Note 2 5 2 2 2 4 3" xfId="17184" xr:uid="{B972E6D8-284A-41BF-BBEA-C53C8ABC36CF}"/>
    <cellStyle name="Note 2 5 2 2 2 5" xfId="6382" xr:uid="{F3FD69E7-5EA5-4136-8CF0-D4F593F17A38}"/>
    <cellStyle name="Note 2 5 2 2 2 5 2" xfId="12229" xr:uid="{10A7FB60-CE9C-48B9-B535-1B323DB8E5CD}"/>
    <cellStyle name="Note 2 5 2 2 2 5 2 2" xfId="21275" xr:uid="{E07776F5-D937-4541-A6E6-4EA22C27F5C4}"/>
    <cellStyle name="Note 2 5 2 2 2 5 3" xfId="17795" xr:uid="{4DD9F92A-ADC1-4EF3-AD43-85D9056BE9DB}"/>
    <cellStyle name="Note 2 5 2 2 2 6" xfId="9643" xr:uid="{C0D2F022-07DF-494E-855A-3A956C083206}"/>
    <cellStyle name="Note 2 5 2 2 2 6 2" xfId="18689" xr:uid="{2D5C6786-7E67-4E6C-B4E8-70629B21EF69}"/>
    <cellStyle name="Note 2 5 2 2 2 7" xfId="13041" xr:uid="{CF4933B9-46B0-437E-BFD3-1F423AFBEFBA}"/>
    <cellStyle name="Note 2 5 2 2 2 8" xfId="13598" xr:uid="{0ADC78EA-102B-49E6-AA7C-9EC2C3932407}"/>
    <cellStyle name="Note 2 5 2 2 2 9" xfId="14237" xr:uid="{5B3454C9-9C3E-46DF-B98C-4E20964938EC}"/>
    <cellStyle name="Note 2 5 2 2 3" xfId="3220" xr:uid="{9D017FBD-AD04-47EE-A7EA-266DA8303BFD}"/>
    <cellStyle name="Note 2 5 2 2 3 10" xfId="15000" xr:uid="{38E12EF9-623A-4202-BE9B-44965439CBF4}"/>
    <cellStyle name="Note 2 5 2 2 3 11" xfId="21870" xr:uid="{1334BA10-702A-48C4-9ADC-21D5E840B85F}"/>
    <cellStyle name="Note 2 5 2 2 3 2" xfId="4443" xr:uid="{13D0A3C7-E136-4F08-A631-2AD87E15D8F4}"/>
    <cellStyle name="Note 2 5 2 2 3 2 2" xfId="10300" xr:uid="{572207A0-1A5B-4E94-818B-3F93B507A714}"/>
    <cellStyle name="Note 2 5 2 2 3 2 2 2" xfId="19346" xr:uid="{380CEAD8-EE32-43B2-8D6F-F75138EDBB90}"/>
    <cellStyle name="Note 2 5 2 2 3 2 3" xfId="15860" xr:uid="{540E7A40-0288-415D-8BEA-36FAA3EF96D7}"/>
    <cellStyle name="Note 2 5 2 2 3 2 4" xfId="22526" xr:uid="{4291A93D-9F9B-4C82-8479-F9DBB7F895DC}"/>
    <cellStyle name="Note 2 5 2 2 3 3" xfId="4944" xr:uid="{A3BDDAE5-4D38-4544-9F43-70B9229A3CAD}"/>
    <cellStyle name="Note 2 5 2 2 3 3 2" xfId="10797" xr:uid="{4BE48852-FF4A-475E-A23B-0BEBD3F3F18F}"/>
    <cellStyle name="Note 2 5 2 2 3 3 2 2" xfId="19843" xr:uid="{5EAB1030-1BBB-4946-8E90-1C4542059F0A}"/>
    <cellStyle name="Note 2 5 2 2 3 3 3" xfId="16357" xr:uid="{3E9A6B09-9FAB-4D68-84FC-383408BE2A8C}"/>
    <cellStyle name="Note 2 5 2 2 3 3 4" xfId="23021" xr:uid="{7F5569D7-193F-45F4-B39A-7F4553FCBEFD}"/>
    <cellStyle name="Note 2 5 2 2 3 4" xfId="5559" xr:uid="{D06BF93E-91D2-45A3-AFA2-85697EE73535}"/>
    <cellStyle name="Note 2 5 2 2 3 4 2" xfId="11412" xr:uid="{E3645848-610A-4616-9A5E-76C41E36AC84}"/>
    <cellStyle name="Note 2 5 2 2 3 4 2 2" xfId="20458" xr:uid="{27A58572-212A-46A4-8AE7-23FD2FD07DCF}"/>
    <cellStyle name="Note 2 5 2 2 3 4 3" xfId="16972" xr:uid="{59145776-5396-439D-842F-8986EF9D524F}"/>
    <cellStyle name="Note 2 5 2 2 3 5" xfId="6170" xr:uid="{71CC054D-E36F-40C7-B92C-36A43E437923}"/>
    <cellStyle name="Note 2 5 2 2 3 5 2" xfId="12017" xr:uid="{C0502CE5-070D-451E-B95F-6F38B2922632}"/>
    <cellStyle name="Note 2 5 2 2 3 5 2 2" xfId="21063" xr:uid="{44D2EB3B-DCE1-46B4-952F-5C5EDFE70504}"/>
    <cellStyle name="Note 2 5 2 2 3 5 3" xfId="17583" xr:uid="{DD812528-918E-4D37-87DF-74C249099454}"/>
    <cellStyle name="Note 2 5 2 2 3 6" xfId="9431" xr:uid="{15EF6F78-8ED1-485C-94CA-23A8C28C87C2}"/>
    <cellStyle name="Note 2 5 2 2 3 6 2" xfId="18477" xr:uid="{311BFC91-0EE0-4597-88D4-07BC10BF337B}"/>
    <cellStyle name="Note 2 5 2 2 3 7" xfId="12829" xr:uid="{09D47D71-9B85-4AF4-8A6B-4CB3A2E4D1BE}"/>
    <cellStyle name="Note 2 5 2 2 3 8" xfId="13387" xr:uid="{52196569-0921-4875-961E-7BBBBE9796DE}"/>
    <cellStyle name="Note 2 5 2 2 3 9" xfId="14025" xr:uid="{A06A5026-F245-4906-A750-4C4E1F81C3A2}"/>
    <cellStyle name="Note 2 5 2 2 4" xfId="4021" xr:uid="{DBAFDC79-B550-4B51-8C56-0852D25AF069}"/>
    <cellStyle name="Note 2 5 2 2 4 2" xfId="9883" xr:uid="{8048DB83-9A43-4508-8BE4-7C308EA802BD}"/>
    <cellStyle name="Note 2 5 2 2 4 2 2" xfId="18929" xr:uid="{38C90D41-690A-4407-9441-087844DB5E6A}"/>
    <cellStyle name="Note 2 5 2 2 4 3" xfId="15445" xr:uid="{D91DDBE0-FBFF-4D94-9B4A-E6FF2FF9E182}"/>
    <cellStyle name="Note 2 5 2 2 4 4" xfId="22208" xr:uid="{A471F90C-2BA5-4A1D-AE7A-8D0C846484AC}"/>
    <cellStyle name="Note 2 5 2 2 5" xfId="4088" xr:uid="{BF635967-1377-47D7-9FDF-00B869F48F58}"/>
    <cellStyle name="Note 2 5 2 2 5 2" xfId="9945" xr:uid="{33EEFA18-3EC3-4CD3-BC85-F6B9CD3ECB48}"/>
    <cellStyle name="Note 2 5 2 2 5 2 2" xfId="18991" xr:uid="{8F6B9F69-5C37-4FE7-8D05-34CA47634EB2}"/>
    <cellStyle name="Note 2 5 2 2 5 3" xfId="15505" xr:uid="{942B328D-E05D-4F22-A76D-BF767959D784}"/>
    <cellStyle name="Note 2 5 2 2 6" xfId="5344" xr:uid="{56F83A4F-DC81-402F-8265-24A3585A0EAA}"/>
    <cellStyle name="Note 2 5 2 2 6 2" xfId="11197" xr:uid="{4CA20442-7F09-4FB0-9F6C-CC3F1856218D}"/>
    <cellStyle name="Note 2 5 2 2 6 2 2" xfId="20243" xr:uid="{1BA5B811-0117-40D2-9FF4-609E7B918F28}"/>
    <cellStyle name="Note 2 5 2 2 6 3" xfId="16757" xr:uid="{85921BE5-A362-4AFC-9150-0F117208535B}"/>
    <cellStyle name="Note 2 5 2 2 7" xfId="5955" xr:uid="{093A3383-8599-4E5D-9FD1-602DFDA033C7}"/>
    <cellStyle name="Note 2 5 2 2 7 2" xfId="11806" xr:uid="{AEF0BBDC-1B87-488F-ABAA-FCF961DCC0E2}"/>
    <cellStyle name="Note 2 5 2 2 7 2 2" xfId="20852" xr:uid="{EFEBB1DC-53C4-42CC-80AF-8B2A59A3F93F}"/>
    <cellStyle name="Note 2 5 2 2 7 3" xfId="17368" xr:uid="{0F7BA926-7941-4D76-8140-75278CDBDE14}"/>
    <cellStyle name="Note 2 5 2 2 8" xfId="9216" xr:uid="{001D2EA3-7101-4785-9C31-5438AE3C87BC}"/>
    <cellStyle name="Note 2 5 2 2 8 2" xfId="18262" xr:uid="{D4E27ECB-70D3-43AD-9303-5CAF908030B6}"/>
    <cellStyle name="Note 2 5 2 2 9" xfId="12614" xr:uid="{6AD43BF6-A73F-4F9F-9057-0D4EF3DE905E}"/>
    <cellStyle name="Note 2 5 2 3" xfId="2651" xr:uid="{3138B55E-6862-4E74-9EC3-BB90C4305817}"/>
    <cellStyle name="Note 2 5 2 3 10" xfId="13811" xr:uid="{4543E47F-77DE-4A72-A185-7DD402F9020D}"/>
    <cellStyle name="Note 2 5 2 3 11" xfId="14786" xr:uid="{DBEE8593-5846-4E7D-8407-29A933245D5B}"/>
    <cellStyle name="Note 2 5 2 3 12" xfId="21656" xr:uid="{11D96039-DF4D-4FDC-ABFB-FAE64EC4CD78}"/>
    <cellStyle name="Note 2 5 2 3 2" xfId="3426" xr:uid="{F4E84042-7E98-4EC0-9F36-D3D0A2382262}"/>
    <cellStyle name="Note 2 5 2 3 2 10" xfId="15213" xr:uid="{107E0BEC-64E5-49FF-B7FE-8D2E7AABB2B9}"/>
    <cellStyle name="Note 2 5 2 3 2 11" xfId="22082" xr:uid="{66E2CE82-817C-41BA-B961-AB12DAD46B83}"/>
    <cellStyle name="Note 2 5 2 3 2 2" xfId="4656" xr:uid="{A05B81C4-77AC-4070-A8D9-9C5F3624FFE8}"/>
    <cellStyle name="Note 2 5 2 3 2 2 2" xfId="10513" xr:uid="{FE7CF38A-CD57-432C-9036-BBCB678241BA}"/>
    <cellStyle name="Note 2 5 2 3 2 2 2 2" xfId="19559" xr:uid="{DA0E3C7D-29E7-46BC-B403-219329C86A22}"/>
    <cellStyle name="Note 2 5 2 3 2 2 3" xfId="16073" xr:uid="{4CDFBFF9-3F00-42CA-8AE2-8E3701CADD0C}"/>
    <cellStyle name="Note 2 5 2 3 2 2 4" xfId="22738" xr:uid="{469AADB4-D110-4B8D-8709-5650CD215B20}"/>
    <cellStyle name="Note 2 5 2 3 2 3" xfId="5157" xr:uid="{B78A6D90-321B-442A-9419-D0765DAF1926}"/>
    <cellStyle name="Note 2 5 2 3 2 3 2" xfId="11010" xr:uid="{F7A1AB21-205D-421B-8311-A1D3E19BC10A}"/>
    <cellStyle name="Note 2 5 2 3 2 3 2 2" xfId="20056" xr:uid="{CBCBA3C3-C269-4623-B077-CC67314511CE}"/>
    <cellStyle name="Note 2 5 2 3 2 3 3" xfId="16570" xr:uid="{EE1FD752-94DD-49BF-977E-0483AAC78AA2}"/>
    <cellStyle name="Note 2 5 2 3 2 3 4" xfId="23233" xr:uid="{5751F967-EA06-41C0-942E-E267C77B0CA9}"/>
    <cellStyle name="Note 2 5 2 3 2 4" xfId="5772" xr:uid="{28C6299E-6557-476D-BEA9-00B06C88D953}"/>
    <cellStyle name="Note 2 5 2 3 2 4 2" xfId="11625" xr:uid="{DC439AB4-6168-444B-8710-75E2B6346F89}"/>
    <cellStyle name="Note 2 5 2 3 2 4 2 2" xfId="20671" xr:uid="{A9CAAC6F-EFD9-4850-ACBC-AA5AFA7D76DA}"/>
    <cellStyle name="Note 2 5 2 3 2 4 3" xfId="17185" xr:uid="{DB460071-0040-4E13-9FB3-31965822E40E}"/>
    <cellStyle name="Note 2 5 2 3 2 5" xfId="6383" xr:uid="{DEF73F5F-CBD8-4BD5-A8E1-C4296AE19014}"/>
    <cellStyle name="Note 2 5 2 3 2 5 2" xfId="12230" xr:uid="{4ACAD78C-78CE-4298-8DA1-393BCC5939E6}"/>
    <cellStyle name="Note 2 5 2 3 2 5 2 2" xfId="21276" xr:uid="{26015A7D-662D-4DB3-B589-B70B0C6D0F91}"/>
    <cellStyle name="Note 2 5 2 3 2 5 3" xfId="17796" xr:uid="{D6959B56-6174-4EDD-A561-A8AB0D5C0411}"/>
    <cellStyle name="Note 2 5 2 3 2 6" xfId="9644" xr:uid="{18A68F2C-8119-433A-AB54-CD3635617DDC}"/>
    <cellStyle name="Note 2 5 2 3 2 6 2" xfId="18690" xr:uid="{E4239A0D-8579-43D4-B1FE-02C3087CFA6F}"/>
    <cellStyle name="Note 2 5 2 3 2 7" xfId="13042" xr:uid="{B9DC12A6-D9B9-475E-B873-0B86EDC0176C}"/>
    <cellStyle name="Note 2 5 2 3 2 8" xfId="13599" xr:uid="{412EC932-45E9-4EB2-8FE7-0CEC9B6E9301}"/>
    <cellStyle name="Note 2 5 2 3 2 9" xfId="14238" xr:uid="{FADD6468-E5B4-4666-B36D-7CCFBCB33985}"/>
    <cellStyle name="Note 2 5 2 3 3" xfId="3221" xr:uid="{9240504A-7ECD-4A6E-9E35-41B4DF7987A0}"/>
    <cellStyle name="Note 2 5 2 3 3 10" xfId="15001" xr:uid="{8AA4E026-6A67-430B-98DE-E36D36C3C602}"/>
    <cellStyle name="Note 2 5 2 3 3 11" xfId="21871" xr:uid="{8AA1A3F1-971B-4BC9-B8FD-17917BCC7213}"/>
    <cellStyle name="Note 2 5 2 3 3 2" xfId="4444" xr:uid="{522B9D9D-FD60-41A8-8D77-4B1D0F68CD2A}"/>
    <cellStyle name="Note 2 5 2 3 3 2 2" xfId="10301" xr:uid="{F47AACA4-2EB8-474A-96F3-B493CDFB1479}"/>
    <cellStyle name="Note 2 5 2 3 3 2 2 2" xfId="19347" xr:uid="{FD9C8952-1D24-49C6-AF58-39373E597772}"/>
    <cellStyle name="Note 2 5 2 3 3 2 3" xfId="15861" xr:uid="{40A00219-6695-4098-989E-7E13C380EE39}"/>
    <cellStyle name="Note 2 5 2 3 3 2 4" xfId="22527" xr:uid="{26D9717E-23C7-4F81-80C8-C9B0540D11B7}"/>
    <cellStyle name="Note 2 5 2 3 3 3" xfId="4945" xr:uid="{5479CCDD-656D-4A96-8999-C6200E3BFD28}"/>
    <cellStyle name="Note 2 5 2 3 3 3 2" xfId="10798" xr:uid="{3A42F60E-2F94-4E04-8024-09BF0291BE51}"/>
    <cellStyle name="Note 2 5 2 3 3 3 2 2" xfId="19844" xr:uid="{1FDA19F8-71A6-48B7-B9C0-73B6E522B02C}"/>
    <cellStyle name="Note 2 5 2 3 3 3 3" xfId="16358" xr:uid="{82D8283F-3C50-4515-94B6-44BE4A36EB49}"/>
    <cellStyle name="Note 2 5 2 3 3 3 4" xfId="23022" xr:uid="{60BAA230-9932-4F61-8DA8-0E3E871091C2}"/>
    <cellStyle name="Note 2 5 2 3 3 4" xfId="5560" xr:uid="{CAD3FF51-36DD-4970-8F82-AA4213CCBF93}"/>
    <cellStyle name="Note 2 5 2 3 3 4 2" xfId="11413" xr:uid="{277AD7BA-6DAB-41F9-B24C-3C1C2812981B}"/>
    <cellStyle name="Note 2 5 2 3 3 4 2 2" xfId="20459" xr:uid="{A3E15AFB-279B-4642-8222-178FBAFF1550}"/>
    <cellStyle name="Note 2 5 2 3 3 4 3" xfId="16973" xr:uid="{22AEFB58-4901-4DEA-A1EA-C53484BEAB27}"/>
    <cellStyle name="Note 2 5 2 3 3 5" xfId="6171" xr:uid="{75663CE8-B12E-44FF-AC0F-B2A1F71AADB6}"/>
    <cellStyle name="Note 2 5 2 3 3 5 2" xfId="12018" xr:uid="{44999C4A-BC85-4A23-B4D7-D6C59E6B78F0}"/>
    <cellStyle name="Note 2 5 2 3 3 5 2 2" xfId="21064" xr:uid="{BEBBD34D-C48E-4B9F-BC61-B196A5C7AE75}"/>
    <cellStyle name="Note 2 5 2 3 3 5 3" xfId="17584" xr:uid="{1F7884E6-D94D-410D-AF3B-BF9A93EE3FE8}"/>
    <cellStyle name="Note 2 5 2 3 3 6" xfId="9432" xr:uid="{8150862A-C4A0-4355-ACB2-8A7828A1008F}"/>
    <cellStyle name="Note 2 5 2 3 3 6 2" xfId="18478" xr:uid="{4F41BCB1-2FC9-4BA5-B58E-679742EBFFA7}"/>
    <cellStyle name="Note 2 5 2 3 3 7" xfId="12830" xr:uid="{BBF846DD-395F-46B8-ACED-7752E6D4B2E9}"/>
    <cellStyle name="Note 2 5 2 3 3 8" xfId="13388" xr:uid="{330B517B-2F81-4DCA-BCCA-857A4C5E5145}"/>
    <cellStyle name="Note 2 5 2 3 3 9" xfId="14026" xr:uid="{145BBB50-4B3B-48C0-824E-2762101945B4}"/>
    <cellStyle name="Note 2 5 2 3 4" xfId="4087" xr:uid="{AB321FC7-3A04-4DB8-85A0-2F8B5B5CB9FF}"/>
    <cellStyle name="Note 2 5 2 3 4 2" xfId="9944" xr:uid="{9225642C-53EE-44FD-A522-DF00F44850BF}"/>
    <cellStyle name="Note 2 5 2 3 4 2 2" xfId="18990" xr:uid="{0D8B6D58-9EA3-4FE4-B569-EC6557492187}"/>
    <cellStyle name="Note 2 5 2 3 4 3" xfId="15504" xr:uid="{4D8B2A4F-CB98-485B-B95B-A0EAB46C7B97}"/>
    <cellStyle name="Note 2 5 2 3 4 4" xfId="22207" xr:uid="{64A8171A-7538-44CC-89CE-AB0AFF639C33}"/>
    <cellStyle name="Note 2 5 2 3 5" xfId="5345" xr:uid="{707E7490-16FD-431B-91F0-20AC53A1CD13}"/>
    <cellStyle name="Note 2 5 2 3 5 2" xfId="11198" xr:uid="{5888282C-95B3-4F61-9EAA-06F7BD9D0386}"/>
    <cellStyle name="Note 2 5 2 3 5 2 2" xfId="20244" xr:uid="{9D27FF20-4C37-4C02-AB53-5C70DB3D8A46}"/>
    <cellStyle name="Note 2 5 2 3 5 3" xfId="16758" xr:uid="{A2D283AF-3580-4A04-8C4B-C94BF139840F}"/>
    <cellStyle name="Note 2 5 2 3 6" xfId="5956" xr:uid="{09767368-B88B-4A17-A8E5-A042474CE59B}"/>
    <cellStyle name="Note 2 5 2 3 6 2" xfId="11807" xr:uid="{9A604B53-91E4-463E-8E6F-C28DDC815F89}"/>
    <cellStyle name="Note 2 5 2 3 6 2 2" xfId="20853" xr:uid="{0DCA81C0-4011-42E6-A0C4-5685CEFDA8CE}"/>
    <cellStyle name="Note 2 5 2 3 6 3" xfId="17369" xr:uid="{6EB5A12A-3753-49F7-9ED5-A25FFA6AD016}"/>
    <cellStyle name="Note 2 5 2 3 7" xfId="9217" xr:uid="{D78D04C3-6885-4EB1-93C5-F696AE04CEC5}"/>
    <cellStyle name="Note 2 5 2 3 7 2" xfId="18263" xr:uid="{80D0F2FB-E51C-4985-9C6B-EC540F6DFABB}"/>
    <cellStyle name="Note 2 5 2 3 8" xfId="12615" xr:uid="{30519CFE-44EA-4DB1-A9C3-5ED085BAF9B2}"/>
    <cellStyle name="Note 2 5 2 3 9" xfId="13177" xr:uid="{0968B39B-C87A-4CA9-B4AF-B269C089EB31}"/>
    <cellStyle name="Note 2 5 2 4" xfId="3364" xr:uid="{E3C24BC0-0EE9-4105-9D56-A83B07C76E93}"/>
    <cellStyle name="Note 2 5 2 4 10" xfId="15144" xr:uid="{ACA86314-81DC-4CC7-87F2-3AB4455DBB9E}"/>
    <cellStyle name="Note 2 5 2 4 11" xfId="22013" xr:uid="{4DEE2CAE-9BCC-41F8-999C-BD2068F0F084}"/>
    <cellStyle name="Note 2 5 2 4 2" xfId="4587" xr:uid="{51A4DBE2-469A-4947-8EE5-850D7D394386}"/>
    <cellStyle name="Note 2 5 2 4 2 2" xfId="10444" xr:uid="{0A338116-D7C1-4DBE-BDA2-7AB9484DB9F6}"/>
    <cellStyle name="Note 2 5 2 4 2 2 2" xfId="19490" xr:uid="{A4FE2F24-E5E8-49E2-91BA-F67D736AD5CC}"/>
    <cellStyle name="Note 2 5 2 4 2 3" xfId="16004" xr:uid="{504D0759-29DE-4B80-AB32-EBEC2F9E16FB}"/>
    <cellStyle name="Note 2 5 2 4 2 4" xfId="22669" xr:uid="{EDCC3328-6906-49E6-89FC-381521BF3AB1}"/>
    <cellStyle name="Note 2 5 2 4 3" xfId="5088" xr:uid="{DDDB83F6-B9BF-4D56-9560-6940808BFB95}"/>
    <cellStyle name="Note 2 5 2 4 3 2" xfId="10941" xr:uid="{A5DA9E9E-5B55-4383-99D8-A943FFC26BDB}"/>
    <cellStyle name="Note 2 5 2 4 3 2 2" xfId="19987" xr:uid="{1CBC20E6-4AEF-4B60-90B1-B6BE7487BC4C}"/>
    <cellStyle name="Note 2 5 2 4 3 3" xfId="16501" xr:uid="{83985978-525B-4A42-8FF3-965503790AFB}"/>
    <cellStyle name="Note 2 5 2 4 3 4" xfId="23164" xr:uid="{85217CD4-CF35-4DAA-9655-68269A4545E9}"/>
    <cellStyle name="Note 2 5 2 4 4" xfId="5703" xr:uid="{73EC48D2-9822-4060-AD25-1D99D4146146}"/>
    <cellStyle name="Note 2 5 2 4 4 2" xfId="11556" xr:uid="{E85D3823-033B-4679-A091-AF12F66B713F}"/>
    <cellStyle name="Note 2 5 2 4 4 2 2" xfId="20602" xr:uid="{5C97AAB3-E2D0-4437-B0F3-E7AB7F3E670D}"/>
    <cellStyle name="Note 2 5 2 4 4 3" xfId="17116" xr:uid="{F83C3DFC-E36F-4041-9A4F-CFAF700E787E}"/>
    <cellStyle name="Note 2 5 2 4 5" xfId="6314" xr:uid="{74CF0EF7-9D3A-4FBC-8DCE-AE83668AA4A0}"/>
    <cellStyle name="Note 2 5 2 4 5 2" xfId="12161" xr:uid="{85531C21-5557-4F59-A3CA-D7F6678CB64D}"/>
    <cellStyle name="Note 2 5 2 4 5 2 2" xfId="21207" xr:uid="{C7D51BF4-907B-4FB4-A322-5F431FE0D588}"/>
    <cellStyle name="Note 2 5 2 4 5 3" xfId="17727" xr:uid="{4CE03766-7B24-4907-B040-7EA4C83D11CD}"/>
    <cellStyle name="Note 2 5 2 4 6" xfId="9575" xr:uid="{FEE11D90-9B33-4322-A41C-E4A8B112AA5B}"/>
    <cellStyle name="Note 2 5 2 4 6 2" xfId="18621" xr:uid="{C32FDE93-2DF2-4223-82FC-ADAECC7B52D5}"/>
    <cellStyle name="Note 2 5 2 4 7" xfId="12973" xr:uid="{A603B4B1-2D57-4AE3-B025-F7560B7F6CB9}"/>
    <cellStyle name="Note 2 5 2 4 8" xfId="13530" xr:uid="{0579576F-5B50-4D9A-A3A3-DCE65EFA2CF1}"/>
    <cellStyle name="Note 2 5 2 4 9" xfId="14169" xr:uid="{62A0D129-92EE-46BB-B03F-47D29D8898AB}"/>
    <cellStyle name="Note 2 5 2 5" xfId="3152" xr:uid="{9D009774-08B7-488B-BBA1-470ABDD82953}"/>
    <cellStyle name="Note 2 5 2 5 10" xfId="14932" xr:uid="{443BBFEC-1FE7-41D6-96D5-A3D4B1719833}"/>
    <cellStyle name="Note 2 5 2 5 11" xfId="21800" xr:uid="{5520B76C-7E56-4CCD-98DA-A0D464387688}"/>
    <cellStyle name="Note 2 5 2 5 2" xfId="4373" xr:uid="{32C06D1D-2A7D-4932-B578-AFD1A3634056}"/>
    <cellStyle name="Note 2 5 2 5 2 2" xfId="10230" xr:uid="{66215303-2A70-4FBA-A3EC-6BB6D39B0EA1}"/>
    <cellStyle name="Note 2 5 2 5 2 2 2" xfId="19276" xr:uid="{371453B5-5992-4084-B713-D3EE0B39DE2A}"/>
    <cellStyle name="Note 2 5 2 5 2 3" xfId="15790" xr:uid="{96D8C635-6CB0-4592-928B-ADB0D07049D8}"/>
    <cellStyle name="Note 2 5 2 5 2 4" xfId="22456" xr:uid="{CAF4CA8D-72BB-4958-8325-FFAE0E911087}"/>
    <cellStyle name="Note 2 5 2 5 3" xfId="4874" xr:uid="{F2F325FB-2241-45A6-88AA-9121D6056F07}"/>
    <cellStyle name="Note 2 5 2 5 3 2" xfId="10729" xr:uid="{5EF54EB9-A2B9-4611-92CF-6D1357DDAA23}"/>
    <cellStyle name="Note 2 5 2 5 3 2 2" xfId="19775" xr:uid="{DF3F2F9B-F486-4D08-8B9F-53B4F6B9E38C}"/>
    <cellStyle name="Note 2 5 2 5 3 3" xfId="16289" xr:uid="{77F4B4D9-B4B1-4165-B82D-5E04EC7FEF4A}"/>
    <cellStyle name="Note 2 5 2 5 3 4" xfId="22951" xr:uid="{D6DD32E3-2C45-4B97-A317-24809915D19D}"/>
    <cellStyle name="Note 2 5 2 5 4" xfId="5489" xr:uid="{58897353-9263-47EA-BB85-8539B98543D1}"/>
    <cellStyle name="Note 2 5 2 5 4 2" xfId="11342" xr:uid="{4B379925-1C1A-44E1-9C1C-20B10A470F9D}"/>
    <cellStyle name="Note 2 5 2 5 4 2 2" xfId="20388" xr:uid="{3BA82B12-8E1E-4C05-A717-8CC9E80AB16A}"/>
    <cellStyle name="Note 2 5 2 5 4 3" xfId="16902" xr:uid="{78E46ADE-71C3-4654-A458-C3646665D06C}"/>
    <cellStyle name="Note 2 5 2 5 5" xfId="6100" xr:uid="{128B8457-05B2-4709-AA2D-FE4C8F5D7BB5}"/>
    <cellStyle name="Note 2 5 2 5 5 2" xfId="11949" xr:uid="{2395BE20-C2D4-4A47-A044-2BB819C9977E}"/>
    <cellStyle name="Note 2 5 2 5 5 2 2" xfId="20995" xr:uid="{29BDBAAF-E8C8-415B-ADB6-757C10979FBB}"/>
    <cellStyle name="Note 2 5 2 5 5 3" xfId="17513" xr:uid="{654119A6-C495-449F-BDE8-CB9A9D21B87F}"/>
    <cellStyle name="Note 2 5 2 5 6" xfId="9363" xr:uid="{BE7572C9-8018-4211-A205-166558097D48}"/>
    <cellStyle name="Note 2 5 2 5 6 2" xfId="18409" xr:uid="{1A2DEE1C-E0C4-48EB-A148-B5A76E55C805}"/>
    <cellStyle name="Note 2 5 2 5 7" xfId="12759" xr:uid="{71F28D0B-B75D-46AC-B2C4-8A2C2039BC8E}"/>
    <cellStyle name="Note 2 5 2 5 8" xfId="13319" xr:uid="{3912967E-D7E3-4F7F-962B-75E308C412C6}"/>
    <cellStyle name="Note 2 5 2 5 9" xfId="13955" xr:uid="{8BA4A6E7-A207-4C70-A986-5CA06DD126B4}"/>
    <cellStyle name="Note 2 5 2 6" xfId="3753" xr:uid="{E8B9361E-3BFD-4BC5-8039-6E5932A12B74}"/>
    <cellStyle name="Note 2 5 2 6 2" xfId="9795" xr:uid="{4A7AD142-A532-4DD5-B850-A34EF3EC4BAD}"/>
    <cellStyle name="Note 2 5 2 6 2 2" xfId="18841" xr:uid="{11E92A47-3B38-40A6-82CA-BE0F1C2FF407}"/>
    <cellStyle name="Note 2 5 2 6 3" xfId="15361" xr:uid="{9253021A-A803-4D6E-8230-3B81B50E7294}"/>
    <cellStyle name="Note 2 5 2 6 4" xfId="22340" xr:uid="{9B9E747B-8084-4225-8E2E-083B76927028}"/>
    <cellStyle name="Note 2 5 2 7" xfId="4237" xr:uid="{AB625523-A972-43A4-99C3-4C2E2E37DF62}"/>
    <cellStyle name="Note 2 5 2 7 2" xfId="10094" xr:uid="{C02E544B-1ECC-4C6A-A391-91A241C4EF9E}"/>
    <cellStyle name="Note 2 5 2 7 2 2" xfId="19140" xr:uid="{250C957E-5C91-4D46-8A02-EF151683C7A7}"/>
    <cellStyle name="Note 2 5 2 7 3" xfId="15654" xr:uid="{9BC828EE-064F-4553-9825-3B79C041FB1A}"/>
    <cellStyle name="Note 2 5 2 7 4" xfId="22370" xr:uid="{BB02913B-CD91-4556-AC27-F29B353CEBE8}"/>
    <cellStyle name="Note 2 5 2 8" xfId="4140" xr:uid="{3F602FCF-BE56-45C9-B8DB-673890F93884}"/>
    <cellStyle name="Note 2 5 2 8 2" xfId="9997" xr:uid="{EE4AADA0-1437-44E9-BADB-CCE865417B7A}"/>
    <cellStyle name="Note 2 5 2 8 2 2" xfId="19043" xr:uid="{6BB80EEF-893F-43E1-A08B-435757D58137}"/>
    <cellStyle name="Note 2 5 2 8 3" xfId="15557" xr:uid="{20165CD2-B040-4483-A650-3FE781D711BC}"/>
    <cellStyle name="Note 2 5 2 9" xfId="5274" xr:uid="{097D506B-99CF-4F5E-BE98-A767B96396FE}"/>
    <cellStyle name="Note 2 5 2 9 2" xfId="11127" xr:uid="{0A214744-B0E8-42BB-9D26-BE83D6DA6236}"/>
    <cellStyle name="Note 2 5 2 9 2 2" xfId="20173" xr:uid="{F253478E-A294-4F4E-AEA6-4F5180975B78}"/>
    <cellStyle name="Note 2 5 2 9 3" xfId="16687" xr:uid="{F3265137-8F67-4598-9CBC-4F4413B98A9C}"/>
    <cellStyle name="Note 2 5 3" xfId="2398" xr:uid="{6BD9C9D9-B274-43C0-ACC1-AD2A89C54420}"/>
    <cellStyle name="Note 2 5 3 10" xfId="13178" xr:uid="{7F7EE0F4-702D-4FC2-BE44-8074CE5C33F2}"/>
    <cellStyle name="Note 2 5 3 11" xfId="13812" xr:uid="{8F4E809D-C346-447B-B7AD-589543441B9B}"/>
    <cellStyle name="Note 2 5 3 12" xfId="14787" xr:uid="{15A716CB-45F9-41C8-829D-9E5F0FCA6A81}"/>
    <cellStyle name="Note 2 5 3 13" xfId="21657" xr:uid="{51DCD64C-50C0-4B9D-B52B-3F856F92110C}"/>
    <cellStyle name="Note 2 5 3 14" xfId="23985" xr:uid="{2E619250-73E9-4284-A0F2-B8456A3702AA}"/>
    <cellStyle name="Note 2 5 3 2" xfId="2810" xr:uid="{A8236971-0C97-4FE2-A0C1-0B0B639FB3F3}"/>
    <cellStyle name="Note 2 5 3 2 10" xfId="15214" xr:uid="{631AAF2F-9C0C-4933-90B3-4C4FEBD21810}"/>
    <cellStyle name="Note 2 5 3 2 11" xfId="22083" xr:uid="{E1344FFA-8048-4EC4-B4E6-1DC61E4F85EC}"/>
    <cellStyle name="Note 2 5 3 2 2" xfId="4657" xr:uid="{3E5FD6F0-0982-4741-8F7C-4D8A3BC830E5}"/>
    <cellStyle name="Note 2 5 3 2 2 2" xfId="10514" xr:uid="{1BA8A98D-858E-4304-B34F-4E20E6002F60}"/>
    <cellStyle name="Note 2 5 3 2 2 2 2" xfId="19560" xr:uid="{FC2F006D-FEA2-47B9-A57C-74F1E24C85B6}"/>
    <cellStyle name="Note 2 5 3 2 2 3" xfId="16074" xr:uid="{04005A08-DA3C-494D-AC5F-854241538D10}"/>
    <cellStyle name="Note 2 5 3 2 2 4" xfId="22739" xr:uid="{77CFC45D-F596-48CD-8852-A1156D75C38C}"/>
    <cellStyle name="Note 2 5 3 2 3" xfId="5158" xr:uid="{7C45D5B1-BE9F-4387-A22E-26201136E514}"/>
    <cellStyle name="Note 2 5 3 2 3 2" xfId="11011" xr:uid="{3F306F2C-C04E-4AE8-9A2C-B1A24E0A0B8F}"/>
    <cellStyle name="Note 2 5 3 2 3 2 2" xfId="20057" xr:uid="{24FA8D20-1879-4FEC-B9DA-6EAB9E08CF5F}"/>
    <cellStyle name="Note 2 5 3 2 3 3" xfId="16571" xr:uid="{E1421832-C412-418B-88CB-4406D47A01B7}"/>
    <cellStyle name="Note 2 5 3 2 3 4" xfId="23234" xr:uid="{13EC331E-5986-4B95-B2FD-2F052852F701}"/>
    <cellStyle name="Note 2 5 3 2 4" xfId="5773" xr:uid="{4C82CF6A-01D3-43DC-A0E5-3979EA12117D}"/>
    <cellStyle name="Note 2 5 3 2 4 2" xfId="11626" xr:uid="{EA1747E2-13F3-44B5-935D-4668014840ED}"/>
    <cellStyle name="Note 2 5 3 2 4 2 2" xfId="20672" xr:uid="{1439893B-8F26-4F03-833A-5A6C20C382A9}"/>
    <cellStyle name="Note 2 5 3 2 4 3" xfId="17186" xr:uid="{9A86CD83-28C0-49AE-9D7F-560E6B318FCE}"/>
    <cellStyle name="Note 2 5 3 2 5" xfId="6384" xr:uid="{CE0F0EC9-3D25-46BA-92A4-7BD6F56C6487}"/>
    <cellStyle name="Note 2 5 3 2 5 2" xfId="12231" xr:uid="{C87DBEEA-C22F-4E60-8869-8F211F18F202}"/>
    <cellStyle name="Note 2 5 3 2 5 2 2" xfId="21277" xr:uid="{E5DC860D-E039-49AD-A370-5956F9396B98}"/>
    <cellStyle name="Note 2 5 3 2 5 3" xfId="17797" xr:uid="{1A79F4D4-DE9F-4A05-8813-71A4DF556093}"/>
    <cellStyle name="Note 2 5 3 2 6" xfId="9645" xr:uid="{2EDD3D9B-81B1-4F3C-9B10-EC1236136354}"/>
    <cellStyle name="Note 2 5 3 2 6 2" xfId="18691" xr:uid="{D4AB81FB-F80A-4313-A0C1-0CCE5D1B783C}"/>
    <cellStyle name="Note 2 5 3 2 7" xfId="13043" xr:uid="{0B9080FA-658A-4493-AEC5-273E50E0CE51}"/>
    <cellStyle name="Note 2 5 3 2 8" xfId="13600" xr:uid="{D4C0DF82-7909-4A4D-84F1-E15651A100B9}"/>
    <cellStyle name="Note 2 5 3 2 9" xfId="14239" xr:uid="{FC1CF3F6-DDD0-4B86-B18F-AEBA37CFEEAD}"/>
    <cellStyle name="Note 2 5 3 3" xfId="3222" xr:uid="{532A3198-0697-4749-9E5B-05CF6A04666B}"/>
    <cellStyle name="Note 2 5 3 3 10" xfId="15002" xr:uid="{C50DA1C8-D283-4D02-93E5-20917FFE8243}"/>
    <cellStyle name="Note 2 5 3 3 11" xfId="21872" xr:uid="{F27726ED-9670-4BCE-9658-1C13769FB44B}"/>
    <cellStyle name="Note 2 5 3 3 2" xfId="4445" xr:uid="{4EB4087C-57BF-4A25-8AEC-A26516CA2118}"/>
    <cellStyle name="Note 2 5 3 3 2 2" xfId="10302" xr:uid="{6B8E0D74-60DF-45C8-9B5A-8A1B48E8ED8F}"/>
    <cellStyle name="Note 2 5 3 3 2 2 2" xfId="19348" xr:uid="{9F98BCC2-CD6D-468B-9764-0AF5ABD07AB1}"/>
    <cellStyle name="Note 2 5 3 3 2 3" xfId="15862" xr:uid="{25834FE4-F2EA-4F37-B9D5-F167A99EE7DE}"/>
    <cellStyle name="Note 2 5 3 3 2 4" xfId="22528" xr:uid="{A6495130-86D0-4807-894D-9B1734D885FD}"/>
    <cellStyle name="Note 2 5 3 3 3" xfId="4946" xr:uid="{1B2F7111-4F20-42C5-A09A-E58DFE17FF27}"/>
    <cellStyle name="Note 2 5 3 3 3 2" xfId="10799" xr:uid="{8130A4C8-B81E-4D71-875F-BCE20612F6D1}"/>
    <cellStyle name="Note 2 5 3 3 3 2 2" xfId="19845" xr:uid="{8EDB54FD-380A-42F3-9EB3-EEEF005E7EBD}"/>
    <cellStyle name="Note 2 5 3 3 3 3" xfId="16359" xr:uid="{10E0A3FC-C67F-498F-84EA-97F03D6707A6}"/>
    <cellStyle name="Note 2 5 3 3 3 4" xfId="23023" xr:uid="{450911C9-3F26-4F65-A688-25A18517E165}"/>
    <cellStyle name="Note 2 5 3 3 4" xfId="5561" xr:uid="{2A9EF2ED-1B8C-4048-A93C-ACA42F767975}"/>
    <cellStyle name="Note 2 5 3 3 4 2" xfId="11414" xr:uid="{C731CA8E-5A09-497A-A5DD-0DE70504E797}"/>
    <cellStyle name="Note 2 5 3 3 4 2 2" xfId="20460" xr:uid="{611BABBC-1A85-4EA3-BED6-75A5266187BC}"/>
    <cellStyle name="Note 2 5 3 3 4 3" xfId="16974" xr:uid="{AF5645D9-81F3-4298-9BBF-6720AEACF0F1}"/>
    <cellStyle name="Note 2 5 3 3 5" xfId="6172" xr:uid="{A78266DA-997F-4602-A733-DBD707E74DA1}"/>
    <cellStyle name="Note 2 5 3 3 5 2" xfId="12019" xr:uid="{054603BD-B386-4EAE-B52C-F1D0A4E41E98}"/>
    <cellStyle name="Note 2 5 3 3 5 2 2" xfId="21065" xr:uid="{D90879E0-15DC-4319-942C-8863B978385D}"/>
    <cellStyle name="Note 2 5 3 3 5 3" xfId="17585" xr:uid="{7D1B0327-BEDF-406A-81C6-EF1BD245625B}"/>
    <cellStyle name="Note 2 5 3 3 6" xfId="9433" xr:uid="{BD90FAF5-BAD5-4B9E-8A3A-E0C2C82DEA3F}"/>
    <cellStyle name="Note 2 5 3 3 6 2" xfId="18479" xr:uid="{38A9BE8B-AA2E-4F38-96DF-7952BA25E042}"/>
    <cellStyle name="Note 2 5 3 3 7" xfId="12831" xr:uid="{69B1EC7A-B4E4-40E2-B374-2CB70230D3C1}"/>
    <cellStyle name="Note 2 5 3 3 8" xfId="13389" xr:uid="{EC89E002-F5DC-414A-9955-1A04F97C096B}"/>
    <cellStyle name="Note 2 5 3 3 9" xfId="14027" xr:uid="{971B3E37-AE07-43A9-872D-42B4A7A0479E}"/>
    <cellStyle name="Note 2 5 3 4" xfId="3989" xr:uid="{AB337B29-4162-48C8-809A-56BA98E7FC1D}"/>
    <cellStyle name="Note 2 5 3 4 2" xfId="9851" xr:uid="{D66F0A35-D571-4357-ACBF-1CC2EE03F156}"/>
    <cellStyle name="Note 2 5 3 4 2 2" xfId="18897" xr:uid="{906CB4E5-4B2F-4E05-9B36-D32B935D9226}"/>
    <cellStyle name="Note 2 5 3 4 3" xfId="15413" xr:uid="{87F2EC84-3144-4082-B3BC-213E517C5DB9}"/>
    <cellStyle name="Note 2 5 3 4 4" xfId="22206" xr:uid="{561ABD1C-F77B-4517-9E70-1DC8779DE5BA}"/>
    <cellStyle name="Note 2 5 3 5" xfId="4086" xr:uid="{12DE07F0-540D-4A1B-9843-6845E8AC8B59}"/>
    <cellStyle name="Note 2 5 3 5 2" xfId="9943" xr:uid="{ABE832CF-13BA-4DB6-AD59-C88661707905}"/>
    <cellStyle name="Note 2 5 3 5 2 2" xfId="18989" xr:uid="{88C9CFB1-DD9F-4F80-AA8B-D7D54A130F9A}"/>
    <cellStyle name="Note 2 5 3 5 3" xfId="15503" xr:uid="{7E4B4C51-F7CD-44B1-A98A-06417A0FB3CA}"/>
    <cellStyle name="Note 2 5 3 6" xfId="5346" xr:uid="{619F16A4-CA36-41E4-903C-2B5BCCC5E239}"/>
    <cellStyle name="Note 2 5 3 6 2" xfId="11199" xr:uid="{CB2BF8AA-EF2F-4FC8-9C9E-FDD218C96AD7}"/>
    <cellStyle name="Note 2 5 3 6 2 2" xfId="20245" xr:uid="{0ACAF859-EE28-4B2C-9F8D-4CA1928F80E8}"/>
    <cellStyle name="Note 2 5 3 6 3" xfId="16759" xr:uid="{6B2A7345-B277-413B-8C9B-A5065723AF06}"/>
    <cellStyle name="Note 2 5 3 7" xfId="5957" xr:uid="{5C135997-9AA0-4E2E-B3F6-1E3E1A08B6F9}"/>
    <cellStyle name="Note 2 5 3 7 2" xfId="11808" xr:uid="{E22997D5-06A9-409A-BEDC-599E034A0728}"/>
    <cellStyle name="Note 2 5 3 7 2 2" xfId="20854" xr:uid="{936F0106-1E03-4DDB-B62D-B004FFD56A2B}"/>
    <cellStyle name="Note 2 5 3 7 3" xfId="17370" xr:uid="{25FD1A49-A3F6-4836-AD49-C17EF55A750E}"/>
    <cellStyle name="Note 2 5 3 8" xfId="9218" xr:uid="{4F1BC33E-45DC-4CD0-86E4-73C3CF8F87E1}"/>
    <cellStyle name="Note 2 5 3 8 2" xfId="18264" xr:uid="{C85210A5-FD5D-4028-8280-59B1F2B25BF6}"/>
    <cellStyle name="Note 2 5 3 9" xfId="12616" xr:uid="{357CDC76-3DE9-48FD-8B9E-9CB94A58C255}"/>
    <cellStyle name="Note 2 5 4" xfId="2808" xr:uid="{8982027D-DE6C-4728-9EE2-23D9D9714D0E}"/>
    <cellStyle name="Note 2 5 4 10" xfId="13813" xr:uid="{FCFA4BD1-DF31-416D-8C1C-79F1E52E421A}"/>
    <cellStyle name="Note 2 5 4 11" xfId="14788" xr:uid="{2C02C557-AA93-4027-B6C3-6AB757B8C253}"/>
    <cellStyle name="Note 2 5 4 12" xfId="21658" xr:uid="{6621BAC1-943E-451D-B219-1F0E1EEAE72E}"/>
    <cellStyle name="Note 2 5 4 2" xfId="3427" xr:uid="{637CCD06-572B-4F78-A2D4-B1C98ACE893C}"/>
    <cellStyle name="Note 2 5 4 2 10" xfId="15215" xr:uid="{1E9202E9-4990-4FDB-A795-CCCD88E18C26}"/>
    <cellStyle name="Note 2 5 4 2 11" xfId="22084" xr:uid="{C1595469-399A-4306-AF14-38A58F93356E}"/>
    <cellStyle name="Note 2 5 4 2 2" xfId="4658" xr:uid="{18957139-CF74-4CD5-B358-1B4CBA153A9D}"/>
    <cellStyle name="Note 2 5 4 2 2 2" xfId="10515" xr:uid="{1E944F6E-1A68-4DC2-AD1F-BC5E0A6AB6BA}"/>
    <cellStyle name="Note 2 5 4 2 2 2 2" xfId="19561" xr:uid="{716B9C4D-AA09-4EC0-B1AE-0A1F15C011A7}"/>
    <cellStyle name="Note 2 5 4 2 2 3" xfId="16075" xr:uid="{BEC61D24-13CB-460A-B574-DEBD74905852}"/>
    <cellStyle name="Note 2 5 4 2 2 4" xfId="22740" xr:uid="{2878E240-ECEC-4713-905B-4C76AF37EECA}"/>
    <cellStyle name="Note 2 5 4 2 3" xfId="5159" xr:uid="{095C55B7-8EEA-4CB4-8EC4-2FCD0B06A415}"/>
    <cellStyle name="Note 2 5 4 2 3 2" xfId="11012" xr:uid="{06D15C22-0618-4A5B-8F17-036150FDA2D9}"/>
    <cellStyle name="Note 2 5 4 2 3 2 2" xfId="20058" xr:uid="{9937FA9D-FD7B-4D3E-8653-6CB0A3F8BB32}"/>
    <cellStyle name="Note 2 5 4 2 3 3" xfId="16572" xr:uid="{EE68C00D-4818-4BAC-A5DD-6AD45577006C}"/>
    <cellStyle name="Note 2 5 4 2 3 4" xfId="23235" xr:uid="{CC696EF4-1FEE-4CDE-8047-73832CD38C78}"/>
    <cellStyle name="Note 2 5 4 2 4" xfId="5774" xr:uid="{3B981161-9FB7-4BF8-9CD7-48BB2DB97084}"/>
    <cellStyle name="Note 2 5 4 2 4 2" xfId="11627" xr:uid="{E72D9EE0-6901-4AAB-8E0C-91C4FAE36FD5}"/>
    <cellStyle name="Note 2 5 4 2 4 2 2" xfId="20673" xr:uid="{37992C8A-1A06-4EF7-9F4A-319D44DB6724}"/>
    <cellStyle name="Note 2 5 4 2 4 3" xfId="17187" xr:uid="{1E9D8398-4C8E-4E5C-B194-024C7CD449E2}"/>
    <cellStyle name="Note 2 5 4 2 5" xfId="6385" xr:uid="{EF7276D5-DD5C-4F84-8CC2-BB1D5E2BC3A5}"/>
    <cellStyle name="Note 2 5 4 2 5 2" xfId="12232" xr:uid="{BC207975-29E5-4612-ABA2-8318F7F78E9E}"/>
    <cellStyle name="Note 2 5 4 2 5 2 2" xfId="21278" xr:uid="{6BEE3232-4552-4E43-A968-E9F4EB38EBB6}"/>
    <cellStyle name="Note 2 5 4 2 5 3" xfId="17798" xr:uid="{8D4EBF87-A59F-43AB-868F-6458F2AB808C}"/>
    <cellStyle name="Note 2 5 4 2 6" xfId="9646" xr:uid="{7E7B9599-F6D5-44F9-9BA2-26A91DF6F485}"/>
    <cellStyle name="Note 2 5 4 2 6 2" xfId="18692" xr:uid="{3290E416-EF0B-4AE8-B9F8-CDA8C7CFF5B1}"/>
    <cellStyle name="Note 2 5 4 2 7" xfId="13044" xr:uid="{D1C3811D-9EDE-4AE7-A676-151AA6D59FAF}"/>
    <cellStyle name="Note 2 5 4 2 8" xfId="13601" xr:uid="{CE7087CD-6B4F-4A5E-B8F8-D8030DA73DD4}"/>
    <cellStyle name="Note 2 5 4 2 9" xfId="14240" xr:uid="{827DA1F0-3CBD-499E-9B0B-9A2729711D33}"/>
    <cellStyle name="Note 2 5 4 3" xfId="3223" xr:uid="{356E1CF6-B6EE-4FE5-B819-2B1A9D0D9A79}"/>
    <cellStyle name="Note 2 5 4 3 10" xfId="15003" xr:uid="{D6CACEA4-FF6F-4107-A73E-B7B7FE0AD5C8}"/>
    <cellStyle name="Note 2 5 4 3 11" xfId="21873" xr:uid="{388DF749-FD0B-4D14-8B50-501937B6ED5E}"/>
    <cellStyle name="Note 2 5 4 3 2" xfId="4446" xr:uid="{626118D3-55F9-4B91-B27A-E0352FB7BEFC}"/>
    <cellStyle name="Note 2 5 4 3 2 2" xfId="10303" xr:uid="{7EDEB9F6-F54E-4E78-BA9C-22DFED845D15}"/>
    <cellStyle name="Note 2 5 4 3 2 2 2" xfId="19349" xr:uid="{EFCD8D45-1E9C-46D4-BDE9-8781ABF7DD19}"/>
    <cellStyle name="Note 2 5 4 3 2 3" xfId="15863" xr:uid="{4EA4833F-6EEB-4837-B611-D31A252ED84A}"/>
    <cellStyle name="Note 2 5 4 3 2 4" xfId="22529" xr:uid="{EBA79ED7-2ADA-43B5-811D-2DEB61AF7679}"/>
    <cellStyle name="Note 2 5 4 3 3" xfId="4947" xr:uid="{9DC4D652-52CC-4585-90ED-0B01FB31DC20}"/>
    <cellStyle name="Note 2 5 4 3 3 2" xfId="10800" xr:uid="{0E80C423-8DBF-4E2A-897A-A06EB402CCA9}"/>
    <cellStyle name="Note 2 5 4 3 3 2 2" xfId="19846" xr:uid="{B1605649-E80C-4874-BF06-93FF1800AD15}"/>
    <cellStyle name="Note 2 5 4 3 3 3" xfId="16360" xr:uid="{4B574297-9F48-4CF7-B17D-1EE0EC2087EE}"/>
    <cellStyle name="Note 2 5 4 3 3 4" xfId="23024" xr:uid="{4AA44468-EABB-4F3B-A385-003E833A43BF}"/>
    <cellStyle name="Note 2 5 4 3 4" xfId="5562" xr:uid="{64799FB3-4742-48C2-B6B5-2E007CDC32A0}"/>
    <cellStyle name="Note 2 5 4 3 4 2" xfId="11415" xr:uid="{3B263843-419B-4790-BEFA-179ED1F08C4E}"/>
    <cellStyle name="Note 2 5 4 3 4 2 2" xfId="20461" xr:uid="{1777ECC0-CECA-4F21-A372-149A77ADD9F0}"/>
    <cellStyle name="Note 2 5 4 3 4 3" xfId="16975" xr:uid="{42307E38-124A-4B4E-9C88-E9E7A8A28742}"/>
    <cellStyle name="Note 2 5 4 3 5" xfId="6173" xr:uid="{17C2A166-F3F2-4852-8DC4-042A1BCA6C6A}"/>
    <cellStyle name="Note 2 5 4 3 5 2" xfId="12020" xr:uid="{6B8DB22E-E2EE-4619-83EB-2873B42FECEE}"/>
    <cellStyle name="Note 2 5 4 3 5 2 2" xfId="21066" xr:uid="{91BCD54A-E006-40F2-8053-8C40F8E6E98A}"/>
    <cellStyle name="Note 2 5 4 3 5 3" xfId="17586" xr:uid="{F912FF3F-21E4-44BD-9EAC-E26D86AEEE9B}"/>
    <cellStyle name="Note 2 5 4 3 6" xfId="9434" xr:uid="{6BA8628B-3A65-4A32-87C9-3605A5445C02}"/>
    <cellStyle name="Note 2 5 4 3 6 2" xfId="18480" xr:uid="{1D67270E-F322-4E92-A1D9-406A86567119}"/>
    <cellStyle name="Note 2 5 4 3 7" xfId="12832" xr:uid="{7B27CD79-4347-4D49-AC33-4DDD051501B2}"/>
    <cellStyle name="Note 2 5 4 3 8" xfId="13390" xr:uid="{A543229E-7B5C-4635-B127-27167D0BEA58}"/>
    <cellStyle name="Note 2 5 4 3 9" xfId="14028" xr:uid="{36AFE647-25A8-4840-88A1-627BDF4A6A03}"/>
    <cellStyle name="Note 2 5 4 4" xfId="4085" xr:uid="{462AC116-473D-4785-838B-1050FF0C1103}"/>
    <cellStyle name="Note 2 5 4 4 2" xfId="9942" xr:uid="{4CD61ABC-C659-4EF5-A609-4D6F91C14339}"/>
    <cellStyle name="Note 2 5 4 4 2 2" xfId="18988" xr:uid="{2C831B76-F459-4019-AB37-2CC26C24205A}"/>
    <cellStyle name="Note 2 5 4 4 3" xfId="15502" xr:uid="{B9235496-33F1-40C8-8D6A-E34D864EEE55}"/>
    <cellStyle name="Note 2 5 4 4 4" xfId="22205" xr:uid="{F4084A5E-CBEB-41F0-8388-8F1C0395A410}"/>
    <cellStyle name="Note 2 5 4 5" xfId="5347" xr:uid="{651C46DC-B383-49B2-B50E-EEF090C5B723}"/>
    <cellStyle name="Note 2 5 4 5 2" xfId="11200" xr:uid="{C78678CA-6044-4C7B-92BE-7F755EB91AE3}"/>
    <cellStyle name="Note 2 5 4 5 2 2" xfId="20246" xr:uid="{6E600D45-CF79-4C29-9D2E-C03231193B82}"/>
    <cellStyle name="Note 2 5 4 5 3" xfId="16760" xr:uid="{9D750A9F-1CE4-4FFD-863E-44BA7E80012C}"/>
    <cellStyle name="Note 2 5 4 6" xfId="5958" xr:uid="{F01B39B1-439C-431B-A380-61DD5463C562}"/>
    <cellStyle name="Note 2 5 4 6 2" xfId="11809" xr:uid="{2813822C-D4DC-4F1B-A48A-EF5E7F2349C0}"/>
    <cellStyle name="Note 2 5 4 6 2 2" xfId="20855" xr:uid="{80DDAD24-D056-4F37-B87B-540987B9E130}"/>
    <cellStyle name="Note 2 5 4 6 3" xfId="17371" xr:uid="{D84C5A29-D80E-4203-8AD8-60774D691825}"/>
    <cellStyle name="Note 2 5 4 7" xfId="9219" xr:uid="{831917F6-EE5A-4EC9-A521-6F997B330777}"/>
    <cellStyle name="Note 2 5 4 7 2" xfId="18265" xr:uid="{1A9ABC07-9DEA-46BC-B70D-E6E949826960}"/>
    <cellStyle name="Note 2 5 4 8" xfId="12617" xr:uid="{FB342355-FA80-4D6E-A237-572FA395467F}"/>
    <cellStyle name="Note 2 5 4 9" xfId="13179" xr:uid="{A7829929-21CF-462A-8B07-228519DBF91F}"/>
    <cellStyle name="Note 2 5 5" xfId="3333" xr:uid="{E452830F-FA6D-49C5-8758-93A601C50BC1}"/>
    <cellStyle name="Note 2 5 5 10" xfId="15113" xr:uid="{0FBD6BF1-9D6A-414F-89CC-52568A14419E}"/>
    <cellStyle name="Note 2 5 5 11" xfId="21982" xr:uid="{187E0A7C-F95E-47C4-8ECA-1E51CD5EFEA1}"/>
    <cellStyle name="Note 2 5 5 2" xfId="4556" xr:uid="{7B39BDDE-9E4D-4C79-AAA9-6808EF0B7CC7}"/>
    <cellStyle name="Note 2 5 5 2 2" xfId="10413" xr:uid="{01D9249D-A63D-4A16-B696-5CEABE7A9C8F}"/>
    <cellStyle name="Note 2 5 5 2 2 2" xfId="19459" xr:uid="{3E28DE9D-AC79-4A89-ADA4-6FB327BEFD44}"/>
    <cellStyle name="Note 2 5 5 2 3" xfId="15973" xr:uid="{8FE57B5C-48A1-484B-A6AA-301CAC70F51E}"/>
    <cellStyle name="Note 2 5 5 2 4" xfId="22638" xr:uid="{FD4DAA37-99AE-4E10-92F6-BB2E0A7168C7}"/>
    <cellStyle name="Note 2 5 5 3" xfId="5057" xr:uid="{CAAD3B4E-FBFD-4346-BA1F-7A2A70049CB6}"/>
    <cellStyle name="Note 2 5 5 3 2" xfId="10910" xr:uid="{BC40B21A-A5EF-439B-B7B9-CC3D8C38B5BE}"/>
    <cellStyle name="Note 2 5 5 3 2 2" xfId="19956" xr:uid="{A4A283E4-ADF3-44BA-8209-BD84AD71C7C8}"/>
    <cellStyle name="Note 2 5 5 3 3" xfId="16470" xr:uid="{81FE4BEA-2C50-426E-9B98-061DBA2C11C3}"/>
    <cellStyle name="Note 2 5 5 3 4" xfId="23133" xr:uid="{88D17DFE-F197-4423-9CD6-885D10855E61}"/>
    <cellStyle name="Note 2 5 5 4" xfId="5672" xr:uid="{89782EF8-9864-4389-94DD-EAE865E12DA3}"/>
    <cellStyle name="Note 2 5 5 4 2" xfId="11525" xr:uid="{F75EEC4C-C45A-48D2-B4B2-993076C58C2C}"/>
    <cellStyle name="Note 2 5 5 4 2 2" xfId="20571" xr:uid="{E1534AED-F408-41B9-9D59-15EEAF2A9998}"/>
    <cellStyle name="Note 2 5 5 4 3" xfId="17085" xr:uid="{E5E811E0-B2D0-467D-8DED-76427A1C9962}"/>
    <cellStyle name="Note 2 5 5 5" xfId="6283" xr:uid="{6F2EAB2B-EA71-4E01-81CF-742480EE723F}"/>
    <cellStyle name="Note 2 5 5 5 2" xfId="12130" xr:uid="{4C8272D2-383B-4457-A7DB-B097CB8AE166}"/>
    <cellStyle name="Note 2 5 5 5 2 2" xfId="21176" xr:uid="{5311D110-50AA-48C8-9554-08B4D621D49D}"/>
    <cellStyle name="Note 2 5 5 5 3" xfId="17696" xr:uid="{5F40C354-A002-48F4-8504-6EB492A2F563}"/>
    <cellStyle name="Note 2 5 5 6" xfId="9544" xr:uid="{82F30D0D-32F7-483A-A054-FB520891FD1B}"/>
    <cellStyle name="Note 2 5 5 6 2" xfId="18590" xr:uid="{C1CCB730-5A7C-4436-B797-BA4DA3027326}"/>
    <cellStyle name="Note 2 5 5 7" xfId="12942" xr:uid="{1FB3CEAA-8066-4A02-A1EF-F3FCDA87C17A}"/>
    <cellStyle name="Note 2 5 5 8" xfId="13499" xr:uid="{0B78658F-9FE7-4DE5-A29E-257266B191E3}"/>
    <cellStyle name="Note 2 5 5 9" xfId="14138" xr:uid="{DE122611-B54F-45F5-9810-E3BEFDDB0778}"/>
    <cellStyle name="Note 2 5 6" xfId="3121" xr:uid="{37BEFD58-6702-4575-9273-F98AC3F60E9D}"/>
    <cellStyle name="Note 2 5 6 10" xfId="14901" xr:uid="{5212EF35-CDE7-4B38-B4F4-0B87EA7CDFB4}"/>
    <cellStyle name="Note 2 5 6 11" xfId="21769" xr:uid="{72DAECC8-3924-4751-84CB-A124E588E0D2}"/>
    <cellStyle name="Note 2 5 6 2" xfId="4342" xr:uid="{CC7E4D85-D903-4A7F-AD10-EEF9607E578A}"/>
    <cellStyle name="Note 2 5 6 2 2" xfId="10199" xr:uid="{F4206948-4CC7-4264-A1A4-445B69255CF0}"/>
    <cellStyle name="Note 2 5 6 2 2 2" xfId="19245" xr:uid="{A6ABE234-8B72-44A9-93FF-09E14ECCC810}"/>
    <cellStyle name="Note 2 5 6 2 3" xfId="15759" xr:uid="{5639D0D0-FD03-4D7A-99C2-72F4860728A7}"/>
    <cellStyle name="Note 2 5 6 2 4" xfId="22425" xr:uid="{BBB73712-6322-4FDC-AB11-E395664111A9}"/>
    <cellStyle name="Note 2 5 6 3" xfId="4843" xr:uid="{93FB7E33-EA4E-4341-8287-78E78019E9F8}"/>
    <cellStyle name="Note 2 5 6 3 2" xfId="10698" xr:uid="{87204F14-91F2-47FB-9B73-7865567FE6F5}"/>
    <cellStyle name="Note 2 5 6 3 2 2" xfId="19744" xr:uid="{05266D5C-60B4-4C4C-A534-6ED9D281A99F}"/>
    <cellStyle name="Note 2 5 6 3 3" xfId="16258" xr:uid="{F96FED51-C897-4174-A8F5-D51465D01D4D}"/>
    <cellStyle name="Note 2 5 6 3 4" xfId="22920" xr:uid="{DE350680-1C70-4FB5-B836-66E2167E9E19}"/>
    <cellStyle name="Note 2 5 6 4" xfId="5458" xr:uid="{E1967544-BF22-4909-96F2-9366F7D44298}"/>
    <cellStyle name="Note 2 5 6 4 2" xfId="11311" xr:uid="{446D6C14-1564-4A20-BFBE-4C94E11F3919}"/>
    <cellStyle name="Note 2 5 6 4 2 2" xfId="20357" xr:uid="{33E2BF2D-D3F4-4980-8B0D-3A0DDA81A8A4}"/>
    <cellStyle name="Note 2 5 6 4 3" xfId="16871" xr:uid="{014CE99A-AEE5-4E5B-A2D7-BEE1F9E95E24}"/>
    <cellStyle name="Note 2 5 6 5" xfId="6069" xr:uid="{723D0508-020C-48EC-950A-44AD09EA20C2}"/>
    <cellStyle name="Note 2 5 6 5 2" xfId="11918" xr:uid="{5CDD7426-868E-4B25-8F36-767C78586963}"/>
    <cellStyle name="Note 2 5 6 5 2 2" xfId="20964" xr:uid="{AB3A7DE6-8A3C-4F3A-A708-BD836975CAD3}"/>
    <cellStyle name="Note 2 5 6 5 3" xfId="17482" xr:uid="{15AD80EB-ED01-410D-9344-F391F820C1B5}"/>
    <cellStyle name="Note 2 5 6 6" xfId="9332" xr:uid="{7BAB4896-00E0-4618-A1B0-1B97C09DD4DB}"/>
    <cellStyle name="Note 2 5 6 6 2" xfId="18378" xr:uid="{80B89026-7FF6-4D2B-ADD0-695DE1B0CE90}"/>
    <cellStyle name="Note 2 5 6 7" xfId="12728" xr:uid="{1D6F5CE2-07CE-4792-81F9-AD987BAB7FE1}"/>
    <cellStyle name="Note 2 5 6 8" xfId="13288" xr:uid="{F42295F5-441D-426E-984B-5E160341E16E}"/>
    <cellStyle name="Note 2 5 6 9" xfId="13924" xr:uid="{FAF2B47F-0E84-48D2-9376-2D5DCDFD19DB}"/>
    <cellStyle name="Note 2 5 7" xfId="3721" xr:uid="{7AB80B4A-E674-4ECD-A755-8761F080723F}"/>
    <cellStyle name="Note 2 5 7 2" xfId="9763" xr:uid="{D31858DE-7DD1-4E71-859C-F1C175330892}"/>
    <cellStyle name="Note 2 5 7 2 2" xfId="18809" xr:uid="{FE3A3DA3-9054-4586-9BBE-ED65D3D6B8A8}"/>
    <cellStyle name="Note 2 5 7 3" xfId="15329" xr:uid="{62E3CC88-7EFC-431E-982F-F981999EA70A}"/>
    <cellStyle name="Note 2 5 7 4" xfId="22308" xr:uid="{7D47CEE0-5277-4BDD-A35D-871E1CE36913}"/>
    <cellStyle name="Note 2 5 8" xfId="4205" xr:uid="{995E9A11-327A-48F0-A01F-72AAEE75FD3C}"/>
    <cellStyle name="Note 2 5 8 2" xfId="10062" xr:uid="{54331AF6-D08E-4E8F-94C4-5CC55572819F}"/>
    <cellStyle name="Note 2 5 8 2 2" xfId="19108" xr:uid="{ABCCB9E1-D1C3-4899-8244-2BEE316881DD}"/>
    <cellStyle name="Note 2 5 8 3" xfId="15622" xr:uid="{7DF5E297-6AD0-4B88-AE75-CB2D69726C00}"/>
    <cellStyle name="Note 2 5 8 4" xfId="22291" xr:uid="{91ED8363-D537-4AD3-95C4-2EC9516B04C9}"/>
    <cellStyle name="Note 2 5 9" xfId="4154" xr:uid="{D65E5F3C-3E58-4BB8-AE32-5F07AD963565}"/>
    <cellStyle name="Note 2 5 9 2" xfId="10011" xr:uid="{8C0F14FA-1E1B-42B6-8293-9C47A737EE3A}"/>
    <cellStyle name="Note 2 5 9 2 2" xfId="19057" xr:uid="{BDB1F0C6-26BD-4710-AEC2-CEEE13BA46F0}"/>
    <cellStyle name="Note 2 5 9 3" xfId="15571" xr:uid="{893A1979-E122-403C-94A3-8D4B88EEF38F}"/>
    <cellStyle name="Note 2 6" xfId="2399" xr:uid="{F371C2B8-4C4A-44D7-8743-A41C9E994A72}"/>
    <cellStyle name="Note 2 6 10" xfId="4314" xr:uid="{7D410BE6-BE6F-4863-964A-A77847F7C1D4}"/>
    <cellStyle name="Note 2 6 10 2" xfId="10171" xr:uid="{D7EEFF32-D3A1-410B-A866-3607F8899B0F}"/>
    <cellStyle name="Note 2 6 10 2 2" xfId="19217" xr:uid="{65D2C53F-42FD-44D9-B8A3-515FF5AA6CDB}"/>
    <cellStyle name="Note 2 6 10 3" xfId="15731" xr:uid="{3410D479-CB37-4AB4-897E-79EE3B77EC4E}"/>
    <cellStyle name="Note 2 6 11" xfId="4169" xr:uid="{D3A24AD7-257E-4CC1-BD1C-763DFE055C23}"/>
    <cellStyle name="Note 2 6 11 2" xfId="10026" xr:uid="{E833FF18-4CF3-42AD-9855-9108660CB83E}"/>
    <cellStyle name="Note 2 6 11 2 2" xfId="19072" xr:uid="{6C4D02A5-1297-4107-84E7-493EDEC67793}"/>
    <cellStyle name="Note 2 6 11 3" xfId="15586" xr:uid="{B12A5F69-CF71-40DA-961B-FD4A8D43896C}"/>
    <cellStyle name="Note 2 6 12" xfId="9116" xr:uid="{3548AA73-B036-449A-B344-898819F64EC8}"/>
    <cellStyle name="Note 2 6 12 2" xfId="18162" xr:uid="{001E2428-8B80-4A07-AA1C-4F9B94DC3B2C}"/>
    <cellStyle name="Note 2 6 13" xfId="12516" xr:uid="{6AC9A5A3-779C-4813-899E-A5AE38C38502}"/>
    <cellStyle name="Note 2 6 14" xfId="13710" xr:uid="{E3B278BB-22D6-4E6C-9B22-251EB02C9AA2}"/>
    <cellStyle name="Note 2 6 15" xfId="14685" xr:uid="{17AEBF1F-415A-4E1D-85B3-9CCF04CEE548}"/>
    <cellStyle name="Note 2 6 16" xfId="21557" xr:uid="{BAAB96CB-5A03-49B6-AABB-B437620BDD83}"/>
    <cellStyle name="Note 2 6 17" xfId="23763" xr:uid="{26206659-1BBC-41B7-A34A-627CE64902F5}"/>
    <cellStyle name="Note 2 6 18" xfId="23986" xr:uid="{7226446D-5D92-49CB-9A07-02A9FA1E1087}"/>
    <cellStyle name="Note 2 6 2" xfId="2400" xr:uid="{BBD7EBC7-51FA-4B3B-AE07-8229ECDCCC32}"/>
    <cellStyle name="Note 2 6 2 10" xfId="5886" xr:uid="{FAB53472-25C8-48B9-B3D7-4B80FD189C23}"/>
    <cellStyle name="Note 2 6 2 10 2" xfId="11739" xr:uid="{672AEEA4-3546-43B6-882E-1DB3E4C50BE3}"/>
    <cellStyle name="Note 2 6 2 10 2 2" xfId="20785" xr:uid="{5B73EF46-802C-49CB-AEB8-3E0D5FBDE4F3}"/>
    <cellStyle name="Note 2 6 2 10 3" xfId="17299" xr:uid="{4A0031CC-8F99-4EA5-ADD4-6C3D37E77AC1}"/>
    <cellStyle name="Note 2 6 2 11" xfId="9149" xr:uid="{3D8BE950-3E9D-4B57-8252-0977A191BC11}"/>
    <cellStyle name="Note 2 6 2 11 2" xfId="18195" xr:uid="{7647DAF4-7632-49D8-865C-EB68749D6842}"/>
    <cellStyle name="Note 2 6 2 12" xfId="12547" xr:uid="{1F32C3AE-28BC-49EB-B8A4-EB0673086634}"/>
    <cellStyle name="Note 2 6 2 13" xfId="13741" xr:uid="{69C302BE-D71C-4A9A-8FF3-B48858C5C7CB}"/>
    <cellStyle name="Note 2 6 2 14" xfId="14718" xr:uid="{C218DEC3-EDF8-41FF-A00C-92CA4EA3198B}"/>
    <cellStyle name="Note 2 6 2 15" xfId="21588" xr:uid="{F36E087F-FE0B-46CF-A4CB-AA98BC2B233A}"/>
    <cellStyle name="Note 2 6 2 16" xfId="23764" xr:uid="{CB1AA21D-8049-4D96-A1BA-7C034102DF86}"/>
    <cellStyle name="Note 2 6 2 17" xfId="23987" xr:uid="{F4B0AB35-D5AB-437F-B6EE-235D2005DEB8}"/>
    <cellStyle name="Note 2 6 2 2" xfId="2401" xr:uid="{9FF40281-AC62-4AF5-870C-8E8971ECF5E7}"/>
    <cellStyle name="Note 2 6 2 2 10" xfId="13180" xr:uid="{9B45B9FF-A84E-408F-95AF-84E2D20AB41E}"/>
    <cellStyle name="Note 2 6 2 2 11" xfId="13814" xr:uid="{0296AD84-F947-4184-964F-38A523EEA13A}"/>
    <cellStyle name="Note 2 6 2 2 12" xfId="14789" xr:uid="{97CC98CA-6D1A-463B-9246-4E35FC96570B}"/>
    <cellStyle name="Note 2 6 2 2 13" xfId="21659" xr:uid="{37333728-B7F0-41FA-A9DD-8B16CB9FE17E}"/>
    <cellStyle name="Note 2 6 2 2 14" xfId="23988" xr:uid="{B925F7AA-AB8F-42CC-8592-136AD839D155}"/>
    <cellStyle name="Note 2 6 2 2 2" xfId="2648" xr:uid="{3F51AB7B-8BF0-4235-AE3F-F958B9275DE5}"/>
    <cellStyle name="Note 2 6 2 2 2 10" xfId="15216" xr:uid="{C9D27AEC-6257-4847-830D-AA20BC2C0A9E}"/>
    <cellStyle name="Note 2 6 2 2 2 11" xfId="22085" xr:uid="{1D10445D-5982-4129-B677-0AAED626E26C}"/>
    <cellStyle name="Note 2 6 2 2 2 2" xfId="4659" xr:uid="{CF8A255B-BDAB-4EDE-A465-1C4CE9A1C4DB}"/>
    <cellStyle name="Note 2 6 2 2 2 2 2" xfId="10516" xr:uid="{D3A6A848-747A-443A-887E-23918E11F224}"/>
    <cellStyle name="Note 2 6 2 2 2 2 2 2" xfId="19562" xr:uid="{8E96030F-96CD-4EFA-B920-4B2F660E2657}"/>
    <cellStyle name="Note 2 6 2 2 2 2 3" xfId="16076" xr:uid="{E6FF1D78-BDFB-4E0B-923D-E7D5DD77EB49}"/>
    <cellStyle name="Note 2 6 2 2 2 2 4" xfId="22741" xr:uid="{05CA698D-B2E1-4867-9FA2-F224F58B93C9}"/>
    <cellStyle name="Note 2 6 2 2 2 3" xfId="5160" xr:uid="{B9237A65-DFE9-489C-8F5D-3106D5224BA7}"/>
    <cellStyle name="Note 2 6 2 2 2 3 2" xfId="11013" xr:uid="{34251621-FDA1-4E44-921A-537764D067CE}"/>
    <cellStyle name="Note 2 6 2 2 2 3 2 2" xfId="20059" xr:uid="{42B7E56C-F485-495C-BFDD-CC568BE3E89E}"/>
    <cellStyle name="Note 2 6 2 2 2 3 3" xfId="16573" xr:uid="{1DA2624D-E3C8-40ED-9399-9FB4A11317A7}"/>
    <cellStyle name="Note 2 6 2 2 2 3 4" xfId="23236" xr:uid="{F94BDFDB-720F-4637-BE71-AD5B5317073B}"/>
    <cellStyle name="Note 2 6 2 2 2 4" xfId="5775" xr:uid="{60933D6B-947A-4EB8-9853-528BC3C562B5}"/>
    <cellStyle name="Note 2 6 2 2 2 4 2" xfId="11628" xr:uid="{7C933FFF-3523-41B8-B375-A6D30A794693}"/>
    <cellStyle name="Note 2 6 2 2 2 4 2 2" xfId="20674" xr:uid="{10A9AB31-9E1F-4AA1-ABCA-2A0C59A2359B}"/>
    <cellStyle name="Note 2 6 2 2 2 4 3" xfId="17188" xr:uid="{9F98D98A-223A-4C56-884B-AF22603C9C68}"/>
    <cellStyle name="Note 2 6 2 2 2 5" xfId="6386" xr:uid="{C6AF8C76-E604-4E9F-9A4F-D6EAB02D1FA0}"/>
    <cellStyle name="Note 2 6 2 2 2 5 2" xfId="12233" xr:uid="{B5DC13CF-5124-443C-83EF-9CC40815F71E}"/>
    <cellStyle name="Note 2 6 2 2 2 5 2 2" xfId="21279" xr:uid="{4FEFA2D8-0591-4355-878D-4763C75F2A6A}"/>
    <cellStyle name="Note 2 6 2 2 2 5 3" xfId="17799" xr:uid="{765C8A9B-5818-4A51-B586-B84C0B7D7313}"/>
    <cellStyle name="Note 2 6 2 2 2 6" xfId="9647" xr:uid="{036A43CF-A95B-424D-A796-0D84F6EA315A}"/>
    <cellStyle name="Note 2 6 2 2 2 6 2" xfId="18693" xr:uid="{3075DD2A-2CC4-4666-8003-C6AA13BBB489}"/>
    <cellStyle name="Note 2 6 2 2 2 7" xfId="13045" xr:uid="{2A117876-F0CB-4914-BE95-0920AA8CE25F}"/>
    <cellStyle name="Note 2 6 2 2 2 8" xfId="13602" xr:uid="{8D087769-0150-4BC2-9B93-8E7AA9EF8624}"/>
    <cellStyle name="Note 2 6 2 2 2 9" xfId="14241" xr:uid="{F45163F9-6D35-492F-AC6F-07A8268CB5F5}"/>
    <cellStyle name="Note 2 6 2 2 3" xfId="3224" xr:uid="{E8BEECA3-C037-4D72-9BA9-6E166AC72BF4}"/>
    <cellStyle name="Note 2 6 2 2 3 10" xfId="15004" xr:uid="{4A7766D7-F2ED-49BE-99A8-FD6467A88017}"/>
    <cellStyle name="Note 2 6 2 2 3 11" xfId="21874" xr:uid="{497D468A-60B3-4094-957E-EF5F6BE711D0}"/>
    <cellStyle name="Note 2 6 2 2 3 2" xfId="4447" xr:uid="{26A27396-014D-41A7-BE01-6D8867D8029D}"/>
    <cellStyle name="Note 2 6 2 2 3 2 2" xfId="10304" xr:uid="{A262E12C-8CF4-45C3-AEA4-E90B575B86C3}"/>
    <cellStyle name="Note 2 6 2 2 3 2 2 2" xfId="19350" xr:uid="{705C64ED-9A82-40E8-96D0-A64A1B125706}"/>
    <cellStyle name="Note 2 6 2 2 3 2 3" xfId="15864" xr:uid="{303D0A15-3E11-4E94-873F-3CFAE279911D}"/>
    <cellStyle name="Note 2 6 2 2 3 2 4" xfId="22530" xr:uid="{B40FB05B-27BF-4FFA-97DC-EA72C306EED6}"/>
    <cellStyle name="Note 2 6 2 2 3 3" xfId="4948" xr:uid="{C5C63AC2-92D9-4D82-BB6C-AF66434815A8}"/>
    <cellStyle name="Note 2 6 2 2 3 3 2" xfId="10801" xr:uid="{858A5B74-013B-406B-84FE-E664A1A44B17}"/>
    <cellStyle name="Note 2 6 2 2 3 3 2 2" xfId="19847" xr:uid="{4F786736-1220-436E-9FBC-CABEBE6DF707}"/>
    <cellStyle name="Note 2 6 2 2 3 3 3" xfId="16361" xr:uid="{531E5F4B-CB07-428C-8A28-F2442B8C8070}"/>
    <cellStyle name="Note 2 6 2 2 3 3 4" xfId="23025" xr:uid="{761FB3F6-8910-491A-A031-76CEA09FCC97}"/>
    <cellStyle name="Note 2 6 2 2 3 4" xfId="5563" xr:uid="{D0404E74-5EAA-4404-B368-1462B8E6FFF6}"/>
    <cellStyle name="Note 2 6 2 2 3 4 2" xfId="11416" xr:uid="{08769D22-88F9-477D-B4B8-5EB3CD5C157E}"/>
    <cellStyle name="Note 2 6 2 2 3 4 2 2" xfId="20462" xr:uid="{31897A25-EF29-45C7-92E5-29314A05908D}"/>
    <cellStyle name="Note 2 6 2 2 3 4 3" xfId="16976" xr:uid="{D1ECA21E-84C6-48DA-8C39-7D58CB4A6E27}"/>
    <cellStyle name="Note 2 6 2 2 3 5" xfId="6174" xr:uid="{5DC5A4C3-2C9C-456D-B5F0-C888B47C10A5}"/>
    <cellStyle name="Note 2 6 2 2 3 5 2" xfId="12021" xr:uid="{7E0CEF11-D3F3-4BF8-9A47-FDFBAD4024D5}"/>
    <cellStyle name="Note 2 6 2 2 3 5 2 2" xfId="21067" xr:uid="{F9809C46-EEA8-45FC-A54F-6E604E8DEC42}"/>
    <cellStyle name="Note 2 6 2 2 3 5 3" xfId="17587" xr:uid="{C69DBC78-7673-47A1-924C-375D53CF6316}"/>
    <cellStyle name="Note 2 6 2 2 3 6" xfId="9435" xr:uid="{C5812640-0116-4EEC-9DA3-167581FAB41A}"/>
    <cellStyle name="Note 2 6 2 2 3 6 2" xfId="18481" xr:uid="{2824CA78-3517-4D91-BD88-64753CE072FB}"/>
    <cellStyle name="Note 2 6 2 2 3 7" xfId="12833" xr:uid="{DD8546E2-EE41-4EEE-94F1-1CB8C7B1A2FE}"/>
    <cellStyle name="Note 2 6 2 2 3 8" xfId="13391" xr:uid="{8C3547E4-3F78-49DC-8FAF-D3A62DAE8669}"/>
    <cellStyle name="Note 2 6 2 2 3 9" xfId="14029" xr:uid="{DA5D122E-ED65-4C87-AB1A-F17B7D72A0D1}"/>
    <cellStyle name="Note 2 6 2 2 4" xfId="4022" xr:uid="{64F3E7E7-7DE1-47F6-8BB8-2CAC44EF7B39}"/>
    <cellStyle name="Note 2 6 2 2 4 2" xfId="9884" xr:uid="{64209C09-A1AB-4206-A978-4021C6D8E66F}"/>
    <cellStyle name="Note 2 6 2 2 4 2 2" xfId="18930" xr:uid="{0C7943D4-4EE2-488A-BC35-7F6B9E443C70}"/>
    <cellStyle name="Note 2 6 2 2 4 3" xfId="15446" xr:uid="{6F18E193-68F2-4AE7-92CC-6D8870A0FAD5}"/>
    <cellStyle name="Note 2 6 2 2 4 4" xfId="22204" xr:uid="{F7B417E3-C58B-43A9-94F8-E9ABA383AD63}"/>
    <cellStyle name="Note 2 6 2 2 5" xfId="4084" xr:uid="{B73067D8-AA21-4A70-B2A3-1770C620DA42}"/>
    <cellStyle name="Note 2 6 2 2 5 2" xfId="9941" xr:uid="{54936A04-CEE5-4256-BD48-323774DC6BE5}"/>
    <cellStyle name="Note 2 6 2 2 5 2 2" xfId="18987" xr:uid="{E660932B-8B79-4854-9FDC-848ED741928C}"/>
    <cellStyle name="Note 2 6 2 2 5 3" xfId="15501" xr:uid="{A446A1B2-FC0E-4B69-BF1D-5027EC581F90}"/>
    <cellStyle name="Note 2 6 2 2 6" xfId="5348" xr:uid="{E7BF78B4-7DA9-4C30-8C39-9DC02C604FB4}"/>
    <cellStyle name="Note 2 6 2 2 6 2" xfId="11201" xr:uid="{1439A121-65CF-432A-B28E-A37D0B10B5BB}"/>
    <cellStyle name="Note 2 6 2 2 6 2 2" xfId="20247" xr:uid="{078C5715-0C89-40A9-956E-352355EFB48E}"/>
    <cellStyle name="Note 2 6 2 2 6 3" xfId="16761" xr:uid="{C15C5FA3-A87C-428B-99FE-2F4B06B75D83}"/>
    <cellStyle name="Note 2 6 2 2 7" xfId="5959" xr:uid="{629FCAC2-A422-4C18-A520-E00B98B782BF}"/>
    <cellStyle name="Note 2 6 2 2 7 2" xfId="11810" xr:uid="{2C025CC4-6975-444E-A616-F44FF1D57AEC}"/>
    <cellStyle name="Note 2 6 2 2 7 2 2" xfId="20856" xr:uid="{268F5BB4-F2D4-4FC8-A431-9E733BDFE471}"/>
    <cellStyle name="Note 2 6 2 2 7 3" xfId="17372" xr:uid="{7483A16E-C150-4ED7-89FD-04591E007FD8}"/>
    <cellStyle name="Note 2 6 2 2 8" xfId="9220" xr:uid="{463F5D26-5617-4F36-9A87-A27A6C27318A}"/>
    <cellStyle name="Note 2 6 2 2 8 2" xfId="18266" xr:uid="{23FAD255-DAB3-4201-A4DA-2D4AC9F8D641}"/>
    <cellStyle name="Note 2 6 2 2 9" xfId="12618" xr:uid="{2B2C86D7-84CF-462B-8420-A710353CA8A5}"/>
    <cellStyle name="Note 2 6 2 3" xfId="2649" xr:uid="{C79F4D09-66ED-47AA-B00D-97283F2DA35A}"/>
    <cellStyle name="Note 2 6 2 3 10" xfId="13815" xr:uid="{A11B3EF4-5742-4AA0-840D-20BCA426047D}"/>
    <cellStyle name="Note 2 6 2 3 11" xfId="14790" xr:uid="{448C044E-0F39-47C0-A13D-9D36E8E590AE}"/>
    <cellStyle name="Note 2 6 2 3 12" xfId="21660" xr:uid="{B8E0D2FE-111A-4648-AF7C-4DB958F2D991}"/>
    <cellStyle name="Note 2 6 2 3 2" xfId="3428" xr:uid="{C14014CE-C835-41FC-B4AE-F9B06A923C1A}"/>
    <cellStyle name="Note 2 6 2 3 2 10" xfId="15217" xr:uid="{EAAA405B-48DA-4B84-A76F-5CC76DD7222B}"/>
    <cellStyle name="Note 2 6 2 3 2 11" xfId="22086" xr:uid="{C0920EC3-9E36-4717-B7A3-288D8ADCAEBA}"/>
    <cellStyle name="Note 2 6 2 3 2 2" xfId="4660" xr:uid="{C31BF09A-759C-4432-B201-5B6E684E9984}"/>
    <cellStyle name="Note 2 6 2 3 2 2 2" xfId="10517" xr:uid="{C2C056F4-BCCE-4759-9ABB-074C92FBCB4F}"/>
    <cellStyle name="Note 2 6 2 3 2 2 2 2" xfId="19563" xr:uid="{6FF1F59C-3A00-4A04-9EE9-B85BEC9DC6EB}"/>
    <cellStyle name="Note 2 6 2 3 2 2 3" xfId="16077" xr:uid="{E12713C3-20B6-43B4-B03E-8AE69EF04CE8}"/>
    <cellStyle name="Note 2 6 2 3 2 2 4" xfId="22742" xr:uid="{3553233E-379E-4027-9E4E-8EBCA3FEAE4E}"/>
    <cellStyle name="Note 2 6 2 3 2 3" xfId="5161" xr:uid="{2B1BE629-30B4-4177-823B-AA25041A9709}"/>
    <cellStyle name="Note 2 6 2 3 2 3 2" xfId="11014" xr:uid="{4DD46C0A-4DB5-415A-874D-7844E2790D5D}"/>
    <cellStyle name="Note 2 6 2 3 2 3 2 2" xfId="20060" xr:uid="{5A50A8C1-A28E-49DE-B235-B304F3AA0A5C}"/>
    <cellStyle name="Note 2 6 2 3 2 3 3" xfId="16574" xr:uid="{476E12CB-0D4A-42BA-A162-1DD84EBBBB0A}"/>
    <cellStyle name="Note 2 6 2 3 2 3 4" xfId="23237" xr:uid="{1D0E101F-C4C5-4EDE-A5FC-65B44872EDE5}"/>
    <cellStyle name="Note 2 6 2 3 2 4" xfId="5776" xr:uid="{AD03840B-9399-4527-8C9A-7EE67406CC93}"/>
    <cellStyle name="Note 2 6 2 3 2 4 2" xfId="11629" xr:uid="{88FC61EC-EC3D-48EB-9B36-881C57BCB347}"/>
    <cellStyle name="Note 2 6 2 3 2 4 2 2" xfId="20675" xr:uid="{6D4F9815-461C-4365-81A5-50DB0C96E691}"/>
    <cellStyle name="Note 2 6 2 3 2 4 3" xfId="17189" xr:uid="{91AE4E6F-02E0-4670-8B23-A6DD6F115A9B}"/>
    <cellStyle name="Note 2 6 2 3 2 5" xfId="6387" xr:uid="{D5BD012D-57CD-49C8-B6C3-67A5C24AE738}"/>
    <cellStyle name="Note 2 6 2 3 2 5 2" xfId="12234" xr:uid="{24B28FE1-F432-481E-A1F7-DD936359D299}"/>
    <cellStyle name="Note 2 6 2 3 2 5 2 2" xfId="21280" xr:uid="{23EA3A1C-52E2-4776-9C71-35B9421614B1}"/>
    <cellStyle name="Note 2 6 2 3 2 5 3" xfId="17800" xr:uid="{28D3E913-E767-4F28-AFE4-6D6BB7A4E422}"/>
    <cellStyle name="Note 2 6 2 3 2 6" xfId="9648" xr:uid="{1091010B-557C-475F-9624-10BB1FE59DDF}"/>
    <cellStyle name="Note 2 6 2 3 2 6 2" xfId="18694" xr:uid="{803EB80C-E919-4618-AC22-1DC4504FD8D5}"/>
    <cellStyle name="Note 2 6 2 3 2 7" xfId="13046" xr:uid="{66EC5077-DC1A-4022-B84F-188139C44AA3}"/>
    <cellStyle name="Note 2 6 2 3 2 8" xfId="13603" xr:uid="{112F3D53-D281-4F18-BEB0-62E3124A70D9}"/>
    <cellStyle name="Note 2 6 2 3 2 9" xfId="14242" xr:uid="{F2F2AF69-2AA1-4436-B9CD-FA9309E316A0}"/>
    <cellStyle name="Note 2 6 2 3 3" xfId="3225" xr:uid="{D16DD7FB-90C1-46FA-AC98-141C48738F1F}"/>
    <cellStyle name="Note 2 6 2 3 3 10" xfId="15005" xr:uid="{EAAF3003-A8CE-488D-9743-A66F3C15D9F8}"/>
    <cellStyle name="Note 2 6 2 3 3 11" xfId="21875" xr:uid="{DE4CBE19-4C53-4765-B789-C3DE67F1ADCC}"/>
    <cellStyle name="Note 2 6 2 3 3 2" xfId="4448" xr:uid="{7DE96D9A-5021-47D5-95E2-ECFE8EB40518}"/>
    <cellStyle name="Note 2 6 2 3 3 2 2" xfId="10305" xr:uid="{791CEB85-B58D-4AEE-9F60-27F12EE7AC66}"/>
    <cellStyle name="Note 2 6 2 3 3 2 2 2" xfId="19351" xr:uid="{2EABE4A4-0532-4D2B-93AE-7410D844C56B}"/>
    <cellStyle name="Note 2 6 2 3 3 2 3" xfId="15865" xr:uid="{1809EFE7-4B7D-49B1-99CD-16E62B425D61}"/>
    <cellStyle name="Note 2 6 2 3 3 2 4" xfId="22531" xr:uid="{4BFE2A7D-39C2-47EE-B1B6-E04DA024DEE6}"/>
    <cellStyle name="Note 2 6 2 3 3 3" xfId="4949" xr:uid="{6B076217-8C97-4E25-A9B3-32907BCD1231}"/>
    <cellStyle name="Note 2 6 2 3 3 3 2" xfId="10802" xr:uid="{643A86CF-BDB3-4AF5-A734-D0F2F5CA4A25}"/>
    <cellStyle name="Note 2 6 2 3 3 3 2 2" xfId="19848" xr:uid="{2B8FE5A9-1854-4CE8-8AA2-642281AFB32E}"/>
    <cellStyle name="Note 2 6 2 3 3 3 3" xfId="16362" xr:uid="{E2A1F411-FD2F-4437-B105-7E50479083EC}"/>
    <cellStyle name="Note 2 6 2 3 3 3 4" xfId="23026" xr:uid="{C8210A3C-923A-4BD6-93FE-222974B8227A}"/>
    <cellStyle name="Note 2 6 2 3 3 4" xfId="5564" xr:uid="{4FAF0733-CD87-4E19-83F2-F9D9677EB6F2}"/>
    <cellStyle name="Note 2 6 2 3 3 4 2" xfId="11417" xr:uid="{C3A84AC6-AA1A-4D39-B637-E4F1DED6A094}"/>
    <cellStyle name="Note 2 6 2 3 3 4 2 2" xfId="20463" xr:uid="{105D2C0B-AB4D-491D-8A47-D49A64311C6F}"/>
    <cellStyle name="Note 2 6 2 3 3 4 3" xfId="16977" xr:uid="{14BB824E-6914-40A4-8647-2DA4EDADB106}"/>
    <cellStyle name="Note 2 6 2 3 3 5" xfId="6175" xr:uid="{D14670CE-5DAF-48B6-98D6-64A8A5F21F87}"/>
    <cellStyle name="Note 2 6 2 3 3 5 2" xfId="12022" xr:uid="{64BD9071-F8C8-4668-937A-9803EDDE9AAC}"/>
    <cellStyle name="Note 2 6 2 3 3 5 2 2" xfId="21068" xr:uid="{A8F8FC49-E7C9-4E61-9EAC-8F47B106B5E8}"/>
    <cellStyle name="Note 2 6 2 3 3 5 3" xfId="17588" xr:uid="{855E7351-0CAA-4162-8ABB-ED6353ADEA54}"/>
    <cellStyle name="Note 2 6 2 3 3 6" xfId="9436" xr:uid="{DC3D87CD-63EC-4B84-B028-01EA40E300FE}"/>
    <cellStyle name="Note 2 6 2 3 3 6 2" xfId="18482" xr:uid="{F166D941-B44D-49C4-ACC5-7896996407A7}"/>
    <cellStyle name="Note 2 6 2 3 3 7" xfId="12834" xr:uid="{11411BB1-BC14-4DCA-99B2-2CFED07AC204}"/>
    <cellStyle name="Note 2 6 2 3 3 8" xfId="13392" xr:uid="{2F40E14C-D49A-480B-93DE-E3DC05F90397}"/>
    <cellStyle name="Note 2 6 2 3 3 9" xfId="14030" xr:uid="{51BD9409-4DAA-4F04-99D6-193EEEAFADD1}"/>
    <cellStyle name="Note 2 6 2 3 4" xfId="4083" xr:uid="{95DC841C-2C01-4532-9255-A09B625BB5C7}"/>
    <cellStyle name="Note 2 6 2 3 4 2" xfId="9940" xr:uid="{A66FCB00-FFBD-4053-835C-A03BDF6491B6}"/>
    <cellStyle name="Note 2 6 2 3 4 2 2" xfId="18986" xr:uid="{E0BA6B2F-931E-4014-A9C2-8FFAEDDED70E}"/>
    <cellStyle name="Note 2 6 2 3 4 3" xfId="15500" xr:uid="{A5A52DE5-E5D1-4547-A6AD-5BDA35B0ED9E}"/>
    <cellStyle name="Note 2 6 2 3 4 4" xfId="22203" xr:uid="{0320FC77-DF8D-453B-8D1F-65DEF591584D}"/>
    <cellStyle name="Note 2 6 2 3 5" xfId="5349" xr:uid="{4B0DEEFA-145C-47E0-B1C8-9A3250A9F4D0}"/>
    <cellStyle name="Note 2 6 2 3 5 2" xfId="11202" xr:uid="{2E6A04A2-B547-42F8-8ADB-23AADF4C7299}"/>
    <cellStyle name="Note 2 6 2 3 5 2 2" xfId="20248" xr:uid="{3444148B-A73F-4EB6-82AD-F65DD9D57921}"/>
    <cellStyle name="Note 2 6 2 3 5 3" xfId="16762" xr:uid="{44C4A0A9-855A-4A2F-9B5A-B106F1D7D05B}"/>
    <cellStyle name="Note 2 6 2 3 6" xfId="5960" xr:uid="{FB5A8F15-F710-4F90-A288-2279EFCA8842}"/>
    <cellStyle name="Note 2 6 2 3 6 2" xfId="11811" xr:uid="{A2D2D71E-D319-45CE-B7B1-1D40CC0D76B7}"/>
    <cellStyle name="Note 2 6 2 3 6 2 2" xfId="20857" xr:uid="{9A417D17-25AB-4F0F-8E33-4063192DD89C}"/>
    <cellStyle name="Note 2 6 2 3 6 3" xfId="17373" xr:uid="{5F15C1CF-9F74-43A8-B364-D0A8C50CD48D}"/>
    <cellStyle name="Note 2 6 2 3 7" xfId="9221" xr:uid="{9550FE2B-0A1B-4B4D-BE60-0AB5A982F138}"/>
    <cellStyle name="Note 2 6 2 3 7 2" xfId="18267" xr:uid="{DF846C78-6426-4498-BCAB-1EC7B1D617B8}"/>
    <cellStyle name="Note 2 6 2 3 8" xfId="12619" xr:uid="{3EC0E64F-9832-428D-B6D9-3A377742E352}"/>
    <cellStyle name="Note 2 6 2 3 9" xfId="13181" xr:uid="{BC81B258-D866-482D-8B59-47B68E632980}"/>
    <cellStyle name="Note 2 6 2 4" xfId="3365" xr:uid="{8E4A5343-1F37-4593-8E57-3C7F1325F8EB}"/>
    <cellStyle name="Note 2 6 2 4 10" xfId="15145" xr:uid="{A4DEFF1D-F299-489E-BC41-707CE13C018F}"/>
    <cellStyle name="Note 2 6 2 4 11" xfId="22014" xr:uid="{C28A5F95-1C23-4E38-842C-E352507CAC76}"/>
    <cellStyle name="Note 2 6 2 4 2" xfId="4588" xr:uid="{AB041135-686A-448B-9B45-877F541ACDCC}"/>
    <cellStyle name="Note 2 6 2 4 2 2" xfId="10445" xr:uid="{C502A75D-A638-45DF-8AFB-D321B35990FE}"/>
    <cellStyle name="Note 2 6 2 4 2 2 2" xfId="19491" xr:uid="{1A846F21-40EA-4EDE-9B75-D42A92D5A3E1}"/>
    <cellStyle name="Note 2 6 2 4 2 3" xfId="16005" xr:uid="{44737E3E-FA57-48E9-8CAD-1005592ED2E2}"/>
    <cellStyle name="Note 2 6 2 4 2 4" xfId="22670" xr:uid="{5216E963-075F-4D71-A05A-CB5E67E237B6}"/>
    <cellStyle name="Note 2 6 2 4 3" xfId="5089" xr:uid="{FB4FDA0C-6783-4A7F-8540-D68965D373D8}"/>
    <cellStyle name="Note 2 6 2 4 3 2" xfId="10942" xr:uid="{5E777ED0-C2F8-4726-94B8-14057F420A6C}"/>
    <cellStyle name="Note 2 6 2 4 3 2 2" xfId="19988" xr:uid="{178E4A49-43AC-45DB-A9DC-180CD8E7A9B2}"/>
    <cellStyle name="Note 2 6 2 4 3 3" xfId="16502" xr:uid="{8D065FED-45B2-42DB-B27A-8052CCF48354}"/>
    <cellStyle name="Note 2 6 2 4 3 4" xfId="23165" xr:uid="{4CC3829A-4C29-430B-8C78-5D81AC348D83}"/>
    <cellStyle name="Note 2 6 2 4 4" xfId="5704" xr:uid="{72FA36B4-8B5A-46DF-BC41-27BB803369FD}"/>
    <cellStyle name="Note 2 6 2 4 4 2" xfId="11557" xr:uid="{4DF2CBD3-8BAC-4D74-90BF-5B13448DBA17}"/>
    <cellStyle name="Note 2 6 2 4 4 2 2" xfId="20603" xr:uid="{4CE47521-56F1-44E4-AEE3-B617A919B5F2}"/>
    <cellStyle name="Note 2 6 2 4 4 3" xfId="17117" xr:uid="{6AB6E683-AF81-4A56-9163-0A6D98B8AF3A}"/>
    <cellStyle name="Note 2 6 2 4 5" xfId="6315" xr:uid="{3534B175-B44E-47B0-8D1B-E868D0B21727}"/>
    <cellStyle name="Note 2 6 2 4 5 2" xfId="12162" xr:uid="{426B8363-93DA-4F62-860C-4A50DE96DBA8}"/>
    <cellStyle name="Note 2 6 2 4 5 2 2" xfId="21208" xr:uid="{9C393369-EBD6-4103-AE79-0F5D56C96288}"/>
    <cellStyle name="Note 2 6 2 4 5 3" xfId="17728" xr:uid="{2A73A857-5633-4E12-8A2F-51080FD8E01D}"/>
    <cellStyle name="Note 2 6 2 4 6" xfId="9576" xr:uid="{71450B03-2853-439C-B184-2E33391534B7}"/>
    <cellStyle name="Note 2 6 2 4 6 2" xfId="18622" xr:uid="{6329051B-E41E-45E4-92A8-03E2EF729132}"/>
    <cellStyle name="Note 2 6 2 4 7" xfId="12974" xr:uid="{82032918-EF59-44E4-882D-075E2E6C7B9D}"/>
    <cellStyle name="Note 2 6 2 4 8" xfId="13531" xr:uid="{338998D6-7896-4BB8-9D92-9F8A32155835}"/>
    <cellStyle name="Note 2 6 2 4 9" xfId="14170" xr:uid="{32A2A098-F629-43AA-A88D-7B40FEBF7FC2}"/>
    <cellStyle name="Note 2 6 2 5" xfId="3153" xr:uid="{C9863B2E-3C44-4338-8C57-CA539BB0191A}"/>
    <cellStyle name="Note 2 6 2 5 10" xfId="14933" xr:uid="{365FBCF9-033D-4260-B3AC-2331B6118E9B}"/>
    <cellStyle name="Note 2 6 2 5 11" xfId="21801" xr:uid="{8A2DBC50-3C45-4C2A-9BC1-A96EAF422B90}"/>
    <cellStyle name="Note 2 6 2 5 2" xfId="4374" xr:uid="{6CF03F79-1CCF-4FBE-AFE7-B53FD7D889E8}"/>
    <cellStyle name="Note 2 6 2 5 2 2" xfId="10231" xr:uid="{B3A14EF6-5EA2-4B6F-B9D0-716F2F8E6CC7}"/>
    <cellStyle name="Note 2 6 2 5 2 2 2" xfId="19277" xr:uid="{C032E3E6-B578-423C-9EA2-F3FF76EEFD76}"/>
    <cellStyle name="Note 2 6 2 5 2 3" xfId="15791" xr:uid="{B6B65D7E-9D90-441E-81C8-268D3F4665B0}"/>
    <cellStyle name="Note 2 6 2 5 2 4" xfId="22457" xr:uid="{0DDA96E3-939C-463A-93C3-796E0FAC1928}"/>
    <cellStyle name="Note 2 6 2 5 3" xfId="4875" xr:uid="{00D140FE-810A-41AB-89F4-FEA430D64D9B}"/>
    <cellStyle name="Note 2 6 2 5 3 2" xfId="10730" xr:uid="{8710BFAC-0EB3-4680-9C0B-16B55A814339}"/>
    <cellStyle name="Note 2 6 2 5 3 2 2" xfId="19776" xr:uid="{7DF6F11D-15F9-4F0E-A082-66AE107BE727}"/>
    <cellStyle name="Note 2 6 2 5 3 3" xfId="16290" xr:uid="{68BAF459-BBA6-47D3-918B-80B9F4F7A530}"/>
    <cellStyle name="Note 2 6 2 5 3 4" xfId="22952" xr:uid="{FD93CA4E-AC5A-415D-A68F-0444703BE5A2}"/>
    <cellStyle name="Note 2 6 2 5 4" xfId="5490" xr:uid="{B46535E3-9D3C-4DA9-A974-1D6A7278FFB4}"/>
    <cellStyle name="Note 2 6 2 5 4 2" xfId="11343" xr:uid="{9E24DEFD-9FF8-4444-B5A3-EE50F672DC18}"/>
    <cellStyle name="Note 2 6 2 5 4 2 2" xfId="20389" xr:uid="{B619E225-B65F-48FC-A5BE-C849F4A7BD58}"/>
    <cellStyle name="Note 2 6 2 5 4 3" xfId="16903" xr:uid="{8177CF63-6B7F-423D-AF53-DAC8C4D1609F}"/>
    <cellStyle name="Note 2 6 2 5 5" xfId="6101" xr:uid="{3575A183-9709-4AE2-914C-9B41785B923E}"/>
    <cellStyle name="Note 2 6 2 5 5 2" xfId="11950" xr:uid="{8F8AC56C-E77B-492C-9F1F-8940BB33AD1B}"/>
    <cellStyle name="Note 2 6 2 5 5 2 2" xfId="20996" xr:uid="{48ABB2F4-F91A-44D9-BD3B-08086E176A6B}"/>
    <cellStyle name="Note 2 6 2 5 5 3" xfId="17514" xr:uid="{33EEF6FA-9CCB-4FCA-B42F-C07683F4EB0D}"/>
    <cellStyle name="Note 2 6 2 5 6" xfId="9364" xr:uid="{9FEB4BB9-C71B-43D2-895A-E25B7D501BD8}"/>
    <cellStyle name="Note 2 6 2 5 6 2" xfId="18410" xr:uid="{30526AC0-9CF8-4C63-911E-AB6D43C39D76}"/>
    <cellStyle name="Note 2 6 2 5 7" xfId="12760" xr:uid="{1D208592-1FA0-444E-8095-AF6C1810ADDB}"/>
    <cellStyle name="Note 2 6 2 5 8" xfId="13320" xr:uid="{D4D9FC64-B61F-4759-A104-B83819B6920F}"/>
    <cellStyle name="Note 2 6 2 5 9" xfId="13956" xr:uid="{D06DAAE7-5857-4651-B87A-11B48C5517AF}"/>
    <cellStyle name="Note 2 6 2 6" xfId="3754" xr:uid="{25594DE5-5B66-4EF2-8BFF-842DF8DF053D}"/>
    <cellStyle name="Note 2 6 2 6 2" xfId="9796" xr:uid="{562BB811-64B1-4175-80D3-4D760AA78E24}"/>
    <cellStyle name="Note 2 6 2 6 2 2" xfId="18842" xr:uid="{9870A867-E961-4E3A-A04C-080AF17F122F}"/>
    <cellStyle name="Note 2 6 2 6 3" xfId="15362" xr:uid="{BEAAAF4F-8986-4B8E-96A9-28E2524A4B3B}"/>
    <cellStyle name="Note 2 6 2 6 4" xfId="22341" xr:uid="{5051C3C9-7F96-41F8-9A1C-F12CB0A2728D}"/>
    <cellStyle name="Note 2 6 2 7" xfId="4238" xr:uid="{F62BD4C1-46BE-4D9F-BDBC-D955881D1C02}"/>
    <cellStyle name="Note 2 6 2 7 2" xfId="10095" xr:uid="{2CD9B2F6-1E0C-46CF-A249-FBA131862DE6}"/>
    <cellStyle name="Note 2 6 2 7 2 2" xfId="19141" xr:uid="{1CA55985-E8DD-4BC5-AF2C-1C2912C8F7CE}"/>
    <cellStyle name="Note 2 6 2 7 3" xfId="15655" xr:uid="{8BBC91E9-CEB7-4289-B950-891C363FE70E}"/>
    <cellStyle name="Note 2 6 2 7 4" xfId="22181" xr:uid="{5AF177C1-DD42-4B46-B1C2-1E6E6B963286}"/>
    <cellStyle name="Note 2 6 2 8" xfId="4417" xr:uid="{6151CB47-B9C2-4F5D-B8F1-E593E4BF1151}"/>
    <cellStyle name="Note 2 6 2 8 2" xfId="10274" xr:uid="{987A73C6-3CA6-41DB-B23F-F8E350E17F44}"/>
    <cellStyle name="Note 2 6 2 8 2 2" xfId="19320" xr:uid="{48EB1C8B-EF05-4E84-A5CE-175DBA2A25F1}"/>
    <cellStyle name="Note 2 6 2 8 3" xfId="15834" xr:uid="{F30E4C23-38DA-4F27-AD90-5BDE11AE2E61}"/>
    <cellStyle name="Note 2 6 2 9" xfId="5275" xr:uid="{978AFAC1-DA65-4342-A0E2-B166491E1F4C}"/>
    <cellStyle name="Note 2 6 2 9 2" xfId="11128" xr:uid="{6916543B-C771-4A0C-8C4D-49E41A92CFC3}"/>
    <cellStyle name="Note 2 6 2 9 2 2" xfId="20174" xr:uid="{7B56E8AC-B5E8-496C-B252-0AC7AFB7FCF3}"/>
    <cellStyle name="Note 2 6 2 9 3" xfId="16688" xr:uid="{B980E087-C3BB-44E4-8EDB-5D669C051E17}"/>
    <cellStyle name="Note 2 6 3" xfId="2402" xr:uid="{F215C4FB-8E09-4B6D-96A1-66DDCC274E23}"/>
    <cellStyle name="Note 2 6 3 10" xfId="13182" xr:uid="{1DBAF015-71FB-47F5-BEDD-97853C0BAB11}"/>
    <cellStyle name="Note 2 6 3 11" xfId="13816" xr:uid="{AE8AD866-9372-4613-9DE5-CD8520F0B037}"/>
    <cellStyle name="Note 2 6 3 12" xfId="14791" xr:uid="{541C11D8-C613-4411-9787-20226FF2EE18}"/>
    <cellStyle name="Note 2 6 3 13" xfId="21661" xr:uid="{DA20295F-D19D-4E31-AC2B-128CBF042E17}"/>
    <cellStyle name="Note 2 6 3 14" xfId="23989" xr:uid="{471C8AD0-B6A5-49D0-95AE-B306CFE18C2F}"/>
    <cellStyle name="Note 2 6 3 2" xfId="2647" xr:uid="{79DEDC88-34CE-4B31-AD01-9E7328FEC059}"/>
    <cellStyle name="Note 2 6 3 2 10" xfId="15218" xr:uid="{C2B4C62A-75B4-4014-AA66-FAF5AE86517A}"/>
    <cellStyle name="Note 2 6 3 2 11" xfId="22087" xr:uid="{46D9F06B-5986-4DEC-BF69-FDD7499C6413}"/>
    <cellStyle name="Note 2 6 3 2 2" xfId="4661" xr:uid="{D8169F17-287E-4BC1-9B60-B554CD729B5F}"/>
    <cellStyle name="Note 2 6 3 2 2 2" xfId="10518" xr:uid="{F6B61E80-4E36-445E-B3F7-AB095B51363F}"/>
    <cellStyle name="Note 2 6 3 2 2 2 2" xfId="19564" xr:uid="{63F76962-21FB-41AF-9438-5B35AD7D5FAD}"/>
    <cellStyle name="Note 2 6 3 2 2 3" xfId="16078" xr:uid="{AC207F6B-9B82-4EA2-A48F-287BAE394760}"/>
    <cellStyle name="Note 2 6 3 2 2 4" xfId="22743" xr:uid="{AF98813C-C48F-4837-8CBE-7572F60305E7}"/>
    <cellStyle name="Note 2 6 3 2 3" xfId="5162" xr:uid="{7338888E-73E3-418B-9478-D01DEAB9494E}"/>
    <cellStyle name="Note 2 6 3 2 3 2" xfId="11015" xr:uid="{5CCD34FF-8D64-4B82-8452-02DEE3EACF5E}"/>
    <cellStyle name="Note 2 6 3 2 3 2 2" xfId="20061" xr:uid="{C952842D-C00A-431F-AC76-56C323CF395D}"/>
    <cellStyle name="Note 2 6 3 2 3 3" xfId="16575" xr:uid="{7A404417-43F1-48D6-A7C9-A699D3840B7D}"/>
    <cellStyle name="Note 2 6 3 2 3 4" xfId="23238" xr:uid="{96DAFB3C-CD55-4401-824F-0BD8151D9832}"/>
    <cellStyle name="Note 2 6 3 2 4" xfId="5777" xr:uid="{C643D7BD-3E3C-4274-B114-C4D46187732F}"/>
    <cellStyle name="Note 2 6 3 2 4 2" xfId="11630" xr:uid="{23A74332-CC47-4781-8355-C9B5C107DDD4}"/>
    <cellStyle name="Note 2 6 3 2 4 2 2" xfId="20676" xr:uid="{0BEDBCB8-DFD5-438C-BBE9-B3AE8BB827EB}"/>
    <cellStyle name="Note 2 6 3 2 4 3" xfId="17190" xr:uid="{F4FF5F26-43B8-4ECE-BDF0-F8333FD27905}"/>
    <cellStyle name="Note 2 6 3 2 5" xfId="6388" xr:uid="{6D265B3E-9B13-479C-9A83-8D38C89ED59B}"/>
    <cellStyle name="Note 2 6 3 2 5 2" xfId="12235" xr:uid="{CE02DDEB-81B1-4EE1-A04D-CA73DBCD4C01}"/>
    <cellStyle name="Note 2 6 3 2 5 2 2" xfId="21281" xr:uid="{B6C3E201-9FCF-4FF0-A9AF-1BB5BD12E5DF}"/>
    <cellStyle name="Note 2 6 3 2 5 3" xfId="17801" xr:uid="{2700EEC2-CCF1-41F8-A879-803B26EB5A49}"/>
    <cellStyle name="Note 2 6 3 2 6" xfId="9649" xr:uid="{F8DA6601-F043-4BBF-9C07-5EAAC7E99B8B}"/>
    <cellStyle name="Note 2 6 3 2 6 2" xfId="18695" xr:uid="{96EB94A2-D781-4270-B022-8B13D1D84F52}"/>
    <cellStyle name="Note 2 6 3 2 7" xfId="13047" xr:uid="{9B7E86CE-CA5E-466B-B389-708E0C10FA86}"/>
    <cellStyle name="Note 2 6 3 2 8" xfId="13604" xr:uid="{D4C361C0-DF49-4A1E-9A5D-2C7247C188E1}"/>
    <cellStyle name="Note 2 6 3 2 9" xfId="14243" xr:uid="{2DD6E94D-5EE2-48F4-8B79-B090718F5ABC}"/>
    <cellStyle name="Note 2 6 3 3" xfId="3226" xr:uid="{4AD9D053-F445-450A-AC97-5D2A9368AF85}"/>
    <cellStyle name="Note 2 6 3 3 10" xfId="15006" xr:uid="{91E0A57B-23D6-4DD5-AC1C-EC4FB2D789FC}"/>
    <cellStyle name="Note 2 6 3 3 11" xfId="21876" xr:uid="{D4F827ED-A6A0-41EC-9129-AB07A2C8BBA8}"/>
    <cellStyle name="Note 2 6 3 3 2" xfId="4449" xr:uid="{D1AAE943-66B5-47B3-A60A-C63AE01FC4C8}"/>
    <cellStyle name="Note 2 6 3 3 2 2" xfId="10306" xr:uid="{C7C51F0C-3C97-4630-81A0-7EBE193ACBB8}"/>
    <cellStyle name="Note 2 6 3 3 2 2 2" xfId="19352" xr:uid="{4A478602-62FD-4C28-AD91-6C6775B91BD6}"/>
    <cellStyle name="Note 2 6 3 3 2 3" xfId="15866" xr:uid="{DAAD3CD8-4E86-4E02-9A01-D51C39F35F5A}"/>
    <cellStyle name="Note 2 6 3 3 2 4" xfId="22532" xr:uid="{0404C6CB-28F1-4CC5-B391-427B36630C08}"/>
    <cellStyle name="Note 2 6 3 3 3" xfId="4950" xr:uid="{C4BB2A10-1A0F-4ADA-B8B3-B5B8DF10A109}"/>
    <cellStyle name="Note 2 6 3 3 3 2" xfId="10803" xr:uid="{929FB467-2D41-4FF2-9D34-28042FC75816}"/>
    <cellStyle name="Note 2 6 3 3 3 2 2" xfId="19849" xr:uid="{6C3CFBB4-A46D-49D0-9E04-8D566469B6F6}"/>
    <cellStyle name="Note 2 6 3 3 3 3" xfId="16363" xr:uid="{3681B9EC-F86E-4491-A482-B299E952BCF4}"/>
    <cellStyle name="Note 2 6 3 3 3 4" xfId="23027" xr:uid="{F4CBDF2B-74A1-40E2-8747-806643783659}"/>
    <cellStyle name="Note 2 6 3 3 4" xfId="5565" xr:uid="{24849C53-38DB-419B-BDE3-FF3456474C7B}"/>
    <cellStyle name="Note 2 6 3 3 4 2" xfId="11418" xr:uid="{BBDEE12C-ED1D-4EC9-8003-B9E95D94C006}"/>
    <cellStyle name="Note 2 6 3 3 4 2 2" xfId="20464" xr:uid="{9B1F30BF-8A1D-4F9C-833D-B9113DF49DF2}"/>
    <cellStyle name="Note 2 6 3 3 4 3" xfId="16978" xr:uid="{74428107-EC42-4CD6-86A0-775AC6B4ECD4}"/>
    <cellStyle name="Note 2 6 3 3 5" xfId="6176" xr:uid="{35DAE5DD-DAA3-4863-B36B-03A693579366}"/>
    <cellStyle name="Note 2 6 3 3 5 2" xfId="12023" xr:uid="{7F154945-FD18-4973-B52F-0B808242E479}"/>
    <cellStyle name="Note 2 6 3 3 5 2 2" xfId="21069" xr:uid="{5302A930-6F08-4E82-BCFE-8E9D44F7983B}"/>
    <cellStyle name="Note 2 6 3 3 5 3" xfId="17589" xr:uid="{3A6CC2ED-606E-4CFF-BD12-37040CFCF3B8}"/>
    <cellStyle name="Note 2 6 3 3 6" xfId="9437" xr:uid="{A5F11819-8E77-4BD9-94F2-75D653E36DB5}"/>
    <cellStyle name="Note 2 6 3 3 6 2" xfId="18483" xr:uid="{1A6DE9C4-9E10-4582-BC82-D1E005D67540}"/>
    <cellStyle name="Note 2 6 3 3 7" xfId="12835" xr:uid="{B76E0250-FF8E-4092-8528-95849AB7E8C0}"/>
    <cellStyle name="Note 2 6 3 3 8" xfId="13393" xr:uid="{360E30E8-AB49-444E-966F-7F5BD742591B}"/>
    <cellStyle name="Note 2 6 3 3 9" xfId="14031" xr:uid="{E6AFF4D1-6CB9-43DE-93A6-C7770BB75161}"/>
    <cellStyle name="Note 2 6 3 4" xfId="3990" xr:uid="{5FD90B73-3845-4A1B-B5F1-9D880C1ACD65}"/>
    <cellStyle name="Note 2 6 3 4 2" xfId="9852" xr:uid="{A4FD7D69-F27D-43BD-A8BD-CF3290AEF956}"/>
    <cellStyle name="Note 2 6 3 4 2 2" xfId="18898" xr:uid="{4D74D669-B536-4B2E-B020-CEB68931C164}"/>
    <cellStyle name="Note 2 6 3 4 3" xfId="15414" xr:uid="{DBCE0A89-F7E2-4B64-B2DD-500145A76C90}"/>
    <cellStyle name="Note 2 6 3 4 4" xfId="22202" xr:uid="{856625C6-B68C-4E90-863E-B809F34EB7B8}"/>
    <cellStyle name="Note 2 6 3 5" xfId="4082" xr:uid="{BE89E7D8-A04B-4FC3-9886-73AD68CC1FDF}"/>
    <cellStyle name="Note 2 6 3 5 2" xfId="9939" xr:uid="{07CEFF93-6F1D-4E0B-87DD-8EA9A5DA8C6C}"/>
    <cellStyle name="Note 2 6 3 5 2 2" xfId="18985" xr:uid="{483A9AC0-A5E0-464E-9FFE-B8688E643024}"/>
    <cellStyle name="Note 2 6 3 5 3" xfId="15499" xr:uid="{3C3A9F66-8C60-4255-8934-FD0264C004F3}"/>
    <cellStyle name="Note 2 6 3 6" xfId="5350" xr:uid="{4774C3FD-E54A-4622-B24C-362C24E3F875}"/>
    <cellStyle name="Note 2 6 3 6 2" xfId="11203" xr:uid="{536AB732-F439-4D75-93D9-0C23E4B3070B}"/>
    <cellStyle name="Note 2 6 3 6 2 2" xfId="20249" xr:uid="{5E31E855-7913-4AF2-8647-67CE761A3CDD}"/>
    <cellStyle name="Note 2 6 3 6 3" xfId="16763" xr:uid="{BAD5643C-836A-45CC-B454-FA45BF600E7F}"/>
    <cellStyle name="Note 2 6 3 7" xfId="5961" xr:uid="{33EA7B19-C28D-4341-8384-B43E30F42B17}"/>
    <cellStyle name="Note 2 6 3 7 2" xfId="11812" xr:uid="{3D34F3AD-A733-421B-BC02-62298BB3DEFF}"/>
    <cellStyle name="Note 2 6 3 7 2 2" xfId="20858" xr:uid="{7480D184-DBCA-47A0-8F93-6501FD0001C2}"/>
    <cellStyle name="Note 2 6 3 7 3" xfId="17374" xr:uid="{A21FE08E-DF22-4826-8C6E-D5931C1B6C2F}"/>
    <cellStyle name="Note 2 6 3 8" xfId="9222" xr:uid="{99568459-BF7B-4761-BA4F-8AEA200BA683}"/>
    <cellStyle name="Note 2 6 3 8 2" xfId="18268" xr:uid="{A29C7FAD-7F7B-41D7-A8B3-414F09D5BE61}"/>
    <cellStyle name="Note 2 6 3 9" xfId="12620" xr:uid="{83E4AEEB-C4BB-40D6-9884-1952E6B09A76}"/>
    <cellStyle name="Note 2 6 4" xfId="2650" xr:uid="{87359147-6040-40AA-AF7C-75FD300D8077}"/>
    <cellStyle name="Note 2 6 4 10" xfId="13817" xr:uid="{A5BCDC0B-3408-4029-956E-3826221C2448}"/>
    <cellStyle name="Note 2 6 4 11" xfId="14792" xr:uid="{50D072D7-FC67-4E23-A563-18ECEADE31E5}"/>
    <cellStyle name="Note 2 6 4 12" xfId="21662" xr:uid="{DCAEDED1-93DC-47D9-AD4A-D442DAE90938}"/>
    <cellStyle name="Note 2 6 4 2" xfId="3429" xr:uid="{F67049A4-D008-4902-BB84-7275F8072E35}"/>
    <cellStyle name="Note 2 6 4 2 10" xfId="15219" xr:uid="{4F1EE5B5-2B44-4A56-968B-20953D0C7BF0}"/>
    <cellStyle name="Note 2 6 4 2 11" xfId="22088" xr:uid="{8059444B-E8AE-48FA-B0DB-E4148341B222}"/>
    <cellStyle name="Note 2 6 4 2 2" xfId="4662" xr:uid="{C2E59A90-9722-4663-828C-E37E95856C81}"/>
    <cellStyle name="Note 2 6 4 2 2 2" xfId="10519" xr:uid="{05685433-3244-418B-A8F6-F23BCA282121}"/>
    <cellStyle name="Note 2 6 4 2 2 2 2" xfId="19565" xr:uid="{C2DF532C-FD05-426F-B126-90FC5625F7A5}"/>
    <cellStyle name="Note 2 6 4 2 2 3" xfId="16079" xr:uid="{6B1AD2DC-0454-4978-8A3D-DA0C4A0C42DA}"/>
    <cellStyle name="Note 2 6 4 2 2 4" xfId="22744" xr:uid="{718B5190-FF5F-4509-953A-1EA882986D82}"/>
    <cellStyle name="Note 2 6 4 2 3" xfId="5163" xr:uid="{9A0E0AD9-12E0-494C-9F52-2A77FD140D53}"/>
    <cellStyle name="Note 2 6 4 2 3 2" xfId="11016" xr:uid="{1F2D3724-BD28-469D-B513-830BF6550F1F}"/>
    <cellStyle name="Note 2 6 4 2 3 2 2" xfId="20062" xr:uid="{0E1D5E21-A8AA-4149-BB88-3A0CC6AF304C}"/>
    <cellStyle name="Note 2 6 4 2 3 3" xfId="16576" xr:uid="{456393A0-418D-4078-9F4D-F26B65C7BC71}"/>
    <cellStyle name="Note 2 6 4 2 3 4" xfId="23239" xr:uid="{454CE247-3CBE-4FD0-BD2C-B95D7F84E64C}"/>
    <cellStyle name="Note 2 6 4 2 4" xfId="5778" xr:uid="{F3212706-7AD8-45E9-98B6-B92642F635DD}"/>
    <cellStyle name="Note 2 6 4 2 4 2" xfId="11631" xr:uid="{6B29AA6C-5FDD-4E7D-92EA-44842F27E4A3}"/>
    <cellStyle name="Note 2 6 4 2 4 2 2" xfId="20677" xr:uid="{C6B66901-DDE7-407E-84E0-9E3B1A7BCBF6}"/>
    <cellStyle name="Note 2 6 4 2 4 3" xfId="17191" xr:uid="{67AC4773-5021-4379-BC3C-0BB502290E40}"/>
    <cellStyle name="Note 2 6 4 2 5" xfId="6389" xr:uid="{4A1B9CEC-BCC8-4721-9375-0BB1924F0DBE}"/>
    <cellStyle name="Note 2 6 4 2 5 2" xfId="12236" xr:uid="{51F4B761-68B6-4A08-ADDC-3D1262CC50BC}"/>
    <cellStyle name="Note 2 6 4 2 5 2 2" xfId="21282" xr:uid="{6A2A7657-921C-4A39-A0D9-8A38597E57A0}"/>
    <cellStyle name="Note 2 6 4 2 5 3" xfId="17802" xr:uid="{A6932E9D-1CC2-42C5-B9BB-F9AA4F731879}"/>
    <cellStyle name="Note 2 6 4 2 6" xfId="9650" xr:uid="{8499A498-D86C-41AB-9B4C-127BD6FA71DB}"/>
    <cellStyle name="Note 2 6 4 2 6 2" xfId="18696" xr:uid="{D4E41D7C-EAA9-44C1-B433-56068BF246A6}"/>
    <cellStyle name="Note 2 6 4 2 7" xfId="13048" xr:uid="{E464FCF2-322B-4B3B-9EEC-F96FAF4E6248}"/>
    <cellStyle name="Note 2 6 4 2 8" xfId="13605" xr:uid="{CAA819D4-EB5F-4106-AE1C-03AACA95CF5A}"/>
    <cellStyle name="Note 2 6 4 2 9" xfId="14244" xr:uid="{830EBADB-505F-47F8-B584-8F2B0A3E9B96}"/>
    <cellStyle name="Note 2 6 4 3" xfId="3227" xr:uid="{8A405A13-3823-4FDB-B7CA-C961A458AACE}"/>
    <cellStyle name="Note 2 6 4 3 10" xfId="15007" xr:uid="{042B8CB0-D6FC-48FC-9A97-1E00C1774618}"/>
    <cellStyle name="Note 2 6 4 3 11" xfId="21877" xr:uid="{12E51D02-14C0-46E7-ACE5-B6150F46C40A}"/>
    <cellStyle name="Note 2 6 4 3 2" xfId="4450" xr:uid="{76F18369-D8F1-49CC-BDED-BF5D2FE763F3}"/>
    <cellStyle name="Note 2 6 4 3 2 2" xfId="10307" xr:uid="{832B549B-4BD5-4878-8B0A-440AF1361C11}"/>
    <cellStyle name="Note 2 6 4 3 2 2 2" xfId="19353" xr:uid="{48769DCA-32F1-4B78-9229-3662BFCFC491}"/>
    <cellStyle name="Note 2 6 4 3 2 3" xfId="15867" xr:uid="{7A31BB24-0B92-4637-8F35-92AA98F322E3}"/>
    <cellStyle name="Note 2 6 4 3 2 4" xfId="22533" xr:uid="{B371A3A9-BB91-4FD4-A446-848B84E116BB}"/>
    <cellStyle name="Note 2 6 4 3 3" xfId="4951" xr:uid="{BF0A53D0-04DD-4235-A433-DA29B82B1314}"/>
    <cellStyle name="Note 2 6 4 3 3 2" xfId="10804" xr:uid="{E8F8DD47-A0EB-45BD-8D88-EE3453864070}"/>
    <cellStyle name="Note 2 6 4 3 3 2 2" xfId="19850" xr:uid="{F9E4F587-1DD8-4532-BEB8-59754AF6BD05}"/>
    <cellStyle name="Note 2 6 4 3 3 3" xfId="16364" xr:uid="{1B566E89-1EA2-4A64-A4C3-12E47698982E}"/>
    <cellStyle name="Note 2 6 4 3 3 4" xfId="23028" xr:uid="{D44BFD74-FE43-4889-9CC3-445047260034}"/>
    <cellStyle name="Note 2 6 4 3 4" xfId="5566" xr:uid="{F2F401B5-E07B-4651-AB8F-60AAA537B14E}"/>
    <cellStyle name="Note 2 6 4 3 4 2" xfId="11419" xr:uid="{EAFC59E9-F0AC-4BE6-82F2-34FC46ABCFBE}"/>
    <cellStyle name="Note 2 6 4 3 4 2 2" xfId="20465" xr:uid="{E50B9EBF-067B-44C2-AC16-ACC4FC19F18D}"/>
    <cellStyle name="Note 2 6 4 3 4 3" xfId="16979" xr:uid="{1D557B8F-6731-4428-B6F6-0EE567A378AB}"/>
    <cellStyle name="Note 2 6 4 3 5" xfId="6177" xr:uid="{8F2F33C2-6FED-4DAF-BC21-DC2C47AAF1F4}"/>
    <cellStyle name="Note 2 6 4 3 5 2" xfId="12024" xr:uid="{A26940C1-8C00-4697-85E6-3497C5CF20E2}"/>
    <cellStyle name="Note 2 6 4 3 5 2 2" xfId="21070" xr:uid="{7F2D7858-F460-419C-A12E-EC396A9DD957}"/>
    <cellStyle name="Note 2 6 4 3 5 3" xfId="17590" xr:uid="{25622B94-75C5-4108-892A-4EB51032B5D4}"/>
    <cellStyle name="Note 2 6 4 3 6" xfId="9438" xr:uid="{FCD1E625-9253-40A2-AEEB-4B47B611B672}"/>
    <cellStyle name="Note 2 6 4 3 6 2" xfId="18484" xr:uid="{EA8E4D6E-28F3-48EC-AEFC-2EE3F41B60AB}"/>
    <cellStyle name="Note 2 6 4 3 7" xfId="12836" xr:uid="{181298F3-B009-44BA-AC47-3C07D46D1962}"/>
    <cellStyle name="Note 2 6 4 3 8" xfId="13394" xr:uid="{099EB709-33F0-479C-8CD7-905F1BE0E337}"/>
    <cellStyle name="Note 2 6 4 3 9" xfId="14032" xr:uid="{09ACF5C6-0E9A-4C2F-9736-84C2A0177A95}"/>
    <cellStyle name="Note 2 6 4 4" xfId="4081" xr:uid="{C70567C5-9257-4592-B3FD-728F8CF0FB63}"/>
    <cellStyle name="Note 2 6 4 4 2" xfId="9938" xr:uid="{86CDA400-1520-4AFA-A3ED-6FB42A19381E}"/>
    <cellStyle name="Note 2 6 4 4 2 2" xfId="18984" xr:uid="{3D16651D-2779-4A56-B616-A93DCDDA71A9}"/>
    <cellStyle name="Note 2 6 4 4 3" xfId="15498" xr:uid="{04674483-FFC5-411F-921A-1ADB0759B544}"/>
    <cellStyle name="Note 2 6 4 4 4" xfId="22201" xr:uid="{B632C810-E6D3-469D-8E0B-02F9E77C5129}"/>
    <cellStyle name="Note 2 6 4 5" xfId="5351" xr:uid="{6AE33141-38E6-46B9-9E8A-2802CA7D064F}"/>
    <cellStyle name="Note 2 6 4 5 2" xfId="11204" xr:uid="{344E85EE-F30A-4358-B1B9-15FAD7CC7789}"/>
    <cellStyle name="Note 2 6 4 5 2 2" xfId="20250" xr:uid="{D1C2A309-690E-467A-BB4B-A2B03A71FFD0}"/>
    <cellStyle name="Note 2 6 4 5 3" xfId="16764" xr:uid="{228D1195-38FA-400A-AB6C-F29E2EDC6E6C}"/>
    <cellStyle name="Note 2 6 4 6" xfId="5962" xr:uid="{646075DD-7BE0-4D01-9696-13312C70BF20}"/>
    <cellStyle name="Note 2 6 4 6 2" xfId="11813" xr:uid="{9A239E8D-3A33-44B1-B3B0-1A17C8B24D2D}"/>
    <cellStyle name="Note 2 6 4 6 2 2" xfId="20859" xr:uid="{532A078E-0467-4FC6-8359-697896C5F33E}"/>
    <cellStyle name="Note 2 6 4 6 3" xfId="17375" xr:uid="{A87C442C-FF03-4219-B1B8-D05DC6746B9B}"/>
    <cellStyle name="Note 2 6 4 7" xfId="9223" xr:uid="{E7667649-5158-45CD-86E9-661FB783AE48}"/>
    <cellStyle name="Note 2 6 4 7 2" xfId="18269" xr:uid="{1D19B240-3E5E-47A7-83CF-0D31A0098413}"/>
    <cellStyle name="Note 2 6 4 8" xfId="12621" xr:uid="{BF7A7859-A9AC-470B-B489-AFD3CD5004AA}"/>
    <cellStyle name="Note 2 6 4 9" xfId="13183" xr:uid="{A1807BE0-0760-45B6-93B0-6E36DA164EB8}"/>
    <cellStyle name="Note 2 6 5" xfId="3334" xr:uid="{485D770D-6344-4367-850D-4F5D1D54AEF6}"/>
    <cellStyle name="Note 2 6 5 10" xfId="15114" xr:uid="{AF3F8C73-A0BC-4A98-8E5A-BF86DC431C21}"/>
    <cellStyle name="Note 2 6 5 11" xfId="21983" xr:uid="{03010D43-8840-4275-8086-DEE908AF4BFB}"/>
    <cellStyle name="Note 2 6 5 2" xfId="4557" xr:uid="{24FF0736-D450-4712-83E4-EAE7171EFC0A}"/>
    <cellStyle name="Note 2 6 5 2 2" xfId="10414" xr:uid="{38B023E0-3319-483B-BC0B-42BD2939D144}"/>
    <cellStyle name="Note 2 6 5 2 2 2" xfId="19460" xr:uid="{417A191F-787B-4560-83BE-076785EF2189}"/>
    <cellStyle name="Note 2 6 5 2 3" xfId="15974" xr:uid="{20A38319-2173-456F-AEA7-37F06E47A56D}"/>
    <cellStyle name="Note 2 6 5 2 4" xfId="22639" xr:uid="{24692ABB-8A68-40C1-AD19-0F514878CA3E}"/>
    <cellStyle name="Note 2 6 5 3" xfId="5058" xr:uid="{8B6045FC-3BBB-4C6B-B9B2-F66993FD478A}"/>
    <cellStyle name="Note 2 6 5 3 2" xfId="10911" xr:uid="{73115483-6377-4C8B-9BD0-B463C210C79E}"/>
    <cellStyle name="Note 2 6 5 3 2 2" xfId="19957" xr:uid="{FB30D80B-DEA1-40C5-A869-5C67E7BD8293}"/>
    <cellStyle name="Note 2 6 5 3 3" xfId="16471" xr:uid="{8BF68956-A76B-4848-8205-755AC6F50967}"/>
    <cellStyle name="Note 2 6 5 3 4" xfId="23134" xr:uid="{B6EFFFAF-B0CD-4DF6-B1F2-7A3CE0E02E88}"/>
    <cellStyle name="Note 2 6 5 4" xfId="5673" xr:uid="{82426DB9-67BA-433B-A595-B03E50C75091}"/>
    <cellStyle name="Note 2 6 5 4 2" xfId="11526" xr:uid="{FCC3E6CD-DE21-4174-8497-8C822E4B94F2}"/>
    <cellStyle name="Note 2 6 5 4 2 2" xfId="20572" xr:uid="{082609B9-2B0C-45C3-95AC-BBE4BA972ADA}"/>
    <cellStyle name="Note 2 6 5 4 3" xfId="17086" xr:uid="{C004322D-3985-4077-939A-46C2A834D044}"/>
    <cellStyle name="Note 2 6 5 5" xfId="6284" xr:uid="{9B65CB9A-036A-4DF7-B49F-281BFB575748}"/>
    <cellStyle name="Note 2 6 5 5 2" xfId="12131" xr:uid="{9F282C35-DEE6-4E0D-9CE5-D178C1C42C58}"/>
    <cellStyle name="Note 2 6 5 5 2 2" xfId="21177" xr:uid="{F3C5FF8D-0EB1-4601-8B3E-64A1444F317B}"/>
    <cellStyle name="Note 2 6 5 5 3" xfId="17697" xr:uid="{B5B18A39-2BB7-4E56-9954-C0BDBFC41660}"/>
    <cellStyle name="Note 2 6 5 6" xfId="9545" xr:uid="{EE316B25-2067-45D0-B7F1-0A553C625941}"/>
    <cellStyle name="Note 2 6 5 6 2" xfId="18591" xr:uid="{DAD4FA6E-A934-41C7-A922-8D8060144298}"/>
    <cellStyle name="Note 2 6 5 7" xfId="12943" xr:uid="{FEF2DDA1-8D97-418F-B37A-9356E0F9B36F}"/>
    <cellStyle name="Note 2 6 5 8" xfId="13500" xr:uid="{75B550D7-ADA7-4BC4-B658-41015EBB1308}"/>
    <cellStyle name="Note 2 6 5 9" xfId="14139" xr:uid="{8C85A11A-1FE9-4847-BCCE-C28E6663899A}"/>
    <cellStyle name="Note 2 6 6" xfId="3122" xr:uid="{92240410-E87A-4067-B52F-68663B887BAE}"/>
    <cellStyle name="Note 2 6 6 10" xfId="14902" xr:uid="{BC4563B4-6DF8-4C6C-9393-66951746825B}"/>
    <cellStyle name="Note 2 6 6 11" xfId="21770" xr:uid="{179341C3-2068-410C-B079-CE57C49F6987}"/>
    <cellStyle name="Note 2 6 6 2" xfId="4343" xr:uid="{BF0C3BEF-980D-4D65-8ACB-36A489209938}"/>
    <cellStyle name="Note 2 6 6 2 2" xfId="10200" xr:uid="{CA71D95C-B0ED-41E3-A7E6-ECB381134D49}"/>
    <cellStyle name="Note 2 6 6 2 2 2" xfId="19246" xr:uid="{8F0456BE-1879-4D56-AE1C-EF715774AAD1}"/>
    <cellStyle name="Note 2 6 6 2 3" xfId="15760" xr:uid="{08C90E65-2854-465D-A00E-8776DAD0F1A9}"/>
    <cellStyle name="Note 2 6 6 2 4" xfId="22426" xr:uid="{0E85A3C6-AD2D-438F-BE69-AACBE4A6E6A0}"/>
    <cellStyle name="Note 2 6 6 3" xfId="4844" xr:uid="{3AC1EEB0-9DB8-4F6A-9CBD-05C9D0EADB09}"/>
    <cellStyle name="Note 2 6 6 3 2" xfId="10699" xr:uid="{ADE52B16-DE93-4033-8CE3-3A776622ABB0}"/>
    <cellStyle name="Note 2 6 6 3 2 2" xfId="19745" xr:uid="{F102802E-9B77-43DF-B3F2-33CC9CB379C9}"/>
    <cellStyle name="Note 2 6 6 3 3" xfId="16259" xr:uid="{E460E07A-18E0-402D-B39D-0F88A232400B}"/>
    <cellStyle name="Note 2 6 6 3 4" xfId="22921" xr:uid="{9BEA2F9E-771E-4BA0-A0FD-0B0CEC54B63B}"/>
    <cellStyle name="Note 2 6 6 4" xfId="5459" xr:uid="{B8F6A4B1-5F8F-4CC4-BFE7-F446209DF1EC}"/>
    <cellStyle name="Note 2 6 6 4 2" xfId="11312" xr:uid="{AF0D26EC-3C6F-4275-B48A-83850916140B}"/>
    <cellStyle name="Note 2 6 6 4 2 2" xfId="20358" xr:uid="{5ADD16CF-30A0-41CE-8BD2-9CFD60427394}"/>
    <cellStyle name="Note 2 6 6 4 3" xfId="16872" xr:uid="{283E3F9B-7B56-40B3-A5B0-2B87F3105F1C}"/>
    <cellStyle name="Note 2 6 6 5" xfId="6070" xr:uid="{F49099EE-2142-438A-94AB-A06789FFA976}"/>
    <cellStyle name="Note 2 6 6 5 2" xfId="11919" xr:uid="{F8923793-7AC4-42A7-BAC7-D3CC4D063CE5}"/>
    <cellStyle name="Note 2 6 6 5 2 2" xfId="20965" xr:uid="{576EE4D9-359F-4380-B364-E3D299519856}"/>
    <cellStyle name="Note 2 6 6 5 3" xfId="17483" xr:uid="{FE8F6131-8B49-4A35-BCC2-95EDD5393667}"/>
    <cellStyle name="Note 2 6 6 6" xfId="9333" xr:uid="{DF770272-B73D-4AAA-BBC3-80EF4D5A16EA}"/>
    <cellStyle name="Note 2 6 6 6 2" xfId="18379" xr:uid="{9140ECF8-B6BA-43D0-A125-03EF903CEB8A}"/>
    <cellStyle name="Note 2 6 6 7" xfId="12729" xr:uid="{5507EB99-3C6E-47DD-A1D5-95F1151BD0CB}"/>
    <cellStyle name="Note 2 6 6 8" xfId="13289" xr:uid="{8ED9B688-9BEF-4177-A07F-51040EC8A28B}"/>
    <cellStyle name="Note 2 6 6 9" xfId="13925" xr:uid="{855308A5-523D-4796-94D2-3DED4619675E}"/>
    <cellStyle name="Note 2 6 7" xfId="3722" xr:uid="{C4E082D3-54B3-4BDD-9777-E1A6F8395C6D}"/>
    <cellStyle name="Note 2 6 7 2" xfId="9764" xr:uid="{0138DEE7-AAB5-425B-ACBC-944D4A96C76C}"/>
    <cellStyle name="Note 2 6 7 2 2" xfId="18810" xr:uid="{338C6F71-309A-4EB6-AC4C-D2253C9681C1}"/>
    <cellStyle name="Note 2 6 7 3" xfId="15330" xr:uid="{88C429DE-505E-42F0-A92C-32FD2CAD2D1E}"/>
    <cellStyle name="Note 2 6 7 4" xfId="22309" xr:uid="{5C25C9E8-FDE2-4002-96D7-A39C89DC92D7}"/>
    <cellStyle name="Note 2 6 8" xfId="4206" xr:uid="{EE22F936-1B57-4CF0-855F-C42539748A66}"/>
    <cellStyle name="Note 2 6 8 2" xfId="10063" xr:uid="{4B848AFD-A9DB-4665-804F-717AF0728C80}"/>
    <cellStyle name="Note 2 6 8 2 2" xfId="19109" xr:uid="{EA88DB84-28A4-48C8-94C3-651578E3791D}"/>
    <cellStyle name="Note 2 6 8 3" xfId="15623" xr:uid="{6AE46FDE-F974-44B4-8D32-C01F2E51B7C6}"/>
    <cellStyle name="Note 2 6 8 4" xfId="22180" xr:uid="{61C09AAB-C558-49C8-BCB3-FF0C3D13866D}"/>
    <cellStyle name="Note 2 6 9" xfId="4153" xr:uid="{0C8B1E27-4665-4576-B0B7-AE590EE9E8B9}"/>
    <cellStyle name="Note 2 6 9 2" xfId="10010" xr:uid="{D4B7B00B-3489-4A59-B362-414B470C7274}"/>
    <cellStyle name="Note 2 6 9 2 2" xfId="19056" xr:uid="{F32D94FE-9EFD-4EE0-AB33-2102417BCBA1}"/>
    <cellStyle name="Note 2 6 9 3" xfId="15570" xr:uid="{F8B2AE80-5C37-4759-B062-1D1D897A8ADC}"/>
    <cellStyle name="Note 2 7" xfId="2403" xr:uid="{71E72820-6687-47EB-891F-13944F431022}"/>
    <cellStyle name="Note 2 7 10" xfId="13184" xr:uid="{5A4F4F98-B901-49C8-BB3F-78A05DB849E6}"/>
    <cellStyle name="Note 2 7 11" xfId="13818" xr:uid="{67CC8A2C-D993-4BB8-A74E-4A82B61C3D85}"/>
    <cellStyle name="Note 2 7 12" xfId="14793" xr:uid="{A87B1C6D-5010-4B82-A7D1-6F3D392ED0F2}"/>
    <cellStyle name="Note 2 7 13" xfId="21663" xr:uid="{D4DC3199-66D5-4322-B93E-6CDFD4F553FC}"/>
    <cellStyle name="Note 2 7 14" xfId="23990" xr:uid="{516FD77B-2039-4FCA-9D30-669284D5406B}"/>
    <cellStyle name="Note 2 7 2" xfId="2646" xr:uid="{4B084ABE-D231-416E-9798-B0C8E8B2B494}"/>
    <cellStyle name="Note 2 7 2 10" xfId="15220" xr:uid="{3311380D-1E79-491D-9822-7A9924922772}"/>
    <cellStyle name="Note 2 7 2 11" xfId="22089" xr:uid="{98BB675E-9DCA-483F-B781-FCB4A72DCB08}"/>
    <cellStyle name="Note 2 7 2 2" xfId="4663" xr:uid="{63111A4A-169C-4EDF-BBAE-AA717B464D7A}"/>
    <cellStyle name="Note 2 7 2 2 2" xfId="10520" xr:uid="{A48212A2-593C-4260-A1B4-DE3B7F15C4DC}"/>
    <cellStyle name="Note 2 7 2 2 2 2" xfId="19566" xr:uid="{D6BF174B-6BA8-4F72-8F12-051133CBCD8C}"/>
    <cellStyle name="Note 2 7 2 2 3" xfId="16080" xr:uid="{2304F974-1E1A-4BA4-AAEB-7A8A937A96E8}"/>
    <cellStyle name="Note 2 7 2 2 4" xfId="22745" xr:uid="{7463CD01-AE06-4A4A-BB92-2BCBD9F8F397}"/>
    <cellStyle name="Note 2 7 2 3" xfId="5164" xr:uid="{42B93D3C-5871-48EF-AFCE-6CE11E5F53D5}"/>
    <cellStyle name="Note 2 7 2 3 2" xfId="11017" xr:uid="{3B9BAF2D-02C1-4438-883F-5FC0C5632E07}"/>
    <cellStyle name="Note 2 7 2 3 2 2" xfId="20063" xr:uid="{DFA410B4-B072-4FB1-88D7-DF308ABD7BC9}"/>
    <cellStyle name="Note 2 7 2 3 3" xfId="16577" xr:uid="{E7C6BBA8-DC3C-45E5-AF32-CB9441C7979A}"/>
    <cellStyle name="Note 2 7 2 3 4" xfId="23240" xr:uid="{0E448B5D-8E66-4DD9-8FDF-D1B5DD3D37A8}"/>
    <cellStyle name="Note 2 7 2 4" xfId="5779" xr:uid="{AF2F2F14-7EC6-4278-B0D5-63AFCE226439}"/>
    <cellStyle name="Note 2 7 2 4 2" xfId="11632" xr:uid="{5874045E-7DB1-4762-AAB6-5F69A6D61107}"/>
    <cellStyle name="Note 2 7 2 4 2 2" xfId="20678" xr:uid="{9CA845C7-51EA-4431-940B-4F13A1E58506}"/>
    <cellStyle name="Note 2 7 2 4 3" xfId="17192" xr:uid="{255D7ECF-6098-4071-9715-D5D8BF2DFB38}"/>
    <cellStyle name="Note 2 7 2 5" xfId="6390" xr:uid="{C1BCA1B8-E508-4445-BC2B-26F2339F8FDC}"/>
    <cellStyle name="Note 2 7 2 5 2" xfId="12237" xr:uid="{5F429C11-2CB6-44F6-970A-83E86973C0B1}"/>
    <cellStyle name="Note 2 7 2 5 2 2" xfId="21283" xr:uid="{C4402341-A760-4D7E-857A-3A003127BDC4}"/>
    <cellStyle name="Note 2 7 2 5 3" xfId="17803" xr:uid="{281D424A-1860-4287-94C5-1432E01A1C62}"/>
    <cellStyle name="Note 2 7 2 6" xfId="9651" xr:uid="{0019F705-7A33-4859-A645-B5D66403F153}"/>
    <cellStyle name="Note 2 7 2 6 2" xfId="18697" xr:uid="{E907DF44-DAE7-481C-AA3F-A1F20D348DEA}"/>
    <cellStyle name="Note 2 7 2 7" xfId="13049" xr:uid="{F4A2B1D2-B477-44DC-A78B-048B57A8268A}"/>
    <cellStyle name="Note 2 7 2 8" xfId="13606" xr:uid="{9EC5438D-C786-4005-AD0A-65ADB8D4C83F}"/>
    <cellStyle name="Note 2 7 2 9" xfId="14245" xr:uid="{02A46CE6-FF59-4376-8C8A-A25B92B3556E}"/>
    <cellStyle name="Note 2 7 3" xfId="3228" xr:uid="{8D9FFA6C-E8E4-4190-90C1-CDCEE287E53B}"/>
    <cellStyle name="Note 2 7 3 10" xfId="15008" xr:uid="{060692B9-E15C-4E88-B1A3-07EC7875391A}"/>
    <cellStyle name="Note 2 7 3 11" xfId="21878" xr:uid="{93902B40-46B9-4776-ADD5-7B24AE69B715}"/>
    <cellStyle name="Note 2 7 3 2" xfId="4451" xr:uid="{4FED1EAB-5E94-4775-AB63-F05C7F82F82B}"/>
    <cellStyle name="Note 2 7 3 2 2" xfId="10308" xr:uid="{3689C0E3-5075-44EB-B09D-CB5D02F1B71B}"/>
    <cellStyle name="Note 2 7 3 2 2 2" xfId="19354" xr:uid="{D41176A2-779B-4A5B-9D2A-098DC6FF338A}"/>
    <cellStyle name="Note 2 7 3 2 3" xfId="15868" xr:uid="{B3FCF02F-6038-47D0-BB7E-90C8284F4443}"/>
    <cellStyle name="Note 2 7 3 2 4" xfId="22534" xr:uid="{DCF6153D-F675-436D-80B9-9FDD4EF8D5AB}"/>
    <cellStyle name="Note 2 7 3 3" xfId="4952" xr:uid="{C2518F42-FBCE-4ABA-B0EC-F5763429E9D5}"/>
    <cellStyle name="Note 2 7 3 3 2" xfId="10805" xr:uid="{14BF039C-E792-4864-B1DC-49C8D6D69571}"/>
    <cellStyle name="Note 2 7 3 3 2 2" xfId="19851" xr:uid="{CCDD6C63-1559-4675-8BF7-4F18AAAFB427}"/>
    <cellStyle name="Note 2 7 3 3 3" xfId="16365" xr:uid="{A2BA8EFA-A82B-4860-8F1F-81714BDED157}"/>
    <cellStyle name="Note 2 7 3 3 4" xfId="23029" xr:uid="{F1D6BB3F-2323-443D-8461-B002113D588E}"/>
    <cellStyle name="Note 2 7 3 4" xfId="5567" xr:uid="{B0FC5444-87D6-4AB8-9098-C5DCE78AC610}"/>
    <cellStyle name="Note 2 7 3 4 2" xfId="11420" xr:uid="{329A3FEB-D3AC-4708-958C-59C071A90CCA}"/>
    <cellStyle name="Note 2 7 3 4 2 2" xfId="20466" xr:uid="{32E2FC7D-610F-4C28-A675-BC5D8D2C4828}"/>
    <cellStyle name="Note 2 7 3 4 3" xfId="16980" xr:uid="{1811DA1B-13EF-404D-B603-CB79ECB8CC1F}"/>
    <cellStyle name="Note 2 7 3 5" xfId="6178" xr:uid="{8123EC10-9BAB-4605-B131-EB04633DC6FC}"/>
    <cellStyle name="Note 2 7 3 5 2" xfId="12025" xr:uid="{F69DAB26-AECE-4C34-AA84-946401395654}"/>
    <cellStyle name="Note 2 7 3 5 2 2" xfId="21071" xr:uid="{5D86ED29-BC6D-44D2-9A9B-5AB10F842BC4}"/>
    <cellStyle name="Note 2 7 3 5 3" xfId="17591" xr:uid="{572248B8-48A6-48C9-9E12-6DD259E08D78}"/>
    <cellStyle name="Note 2 7 3 6" xfId="9439" xr:uid="{BC379E7A-F382-4B1C-BA6C-C8A30781AE44}"/>
    <cellStyle name="Note 2 7 3 6 2" xfId="18485" xr:uid="{0AC60D02-CEAB-4B16-9938-2A4F6E6CBF2E}"/>
    <cellStyle name="Note 2 7 3 7" xfId="12837" xr:uid="{2C0E7558-84EE-445E-BA25-53EA788725E4}"/>
    <cellStyle name="Note 2 7 3 8" xfId="13395" xr:uid="{C7CF5CDB-DCB6-4199-A4C3-05890CEFDB2F}"/>
    <cellStyle name="Note 2 7 3 9" xfId="14033" xr:uid="{828A7469-ABAC-4AA0-B70E-EA65CCB98546}"/>
    <cellStyle name="Note 2 7 4" xfId="3941" xr:uid="{8390A8ED-F3F4-4D70-8B40-F67F4ACCA384}"/>
    <cellStyle name="Note 2 7 4 2" xfId="9832" xr:uid="{6F428E42-1435-4C96-940F-EEB0B6D1C843}"/>
    <cellStyle name="Note 2 7 4 2 2" xfId="18878" xr:uid="{26E375A0-C533-47A9-A6D5-2678E39E5E99}"/>
    <cellStyle name="Note 2 7 4 3" xfId="15394" xr:uid="{C19CD10E-D690-49C9-B6BB-13D8D0146530}"/>
    <cellStyle name="Note 2 7 4 4" xfId="22200" xr:uid="{777A705E-0E59-4620-9D7C-E9A112BB2467}"/>
    <cellStyle name="Note 2 7 5" xfId="4080" xr:uid="{D4270BF8-C0A9-46A9-A597-F7C0B02C4DDB}"/>
    <cellStyle name="Note 2 7 5 2" xfId="9937" xr:uid="{628D73C4-4068-4692-8961-555B53DA5069}"/>
    <cellStyle name="Note 2 7 5 2 2" xfId="18983" xr:uid="{0CC99B8A-C307-43B9-9606-07189E99BCE2}"/>
    <cellStyle name="Note 2 7 5 3" xfId="15497" xr:uid="{9B2047B0-D123-42F0-A5CC-20224E54A372}"/>
    <cellStyle name="Note 2 7 6" xfId="5352" xr:uid="{0A57D1F6-EE68-4CCF-B5EA-4B408965C418}"/>
    <cellStyle name="Note 2 7 6 2" xfId="11205" xr:uid="{7D14C15E-BA66-4C12-88BC-F9196ADD2B61}"/>
    <cellStyle name="Note 2 7 6 2 2" xfId="20251" xr:uid="{AA117757-1BBB-4563-9C1E-69CBBC240E32}"/>
    <cellStyle name="Note 2 7 6 3" xfId="16765" xr:uid="{56EC30E1-DE7F-4A8F-9BBA-3F2BED3DDC71}"/>
    <cellStyle name="Note 2 7 7" xfId="5963" xr:uid="{665691D0-1116-4063-94B3-7D61473713B4}"/>
    <cellStyle name="Note 2 7 7 2" xfId="11814" xr:uid="{D80801A6-1081-447D-8BA4-798EE4BB33FE}"/>
    <cellStyle name="Note 2 7 7 2 2" xfId="20860" xr:uid="{D202109A-25A7-440A-8630-5FE593AD1842}"/>
    <cellStyle name="Note 2 7 7 3" xfId="17376" xr:uid="{F3350D82-6E6B-42FF-9A2E-BA7E35BA8F16}"/>
    <cellStyle name="Note 2 7 8" xfId="9224" xr:uid="{A47EC322-9448-4B00-B56D-86233DAFDAC5}"/>
    <cellStyle name="Note 2 7 8 2" xfId="18270" xr:uid="{13A88E93-8404-4CAF-83E3-6696107BF09F}"/>
    <cellStyle name="Note 2 7 9" xfId="12622" xr:uid="{2E98E011-7387-4FB3-B5F2-0461A55964C9}"/>
    <cellStyle name="Note 2 8" xfId="2697" xr:uid="{1DE08B8C-065F-4616-AD8C-AA5A1CAECCB1}"/>
    <cellStyle name="Note 2 8 10" xfId="13819" xr:uid="{6B00D7A5-60F1-4982-B72D-CEE7C9737A46}"/>
    <cellStyle name="Note 2 8 11" xfId="14794" xr:uid="{67E51D72-7788-4DAB-8103-35D9B4ECAD79}"/>
    <cellStyle name="Note 2 8 12" xfId="21664" xr:uid="{FAB242D9-39B4-4D1E-9FCB-B2751BF57F62}"/>
    <cellStyle name="Note 2 8 2" xfId="3430" xr:uid="{AA29F99C-A9CE-447D-A799-141B6D3947B5}"/>
    <cellStyle name="Note 2 8 2 10" xfId="15221" xr:uid="{138C0125-51E6-41AB-BF6F-FD60BF1D8BAE}"/>
    <cellStyle name="Note 2 8 2 11" xfId="22090" xr:uid="{00A09B4D-5C94-4FB1-86A2-7BA3803A37E0}"/>
    <cellStyle name="Note 2 8 2 2" xfId="4664" xr:uid="{9CEAFA34-B717-4426-BDF3-CA790859AD6F}"/>
    <cellStyle name="Note 2 8 2 2 2" xfId="10521" xr:uid="{9396CAA4-F601-49CF-8E50-284F6A527E1D}"/>
    <cellStyle name="Note 2 8 2 2 2 2" xfId="19567" xr:uid="{E78CB404-8453-44AC-8D54-2C097F7E84F5}"/>
    <cellStyle name="Note 2 8 2 2 3" xfId="16081" xr:uid="{E653DCC7-C855-4E00-8E07-538178EE0A14}"/>
    <cellStyle name="Note 2 8 2 2 4" xfId="22746" xr:uid="{2FFDFF55-C335-4564-8B84-0D0FA93F0DDE}"/>
    <cellStyle name="Note 2 8 2 3" xfId="5165" xr:uid="{6C104B85-5708-4761-AA3C-695CDDF87068}"/>
    <cellStyle name="Note 2 8 2 3 2" xfId="11018" xr:uid="{F4A3B75B-3BE4-4D57-8D50-6B20937FDF73}"/>
    <cellStyle name="Note 2 8 2 3 2 2" xfId="20064" xr:uid="{D890FF7E-294B-4CFA-A408-12E06D44D573}"/>
    <cellStyle name="Note 2 8 2 3 3" xfId="16578" xr:uid="{E399F2F9-8421-43FF-A80C-BD3D0C97133E}"/>
    <cellStyle name="Note 2 8 2 3 4" xfId="23241" xr:uid="{A92C070F-6FD1-4A9E-B846-4B2D16FB9760}"/>
    <cellStyle name="Note 2 8 2 4" xfId="5780" xr:uid="{B0CFF19A-6795-459C-8540-A437123DFFE2}"/>
    <cellStyle name="Note 2 8 2 4 2" xfId="11633" xr:uid="{AFB4F913-97A2-4C3B-92A5-DEEBAD653E60}"/>
    <cellStyle name="Note 2 8 2 4 2 2" xfId="20679" xr:uid="{5E7249F1-865B-49F6-930D-99CAAD98D6BD}"/>
    <cellStyle name="Note 2 8 2 4 3" xfId="17193" xr:uid="{78B4FDE8-482A-4FF0-8209-66EA57EA6FAE}"/>
    <cellStyle name="Note 2 8 2 5" xfId="6391" xr:uid="{8338F9D1-F9D3-410A-93E6-F617903944EE}"/>
    <cellStyle name="Note 2 8 2 5 2" xfId="12238" xr:uid="{7322D829-4BB5-4FE1-A490-C1E1CE252D44}"/>
    <cellStyle name="Note 2 8 2 5 2 2" xfId="21284" xr:uid="{7AD61276-EF35-4F76-9713-400400F49F1F}"/>
    <cellStyle name="Note 2 8 2 5 3" xfId="17804" xr:uid="{EAE6EA43-AA0B-40AA-9A53-452A5123B97B}"/>
    <cellStyle name="Note 2 8 2 6" xfId="9652" xr:uid="{C1D073AA-A384-43BE-84B6-06E3D3E5F9B5}"/>
    <cellStyle name="Note 2 8 2 6 2" xfId="18698" xr:uid="{F9ACD815-9EFF-4023-AB60-E72A0A6443E3}"/>
    <cellStyle name="Note 2 8 2 7" xfId="13050" xr:uid="{175CD332-30E7-4471-A83F-422FBE8FF374}"/>
    <cellStyle name="Note 2 8 2 8" xfId="13607" xr:uid="{DDA27782-0E00-4B1F-99FE-93A575B7FA85}"/>
    <cellStyle name="Note 2 8 2 9" xfId="14246" xr:uid="{1FC563E6-2FC2-4A31-A8A9-E5EEA6EF9244}"/>
    <cellStyle name="Note 2 8 3" xfId="3229" xr:uid="{D0C835CB-F5DC-4C5A-9642-4F6A9D362CC7}"/>
    <cellStyle name="Note 2 8 3 10" xfId="15009" xr:uid="{8C28187E-C02C-4CC6-890D-71D95E0797FB}"/>
    <cellStyle name="Note 2 8 3 11" xfId="21879" xr:uid="{DAEF71A7-1E53-43FF-BADB-6661EB7C5D9F}"/>
    <cellStyle name="Note 2 8 3 2" xfId="4452" xr:uid="{F3C4379F-597D-4481-B6F1-5D928C399889}"/>
    <cellStyle name="Note 2 8 3 2 2" xfId="10309" xr:uid="{70CA507D-5F4E-4368-83FA-19510917683E}"/>
    <cellStyle name="Note 2 8 3 2 2 2" xfId="19355" xr:uid="{EC32FFA3-686F-4B77-B8B2-4180D5CFC060}"/>
    <cellStyle name="Note 2 8 3 2 3" xfId="15869" xr:uid="{8BBBD921-8866-4A1C-8C65-B01BFD11A270}"/>
    <cellStyle name="Note 2 8 3 2 4" xfId="22535" xr:uid="{05070384-A582-45E2-BD8D-FCB718B070FC}"/>
    <cellStyle name="Note 2 8 3 3" xfId="4953" xr:uid="{475FFC74-3D40-4384-8D18-B757F2163F80}"/>
    <cellStyle name="Note 2 8 3 3 2" xfId="10806" xr:uid="{B5291932-0655-4983-80AA-9555D6CD2EAD}"/>
    <cellStyle name="Note 2 8 3 3 2 2" xfId="19852" xr:uid="{CCACEE6C-2FA3-41DC-82CC-A29403943932}"/>
    <cellStyle name="Note 2 8 3 3 3" xfId="16366" xr:uid="{C06E611C-69E9-4784-97D9-8016BB5297F8}"/>
    <cellStyle name="Note 2 8 3 3 4" xfId="23030" xr:uid="{BC9931AE-9BB5-4ADC-A5B5-2D2824FF5BFB}"/>
    <cellStyle name="Note 2 8 3 4" xfId="5568" xr:uid="{4F3E65A6-425E-44A9-911F-4ACF87C3C405}"/>
    <cellStyle name="Note 2 8 3 4 2" xfId="11421" xr:uid="{A175EF23-F4FF-4F6A-9546-BF36796BD59B}"/>
    <cellStyle name="Note 2 8 3 4 2 2" xfId="20467" xr:uid="{BC9E1CC2-EF13-4475-A2B6-00421A47A33E}"/>
    <cellStyle name="Note 2 8 3 4 3" xfId="16981" xr:uid="{9F3D094C-0FFB-4F6B-B3D8-086214200185}"/>
    <cellStyle name="Note 2 8 3 5" xfId="6179" xr:uid="{F9E68B3A-12F4-4A22-9B79-A7932B84E63E}"/>
    <cellStyle name="Note 2 8 3 5 2" xfId="12026" xr:uid="{9998E1AA-4C21-4C36-B1E3-CC29F9AEBFBC}"/>
    <cellStyle name="Note 2 8 3 5 2 2" xfId="21072" xr:uid="{CDA9F19A-8163-4DCB-81E7-A3DDEAA3FF73}"/>
    <cellStyle name="Note 2 8 3 5 3" xfId="17592" xr:uid="{1C2A372A-0393-4BA1-B35E-2D724E66D0B7}"/>
    <cellStyle name="Note 2 8 3 6" xfId="9440" xr:uid="{970099F0-36C3-402E-B8CC-9976779B5BED}"/>
    <cellStyle name="Note 2 8 3 6 2" xfId="18486" xr:uid="{DA7C11E7-9A05-42D8-92A4-0465FDC9161E}"/>
    <cellStyle name="Note 2 8 3 7" xfId="12838" xr:uid="{D305D7D6-4F55-4CEF-AF13-65D7F2C2C864}"/>
    <cellStyle name="Note 2 8 3 8" xfId="13396" xr:uid="{3C73D127-7791-4838-B0CB-4E9EA9762150}"/>
    <cellStyle name="Note 2 8 3 9" xfId="14034" xr:uid="{68E1BC88-AACA-411B-AF05-A315DFB12233}"/>
    <cellStyle name="Note 2 8 4" xfId="4079" xr:uid="{A538DEC7-2BC8-47A6-9815-311252E6B03D}"/>
    <cellStyle name="Note 2 8 4 2" xfId="9936" xr:uid="{A559CF60-ED7F-4023-98E8-BA167C3148B3}"/>
    <cellStyle name="Note 2 8 4 2 2" xfId="18982" xr:uid="{D0DAD852-7CF8-43C7-95E4-E6EF4441BAD4}"/>
    <cellStyle name="Note 2 8 4 3" xfId="15496" xr:uid="{9E120524-42D6-47AB-91A9-9CD2D66DED19}"/>
    <cellStyle name="Note 2 8 4 4" xfId="22199" xr:uid="{8AC62E1F-7CBB-489E-8F4E-88ADA6FE0EC7}"/>
    <cellStyle name="Note 2 8 5" xfId="5353" xr:uid="{45B3FB5D-B92B-443E-8BAB-FD2D6CADF0E7}"/>
    <cellStyle name="Note 2 8 5 2" xfId="11206" xr:uid="{25AD00A8-9DBB-4BC2-B7D3-F75E02353350}"/>
    <cellStyle name="Note 2 8 5 2 2" xfId="20252" xr:uid="{6562096A-7D62-4F96-93A9-DE9E6DD8D29A}"/>
    <cellStyle name="Note 2 8 5 3" xfId="16766" xr:uid="{7C4CAD98-D0DD-40E2-B35D-871122A85ADC}"/>
    <cellStyle name="Note 2 8 6" xfId="5964" xr:uid="{41C35459-8814-4040-8CEF-745ACAC582AE}"/>
    <cellStyle name="Note 2 8 6 2" xfId="11815" xr:uid="{6277F4DE-A3B2-4B3E-A063-2ACA0F2B1AFD}"/>
    <cellStyle name="Note 2 8 6 2 2" xfId="20861" xr:uid="{2C7ACE29-63F9-46DB-8AF7-9A0EC3B8C3BC}"/>
    <cellStyle name="Note 2 8 6 3" xfId="17377" xr:uid="{D37C28F4-25B2-41EB-B5F6-5047E97990F9}"/>
    <cellStyle name="Note 2 8 7" xfId="9225" xr:uid="{CAE308C5-EA9B-45E1-AE5B-6EB88FAF6933}"/>
    <cellStyle name="Note 2 8 7 2" xfId="18271" xr:uid="{2292ABD7-8743-444D-B1FA-C75034809B21}"/>
    <cellStyle name="Note 2 8 8" xfId="12623" xr:uid="{6AC5D466-3407-4F47-B8C1-06DC92DDA582}"/>
    <cellStyle name="Note 2 8 9" xfId="13185" xr:uid="{6B886D93-E9C6-4308-ABF6-2534C595821B}"/>
    <cellStyle name="Note 2 9" xfId="2912" xr:uid="{99A8E9E4-5F0D-4C14-92C2-F22863D310BE}"/>
    <cellStyle name="Note 2 9 10" xfId="15096" xr:uid="{1CAEEF21-7B12-4EB7-9186-297C3B6E0B4C}"/>
    <cellStyle name="Note 2 9 11" xfId="21966" xr:uid="{1C634AB2-8686-478E-8D90-13B8C2A125F4}"/>
    <cellStyle name="Note 2 9 12" xfId="3316" xr:uid="{DC8DC0EB-200E-42C6-8BC4-B6A7B57B3B67}"/>
    <cellStyle name="Note 2 9 2" xfId="4539" xr:uid="{3DD9BA59-1E91-480D-86C8-8C2CF9A029F1}"/>
    <cellStyle name="Note 2 9 2 2" xfId="10396" xr:uid="{D2AE69E0-5FEF-48E1-9EE5-FB63125F5C3A}"/>
    <cellStyle name="Note 2 9 2 2 2" xfId="19442" xr:uid="{DA4864CF-F1AF-4A8F-A156-167B319A366E}"/>
    <cellStyle name="Note 2 9 2 3" xfId="15956" xr:uid="{84D64E0D-0D43-4194-883A-5D87DEE600F4}"/>
    <cellStyle name="Note 2 9 2 4" xfId="22622" xr:uid="{B363591D-9010-4381-972D-16DB37020488}"/>
    <cellStyle name="Note 2 9 3" xfId="5040" xr:uid="{5A7D6F3B-12C9-4A71-B5DF-95679E2084D0}"/>
    <cellStyle name="Note 2 9 3 2" xfId="10893" xr:uid="{8E285E02-47D9-415A-970C-E8BC7D2497CD}"/>
    <cellStyle name="Note 2 9 3 2 2" xfId="19939" xr:uid="{9E7015D0-0895-4C2B-A02C-4F9F432B2001}"/>
    <cellStyle name="Note 2 9 3 3" xfId="16453" xr:uid="{99BA5A47-0413-48C9-91AA-4694558B9CDF}"/>
    <cellStyle name="Note 2 9 3 4" xfId="23117" xr:uid="{D60B3B39-3D38-49F5-9E28-6424A555D819}"/>
    <cellStyle name="Note 2 9 4" xfId="5655" xr:uid="{65FB7F96-322D-4063-99A0-F70E6FC9256E}"/>
    <cellStyle name="Note 2 9 4 2" xfId="11508" xr:uid="{1C3E315A-3018-4479-9643-25B6E4046BD2}"/>
    <cellStyle name="Note 2 9 4 2 2" xfId="20554" xr:uid="{A36A5951-1A16-47B4-99E2-C16FD5468B94}"/>
    <cellStyle name="Note 2 9 4 3" xfId="17068" xr:uid="{B0DAA276-7A48-426E-B403-3B0815337B0A}"/>
    <cellStyle name="Note 2 9 5" xfId="6266" xr:uid="{8609EADA-ADA1-4D02-8486-11A04A731B89}"/>
    <cellStyle name="Note 2 9 5 2" xfId="12113" xr:uid="{14ABE8BE-648D-4D1D-8529-354DF24692C8}"/>
    <cellStyle name="Note 2 9 5 2 2" xfId="21159" xr:uid="{2978894E-E8F1-4768-B07B-5FF95AC73958}"/>
    <cellStyle name="Note 2 9 5 3" xfId="17679" xr:uid="{FFB4F3C3-812C-4B42-B4FE-B4D0B430F1F6}"/>
    <cellStyle name="Note 2 9 6" xfId="9527" xr:uid="{FF7C048E-05FF-480E-9DB9-C43560D6F907}"/>
    <cellStyle name="Note 2 9 6 2" xfId="18573" xr:uid="{FD4C6493-67C7-480F-AB60-BC46F027FF6D}"/>
    <cellStyle name="Note 2 9 7" xfId="12925" xr:uid="{307749EA-8977-4C3C-8126-215945FE8D26}"/>
    <cellStyle name="Note 2 9 8" xfId="13483" xr:uid="{EBE5ED37-C996-4D03-84C2-B061168D9C59}"/>
    <cellStyle name="Note 2 9 9" xfId="14121" xr:uid="{01AD6036-3439-44EA-B2A1-472A4F780D65}"/>
    <cellStyle name="Note 3" xfId="507" xr:uid="{EEFBE324-E2AA-4135-A0EA-3FEE9D33B275}"/>
    <cellStyle name="Note 3 2" xfId="508" xr:uid="{427094BC-9D7C-4DEE-A697-C865A41F81FB}"/>
    <cellStyle name="Note 3 2 2" xfId="8363" xr:uid="{F5D15CD3-980D-449F-AF5F-AB96F12AA4B6}"/>
    <cellStyle name="Note 3 2 2 2" xfId="12396" xr:uid="{B7F57436-9ACB-466E-9B68-E998055F19F3}"/>
    <cellStyle name="Note 3 2 2 2 2" xfId="21443" xr:uid="{CF2382F3-310F-4611-B782-D1AC602CBF1E}"/>
    <cellStyle name="Note 3 2 2 2 3" xfId="23643" xr:uid="{8E474D60-06BD-471E-8003-6B50928B97DD}"/>
    <cellStyle name="Note 3 2 2 3" xfId="14512" xr:uid="{D43D5BC8-2942-419D-93AF-0ED6682E73DF}"/>
    <cellStyle name="Note 3 2 2 4" xfId="17974" xr:uid="{A724BBC9-6007-4EE0-A289-3AA9040FC42C}"/>
    <cellStyle name="Note 3 2 2 5" xfId="23447" xr:uid="{93204D02-7C07-436C-A52B-6DB65896BFF5}"/>
    <cellStyle name="Note 3 2 3" xfId="12395" xr:uid="{638DBD12-55D0-4FC8-B6EC-A124DE583F2F}"/>
    <cellStyle name="Note 3 2 3 2" xfId="21442" xr:uid="{2753CDC4-9739-4B20-A8F5-56CBA9A217A9}"/>
    <cellStyle name="Note 3 2 3 3" xfId="23642" xr:uid="{F4F5C44C-7C2E-4106-A0AB-43395F9C769B}"/>
    <cellStyle name="Note 3 2 4" xfId="14511" xr:uid="{5A53FCA4-BBB4-46B6-A060-D31D1783868A}"/>
    <cellStyle name="Note 3 2 5" xfId="17973" xr:uid="{B3F16167-1EE1-45C5-AA74-7EB9E36452F3}"/>
    <cellStyle name="Note 3 2 6" xfId="23446" xr:uid="{3167C1A6-17FF-41E2-B875-00459CE08AD2}"/>
    <cellStyle name="Note 3 2 7" xfId="8362" xr:uid="{09D263AE-98D5-422D-80A9-1E9EC1C13435}"/>
    <cellStyle name="Note 3 2 8" xfId="2905" xr:uid="{81CFB97F-BEC0-470B-AF79-93367D832077}"/>
    <cellStyle name="Note 3 3" xfId="509" xr:uid="{73081BED-1730-45C0-BFF3-B91002EB0EF4}"/>
    <cellStyle name="Note 3 3 2" xfId="12397" xr:uid="{D714CAD8-0DA7-4760-929E-5910A7C860DC}"/>
    <cellStyle name="Note 3 3 2 2" xfId="21444" xr:uid="{C1B7A725-2E6B-4AD2-977C-8DF14E410B8D}"/>
    <cellStyle name="Note 3 3 2 3" xfId="23644" xr:uid="{8D8C94B3-3BDC-4C5A-B516-F53C3A5840F3}"/>
    <cellStyle name="Note 3 3 3" xfId="14513" xr:uid="{FCFFF0B2-BEAB-47F8-A012-0CFB48865432}"/>
    <cellStyle name="Note 3 3 4" xfId="17975" xr:uid="{87E43782-255A-482B-889D-E1DDA138CF3B}"/>
    <cellStyle name="Note 3 3 5" xfId="23448" xr:uid="{EF13D39C-2B8C-4467-B3B4-1C88B10F6728}"/>
    <cellStyle name="Note 3 3 6" xfId="8364" xr:uid="{FED11609-1643-4EC5-9140-C255BA73516E}"/>
    <cellStyle name="Note 3 3 7" xfId="2789" xr:uid="{1F249761-C59D-4DBC-B004-0BDAB1103BB7}"/>
    <cellStyle name="Note 3 4" xfId="12394" xr:uid="{08F07CA7-BE3C-4300-BA98-F72DA0995C44}"/>
    <cellStyle name="Note 3 4 2" xfId="21441" xr:uid="{D34D94C9-414E-4632-BD6C-03FD0163CAA8}"/>
    <cellStyle name="Note 3 4 3" xfId="23641" xr:uid="{3B7F54FC-8974-467D-933D-3CE3ABF393C8}"/>
    <cellStyle name="Note 3 5" xfId="14510" xr:uid="{17D14138-9CFE-41FF-939D-29727C04D26D}"/>
    <cellStyle name="Note 3 6" xfId="17972" xr:uid="{A4296D79-0A4F-44BF-91D1-8A814EC0C338}"/>
    <cellStyle name="Note 3 7" xfId="23445" xr:uid="{F105A230-4529-422A-B2A1-E98863D13C99}"/>
    <cellStyle name="Note 3 8" xfId="8361" xr:uid="{79C083C1-2CD2-44CA-A1B2-5F42BBDF65F3}"/>
    <cellStyle name="Note 3 9" xfId="1994" xr:uid="{6F81528D-7E50-4F6E-AFB6-6B90009B6B44}"/>
    <cellStyle name="Note 4" xfId="510" xr:uid="{BB918185-F579-477F-BBDA-72E5A94D8F33}"/>
    <cellStyle name="Note 4 2" xfId="511" xr:uid="{8D6C3231-FEBE-43BD-A6C6-99800D66590B}"/>
    <cellStyle name="Note 4 2 2" xfId="8367" xr:uid="{DF0CF492-EF31-42C8-B7F4-53E022760621}"/>
    <cellStyle name="Note 4 2 2 2" xfId="12400" xr:uid="{F50F2CD5-B0F4-4A1D-AD0A-B0731A4076B5}"/>
    <cellStyle name="Note 4 2 2 2 2" xfId="21447" xr:uid="{AA981BC1-475A-4B30-873B-E2D56DD6F938}"/>
    <cellStyle name="Note 4 2 2 2 3" xfId="23647" xr:uid="{D56D4EBF-FDE5-4A08-8B2D-12CAF9111EC1}"/>
    <cellStyle name="Note 4 2 2 3" xfId="14516" xr:uid="{95E8835B-D50E-4FB6-9B22-DC90A6DA2D54}"/>
    <cellStyle name="Note 4 2 2 4" xfId="17978" xr:uid="{13DA9918-FC8F-4672-B496-F38C3AE56ABC}"/>
    <cellStyle name="Note 4 2 2 5" xfId="23451" xr:uid="{6E9B4591-0166-4C61-A929-D4CB52901F8C}"/>
    <cellStyle name="Note 4 2 3" xfId="12399" xr:uid="{73E7B745-1704-4DB8-9577-B93765673333}"/>
    <cellStyle name="Note 4 2 3 2" xfId="21446" xr:uid="{A00EC4F3-43F9-4DD7-AAA7-7CFA781A0CA6}"/>
    <cellStyle name="Note 4 2 3 3" xfId="23646" xr:uid="{B7104E2F-586D-47B9-A275-59C2931F273D}"/>
    <cellStyle name="Note 4 2 4" xfId="14515" xr:uid="{7C5695ED-5AD3-4BB7-BC9A-137C99A6B595}"/>
    <cellStyle name="Note 4 2 5" xfId="17977" xr:uid="{40BAB5D4-85DC-40FD-9321-9044DF2040E4}"/>
    <cellStyle name="Note 4 2 6" xfId="23450" xr:uid="{B8A6875F-F357-4994-BCA0-4156A77AC2B0}"/>
    <cellStyle name="Note 4 2 7" xfId="8366" xr:uid="{8A2ECD8A-E916-43BA-B6AC-065DF3F073B1}"/>
    <cellStyle name="Note 4 2 8" xfId="1996" xr:uid="{3FBD7414-F350-4A35-B084-82ABB62795C7}"/>
    <cellStyle name="Note 4 3" xfId="512" xr:uid="{79BB721A-EEA9-4AC3-8FE1-A8853B78E218}"/>
    <cellStyle name="Note 4 3 2" xfId="12401" xr:uid="{5363E46A-8397-4C00-B0D0-1C2D2F84A242}"/>
    <cellStyle name="Note 4 3 2 2" xfId="21448" xr:uid="{F1CC1C0F-8EC3-4F2E-8FD8-3D240535F026}"/>
    <cellStyle name="Note 4 3 2 3" xfId="23648" xr:uid="{C5B26801-14EE-4477-976B-8A9EEED73305}"/>
    <cellStyle name="Note 4 3 3" xfId="14517" xr:uid="{6D84F016-1F3C-4835-A876-7293EE4B42CC}"/>
    <cellStyle name="Note 4 3 4" xfId="17979" xr:uid="{ED790C25-9A6E-40C6-AD33-9E2D8F484CE4}"/>
    <cellStyle name="Note 4 3 5" xfId="23452" xr:uid="{2B3523C9-300C-4218-BAC4-F0CF09FB1EBC}"/>
    <cellStyle name="Note 4 3 6" xfId="8368" xr:uid="{CCA6F946-B285-4121-9684-E6E3A8812A9E}"/>
    <cellStyle name="Note 4 4" xfId="12398" xr:uid="{F4F20669-0AB4-4F20-866E-4FD2DD41FA90}"/>
    <cellStyle name="Note 4 4 2" xfId="21445" xr:uid="{E70512E3-6225-481D-A821-45AA7D4CAD05}"/>
    <cellStyle name="Note 4 4 3" xfId="23645" xr:uid="{D40084FD-BBA9-4FC3-895D-D2D920F2BB3E}"/>
    <cellStyle name="Note 4 5" xfId="14514" xr:uid="{A84A455B-A2B8-4333-99EC-4504A606813E}"/>
    <cellStyle name="Note 4 6" xfId="17976" xr:uid="{F94F238B-4394-4DDD-8C79-8B29F6672DE0}"/>
    <cellStyle name="Note 4 7" xfId="23449" xr:uid="{821E8394-672C-4D09-8E48-6FC17EF65FF3}"/>
    <cellStyle name="Note 4 8" xfId="8365" xr:uid="{BE5B7190-9068-417A-AF95-BCC25FBA619A}"/>
    <cellStyle name="Note 4 9" xfId="1995" xr:uid="{3B628E82-476A-46C1-8823-6606F0254890}"/>
    <cellStyle name="Note 5" xfId="8369" xr:uid="{6510F885-760B-49F7-A952-265006BFD6C7}"/>
    <cellStyle name="Note 5 2" xfId="8370" xr:uid="{F45BFBBA-06EE-4388-A97A-4C0F4766B8B7}"/>
    <cellStyle name="Note 5 2 2" xfId="12403" xr:uid="{FFCEC769-7730-4FD7-8C85-F0AAAA080673}"/>
    <cellStyle name="Note 5 2 2 2" xfId="21450" xr:uid="{34DE6C6C-83DD-474A-B881-7D9512F25A3C}"/>
    <cellStyle name="Note 5 2 2 3" xfId="23650" xr:uid="{F3A61AFE-105A-49F1-8C29-6917670949B9}"/>
    <cellStyle name="Note 5 2 3" xfId="14519" xr:uid="{233ADAAF-06FB-45BD-B690-AF5E0EF8765A}"/>
    <cellStyle name="Note 5 2 4" xfId="17981" xr:uid="{CA1EFB5B-B505-452D-8E5B-0F37D2EBE965}"/>
    <cellStyle name="Note 5 2 5" xfId="23454" xr:uid="{2DD2BD50-8B90-4C4A-8B73-979B9D607BF6}"/>
    <cellStyle name="Note 5 3" xfId="12402" xr:uid="{A5123961-BC54-46D0-81AB-4B666D731B4A}"/>
    <cellStyle name="Note 5 3 2" xfId="21449" xr:uid="{D8D7A2DD-3DC7-4522-92F9-863BE2EC0FE5}"/>
    <cellStyle name="Note 5 3 3" xfId="23649" xr:uid="{E8C33642-1F9A-45AB-B336-F6A5AFD8DE1B}"/>
    <cellStyle name="Note 5 4" xfId="14518" xr:uid="{66441083-1F9D-4EC5-9F1C-F55E1FE33830}"/>
    <cellStyle name="Note 5 5" xfId="17980" xr:uid="{B2B72B66-072E-42C5-B1E1-F60C79E2A1B1}"/>
    <cellStyle name="Note 5 6" xfId="23453" xr:uid="{95D0E887-729D-4112-981D-9EF84514E1BE}"/>
    <cellStyle name="Note 6" xfId="8371" xr:uid="{3921D104-9F5C-4C32-92C7-F100BA395CE6}"/>
    <cellStyle name="Note 6 2" xfId="8372" xr:uid="{DCDF4BD0-6569-453C-8F1E-2D2A4131DB59}"/>
    <cellStyle name="Note 6 2 2" xfId="12405" xr:uid="{9C616700-633D-4692-B00F-C05004359E83}"/>
    <cellStyle name="Note 6 2 2 2" xfId="21452" xr:uid="{A9D527C6-D39D-40AF-9676-ED43E88644F3}"/>
    <cellStyle name="Note 6 2 2 3" xfId="23652" xr:uid="{A9136427-2526-45D5-9212-F7596154E0C3}"/>
    <cellStyle name="Note 6 2 3" xfId="14521" xr:uid="{BD644B28-98C5-40A7-B1E7-A9F06BD33247}"/>
    <cellStyle name="Note 6 2 4" xfId="17983" xr:uid="{CC8ABABC-E890-4BB3-8728-F28B15822CA8}"/>
    <cellStyle name="Note 6 2 5" xfId="23456" xr:uid="{58D4509C-F2B6-4820-AA7E-8C704C1E3D9D}"/>
    <cellStyle name="Note 6 3" xfId="12404" xr:uid="{B505AE6E-4D30-4401-9C45-3CA0D47649E2}"/>
    <cellStyle name="Note 6 3 2" xfId="21451" xr:uid="{792F3BFA-8F95-46E5-B067-14A131B0CD30}"/>
    <cellStyle name="Note 6 3 3" xfId="23651" xr:uid="{7B1F5E33-CA27-4D32-B088-22D746E6B55D}"/>
    <cellStyle name="Note 6 4" xfId="14520" xr:uid="{0A0ADCD0-D0B5-4BC0-93E4-3F8DB3C120A4}"/>
    <cellStyle name="Note 6 5" xfId="17982" xr:uid="{94CF895A-854B-4E62-98E6-DEB18877F4E4}"/>
    <cellStyle name="Note 6 6" xfId="23455" xr:uid="{5E113A15-6204-42F0-9F70-64C04EB040B8}"/>
    <cellStyle name="Note 7" xfId="8373" xr:uid="{D4C07CF0-A05E-4861-87F1-2D71E1A5B7BE}"/>
    <cellStyle name="Note 7 2" xfId="8374" xr:uid="{94EF40BC-83AA-4B58-BEC5-A01BD9B2F189}"/>
    <cellStyle name="Note 7 2 2" xfId="12407" xr:uid="{CB9D4BC1-C2FE-4C91-87CB-2BE2E8CE7D81}"/>
    <cellStyle name="Note 7 2 2 2" xfId="21454" xr:uid="{AD83E810-CFF2-4C44-93D5-36E252B1767A}"/>
    <cellStyle name="Note 7 2 2 3" xfId="23654" xr:uid="{53CFB625-AEAC-41B3-AC1E-3FC2C2600805}"/>
    <cellStyle name="Note 7 2 3" xfId="14523" xr:uid="{EA19740C-97E4-417B-8F1A-AAA107F9FDC8}"/>
    <cellStyle name="Note 7 2 4" xfId="17985" xr:uid="{45090E68-E1CA-4EE4-91CD-65AB348B431A}"/>
    <cellStyle name="Note 7 2 5" xfId="23458" xr:uid="{A65035E6-BFF2-4B37-93D4-30B94DF94A1F}"/>
    <cellStyle name="Note 7 3" xfId="12406" xr:uid="{AC88F678-472D-4D70-B87A-C267E0EEFC3A}"/>
    <cellStyle name="Note 7 3 2" xfId="21453" xr:uid="{4CD05CEB-A09D-4046-9818-A1FAADA77A16}"/>
    <cellStyle name="Note 7 3 3" xfId="23653" xr:uid="{31CD283A-E800-45E3-9EDA-C5AC8E35947C}"/>
    <cellStyle name="Note 7 4" xfId="14522" xr:uid="{122F5E07-7EAE-48CC-B743-89B7B3CAA103}"/>
    <cellStyle name="Note 7 5" xfId="17984" xr:uid="{5AA5A6D9-181A-4DD3-9814-EC0AEE42DA05}"/>
    <cellStyle name="Note 7 6" xfId="23457" xr:uid="{111600EB-2E9F-4C7C-9E59-339F97AFC449}"/>
    <cellStyle name="Note 8" xfId="8375" xr:uid="{39B37174-864B-41AA-888E-F96B8E67B8AB}"/>
    <cellStyle name="Note 8 2" xfId="8376" xr:uid="{88E3D5E9-330C-4729-BE41-A2D5C370024A}"/>
    <cellStyle name="Note 8 2 2" xfId="12409" xr:uid="{0C03186E-849B-4A41-9576-308431881C05}"/>
    <cellStyle name="Note 8 2 2 2" xfId="21456" xr:uid="{4409C2B7-6D38-4E13-A71A-23C85AAC056A}"/>
    <cellStyle name="Note 8 2 2 3" xfId="23656" xr:uid="{AAA239FF-6F85-4B6D-AEF8-A5AD2A91DCF2}"/>
    <cellStyle name="Note 8 2 3" xfId="14525" xr:uid="{54BAD8A1-0BE2-48F9-A842-B89936560264}"/>
    <cellStyle name="Note 8 2 4" xfId="17987" xr:uid="{9432F17D-971F-4F7D-BB28-5A3EB97E63B7}"/>
    <cellStyle name="Note 8 2 5" xfId="23460" xr:uid="{DC49C7B5-0E96-4735-BF80-B0335EA6087E}"/>
    <cellStyle name="Note 8 3" xfId="12408" xr:uid="{012D3A22-09AE-4244-9FC8-C21995395B93}"/>
    <cellStyle name="Note 8 3 2" xfId="21455" xr:uid="{E8850E48-A9F7-4934-AAAE-24328CC7EBD8}"/>
    <cellStyle name="Note 8 3 3" xfId="23655" xr:uid="{DE8B07A1-7634-4E2D-9876-BDF212925CEC}"/>
    <cellStyle name="Note 8 4" xfId="14524" xr:uid="{42E9EB98-C2C7-4269-B9F4-9D56E03D3F1D}"/>
    <cellStyle name="Note 8 5" xfId="17986" xr:uid="{3826BAF2-791E-4DB8-95C8-6D510120C0BA}"/>
    <cellStyle name="Note 8 6" xfId="23459" xr:uid="{9B89E47F-F50C-452A-9779-68CD87B431DF}"/>
    <cellStyle name="Note 9" xfId="8377" xr:uid="{13D4623F-F57C-4E77-82F4-23893DEEDE5F}"/>
    <cellStyle name="Note 9 2" xfId="8378" xr:uid="{663478E1-85C2-4DD9-85CE-00961074CDDB}"/>
    <cellStyle name="Note 9 2 2" xfId="12411" xr:uid="{57302154-E6B2-4CF3-921D-41A6BB2E4BFA}"/>
    <cellStyle name="Note 9 2 2 2" xfId="21458" xr:uid="{CF461A34-34B1-4A5C-830B-88225128C28E}"/>
    <cellStyle name="Note 9 2 2 3" xfId="23658" xr:uid="{2766D972-7BE5-49BC-AE0F-7097CD1A2356}"/>
    <cellStyle name="Note 9 2 3" xfId="14527" xr:uid="{1E377F70-416C-427C-90AD-4CFECA7A81CA}"/>
    <cellStyle name="Note 9 2 4" xfId="17989" xr:uid="{1F9200AB-91E8-4295-9E6C-A89206DA7903}"/>
    <cellStyle name="Note 9 2 5" xfId="23462" xr:uid="{56A16B99-8736-4386-8DB2-698618225D41}"/>
    <cellStyle name="Note 9 3" xfId="12410" xr:uid="{B2FC637E-8640-40AD-9928-C71C30337F05}"/>
    <cellStyle name="Note 9 3 2" xfId="21457" xr:uid="{2AC9D0F3-1A97-40C1-9727-55112520217A}"/>
    <cellStyle name="Note 9 3 3" xfId="23657" xr:uid="{83D622EC-F4B4-44E2-BB26-D499AEB7D4E8}"/>
    <cellStyle name="Note 9 4" xfId="14526" xr:uid="{04F1F6FC-AF1F-43C5-9171-52D15A4512B8}"/>
    <cellStyle name="Note 9 5" xfId="17988" xr:uid="{C8BC110F-5196-4E8A-8A1C-AEAE53629676}"/>
    <cellStyle name="Note 9 6" xfId="23461" xr:uid="{91C3A69C-3C27-4593-A75F-D423DFF10DBB}"/>
    <cellStyle name="Notes" xfId="2404" xr:uid="{8C36B687-9A72-4DB7-A36D-B2EA9CF240F9}"/>
    <cellStyle name="NoUse" xfId="1997" xr:uid="{8522E4EF-D581-402C-8EFC-FBE0CB266109}"/>
    <cellStyle name="Num_Date" xfId="8379" xr:uid="{44BC06EA-3407-4463-B4DE-D3BC64CC2ED6}"/>
    <cellStyle name="Number" xfId="1998" xr:uid="{BFCF2358-9E14-460B-917E-24F610909738}"/>
    <cellStyle name="Number." xfId="1999" xr:uid="{C7BC8B2F-8BF9-4184-B571-E7E6F400C612}"/>
    <cellStyle name="Number_6. Ass-Fin" xfId="2000" xr:uid="{30BCD62C-172C-40EF-B1BA-905EE65756CF}"/>
    <cellStyle name="Numbers 0" xfId="2405" xr:uid="{042D7830-514F-4B2C-ABB7-B9FAFE3B6A72}"/>
    <cellStyle name="Œ…‹æØ‚è [0.00]_results" xfId="2001" xr:uid="{BEA6EE25-AEF6-4812-9509-2D7741D7FEFC}"/>
    <cellStyle name="Œ…‹æØ‚è_results" xfId="2002" xr:uid="{D3AAD624-BAFB-4C69-9AE7-829643171408}"/>
    <cellStyle name="OLELink" xfId="2003" xr:uid="{D48E32DB-0C25-4106-8F11-ED0D42B6AE70}"/>
    <cellStyle name="Output 10" xfId="8380" xr:uid="{C8EF3FDF-9400-4225-9EAA-7C079086D3DA}"/>
    <cellStyle name="Output 10 2" xfId="9034" xr:uid="{E10120B3-594A-45ED-8ED4-30696BC7E384}"/>
    <cellStyle name="Output 10 2 2" xfId="18080" xr:uid="{55981C9A-E920-4D7F-BFA3-384D843B60B7}"/>
    <cellStyle name="Output 10 2 3" xfId="23659" xr:uid="{4141D4CA-0E76-4D70-92DC-16E2CD49A316}"/>
    <cellStyle name="Output 10 3" xfId="12412" xr:uid="{92EF579C-221F-4EEE-8D0A-BCB253914611}"/>
    <cellStyle name="Output 10 3 2" xfId="21459" xr:uid="{B7CDA4A6-0A13-4DF7-B9C5-B6EBCECF0EB7}"/>
    <cellStyle name="Output 10 4" xfId="14528" xr:uid="{F58052BA-1E55-435A-86E2-8C24C3D7E5EE}"/>
    <cellStyle name="Output 10 5" xfId="17990" xr:uid="{017FD138-B2F1-465E-8FAB-5433709E8D63}"/>
    <cellStyle name="Output 10 6" xfId="23463" xr:uid="{B027C6CB-5E27-4957-8946-E5F87CF5A10E}"/>
    <cellStyle name="Output 11" xfId="8381" xr:uid="{75B20034-846E-46ED-B0B7-558745900C6B}"/>
    <cellStyle name="Output 11 2" xfId="9033" xr:uid="{AAE2C355-BDA1-408B-B524-75567261FF2A}"/>
    <cellStyle name="Output 11 2 2" xfId="18079" xr:uid="{1EA9523E-FD90-4FCD-87EE-32BB217C0C5A}"/>
    <cellStyle name="Output 11 2 3" xfId="23660" xr:uid="{95B92011-F58C-44F6-8DFC-4C8251E6DB88}"/>
    <cellStyle name="Output 11 3" xfId="12413" xr:uid="{6D1D730A-26A3-4BB6-A3ED-8DFE9AA65C46}"/>
    <cellStyle name="Output 11 3 2" xfId="21460" xr:uid="{D38491D3-3354-4F19-9A34-D79E80C49B7F}"/>
    <cellStyle name="Output 11 4" xfId="14529" xr:uid="{44972002-03F7-4AF1-98E0-F5FDCFB98C98}"/>
    <cellStyle name="Output 11 5" xfId="17991" xr:uid="{35A19B49-6D5F-40D3-B278-97A4F9CE482F}"/>
    <cellStyle name="Output 11 6" xfId="23464" xr:uid="{E37335E0-C32E-4829-9760-AEA8640C35BB}"/>
    <cellStyle name="Output 12" xfId="8382" xr:uid="{7D620BFD-0C4A-4932-8354-82873DD2B8B2}"/>
    <cellStyle name="Output 12 2" xfId="9032" xr:uid="{AC0C3E3C-4F69-4F65-819B-1C0BCB20CC4B}"/>
    <cellStyle name="Output 12 2 2" xfId="18078" xr:uid="{697EA1DE-491C-4E22-95ED-3D89E6D4FA65}"/>
    <cellStyle name="Output 12 2 3" xfId="23661" xr:uid="{5E9DA6CC-5B34-49FE-A7A8-35A7E09B95B8}"/>
    <cellStyle name="Output 12 3" xfId="12414" xr:uid="{7060D626-64C8-450D-ABAE-0B8579876673}"/>
    <cellStyle name="Output 12 3 2" xfId="21461" xr:uid="{D29345C2-97B7-4C0F-8737-783554A26F1A}"/>
    <cellStyle name="Output 12 4" xfId="14530" xr:uid="{F127684A-A3AE-4B76-AA8E-AB41F43E8961}"/>
    <cellStyle name="Output 12 5" xfId="17992" xr:uid="{6AD533A3-EB3D-49C8-8F86-FC063473EC5D}"/>
    <cellStyle name="Output 12 6" xfId="23465" xr:uid="{4F173B39-7757-411D-B4F7-3BD3387C64A4}"/>
    <cellStyle name="Output 2" xfId="215" xr:uid="{19993A43-6DD5-4B7D-9469-E6BF28EB34BC}"/>
    <cellStyle name="Output 2 10" xfId="2406" xr:uid="{65E5DD3B-8734-4082-AB18-29233C970970}"/>
    <cellStyle name="Output 2 10 10" xfId="13186" xr:uid="{19BC0281-5A2B-4CD3-AC9D-22DA01DE92AB}"/>
    <cellStyle name="Output 2 10 11" xfId="13820" xr:uid="{EB25ACF2-21B6-480D-849D-05FA0F50C16A}"/>
    <cellStyle name="Output 2 10 12" xfId="14795" xr:uid="{C9244BE3-8B3C-4392-B427-9F66E8CC8122}"/>
    <cellStyle name="Output 2 10 13" xfId="21665" xr:uid="{11F7F8BD-EF1F-4581-A9BE-CEEEDDA7CBEC}"/>
    <cellStyle name="Output 2 10 2" xfId="2645" xr:uid="{C9ADF145-E769-4689-967C-09DD5D537E49}"/>
    <cellStyle name="Output 2 10 2 10" xfId="15222" xr:uid="{774FD59F-DC89-4F60-BD6C-86CC92495BBE}"/>
    <cellStyle name="Output 2 10 2 11" xfId="22091" xr:uid="{7ECE14B0-16C5-4DE6-AA2A-A0297E8D82B7}"/>
    <cellStyle name="Output 2 10 2 12" xfId="3431" xr:uid="{0ABA9F13-5134-44FC-913B-6D9BEABE136C}"/>
    <cellStyle name="Output 2 10 2 2" xfId="4665" xr:uid="{DC785CAC-61C1-4E64-AA46-DCBACE0D9B1C}"/>
    <cellStyle name="Output 2 10 2 2 2" xfId="10522" xr:uid="{5A1F39B5-B1D8-4BCC-8DB9-A6EBD82300E9}"/>
    <cellStyle name="Output 2 10 2 2 2 2" xfId="19568" xr:uid="{F87C9ACF-ABE8-4772-8471-0DF3AF346E70}"/>
    <cellStyle name="Output 2 10 2 2 3" xfId="16082" xr:uid="{BD93CFEC-3D59-4A14-A441-A798F6107889}"/>
    <cellStyle name="Output 2 10 2 2 4" xfId="22747" xr:uid="{B4963436-547A-4307-9C26-3696CA59802A}"/>
    <cellStyle name="Output 2 10 2 3" xfId="5166" xr:uid="{754EBC7C-78DE-435E-B0CC-32890C74EF81}"/>
    <cellStyle name="Output 2 10 2 3 2" xfId="11019" xr:uid="{8E1F611B-1C97-46F2-AFB4-332C7B255D13}"/>
    <cellStyle name="Output 2 10 2 3 2 2" xfId="20065" xr:uid="{1896C1F6-A5EC-46A6-92D2-DC004A85DFB6}"/>
    <cellStyle name="Output 2 10 2 3 3" xfId="16579" xr:uid="{4D5CE16C-E8F4-49EC-8C5E-46E73016560B}"/>
    <cellStyle name="Output 2 10 2 3 4" xfId="23242" xr:uid="{261E3C89-D5B1-4243-88B9-4BDB3E213DFA}"/>
    <cellStyle name="Output 2 10 2 4" xfId="5781" xr:uid="{71375BA1-3B16-4A95-BBC2-1878B44524F0}"/>
    <cellStyle name="Output 2 10 2 4 2" xfId="11634" xr:uid="{937FEB07-845C-4412-8912-834D2F9C66B8}"/>
    <cellStyle name="Output 2 10 2 4 2 2" xfId="20680" xr:uid="{F5BC40CF-8D7C-4F22-817A-F0A9B80531A4}"/>
    <cellStyle name="Output 2 10 2 4 3" xfId="17194" xr:uid="{41BE0D80-C14F-45BA-B65B-88B4D302A1F2}"/>
    <cellStyle name="Output 2 10 2 5" xfId="6392" xr:uid="{FE313F06-4C5C-41B9-BE9B-40300369112C}"/>
    <cellStyle name="Output 2 10 2 5 2" xfId="12239" xr:uid="{705B751E-7639-45B4-B661-23C7B58E86F5}"/>
    <cellStyle name="Output 2 10 2 5 2 2" xfId="21285" xr:uid="{A83A1341-4D40-46E8-937A-1B00A28BF58A}"/>
    <cellStyle name="Output 2 10 2 5 3" xfId="17805" xr:uid="{0D7F4D68-9BC8-425F-82EB-CB99146BC441}"/>
    <cellStyle name="Output 2 10 2 6" xfId="9653" xr:uid="{A88CF724-1FF9-4CFB-BC27-1460994360CB}"/>
    <cellStyle name="Output 2 10 2 6 2" xfId="18699" xr:uid="{C0695C0A-2106-4E64-97B7-947F59E9CDA1}"/>
    <cellStyle name="Output 2 10 2 7" xfId="13051" xr:uid="{B0C451B3-2A74-4829-9219-1A84DDBC471A}"/>
    <cellStyle name="Output 2 10 2 8" xfId="13608" xr:uid="{693CBEF2-6223-4EDE-8A22-96ECD84F1735}"/>
    <cellStyle name="Output 2 10 2 9" xfId="14247" xr:uid="{E41430D0-46A4-47EE-BBD3-2A38978AE797}"/>
    <cellStyle name="Output 2 10 3" xfId="3230" xr:uid="{1A0DBDA9-F72D-45E8-B0A9-940F0825BB23}"/>
    <cellStyle name="Output 2 10 3 10" xfId="15010" xr:uid="{25F24501-58E1-4C9A-8B89-AC678D077E19}"/>
    <cellStyle name="Output 2 10 3 11" xfId="21880" xr:uid="{462EE7EE-D02A-46BE-B477-83CEED9C8C82}"/>
    <cellStyle name="Output 2 10 3 2" xfId="4453" xr:uid="{6CBB523A-E765-44EE-92CB-BE1AD1D230FE}"/>
    <cellStyle name="Output 2 10 3 2 2" xfId="10310" xr:uid="{E9282790-4955-47E5-8BDB-61EACF967E3C}"/>
    <cellStyle name="Output 2 10 3 2 2 2" xfId="19356" xr:uid="{85D9B370-2252-494D-946C-D43B34AEEA09}"/>
    <cellStyle name="Output 2 10 3 2 3" xfId="15870" xr:uid="{642A119F-F284-4C36-BF16-536E147E4E2E}"/>
    <cellStyle name="Output 2 10 3 2 4" xfId="22536" xr:uid="{1DB0DC3E-B6A5-43A6-9C09-121726F79FFE}"/>
    <cellStyle name="Output 2 10 3 3" xfId="4954" xr:uid="{6BF0B1FA-E6E4-4C0F-BC48-14A78E897C5C}"/>
    <cellStyle name="Output 2 10 3 3 2" xfId="10807" xr:uid="{6EACD8A4-7F77-45B8-A9E7-49054BD12F82}"/>
    <cellStyle name="Output 2 10 3 3 2 2" xfId="19853" xr:uid="{2FE19F43-DD6C-487D-9F57-5B3E559D58F6}"/>
    <cellStyle name="Output 2 10 3 3 3" xfId="16367" xr:uid="{DEA7BDF7-50E2-41BE-85D4-4C1A2CF01941}"/>
    <cellStyle name="Output 2 10 3 3 4" xfId="23031" xr:uid="{2A847DD2-5F2C-4F20-977F-156BE9996585}"/>
    <cellStyle name="Output 2 10 3 4" xfId="5569" xr:uid="{86CAE38F-8535-4164-B8A5-D4F6EB65C4EB}"/>
    <cellStyle name="Output 2 10 3 4 2" xfId="11422" xr:uid="{56648BBB-E98D-437A-829D-903CDF419A9D}"/>
    <cellStyle name="Output 2 10 3 4 2 2" xfId="20468" xr:uid="{45BBAD74-BCAD-4550-9578-6DA85ADAA38A}"/>
    <cellStyle name="Output 2 10 3 4 3" xfId="16982" xr:uid="{375A5DDF-E2EF-445F-8D59-F7ECB24C4A7C}"/>
    <cellStyle name="Output 2 10 3 5" xfId="6180" xr:uid="{B11B578A-51DC-4784-9AAA-8E9807220F81}"/>
    <cellStyle name="Output 2 10 3 5 2" xfId="12027" xr:uid="{513B3779-7387-48B6-AA79-9B437C2F6A23}"/>
    <cellStyle name="Output 2 10 3 5 2 2" xfId="21073" xr:uid="{D717A30A-5F64-45AD-89E7-9D963533D171}"/>
    <cellStyle name="Output 2 10 3 5 3" xfId="17593" xr:uid="{47E59625-96F7-4A7E-AD36-68B65D2E344F}"/>
    <cellStyle name="Output 2 10 3 6" xfId="9441" xr:uid="{8699F0AF-1529-49BF-9F20-8DE51D42D5DC}"/>
    <cellStyle name="Output 2 10 3 6 2" xfId="18487" xr:uid="{E3C3E577-49A3-48FF-B8F7-BAAB326F0DB5}"/>
    <cellStyle name="Output 2 10 3 7" xfId="12839" xr:uid="{99309571-014C-4AF1-B3F2-E46F560A896C}"/>
    <cellStyle name="Output 2 10 3 8" xfId="13397" xr:uid="{B8BC194B-1CE4-4050-98BF-CA853BE154B4}"/>
    <cellStyle name="Output 2 10 3 9" xfId="14035" xr:uid="{D751B934-C8BC-4E92-B573-4A1D738CBC71}"/>
    <cellStyle name="Output 2 10 4" xfId="3942" xr:uid="{032FBCBC-B08C-48D9-BA30-716FD9E7429E}"/>
    <cellStyle name="Output 2 10 4 2" xfId="9833" xr:uid="{C1022739-6387-4AC6-A462-00A792CACA9E}"/>
    <cellStyle name="Output 2 10 4 2 2" xfId="18879" xr:uid="{6823CE4C-F856-4830-8B52-68A038688606}"/>
    <cellStyle name="Output 2 10 4 3" xfId="15395" xr:uid="{4CBE0CB9-5756-40A7-9177-79594C3F602C}"/>
    <cellStyle name="Output 2 10 4 4" xfId="22198" xr:uid="{BB142E56-965A-49F6-B374-8495BDF9D78C}"/>
    <cellStyle name="Output 2 10 5" xfId="4078" xr:uid="{4CD15495-7B3F-4808-B370-32A1A1D2ED29}"/>
    <cellStyle name="Output 2 10 5 2" xfId="9935" xr:uid="{8DC1D736-0193-44B4-8F6B-4CAF212EEA10}"/>
    <cellStyle name="Output 2 10 5 2 2" xfId="18981" xr:uid="{AE9D8102-92F7-4E85-9228-DE221A3EA331}"/>
    <cellStyle name="Output 2 10 5 3" xfId="15495" xr:uid="{02AF1DD3-B131-4C5F-AFEC-520844CE9D5C}"/>
    <cellStyle name="Output 2 10 6" xfId="5354" xr:uid="{ECF8EF29-616F-437F-B534-FA6A0AAE6FDA}"/>
    <cellStyle name="Output 2 10 6 2" xfId="11207" xr:uid="{56FEACC4-1680-4025-8E07-FC27B72D6E3B}"/>
    <cellStyle name="Output 2 10 6 2 2" xfId="20253" xr:uid="{8F45F0C2-83D9-43BB-B9A8-55766ED831A3}"/>
    <cellStyle name="Output 2 10 6 3" xfId="16767" xr:uid="{150062AA-4072-4EA6-9258-A8ECD19852BD}"/>
    <cellStyle name="Output 2 10 7" xfId="5965" xr:uid="{DD00FBAC-FAD2-43D8-A884-7426D1A6FDE8}"/>
    <cellStyle name="Output 2 10 7 2" xfId="11816" xr:uid="{A9C74DC6-35A7-452F-8B13-32D6BCECC17E}"/>
    <cellStyle name="Output 2 10 7 2 2" xfId="20862" xr:uid="{3BE65847-0E73-4D5D-A9E2-AD596933361B}"/>
    <cellStyle name="Output 2 10 7 3" xfId="17378" xr:uid="{E0927C74-E842-47E3-A2F1-29A84F22C9C9}"/>
    <cellStyle name="Output 2 10 8" xfId="9226" xr:uid="{1981004D-1A7F-4976-90AC-799D02DA9429}"/>
    <cellStyle name="Output 2 10 8 2" xfId="18272" xr:uid="{416112DE-545C-4B9D-A63D-5082C6D9B812}"/>
    <cellStyle name="Output 2 10 9" xfId="12624" xr:uid="{B92CA3CC-7E26-45B1-847D-E880B6EC4F8D}"/>
    <cellStyle name="Output 2 11" xfId="2695" xr:uid="{18265440-9885-47C7-AE63-1ADAFD3D41A6}"/>
    <cellStyle name="Output 2 11 10" xfId="13821" xr:uid="{DF88E797-73C4-4D63-B5B1-BC1C5F4B5CE2}"/>
    <cellStyle name="Output 2 11 11" xfId="14796" xr:uid="{DC4A6B99-9AAC-497E-B39D-B7DDF5736D1A}"/>
    <cellStyle name="Output 2 11 12" xfId="21666" xr:uid="{3521C425-2183-4F72-B4F4-433383A2F134}"/>
    <cellStyle name="Output 2 11 13" xfId="3054" xr:uid="{C21D06B7-BB90-44FD-BC29-7DFC1AF6697F}"/>
    <cellStyle name="Output 2 11 2" xfId="3432" xr:uid="{C496470C-0C5C-4EEC-ACC8-BE66A6A903F3}"/>
    <cellStyle name="Output 2 11 2 10" xfId="15223" xr:uid="{CD94E43F-34EB-44C5-873E-6D3819691CC2}"/>
    <cellStyle name="Output 2 11 2 11" xfId="22092" xr:uid="{FCBFD2A8-C455-4026-BE82-2C2D20DAF237}"/>
    <cellStyle name="Output 2 11 2 2" xfId="4666" xr:uid="{296FDF74-BB0B-4D4D-8F3B-9DD14675D514}"/>
    <cellStyle name="Output 2 11 2 2 2" xfId="10523" xr:uid="{F19083FB-8B42-4212-9DA1-D4F75F86A785}"/>
    <cellStyle name="Output 2 11 2 2 2 2" xfId="19569" xr:uid="{527687E3-C692-47B5-A40A-C42867E18947}"/>
    <cellStyle name="Output 2 11 2 2 3" xfId="16083" xr:uid="{3C2892E1-775F-485F-A730-73AC8A6C09C3}"/>
    <cellStyle name="Output 2 11 2 2 4" xfId="22748" xr:uid="{1E1F55E7-6859-4804-9718-EF14FE83155E}"/>
    <cellStyle name="Output 2 11 2 3" xfId="5167" xr:uid="{6AF8C76D-CEE3-448F-824B-0D2AE61C54C3}"/>
    <cellStyle name="Output 2 11 2 3 2" xfId="11020" xr:uid="{F6D94F5F-AE2C-4E60-8C91-8F9E89D4D547}"/>
    <cellStyle name="Output 2 11 2 3 2 2" xfId="20066" xr:uid="{D891A1E9-A89F-43E9-8805-0084905EFA20}"/>
    <cellStyle name="Output 2 11 2 3 3" xfId="16580" xr:uid="{17DE0D94-132E-453E-A348-26A104ACDA2F}"/>
    <cellStyle name="Output 2 11 2 3 4" xfId="23243" xr:uid="{EF6DB977-8578-439C-AEA7-25C5D989B91C}"/>
    <cellStyle name="Output 2 11 2 4" xfId="5782" xr:uid="{1F1DA6F8-87E6-4E56-BC33-0AB8AE5B87EB}"/>
    <cellStyle name="Output 2 11 2 4 2" xfId="11635" xr:uid="{EF8AFCF8-9C2F-43AD-9755-2B07DC183962}"/>
    <cellStyle name="Output 2 11 2 4 2 2" xfId="20681" xr:uid="{4D9582E6-9941-4CC5-B75C-2967EA398BE6}"/>
    <cellStyle name="Output 2 11 2 4 3" xfId="17195" xr:uid="{654E29A8-1C4D-4F87-8A52-007F91B3A9E5}"/>
    <cellStyle name="Output 2 11 2 5" xfId="6393" xr:uid="{F989BF4B-C089-4EAD-93EE-9D36339281DA}"/>
    <cellStyle name="Output 2 11 2 5 2" xfId="12240" xr:uid="{03F01A9C-232A-4130-8407-0981849F03B1}"/>
    <cellStyle name="Output 2 11 2 5 2 2" xfId="21286" xr:uid="{D43FB6D1-ECE3-4F90-B218-4CAF8000BE17}"/>
    <cellStyle name="Output 2 11 2 5 3" xfId="17806" xr:uid="{CD6F827F-03A3-43F7-809A-7B820BF92A77}"/>
    <cellStyle name="Output 2 11 2 6" xfId="9654" xr:uid="{12236E5B-209E-452D-BC35-4F237BA46E87}"/>
    <cellStyle name="Output 2 11 2 6 2" xfId="18700" xr:uid="{A3F3721C-D451-41BF-B3EC-AE1381F10BAA}"/>
    <cellStyle name="Output 2 11 2 7" xfId="13052" xr:uid="{0BA8986A-2758-490E-BD45-BE7EEC806552}"/>
    <cellStyle name="Output 2 11 2 8" xfId="13609" xr:uid="{5391D093-5E7E-4ABF-89B7-F59B9D4866A6}"/>
    <cellStyle name="Output 2 11 2 9" xfId="14248" xr:uid="{A6FC926D-A075-4271-A047-6EC9BFA2A412}"/>
    <cellStyle name="Output 2 11 3" xfId="3231" xr:uid="{1479E165-4C97-47E0-A967-89BC7FB61BD5}"/>
    <cellStyle name="Output 2 11 3 10" xfId="15011" xr:uid="{42BC3641-9650-40C7-A61F-45CFFEAF64EA}"/>
    <cellStyle name="Output 2 11 3 11" xfId="21881" xr:uid="{23429383-F069-4665-AF7F-C2BAA3E9FD6B}"/>
    <cellStyle name="Output 2 11 3 2" xfId="4454" xr:uid="{A45F9E5F-3450-4D23-B5C5-E3473A344969}"/>
    <cellStyle name="Output 2 11 3 2 2" xfId="10311" xr:uid="{CFD43AFB-7506-4AB9-B6FD-005DCDDAE59B}"/>
    <cellStyle name="Output 2 11 3 2 2 2" xfId="19357" xr:uid="{125530ED-6E1A-4CED-AC47-5C00CEE4579E}"/>
    <cellStyle name="Output 2 11 3 2 3" xfId="15871" xr:uid="{5F6F5C05-90D2-453E-BF6C-05F622D26E3D}"/>
    <cellStyle name="Output 2 11 3 2 4" xfId="22537" xr:uid="{6EA96775-9E2A-4228-A0CF-186FFA2F4546}"/>
    <cellStyle name="Output 2 11 3 3" xfId="4955" xr:uid="{486EF987-B48C-4053-8AA3-5AA78ABE1218}"/>
    <cellStyle name="Output 2 11 3 3 2" xfId="10808" xr:uid="{A1789429-17BB-4D67-995B-979E4C0C1281}"/>
    <cellStyle name="Output 2 11 3 3 2 2" xfId="19854" xr:uid="{DC8E0D16-4111-4C94-B28E-A78068A25169}"/>
    <cellStyle name="Output 2 11 3 3 3" xfId="16368" xr:uid="{DB38D99C-00BD-4BF1-B7ED-87172BDEBFCC}"/>
    <cellStyle name="Output 2 11 3 3 4" xfId="23032" xr:uid="{723E00F2-90FC-4108-ABEB-A775FC4F91F7}"/>
    <cellStyle name="Output 2 11 3 4" xfId="5570" xr:uid="{09961DCE-77E3-4E14-B77C-6478B69E6F6E}"/>
    <cellStyle name="Output 2 11 3 4 2" xfId="11423" xr:uid="{3C03B891-DA7E-4202-918A-015C68E64E7A}"/>
    <cellStyle name="Output 2 11 3 4 2 2" xfId="20469" xr:uid="{06B8E673-A8C9-44A5-9B84-526B893226A2}"/>
    <cellStyle name="Output 2 11 3 4 3" xfId="16983" xr:uid="{000A08B3-A62B-43BE-8944-7CEBB0E6732C}"/>
    <cellStyle name="Output 2 11 3 5" xfId="6181" xr:uid="{2AA06F79-E8FE-4F83-B5B5-6A5349C99B63}"/>
    <cellStyle name="Output 2 11 3 5 2" xfId="12028" xr:uid="{C23807BC-C872-4906-A6B2-E482B7523747}"/>
    <cellStyle name="Output 2 11 3 5 2 2" xfId="21074" xr:uid="{FF63728E-ABDE-4C9E-99AF-799F2454BDA6}"/>
    <cellStyle name="Output 2 11 3 5 3" xfId="17594" xr:uid="{749432F4-52B6-4A99-8DE0-670CECCBDD38}"/>
    <cellStyle name="Output 2 11 3 6" xfId="9442" xr:uid="{9BE839FB-11D9-472C-A285-C660036C2D63}"/>
    <cellStyle name="Output 2 11 3 6 2" xfId="18488" xr:uid="{E75119FC-4315-436E-A2E9-C69F03A8CFF2}"/>
    <cellStyle name="Output 2 11 3 7" xfId="12840" xr:uid="{88A985A4-E3CE-41BB-88B0-CE2644A759FF}"/>
    <cellStyle name="Output 2 11 3 8" xfId="13398" xr:uid="{5722C511-FF9B-4A30-A738-9ADCD0D1319C}"/>
    <cellStyle name="Output 2 11 3 9" xfId="14036" xr:uid="{A09FB769-B834-43FA-887B-69E04353495A}"/>
    <cellStyle name="Output 2 11 4" xfId="4077" xr:uid="{9B8F77DE-6C74-4E6C-914E-BFA3AE331AC6}"/>
    <cellStyle name="Output 2 11 4 2" xfId="9934" xr:uid="{BAAD4BE4-2B0E-49A6-BDCB-AF43EDF459FA}"/>
    <cellStyle name="Output 2 11 4 2 2" xfId="18980" xr:uid="{1C0A637A-3A6B-44C9-81BE-78C837E3F56C}"/>
    <cellStyle name="Output 2 11 4 3" xfId="15494" xr:uid="{CCF4FDD5-DA9E-46AA-9D00-555580BD2298}"/>
    <cellStyle name="Output 2 11 4 4" xfId="22197" xr:uid="{AF11120C-62E8-4B68-84C0-4B4F169D10D3}"/>
    <cellStyle name="Output 2 11 5" xfId="5355" xr:uid="{A53D8DFE-691D-4A3C-A189-BC30AB14CF65}"/>
    <cellStyle name="Output 2 11 5 2" xfId="11208" xr:uid="{6C111A4E-2E78-4C3F-A34E-91143F5658FC}"/>
    <cellStyle name="Output 2 11 5 2 2" xfId="20254" xr:uid="{BA952AF9-EEBB-40E2-8EBC-03E7F6A2E865}"/>
    <cellStyle name="Output 2 11 5 3" xfId="16768" xr:uid="{CB5C2725-0C5B-4264-84C7-A5E2C6361161}"/>
    <cellStyle name="Output 2 11 6" xfId="5966" xr:uid="{EE1B502B-92CC-435E-92BB-C312F5621C63}"/>
    <cellStyle name="Output 2 11 6 2" xfId="11817" xr:uid="{333E3281-30E2-4A6F-B5FC-B31802B7EAF3}"/>
    <cellStyle name="Output 2 11 6 2 2" xfId="20863" xr:uid="{7A9643F6-6E2C-48E6-A2C7-CA4680E0A273}"/>
    <cellStyle name="Output 2 11 6 3" xfId="17379" xr:uid="{5272E2B6-ED06-4E10-8111-C2CF372AD7FE}"/>
    <cellStyle name="Output 2 11 7" xfId="9227" xr:uid="{D45DDE87-71CB-4343-8AAA-34083D133B18}"/>
    <cellStyle name="Output 2 11 7 2" xfId="18273" xr:uid="{CBDEA8DB-01E8-46B6-B9A6-1F491F7AFCC3}"/>
    <cellStyle name="Output 2 11 8" xfId="12625" xr:uid="{16CA5AD3-A813-438D-97E7-E1FD2896C9FC}"/>
    <cellStyle name="Output 2 11 9" xfId="13187" xr:uid="{3BF6C1AD-0C6C-496E-A71B-BAB77D212CAC}"/>
    <cellStyle name="Output 2 12" xfId="2790" xr:uid="{E34085C8-FEA1-4C38-BE40-4CA5DDA14517}"/>
    <cellStyle name="Output 2 12 10" xfId="15097" xr:uid="{5D9C0E09-2BE1-4A34-9735-B633293B713C}"/>
    <cellStyle name="Output 2 12 11" xfId="21967" xr:uid="{8E712809-F29C-4A6C-836A-392F248D5F3F}"/>
    <cellStyle name="Output 2 12 12" xfId="3317" xr:uid="{AA801B59-5338-4BAB-BE90-6A6039A0A74C}"/>
    <cellStyle name="Output 2 12 2" xfId="4540" xr:uid="{763FCED5-5BD5-459C-8908-566D5395619B}"/>
    <cellStyle name="Output 2 12 2 2" xfId="10397" xr:uid="{8993EEAE-3008-4FF2-B16E-D548EBC29F1C}"/>
    <cellStyle name="Output 2 12 2 2 2" xfId="19443" xr:uid="{FC518AA0-3A78-41A3-A513-ABDD2D2F49FB}"/>
    <cellStyle name="Output 2 12 2 3" xfId="15957" xr:uid="{4944CCBD-6738-4298-B13A-7C6F632C078A}"/>
    <cellStyle name="Output 2 12 2 4" xfId="22623" xr:uid="{F5E00BD4-D19D-448D-86A2-8A479A871F99}"/>
    <cellStyle name="Output 2 12 3" xfId="5041" xr:uid="{8FF41C2B-643A-4C20-A7D5-FA08A2631591}"/>
    <cellStyle name="Output 2 12 3 2" xfId="10894" xr:uid="{05D2F11C-098A-40A3-84B5-6E8D786627E0}"/>
    <cellStyle name="Output 2 12 3 2 2" xfId="19940" xr:uid="{2AE041ED-51FC-49A4-ABB0-4C10C46EBC0B}"/>
    <cellStyle name="Output 2 12 3 3" xfId="16454" xr:uid="{1BFABA23-5331-4AEA-AEE5-8FF95C619013}"/>
    <cellStyle name="Output 2 12 3 4" xfId="23118" xr:uid="{6F1D13A8-9ECB-43B1-BFA9-46279C2698D4}"/>
    <cellStyle name="Output 2 12 4" xfId="5656" xr:uid="{7CEAD60F-9A18-4030-9E7B-41C2C849D67E}"/>
    <cellStyle name="Output 2 12 4 2" xfId="11509" xr:uid="{DE95D39E-3AD6-48B7-91DB-9B5B0B65A6AE}"/>
    <cellStyle name="Output 2 12 4 2 2" xfId="20555" xr:uid="{8B243434-0212-470A-81E5-CF500F2038B4}"/>
    <cellStyle name="Output 2 12 4 3" xfId="17069" xr:uid="{384E926E-35F0-4EA1-B2E7-DBDA1CDAA577}"/>
    <cellStyle name="Output 2 12 5" xfId="6267" xr:uid="{178744D2-AE90-4BB2-9F37-9E576BC39B49}"/>
    <cellStyle name="Output 2 12 5 2" xfId="12114" xr:uid="{7929B563-9EEE-4BB2-8AF6-764C89129A4B}"/>
    <cellStyle name="Output 2 12 5 2 2" xfId="21160" xr:uid="{11F4456E-0316-4671-9B8B-5B09DC6394CB}"/>
    <cellStyle name="Output 2 12 5 3" xfId="17680" xr:uid="{7CF5F47F-64CF-4EB6-BE95-AD2F0B6A5091}"/>
    <cellStyle name="Output 2 12 6" xfId="9528" xr:uid="{ACFB402A-A7F4-4B5D-80DC-861F334400D6}"/>
    <cellStyle name="Output 2 12 6 2" xfId="18574" xr:uid="{8E971560-21A6-4B4E-BBC2-84FC7EB9DCB9}"/>
    <cellStyle name="Output 2 12 7" xfId="12926" xr:uid="{5A5A001D-604A-47D6-B316-FDB72BF98F6C}"/>
    <cellStyle name="Output 2 12 8" xfId="13484" xr:uid="{ABA6BAF2-847A-4675-9216-C869AD8A809F}"/>
    <cellStyle name="Output 2 12 9" xfId="14122" xr:uid="{8116923B-5B96-4F4F-9F81-C445A68F04F4}"/>
    <cellStyle name="Output 2 13" xfId="3105" xr:uid="{9B2ABE1D-26D0-44A5-900D-23D51A7A88E4}"/>
    <cellStyle name="Output 2 13 10" xfId="14886" xr:uid="{DBAD01AC-33EB-41C5-AF59-2A58F85BC8BF}"/>
    <cellStyle name="Output 2 13 11" xfId="21753" xr:uid="{6A4EA7CF-AE1C-4BFE-8DD6-6AFF2A55B4E3}"/>
    <cellStyle name="Output 2 13 2" xfId="4326" xr:uid="{C846D5CF-C0C4-445C-BED2-552FB9C31BE4}"/>
    <cellStyle name="Output 2 13 2 2" xfId="10183" xr:uid="{EC32DA3A-1287-48EA-964C-F140468AA472}"/>
    <cellStyle name="Output 2 13 2 2 2" xfId="19229" xr:uid="{CB89154D-C59B-4F4A-948F-A34E840E7FEF}"/>
    <cellStyle name="Output 2 13 2 3" xfId="15743" xr:uid="{129C5FD9-BBED-4062-A810-97E77CE66739}"/>
    <cellStyle name="Output 2 13 2 4" xfId="22409" xr:uid="{447EEC02-4319-4CED-B468-EB1C63E35DF4}"/>
    <cellStyle name="Output 2 13 3" xfId="4827" xr:uid="{8F565E98-DA8F-46E6-A8CA-378789B9E496}"/>
    <cellStyle name="Output 2 13 3 2" xfId="10683" xr:uid="{109A5A7E-1471-475E-AD93-54255B370669}"/>
    <cellStyle name="Output 2 13 3 2 2" xfId="19729" xr:uid="{286012EC-C681-4F1A-AC9A-994F097FD824}"/>
    <cellStyle name="Output 2 13 3 3" xfId="16243" xr:uid="{A5E65F11-04BF-4F29-9B41-9E5C00A7594C}"/>
    <cellStyle name="Output 2 13 3 4" xfId="22904" xr:uid="{0738E619-0A8B-46E3-8115-1D2535EF39B4}"/>
    <cellStyle name="Output 2 13 4" xfId="5442" xr:uid="{CE2500BD-6856-450C-8E06-BE0086BB4B8C}"/>
    <cellStyle name="Output 2 13 4 2" xfId="11295" xr:uid="{E41C5E23-72D2-44DA-8C91-74DB6902F2B3}"/>
    <cellStyle name="Output 2 13 4 2 2" xfId="20341" xr:uid="{4443F0ED-82E9-4B43-9D63-D3C0A22D9756}"/>
    <cellStyle name="Output 2 13 4 3" xfId="16855" xr:uid="{7D3D627A-4582-4FB2-99AF-D7877DAA1C07}"/>
    <cellStyle name="Output 2 13 5" xfId="6053" xr:uid="{36DAF42B-F436-4A28-9F4E-4A41AD36C87F}"/>
    <cellStyle name="Output 2 13 5 2" xfId="11903" xr:uid="{6BE91A28-F819-4517-9837-EF9441797904}"/>
    <cellStyle name="Output 2 13 5 2 2" xfId="20949" xr:uid="{770D9804-1511-411C-AE42-DC10FDA91120}"/>
    <cellStyle name="Output 2 13 5 3" xfId="17466" xr:uid="{5E04371B-ECCD-4892-B0A1-66C1673F892A}"/>
    <cellStyle name="Output 2 13 6" xfId="9317" xr:uid="{91C3531C-E2A2-43D1-9CBD-31F647BB1268}"/>
    <cellStyle name="Output 2 13 6 2" xfId="18363" xr:uid="{94FB5326-06BD-4DE3-9436-E2F1EFEF3FED}"/>
    <cellStyle name="Output 2 13 7" xfId="12712" xr:uid="{520FC218-4FA9-4B1A-BBCA-AEE53DE20404}"/>
    <cellStyle name="Output 2 13 8" xfId="13273" xr:uid="{41C3F7DF-62BD-4272-BAD5-30C681B3F06F}"/>
    <cellStyle name="Output 2 13 9" xfId="13908" xr:uid="{E162445A-53C7-4CC9-BC02-8D20791567A4}"/>
    <cellStyle name="Output 2 14" xfId="3675" xr:uid="{8918C111-9CE9-49B6-B6A5-60A45D37D274}"/>
    <cellStyle name="Output 2 14 2" xfId="9745" xr:uid="{B23D7D5D-1DCC-4CC2-A949-311CA208CB27}"/>
    <cellStyle name="Output 2 14 2 2" xfId="18791" xr:uid="{FBD32215-252E-45BF-AE7A-7E93D7576042}"/>
    <cellStyle name="Output 2 14 3" xfId="14531" xr:uid="{9D534F13-C666-4898-A9A9-4552C513B808}"/>
    <cellStyle name="Output 2 14 4" xfId="15311" xr:uid="{06800CF4-1843-4994-847B-F5EFA192403C}"/>
    <cellStyle name="Output 2 14 5" xfId="22289" xr:uid="{F2C79CB2-F29D-4055-9684-0F4B0AB56654}"/>
    <cellStyle name="Output 2 15" xfId="4183" xr:uid="{651F8173-44D0-41DE-9AA6-B63F966B1A2A}"/>
    <cellStyle name="Output 2 15 2" xfId="10040" xr:uid="{19BAE3DC-4C0E-4C0D-AE04-8A64EA514F17}"/>
    <cellStyle name="Output 2 15 2 2" xfId="19086" xr:uid="{F92040C2-AC53-4A1C-9A1E-704DE24847F6}"/>
    <cellStyle name="Output 2 15 3" xfId="15600" xr:uid="{0160D30D-3D02-4BF7-A336-90D521E0F2F6}"/>
    <cellStyle name="Output 2 15 4" xfId="22286" xr:uid="{6B743974-937B-4D10-9818-6A294D693A47}"/>
    <cellStyle name="Output 2 16" xfId="4181" xr:uid="{6DE3D3D3-2EE2-4CDE-8EF4-D2CE00ADB21A}"/>
    <cellStyle name="Output 2 16 2" xfId="10038" xr:uid="{4DF73900-EAEC-4641-B819-97D6B0D0F644}"/>
    <cellStyle name="Output 2 16 2 2" xfId="19084" xr:uid="{B69E1E63-3F31-4266-8D6D-552466FA3399}"/>
    <cellStyle name="Output 2 16 3" xfId="15598" xr:uid="{9BAAFBAF-2CAB-481B-8EEF-B5128D8CF3DF}"/>
    <cellStyle name="Output 2 16 4" xfId="23466" xr:uid="{DC420F42-1E79-4951-AABB-8324308EE172}"/>
    <cellStyle name="Output 2 17" xfId="8383" xr:uid="{85034560-AE35-450F-BFD4-0C63A9E01FA0}"/>
    <cellStyle name="Output 2 17 2" xfId="17993" xr:uid="{A2A7593B-9EDF-4144-9938-995D650AB1F3}"/>
    <cellStyle name="Output 2 17 3" xfId="23662" xr:uid="{BCBDD693-464D-4DFF-A1C0-C3340E76CE0F}"/>
    <cellStyle name="Output 2 18" xfId="9031" xr:uid="{0A42DE13-18E7-4473-A18D-D80D6156AA3C}"/>
    <cellStyle name="Output 2 18 2" xfId="18077" xr:uid="{063CF50E-E3DF-4A62-9CFD-8BAD1A4E7A57}"/>
    <cellStyle name="Output 2 19" xfId="12415" xr:uid="{2AEED519-F1CB-43B7-B661-44582C38BB49}"/>
    <cellStyle name="Output 2 19 2" xfId="21462" xr:uid="{5B8D493E-5209-4737-B2CF-04CC0E17D165}"/>
    <cellStyle name="Output 2 2" xfId="513" xr:uid="{A0B16F43-840C-468F-A4D0-CF5AE03EF04D}"/>
    <cellStyle name="Output 2 2 10" xfId="4160" xr:uid="{A95A05BA-FB67-4FA2-8E5E-486FFB520B40}"/>
    <cellStyle name="Output 2 2 10 2" xfId="10017" xr:uid="{338B3319-D23D-40B2-B9A1-2D0DA5A9E5D1}"/>
    <cellStyle name="Output 2 2 10 2 2" xfId="19063" xr:uid="{F6C1D810-53DA-48B7-B863-0EE27C5ABEA3}"/>
    <cellStyle name="Output 2 2 10 3" xfId="15577" xr:uid="{F18B49A0-973A-46F0-91B9-F2F3FF4AB7EA}"/>
    <cellStyle name="Output 2 2 11" xfId="4300" xr:uid="{FBBD104F-C768-415B-B022-D6576EE92CC7}"/>
    <cellStyle name="Output 2 2 11 2" xfId="10157" xr:uid="{06CDE189-BF62-4F77-8655-CF4A23E1A4DD}"/>
    <cellStyle name="Output 2 2 11 2 2" xfId="19203" xr:uid="{5C64F277-393F-4151-B9A4-C2DBC9FD27F9}"/>
    <cellStyle name="Output 2 2 11 3" xfId="15717" xr:uid="{20444604-9D2D-4225-8493-56FCC9CD7B86}"/>
    <cellStyle name="Output 2 2 12" xfId="4060" xr:uid="{2EBC90A5-BC2C-4F4F-A463-948585423354}"/>
    <cellStyle name="Output 2 2 12 2" xfId="9917" xr:uid="{4A9A87CE-54B9-4583-9818-66514FE01C49}"/>
    <cellStyle name="Output 2 2 12 2 2" xfId="18963" xr:uid="{A7DD9E1A-6DF1-453D-96D3-7C1158DEB82E}"/>
    <cellStyle name="Output 2 2 12 3" xfId="15477" xr:uid="{30724D94-3346-4F63-8B8E-6D15AB4931FB}"/>
    <cellStyle name="Output 2 2 13" xfId="9102" xr:uid="{3DD97403-5932-4F44-BF77-D153A814A2C2}"/>
    <cellStyle name="Output 2 2 13 2" xfId="18148" xr:uid="{7405522F-5415-4684-BDF2-AA7A4899270D}"/>
    <cellStyle name="Output 2 2 14" xfId="12502" xr:uid="{B18E9F38-B94E-4B1D-883D-08C2F1E01B74}"/>
    <cellStyle name="Output 2 2 15" xfId="13696" xr:uid="{F86ED9D1-6E7E-401C-A39A-C9EFD40961BD}"/>
    <cellStyle name="Output 2 2 16" xfId="14671" xr:uid="{59B8EECE-32EC-4DFA-B3A0-A8009A0F15B9}"/>
    <cellStyle name="Output 2 2 17" xfId="21546" xr:uid="{9CDD3D05-AA92-4AA8-BC14-8B8D30C95F17}"/>
    <cellStyle name="Output 2 2 18" xfId="23765" xr:uid="{8C09E6F4-CCA7-48F6-9784-BE07533118F7}"/>
    <cellStyle name="Output 2 2 2" xfId="2407" xr:uid="{A79BD31A-5A19-4ECD-818A-A19299BC61A6}"/>
    <cellStyle name="Output 2 2 2 10" xfId="5887" xr:uid="{18FA45BB-F8FE-46AA-BCBA-6D74ACA3F2AF}"/>
    <cellStyle name="Output 2 2 2 10 2" xfId="11740" xr:uid="{D20FF50A-7AE0-49C8-8A9E-1451984A8D7A}"/>
    <cellStyle name="Output 2 2 2 10 2 2" xfId="20786" xr:uid="{81A90F5A-2604-4BEF-9A0E-60B7A049DEC8}"/>
    <cellStyle name="Output 2 2 2 10 3" xfId="17300" xr:uid="{1CDDCDFA-C3CE-45F2-9A73-9D77C4D6C589}"/>
    <cellStyle name="Output 2 2 2 11" xfId="9150" xr:uid="{D74980E8-EF02-4D07-A3DB-01E2E54F0247}"/>
    <cellStyle name="Output 2 2 2 11 2" xfId="18196" xr:uid="{0B7222DE-47A1-4AC9-A880-D2C68A9D4A37}"/>
    <cellStyle name="Output 2 2 2 12" xfId="12548" xr:uid="{66E10A5E-B1D7-4197-A7FB-D7AB704E20AB}"/>
    <cellStyle name="Output 2 2 2 13" xfId="13742" xr:uid="{5F4A40E0-67F8-442B-A77B-E39FA720119E}"/>
    <cellStyle name="Output 2 2 2 14" xfId="14719" xr:uid="{9D40E3B4-14ED-40FF-B98D-01DF10BDF429}"/>
    <cellStyle name="Output 2 2 2 15" xfId="21589" xr:uid="{D6B7241A-1304-4FCF-B971-5EB2EFCA6EA6}"/>
    <cellStyle name="Output 2 2 2 16" xfId="23766" xr:uid="{A6AA9E85-1EE9-471A-913B-AAD76C344695}"/>
    <cellStyle name="Output 2 2 2 2" xfId="2408" xr:uid="{D7113665-E837-4B06-8E1A-716D3B5F0EF5}"/>
    <cellStyle name="Output 2 2 2 2 10" xfId="13188" xr:uid="{BFFFF35F-B082-42E2-92DA-4B5872A237B5}"/>
    <cellStyle name="Output 2 2 2 2 11" xfId="13822" xr:uid="{D35631C4-0D59-4C13-8D15-462132A010A1}"/>
    <cellStyle name="Output 2 2 2 2 12" xfId="14797" xr:uid="{B5FA1592-7C93-4CEE-BEE3-FE46F63291D0}"/>
    <cellStyle name="Output 2 2 2 2 13" xfId="21667" xr:uid="{B9F82E29-1C80-418A-8173-22162603B9F7}"/>
    <cellStyle name="Output 2 2 2 2 2" xfId="2940" xr:uid="{53982CA5-3F64-4848-BC96-82A00A3DBDEC}"/>
    <cellStyle name="Output 2 2 2 2 2 10" xfId="15224" xr:uid="{25B0A649-F8DD-4AC4-8402-499DBDD3BF65}"/>
    <cellStyle name="Output 2 2 2 2 2 11" xfId="22093" xr:uid="{F9160D7C-817A-41AF-9992-D2D1161AC05D}"/>
    <cellStyle name="Output 2 2 2 2 2 12" xfId="3433" xr:uid="{529B4AC2-0916-4EFF-928B-B5B694D12BDC}"/>
    <cellStyle name="Output 2 2 2 2 2 2" xfId="4667" xr:uid="{B3FB34FF-FB6C-4A5D-85D2-CF4C0372E1AA}"/>
    <cellStyle name="Output 2 2 2 2 2 2 2" xfId="10524" xr:uid="{00333052-5ADF-4408-8B8C-DF21CF555A17}"/>
    <cellStyle name="Output 2 2 2 2 2 2 2 2" xfId="19570" xr:uid="{F88359B2-2C6C-464E-B869-5E2392A2006B}"/>
    <cellStyle name="Output 2 2 2 2 2 2 3" xfId="16084" xr:uid="{4DEBAB5C-DD84-4395-8378-4597D12F48F0}"/>
    <cellStyle name="Output 2 2 2 2 2 2 4" xfId="22749" xr:uid="{EE294414-A047-425A-B155-B20540112CC6}"/>
    <cellStyle name="Output 2 2 2 2 2 3" xfId="5168" xr:uid="{B1C8EF2D-BB37-4BC5-9F94-3F8253C9368C}"/>
    <cellStyle name="Output 2 2 2 2 2 3 2" xfId="11021" xr:uid="{2CF0B0D0-2322-4702-A549-7EA69BF8B99E}"/>
    <cellStyle name="Output 2 2 2 2 2 3 2 2" xfId="20067" xr:uid="{16BA6702-F1F8-42CE-BFA1-475843E87183}"/>
    <cellStyle name="Output 2 2 2 2 2 3 3" xfId="16581" xr:uid="{F5CBEDC1-C4DA-4191-9799-AE599C7195E6}"/>
    <cellStyle name="Output 2 2 2 2 2 3 4" xfId="23244" xr:uid="{9F678812-378D-4B19-8497-C3B0E3FF895A}"/>
    <cellStyle name="Output 2 2 2 2 2 4" xfId="5783" xr:uid="{89EB3FA7-81FD-476E-914D-1259F982E39E}"/>
    <cellStyle name="Output 2 2 2 2 2 4 2" xfId="11636" xr:uid="{AAA59951-E6BA-4046-BD4C-E635AAAC4FBE}"/>
    <cellStyle name="Output 2 2 2 2 2 4 2 2" xfId="20682" xr:uid="{C2775646-5565-453A-9DD8-E96EBD3EC373}"/>
    <cellStyle name="Output 2 2 2 2 2 4 3" xfId="17196" xr:uid="{202F2CEB-6468-4E2C-B1BD-2F5DA5269EB9}"/>
    <cellStyle name="Output 2 2 2 2 2 5" xfId="6394" xr:uid="{9C6CD79C-9F0D-48E1-93DE-E8F4A1ECA164}"/>
    <cellStyle name="Output 2 2 2 2 2 5 2" xfId="12241" xr:uid="{35EC7C98-D7AE-46A2-B1AF-366ACABC5889}"/>
    <cellStyle name="Output 2 2 2 2 2 5 2 2" xfId="21287" xr:uid="{65888E85-C4AF-4930-8CB4-DF80D7DB9AAD}"/>
    <cellStyle name="Output 2 2 2 2 2 5 3" xfId="17807" xr:uid="{F46B3765-35EB-41E7-8298-4BD9635AE87F}"/>
    <cellStyle name="Output 2 2 2 2 2 6" xfId="9655" xr:uid="{F17A0915-8D6F-43FD-BEB7-6E055F7441EE}"/>
    <cellStyle name="Output 2 2 2 2 2 6 2" xfId="18701" xr:uid="{03334C5D-7D08-474A-9C1B-A874F395A321}"/>
    <cellStyle name="Output 2 2 2 2 2 7" xfId="13053" xr:uid="{0EEEF73F-4C85-463C-9764-0708AAFBBA67}"/>
    <cellStyle name="Output 2 2 2 2 2 8" xfId="13610" xr:uid="{0EA6CDF4-DF83-4853-B260-98214A651CD0}"/>
    <cellStyle name="Output 2 2 2 2 2 9" xfId="14249" xr:uid="{37B21164-8161-45D9-9D0D-75C138EEE42E}"/>
    <cellStyle name="Output 2 2 2 2 3" xfId="3232" xr:uid="{35E50327-B8F0-49F7-ABA0-5A7E94C1541C}"/>
    <cellStyle name="Output 2 2 2 2 3 10" xfId="15012" xr:uid="{E534548F-C9D0-41F2-99D6-96852606E86C}"/>
    <cellStyle name="Output 2 2 2 2 3 11" xfId="21882" xr:uid="{52C63886-C5A0-4E9D-AE3B-F3A0B9E22D06}"/>
    <cellStyle name="Output 2 2 2 2 3 2" xfId="4455" xr:uid="{D9A17075-D5DD-4264-B777-E278F173FC98}"/>
    <cellStyle name="Output 2 2 2 2 3 2 2" xfId="10312" xr:uid="{99D3CD86-B488-4C2C-B130-3D930D5D80DE}"/>
    <cellStyle name="Output 2 2 2 2 3 2 2 2" xfId="19358" xr:uid="{4430D0C8-9D99-478F-91DC-6F961BDA9F6F}"/>
    <cellStyle name="Output 2 2 2 2 3 2 3" xfId="15872" xr:uid="{F83F628B-EBF7-4885-B52B-03DA1A444E68}"/>
    <cellStyle name="Output 2 2 2 2 3 2 4" xfId="22538" xr:uid="{96886CAB-0741-4055-AC7F-9E043B9A4DD4}"/>
    <cellStyle name="Output 2 2 2 2 3 3" xfId="4956" xr:uid="{612C8D1C-8470-49E5-87F3-FEFF89C18930}"/>
    <cellStyle name="Output 2 2 2 2 3 3 2" xfId="10809" xr:uid="{90F57EA9-22E8-4006-9A41-51FF41E0D3B3}"/>
    <cellStyle name="Output 2 2 2 2 3 3 2 2" xfId="19855" xr:uid="{D3EE3A66-626E-47EE-94CD-1575772C16F1}"/>
    <cellStyle name="Output 2 2 2 2 3 3 3" xfId="16369" xr:uid="{9BAB7EE6-3313-491F-816B-F4DB49DB38CE}"/>
    <cellStyle name="Output 2 2 2 2 3 3 4" xfId="23033" xr:uid="{02C872A4-5A18-468C-AD74-8B9A40107F05}"/>
    <cellStyle name="Output 2 2 2 2 3 4" xfId="5571" xr:uid="{A98A81B7-9AE3-47CB-8C44-2CD99CB10C28}"/>
    <cellStyle name="Output 2 2 2 2 3 4 2" xfId="11424" xr:uid="{B0A326BC-2349-4543-931E-3DAF04C21727}"/>
    <cellStyle name="Output 2 2 2 2 3 4 2 2" xfId="20470" xr:uid="{E2508895-2055-48F6-BD8F-B8F64162004C}"/>
    <cellStyle name="Output 2 2 2 2 3 4 3" xfId="16984" xr:uid="{8E58C022-6422-4116-B701-0A38A3529EF1}"/>
    <cellStyle name="Output 2 2 2 2 3 5" xfId="6182" xr:uid="{2EEDDF57-606E-48D0-BF2E-E49A3691E7C5}"/>
    <cellStyle name="Output 2 2 2 2 3 5 2" xfId="12029" xr:uid="{2D18390A-CA4F-4418-8AA7-762E1A382721}"/>
    <cellStyle name="Output 2 2 2 2 3 5 2 2" xfId="21075" xr:uid="{FC6A1E41-2E9A-4CF4-8039-13BA56FAC61F}"/>
    <cellStyle name="Output 2 2 2 2 3 5 3" xfId="17595" xr:uid="{3EACBAA4-8DA0-4D17-A629-FDDA5AAA73E2}"/>
    <cellStyle name="Output 2 2 2 2 3 6" xfId="9443" xr:uid="{7FF56B8E-F9B3-4D24-ACFF-9DBE914A86D7}"/>
    <cellStyle name="Output 2 2 2 2 3 6 2" xfId="18489" xr:uid="{A2107D0A-0B91-44C9-9A6B-1E0DFCEB9B65}"/>
    <cellStyle name="Output 2 2 2 2 3 7" xfId="12841" xr:uid="{E97FD25A-8920-4B3B-B853-1819FC84003B}"/>
    <cellStyle name="Output 2 2 2 2 3 8" xfId="13399" xr:uid="{5AB10DF1-7B5B-4D27-B1F7-429421FA62B7}"/>
    <cellStyle name="Output 2 2 2 2 3 9" xfId="14037" xr:uid="{2E23C31E-9211-49AE-A15F-E8AB65A6A05E}"/>
    <cellStyle name="Output 2 2 2 2 4" xfId="4023" xr:uid="{94C23B7E-D3D0-4A2F-B804-2C93F5B0832E}"/>
    <cellStyle name="Output 2 2 2 2 4 2" xfId="9885" xr:uid="{96AC8E66-3A0B-461F-B840-2022CCEC8676}"/>
    <cellStyle name="Output 2 2 2 2 4 2 2" xfId="18931" xr:uid="{A3E5E8BC-E024-429B-BDCF-B62EF4E3A303}"/>
    <cellStyle name="Output 2 2 2 2 4 3" xfId="15447" xr:uid="{B64422DF-2E2A-41BC-AC45-A01011583A51}"/>
    <cellStyle name="Output 2 2 2 2 4 4" xfId="22196" xr:uid="{11412AEC-98E6-434F-BAC2-E8AAB688CA18}"/>
    <cellStyle name="Output 2 2 2 2 5" xfId="4076" xr:uid="{E4DD274E-9DA1-408C-BC15-1D797CF6A9CE}"/>
    <cellStyle name="Output 2 2 2 2 5 2" xfId="9933" xr:uid="{6F35C8EF-3581-439C-B6AA-30375DD95346}"/>
    <cellStyle name="Output 2 2 2 2 5 2 2" xfId="18979" xr:uid="{8FA1335E-65B5-4888-9082-2134674DA3B2}"/>
    <cellStyle name="Output 2 2 2 2 5 3" xfId="15493" xr:uid="{87D432F1-D330-4E72-830A-0ECC93F5119E}"/>
    <cellStyle name="Output 2 2 2 2 6" xfId="5356" xr:uid="{9FA98C46-12A1-47D4-963F-9DAC8D5CF31F}"/>
    <cellStyle name="Output 2 2 2 2 6 2" xfId="11209" xr:uid="{5082A145-0714-440F-9759-5A52A7709572}"/>
    <cellStyle name="Output 2 2 2 2 6 2 2" xfId="20255" xr:uid="{61B803CB-A2B9-45B4-9386-47D234232D15}"/>
    <cellStyle name="Output 2 2 2 2 6 3" xfId="16769" xr:uid="{2F06613A-8872-4C5F-B661-8D41ECA80CEC}"/>
    <cellStyle name="Output 2 2 2 2 7" xfId="5967" xr:uid="{0B8AC9A7-0542-4E0F-9875-F942CF114914}"/>
    <cellStyle name="Output 2 2 2 2 7 2" xfId="11818" xr:uid="{FAE16362-6680-414D-9D6B-87ADD45C18F5}"/>
    <cellStyle name="Output 2 2 2 2 7 2 2" xfId="20864" xr:uid="{559DBDB9-D4FC-418F-BD2B-3953CAD3F75E}"/>
    <cellStyle name="Output 2 2 2 2 7 3" xfId="17380" xr:uid="{1960FD0B-5232-4269-A4E1-28F8847C6A1A}"/>
    <cellStyle name="Output 2 2 2 2 8" xfId="9228" xr:uid="{01516C5C-673E-4E5A-B23D-5557B0CC8E58}"/>
    <cellStyle name="Output 2 2 2 2 8 2" xfId="18274" xr:uid="{6FBA6631-EBC4-494C-AAA2-9F4817805234}"/>
    <cellStyle name="Output 2 2 2 2 9" xfId="12626" xr:uid="{BD5E7FCD-2334-40FC-80F7-1296B47D89D3}"/>
    <cellStyle name="Output 2 2 2 3" xfId="2941" xr:uid="{AD5148F8-FE07-4B9D-8003-E4C2AD2BDCB1}"/>
    <cellStyle name="Output 2 2 2 3 10" xfId="13823" xr:uid="{3A52394A-3157-4758-98E8-320F64E72044}"/>
    <cellStyle name="Output 2 2 2 3 11" xfId="14798" xr:uid="{2396482B-AE15-4F3E-9E0F-AA59163431D5}"/>
    <cellStyle name="Output 2 2 2 3 12" xfId="21668" xr:uid="{A9D6E2F4-A52C-4417-8323-B96AE4D3E64D}"/>
    <cellStyle name="Output 2 2 2 3 13" xfId="3055" xr:uid="{101EB96A-A689-4AD5-AF28-333F605B1F6D}"/>
    <cellStyle name="Output 2 2 2 3 2" xfId="3434" xr:uid="{BD368503-40D2-4537-82EC-BB5427629EEB}"/>
    <cellStyle name="Output 2 2 2 3 2 10" xfId="15225" xr:uid="{9C9200A6-DC75-4804-8E79-D86A37DC2FC8}"/>
    <cellStyle name="Output 2 2 2 3 2 11" xfId="22094" xr:uid="{265C057D-942F-4E71-8D31-CCCC64A0F68F}"/>
    <cellStyle name="Output 2 2 2 3 2 2" xfId="4668" xr:uid="{6D3FD58A-ABB1-4606-8EF4-6F6F13D16AE3}"/>
    <cellStyle name="Output 2 2 2 3 2 2 2" xfId="10525" xr:uid="{DD5D8E25-E05D-44DF-9292-98F4018D33A9}"/>
    <cellStyle name="Output 2 2 2 3 2 2 2 2" xfId="19571" xr:uid="{17EA3104-1F65-4F1D-B6AE-97809E68A3D1}"/>
    <cellStyle name="Output 2 2 2 3 2 2 3" xfId="16085" xr:uid="{0626885F-AAD4-4664-9028-8A66C63ED480}"/>
    <cellStyle name="Output 2 2 2 3 2 2 4" xfId="22750" xr:uid="{22DA52D3-17EC-48DB-B175-6A7CBEFFAF92}"/>
    <cellStyle name="Output 2 2 2 3 2 3" xfId="5169" xr:uid="{4B47D61B-BA9E-47D3-88CB-518BB8AA774C}"/>
    <cellStyle name="Output 2 2 2 3 2 3 2" xfId="11022" xr:uid="{DDF1953B-53A2-4FEA-88A7-84BF9029B456}"/>
    <cellStyle name="Output 2 2 2 3 2 3 2 2" xfId="20068" xr:uid="{C4368495-8F8A-4E62-990B-58B29307C203}"/>
    <cellStyle name="Output 2 2 2 3 2 3 3" xfId="16582" xr:uid="{94905A1C-5210-4FB6-A3FB-05B786873A88}"/>
    <cellStyle name="Output 2 2 2 3 2 3 4" xfId="23245" xr:uid="{A99430E2-5E1A-4382-B983-D9FE29C10DC2}"/>
    <cellStyle name="Output 2 2 2 3 2 4" xfId="5784" xr:uid="{187D832A-AB9F-4EA3-8296-E5F81AF43540}"/>
    <cellStyle name="Output 2 2 2 3 2 4 2" xfId="11637" xr:uid="{BDECED6D-BC8D-47BF-8E81-A617C64F2963}"/>
    <cellStyle name="Output 2 2 2 3 2 4 2 2" xfId="20683" xr:uid="{2469FE71-9365-48F9-BE45-5B35D3013907}"/>
    <cellStyle name="Output 2 2 2 3 2 4 3" xfId="17197" xr:uid="{ECEE6244-078E-42AF-8915-E70F64CB7C51}"/>
    <cellStyle name="Output 2 2 2 3 2 5" xfId="6395" xr:uid="{1E59BD3F-4698-4388-B91A-F047A434520C}"/>
    <cellStyle name="Output 2 2 2 3 2 5 2" xfId="12242" xr:uid="{ACF27409-7EAB-43D5-ACC5-BD2D788B523A}"/>
    <cellStyle name="Output 2 2 2 3 2 5 2 2" xfId="21288" xr:uid="{993B035E-B811-4D88-A8E7-6D8396780FB3}"/>
    <cellStyle name="Output 2 2 2 3 2 5 3" xfId="17808" xr:uid="{31CEFF81-4C9D-4BAE-B1A0-4032F6D7CB55}"/>
    <cellStyle name="Output 2 2 2 3 2 6" xfId="9656" xr:uid="{C3C782F2-289A-408B-94F7-5796D51331DB}"/>
    <cellStyle name="Output 2 2 2 3 2 6 2" xfId="18702" xr:uid="{B42A1016-8184-4E0D-BBA0-7A71CF3F9234}"/>
    <cellStyle name="Output 2 2 2 3 2 7" xfId="13054" xr:uid="{AEFAE442-C64D-489C-9544-8FAB23ADE2F8}"/>
    <cellStyle name="Output 2 2 2 3 2 8" xfId="13611" xr:uid="{01AFCBAC-0A2E-45C0-8741-EE46A61C2061}"/>
    <cellStyle name="Output 2 2 2 3 2 9" xfId="14250" xr:uid="{8757675F-2D1D-443F-9038-4C1F03C8903C}"/>
    <cellStyle name="Output 2 2 2 3 3" xfId="3233" xr:uid="{D74D3B1F-EEE7-4D7B-A493-D0272979B283}"/>
    <cellStyle name="Output 2 2 2 3 3 10" xfId="15013" xr:uid="{8EC7094D-D9ED-4BE2-A39F-28CB536F6F49}"/>
    <cellStyle name="Output 2 2 2 3 3 11" xfId="21883" xr:uid="{C6FF6CBE-F6AF-4DD6-96B0-7F9756434F61}"/>
    <cellStyle name="Output 2 2 2 3 3 2" xfId="4456" xr:uid="{D08B5451-D4D3-407B-98CE-1EBEBEE07628}"/>
    <cellStyle name="Output 2 2 2 3 3 2 2" xfId="10313" xr:uid="{77BC9517-A169-4CF7-A9F6-55301D38FCC3}"/>
    <cellStyle name="Output 2 2 2 3 3 2 2 2" xfId="19359" xr:uid="{083280A5-3154-43C0-9039-2F2532440F6D}"/>
    <cellStyle name="Output 2 2 2 3 3 2 3" xfId="15873" xr:uid="{27DE5C70-A2BA-48B6-8104-8C642E6EEBE5}"/>
    <cellStyle name="Output 2 2 2 3 3 2 4" xfId="22539" xr:uid="{83D39139-39DF-4587-9184-4B5AD884029A}"/>
    <cellStyle name="Output 2 2 2 3 3 3" xfId="4957" xr:uid="{5D96E1CB-1F25-4DB3-809E-A0CAF2D3EA13}"/>
    <cellStyle name="Output 2 2 2 3 3 3 2" xfId="10810" xr:uid="{F94726A5-D909-4C3E-87D5-3E06ECC2C101}"/>
    <cellStyle name="Output 2 2 2 3 3 3 2 2" xfId="19856" xr:uid="{15A09050-653E-49AF-B1EB-28DD862C5621}"/>
    <cellStyle name="Output 2 2 2 3 3 3 3" xfId="16370" xr:uid="{1E677285-DD81-4DDD-B55A-388D17E5C0E9}"/>
    <cellStyle name="Output 2 2 2 3 3 3 4" xfId="23034" xr:uid="{DA550675-C403-4051-AF50-430F09387DC2}"/>
    <cellStyle name="Output 2 2 2 3 3 4" xfId="5572" xr:uid="{BDA6E800-1D0E-40FA-AC46-D838FE53E640}"/>
    <cellStyle name="Output 2 2 2 3 3 4 2" xfId="11425" xr:uid="{CD82E7B0-1670-4591-9AA5-10097C46D7D4}"/>
    <cellStyle name="Output 2 2 2 3 3 4 2 2" xfId="20471" xr:uid="{E0999C53-CA90-4E1C-8B9B-16D265011053}"/>
    <cellStyle name="Output 2 2 2 3 3 4 3" xfId="16985" xr:uid="{9499717C-C0F8-4A56-A208-DF6C0C3EE1C8}"/>
    <cellStyle name="Output 2 2 2 3 3 5" xfId="6183" xr:uid="{06927FE8-AA9A-42A7-96DA-ED981EF11487}"/>
    <cellStyle name="Output 2 2 2 3 3 5 2" xfId="12030" xr:uid="{C35BB0C5-F9FB-4F73-B7EB-624237D6B9B1}"/>
    <cellStyle name="Output 2 2 2 3 3 5 2 2" xfId="21076" xr:uid="{FCE13D79-D038-4559-B956-57E184489698}"/>
    <cellStyle name="Output 2 2 2 3 3 5 3" xfId="17596" xr:uid="{8E1AEB18-9606-42A1-B465-E654353068E2}"/>
    <cellStyle name="Output 2 2 2 3 3 6" xfId="9444" xr:uid="{FB8C401F-ECB7-4F0D-80D0-22498F751C54}"/>
    <cellStyle name="Output 2 2 2 3 3 6 2" xfId="18490" xr:uid="{7CF842C0-982F-411F-B11D-51FF98C37FF1}"/>
    <cellStyle name="Output 2 2 2 3 3 7" xfId="12842" xr:uid="{5F93D8C3-722A-4299-8E93-132E90A3DF1F}"/>
    <cellStyle name="Output 2 2 2 3 3 8" xfId="13400" xr:uid="{165AE36E-F7DB-48B2-9346-F91E0141D3B1}"/>
    <cellStyle name="Output 2 2 2 3 3 9" xfId="14038" xr:uid="{80D270A1-B07C-49F6-8DCB-15BB0658BBD2}"/>
    <cellStyle name="Output 2 2 2 3 4" xfId="4075" xr:uid="{7DB45161-90A8-4EC1-9ADA-4267BC7A7EDC}"/>
    <cellStyle name="Output 2 2 2 3 4 2" xfId="9932" xr:uid="{5D870579-60C9-4D24-883A-78B1E80D17F6}"/>
    <cellStyle name="Output 2 2 2 3 4 2 2" xfId="18978" xr:uid="{ADEA1152-DF63-4B9E-9584-F9463B9A430B}"/>
    <cellStyle name="Output 2 2 2 3 4 3" xfId="15492" xr:uid="{9938B363-3269-4044-9C9C-FF03583FE3C5}"/>
    <cellStyle name="Output 2 2 2 3 4 4" xfId="22195" xr:uid="{19E99AA7-68EE-4F3C-8846-0AC17D5D9E46}"/>
    <cellStyle name="Output 2 2 2 3 5" xfId="5357" xr:uid="{89DD8376-C4B1-4DB3-96A3-1B9E17B442DF}"/>
    <cellStyle name="Output 2 2 2 3 5 2" xfId="11210" xr:uid="{CEE0F625-D041-48E5-88E9-217CB73B2D5E}"/>
    <cellStyle name="Output 2 2 2 3 5 2 2" xfId="20256" xr:uid="{EE64D9A0-069D-4BBF-A94C-1D5A6283269B}"/>
    <cellStyle name="Output 2 2 2 3 5 3" xfId="16770" xr:uid="{90B9D9D4-D00E-4AAC-95EB-918357BB80D2}"/>
    <cellStyle name="Output 2 2 2 3 6" xfId="5968" xr:uid="{B1550184-3419-4D3D-A168-B573B6D93487}"/>
    <cellStyle name="Output 2 2 2 3 6 2" xfId="11819" xr:uid="{4ECAC633-9253-4272-8C7B-2F212B304200}"/>
    <cellStyle name="Output 2 2 2 3 6 2 2" xfId="20865" xr:uid="{A97783D4-2B6D-4763-AEC7-47FEAC67775C}"/>
    <cellStyle name="Output 2 2 2 3 6 3" xfId="17381" xr:uid="{4BEF30A9-298E-456F-896B-FEC0B7DBAD24}"/>
    <cellStyle name="Output 2 2 2 3 7" xfId="9229" xr:uid="{1D910255-5163-47C6-BE9A-5A2E41B40420}"/>
    <cellStyle name="Output 2 2 2 3 7 2" xfId="18275" xr:uid="{1A2C8BE8-93A3-4D04-B513-CB209A2171A8}"/>
    <cellStyle name="Output 2 2 2 3 8" xfId="12627" xr:uid="{949C1633-335B-48B0-8CE5-EE8B270A5B17}"/>
    <cellStyle name="Output 2 2 2 3 9" xfId="13189" xr:uid="{02B56F39-F606-4055-A72A-0BAD3724D5B5}"/>
    <cellStyle name="Output 2 2 2 4" xfId="3366" xr:uid="{FD0275A5-3222-4590-B2D9-3A77EB73B0D7}"/>
    <cellStyle name="Output 2 2 2 4 10" xfId="15146" xr:uid="{47490DBF-DA58-4686-AD5E-CF5EBBB54350}"/>
    <cellStyle name="Output 2 2 2 4 11" xfId="22015" xr:uid="{2C9C3B14-FA01-411B-A15A-1FE59FD96883}"/>
    <cellStyle name="Output 2 2 2 4 2" xfId="4589" xr:uid="{C07B44CC-DB43-46E6-8FC5-1BA9560960DC}"/>
    <cellStyle name="Output 2 2 2 4 2 2" xfId="10446" xr:uid="{90DA7F25-444D-4FE0-B709-14E8CC5E6849}"/>
    <cellStyle name="Output 2 2 2 4 2 2 2" xfId="19492" xr:uid="{4F24A530-403A-43A7-837A-21261202DFEE}"/>
    <cellStyle name="Output 2 2 2 4 2 3" xfId="16006" xr:uid="{91C9F573-A360-466C-A1C1-525A4FBCA3AA}"/>
    <cellStyle name="Output 2 2 2 4 2 4" xfId="22671" xr:uid="{D344603A-1D0F-4E80-8CFA-B8821F5B1A60}"/>
    <cellStyle name="Output 2 2 2 4 3" xfId="5090" xr:uid="{584F6B8E-9B2F-40FF-A9A8-83DBB4D834A4}"/>
    <cellStyle name="Output 2 2 2 4 3 2" xfId="10943" xr:uid="{5541AEBE-D8E4-4B0A-BAF2-F2F753904B4C}"/>
    <cellStyle name="Output 2 2 2 4 3 2 2" xfId="19989" xr:uid="{CC18B615-8636-4BDD-A307-621507F27A85}"/>
    <cellStyle name="Output 2 2 2 4 3 3" xfId="16503" xr:uid="{24EDC2F8-BC62-4BC3-AF7A-E8E8A8280C51}"/>
    <cellStyle name="Output 2 2 2 4 3 4" xfId="23166" xr:uid="{4FA7451A-46C2-4E9E-8966-51FF94F3B258}"/>
    <cellStyle name="Output 2 2 2 4 4" xfId="5705" xr:uid="{7E710BEE-42EC-4FEB-8EF4-52ED06C66A73}"/>
    <cellStyle name="Output 2 2 2 4 4 2" xfId="11558" xr:uid="{BE03669E-349A-4CF6-B071-E2DDC08C0D10}"/>
    <cellStyle name="Output 2 2 2 4 4 2 2" xfId="20604" xr:uid="{2AD23DC9-6B03-4208-859B-43C46CAD4A4D}"/>
    <cellStyle name="Output 2 2 2 4 4 3" xfId="17118" xr:uid="{76E801F1-6621-42EC-A289-A970C0F87163}"/>
    <cellStyle name="Output 2 2 2 4 5" xfId="6316" xr:uid="{CB34830B-DD58-4360-9A4C-86320ECFB9F2}"/>
    <cellStyle name="Output 2 2 2 4 5 2" xfId="12163" xr:uid="{CA06F929-E1EE-43DC-84AE-232FC736FD92}"/>
    <cellStyle name="Output 2 2 2 4 5 2 2" xfId="21209" xr:uid="{6F7946B8-9E22-4095-BE2D-4417247C6F84}"/>
    <cellStyle name="Output 2 2 2 4 5 3" xfId="17729" xr:uid="{166EDEC3-01AB-4764-87AF-6463336E896B}"/>
    <cellStyle name="Output 2 2 2 4 6" xfId="9577" xr:uid="{70534626-E131-4B74-86D7-7AC0CB099D74}"/>
    <cellStyle name="Output 2 2 2 4 6 2" xfId="18623" xr:uid="{05053152-6361-45A6-8559-612A8CC9CA5F}"/>
    <cellStyle name="Output 2 2 2 4 7" xfId="12975" xr:uid="{31FCF683-B1BB-45CA-98A3-9CBE67450874}"/>
    <cellStyle name="Output 2 2 2 4 8" xfId="13532" xr:uid="{7D8B067D-51B0-40AA-AE32-9F789A9C95A2}"/>
    <cellStyle name="Output 2 2 2 4 9" xfId="14171" xr:uid="{D1DD1B79-A9EB-4F36-9730-D7DDEEB866FC}"/>
    <cellStyle name="Output 2 2 2 5" xfId="3154" xr:uid="{69DA394B-0A97-48CD-9AE1-129186DDB4F5}"/>
    <cellStyle name="Output 2 2 2 5 10" xfId="14934" xr:uid="{23895720-53F1-4CBF-8361-EA2428C14056}"/>
    <cellStyle name="Output 2 2 2 5 11" xfId="21802" xr:uid="{CFD16075-6BFC-4BD4-A3AF-22CB9DEBCEBF}"/>
    <cellStyle name="Output 2 2 2 5 2" xfId="4375" xr:uid="{A5688B66-A3A8-4845-9FBB-6B522DC4647C}"/>
    <cellStyle name="Output 2 2 2 5 2 2" xfId="10232" xr:uid="{A13D6C7F-E6AE-4289-BEA3-773E30B2828A}"/>
    <cellStyle name="Output 2 2 2 5 2 2 2" xfId="19278" xr:uid="{6653DC79-F93D-4CC9-A90A-CB4B0968C42A}"/>
    <cellStyle name="Output 2 2 2 5 2 3" xfId="15792" xr:uid="{B4CCA7C6-2BB1-4E60-A8DF-610CBF5F0602}"/>
    <cellStyle name="Output 2 2 2 5 2 4" xfId="22458" xr:uid="{E58DC67D-D12F-4EC0-8A0A-0988D047CC58}"/>
    <cellStyle name="Output 2 2 2 5 3" xfId="4876" xr:uid="{52EF53AB-0959-45D9-9B5A-A8C9A675C9EE}"/>
    <cellStyle name="Output 2 2 2 5 3 2" xfId="10731" xr:uid="{FB25FE48-03D2-491F-9DF1-D692CC688F8B}"/>
    <cellStyle name="Output 2 2 2 5 3 2 2" xfId="19777" xr:uid="{3B47C8A3-DB47-476A-8293-8542C6764A91}"/>
    <cellStyle name="Output 2 2 2 5 3 3" xfId="16291" xr:uid="{047815E2-B40D-4E6C-8EAC-701BD6B57E0D}"/>
    <cellStyle name="Output 2 2 2 5 3 4" xfId="22953" xr:uid="{07AF035A-1ECC-482F-9755-BBE2ECAE85A0}"/>
    <cellStyle name="Output 2 2 2 5 4" xfId="5491" xr:uid="{B76327D0-E3DF-494E-9CFD-25C81071FD00}"/>
    <cellStyle name="Output 2 2 2 5 4 2" xfId="11344" xr:uid="{FE9924F1-C6FC-475F-A5F5-DCFD83E0DE2C}"/>
    <cellStyle name="Output 2 2 2 5 4 2 2" xfId="20390" xr:uid="{BDA6D87D-A909-47E4-9C80-D971BBF803C4}"/>
    <cellStyle name="Output 2 2 2 5 4 3" xfId="16904" xr:uid="{CAC333F2-2627-4305-8B2F-F8820C2AAAFB}"/>
    <cellStyle name="Output 2 2 2 5 5" xfId="6102" xr:uid="{7498AC6D-7634-4F24-BB1F-1205E3519320}"/>
    <cellStyle name="Output 2 2 2 5 5 2" xfId="11951" xr:uid="{A8DF2DB1-F0A6-47FB-988B-085B8AA83BBB}"/>
    <cellStyle name="Output 2 2 2 5 5 2 2" xfId="20997" xr:uid="{65D3D117-D97A-4540-976F-791E1F102EAE}"/>
    <cellStyle name="Output 2 2 2 5 5 3" xfId="17515" xr:uid="{E48D5AD9-8E13-4BC3-BF9B-819221D71674}"/>
    <cellStyle name="Output 2 2 2 5 6" xfId="9365" xr:uid="{04A518B6-4FE2-4A75-AE12-CA2F7D06C639}"/>
    <cellStyle name="Output 2 2 2 5 6 2" xfId="18411" xr:uid="{58431625-8B73-428A-8DD7-3FA85EA8EDDC}"/>
    <cellStyle name="Output 2 2 2 5 7" xfId="12761" xr:uid="{23F5A260-5486-479E-BD70-60124FB8E923}"/>
    <cellStyle name="Output 2 2 2 5 8" xfId="13321" xr:uid="{CF976A13-2908-408D-A4FF-D0B4EFEBE09C}"/>
    <cellStyle name="Output 2 2 2 5 9" xfId="13957" xr:uid="{E356ECAF-5392-4FDF-B6B6-1B968AD2EBD8}"/>
    <cellStyle name="Output 2 2 2 6" xfId="3755" xr:uid="{C2B426E0-4DF0-4D06-9C92-929A068CC063}"/>
    <cellStyle name="Output 2 2 2 6 2" xfId="9797" xr:uid="{81E27793-9C7A-4C21-B0F4-B5BEFD16A44B}"/>
    <cellStyle name="Output 2 2 2 6 2 2" xfId="18843" xr:uid="{E5DADE6C-C705-4698-8CD2-9C5478EACDE2}"/>
    <cellStyle name="Output 2 2 2 6 3" xfId="15363" xr:uid="{5D5B0AEC-50FD-46BF-8C99-4204052F8971}"/>
    <cellStyle name="Output 2 2 2 6 4" xfId="22342" xr:uid="{7BBE78BC-8E9A-4A2E-AC37-2030146CE16A}"/>
    <cellStyle name="Output 2 2 2 7" xfId="4239" xr:uid="{4327F67A-6548-4AA4-BE6F-BFA2F95F85BE}"/>
    <cellStyle name="Output 2 2 2 7 2" xfId="10096" xr:uid="{B7510473-9AB8-4859-872B-AA8DB09AEEE9}"/>
    <cellStyle name="Output 2 2 2 7 2 2" xfId="19142" xr:uid="{849E8CB7-0F7B-4F78-A627-5DF44A296F9E}"/>
    <cellStyle name="Output 2 2 2 7 3" xfId="15656" xr:uid="{1183F25A-09CB-447B-8297-F858BF27441D}"/>
    <cellStyle name="Output 2 2 2 7 4" xfId="22292" xr:uid="{BFD010A6-D62F-4A14-B9CC-58BE3D6EBFCD}"/>
    <cellStyle name="Output 2 2 2 8" xfId="4286" xr:uid="{D3937E39-5956-4984-A03C-BFC5588DBDBB}"/>
    <cellStyle name="Output 2 2 2 8 2" xfId="10143" xr:uid="{3224B10A-BC7D-4521-A7D9-F192CA39A335}"/>
    <cellStyle name="Output 2 2 2 8 2 2" xfId="19189" xr:uid="{18386296-F8A8-452E-8D55-70756FFB3CD9}"/>
    <cellStyle name="Output 2 2 2 8 3" xfId="15703" xr:uid="{42BE89E7-6974-42A2-9DB7-552B002AB83F}"/>
    <cellStyle name="Output 2 2 2 9" xfId="5276" xr:uid="{0F797943-0B3B-431F-AB11-C7610640CEF5}"/>
    <cellStyle name="Output 2 2 2 9 2" xfId="11129" xr:uid="{8A8F5168-9E6F-4158-BD5A-BD946F5CB064}"/>
    <cellStyle name="Output 2 2 2 9 2 2" xfId="20175" xr:uid="{7A2DA547-BC79-4EEA-9238-3A0620D044FD}"/>
    <cellStyle name="Output 2 2 2 9 3" xfId="16689" xr:uid="{CB517587-DA5B-4246-A082-25400AFAD13E}"/>
    <cellStyle name="Output 2 2 3" xfId="2409" xr:uid="{B65FDE9E-108E-4956-8E49-90A0D191CE42}"/>
    <cellStyle name="Output 2 2 3 10" xfId="5888" xr:uid="{243560AC-32D6-40A4-AACC-9F02459DCAAC}"/>
    <cellStyle name="Output 2 2 3 10 2" xfId="11741" xr:uid="{79EB7D83-C952-4E01-8732-E194CF3B8B9E}"/>
    <cellStyle name="Output 2 2 3 10 2 2" xfId="20787" xr:uid="{3B1C153C-6FD5-4558-821F-40132CE3B47C}"/>
    <cellStyle name="Output 2 2 3 10 3" xfId="17301" xr:uid="{D79B8414-D788-4280-82D7-52BC1B228508}"/>
    <cellStyle name="Output 2 2 3 11" xfId="9151" xr:uid="{AA3378E3-82F9-4807-8155-47BEE46E2DAA}"/>
    <cellStyle name="Output 2 2 3 11 2" xfId="18197" xr:uid="{585BDB72-92F0-4A6B-83A3-C7C46D32B85A}"/>
    <cellStyle name="Output 2 2 3 12" xfId="12549" xr:uid="{D0C46CEB-3D46-4A9C-B6CD-45683FD1C212}"/>
    <cellStyle name="Output 2 2 3 13" xfId="13743" xr:uid="{A45E7D2E-B07B-4A81-8641-010ABAEDFA07}"/>
    <cellStyle name="Output 2 2 3 14" xfId="14720" xr:uid="{10F01A0D-7951-4C68-B3D0-A2F5D59CCF34}"/>
    <cellStyle name="Output 2 2 3 15" xfId="21590" xr:uid="{1C608847-3448-460B-ACB8-D495107E2393}"/>
    <cellStyle name="Output 2 2 3 16" xfId="23767" xr:uid="{9A9C0A3C-BE18-4E64-8E75-F1FE44682BD3}"/>
    <cellStyle name="Output 2 2 3 2" xfId="2410" xr:uid="{B7DF7FED-A7E3-498E-95EF-6E63E2D9B8AC}"/>
    <cellStyle name="Output 2 2 3 2 10" xfId="13190" xr:uid="{691BE91A-B41A-40E8-BA36-F2D5D0E16BF1}"/>
    <cellStyle name="Output 2 2 3 2 11" xfId="13824" xr:uid="{DB9C3D71-BB46-42E8-83B8-DC4A9D57DAB5}"/>
    <cellStyle name="Output 2 2 3 2 12" xfId="14799" xr:uid="{0E3D1D70-DA0A-45BA-BCA1-858AE652963A}"/>
    <cellStyle name="Output 2 2 3 2 13" xfId="21669" xr:uid="{04BC7691-1154-4EF3-AEFD-1B0513BADC1F}"/>
    <cellStyle name="Output 2 2 3 2 2" xfId="2938" xr:uid="{D8EF8C1F-6B28-47A2-994E-8E5B2B5EC60D}"/>
    <cellStyle name="Output 2 2 3 2 2 10" xfId="15226" xr:uid="{D80FC179-9441-4BAE-8D78-CAAA177CFF4A}"/>
    <cellStyle name="Output 2 2 3 2 2 11" xfId="22095" xr:uid="{6051BE9D-514D-42D9-BC1C-4C36D0E287F0}"/>
    <cellStyle name="Output 2 2 3 2 2 12" xfId="3435" xr:uid="{4F3DFB4E-A31D-43C2-9FFD-8D03EF6B49C8}"/>
    <cellStyle name="Output 2 2 3 2 2 2" xfId="4669" xr:uid="{3FDC1DBA-D805-4252-8487-23C9E913E168}"/>
    <cellStyle name="Output 2 2 3 2 2 2 2" xfId="10526" xr:uid="{3AC55B5A-13F3-43B7-A3B5-7F859801A47F}"/>
    <cellStyle name="Output 2 2 3 2 2 2 2 2" xfId="19572" xr:uid="{981C18B7-CDC2-4E70-9DA6-73275D9BCB53}"/>
    <cellStyle name="Output 2 2 3 2 2 2 3" xfId="16086" xr:uid="{0EDB2E62-17A1-41CD-9DE9-C73F9DA23BC9}"/>
    <cellStyle name="Output 2 2 3 2 2 2 4" xfId="22751" xr:uid="{60961B4A-8A9A-4E7B-A0D1-7E98EE456DFB}"/>
    <cellStyle name="Output 2 2 3 2 2 3" xfId="5170" xr:uid="{46851DC9-C40E-4B19-9051-D1F7C4F24FE9}"/>
    <cellStyle name="Output 2 2 3 2 2 3 2" xfId="11023" xr:uid="{F4519DDE-4193-4D9C-AAC1-64C0D9D3E832}"/>
    <cellStyle name="Output 2 2 3 2 2 3 2 2" xfId="20069" xr:uid="{D9979E22-8FBC-405C-9DE2-098A50FD29CE}"/>
    <cellStyle name="Output 2 2 3 2 2 3 3" xfId="16583" xr:uid="{A0E4AED5-2F95-4F70-99CA-5BC2D8712D1E}"/>
    <cellStyle name="Output 2 2 3 2 2 3 4" xfId="23246" xr:uid="{39C26BC7-BC55-4008-80ED-8B4C5407EF9B}"/>
    <cellStyle name="Output 2 2 3 2 2 4" xfId="5785" xr:uid="{758BA454-8EC9-4B5C-8B02-313AE9DEE1CD}"/>
    <cellStyle name="Output 2 2 3 2 2 4 2" xfId="11638" xr:uid="{6C744AAB-A15C-439A-B92F-2E48AFCD4DF7}"/>
    <cellStyle name="Output 2 2 3 2 2 4 2 2" xfId="20684" xr:uid="{A515638D-E983-41FA-9159-D20FCC7C97A2}"/>
    <cellStyle name="Output 2 2 3 2 2 4 3" xfId="17198" xr:uid="{7AFAC004-F0B0-4214-976F-2BE08CE6E541}"/>
    <cellStyle name="Output 2 2 3 2 2 5" xfId="6396" xr:uid="{B558D7A7-44D0-4EFE-B449-232B29F2CFCE}"/>
    <cellStyle name="Output 2 2 3 2 2 5 2" xfId="12243" xr:uid="{D9B1CF25-B742-4B8C-91A1-A49187F64729}"/>
    <cellStyle name="Output 2 2 3 2 2 5 2 2" xfId="21289" xr:uid="{64010D6F-344F-439A-9AE3-4DD510535A90}"/>
    <cellStyle name="Output 2 2 3 2 2 5 3" xfId="17809" xr:uid="{57BC0E3F-8398-458D-9444-CE9CA8F67025}"/>
    <cellStyle name="Output 2 2 3 2 2 6" xfId="9657" xr:uid="{D02807B0-F0EE-4DED-AA34-C6727DE1486B}"/>
    <cellStyle name="Output 2 2 3 2 2 6 2" xfId="18703" xr:uid="{38DD0CAC-B0A5-4DE0-81C1-52CCAFD06FDA}"/>
    <cellStyle name="Output 2 2 3 2 2 7" xfId="13055" xr:uid="{EB11B7EF-C440-4FAA-9B08-A15A943C65BB}"/>
    <cellStyle name="Output 2 2 3 2 2 8" xfId="13612" xr:uid="{EB54177C-1056-439C-A6E1-01E06FB1D585}"/>
    <cellStyle name="Output 2 2 3 2 2 9" xfId="14251" xr:uid="{45207AF3-B447-407F-B38C-DE65BC8EE599}"/>
    <cellStyle name="Output 2 2 3 2 3" xfId="3234" xr:uid="{32D25406-0696-487F-9841-41A510148AE7}"/>
    <cellStyle name="Output 2 2 3 2 3 10" xfId="15014" xr:uid="{412AE797-0B37-47F8-8D07-3B695D5FB571}"/>
    <cellStyle name="Output 2 2 3 2 3 11" xfId="21884" xr:uid="{0170D864-252F-4A95-A78B-B198A4344EE5}"/>
    <cellStyle name="Output 2 2 3 2 3 2" xfId="4457" xr:uid="{C3448771-BA80-4B53-947F-D12782473B12}"/>
    <cellStyle name="Output 2 2 3 2 3 2 2" xfId="10314" xr:uid="{204D6000-FBDB-437C-8BBE-9834E05EB5D5}"/>
    <cellStyle name="Output 2 2 3 2 3 2 2 2" xfId="19360" xr:uid="{46CF5203-A536-4108-8D46-42A7B406CBD0}"/>
    <cellStyle name="Output 2 2 3 2 3 2 3" xfId="15874" xr:uid="{BAD0F4BD-1274-4E22-B5CD-C689357F99E2}"/>
    <cellStyle name="Output 2 2 3 2 3 2 4" xfId="22540" xr:uid="{8C206D7B-3F54-4326-9973-2FE57135B6A7}"/>
    <cellStyle name="Output 2 2 3 2 3 3" xfId="4958" xr:uid="{457186B8-6EC1-4E35-B664-48DE2E3DD693}"/>
    <cellStyle name="Output 2 2 3 2 3 3 2" xfId="10811" xr:uid="{27E1F321-BCA5-443D-A58F-39AF04FC1077}"/>
    <cellStyle name="Output 2 2 3 2 3 3 2 2" xfId="19857" xr:uid="{00061FA7-8A22-4BC7-A90A-2F76E7955241}"/>
    <cellStyle name="Output 2 2 3 2 3 3 3" xfId="16371" xr:uid="{03FE7653-7433-47B3-848E-E640B4727FD6}"/>
    <cellStyle name="Output 2 2 3 2 3 3 4" xfId="23035" xr:uid="{000C6DE9-E089-454F-AD9E-A6B8B16D8D06}"/>
    <cellStyle name="Output 2 2 3 2 3 4" xfId="5573" xr:uid="{31B0024E-8C08-43B6-B311-A4FBC1800C5B}"/>
    <cellStyle name="Output 2 2 3 2 3 4 2" xfId="11426" xr:uid="{1CE79E16-75B8-42DC-AAD6-9795787C0C63}"/>
    <cellStyle name="Output 2 2 3 2 3 4 2 2" xfId="20472" xr:uid="{E4F93F31-8A7A-45C1-9D74-4C80D2A73241}"/>
    <cellStyle name="Output 2 2 3 2 3 4 3" xfId="16986" xr:uid="{1F4A4E47-B7D2-4AC5-A3DB-DD9A632FE6EB}"/>
    <cellStyle name="Output 2 2 3 2 3 5" xfId="6184" xr:uid="{8574959D-F600-4C6A-BCC7-F39E3813D5C4}"/>
    <cellStyle name="Output 2 2 3 2 3 5 2" xfId="12031" xr:uid="{45E78B02-A3A9-446E-AAC0-63660ECE1136}"/>
    <cellStyle name="Output 2 2 3 2 3 5 2 2" xfId="21077" xr:uid="{913BC94A-93F5-4FE4-BA67-9466CBCEE5EB}"/>
    <cellStyle name="Output 2 2 3 2 3 5 3" xfId="17597" xr:uid="{D0BED438-15B1-4D82-9771-95CB648DF5E9}"/>
    <cellStyle name="Output 2 2 3 2 3 6" xfId="9445" xr:uid="{0A826C1B-E9F8-4FE8-84CB-8EC4C319EC21}"/>
    <cellStyle name="Output 2 2 3 2 3 6 2" xfId="18491" xr:uid="{074F7049-B253-4D9D-B020-18901C6A9F28}"/>
    <cellStyle name="Output 2 2 3 2 3 7" xfId="12843" xr:uid="{C8DEABA8-87D7-4AFC-B01A-1F2F3B65E30B}"/>
    <cellStyle name="Output 2 2 3 2 3 8" xfId="13401" xr:uid="{86F1A7B6-1C5E-47D9-B925-AE603A962201}"/>
    <cellStyle name="Output 2 2 3 2 3 9" xfId="14039" xr:uid="{9554B78A-714A-4529-8130-ADD5AA88A0F4}"/>
    <cellStyle name="Output 2 2 3 2 4" xfId="4024" xr:uid="{F251FCDC-3EF2-478C-ABB4-8058660F61AD}"/>
    <cellStyle name="Output 2 2 3 2 4 2" xfId="9886" xr:uid="{608179CB-7D15-4D04-AF7B-75187AFBF3B7}"/>
    <cellStyle name="Output 2 2 3 2 4 2 2" xfId="18932" xr:uid="{CC3EE7E4-F7C8-4125-84C7-33E23398B7B1}"/>
    <cellStyle name="Output 2 2 3 2 4 3" xfId="15448" xr:uid="{99224EA6-6746-42EA-8427-500DA59BA0FD}"/>
    <cellStyle name="Output 2 2 3 2 4 4" xfId="22194" xr:uid="{4C90C74B-0CEF-4D2B-84AD-1D335B1C5C17}"/>
    <cellStyle name="Output 2 2 3 2 5" xfId="4074" xr:uid="{DBEFAC60-254A-4007-AE71-1221D213BC89}"/>
    <cellStyle name="Output 2 2 3 2 5 2" xfId="9931" xr:uid="{15F8D797-B0C2-4935-B35A-B646CCE1C513}"/>
    <cellStyle name="Output 2 2 3 2 5 2 2" xfId="18977" xr:uid="{D61075C3-BB5A-4213-BD25-9B1ABAA4E081}"/>
    <cellStyle name="Output 2 2 3 2 5 3" xfId="15491" xr:uid="{E410C3DC-88F0-43AC-B889-C7194C8B386E}"/>
    <cellStyle name="Output 2 2 3 2 6" xfId="5358" xr:uid="{A3F94E35-F365-4C1F-B5EE-2D7A192A4E18}"/>
    <cellStyle name="Output 2 2 3 2 6 2" xfId="11211" xr:uid="{D90C9D64-13D4-4248-8CAD-07ABB7C041A9}"/>
    <cellStyle name="Output 2 2 3 2 6 2 2" xfId="20257" xr:uid="{C5F8420C-B520-40A6-884E-AF4935E5B89B}"/>
    <cellStyle name="Output 2 2 3 2 6 3" xfId="16771" xr:uid="{5CF60FC6-EC01-49D8-AC02-9E82C0252346}"/>
    <cellStyle name="Output 2 2 3 2 7" xfId="5969" xr:uid="{7911953F-438A-40E4-89D5-7D8C7525EAF8}"/>
    <cellStyle name="Output 2 2 3 2 7 2" xfId="11820" xr:uid="{A6273DBB-4F16-4160-9385-F3BF9DEE5122}"/>
    <cellStyle name="Output 2 2 3 2 7 2 2" xfId="20866" xr:uid="{A43E348E-941B-410C-9B78-96C3ECD47C3B}"/>
    <cellStyle name="Output 2 2 3 2 7 3" xfId="17382" xr:uid="{65D39A6A-FFC1-4D5D-B009-69C24DE95006}"/>
    <cellStyle name="Output 2 2 3 2 8" xfId="9230" xr:uid="{FBA8FCC1-E1AD-40FD-8019-A74341BB0AC7}"/>
    <cellStyle name="Output 2 2 3 2 8 2" xfId="18276" xr:uid="{8B879B41-F89F-4EAC-840C-42F4F6BF1BA7}"/>
    <cellStyle name="Output 2 2 3 2 9" xfId="12628" xr:uid="{E78A5228-CB93-459E-ADC3-3D5F5615E36C}"/>
    <cellStyle name="Output 2 2 3 3" xfId="2939" xr:uid="{D7805E69-941D-41C9-B172-B196A196CE90}"/>
    <cellStyle name="Output 2 2 3 3 10" xfId="13825" xr:uid="{8D3A7388-2C49-4D8F-9924-648189A4934A}"/>
    <cellStyle name="Output 2 2 3 3 11" xfId="14800" xr:uid="{DFCF2EA9-0456-4248-83DA-4D7EC1280D14}"/>
    <cellStyle name="Output 2 2 3 3 12" xfId="21670" xr:uid="{65BB15CB-B61E-4378-A16D-A414A6D34D65}"/>
    <cellStyle name="Output 2 2 3 3 13" xfId="3056" xr:uid="{3D26E0AC-2789-4224-92D0-21D52D2BC811}"/>
    <cellStyle name="Output 2 2 3 3 2" xfId="3436" xr:uid="{301BC5CF-A274-4767-80BB-B1D7147D29D8}"/>
    <cellStyle name="Output 2 2 3 3 2 10" xfId="15227" xr:uid="{6384696C-53DA-4831-A6DA-45CFF2FAED70}"/>
    <cellStyle name="Output 2 2 3 3 2 11" xfId="22096" xr:uid="{508BDE7A-9264-4B72-8B24-7A91F502DDB1}"/>
    <cellStyle name="Output 2 2 3 3 2 2" xfId="4670" xr:uid="{56FB3EB2-13AA-419B-B995-BEE223264CB2}"/>
    <cellStyle name="Output 2 2 3 3 2 2 2" xfId="10527" xr:uid="{ECBEA32C-DC12-4244-899D-EA93F96CED45}"/>
    <cellStyle name="Output 2 2 3 3 2 2 2 2" xfId="19573" xr:uid="{CDA6FFD8-472D-4ADA-851A-148EEF07A66C}"/>
    <cellStyle name="Output 2 2 3 3 2 2 3" xfId="16087" xr:uid="{B5143565-A483-4E32-B8B1-031F46047C73}"/>
    <cellStyle name="Output 2 2 3 3 2 2 4" xfId="22752" xr:uid="{C9EE4D4B-BECC-49D2-B2FE-30ACD1B5BD18}"/>
    <cellStyle name="Output 2 2 3 3 2 3" xfId="5171" xr:uid="{7B8A7F70-A7F1-4AD0-980D-C6AFEDFEBDE9}"/>
    <cellStyle name="Output 2 2 3 3 2 3 2" xfId="11024" xr:uid="{B3A56536-33D3-47F1-8A97-6B78621977D6}"/>
    <cellStyle name="Output 2 2 3 3 2 3 2 2" xfId="20070" xr:uid="{420ED499-F479-4144-AA01-445E23A7B2C4}"/>
    <cellStyle name="Output 2 2 3 3 2 3 3" xfId="16584" xr:uid="{B3FD6077-6F63-451F-A38D-664F338778B9}"/>
    <cellStyle name="Output 2 2 3 3 2 3 4" xfId="23247" xr:uid="{C6F5187F-0804-4DB5-A0DA-30595229629F}"/>
    <cellStyle name="Output 2 2 3 3 2 4" xfId="5786" xr:uid="{82368898-7BB2-4B66-9A20-5AC558485A0C}"/>
    <cellStyle name="Output 2 2 3 3 2 4 2" xfId="11639" xr:uid="{4C2E1231-3828-4073-B8DA-F8FC33DAD44C}"/>
    <cellStyle name="Output 2 2 3 3 2 4 2 2" xfId="20685" xr:uid="{FB1CCFB5-06FF-4BD7-8E02-EAFF4BB6273F}"/>
    <cellStyle name="Output 2 2 3 3 2 4 3" xfId="17199" xr:uid="{95DC83E8-7E9C-4C32-B5FF-505D9CC98899}"/>
    <cellStyle name="Output 2 2 3 3 2 5" xfId="6397" xr:uid="{CB941BB4-F777-4E9E-A6A3-FC39615DFD61}"/>
    <cellStyle name="Output 2 2 3 3 2 5 2" xfId="12244" xr:uid="{7E6E0C89-9C98-4A76-9FC7-3B9C29981EC4}"/>
    <cellStyle name="Output 2 2 3 3 2 5 2 2" xfId="21290" xr:uid="{F8B2AD12-126C-4EB9-B920-11511AABBD3E}"/>
    <cellStyle name="Output 2 2 3 3 2 5 3" xfId="17810" xr:uid="{55641A5C-A5A5-4568-BE9B-2CE9EBC71039}"/>
    <cellStyle name="Output 2 2 3 3 2 6" xfId="9658" xr:uid="{4A65CA44-15D9-48D8-9736-2E915C0944BE}"/>
    <cellStyle name="Output 2 2 3 3 2 6 2" xfId="18704" xr:uid="{D41D8194-21D2-48D2-B5A0-0B556AA33A48}"/>
    <cellStyle name="Output 2 2 3 3 2 7" xfId="13056" xr:uid="{290A6987-89E8-42C2-AEB1-3C1CE14EC70B}"/>
    <cellStyle name="Output 2 2 3 3 2 8" xfId="13613" xr:uid="{B16ECAF7-3B22-4E9C-8C1B-27ACC597FB53}"/>
    <cellStyle name="Output 2 2 3 3 2 9" xfId="14252" xr:uid="{2AC8AB16-6D2E-4201-840C-494EEF6143F0}"/>
    <cellStyle name="Output 2 2 3 3 3" xfId="3235" xr:uid="{16EB3293-7D98-4F38-9290-914EA39D29EE}"/>
    <cellStyle name="Output 2 2 3 3 3 10" xfId="15015" xr:uid="{1DDF75EE-6AA2-4D2E-8D90-903DE80915FE}"/>
    <cellStyle name="Output 2 2 3 3 3 11" xfId="21885" xr:uid="{D174BD6A-1196-41DA-9436-616F7FAE8B35}"/>
    <cellStyle name="Output 2 2 3 3 3 2" xfId="4458" xr:uid="{CE57472D-1A79-4581-A23E-8B92809ABD15}"/>
    <cellStyle name="Output 2 2 3 3 3 2 2" xfId="10315" xr:uid="{F8B167AF-3FE6-42AC-B371-11BC7AE38BFE}"/>
    <cellStyle name="Output 2 2 3 3 3 2 2 2" xfId="19361" xr:uid="{DAC7B455-673F-4320-8DB6-789C49140C9A}"/>
    <cellStyle name="Output 2 2 3 3 3 2 3" xfId="15875" xr:uid="{7D3F6F84-9783-4E50-911B-9BE33C893E43}"/>
    <cellStyle name="Output 2 2 3 3 3 2 4" xfId="22541" xr:uid="{369101AE-6592-470E-9ABC-BB5060EBA505}"/>
    <cellStyle name="Output 2 2 3 3 3 3" xfId="4959" xr:uid="{74ABFABC-5866-4DD6-B537-2CCF0C664256}"/>
    <cellStyle name="Output 2 2 3 3 3 3 2" xfId="10812" xr:uid="{AE6E9C62-FE24-4EE6-8BC8-BBFA646C2E4A}"/>
    <cellStyle name="Output 2 2 3 3 3 3 2 2" xfId="19858" xr:uid="{0EBC49E2-02FE-42DD-8BDF-56CB8B32819D}"/>
    <cellStyle name="Output 2 2 3 3 3 3 3" xfId="16372" xr:uid="{4E2104AE-6FCB-4BBA-94BB-3B9398508BA2}"/>
    <cellStyle name="Output 2 2 3 3 3 3 4" xfId="23036" xr:uid="{EF4B0197-75FC-4137-B9A1-5F97E9B210E4}"/>
    <cellStyle name="Output 2 2 3 3 3 4" xfId="5574" xr:uid="{E89DF92B-2C3C-4336-8FA5-09798F0D9356}"/>
    <cellStyle name="Output 2 2 3 3 3 4 2" xfId="11427" xr:uid="{EB2CE69A-84D6-428B-AAC9-B59748FEAA12}"/>
    <cellStyle name="Output 2 2 3 3 3 4 2 2" xfId="20473" xr:uid="{60232B65-BBCD-432B-84E1-C1867B43A0BD}"/>
    <cellStyle name="Output 2 2 3 3 3 4 3" xfId="16987" xr:uid="{A88F0341-D8D9-4EB1-8144-F0FF91503A69}"/>
    <cellStyle name="Output 2 2 3 3 3 5" xfId="6185" xr:uid="{EE077F50-7980-4771-8EBF-B19116AEA528}"/>
    <cellStyle name="Output 2 2 3 3 3 5 2" xfId="12032" xr:uid="{BB99929F-3F41-4A58-ABCA-2C2954760E08}"/>
    <cellStyle name="Output 2 2 3 3 3 5 2 2" xfId="21078" xr:uid="{9741587A-FD4A-40CA-A8D2-5F7F4E7A817E}"/>
    <cellStyle name="Output 2 2 3 3 3 5 3" xfId="17598" xr:uid="{71038D67-3AC5-4737-89CF-6AFC4C636B9C}"/>
    <cellStyle name="Output 2 2 3 3 3 6" xfId="9446" xr:uid="{72F4A137-2B7E-4FD4-B8BA-3ACA18250834}"/>
    <cellStyle name="Output 2 2 3 3 3 6 2" xfId="18492" xr:uid="{72EFD1F3-1856-4447-9A09-7AE5F9FEE5F4}"/>
    <cellStyle name="Output 2 2 3 3 3 7" xfId="12844" xr:uid="{B0A6199A-CDAB-4881-AD16-4143C8CF10A2}"/>
    <cellStyle name="Output 2 2 3 3 3 8" xfId="13402" xr:uid="{C2947606-B882-444C-9E38-6C9D66D06E07}"/>
    <cellStyle name="Output 2 2 3 3 3 9" xfId="14040" xr:uid="{CAD2BFE0-3E3F-46FE-A5B0-531525F73FE7}"/>
    <cellStyle name="Output 2 2 3 3 4" xfId="4073" xr:uid="{3FD36E4B-7F85-4443-BF4E-2480B750E4A0}"/>
    <cellStyle name="Output 2 2 3 3 4 2" xfId="9930" xr:uid="{F5F919DD-9680-4483-8A1D-DA604B55E278}"/>
    <cellStyle name="Output 2 2 3 3 4 2 2" xfId="18976" xr:uid="{662DCADF-1AF3-43B3-A4AB-66C70E969356}"/>
    <cellStyle name="Output 2 2 3 3 4 3" xfId="15490" xr:uid="{C2D9A837-03B2-4C9B-96D3-47A0D32A0640}"/>
    <cellStyle name="Output 2 2 3 3 4 4" xfId="22193" xr:uid="{0DCBF638-B069-4D88-BA72-8968487B3BF0}"/>
    <cellStyle name="Output 2 2 3 3 5" xfId="5359" xr:uid="{043B2AF1-BDF2-4C5B-A8E8-5FCF653CD79C}"/>
    <cellStyle name="Output 2 2 3 3 5 2" xfId="11212" xr:uid="{6CA19EC4-BF9E-4D0E-8DB9-C058E5DADA94}"/>
    <cellStyle name="Output 2 2 3 3 5 2 2" xfId="20258" xr:uid="{004589CE-4E97-4A60-9071-AEDD44A3E9A1}"/>
    <cellStyle name="Output 2 2 3 3 5 3" xfId="16772" xr:uid="{CD09848A-D32E-43FD-9D59-82892B23AD5F}"/>
    <cellStyle name="Output 2 2 3 3 6" xfId="5970" xr:uid="{F5894C58-9A8F-4384-9598-FBF541AE7C60}"/>
    <cellStyle name="Output 2 2 3 3 6 2" xfId="11821" xr:uid="{F4ECC7BC-831E-4E26-B555-0166BFC00731}"/>
    <cellStyle name="Output 2 2 3 3 6 2 2" xfId="20867" xr:uid="{43AE214D-4D07-4CC2-82FA-65113D537BD9}"/>
    <cellStyle name="Output 2 2 3 3 6 3" xfId="17383" xr:uid="{89DED72A-E40A-4A10-8706-B02A96830FD6}"/>
    <cellStyle name="Output 2 2 3 3 7" xfId="9231" xr:uid="{24748C2C-67B7-4FC5-961D-0FCD58B33B44}"/>
    <cellStyle name="Output 2 2 3 3 7 2" xfId="18277" xr:uid="{AEA63A55-4351-4BE6-A736-9EB86D49C90C}"/>
    <cellStyle name="Output 2 2 3 3 8" xfId="12629" xr:uid="{6719816E-368C-4D07-9B5A-6AD7C6C784F1}"/>
    <cellStyle name="Output 2 2 3 3 9" xfId="13191" xr:uid="{594CF378-7600-4E13-9A90-FFC1028BDB6A}"/>
    <cellStyle name="Output 2 2 3 4" xfId="3367" xr:uid="{0423188F-4DDF-4C66-8506-2F358ED377EF}"/>
    <cellStyle name="Output 2 2 3 4 10" xfId="15147" xr:uid="{242CF211-D093-4989-BF32-AD68F77412D8}"/>
    <cellStyle name="Output 2 2 3 4 11" xfId="22016" xr:uid="{B5E139D3-1517-4ED0-9209-8955E45FBD51}"/>
    <cellStyle name="Output 2 2 3 4 2" xfId="4590" xr:uid="{2946CAE7-E73E-4DE7-81B3-F2546BB15D5F}"/>
    <cellStyle name="Output 2 2 3 4 2 2" xfId="10447" xr:uid="{A46935F9-18E5-4105-91D0-E6DE9B046F9B}"/>
    <cellStyle name="Output 2 2 3 4 2 2 2" xfId="19493" xr:uid="{673872A2-876C-45A9-87FE-EF1073BCE3CF}"/>
    <cellStyle name="Output 2 2 3 4 2 3" xfId="16007" xr:uid="{748FE4FB-AE21-469E-863E-EC7F57A2C870}"/>
    <cellStyle name="Output 2 2 3 4 2 4" xfId="22672" xr:uid="{3E955952-2A52-4212-BCEB-B2D7DD68FBA1}"/>
    <cellStyle name="Output 2 2 3 4 3" xfId="5091" xr:uid="{012D674A-58EB-4135-A839-D0DE3BC32313}"/>
    <cellStyle name="Output 2 2 3 4 3 2" xfId="10944" xr:uid="{B5731185-1A63-4893-A098-088DBC4F28D4}"/>
    <cellStyle name="Output 2 2 3 4 3 2 2" xfId="19990" xr:uid="{905CCAD8-29D6-4313-BCDB-FD2D658FCFDA}"/>
    <cellStyle name="Output 2 2 3 4 3 3" xfId="16504" xr:uid="{EA0CC4D4-36DA-4CDE-AA0B-81383BFC7BDF}"/>
    <cellStyle name="Output 2 2 3 4 3 4" xfId="23167" xr:uid="{B1C5B14A-6AC6-400D-84A7-D8C37A9D974C}"/>
    <cellStyle name="Output 2 2 3 4 4" xfId="5706" xr:uid="{6E1D05F0-05B1-4571-A335-DFBB81790251}"/>
    <cellStyle name="Output 2 2 3 4 4 2" xfId="11559" xr:uid="{4892154B-1B6A-4B5C-BF41-890BA3DE757E}"/>
    <cellStyle name="Output 2 2 3 4 4 2 2" xfId="20605" xr:uid="{6F9A8A9F-1DD3-498A-8507-5AC33267699C}"/>
    <cellStyle name="Output 2 2 3 4 4 3" xfId="17119" xr:uid="{CC5DB758-B6BB-4AE0-8057-74B74C36A664}"/>
    <cellStyle name="Output 2 2 3 4 5" xfId="6317" xr:uid="{28710F56-A1EF-48B9-AD4E-1F7E9F576CD2}"/>
    <cellStyle name="Output 2 2 3 4 5 2" xfId="12164" xr:uid="{645AEB0D-37F9-41DF-86A0-8C1893B583FE}"/>
    <cellStyle name="Output 2 2 3 4 5 2 2" xfId="21210" xr:uid="{D00AE55F-66F1-448D-AC51-3164B5F6A6EE}"/>
    <cellStyle name="Output 2 2 3 4 5 3" xfId="17730" xr:uid="{3BB11015-4656-4D97-8B8C-6753CFBE5C0C}"/>
    <cellStyle name="Output 2 2 3 4 6" xfId="9578" xr:uid="{2953389A-40FE-48C1-9AAC-4D4C11ECBB7A}"/>
    <cellStyle name="Output 2 2 3 4 6 2" xfId="18624" xr:uid="{F593F1FE-7CD1-4288-A6A1-8F5B517AD3C3}"/>
    <cellStyle name="Output 2 2 3 4 7" xfId="12976" xr:uid="{3900084F-6A76-435E-B90F-AD5ED4668495}"/>
    <cellStyle name="Output 2 2 3 4 8" xfId="13533" xr:uid="{EC653B95-8337-4F0A-A0A0-BE745BEFEAD4}"/>
    <cellStyle name="Output 2 2 3 4 9" xfId="14172" xr:uid="{C9DDE8E3-F91E-40C4-81D4-1E09778D8429}"/>
    <cellStyle name="Output 2 2 3 5" xfId="3155" xr:uid="{97AF07EF-1DF6-477C-862B-528004C40477}"/>
    <cellStyle name="Output 2 2 3 5 10" xfId="14935" xr:uid="{3CF88D32-D958-418C-AA14-BB833061F8D1}"/>
    <cellStyle name="Output 2 2 3 5 11" xfId="21803" xr:uid="{0FECCC19-C509-4ABC-8339-28F6DA049CC8}"/>
    <cellStyle name="Output 2 2 3 5 2" xfId="4376" xr:uid="{F49036B8-9B29-47FD-B7B5-6DE37F0CD594}"/>
    <cellStyle name="Output 2 2 3 5 2 2" xfId="10233" xr:uid="{F7B49B5D-167F-4686-AFCA-19943942A69D}"/>
    <cellStyle name="Output 2 2 3 5 2 2 2" xfId="19279" xr:uid="{E2A9F0A8-31DF-40C4-BE2C-80BC2C3C1E82}"/>
    <cellStyle name="Output 2 2 3 5 2 3" xfId="15793" xr:uid="{B311FD9E-6FA1-4611-8F69-0FBB08705281}"/>
    <cellStyle name="Output 2 2 3 5 2 4" xfId="22459" xr:uid="{7D337F4E-4837-4FEE-8456-7009B98A6492}"/>
    <cellStyle name="Output 2 2 3 5 3" xfId="4877" xr:uid="{C73070BA-911B-49B9-AB29-A21E48996D4A}"/>
    <cellStyle name="Output 2 2 3 5 3 2" xfId="10732" xr:uid="{DC733EE6-D2ED-4450-B46E-3185C508FEFA}"/>
    <cellStyle name="Output 2 2 3 5 3 2 2" xfId="19778" xr:uid="{EB9F4021-4BDA-49AC-AB08-09D78E350962}"/>
    <cellStyle name="Output 2 2 3 5 3 3" xfId="16292" xr:uid="{745C00BA-518F-4895-BE1D-3CE386139F0D}"/>
    <cellStyle name="Output 2 2 3 5 3 4" xfId="22954" xr:uid="{8DB07ADF-476F-4916-A6F3-7C0AE43EAD8F}"/>
    <cellStyle name="Output 2 2 3 5 4" xfId="5492" xr:uid="{8B620DA4-5B15-4377-80DD-EB47392264BE}"/>
    <cellStyle name="Output 2 2 3 5 4 2" xfId="11345" xr:uid="{55B35338-2D0F-4BE0-AEDF-7E765355E1D8}"/>
    <cellStyle name="Output 2 2 3 5 4 2 2" xfId="20391" xr:uid="{E2D2DEA9-7162-4CAF-86D3-5A5FC7FBBE17}"/>
    <cellStyle name="Output 2 2 3 5 4 3" xfId="16905" xr:uid="{708B42E2-5A26-4C7A-905B-42713A14A533}"/>
    <cellStyle name="Output 2 2 3 5 5" xfId="6103" xr:uid="{9D27F7BD-D9F4-4C4E-B13B-FEF7FAF9E556}"/>
    <cellStyle name="Output 2 2 3 5 5 2" xfId="11952" xr:uid="{5E0F898A-E652-4322-98B4-0C380B3DEA95}"/>
    <cellStyle name="Output 2 2 3 5 5 2 2" xfId="20998" xr:uid="{5260A538-69E1-4536-A230-3009D9EA0831}"/>
    <cellStyle name="Output 2 2 3 5 5 3" xfId="17516" xr:uid="{4FDDC3F1-CF18-469E-B22E-2384AAB27000}"/>
    <cellStyle name="Output 2 2 3 5 6" xfId="9366" xr:uid="{1EF090ED-949E-41C3-B6D8-1657456E8BC2}"/>
    <cellStyle name="Output 2 2 3 5 6 2" xfId="18412" xr:uid="{D38DCD95-595F-4944-8044-D97BD6E83C7D}"/>
    <cellStyle name="Output 2 2 3 5 7" xfId="12762" xr:uid="{8AB03170-0F8C-4261-8DF7-45F618DA6EBE}"/>
    <cellStyle name="Output 2 2 3 5 8" xfId="13322" xr:uid="{42310E80-7300-434B-BD8B-EB187D25D58A}"/>
    <cellStyle name="Output 2 2 3 5 9" xfId="13958" xr:uid="{E95139BF-5652-4189-8697-6DF3D5B8F245}"/>
    <cellStyle name="Output 2 2 3 6" xfId="3756" xr:uid="{3552DB9B-4C20-4D17-B738-A775470DC604}"/>
    <cellStyle name="Output 2 2 3 6 2" xfId="9798" xr:uid="{DB538680-0BB2-4CAC-A0FD-4DC23BD7971B}"/>
    <cellStyle name="Output 2 2 3 6 2 2" xfId="18844" xr:uid="{A173D3A6-EA3B-42FA-80EC-414BCF888ECE}"/>
    <cellStyle name="Output 2 2 3 6 3" xfId="15364" xr:uid="{D0FB8C7A-85D1-41CE-8C33-10318D8FEBFE}"/>
    <cellStyle name="Output 2 2 3 6 4" xfId="22343" xr:uid="{5056F7E8-A59F-419D-B424-46261FB5A50A}"/>
    <cellStyle name="Output 2 2 3 7" xfId="4240" xr:uid="{85CA1259-BD36-4856-B9CC-77D4CEFA0F1F}"/>
    <cellStyle name="Output 2 2 3 7 2" xfId="10097" xr:uid="{28DB9C0A-4C99-477B-8CB2-8FFDE4A08614}"/>
    <cellStyle name="Output 2 2 3 7 2 2" xfId="19143" xr:uid="{734DD053-24CC-4170-9227-AB8D23A38BBB}"/>
    <cellStyle name="Output 2 2 3 7 3" xfId="15657" xr:uid="{4327E570-33C2-4BD5-9F16-4047B14C4822}"/>
    <cellStyle name="Output 2 2 3 7 4" xfId="22262" xr:uid="{D2B0428E-041A-460D-BC21-997A2585D0E7}"/>
    <cellStyle name="Output 2 2 3 8" xfId="4416" xr:uid="{4063ADBB-15CA-4385-B95B-317B8E5708B4}"/>
    <cellStyle name="Output 2 2 3 8 2" xfId="10273" xr:uid="{22FB0C70-49D0-4FD0-AD3B-CE2071DF57E6}"/>
    <cellStyle name="Output 2 2 3 8 2 2" xfId="19319" xr:uid="{A5236E45-1301-4BF3-89EC-0F12F161288A}"/>
    <cellStyle name="Output 2 2 3 8 3" xfId="15833" xr:uid="{2E9B1F5E-47DE-419A-B15C-5D58F0878607}"/>
    <cellStyle name="Output 2 2 3 9" xfId="5277" xr:uid="{8FF5C484-D650-490B-9D77-7439EBBDD133}"/>
    <cellStyle name="Output 2 2 3 9 2" xfId="11130" xr:uid="{06550407-5EEC-4379-A399-7CBCFECAFB50}"/>
    <cellStyle name="Output 2 2 3 9 2 2" xfId="20176" xr:uid="{4150A47C-9140-422E-99DD-4A055C996ABC}"/>
    <cellStyle name="Output 2 2 3 9 3" xfId="16690" xr:uid="{4A86D364-EEA4-44DA-88DD-C4F527878D57}"/>
    <cellStyle name="Output 2 2 4" xfId="2411" xr:uid="{08648EA9-899E-41EB-AFDA-F3D7163D0E09}"/>
    <cellStyle name="Output 2 2 4 10" xfId="13192" xr:uid="{0595397A-F656-4EB9-9619-18F8F945915B}"/>
    <cellStyle name="Output 2 2 4 11" xfId="13826" xr:uid="{081042D8-8BA9-48F1-B242-C9CB4A919076}"/>
    <cellStyle name="Output 2 2 4 12" xfId="14801" xr:uid="{B2F1894E-7F1C-4A27-9733-97CED283839F}"/>
    <cellStyle name="Output 2 2 4 13" xfId="21671" xr:uid="{237FCC9C-B0E1-40FD-8DFF-D288CF803A5D}"/>
    <cellStyle name="Output 2 2 4 2" xfId="2643" xr:uid="{A7F00914-45CA-45E1-8327-B85C1483E51C}"/>
    <cellStyle name="Output 2 2 4 2 10" xfId="15228" xr:uid="{05312349-0894-475A-8BB6-0A28ADC668F4}"/>
    <cellStyle name="Output 2 2 4 2 11" xfId="22097" xr:uid="{E9AE1904-3774-455D-B6FA-3FED0E5A05AF}"/>
    <cellStyle name="Output 2 2 4 2 12" xfId="3437" xr:uid="{82E19385-25E7-4DA5-8E0E-10F40B688988}"/>
    <cellStyle name="Output 2 2 4 2 2" xfId="4671" xr:uid="{A1727B76-27DC-44D8-AA51-4664CD2B6AC8}"/>
    <cellStyle name="Output 2 2 4 2 2 2" xfId="10528" xr:uid="{56B25CEF-4208-4CC3-990D-760C65EFC767}"/>
    <cellStyle name="Output 2 2 4 2 2 2 2" xfId="19574" xr:uid="{676EA5E4-AD52-43FA-8DEE-FFE6986136EB}"/>
    <cellStyle name="Output 2 2 4 2 2 3" xfId="16088" xr:uid="{64CC49E1-A966-4358-A1E7-A716E105F7A4}"/>
    <cellStyle name="Output 2 2 4 2 2 4" xfId="22753" xr:uid="{F5EF4599-C261-4D36-839A-3BBBC78F5783}"/>
    <cellStyle name="Output 2 2 4 2 3" xfId="5172" xr:uid="{C749412E-35D1-4944-8BD3-9507F1F5C801}"/>
    <cellStyle name="Output 2 2 4 2 3 2" xfId="11025" xr:uid="{9F1B94F8-26DD-4269-9F8B-EA90D7ECB706}"/>
    <cellStyle name="Output 2 2 4 2 3 2 2" xfId="20071" xr:uid="{30E7BF52-89A2-4418-9A3C-006E3C29CD66}"/>
    <cellStyle name="Output 2 2 4 2 3 3" xfId="16585" xr:uid="{48AAF494-2A4C-45F7-93F3-992878900AF5}"/>
    <cellStyle name="Output 2 2 4 2 3 4" xfId="23248" xr:uid="{3473CEA6-2B64-4771-85EA-D263F7CCC7F6}"/>
    <cellStyle name="Output 2 2 4 2 4" xfId="5787" xr:uid="{213E5F3A-4096-47A6-9304-E9224FDBDBCD}"/>
    <cellStyle name="Output 2 2 4 2 4 2" xfId="11640" xr:uid="{E24D4063-6356-4B5F-BBFB-CC6640907E39}"/>
    <cellStyle name="Output 2 2 4 2 4 2 2" xfId="20686" xr:uid="{01FC325B-C332-4AF6-BAD3-EA07004C8D59}"/>
    <cellStyle name="Output 2 2 4 2 4 3" xfId="17200" xr:uid="{0DBEE90F-5063-4DEE-8AB8-B783EAB90B3E}"/>
    <cellStyle name="Output 2 2 4 2 5" xfId="6398" xr:uid="{F2368B82-822D-4711-A5B6-95BDCA50A11F}"/>
    <cellStyle name="Output 2 2 4 2 5 2" xfId="12245" xr:uid="{1BA7FF6A-AA4F-445B-B7F2-E022566448FF}"/>
    <cellStyle name="Output 2 2 4 2 5 2 2" xfId="21291" xr:uid="{73EAF4D2-E453-4965-B15A-D8DFBC45BD66}"/>
    <cellStyle name="Output 2 2 4 2 5 3" xfId="17811" xr:uid="{EB177059-756B-4F8F-A065-5BBA6F76F7E6}"/>
    <cellStyle name="Output 2 2 4 2 6" xfId="9659" xr:uid="{E7B54545-3210-4415-BE4E-7DB54F4621B9}"/>
    <cellStyle name="Output 2 2 4 2 6 2" xfId="18705" xr:uid="{D39987B8-A302-49AB-B048-3CE480A5C447}"/>
    <cellStyle name="Output 2 2 4 2 7" xfId="13057" xr:uid="{1205F378-1FA6-4DB8-85D0-65821151B457}"/>
    <cellStyle name="Output 2 2 4 2 8" xfId="13614" xr:uid="{073945A8-DDC1-41A9-8AC7-E110F794F0CC}"/>
    <cellStyle name="Output 2 2 4 2 9" xfId="14253" xr:uid="{83C4037A-AF77-4403-A8D5-5B73ED71E0CD}"/>
    <cellStyle name="Output 2 2 4 3" xfId="3236" xr:uid="{FBD9C909-8B6A-4E7D-A29E-4F9B7AFFD091}"/>
    <cellStyle name="Output 2 2 4 3 10" xfId="15016" xr:uid="{62CFCFAE-B25F-4A98-97D7-E50E0F0647BA}"/>
    <cellStyle name="Output 2 2 4 3 11" xfId="21886" xr:uid="{2652A64A-238F-4E8A-87B2-71633A0F4F2C}"/>
    <cellStyle name="Output 2 2 4 3 2" xfId="4459" xr:uid="{40E62EC3-597E-45FA-81DF-7A2DC1BFB976}"/>
    <cellStyle name="Output 2 2 4 3 2 2" xfId="10316" xr:uid="{E0F7790B-E3FD-45EE-BD28-1984051F8E3A}"/>
    <cellStyle name="Output 2 2 4 3 2 2 2" xfId="19362" xr:uid="{4050E2F7-ED38-4815-8853-EB3FEAF0579F}"/>
    <cellStyle name="Output 2 2 4 3 2 3" xfId="15876" xr:uid="{E6818DFB-4C8D-414D-9D62-63CE4EEBA832}"/>
    <cellStyle name="Output 2 2 4 3 2 4" xfId="22542" xr:uid="{3B35EC3B-2F2F-48FB-8638-C4B7DFC555E3}"/>
    <cellStyle name="Output 2 2 4 3 3" xfId="4960" xr:uid="{AA5C5925-9F08-4A31-8A79-24639888567F}"/>
    <cellStyle name="Output 2 2 4 3 3 2" xfId="10813" xr:uid="{ECBABC5F-DC9C-4DA7-B4D4-F22E2FB37621}"/>
    <cellStyle name="Output 2 2 4 3 3 2 2" xfId="19859" xr:uid="{439CC07C-9807-4506-A4C5-F768596A68CB}"/>
    <cellStyle name="Output 2 2 4 3 3 3" xfId="16373" xr:uid="{22D0ABBF-952F-4A98-A533-C8583D6FE0C8}"/>
    <cellStyle name="Output 2 2 4 3 3 4" xfId="23037" xr:uid="{77D52174-2A80-45F6-821E-597546BD7184}"/>
    <cellStyle name="Output 2 2 4 3 4" xfId="5575" xr:uid="{1B20CF13-72BD-40EC-8A68-9F35461B7360}"/>
    <cellStyle name="Output 2 2 4 3 4 2" xfId="11428" xr:uid="{3E52346D-2336-4846-9650-6E604E803E51}"/>
    <cellStyle name="Output 2 2 4 3 4 2 2" xfId="20474" xr:uid="{DB2B7D6C-D019-4121-900E-E1ED0BFE721E}"/>
    <cellStyle name="Output 2 2 4 3 4 3" xfId="16988" xr:uid="{CB5F6E8F-5C11-4275-96E2-D8FD48503216}"/>
    <cellStyle name="Output 2 2 4 3 5" xfId="6186" xr:uid="{52C8A6E1-F105-44BA-AF0E-9DA4DBE739CA}"/>
    <cellStyle name="Output 2 2 4 3 5 2" xfId="12033" xr:uid="{5A65DCC4-4C8C-4C67-B49C-4B83B16D1A98}"/>
    <cellStyle name="Output 2 2 4 3 5 2 2" xfId="21079" xr:uid="{810CFD2C-8D8B-44F6-A501-D8A16C9152D7}"/>
    <cellStyle name="Output 2 2 4 3 5 3" xfId="17599" xr:uid="{62899196-813F-4B52-AF06-EE2B0B7D3EA2}"/>
    <cellStyle name="Output 2 2 4 3 6" xfId="9447" xr:uid="{BC3B064B-43E7-46F7-9BF4-77BD21EB9C0B}"/>
    <cellStyle name="Output 2 2 4 3 6 2" xfId="18493" xr:uid="{39D6BCF2-021D-4956-8AC2-B82E831C4B2C}"/>
    <cellStyle name="Output 2 2 4 3 7" xfId="12845" xr:uid="{672BE14D-34E2-4D27-9DE9-055F91E955AE}"/>
    <cellStyle name="Output 2 2 4 3 8" xfId="13403" xr:uid="{38C4F1C9-7B5E-4333-B390-293280120A29}"/>
    <cellStyle name="Output 2 2 4 3 9" xfId="14041" xr:uid="{04352001-69F4-40F0-A0E8-83D9826735DF}"/>
    <cellStyle name="Output 2 2 4 4" xfId="3975" xr:uid="{BE2706A0-C41E-4ED1-BCAE-B4D44E6F3168}"/>
    <cellStyle name="Output 2 2 4 4 2" xfId="9837" xr:uid="{11EABE36-02A3-4F10-9B10-6E6B317FBF18}"/>
    <cellStyle name="Output 2 2 4 4 2 2" xfId="18883" xr:uid="{57798A6D-A4F1-43B5-8E7B-60F639F5AF8D}"/>
    <cellStyle name="Output 2 2 4 4 3" xfId="15399" xr:uid="{18861A50-A8C6-420A-9A0D-DC766E4B3231}"/>
    <cellStyle name="Output 2 2 4 4 4" xfId="22192" xr:uid="{986D1BB8-80DF-4FB1-BF25-9EF967DB5F1A}"/>
    <cellStyle name="Output 2 2 4 5" xfId="4072" xr:uid="{5B72FDF1-CC33-44A5-B669-199FAB325A8C}"/>
    <cellStyle name="Output 2 2 4 5 2" xfId="9929" xr:uid="{0E92D290-91D4-49AC-9221-E8053B764683}"/>
    <cellStyle name="Output 2 2 4 5 2 2" xfId="18975" xr:uid="{57D479D3-5C85-43E7-83F0-4CDEEFE86474}"/>
    <cellStyle name="Output 2 2 4 5 3" xfId="15489" xr:uid="{052AA08A-90B3-4187-9CEE-4A7C33B91404}"/>
    <cellStyle name="Output 2 2 4 6" xfId="5360" xr:uid="{9E4D86B3-77E3-4696-8231-DA874CCEA5B9}"/>
    <cellStyle name="Output 2 2 4 6 2" xfId="11213" xr:uid="{C1C65B6D-36EA-4D84-BE04-F76D86B72A6B}"/>
    <cellStyle name="Output 2 2 4 6 2 2" xfId="20259" xr:uid="{B81ABB39-9784-45CF-9D30-ADF85C8833D2}"/>
    <cellStyle name="Output 2 2 4 6 3" xfId="16773" xr:uid="{6B24669E-88B8-4544-B578-97FE1097F546}"/>
    <cellStyle name="Output 2 2 4 7" xfId="5971" xr:uid="{41201DBE-43BE-4090-8B85-763BF8140FA2}"/>
    <cellStyle name="Output 2 2 4 7 2" xfId="11822" xr:uid="{CFE743DB-FBC9-43EC-9CEE-361F996746E6}"/>
    <cellStyle name="Output 2 2 4 7 2 2" xfId="20868" xr:uid="{FAB3B090-6DFE-486F-8A24-91844C9ECA32}"/>
    <cellStyle name="Output 2 2 4 7 3" xfId="17384" xr:uid="{89E941FF-C57E-4B10-B5CD-82D7A38ECF4D}"/>
    <cellStyle name="Output 2 2 4 8" xfId="9232" xr:uid="{C6B0BA8C-3A75-49C1-811B-6CB14E36E281}"/>
    <cellStyle name="Output 2 2 4 8 2" xfId="18278" xr:uid="{BA99C7AA-E19C-4E42-9CF8-BC90AA46CD38}"/>
    <cellStyle name="Output 2 2 4 9" xfId="12630" xr:uid="{9E8D3B22-2A81-49AC-A307-D28F51A73178}"/>
    <cellStyle name="Output 2 2 5" xfId="2644" xr:uid="{F1B46C2E-3644-45D5-B275-EAFCB16266FB}"/>
    <cellStyle name="Output 2 2 5 10" xfId="13827" xr:uid="{D75EDFAF-4147-4FCD-B365-2E9030DD9EA9}"/>
    <cellStyle name="Output 2 2 5 11" xfId="14802" xr:uid="{85F53AA7-46DC-4C6E-A7AC-23781368F6C5}"/>
    <cellStyle name="Output 2 2 5 12" xfId="21672" xr:uid="{B78B801F-47E8-4B4B-BD6E-B766425A2B65}"/>
    <cellStyle name="Output 2 2 5 13" xfId="3057" xr:uid="{717BB9DE-10FF-473D-97D7-82EC21440675}"/>
    <cellStyle name="Output 2 2 5 2" xfId="3438" xr:uid="{1F6186C1-CFCC-4461-A74A-464547453A68}"/>
    <cellStyle name="Output 2 2 5 2 10" xfId="15229" xr:uid="{35C0657C-9EF0-4408-93B1-71837B80610A}"/>
    <cellStyle name="Output 2 2 5 2 11" xfId="22098" xr:uid="{0CAA0635-C0B4-4441-A169-136BED827990}"/>
    <cellStyle name="Output 2 2 5 2 2" xfId="4672" xr:uid="{54D52DB7-7E4E-4B61-90E6-CF09D6CDCCA8}"/>
    <cellStyle name="Output 2 2 5 2 2 2" xfId="10529" xr:uid="{F7F3BAAD-088F-4D43-BD6E-D4CCA9B93F6A}"/>
    <cellStyle name="Output 2 2 5 2 2 2 2" xfId="19575" xr:uid="{8DC2051A-98E5-4274-BFB3-A78F8D20F73B}"/>
    <cellStyle name="Output 2 2 5 2 2 3" xfId="16089" xr:uid="{52B6FC01-9D08-4F83-BF0B-70C186543965}"/>
    <cellStyle name="Output 2 2 5 2 2 4" xfId="22754" xr:uid="{99D3F6BF-5EAB-4D29-B25F-6C241C987D99}"/>
    <cellStyle name="Output 2 2 5 2 3" xfId="5173" xr:uid="{A8F4D5AF-F31B-458B-9F69-47DBC7C5EB64}"/>
    <cellStyle name="Output 2 2 5 2 3 2" xfId="11026" xr:uid="{B306CA5C-070C-4235-8900-851A1FD4F499}"/>
    <cellStyle name="Output 2 2 5 2 3 2 2" xfId="20072" xr:uid="{4D792181-DFB0-4DBE-913D-89C23527C0AF}"/>
    <cellStyle name="Output 2 2 5 2 3 3" xfId="16586" xr:uid="{AC68B03A-7DF1-46FE-BB17-383862CF180B}"/>
    <cellStyle name="Output 2 2 5 2 3 4" xfId="23249" xr:uid="{5CCC93F3-A841-4F79-AD85-107C07C9FA38}"/>
    <cellStyle name="Output 2 2 5 2 4" xfId="5788" xr:uid="{6F820251-F564-4271-B6AB-FB73E572D680}"/>
    <cellStyle name="Output 2 2 5 2 4 2" xfId="11641" xr:uid="{752AFE9E-A089-4A6A-816F-578F29F62099}"/>
    <cellStyle name="Output 2 2 5 2 4 2 2" xfId="20687" xr:uid="{037C3695-ED40-449D-88F4-70BB0220D06E}"/>
    <cellStyle name="Output 2 2 5 2 4 3" xfId="17201" xr:uid="{443079A2-1A6C-4DC5-9A33-BEA8CE89F281}"/>
    <cellStyle name="Output 2 2 5 2 5" xfId="6399" xr:uid="{5EB0301C-4971-4823-9E1E-262EC5471561}"/>
    <cellStyle name="Output 2 2 5 2 5 2" xfId="12246" xr:uid="{A2422DC2-C585-49EF-B14A-CB51A4129E50}"/>
    <cellStyle name="Output 2 2 5 2 5 2 2" xfId="21292" xr:uid="{C99164E7-1996-428E-AC05-A017C2AA2377}"/>
    <cellStyle name="Output 2 2 5 2 5 3" xfId="17812" xr:uid="{CDCBE698-AE41-4F5A-92FB-1FD9206D8555}"/>
    <cellStyle name="Output 2 2 5 2 6" xfId="9660" xr:uid="{75927E6C-EEA5-4C6B-B2C3-85A20A4C1FC8}"/>
    <cellStyle name="Output 2 2 5 2 6 2" xfId="18706" xr:uid="{8F7A2796-18ED-430B-8997-7B233DBD8809}"/>
    <cellStyle name="Output 2 2 5 2 7" xfId="13058" xr:uid="{16A8AF89-2D70-44C6-81A6-F3F6B267CE62}"/>
    <cellStyle name="Output 2 2 5 2 8" xfId="13615" xr:uid="{D8C6665E-58AA-49DA-B8BE-4D493FCD62DF}"/>
    <cellStyle name="Output 2 2 5 2 9" xfId="14254" xr:uid="{80E59F9C-AFED-4064-83DE-C8A4728FE06F}"/>
    <cellStyle name="Output 2 2 5 3" xfId="3237" xr:uid="{28A979B9-603F-4D49-8860-D0D8953D3FFB}"/>
    <cellStyle name="Output 2 2 5 3 10" xfId="15017" xr:uid="{2D549D2B-66E4-4466-9084-40423C8ADDD0}"/>
    <cellStyle name="Output 2 2 5 3 11" xfId="21887" xr:uid="{224F28C5-071F-4ED8-976D-241253B3D931}"/>
    <cellStyle name="Output 2 2 5 3 2" xfId="4460" xr:uid="{99AC5427-5FAB-46F3-B752-61D2D6C9D7A9}"/>
    <cellStyle name="Output 2 2 5 3 2 2" xfId="10317" xr:uid="{68FB6C33-9C0E-4C71-BCF8-121E5F06C9A2}"/>
    <cellStyle name="Output 2 2 5 3 2 2 2" xfId="19363" xr:uid="{A548C438-AB37-4C8F-8688-D9268C0D8357}"/>
    <cellStyle name="Output 2 2 5 3 2 3" xfId="15877" xr:uid="{3503019D-88C3-40F8-BAF6-F6E2506ECED9}"/>
    <cellStyle name="Output 2 2 5 3 2 4" xfId="22543" xr:uid="{D0D2CCDE-95EC-48C0-BFF9-8A458C6AFECF}"/>
    <cellStyle name="Output 2 2 5 3 3" xfId="4961" xr:uid="{CE2DAF02-8909-4F0D-A046-2C70C2EEFD59}"/>
    <cellStyle name="Output 2 2 5 3 3 2" xfId="10814" xr:uid="{01438516-A010-4345-AE75-E6C73B9AACB5}"/>
    <cellStyle name="Output 2 2 5 3 3 2 2" xfId="19860" xr:uid="{B8045929-495D-4F1A-AB45-876764921F46}"/>
    <cellStyle name="Output 2 2 5 3 3 3" xfId="16374" xr:uid="{8FC4AF4D-03AD-4C67-A550-54576E79379D}"/>
    <cellStyle name="Output 2 2 5 3 3 4" xfId="23038" xr:uid="{6A5C3566-8B10-419F-922F-55F55479E70B}"/>
    <cellStyle name="Output 2 2 5 3 4" xfId="5576" xr:uid="{E274F3AE-BB0D-47ED-873E-E59277CEC8DB}"/>
    <cellStyle name="Output 2 2 5 3 4 2" xfId="11429" xr:uid="{6BB3EBBD-95FB-4B8B-8B0B-8159733D60B6}"/>
    <cellStyle name="Output 2 2 5 3 4 2 2" xfId="20475" xr:uid="{DAD2206C-3925-4DC9-8F7C-B9FC210693B7}"/>
    <cellStyle name="Output 2 2 5 3 4 3" xfId="16989" xr:uid="{4FB67454-F42F-4B54-99B1-C21EDE70A16F}"/>
    <cellStyle name="Output 2 2 5 3 5" xfId="6187" xr:uid="{E783A640-6B4A-4ACC-B062-ADC58351E89C}"/>
    <cellStyle name="Output 2 2 5 3 5 2" xfId="12034" xr:uid="{DCB6CAE7-D86A-4B4C-B0D2-8099E3207B49}"/>
    <cellStyle name="Output 2 2 5 3 5 2 2" xfId="21080" xr:uid="{8D3EBE00-A885-469A-B8E1-7342DE091E4D}"/>
    <cellStyle name="Output 2 2 5 3 5 3" xfId="17600" xr:uid="{36BB5571-117E-45DE-8DA0-1E26D94E9929}"/>
    <cellStyle name="Output 2 2 5 3 6" xfId="9448" xr:uid="{5271B7BA-72AD-48F8-984B-E3E912561A3B}"/>
    <cellStyle name="Output 2 2 5 3 6 2" xfId="18494" xr:uid="{1D408F66-F2A9-49BA-87C8-C11E1B28E432}"/>
    <cellStyle name="Output 2 2 5 3 7" xfId="12846" xr:uid="{6BA50121-1699-419C-94A9-08B00C43406F}"/>
    <cellStyle name="Output 2 2 5 3 8" xfId="13404" xr:uid="{F8E82B97-A6B5-4DE6-BDDA-31D65DE6FFC5}"/>
    <cellStyle name="Output 2 2 5 3 9" xfId="14042" xr:uid="{F9A05222-54E4-42CC-B65E-F23DFFEF118E}"/>
    <cellStyle name="Output 2 2 5 4" xfId="4071" xr:uid="{AFFE92AD-DAFB-40AD-9CB1-3DBF0C68A239}"/>
    <cellStyle name="Output 2 2 5 4 2" xfId="9928" xr:uid="{1B55755C-44CB-4D9C-B5A3-669514A7934C}"/>
    <cellStyle name="Output 2 2 5 4 2 2" xfId="18974" xr:uid="{4FA91028-31DD-45D1-BB12-81A603CCF3B6}"/>
    <cellStyle name="Output 2 2 5 4 3" xfId="15488" xr:uid="{F205340D-66D5-482B-B744-EB09AA2914BC}"/>
    <cellStyle name="Output 2 2 5 4 4" xfId="22191" xr:uid="{FC905989-1410-4F4D-944D-F45DEE974E00}"/>
    <cellStyle name="Output 2 2 5 5" xfId="5361" xr:uid="{2AAE9D0C-87A7-457A-AE92-8128AE44738C}"/>
    <cellStyle name="Output 2 2 5 5 2" xfId="11214" xr:uid="{D5FD8005-D63B-482F-AC77-4F38A0532997}"/>
    <cellStyle name="Output 2 2 5 5 2 2" xfId="20260" xr:uid="{B8D84618-7862-4012-98DA-A719B6645952}"/>
    <cellStyle name="Output 2 2 5 5 3" xfId="16774" xr:uid="{660BA4ED-5C78-4A9C-9A71-0F49AEA97043}"/>
    <cellStyle name="Output 2 2 5 6" xfId="5972" xr:uid="{674A1DBF-4579-46A6-AD92-2DC0F55CFE9B}"/>
    <cellStyle name="Output 2 2 5 6 2" xfId="11823" xr:uid="{8DD2320D-FB7B-40F2-AE7B-ABA6177CA072}"/>
    <cellStyle name="Output 2 2 5 6 2 2" xfId="20869" xr:uid="{5D78DE91-D105-416A-A726-1FD1F2A0DDB3}"/>
    <cellStyle name="Output 2 2 5 6 3" xfId="17385" xr:uid="{06D5630C-D6AD-4AE0-B455-D189CC98E609}"/>
    <cellStyle name="Output 2 2 5 7" xfId="9233" xr:uid="{9F04BC5F-D8E6-4AC5-B9A5-622A6E5998DD}"/>
    <cellStyle name="Output 2 2 5 7 2" xfId="18279" xr:uid="{DFCEDB85-6E66-4204-8361-94A438A5E8B8}"/>
    <cellStyle name="Output 2 2 5 8" xfId="12631" xr:uid="{32106B21-831E-4561-9F32-EC10FB95AAE5}"/>
    <cellStyle name="Output 2 2 5 9" xfId="13193" xr:uid="{6CD75B94-E4E2-438B-A325-5953701B2D88}"/>
    <cellStyle name="Output 2 2 6" xfId="3320" xr:uid="{45241A04-B2D5-4263-8ABE-5D8371F33461}"/>
    <cellStyle name="Output 2 2 6 10" xfId="15100" xr:uid="{E4FAA3BC-20FD-4193-B300-3583466BA54B}"/>
    <cellStyle name="Output 2 2 6 11" xfId="21969" xr:uid="{6FE47FB5-505B-4FE5-B116-DA513582CF37}"/>
    <cellStyle name="Output 2 2 6 2" xfId="4543" xr:uid="{CE4B44FC-4FBB-4D78-8F17-8AC5B50804DA}"/>
    <cellStyle name="Output 2 2 6 2 2" xfId="10400" xr:uid="{003B4627-284B-4197-A2FB-BE055AE92080}"/>
    <cellStyle name="Output 2 2 6 2 2 2" xfId="19446" xr:uid="{FEED09F6-C484-45EA-9AB3-EFCFC8B0FEB2}"/>
    <cellStyle name="Output 2 2 6 2 3" xfId="15960" xr:uid="{EFACC98A-4AD9-4B50-BFD9-38A2D7E030FC}"/>
    <cellStyle name="Output 2 2 6 2 4" xfId="22625" xr:uid="{2F825CBC-162D-434F-BE44-0AC009ECCB92}"/>
    <cellStyle name="Output 2 2 6 3" xfId="5044" xr:uid="{52DBF4F7-19A2-4586-A166-B4B9262CA449}"/>
    <cellStyle name="Output 2 2 6 3 2" xfId="10897" xr:uid="{321B8B36-A5CC-4F25-BD0F-C2B86FE42171}"/>
    <cellStyle name="Output 2 2 6 3 2 2" xfId="19943" xr:uid="{0CCE24D8-A6C1-4D5B-8269-0C4D5808C784}"/>
    <cellStyle name="Output 2 2 6 3 3" xfId="16457" xr:uid="{E6C1F565-3C0C-4EDE-998B-7860FD9C200E}"/>
    <cellStyle name="Output 2 2 6 3 4" xfId="23120" xr:uid="{96F2E9B6-93DA-4B77-8B69-45BD00801404}"/>
    <cellStyle name="Output 2 2 6 4" xfId="5659" xr:uid="{4220B971-E664-430F-BBFB-B39B8A42840C}"/>
    <cellStyle name="Output 2 2 6 4 2" xfId="11512" xr:uid="{0B7B2B21-BCA1-4BEB-B132-E009FF021761}"/>
    <cellStyle name="Output 2 2 6 4 2 2" xfId="20558" xr:uid="{16571B44-4B43-4CA9-8DD4-8E44E90130B9}"/>
    <cellStyle name="Output 2 2 6 4 3" xfId="17072" xr:uid="{D9E7A32C-2667-4385-A7CC-70279D54B0E3}"/>
    <cellStyle name="Output 2 2 6 5" xfId="6270" xr:uid="{92F4AEBB-C5C0-4AD8-8BFC-EBED542CFF94}"/>
    <cellStyle name="Output 2 2 6 5 2" xfId="12117" xr:uid="{A1BA9489-2AFA-4AE1-A997-C4354E955377}"/>
    <cellStyle name="Output 2 2 6 5 2 2" xfId="21163" xr:uid="{627A371D-4644-4D91-BFA8-0EE0C387A07A}"/>
    <cellStyle name="Output 2 2 6 5 3" xfId="17683" xr:uid="{3F5DF13E-1AE9-4CAA-92C3-6B7B27D37B28}"/>
    <cellStyle name="Output 2 2 6 6" xfId="9531" xr:uid="{6C3948F2-ACA0-4039-A842-B3B6028B939E}"/>
    <cellStyle name="Output 2 2 6 6 2" xfId="18577" xr:uid="{0854F3A2-8B6B-4622-A76F-96D5EF860283}"/>
    <cellStyle name="Output 2 2 6 7" xfId="12929" xr:uid="{ABB1584A-A35E-4A5C-99C1-FBACF8A736AC}"/>
    <cellStyle name="Output 2 2 6 8" xfId="13486" xr:uid="{F3738465-276D-45B4-8CA7-25F0738EF5DA}"/>
    <cellStyle name="Output 2 2 6 9" xfId="14125" xr:uid="{38E26677-A94C-4516-B4CD-996F03268DC4}"/>
    <cellStyle name="Output 2 2 7" xfId="3107" xr:uid="{85059AAB-D9AB-43E0-8F91-237A47707CD2}"/>
    <cellStyle name="Output 2 2 7 10" xfId="14888" xr:uid="{F84C6612-9594-459D-B114-47780D3DFD1B}"/>
    <cellStyle name="Output 2 2 7 11" xfId="21755" xr:uid="{9970864B-C501-4A26-910F-640301E6D90A}"/>
    <cellStyle name="Output 2 2 7 2" xfId="4328" xr:uid="{18832F90-056B-401E-BB6D-C75BEAA9CA87}"/>
    <cellStyle name="Output 2 2 7 2 2" xfId="10185" xr:uid="{D0E31C02-0FF2-414C-84FF-6ECD7E024B2F}"/>
    <cellStyle name="Output 2 2 7 2 2 2" xfId="19231" xr:uid="{1C0A7773-C1DE-4550-97BD-4A0E1E927AF4}"/>
    <cellStyle name="Output 2 2 7 2 3" xfId="15745" xr:uid="{7D590FC1-12F9-4558-B7D5-AD1A0ECF5293}"/>
    <cellStyle name="Output 2 2 7 2 4" xfId="22411" xr:uid="{F91A051A-CE68-4DEB-BAED-89A94B79D352}"/>
    <cellStyle name="Output 2 2 7 3" xfId="4829" xr:uid="{F593E08D-2C9D-4731-A80E-A5E3E1D96E69}"/>
    <cellStyle name="Output 2 2 7 3 2" xfId="10685" xr:uid="{78AB4656-BE04-4EA9-A28C-C2A6F81B7E39}"/>
    <cellStyle name="Output 2 2 7 3 2 2" xfId="19731" xr:uid="{DF5C9E2D-5D51-4F07-9495-48FB73039F8E}"/>
    <cellStyle name="Output 2 2 7 3 3" xfId="16245" xr:uid="{F8887618-CDE3-4B94-80F5-B49AB54E2369}"/>
    <cellStyle name="Output 2 2 7 3 4" xfId="22906" xr:uid="{C28339C1-494A-4FD6-AA77-AAA43C2EE2F2}"/>
    <cellStyle name="Output 2 2 7 4" xfId="5444" xr:uid="{FDEA2770-51DA-4198-980D-8E4A8211FAEF}"/>
    <cellStyle name="Output 2 2 7 4 2" xfId="11297" xr:uid="{1BCDB379-B156-4A6E-BB44-18A5AF8A8D28}"/>
    <cellStyle name="Output 2 2 7 4 2 2" xfId="20343" xr:uid="{6B8A09E5-0725-4BFA-8C5B-12A0A9A02E0E}"/>
    <cellStyle name="Output 2 2 7 4 3" xfId="16857" xr:uid="{961219D6-CBE7-4F63-A48B-6BA661E11B23}"/>
    <cellStyle name="Output 2 2 7 5" xfId="6055" xr:uid="{76821B04-198B-4780-8CCF-AC4E45D7F24E}"/>
    <cellStyle name="Output 2 2 7 5 2" xfId="11905" xr:uid="{4E6B2119-5BA7-4638-8D66-C400F4E564D8}"/>
    <cellStyle name="Output 2 2 7 5 2 2" xfId="20951" xr:uid="{6D95005C-A16D-413F-AB6B-EE7BB3AFB506}"/>
    <cellStyle name="Output 2 2 7 5 3" xfId="17468" xr:uid="{E2545404-E9B6-437F-9D7C-98EFA654D4FB}"/>
    <cellStyle name="Output 2 2 7 6" xfId="9319" xr:uid="{63B49AB3-DDA8-47BD-96B5-4A6438643370}"/>
    <cellStyle name="Output 2 2 7 6 2" xfId="18365" xr:uid="{4C0B8816-A83C-4665-84B6-9742CCEE99CF}"/>
    <cellStyle name="Output 2 2 7 7" xfId="12714" xr:uid="{C520DF6F-E17C-4B26-80F8-72C16997D4BA}"/>
    <cellStyle name="Output 2 2 7 8" xfId="13275" xr:uid="{17D9B7BE-82E5-45E4-AF14-59BBF44D3144}"/>
    <cellStyle name="Output 2 2 7 9" xfId="13910" xr:uid="{ACC797AA-7F86-4B18-AE4B-B40E0EEDA0D2}"/>
    <cellStyle name="Output 2 2 8" xfId="3707" xr:uid="{22653510-16E1-46E1-87DB-F17324F38E6A}"/>
    <cellStyle name="Output 2 2 8 2" xfId="9749" xr:uid="{0FD3F5D9-7DA0-4EC8-8E21-083D882B9A12}"/>
    <cellStyle name="Output 2 2 8 2 2" xfId="18795" xr:uid="{40DB8298-9BA1-4138-B475-68212B27222E}"/>
    <cellStyle name="Output 2 2 8 3" xfId="15315" xr:uid="{F2220C2F-9393-4556-ACA2-53CA6C8B3877}"/>
    <cellStyle name="Output 2 2 8 4" xfId="22294" xr:uid="{500E2395-BDEF-40D0-A8BB-6DCD68AC5ED8}"/>
    <cellStyle name="Output 2 2 9" xfId="4191" xr:uid="{2A2513DB-60ED-48F1-A3CE-083F091926C9}"/>
    <cellStyle name="Output 2 2 9 2" xfId="10048" xr:uid="{571913E2-F356-4881-9272-CEED79CB5CBF}"/>
    <cellStyle name="Output 2 2 9 2 2" xfId="19094" xr:uid="{E688CCE5-9B17-4786-8261-B77490487B17}"/>
    <cellStyle name="Output 2 2 9 3" xfId="15608" xr:uid="{4D899EC3-857A-406E-A0D1-7B6C42D841D0}"/>
    <cellStyle name="Output 2 2 9 4" xfId="22284" xr:uid="{09A0C7CD-A4E3-485D-98FC-5B7214705C7D}"/>
    <cellStyle name="Output 2 20" xfId="12500" xr:uid="{180C36C6-361E-4F13-8EDB-CC62F04716E0}"/>
    <cellStyle name="Output 2 21" xfId="13694" xr:uid="{21456A00-5DFE-4EB0-A068-61A533C97E46}"/>
    <cellStyle name="Output 2 22" xfId="14667" xr:uid="{5AFE0CB9-8750-4F4B-B83F-6EA23338A8C2}"/>
    <cellStyle name="Output 2 23" xfId="23768" xr:uid="{40AECA60-1198-46C8-98F3-8B4A727D48DA}"/>
    <cellStyle name="Output 2 3" xfId="514" xr:uid="{5E579ABD-6E28-41FA-B9DF-0703529281F6}"/>
    <cellStyle name="Output 2 3 10" xfId="4152" xr:uid="{047713E2-948B-4472-ACF9-D63807139BB1}"/>
    <cellStyle name="Output 2 3 10 2" xfId="10009" xr:uid="{E2B82ACA-7769-4EB1-B6F3-3AC5B0F0F927}"/>
    <cellStyle name="Output 2 3 10 2 2" xfId="19055" xr:uid="{A4EF7C59-1B3F-48F0-B825-6FAFBD0E80DE}"/>
    <cellStyle name="Output 2 3 10 3" xfId="15569" xr:uid="{63F0DE4D-2987-41A0-930C-C2AE9DDB2FCB}"/>
    <cellStyle name="Output 2 3 11" xfId="4315" xr:uid="{3A7731B1-24CE-46EA-82D4-EE146090E14B}"/>
    <cellStyle name="Output 2 3 11 2" xfId="10172" xr:uid="{BE199F22-9491-4656-B8FB-FB9AD5F9BF08}"/>
    <cellStyle name="Output 2 3 11 2 2" xfId="19218" xr:uid="{9E1CE544-1CC7-4E6E-8F57-36C3124CB90D}"/>
    <cellStyle name="Output 2 3 11 3" xfId="15732" xr:uid="{6933F9F1-389D-42F5-B5F6-685FEFA913DD}"/>
    <cellStyle name="Output 2 3 12" xfId="4168" xr:uid="{B5CD9167-DC37-4428-97DC-29DE1AF040C3}"/>
    <cellStyle name="Output 2 3 12 2" xfId="10025" xr:uid="{D9B4CA23-B6A0-468A-A106-731BE83BB640}"/>
    <cellStyle name="Output 2 3 12 2 2" xfId="19071" xr:uid="{392B1B74-FC6C-4510-B1BA-D4AE0CEBDE47}"/>
    <cellStyle name="Output 2 3 12 3" xfId="15585" xr:uid="{B88B236B-E470-4290-846D-BCD5660EA1E3}"/>
    <cellStyle name="Output 2 3 13" xfId="9117" xr:uid="{F2C254D0-DDC0-453B-B89C-4928D505BE5F}"/>
    <cellStyle name="Output 2 3 13 2" xfId="18163" xr:uid="{E3215DC6-0101-471C-9A9E-44332E3133A3}"/>
    <cellStyle name="Output 2 3 14" xfId="12517" xr:uid="{660E791D-4ACC-414A-9D34-CAF9DC28CB41}"/>
    <cellStyle name="Output 2 3 15" xfId="13711" xr:uid="{8126C4CD-155C-4146-A2EF-146F91902629}"/>
    <cellStyle name="Output 2 3 16" xfId="14686" xr:uid="{62C8D6FA-A436-4612-A097-78399F3F7AC5}"/>
    <cellStyle name="Output 2 3 17" xfId="21558" xr:uid="{2BF158FD-E07A-46BC-A5A2-D34ACF44F0DB}"/>
    <cellStyle name="Output 2 3 18" xfId="23769" xr:uid="{8B1ECAFA-66FC-48FD-B0D8-EE84B253A18A}"/>
    <cellStyle name="Output 2 3 2" xfId="2412" xr:uid="{E58B12CB-5E83-423A-A955-A737EA9195E1}"/>
    <cellStyle name="Output 2 3 2 10" xfId="5889" xr:uid="{2841AA06-9A68-4296-A8F0-91A4598D4F2C}"/>
    <cellStyle name="Output 2 3 2 10 2" xfId="11742" xr:uid="{2B26918C-2B3F-4A19-8A57-3FF1C7DD2B81}"/>
    <cellStyle name="Output 2 3 2 10 2 2" xfId="20788" xr:uid="{3DBF85DA-F77E-4EAD-9329-0B5C24819B81}"/>
    <cellStyle name="Output 2 3 2 10 3" xfId="17302" xr:uid="{C45D242A-801C-4FDD-9032-B0FD49B5A51D}"/>
    <cellStyle name="Output 2 3 2 11" xfId="9152" xr:uid="{67B0BB07-6E77-4C98-85F3-B4BF80578215}"/>
    <cellStyle name="Output 2 3 2 11 2" xfId="18198" xr:uid="{69762153-9AA3-4425-9D70-175A6EE404B8}"/>
    <cellStyle name="Output 2 3 2 12" xfId="12550" xr:uid="{A5C3290E-8E22-4654-B07D-97FEA749E84A}"/>
    <cellStyle name="Output 2 3 2 13" xfId="13744" xr:uid="{954BB5D3-946B-4C84-9EA7-03C0D627E0C8}"/>
    <cellStyle name="Output 2 3 2 14" xfId="14721" xr:uid="{B4E8E997-E04F-4CFD-86BD-F180F6F9E314}"/>
    <cellStyle name="Output 2 3 2 15" xfId="21591" xr:uid="{1E260B7B-9E39-4177-9BA3-E9231C4B1CAB}"/>
    <cellStyle name="Output 2 3 2 16" xfId="23770" xr:uid="{AB1D321D-14C0-4EDD-8573-E415EC9C0FE6}"/>
    <cellStyle name="Output 2 3 2 2" xfId="2413" xr:uid="{CBFC7AC2-827A-4B0D-B9ED-7DCC51E4B658}"/>
    <cellStyle name="Output 2 3 2 2 10" xfId="13194" xr:uid="{917DB679-07E5-4EEA-B43A-185CDE3060C4}"/>
    <cellStyle name="Output 2 3 2 2 11" xfId="13828" xr:uid="{5CE7B352-1FFF-4B51-968B-51FF5DD0F8E5}"/>
    <cellStyle name="Output 2 3 2 2 12" xfId="14803" xr:uid="{48FCF03F-6C1B-4B1F-B588-B9FDD8DC3426}"/>
    <cellStyle name="Output 2 3 2 2 13" xfId="21673" xr:uid="{4F003622-9073-45F5-B152-A86F29FEF33F}"/>
    <cellStyle name="Output 2 3 2 2 2" xfId="2642" xr:uid="{45B9AF97-60F4-47E4-A887-DA75CBB758C1}"/>
    <cellStyle name="Output 2 3 2 2 2 10" xfId="15230" xr:uid="{0DFAC41D-CA14-4D16-95ED-C89FB361881F}"/>
    <cellStyle name="Output 2 3 2 2 2 11" xfId="22099" xr:uid="{5E70C020-4430-4F8B-A247-0D76CE4205DF}"/>
    <cellStyle name="Output 2 3 2 2 2 12" xfId="3439" xr:uid="{71CBC44E-2A05-41DB-A723-7F1CEE1CEEB8}"/>
    <cellStyle name="Output 2 3 2 2 2 2" xfId="4673" xr:uid="{E58B26E4-4938-4257-AB43-4718DF9B3385}"/>
    <cellStyle name="Output 2 3 2 2 2 2 2" xfId="10530" xr:uid="{E61DEE3F-8917-4A96-A5D8-FA1DC5FDE31F}"/>
    <cellStyle name="Output 2 3 2 2 2 2 2 2" xfId="19576" xr:uid="{FEAD6DA0-2B17-4B1C-BF17-2EBD472B36E2}"/>
    <cellStyle name="Output 2 3 2 2 2 2 3" xfId="16090" xr:uid="{85D294D8-EFD7-4663-8EBF-6213FD9E3B4E}"/>
    <cellStyle name="Output 2 3 2 2 2 2 4" xfId="22755" xr:uid="{F076C6D2-BD13-4C4C-8846-9E3ACBC2D48D}"/>
    <cellStyle name="Output 2 3 2 2 2 3" xfId="5174" xr:uid="{F6735788-22A4-4246-A332-25916D6E1906}"/>
    <cellStyle name="Output 2 3 2 2 2 3 2" xfId="11027" xr:uid="{AF0B9C3C-BC41-4A1B-83EC-3D8341DD0420}"/>
    <cellStyle name="Output 2 3 2 2 2 3 2 2" xfId="20073" xr:uid="{4F91BE90-920F-438C-BBB0-9556709492AF}"/>
    <cellStyle name="Output 2 3 2 2 2 3 3" xfId="16587" xr:uid="{EA4BE3AB-42C5-40C3-960F-72AD98CF24EA}"/>
    <cellStyle name="Output 2 3 2 2 2 3 4" xfId="23250" xr:uid="{6CE28559-A9CA-4800-9848-1C8EBCCF168C}"/>
    <cellStyle name="Output 2 3 2 2 2 4" xfId="5789" xr:uid="{7C0B8EC8-28AF-49B8-AFEE-5FA8A8FEA195}"/>
    <cellStyle name="Output 2 3 2 2 2 4 2" xfId="11642" xr:uid="{8134A5E3-6F54-434F-B64B-291846F10877}"/>
    <cellStyle name="Output 2 3 2 2 2 4 2 2" xfId="20688" xr:uid="{2D4C83CC-24D3-447B-B4EF-5D5E85CD2E51}"/>
    <cellStyle name="Output 2 3 2 2 2 4 3" xfId="17202" xr:uid="{2C63AC9D-97AE-490F-A4AF-A9364B265465}"/>
    <cellStyle name="Output 2 3 2 2 2 5" xfId="6400" xr:uid="{76F95657-4D8F-4008-AE0D-8A627EEAF74E}"/>
    <cellStyle name="Output 2 3 2 2 2 5 2" xfId="12247" xr:uid="{8BFDAF09-9BE6-4AD5-99E4-3B0B4BAEB57C}"/>
    <cellStyle name="Output 2 3 2 2 2 5 2 2" xfId="21293" xr:uid="{236FF37C-DABB-454D-980F-CD21D79E51C9}"/>
    <cellStyle name="Output 2 3 2 2 2 5 3" xfId="17813" xr:uid="{9224BA69-A4DF-4191-A599-BE86831FAFAA}"/>
    <cellStyle name="Output 2 3 2 2 2 6" xfId="9661" xr:uid="{0E3FA101-B578-4CD5-9A41-30287822959B}"/>
    <cellStyle name="Output 2 3 2 2 2 6 2" xfId="18707" xr:uid="{DC0BAD28-2176-4009-B12B-8FD35089976E}"/>
    <cellStyle name="Output 2 3 2 2 2 7" xfId="13059" xr:uid="{19D465D4-BF55-40D4-9E5F-64AA93ADEA4F}"/>
    <cellStyle name="Output 2 3 2 2 2 8" xfId="13616" xr:uid="{969D82BA-FB80-4127-A200-C12B34E874DD}"/>
    <cellStyle name="Output 2 3 2 2 2 9" xfId="14255" xr:uid="{8C949211-4101-41AC-A15E-BABA2BC23813}"/>
    <cellStyle name="Output 2 3 2 2 3" xfId="3238" xr:uid="{085F9C6B-86B6-4C21-BBA1-B03CFFF466CA}"/>
    <cellStyle name="Output 2 3 2 2 3 10" xfId="15018" xr:uid="{A5CCAD14-8D2A-4BB5-875E-C1883007A89B}"/>
    <cellStyle name="Output 2 3 2 2 3 11" xfId="21888" xr:uid="{C555D91C-25A8-4854-8063-FECCCAD1910A}"/>
    <cellStyle name="Output 2 3 2 2 3 2" xfId="4461" xr:uid="{92C85DD8-B042-4A4A-A9FB-EC3A880940C8}"/>
    <cellStyle name="Output 2 3 2 2 3 2 2" xfId="10318" xr:uid="{95C1D52C-A2E8-46B0-833F-1D8306CB9821}"/>
    <cellStyle name="Output 2 3 2 2 3 2 2 2" xfId="19364" xr:uid="{527E41BD-20B7-4AA6-A766-8F6E11F602D4}"/>
    <cellStyle name="Output 2 3 2 2 3 2 3" xfId="15878" xr:uid="{75B61492-5369-4F95-A140-D65081446F97}"/>
    <cellStyle name="Output 2 3 2 2 3 2 4" xfId="22544" xr:uid="{20ABBBFC-5E13-48F2-8EDD-A999B4DBDD73}"/>
    <cellStyle name="Output 2 3 2 2 3 3" xfId="4962" xr:uid="{1EB80E05-7D14-4FA3-8677-B0946B3D34D7}"/>
    <cellStyle name="Output 2 3 2 2 3 3 2" xfId="10815" xr:uid="{87151284-5120-4522-ACB4-98E234350B4F}"/>
    <cellStyle name="Output 2 3 2 2 3 3 2 2" xfId="19861" xr:uid="{019F4B9C-3596-4AC6-91E0-4196ED87F324}"/>
    <cellStyle name="Output 2 3 2 2 3 3 3" xfId="16375" xr:uid="{0434438F-61BB-45A5-937F-AFE886674039}"/>
    <cellStyle name="Output 2 3 2 2 3 3 4" xfId="23039" xr:uid="{B947B606-A49A-4B71-B494-EF47878A7124}"/>
    <cellStyle name="Output 2 3 2 2 3 4" xfId="5577" xr:uid="{ECE0FD4A-E77A-43BA-8346-946A01B62957}"/>
    <cellStyle name="Output 2 3 2 2 3 4 2" xfId="11430" xr:uid="{F2916F82-91A1-4E2E-A60C-901EC454F059}"/>
    <cellStyle name="Output 2 3 2 2 3 4 2 2" xfId="20476" xr:uid="{978787FA-506A-423C-9DE8-902DCDD4BE24}"/>
    <cellStyle name="Output 2 3 2 2 3 4 3" xfId="16990" xr:uid="{79C0B6CA-7334-44F5-ABDA-53BF2813B409}"/>
    <cellStyle name="Output 2 3 2 2 3 5" xfId="6188" xr:uid="{D621D2B3-CB9E-4CF3-8A31-B0847B571758}"/>
    <cellStyle name="Output 2 3 2 2 3 5 2" xfId="12035" xr:uid="{8E92DE4F-DF14-4193-8AB9-7EF2BB0ED0D4}"/>
    <cellStyle name="Output 2 3 2 2 3 5 2 2" xfId="21081" xr:uid="{D3C945E0-4F13-4A50-9052-22819A9C2042}"/>
    <cellStyle name="Output 2 3 2 2 3 5 3" xfId="17601" xr:uid="{52D44700-D36F-4895-9EFC-2912803A4C02}"/>
    <cellStyle name="Output 2 3 2 2 3 6" xfId="9449" xr:uid="{CBF943FD-1EA4-498C-8560-3820B5190E53}"/>
    <cellStyle name="Output 2 3 2 2 3 6 2" xfId="18495" xr:uid="{253BF459-0C0C-4C0D-B5D2-821E705DC4A0}"/>
    <cellStyle name="Output 2 3 2 2 3 7" xfId="12847" xr:uid="{62932A9B-8838-4E6F-9DAF-14E4BAFAB036}"/>
    <cellStyle name="Output 2 3 2 2 3 8" xfId="13405" xr:uid="{BF1C20BF-C736-446E-96AA-6D01851F83A1}"/>
    <cellStyle name="Output 2 3 2 2 3 9" xfId="14043" xr:uid="{8FBFAFEB-A036-4334-95F2-8ACD3BF05D2D}"/>
    <cellStyle name="Output 2 3 2 2 4" xfId="4025" xr:uid="{C8CA4D8F-B850-4FB6-809A-6E4D712BD7DC}"/>
    <cellStyle name="Output 2 3 2 2 4 2" xfId="9887" xr:uid="{E90DA8FF-1D0D-419C-9A1E-2D2AC1972FE6}"/>
    <cellStyle name="Output 2 3 2 2 4 2 2" xfId="18933" xr:uid="{721C1C12-0C4E-4C1E-9D99-F5C5E18B2AA5}"/>
    <cellStyle name="Output 2 3 2 2 4 3" xfId="15449" xr:uid="{F3A98C40-F159-48D3-B0C2-16FB8BB52636}"/>
    <cellStyle name="Output 2 3 2 2 4 4" xfId="22190" xr:uid="{9F49AF6D-48B1-4C86-B409-CF3BCF0712F8}"/>
    <cellStyle name="Output 2 3 2 2 5" xfId="4070" xr:uid="{9D0379CE-0C80-4F3B-98E5-5D9979B3D42B}"/>
    <cellStyle name="Output 2 3 2 2 5 2" xfId="9927" xr:uid="{161270E5-9924-4F75-B159-F5B7D2171956}"/>
    <cellStyle name="Output 2 3 2 2 5 2 2" xfId="18973" xr:uid="{72B6BD04-ACB3-4DA7-93E3-EF8E07C9BE6D}"/>
    <cellStyle name="Output 2 3 2 2 5 3" xfId="15487" xr:uid="{79332D75-A9FC-4FB7-B2F3-F71D265231EF}"/>
    <cellStyle name="Output 2 3 2 2 6" xfId="5362" xr:uid="{25EAF55B-AB42-425D-A947-0F2EE18AE0F0}"/>
    <cellStyle name="Output 2 3 2 2 6 2" xfId="11215" xr:uid="{B18A06E3-280C-4198-9813-257F5F14A11E}"/>
    <cellStyle name="Output 2 3 2 2 6 2 2" xfId="20261" xr:uid="{28768EEF-69AF-4E78-BBF4-E0BF0E1808B0}"/>
    <cellStyle name="Output 2 3 2 2 6 3" xfId="16775" xr:uid="{58E0118C-29DC-4239-8B1D-8A44D30D80DC}"/>
    <cellStyle name="Output 2 3 2 2 7" xfId="5973" xr:uid="{4FD13B15-F5F4-41F5-BA89-E08FE4907EE2}"/>
    <cellStyle name="Output 2 3 2 2 7 2" xfId="11824" xr:uid="{3ED7EC2A-99F7-4A54-B977-B2EDBD092D1D}"/>
    <cellStyle name="Output 2 3 2 2 7 2 2" xfId="20870" xr:uid="{F1EBC4FD-56FC-49DF-88C0-0F60A89F88B5}"/>
    <cellStyle name="Output 2 3 2 2 7 3" xfId="17386" xr:uid="{E786589A-61F4-4AB2-A272-804B01D70D21}"/>
    <cellStyle name="Output 2 3 2 2 8" xfId="9234" xr:uid="{9DED4363-3418-4500-BCC9-3B082E05F21F}"/>
    <cellStyle name="Output 2 3 2 2 8 2" xfId="18280" xr:uid="{4DD5653A-C059-45D7-BA40-A972AC0A7799}"/>
    <cellStyle name="Output 2 3 2 2 9" xfId="12632" xr:uid="{0F4E8C50-EB1C-492E-9D46-13CA68FF7D27}"/>
    <cellStyle name="Output 2 3 2 3" xfId="2884" xr:uid="{9235DBCA-FA5B-4C26-92E1-9BDEC54C031E}"/>
    <cellStyle name="Output 2 3 2 3 10" xfId="13829" xr:uid="{415D408F-8B8D-46FF-9B56-C568184F0A76}"/>
    <cellStyle name="Output 2 3 2 3 11" xfId="14804" xr:uid="{5576A00B-F245-470A-BE47-D9A70A3A0CEA}"/>
    <cellStyle name="Output 2 3 2 3 12" xfId="21674" xr:uid="{19C7B21E-CBB3-43E2-A919-3FC1A8CF112C}"/>
    <cellStyle name="Output 2 3 2 3 13" xfId="3058" xr:uid="{DDE34958-928C-4647-BF98-248670798EEE}"/>
    <cellStyle name="Output 2 3 2 3 2" xfId="3440" xr:uid="{B0F86627-58A8-4F47-8925-9A0C38C65890}"/>
    <cellStyle name="Output 2 3 2 3 2 10" xfId="15231" xr:uid="{2F626EA0-B73D-4B8E-A9E7-56B12E101C4D}"/>
    <cellStyle name="Output 2 3 2 3 2 11" xfId="22100" xr:uid="{CF58A7BF-87AF-4173-ACEC-D6FDE1847C86}"/>
    <cellStyle name="Output 2 3 2 3 2 2" xfId="4674" xr:uid="{F8E7AA02-54C5-482F-B234-B4DE1923D1AB}"/>
    <cellStyle name="Output 2 3 2 3 2 2 2" xfId="10531" xr:uid="{5493E61D-F5C7-453D-A357-85F3FE65BB12}"/>
    <cellStyle name="Output 2 3 2 3 2 2 2 2" xfId="19577" xr:uid="{A0E11852-CF16-4E1D-B4F5-D512024C6911}"/>
    <cellStyle name="Output 2 3 2 3 2 2 3" xfId="16091" xr:uid="{6D24D95B-78DF-4BC8-B34E-96DE9C612F29}"/>
    <cellStyle name="Output 2 3 2 3 2 2 4" xfId="22756" xr:uid="{8423D56B-2570-4BDD-A18F-683427469EFA}"/>
    <cellStyle name="Output 2 3 2 3 2 3" xfId="5175" xr:uid="{C9FC05F9-05E9-40F9-B2E4-22DDA25E4605}"/>
    <cellStyle name="Output 2 3 2 3 2 3 2" xfId="11028" xr:uid="{51C45DA1-12C5-44E0-B97B-1FD5E1DCC63D}"/>
    <cellStyle name="Output 2 3 2 3 2 3 2 2" xfId="20074" xr:uid="{DB106760-5464-4962-98A7-631D31435EF0}"/>
    <cellStyle name="Output 2 3 2 3 2 3 3" xfId="16588" xr:uid="{5B236008-88B1-4827-A352-3655F23025C6}"/>
    <cellStyle name="Output 2 3 2 3 2 3 4" xfId="23251" xr:uid="{1AD13E17-219D-47FD-BA1A-FD49713FF1DE}"/>
    <cellStyle name="Output 2 3 2 3 2 4" xfId="5790" xr:uid="{EC2A57CC-74C3-4E15-9886-64746D158029}"/>
    <cellStyle name="Output 2 3 2 3 2 4 2" xfId="11643" xr:uid="{026B2424-3CCD-47D7-ACED-4AC26EFED164}"/>
    <cellStyle name="Output 2 3 2 3 2 4 2 2" xfId="20689" xr:uid="{4B2F733C-9CEA-4ECE-ACAB-5590B78FDAE0}"/>
    <cellStyle name="Output 2 3 2 3 2 4 3" xfId="17203" xr:uid="{AB270D03-D817-4D9B-900A-43DA88683B27}"/>
    <cellStyle name="Output 2 3 2 3 2 5" xfId="6401" xr:uid="{FDE605BE-AACD-411A-B316-97D386652D83}"/>
    <cellStyle name="Output 2 3 2 3 2 5 2" xfId="12248" xr:uid="{5DDEC59F-4F53-414F-B9D8-3047BBA24E7B}"/>
    <cellStyle name="Output 2 3 2 3 2 5 2 2" xfId="21294" xr:uid="{3B1DE830-68D3-46ED-8E8D-271B72410BE1}"/>
    <cellStyle name="Output 2 3 2 3 2 5 3" xfId="17814" xr:uid="{385A3FC3-A55A-4247-AB41-278C90AC1E69}"/>
    <cellStyle name="Output 2 3 2 3 2 6" xfId="9662" xr:uid="{73EA8310-3909-4498-A383-1E566CA57C30}"/>
    <cellStyle name="Output 2 3 2 3 2 6 2" xfId="18708" xr:uid="{439AA83F-7EDE-43B7-AEFB-799F040D4D86}"/>
    <cellStyle name="Output 2 3 2 3 2 7" xfId="13060" xr:uid="{39632BA0-4956-48C8-BF9F-58F6E8A9FE56}"/>
    <cellStyle name="Output 2 3 2 3 2 8" xfId="13617" xr:uid="{2CCF77C8-BA58-45BC-AF6E-5CBA8AB20762}"/>
    <cellStyle name="Output 2 3 2 3 2 9" xfId="14256" xr:uid="{9FB05870-128D-4D96-8917-B55C2CCC9455}"/>
    <cellStyle name="Output 2 3 2 3 3" xfId="3239" xr:uid="{CC7EE24A-CD83-4D8D-B5F6-DCC3A52DD4A2}"/>
    <cellStyle name="Output 2 3 2 3 3 10" xfId="15019" xr:uid="{949D5B81-D32A-45F2-8E1D-C6FCE24DA659}"/>
    <cellStyle name="Output 2 3 2 3 3 11" xfId="21889" xr:uid="{E19415AA-53E6-4EBD-A7B3-7AEFD076711E}"/>
    <cellStyle name="Output 2 3 2 3 3 2" xfId="4462" xr:uid="{FC5852F2-B6B2-420B-A716-B6E71784D2B0}"/>
    <cellStyle name="Output 2 3 2 3 3 2 2" xfId="10319" xr:uid="{F137F255-ECBA-488B-8016-A6D46E8892BB}"/>
    <cellStyle name="Output 2 3 2 3 3 2 2 2" xfId="19365" xr:uid="{6684407C-C64F-4DB9-B6A3-817DA7D0705C}"/>
    <cellStyle name="Output 2 3 2 3 3 2 3" xfId="15879" xr:uid="{5485F75A-C000-48CB-9476-14BE84CE4289}"/>
    <cellStyle name="Output 2 3 2 3 3 2 4" xfId="22545" xr:uid="{749F40F4-E0E8-45D2-BE7A-612680468770}"/>
    <cellStyle name="Output 2 3 2 3 3 3" xfId="4963" xr:uid="{0FCB084A-BDE7-40BD-A4AD-E8459E96AF4C}"/>
    <cellStyle name="Output 2 3 2 3 3 3 2" xfId="10816" xr:uid="{EC57D2B9-4184-4BE3-895F-55CCED444BAB}"/>
    <cellStyle name="Output 2 3 2 3 3 3 2 2" xfId="19862" xr:uid="{B86256E6-6113-4C77-BE39-34E94B77E633}"/>
    <cellStyle name="Output 2 3 2 3 3 3 3" xfId="16376" xr:uid="{4B731802-3FBA-4D10-91B2-A3CA8F615A4E}"/>
    <cellStyle name="Output 2 3 2 3 3 3 4" xfId="23040" xr:uid="{955B66C1-04A6-4FE8-8DBD-AE46967BEECD}"/>
    <cellStyle name="Output 2 3 2 3 3 4" xfId="5578" xr:uid="{665B0EDE-49C9-4FFF-BECE-C2C35F1916A1}"/>
    <cellStyle name="Output 2 3 2 3 3 4 2" xfId="11431" xr:uid="{6CC4826D-7849-48A5-8EA2-DCED7E439F3F}"/>
    <cellStyle name="Output 2 3 2 3 3 4 2 2" xfId="20477" xr:uid="{8F5BC528-36DA-4A65-AE28-F4AE627884D1}"/>
    <cellStyle name="Output 2 3 2 3 3 4 3" xfId="16991" xr:uid="{C3E82AED-2544-4AE8-B152-4B8DDF6A3B96}"/>
    <cellStyle name="Output 2 3 2 3 3 5" xfId="6189" xr:uid="{69033509-AC8C-402A-BC1E-9E308D64A87C}"/>
    <cellStyle name="Output 2 3 2 3 3 5 2" xfId="12036" xr:uid="{7E2AB34D-BBEF-48D6-AA58-83A304D3BB73}"/>
    <cellStyle name="Output 2 3 2 3 3 5 2 2" xfId="21082" xr:uid="{1F1DFD09-B931-48F5-B94C-AA6BCCEF7B3C}"/>
    <cellStyle name="Output 2 3 2 3 3 5 3" xfId="17602" xr:uid="{7E6BDD38-29B8-46D4-9A9E-7489BC2AD263}"/>
    <cellStyle name="Output 2 3 2 3 3 6" xfId="9450" xr:uid="{3F51E927-46DC-4C6F-9C06-DEBF51E4ADCD}"/>
    <cellStyle name="Output 2 3 2 3 3 6 2" xfId="18496" xr:uid="{1519A763-9B17-415D-8BCE-565B2E296F6C}"/>
    <cellStyle name="Output 2 3 2 3 3 7" xfId="12848" xr:uid="{E2BCD916-37B2-4157-B742-58E1405EE81E}"/>
    <cellStyle name="Output 2 3 2 3 3 8" xfId="13406" xr:uid="{451414E4-AB0B-4D23-9C7E-DF0B7FF38F58}"/>
    <cellStyle name="Output 2 3 2 3 3 9" xfId="14044" xr:uid="{66995BFA-2868-498E-BE6D-8A4F406226B6}"/>
    <cellStyle name="Output 2 3 2 3 4" xfId="4069" xr:uid="{CF526030-150F-45F5-B45A-A730A03EA94E}"/>
    <cellStyle name="Output 2 3 2 3 4 2" xfId="9926" xr:uid="{6112E6DD-C006-4D12-B25D-46857EA25495}"/>
    <cellStyle name="Output 2 3 2 3 4 2 2" xfId="18972" xr:uid="{66E70DFE-1F58-4C8F-B6B6-3C11A878C24E}"/>
    <cellStyle name="Output 2 3 2 3 4 3" xfId="15486" xr:uid="{B647E2F7-ADE5-4559-9171-30DFAAAB6143}"/>
    <cellStyle name="Output 2 3 2 3 4 4" xfId="22189" xr:uid="{5F61E727-2406-451F-94A0-9AA792B2199D}"/>
    <cellStyle name="Output 2 3 2 3 5" xfId="5363" xr:uid="{3ADA5578-E104-4E7B-B949-0B85CBB371FD}"/>
    <cellStyle name="Output 2 3 2 3 5 2" xfId="11216" xr:uid="{CE98A2B2-F0EC-484D-95FA-C4BDB284E8B7}"/>
    <cellStyle name="Output 2 3 2 3 5 2 2" xfId="20262" xr:uid="{2B33B7B2-25F6-480A-AE05-AE555BA075E5}"/>
    <cellStyle name="Output 2 3 2 3 5 3" xfId="16776" xr:uid="{0AB28E4D-5D26-4410-B50A-D8D56230F5FD}"/>
    <cellStyle name="Output 2 3 2 3 6" xfId="5974" xr:uid="{2F995DF8-410A-4CC9-97DC-0AC7C6E3A426}"/>
    <cellStyle name="Output 2 3 2 3 6 2" xfId="11825" xr:uid="{B2FAC539-4CB7-46C7-B6BC-D17AC7C9D713}"/>
    <cellStyle name="Output 2 3 2 3 6 2 2" xfId="20871" xr:uid="{66770F7C-A513-41FD-A8C3-0F4C96984AD4}"/>
    <cellStyle name="Output 2 3 2 3 6 3" xfId="17387" xr:uid="{49D19734-B528-449B-BD7E-C689AB15439D}"/>
    <cellStyle name="Output 2 3 2 3 7" xfId="9235" xr:uid="{314DBC75-6106-4AC4-96F0-5BCA36B8FBD1}"/>
    <cellStyle name="Output 2 3 2 3 7 2" xfId="18281" xr:uid="{EF433B2D-1855-43BA-B1FB-7C5AA1B66A0B}"/>
    <cellStyle name="Output 2 3 2 3 8" xfId="12633" xr:uid="{A0E307D9-20B6-45E6-86A0-443EC11D928F}"/>
    <cellStyle name="Output 2 3 2 3 9" xfId="13195" xr:uid="{E915159F-06CB-4EF9-A408-F3CB5388BB52}"/>
    <cellStyle name="Output 2 3 2 4" xfId="3368" xr:uid="{6458283B-3D8B-44E3-A419-A6A6F38C8CBE}"/>
    <cellStyle name="Output 2 3 2 4 10" xfId="15148" xr:uid="{D18A425F-A772-4D25-99B0-0653CD24A76F}"/>
    <cellStyle name="Output 2 3 2 4 11" xfId="22017" xr:uid="{C8157FC1-6824-4A81-86D6-6F4C1AAF7690}"/>
    <cellStyle name="Output 2 3 2 4 2" xfId="4591" xr:uid="{DD64AEC2-1D48-40BA-BCCC-EF5327B21F90}"/>
    <cellStyle name="Output 2 3 2 4 2 2" xfId="10448" xr:uid="{96F49B49-9DCF-4E03-B194-8308E4FDD627}"/>
    <cellStyle name="Output 2 3 2 4 2 2 2" xfId="19494" xr:uid="{DE3E9834-E313-4DF8-A820-D6DB9AA3E89C}"/>
    <cellStyle name="Output 2 3 2 4 2 3" xfId="16008" xr:uid="{081BB5A9-DE8E-4D59-8CFB-9D5FD7061D08}"/>
    <cellStyle name="Output 2 3 2 4 2 4" xfId="22673" xr:uid="{A4F8B7D6-5AE7-4C20-B644-EAFEC22BE380}"/>
    <cellStyle name="Output 2 3 2 4 3" xfId="5092" xr:uid="{C2AC346B-C831-4FA8-AF0F-CBDC137F7E56}"/>
    <cellStyle name="Output 2 3 2 4 3 2" xfId="10945" xr:uid="{D070977C-7CEC-4A20-8A45-FAFF9E282A58}"/>
    <cellStyle name="Output 2 3 2 4 3 2 2" xfId="19991" xr:uid="{838F1FFD-5E30-4EAC-96B6-D5DD0B0F11FC}"/>
    <cellStyle name="Output 2 3 2 4 3 3" xfId="16505" xr:uid="{9C676916-FA56-4822-B2D7-DD719DAE2DF6}"/>
    <cellStyle name="Output 2 3 2 4 3 4" xfId="23168" xr:uid="{E18CE0B8-7A0F-4C5A-9BAF-3C62A8DEE1C1}"/>
    <cellStyle name="Output 2 3 2 4 4" xfId="5707" xr:uid="{83E23852-E185-40D2-B9FE-6233AA14C9CA}"/>
    <cellStyle name="Output 2 3 2 4 4 2" xfId="11560" xr:uid="{456D3DA1-5383-4994-A35A-A1DE97BE27E1}"/>
    <cellStyle name="Output 2 3 2 4 4 2 2" xfId="20606" xr:uid="{F1E0F8C0-0324-445C-9B89-C99F5B0E4BF6}"/>
    <cellStyle name="Output 2 3 2 4 4 3" xfId="17120" xr:uid="{EB88875A-5C97-4BAC-A5CC-1E24FE0DF0AA}"/>
    <cellStyle name="Output 2 3 2 4 5" xfId="6318" xr:uid="{49B3632E-B551-4726-BA9F-423E226087EF}"/>
    <cellStyle name="Output 2 3 2 4 5 2" xfId="12165" xr:uid="{BC18769D-58CF-45E9-9EBD-31A890593641}"/>
    <cellStyle name="Output 2 3 2 4 5 2 2" xfId="21211" xr:uid="{68E3973E-E008-45E4-9378-E25A50425669}"/>
    <cellStyle name="Output 2 3 2 4 5 3" xfId="17731" xr:uid="{023F5D97-F2C5-4D9C-8595-27D601794959}"/>
    <cellStyle name="Output 2 3 2 4 6" xfId="9579" xr:uid="{073A6BF5-EA6A-4B23-AE5E-919744953E8C}"/>
    <cellStyle name="Output 2 3 2 4 6 2" xfId="18625" xr:uid="{0F6D5BD4-999D-40E9-92FB-558C6B900436}"/>
    <cellStyle name="Output 2 3 2 4 7" xfId="12977" xr:uid="{5531F71D-5296-4D21-9A43-46408A99A7FD}"/>
    <cellStyle name="Output 2 3 2 4 8" xfId="13534" xr:uid="{B4EF1BF1-3155-46FC-BFB8-4F00D16A4B31}"/>
    <cellStyle name="Output 2 3 2 4 9" xfId="14173" xr:uid="{968B6904-404E-4F4F-86D3-A460310DA62B}"/>
    <cellStyle name="Output 2 3 2 5" xfId="3156" xr:uid="{41315354-A54D-4886-A3FA-3DC27A2B49E1}"/>
    <cellStyle name="Output 2 3 2 5 10" xfId="14936" xr:uid="{6058716A-D829-4530-9400-622F9F45AA07}"/>
    <cellStyle name="Output 2 3 2 5 11" xfId="21804" xr:uid="{EA75EF2A-69A3-4AD9-AEA7-4F74C25AF123}"/>
    <cellStyle name="Output 2 3 2 5 2" xfId="4377" xr:uid="{143F25D2-AC01-474E-BA78-4676253F3F6B}"/>
    <cellStyle name="Output 2 3 2 5 2 2" xfId="10234" xr:uid="{9ED05B24-E308-4B79-BADC-D7AE01243ECA}"/>
    <cellStyle name="Output 2 3 2 5 2 2 2" xfId="19280" xr:uid="{FE089182-5DD9-4E7B-ADAB-8489024A64DC}"/>
    <cellStyle name="Output 2 3 2 5 2 3" xfId="15794" xr:uid="{FB20DC39-CDBB-4FCF-BB39-0876E0D28825}"/>
    <cellStyle name="Output 2 3 2 5 2 4" xfId="22460" xr:uid="{B2C1EC34-2E19-481A-A4A1-7ADC919BDE19}"/>
    <cellStyle name="Output 2 3 2 5 3" xfId="4878" xr:uid="{1764B89C-398F-48A1-B781-EB57AB395A86}"/>
    <cellStyle name="Output 2 3 2 5 3 2" xfId="10733" xr:uid="{664CAB72-ED9D-4423-9ECB-D129E1AAB096}"/>
    <cellStyle name="Output 2 3 2 5 3 2 2" xfId="19779" xr:uid="{C39431D2-FDB2-4F12-9D38-29A5F3B15050}"/>
    <cellStyle name="Output 2 3 2 5 3 3" xfId="16293" xr:uid="{2C8325C9-7906-4E7E-904A-234C690EFA53}"/>
    <cellStyle name="Output 2 3 2 5 3 4" xfId="22955" xr:uid="{E0276CA2-17FD-4B89-A4E5-95FA352652FC}"/>
    <cellStyle name="Output 2 3 2 5 4" xfId="5493" xr:uid="{83A2CBEA-CE36-4F7F-99A5-B4570B4C924E}"/>
    <cellStyle name="Output 2 3 2 5 4 2" xfId="11346" xr:uid="{40CD12E4-C2D0-4DF9-BB7E-8CB6156B4756}"/>
    <cellStyle name="Output 2 3 2 5 4 2 2" xfId="20392" xr:uid="{565A4918-022F-451C-A93C-6E3537BB234F}"/>
    <cellStyle name="Output 2 3 2 5 4 3" xfId="16906" xr:uid="{05EF23BB-6C94-4758-8A6E-572E3904F134}"/>
    <cellStyle name="Output 2 3 2 5 5" xfId="6104" xr:uid="{BF75EFE0-E681-4CB8-B3E1-49C11721D003}"/>
    <cellStyle name="Output 2 3 2 5 5 2" xfId="11953" xr:uid="{97576863-3BCB-4D2F-BE2F-E339C940FBA1}"/>
    <cellStyle name="Output 2 3 2 5 5 2 2" xfId="20999" xr:uid="{218DCF7C-598A-4159-B452-8B66CA9D01A8}"/>
    <cellStyle name="Output 2 3 2 5 5 3" xfId="17517" xr:uid="{505CA22B-3A1C-464A-8AB3-08E4A0357C22}"/>
    <cellStyle name="Output 2 3 2 5 6" xfId="9367" xr:uid="{7BD47E64-E518-414B-BC8B-858FF6A89F35}"/>
    <cellStyle name="Output 2 3 2 5 6 2" xfId="18413" xr:uid="{80BDA4DF-C702-40E9-B072-E399BBC15250}"/>
    <cellStyle name="Output 2 3 2 5 7" xfId="12763" xr:uid="{FECD647E-2503-4F17-8F71-B41AC9DF557D}"/>
    <cellStyle name="Output 2 3 2 5 8" xfId="13323" xr:uid="{BA8197E7-D6CE-4B35-AA6E-FE62C0894AFF}"/>
    <cellStyle name="Output 2 3 2 5 9" xfId="13959" xr:uid="{18160011-95D4-4A1D-8197-104A998E88E0}"/>
    <cellStyle name="Output 2 3 2 6" xfId="3757" xr:uid="{6C330234-0DCA-498A-85DC-B2D5A252E1B5}"/>
    <cellStyle name="Output 2 3 2 6 2" xfId="9799" xr:uid="{AF6A664B-5865-4157-8C26-531CAD6E3BDE}"/>
    <cellStyle name="Output 2 3 2 6 2 2" xfId="18845" xr:uid="{442BA43A-D409-4CB0-B047-C2948275AD5E}"/>
    <cellStyle name="Output 2 3 2 6 3" xfId="15365" xr:uid="{42F34CB3-7E3F-456C-84FF-8612308BD5F6}"/>
    <cellStyle name="Output 2 3 2 6 4" xfId="22344" xr:uid="{EB6C5950-EA53-4DCA-8E9B-6515B94B8B3C}"/>
    <cellStyle name="Output 2 3 2 7" xfId="4241" xr:uid="{09D34DA0-00A6-4A85-AA55-D4457CE51C7F}"/>
    <cellStyle name="Output 2 3 2 7 2" xfId="10098" xr:uid="{0B7C6534-6F74-4E9C-8E66-86C40F534CEE}"/>
    <cellStyle name="Output 2 3 2 7 2 2" xfId="19144" xr:uid="{17F38FA4-83EB-4D7E-AD7E-A59F17E66F81}"/>
    <cellStyle name="Output 2 3 2 7 3" xfId="15658" xr:uid="{384929F8-11B8-4DBC-8D27-2482DEB72CA5}"/>
    <cellStyle name="Output 2 3 2 7 4" xfId="22261" xr:uid="{D3B93AA3-2E2B-449F-AD49-43FB34D63609}"/>
    <cellStyle name="Output 2 3 2 8" xfId="4285" xr:uid="{1122A48E-DE61-4819-9479-F799DAC9E17D}"/>
    <cellStyle name="Output 2 3 2 8 2" xfId="10142" xr:uid="{0602B64F-098B-4635-9744-5579838EF771}"/>
    <cellStyle name="Output 2 3 2 8 2 2" xfId="19188" xr:uid="{878F23D7-E9A6-4751-8BBE-3883BC09B1B9}"/>
    <cellStyle name="Output 2 3 2 8 3" xfId="15702" xr:uid="{083C3D27-BD35-4116-9FA6-703BAE7657DE}"/>
    <cellStyle name="Output 2 3 2 9" xfId="5278" xr:uid="{3A1C6D39-6C23-47F9-A885-F4FB13990F54}"/>
    <cellStyle name="Output 2 3 2 9 2" xfId="11131" xr:uid="{62E9F5AC-C643-4295-93F1-3A80B3ABE127}"/>
    <cellStyle name="Output 2 3 2 9 2 2" xfId="20177" xr:uid="{A59AF065-E9E2-4C56-8AD5-4C0114E2902D}"/>
    <cellStyle name="Output 2 3 2 9 3" xfId="16691" xr:uid="{15083880-1A77-49B0-8740-8DB1D8ABD705}"/>
    <cellStyle name="Output 2 3 3" xfId="2414" xr:uid="{CE54FE03-64F5-48F9-85BE-B28337A63E97}"/>
    <cellStyle name="Output 2 3 3 10" xfId="5890" xr:uid="{737340A9-E47D-48E9-9572-425D6E8CFF8E}"/>
    <cellStyle name="Output 2 3 3 10 2" xfId="11743" xr:uid="{7C39C2E6-1E96-44A1-A994-BC7DAEE5A9D7}"/>
    <cellStyle name="Output 2 3 3 10 2 2" xfId="20789" xr:uid="{1FD281D0-C4E3-4ABF-A826-F86F689D9A84}"/>
    <cellStyle name="Output 2 3 3 10 3" xfId="17303" xr:uid="{ABE84F83-B05E-4560-9DD1-67D20C768900}"/>
    <cellStyle name="Output 2 3 3 11" xfId="9153" xr:uid="{E32E7291-6518-474D-9541-B2F5CB380F4F}"/>
    <cellStyle name="Output 2 3 3 11 2" xfId="18199" xr:uid="{EBC67FD1-3F61-4F8A-9613-8E97BB65AEF6}"/>
    <cellStyle name="Output 2 3 3 12" xfId="12551" xr:uid="{40FABF22-77D8-4A13-9074-70E453ABDE17}"/>
    <cellStyle name="Output 2 3 3 13" xfId="13745" xr:uid="{6D335ABE-BFC3-4DB8-8DBE-47E8786FC218}"/>
    <cellStyle name="Output 2 3 3 14" xfId="14722" xr:uid="{A58A830B-8FAA-4AD0-9231-E3C45EDCB953}"/>
    <cellStyle name="Output 2 3 3 15" xfId="21592" xr:uid="{F35D8E4E-1DD1-4716-AF82-8C144EF141A6}"/>
    <cellStyle name="Output 2 3 3 16" xfId="23771" xr:uid="{B5306BCE-6202-41AD-B780-1CC2DFDCFA22}"/>
    <cellStyle name="Output 2 3 3 2" xfId="2415" xr:uid="{EB99699D-9860-43BC-AC6A-DD9A04FCFBD3}"/>
    <cellStyle name="Output 2 3 3 2 10" xfId="13196" xr:uid="{7F3839AD-411F-451E-85AC-C4B1A4F7A811}"/>
    <cellStyle name="Output 2 3 3 2 11" xfId="13830" xr:uid="{8FA58893-E200-4802-A560-18B27A96D873}"/>
    <cellStyle name="Output 2 3 3 2 12" xfId="14805" xr:uid="{947F837F-F3F5-4AAA-A501-23FB50E0CCA5}"/>
    <cellStyle name="Output 2 3 3 2 13" xfId="21675" xr:uid="{A9883C76-8552-4DA1-8694-8AD62C54831B}"/>
    <cellStyle name="Output 2 3 3 2 2" xfId="2883" xr:uid="{3698A423-F2D1-43D8-B656-535ADFA9A964}"/>
    <cellStyle name="Output 2 3 3 2 2 10" xfId="15232" xr:uid="{BFC7B05E-F74F-4528-99AC-035C9D95A164}"/>
    <cellStyle name="Output 2 3 3 2 2 11" xfId="22101" xr:uid="{21A1B2D9-F426-403E-A8B3-AEC8182826E3}"/>
    <cellStyle name="Output 2 3 3 2 2 12" xfId="3441" xr:uid="{FE5C71A3-F11E-43AF-8C11-D5186846653B}"/>
    <cellStyle name="Output 2 3 3 2 2 2" xfId="4675" xr:uid="{99F0F362-1855-4A8F-931D-E09B2FBA24A9}"/>
    <cellStyle name="Output 2 3 3 2 2 2 2" xfId="10532" xr:uid="{C3AD35E7-FE95-455C-910F-EFC4D0F6089A}"/>
    <cellStyle name="Output 2 3 3 2 2 2 2 2" xfId="19578" xr:uid="{4BD716D9-A845-4943-912E-A19254A22E36}"/>
    <cellStyle name="Output 2 3 3 2 2 2 3" xfId="16092" xr:uid="{613815E5-F83A-430C-8F45-D1C2D4F7A6B5}"/>
    <cellStyle name="Output 2 3 3 2 2 2 4" xfId="22757" xr:uid="{5B6D7EC9-11B6-483B-8D7D-990282A61343}"/>
    <cellStyle name="Output 2 3 3 2 2 3" xfId="5176" xr:uid="{9437B75D-2E21-4B18-BBB4-B70F513E2D67}"/>
    <cellStyle name="Output 2 3 3 2 2 3 2" xfId="11029" xr:uid="{22E655A3-E5E4-4E41-946B-E36AB7AFFC95}"/>
    <cellStyle name="Output 2 3 3 2 2 3 2 2" xfId="20075" xr:uid="{DC1D9DCC-D39F-4A96-BD42-33D770531C82}"/>
    <cellStyle name="Output 2 3 3 2 2 3 3" xfId="16589" xr:uid="{9066878E-8D73-4C2E-98B7-E5BE7B37B0E2}"/>
    <cellStyle name="Output 2 3 3 2 2 3 4" xfId="23252" xr:uid="{F985F713-DEB0-486D-924E-6A511443F3F1}"/>
    <cellStyle name="Output 2 3 3 2 2 4" xfId="5791" xr:uid="{42B582E7-8016-4958-93BE-D227BE2643D7}"/>
    <cellStyle name="Output 2 3 3 2 2 4 2" xfId="11644" xr:uid="{A0F091D0-E86F-4B69-BB8D-0C4B96A8C880}"/>
    <cellStyle name="Output 2 3 3 2 2 4 2 2" xfId="20690" xr:uid="{9E7CBA9E-2DAA-4EEC-9C3B-1FF48CC17801}"/>
    <cellStyle name="Output 2 3 3 2 2 4 3" xfId="17204" xr:uid="{7A78CD92-5090-4028-8D27-5FB4944F0714}"/>
    <cellStyle name="Output 2 3 3 2 2 5" xfId="6402" xr:uid="{F802AC8A-1A40-4DA6-807C-83588F99964F}"/>
    <cellStyle name="Output 2 3 3 2 2 5 2" xfId="12249" xr:uid="{481842B3-9930-49D5-9FAB-8C94AB9F5ADD}"/>
    <cellStyle name="Output 2 3 3 2 2 5 2 2" xfId="21295" xr:uid="{8F55271C-AA41-498E-9660-2B57D72985A5}"/>
    <cellStyle name="Output 2 3 3 2 2 5 3" xfId="17815" xr:uid="{D8D22776-DBB7-45E6-B3B7-359323233260}"/>
    <cellStyle name="Output 2 3 3 2 2 6" xfId="9663" xr:uid="{D40BFFD3-4111-4665-B752-85E8F11AB5DB}"/>
    <cellStyle name="Output 2 3 3 2 2 6 2" xfId="18709" xr:uid="{C0BCC278-5448-4E82-A5AC-0BD142E026EA}"/>
    <cellStyle name="Output 2 3 3 2 2 7" xfId="13061" xr:uid="{D7E6EBFB-CD5C-4AD4-B545-AB147EF94B63}"/>
    <cellStyle name="Output 2 3 3 2 2 8" xfId="13618" xr:uid="{F69D51C0-E7C6-4ED5-97B2-5516F2019073}"/>
    <cellStyle name="Output 2 3 3 2 2 9" xfId="14257" xr:uid="{2127F9C3-526E-4B8A-B94B-2F4B88B34672}"/>
    <cellStyle name="Output 2 3 3 2 3" xfId="3240" xr:uid="{BE5659E7-2431-4B52-B1E4-891830877AC5}"/>
    <cellStyle name="Output 2 3 3 2 3 10" xfId="15020" xr:uid="{686F85B6-1BCC-4389-9D85-D3A601A64322}"/>
    <cellStyle name="Output 2 3 3 2 3 11" xfId="21890" xr:uid="{FCB22915-D1CE-4486-B70A-A79C5965EC87}"/>
    <cellStyle name="Output 2 3 3 2 3 2" xfId="4463" xr:uid="{EF36CC0A-FE33-459C-9AAA-20DFECFF44BA}"/>
    <cellStyle name="Output 2 3 3 2 3 2 2" xfId="10320" xr:uid="{D9856905-093F-4398-A100-B490DA7D8E81}"/>
    <cellStyle name="Output 2 3 3 2 3 2 2 2" xfId="19366" xr:uid="{2ABCCC19-0FE9-4632-9E8C-AF20BD824847}"/>
    <cellStyle name="Output 2 3 3 2 3 2 3" xfId="15880" xr:uid="{BF20A011-AF15-43D2-9012-91648610D160}"/>
    <cellStyle name="Output 2 3 3 2 3 2 4" xfId="22546" xr:uid="{057252D1-A8BE-4538-95BA-2C4873BA74DC}"/>
    <cellStyle name="Output 2 3 3 2 3 3" xfId="4964" xr:uid="{1821F63A-B990-41E1-9907-1CCDD2864A49}"/>
    <cellStyle name="Output 2 3 3 2 3 3 2" xfId="10817" xr:uid="{AB4190E4-903C-4AD5-88FA-9E547E220BDE}"/>
    <cellStyle name="Output 2 3 3 2 3 3 2 2" xfId="19863" xr:uid="{2D220BF7-DDED-4549-9C82-1F7CB6D9E223}"/>
    <cellStyle name="Output 2 3 3 2 3 3 3" xfId="16377" xr:uid="{26C30583-20C1-40F0-8CE5-8A136D3BC29D}"/>
    <cellStyle name="Output 2 3 3 2 3 3 4" xfId="23041" xr:uid="{E0D62443-4783-4DF9-AF87-B70529E7C61D}"/>
    <cellStyle name="Output 2 3 3 2 3 4" xfId="5579" xr:uid="{E1B00037-AE70-41F2-8333-484EF702454D}"/>
    <cellStyle name="Output 2 3 3 2 3 4 2" xfId="11432" xr:uid="{6103539E-9C98-4E8E-86A4-6031151926EA}"/>
    <cellStyle name="Output 2 3 3 2 3 4 2 2" xfId="20478" xr:uid="{97EE8218-3BD9-4225-A107-02790E5E6FBA}"/>
    <cellStyle name="Output 2 3 3 2 3 4 3" xfId="16992" xr:uid="{06FBFDFB-8403-4A33-BD68-D29B058366F0}"/>
    <cellStyle name="Output 2 3 3 2 3 5" xfId="6190" xr:uid="{1F99E550-7099-48EA-B1E8-333513A95D3D}"/>
    <cellStyle name="Output 2 3 3 2 3 5 2" xfId="12037" xr:uid="{B22CAD54-97E8-428E-9E19-1C70EF68353C}"/>
    <cellStyle name="Output 2 3 3 2 3 5 2 2" xfId="21083" xr:uid="{A6BB378F-DA58-409C-8776-F15D485730D5}"/>
    <cellStyle name="Output 2 3 3 2 3 5 3" xfId="17603" xr:uid="{B718CFB7-DD9B-4C31-A26F-F0EBBBD2784E}"/>
    <cellStyle name="Output 2 3 3 2 3 6" xfId="9451" xr:uid="{FC10A711-3AFB-4341-A51E-FA7E8B9E3E05}"/>
    <cellStyle name="Output 2 3 3 2 3 6 2" xfId="18497" xr:uid="{10FCDB74-9F61-41D7-B5C3-16F4F8C9DDC1}"/>
    <cellStyle name="Output 2 3 3 2 3 7" xfId="12849" xr:uid="{E728DAA3-4FBF-4819-94D8-6D29439BEDA4}"/>
    <cellStyle name="Output 2 3 3 2 3 8" xfId="13407" xr:uid="{5F7B4643-D48E-411D-A9D9-9DF999C0F817}"/>
    <cellStyle name="Output 2 3 3 2 3 9" xfId="14045" xr:uid="{08514BDF-7B20-4F27-AA31-2BDBDE3EAECF}"/>
    <cellStyle name="Output 2 3 3 2 4" xfId="4026" xr:uid="{96FCB6F6-508C-4ECC-B496-24AF0F28AA5A}"/>
    <cellStyle name="Output 2 3 3 2 4 2" xfId="9888" xr:uid="{08494EEA-FC9E-436C-A9BB-80F816DBE48F}"/>
    <cellStyle name="Output 2 3 3 2 4 2 2" xfId="18934" xr:uid="{950CAED3-97D9-4EEC-85AA-7437A3801E99}"/>
    <cellStyle name="Output 2 3 3 2 4 3" xfId="15450" xr:uid="{A786EAF7-8D2C-43B2-B9E0-1E2B94F431FD}"/>
    <cellStyle name="Output 2 3 3 2 4 4" xfId="22188" xr:uid="{389FA13B-0A97-4034-9483-1D44982F00B5}"/>
    <cellStyle name="Output 2 3 3 2 5" xfId="4068" xr:uid="{BFA4B35A-1F49-49F3-A1FE-CE97EB86BEE0}"/>
    <cellStyle name="Output 2 3 3 2 5 2" xfId="9925" xr:uid="{A7EA0AFA-E8F5-4735-8AFF-63FC6ED4AD12}"/>
    <cellStyle name="Output 2 3 3 2 5 2 2" xfId="18971" xr:uid="{5665D5C9-6DD1-4B86-A0FE-CF4BC9FD08DA}"/>
    <cellStyle name="Output 2 3 3 2 5 3" xfId="15485" xr:uid="{D6122289-9EEF-449D-BF3F-DC3998C50D9A}"/>
    <cellStyle name="Output 2 3 3 2 6" xfId="5364" xr:uid="{CAF97C7F-19AA-4318-8BE4-71EE552B77A9}"/>
    <cellStyle name="Output 2 3 3 2 6 2" xfId="11217" xr:uid="{C8F93DB5-6E70-45C8-BFFB-F72DCE9D63C2}"/>
    <cellStyle name="Output 2 3 3 2 6 2 2" xfId="20263" xr:uid="{738A6404-4109-4C97-9EC1-6109B1C6FE78}"/>
    <cellStyle name="Output 2 3 3 2 6 3" xfId="16777" xr:uid="{9F38242B-C1D9-49DD-9F4A-314B41F15C5E}"/>
    <cellStyle name="Output 2 3 3 2 7" xfId="5975" xr:uid="{45BE4943-74B3-41DA-AA97-0ED0A82FD483}"/>
    <cellStyle name="Output 2 3 3 2 7 2" xfId="11826" xr:uid="{87257E5C-BB24-4341-904E-2C9E1DD0A539}"/>
    <cellStyle name="Output 2 3 3 2 7 2 2" xfId="20872" xr:uid="{7DE7A0BD-978F-4074-B65D-7E6D324CF4CD}"/>
    <cellStyle name="Output 2 3 3 2 7 3" xfId="17388" xr:uid="{259E5753-60AE-4F6D-A3BB-BE13133157B1}"/>
    <cellStyle name="Output 2 3 3 2 8" xfId="9236" xr:uid="{DC23CA23-C3ED-418D-AC38-B861E2AEBAB7}"/>
    <cellStyle name="Output 2 3 3 2 8 2" xfId="18282" xr:uid="{543E0870-FAB8-46A2-B78E-796BEE5C62D9}"/>
    <cellStyle name="Output 2 3 3 2 9" xfId="12634" xr:uid="{8DC96A18-50FA-4D2F-ABA9-E85CCBEE1CB8}"/>
    <cellStyle name="Output 2 3 3 3" xfId="2951" xr:uid="{01B9E7A6-6CC3-4DCA-A323-FF412403F679}"/>
    <cellStyle name="Output 2 3 3 3 10" xfId="13831" xr:uid="{DCB83E62-B092-4D64-938A-BD9F7EDBDB2A}"/>
    <cellStyle name="Output 2 3 3 3 11" xfId="14806" xr:uid="{37FD930C-50F7-4CFD-8719-C564203FBEB2}"/>
    <cellStyle name="Output 2 3 3 3 12" xfId="21676" xr:uid="{1596B2C8-5268-45BD-BB65-F8E017F2F8F7}"/>
    <cellStyle name="Output 2 3 3 3 13" xfId="3059" xr:uid="{07FF173F-2179-48CD-AEDF-44D296208278}"/>
    <cellStyle name="Output 2 3 3 3 2" xfId="3442" xr:uid="{D04BD2E0-5F0D-40A0-80B8-A1F099E76DDD}"/>
    <cellStyle name="Output 2 3 3 3 2 10" xfId="15233" xr:uid="{4063F0BD-89D1-4799-80B7-9A7160D9376F}"/>
    <cellStyle name="Output 2 3 3 3 2 11" xfId="22102" xr:uid="{ACD44C70-1B45-413A-88EE-F4191837EAA6}"/>
    <cellStyle name="Output 2 3 3 3 2 2" xfId="4676" xr:uid="{4E72DD2A-492E-491B-BE97-56D0E799CC8C}"/>
    <cellStyle name="Output 2 3 3 3 2 2 2" xfId="10533" xr:uid="{6F8AE2C0-79C8-4679-BB3B-5DD9C00FB05A}"/>
    <cellStyle name="Output 2 3 3 3 2 2 2 2" xfId="19579" xr:uid="{3FE3880B-04AE-46FE-8CD7-492FFED21FFB}"/>
    <cellStyle name="Output 2 3 3 3 2 2 3" xfId="16093" xr:uid="{DFD650C6-567D-401E-9330-F6412BBFE2FA}"/>
    <cellStyle name="Output 2 3 3 3 2 2 4" xfId="22758" xr:uid="{BD9E81EB-552C-4442-9CDC-1ACB952FD34A}"/>
    <cellStyle name="Output 2 3 3 3 2 3" xfId="5177" xr:uid="{659CD3F5-9FD8-4F64-825F-4CB4A9BE1D80}"/>
    <cellStyle name="Output 2 3 3 3 2 3 2" xfId="11030" xr:uid="{41E6CAEA-8D52-4BEA-85FA-937A1262DC16}"/>
    <cellStyle name="Output 2 3 3 3 2 3 2 2" xfId="20076" xr:uid="{080F4BB1-4CEB-4F7A-B250-E249B63026E3}"/>
    <cellStyle name="Output 2 3 3 3 2 3 3" xfId="16590" xr:uid="{BC53F9EB-1B7D-43C3-936A-E5842A384D73}"/>
    <cellStyle name="Output 2 3 3 3 2 3 4" xfId="23253" xr:uid="{4308B2EB-1EE3-4208-9815-6D901C6A4DF4}"/>
    <cellStyle name="Output 2 3 3 3 2 4" xfId="5792" xr:uid="{F202AAFB-591C-4D47-ACA1-37CE0C78CA2F}"/>
    <cellStyle name="Output 2 3 3 3 2 4 2" xfId="11645" xr:uid="{DFC5FB41-C636-47DB-A7AD-60C1925D6D64}"/>
    <cellStyle name="Output 2 3 3 3 2 4 2 2" xfId="20691" xr:uid="{5436EAB6-28DE-4A5C-8EA3-6980DDCAE8FE}"/>
    <cellStyle name="Output 2 3 3 3 2 4 3" xfId="17205" xr:uid="{DFA903D4-5CBE-4DD5-9482-7469CBD1B650}"/>
    <cellStyle name="Output 2 3 3 3 2 5" xfId="6403" xr:uid="{7CCD3EEC-6186-4046-AA09-247D720FFB2C}"/>
    <cellStyle name="Output 2 3 3 3 2 5 2" xfId="12250" xr:uid="{1F9AD139-5C2C-4E77-9FE7-66251E7E43BB}"/>
    <cellStyle name="Output 2 3 3 3 2 5 2 2" xfId="21296" xr:uid="{EF17F7EC-7773-470B-90F2-F6C557EA289E}"/>
    <cellStyle name="Output 2 3 3 3 2 5 3" xfId="17816" xr:uid="{B5E9EFE4-61A3-476C-A9C2-8EE892A72E1E}"/>
    <cellStyle name="Output 2 3 3 3 2 6" xfId="9664" xr:uid="{03A3BE46-FA20-4C18-8FE7-20775A2B18BF}"/>
    <cellStyle name="Output 2 3 3 3 2 6 2" xfId="18710" xr:uid="{5E23A1C9-DE77-4268-9604-46F254BA13C6}"/>
    <cellStyle name="Output 2 3 3 3 2 7" xfId="13062" xr:uid="{BDD85E34-2832-4AA8-AAE5-CC495AA4A740}"/>
    <cellStyle name="Output 2 3 3 3 2 8" xfId="13619" xr:uid="{06783243-ED37-445B-97BD-44BC164358CA}"/>
    <cellStyle name="Output 2 3 3 3 2 9" xfId="14258" xr:uid="{AD7368C7-6DA9-4DF8-B001-564D55CA09F5}"/>
    <cellStyle name="Output 2 3 3 3 3" xfId="3241" xr:uid="{72054F16-07E8-44AC-8C07-49A451F8120F}"/>
    <cellStyle name="Output 2 3 3 3 3 10" xfId="15021" xr:uid="{3264EFAF-4D4E-4BCE-B06C-1D7AB5C5D4BC}"/>
    <cellStyle name="Output 2 3 3 3 3 11" xfId="21891" xr:uid="{C5DB9EB0-866D-456C-B170-AC76043C0F19}"/>
    <cellStyle name="Output 2 3 3 3 3 2" xfId="4464" xr:uid="{DE7F0FD4-8E3E-48AD-A0AC-109BF9EA0084}"/>
    <cellStyle name="Output 2 3 3 3 3 2 2" xfId="10321" xr:uid="{9ECAF024-6F57-443E-9DB3-FC3A404E54F0}"/>
    <cellStyle name="Output 2 3 3 3 3 2 2 2" xfId="19367" xr:uid="{59364390-B5A0-48D3-9B4F-B6E5823BD82E}"/>
    <cellStyle name="Output 2 3 3 3 3 2 3" xfId="15881" xr:uid="{5EE3915B-0DE8-4D7A-90CB-5A5790E3618D}"/>
    <cellStyle name="Output 2 3 3 3 3 2 4" xfId="22547" xr:uid="{23C20419-A835-4192-B4ED-776F1EFBD22C}"/>
    <cellStyle name="Output 2 3 3 3 3 3" xfId="4965" xr:uid="{2F05A65F-1A09-4A1D-9FAA-9B1597D1A5B4}"/>
    <cellStyle name="Output 2 3 3 3 3 3 2" xfId="10818" xr:uid="{5507BF83-E006-4ECA-AECD-BFB8CDDE937B}"/>
    <cellStyle name="Output 2 3 3 3 3 3 2 2" xfId="19864" xr:uid="{BFC38130-3F8B-47F3-AC6E-43BF2B458780}"/>
    <cellStyle name="Output 2 3 3 3 3 3 3" xfId="16378" xr:uid="{47D48D9B-18DE-42FB-8640-9AF0FC569C2E}"/>
    <cellStyle name="Output 2 3 3 3 3 3 4" xfId="23042" xr:uid="{5A0693F1-C054-4042-816B-A9BE4D6EE220}"/>
    <cellStyle name="Output 2 3 3 3 3 4" xfId="5580" xr:uid="{17D296E9-2332-4983-B80A-2DA77FDBF0EB}"/>
    <cellStyle name="Output 2 3 3 3 3 4 2" xfId="11433" xr:uid="{FC03EC9D-3F33-440B-8D11-912841AA6A38}"/>
    <cellStyle name="Output 2 3 3 3 3 4 2 2" xfId="20479" xr:uid="{FB26744B-0423-4A93-8D7F-07FBE91FB79B}"/>
    <cellStyle name="Output 2 3 3 3 3 4 3" xfId="16993" xr:uid="{84AEF699-F3DD-4631-AAA7-6197B89834D3}"/>
    <cellStyle name="Output 2 3 3 3 3 5" xfId="6191" xr:uid="{B28F7FB2-44EA-4B6C-A37B-112273A414F5}"/>
    <cellStyle name="Output 2 3 3 3 3 5 2" xfId="12038" xr:uid="{77D74141-32CD-4874-A894-34A8D34782E3}"/>
    <cellStyle name="Output 2 3 3 3 3 5 2 2" xfId="21084" xr:uid="{B0B60DDD-4DF7-4675-B8EF-CDAE3873FB9F}"/>
    <cellStyle name="Output 2 3 3 3 3 5 3" xfId="17604" xr:uid="{25637135-071F-4EB3-9E7B-C31C216094A3}"/>
    <cellStyle name="Output 2 3 3 3 3 6" xfId="9452" xr:uid="{7648D53A-C886-450B-A5EB-AF610C874EA9}"/>
    <cellStyle name="Output 2 3 3 3 3 6 2" xfId="18498" xr:uid="{30DA2E92-090E-4ED9-AA50-0B0115491AAD}"/>
    <cellStyle name="Output 2 3 3 3 3 7" xfId="12850" xr:uid="{AE555345-675D-45F8-B26F-CBA9A14BF9FC}"/>
    <cellStyle name="Output 2 3 3 3 3 8" xfId="13408" xr:uid="{4EFCA6AB-14E0-4B69-B5E2-96DDB598DF59}"/>
    <cellStyle name="Output 2 3 3 3 3 9" xfId="14046" xr:uid="{D60349D5-6D2A-417A-9B75-C37B3019542C}"/>
    <cellStyle name="Output 2 3 3 3 4" xfId="4067" xr:uid="{7FCF6382-EB99-4D76-BD7A-694EC168BDBF}"/>
    <cellStyle name="Output 2 3 3 3 4 2" xfId="9924" xr:uid="{178F1727-49EA-4CC0-90C0-58AF6931E0F8}"/>
    <cellStyle name="Output 2 3 3 3 4 2 2" xfId="18970" xr:uid="{7070E3E7-DBDA-4F8F-9192-8E21414FB422}"/>
    <cellStyle name="Output 2 3 3 3 4 3" xfId="15484" xr:uid="{AC6C93B8-70DE-455D-A5A4-EED1395CDC7D}"/>
    <cellStyle name="Output 2 3 3 3 4 4" xfId="22187" xr:uid="{33307D66-9284-412F-BB5C-BBD05EC68CA5}"/>
    <cellStyle name="Output 2 3 3 3 5" xfId="5365" xr:uid="{79A0009F-5A07-46D4-A8E4-1037230AE7C7}"/>
    <cellStyle name="Output 2 3 3 3 5 2" xfId="11218" xr:uid="{5B0A8307-D428-4103-B1E4-F8D5E5E91934}"/>
    <cellStyle name="Output 2 3 3 3 5 2 2" xfId="20264" xr:uid="{BD049CA4-019B-4FDF-A450-51A8EDF2FE5A}"/>
    <cellStyle name="Output 2 3 3 3 5 3" xfId="16778" xr:uid="{F400C807-B1E3-4065-B8EC-B77061B768AF}"/>
    <cellStyle name="Output 2 3 3 3 6" xfId="5976" xr:uid="{E03B7590-E4C5-4915-B7D0-94E97D35F4B4}"/>
    <cellStyle name="Output 2 3 3 3 6 2" xfId="11827" xr:uid="{E4DD6BC8-1B3E-4213-9AD7-21F242CB514B}"/>
    <cellStyle name="Output 2 3 3 3 6 2 2" xfId="20873" xr:uid="{F5058422-0BED-4704-9CEC-7B32AB40DC66}"/>
    <cellStyle name="Output 2 3 3 3 6 3" xfId="17389" xr:uid="{374E2A8D-0986-4F8D-B671-C1E98FAADE7F}"/>
    <cellStyle name="Output 2 3 3 3 7" xfId="9237" xr:uid="{6136BDE7-031C-41C1-8EE6-6B2D2F510358}"/>
    <cellStyle name="Output 2 3 3 3 7 2" xfId="18283" xr:uid="{157309B4-DF80-42EF-88DD-151C1B4242AE}"/>
    <cellStyle name="Output 2 3 3 3 8" xfId="12635" xr:uid="{66D78371-6084-4B3C-96D3-ADD532ED1C90}"/>
    <cellStyle name="Output 2 3 3 3 9" xfId="13197" xr:uid="{3E92EF88-CB1F-4D91-8291-5F419A414647}"/>
    <cellStyle name="Output 2 3 3 4" xfId="3369" xr:uid="{D9BFF78A-58D6-4C6A-86F9-798C6BE2CBFB}"/>
    <cellStyle name="Output 2 3 3 4 10" xfId="15149" xr:uid="{4E29FBB3-E261-42F2-AE16-157102376200}"/>
    <cellStyle name="Output 2 3 3 4 11" xfId="22018" xr:uid="{05A7AFE2-8C83-4CBF-9852-C4757A68AE40}"/>
    <cellStyle name="Output 2 3 3 4 2" xfId="4592" xr:uid="{E835D0FF-F0B9-411B-9569-EA2AFD1CF025}"/>
    <cellStyle name="Output 2 3 3 4 2 2" xfId="10449" xr:uid="{E8975C8E-CCB9-4489-B0DF-D016BD74D9FB}"/>
    <cellStyle name="Output 2 3 3 4 2 2 2" xfId="19495" xr:uid="{24348421-27AE-45DB-B5D5-D2F9A3A3B369}"/>
    <cellStyle name="Output 2 3 3 4 2 3" xfId="16009" xr:uid="{6F539E0B-988C-4F8F-AFB0-F27D43EF4245}"/>
    <cellStyle name="Output 2 3 3 4 2 4" xfId="22674" xr:uid="{1AB9EB70-C7C3-47EA-B8AF-21549813B832}"/>
    <cellStyle name="Output 2 3 3 4 3" xfId="5093" xr:uid="{D1F030EA-908A-4094-8A28-773CC69C667D}"/>
    <cellStyle name="Output 2 3 3 4 3 2" xfId="10946" xr:uid="{09070F68-AC49-4319-A92F-7F019DD676A3}"/>
    <cellStyle name="Output 2 3 3 4 3 2 2" xfId="19992" xr:uid="{7E59AA74-C641-4A8E-BEB4-008CB6B93C11}"/>
    <cellStyle name="Output 2 3 3 4 3 3" xfId="16506" xr:uid="{F73D7C5A-A868-4974-8E19-C57A8752D52F}"/>
    <cellStyle name="Output 2 3 3 4 3 4" xfId="23169" xr:uid="{B6AC8167-41DC-415D-9082-621494D8E32C}"/>
    <cellStyle name="Output 2 3 3 4 4" xfId="5708" xr:uid="{A335A146-3E9D-47D2-9325-571FB5622159}"/>
    <cellStyle name="Output 2 3 3 4 4 2" xfId="11561" xr:uid="{845004AB-7B55-479B-9A15-E47E1B1C9F77}"/>
    <cellStyle name="Output 2 3 3 4 4 2 2" xfId="20607" xr:uid="{DD434171-BD5F-46C6-A522-A2482D5EE3F5}"/>
    <cellStyle name="Output 2 3 3 4 4 3" xfId="17121" xr:uid="{66B04C5E-7756-49F3-9D96-B1032B7C74CC}"/>
    <cellStyle name="Output 2 3 3 4 5" xfId="6319" xr:uid="{AE9E9B6D-D40C-4166-8A98-F4F83F4696CE}"/>
    <cellStyle name="Output 2 3 3 4 5 2" xfId="12166" xr:uid="{532E6B4D-6600-420E-A494-78D2EAFEB728}"/>
    <cellStyle name="Output 2 3 3 4 5 2 2" xfId="21212" xr:uid="{73C8CAFB-72CB-4A54-BEE2-8D6342ED4FAB}"/>
    <cellStyle name="Output 2 3 3 4 5 3" xfId="17732" xr:uid="{1E91F424-0F60-45B1-8AA2-F2F21E611222}"/>
    <cellStyle name="Output 2 3 3 4 6" xfId="9580" xr:uid="{FB63B4E4-AA0C-431D-9A9E-B1F9EF55328B}"/>
    <cellStyle name="Output 2 3 3 4 6 2" xfId="18626" xr:uid="{F2E736BD-4A5B-4D27-9F31-70B637A847A7}"/>
    <cellStyle name="Output 2 3 3 4 7" xfId="12978" xr:uid="{F87D2707-7B85-40C2-85BB-0A26F85B97DA}"/>
    <cellStyle name="Output 2 3 3 4 8" xfId="13535" xr:uid="{102622FE-82BD-4777-B5C5-F17768349A7E}"/>
    <cellStyle name="Output 2 3 3 4 9" xfId="14174" xr:uid="{5B560269-6656-4DB7-89C1-86987A0A2F9C}"/>
    <cellStyle name="Output 2 3 3 5" xfId="3157" xr:uid="{384194BD-BB00-4C61-966D-8708265D7444}"/>
    <cellStyle name="Output 2 3 3 5 10" xfId="14937" xr:uid="{ED5AFE88-379A-431A-A7CB-38CD47743C6C}"/>
    <cellStyle name="Output 2 3 3 5 11" xfId="21805" xr:uid="{19795154-84A7-4E36-9B8F-3098071FEECC}"/>
    <cellStyle name="Output 2 3 3 5 2" xfId="4378" xr:uid="{4281E173-759C-48CD-BC9A-4D817F789BC5}"/>
    <cellStyle name="Output 2 3 3 5 2 2" xfId="10235" xr:uid="{F7D90368-9AB8-41B8-B64A-63D70E700699}"/>
    <cellStyle name="Output 2 3 3 5 2 2 2" xfId="19281" xr:uid="{5B0B0990-6E7B-420A-8055-07EC5CCF44DD}"/>
    <cellStyle name="Output 2 3 3 5 2 3" xfId="15795" xr:uid="{4772CF1F-B82C-4895-9789-1B4544ACD9EF}"/>
    <cellStyle name="Output 2 3 3 5 2 4" xfId="22461" xr:uid="{FB06F4A4-F7E5-4653-A5F7-0A2AC187DD1D}"/>
    <cellStyle name="Output 2 3 3 5 3" xfId="4879" xr:uid="{A150C504-3B5E-4BEC-863B-771AFA447804}"/>
    <cellStyle name="Output 2 3 3 5 3 2" xfId="10734" xr:uid="{C70AAAF9-0C2E-4D4A-AFEE-F36901509560}"/>
    <cellStyle name="Output 2 3 3 5 3 2 2" xfId="19780" xr:uid="{C33DAAB1-A9F7-462C-8BAB-099C2BF8BC37}"/>
    <cellStyle name="Output 2 3 3 5 3 3" xfId="16294" xr:uid="{AB769F74-AAF1-41D8-A91E-3B00EB0411FF}"/>
    <cellStyle name="Output 2 3 3 5 3 4" xfId="22956" xr:uid="{200644B5-26B3-46AC-9168-5A87D28B574B}"/>
    <cellStyle name="Output 2 3 3 5 4" xfId="5494" xr:uid="{B94D936F-10CE-4189-9AB4-F56AC07C850E}"/>
    <cellStyle name="Output 2 3 3 5 4 2" xfId="11347" xr:uid="{1460A322-FA6E-472C-BC1B-C2BF19F5806D}"/>
    <cellStyle name="Output 2 3 3 5 4 2 2" xfId="20393" xr:uid="{697E0D83-F713-4BF1-8203-BACC9A06DA8F}"/>
    <cellStyle name="Output 2 3 3 5 4 3" xfId="16907" xr:uid="{D8DB9993-C958-4684-8A0E-5465BE734877}"/>
    <cellStyle name="Output 2 3 3 5 5" xfId="6105" xr:uid="{DFED4018-BC1F-4D61-A021-B882B558BB9C}"/>
    <cellStyle name="Output 2 3 3 5 5 2" xfId="11954" xr:uid="{44C82D5D-A7C6-42D8-8D65-587EC9CFBD6C}"/>
    <cellStyle name="Output 2 3 3 5 5 2 2" xfId="21000" xr:uid="{48897498-2AB0-45F2-82D1-A0533759288F}"/>
    <cellStyle name="Output 2 3 3 5 5 3" xfId="17518" xr:uid="{6303D0F8-8AFC-4501-9BD4-9F27073F366A}"/>
    <cellStyle name="Output 2 3 3 5 6" xfId="9368" xr:uid="{6B9CD2AB-346E-4018-BE09-41772E14EB42}"/>
    <cellStyle name="Output 2 3 3 5 6 2" xfId="18414" xr:uid="{C19A24C4-E7B8-404D-8BD3-2EF01DE6C6C1}"/>
    <cellStyle name="Output 2 3 3 5 7" xfId="12764" xr:uid="{A470B656-F9B0-497F-894B-A28580AEF7DC}"/>
    <cellStyle name="Output 2 3 3 5 8" xfId="13324" xr:uid="{02EFDDBE-8B4C-4A69-A4EE-9977186DB1F7}"/>
    <cellStyle name="Output 2 3 3 5 9" xfId="13960" xr:uid="{E38B0810-CEF8-4386-A22F-BD6FCA0C1A2E}"/>
    <cellStyle name="Output 2 3 3 6" xfId="3758" xr:uid="{9BE441AB-5B9C-489E-A78C-194330E11408}"/>
    <cellStyle name="Output 2 3 3 6 2" xfId="9800" xr:uid="{A1EF0DF4-B1E3-4442-ACFE-39F849444097}"/>
    <cellStyle name="Output 2 3 3 6 2 2" xfId="18846" xr:uid="{C1D193F1-5079-4BCA-BD40-6C34765F102F}"/>
    <cellStyle name="Output 2 3 3 6 3" xfId="15366" xr:uid="{20F7E6F3-4D70-4D7E-99A1-F202535CFBAC}"/>
    <cellStyle name="Output 2 3 3 6 4" xfId="22345" xr:uid="{F6A95CC2-4BF1-4364-AD3B-F03A73410DD4}"/>
    <cellStyle name="Output 2 3 3 7" xfId="4242" xr:uid="{9AE1CA3F-4CDD-4E79-B33B-92DC8DB7800C}"/>
    <cellStyle name="Output 2 3 3 7 2" xfId="10099" xr:uid="{29DC114D-E023-4CD7-B385-C54B58D669D5}"/>
    <cellStyle name="Output 2 3 3 7 2 2" xfId="19145" xr:uid="{0359AACA-7B4B-4C2D-81E5-28DBFDE2001A}"/>
    <cellStyle name="Output 2 3 3 7 3" xfId="15659" xr:uid="{F6DC1C51-7FFE-446E-8249-62ED0A38ADFE}"/>
    <cellStyle name="Output 2 3 3 7 4" xfId="22260" xr:uid="{F7F9B845-2FB5-4E1B-B714-028EF1108817}"/>
    <cellStyle name="Output 2 3 3 8" xfId="4197" xr:uid="{5A950BE4-D9C0-4BA6-A35E-F15774C7322E}"/>
    <cellStyle name="Output 2 3 3 8 2" xfId="10054" xr:uid="{57B954E3-914C-4D06-9B01-4C60F65FD55C}"/>
    <cellStyle name="Output 2 3 3 8 2 2" xfId="19100" xr:uid="{B475F67E-312E-4ECA-8F70-4D2FA4F80E16}"/>
    <cellStyle name="Output 2 3 3 8 3" xfId="15614" xr:uid="{80910E9C-E7F5-4F35-B86B-4CFB8881B696}"/>
    <cellStyle name="Output 2 3 3 9" xfId="5279" xr:uid="{BDC90C89-CE18-4788-B415-11155173DE95}"/>
    <cellStyle name="Output 2 3 3 9 2" xfId="11132" xr:uid="{28A4146B-003C-404E-A085-2CCE6645717C}"/>
    <cellStyle name="Output 2 3 3 9 2 2" xfId="20178" xr:uid="{FB0FC5F2-FC1E-434B-BC61-F19693CE17FA}"/>
    <cellStyle name="Output 2 3 3 9 3" xfId="16692" xr:uid="{6C84B035-E010-4C48-85BD-6D2A4EAF99B8}"/>
    <cellStyle name="Output 2 3 4" xfId="2416" xr:uid="{6338607F-FC3C-48F2-A67F-9D9B3075A830}"/>
    <cellStyle name="Output 2 3 4 10" xfId="13198" xr:uid="{D3B8E895-6D45-414D-93D5-071E16E47DE0}"/>
    <cellStyle name="Output 2 3 4 11" xfId="13832" xr:uid="{9D7F0867-2706-4943-9C3D-26F232C07D0F}"/>
    <cellStyle name="Output 2 3 4 12" xfId="14807" xr:uid="{9BE1CE54-7B64-47A1-8935-04032F5640EB}"/>
    <cellStyle name="Output 2 3 4 13" xfId="21677" xr:uid="{6B1D4165-703F-4C78-9267-1FD6A4B7CEEC}"/>
    <cellStyle name="Output 2 3 4 2" xfId="2641" xr:uid="{DED0F57A-1EB8-430F-910C-4CD4508A0CCA}"/>
    <cellStyle name="Output 2 3 4 2 10" xfId="15234" xr:uid="{FD7A0B03-E308-46C3-A5FD-9908935CCCAD}"/>
    <cellStyle name="Output 2 3 4 2 11" xfId="22103" xr:uid="{5F2B1F19-F682-4D40-9157-F74D081B70C3}"/>
    <cellStyle name="Output 2 3 4 2 12" xfId="3443" xr:uid="{4CDB4D09-1E5B-41AA-8849-294E82AB4123}"/>
    <cellStyle name="Output 2 3 4 2 2" xfId="4677" xr:uid="{EDBB30AA-E346-4393-801C-E6F6B8548AF1}"/>
    <cellStyle name="Output 2 3 4 2 2 2" xfId="10534" xr:uid="{A839E053-FABB-460E-AF65-B8F9379AD9C4}"/>
    <cellStyle name="Output 2 3 4 2 2 2 2" xfId="19580" xr:uid="{AA2932DB-D8CB-4899-9114-C53D297C53C9}"/>
    <cellStyle name="Output 2 3 4 2 2 3" xfId="16094" xr:uid="{AFDA9992-D9A3-4E6D-83BD-6F9231B3A511}"/>
    <cellStyle name="Output 2 3 4 2 2 4" xfId="22759" xr:uid="{6A9C3939-B444-4B60-ADED-FD8C52463DB9}"/>
    <cellStyle name="Output 2 3 4 2 3" xfId="5178" xr:uid="{FA34AECB-E950-404E-BB9D-A5C9DECABB77}"/>
    <cellStyle name="Output 2 3 4 2 3 2" xfId="11031" xr:uid="{8AA24EB1-8849-474A-A4FE-10AE5DC14B1D}"/>
    <cellStyle name="Output 2 3 4 2 3 2 2" xfId="20077" xr:uid="{CCAFC95E-A3B2-423D-BE74-C48916498E1F}"/>
    <cellStyle name="Output 2 3 4 2 3 3" xfId="16591" xr:uid="{5F26B39F-A8A5-4742-A3CF-2A76A38541AB}"/>
    <cellStyle name="Output 2 3 4 2 3 4" xfId="23254" xr:uid="{15AC2021-4126-40D2-BC7A-208337C9483B}"/>
    <cellStyle name="Output 2 3 4 2 4" xfId="5793" xr:uid="{FF9B1B5B-6681-49B6-A3AE-D526EA528CF5}"/>
    <cellStyle name="Output 2 3 4 2 4 2" xfId="11646" xr:uid="{12294BB8-FDBB-4B70-BEE5-9A872DD8B44E}"/>
    <cellStyle name="Output 2 3 4 2 4 2 2" xfId="20692" xr:uid="{BAE5C3B5-C8DF-48EF-80F0-B94CA07B790A}"/>
    <cellStyle name="Output 2 3 4 2 4 3" xfId="17206" xr:uid="{E43159C3-569F-4ACC-AB04-09BE9BBDB840}"/>
    <cellStyle name="Output 2 3 4 2 5" xfId="6404" xr:uid="{E6413A2D-0D5A-49AB-8ACC-BA9AAD3C989A}"/>
    <cellStyle name="Output 2 3 4 2 5 2" xfId="12251" xr:uid="{7048FB1A-AE14-496D-88E1-03C3F842EB3B}"/>
    <cellStyle name="Output 2 3 4 2 5 2 2" xfId="21297" xr:uid="{D99D749C-621D-438D-93F0-9B5A17906F44}"/>
    <cellStyle name="Output 2 3 4 2 5 3" xfId="17817" xr:uid="{42E6F040-7E94-42D3-B3F6-FF89310D76A1}"/>
    <cellStyle name="Output 2 3 4 2 6" xfId="9665" xr:uid="{55F3B5E9-C5E4-4AD0-AD44-CB5AE19BE073}"/>
    <cellStyle name="Output 2 3 4 2 6 2" xfId="18711" xr:uid="{4CFA6D93-CFFE-404D-9905-43C14A0EBFE1}"/>
    <cellStyle name="Output 2 3 4 2 7" xfId="13063" xr:uid="{B59E3BDA-12C7-45CE-A5F3-D21541D857B3}"/>
    <cellStyle name="Output 2 3 4 2 8" xfId="13620" xr:uid="{2601F5E3-F0E7-46BE-9E02-154F022E9C70}"/>
    <cellStyle name="Output 2 3 4 2 9" xfId="14259" xr:uid="{2C9E29CE-7F58-4C7F-B306-2091CEF1FEB0}"/>
    <cellStyle name="Output 2 3 4 3" xfId="3242" xr:uid="{BE741FC9-6423-4161-ADD6-7B92F95655D2}"/>
    <cellStyle name="Output 2 3 4 3 10" xfId="15022" xr:uid="{88F68AFB-0A4C-4C3E-9E0A-1D54E897A4A1}"/>
    <cellStyle name="Output 2 3 4 3 11" xfId="21892" xr:uid="{493945FB-75E9-413C-82F4-14F21EA3F4EF}"/>
    <cellStyle name="Output 2 3 4 3 2" xfId="4465" xr:uid="{C56618B1-3D2B-4635-8F29-2FE8A4F6A60A}"/>
    <cellStyle name="Output 2 3 4 3 2 2" xfId="10322" xr:uid="{FF78343B-9E2B-4474-8044-FA722772DA3A}"/>
    <cellStyle name="Output 2 3 4 3 2 2 2" xfId="19368" xr:uid="{348CDC86-FB6F-4FDE-9AC1-FD6E0D9BCF2F}"/>
    <cellStyle name="Output 2 3 4 3 2 3" xfId="15882" xr:uid="{D3FE7883-1EBB-433B-BA75-C020BCA139F7}"/>
    <cellStyle name="Output 2 3 4 3 2 4" xfId="22548" xr:uid="{F94DB361-27C9-427A-9F02-C6E755764C26}"/>
    <cellStyle name="Output 2 3 4 3 3" xfId="4966" xr:uid="{AA85DBCC-5800-4B16-A47E-C2D30908699A}"/>
    <cellStyle name="Output 2 3 4 3 3 2" xfId="10819" xr:uid="{F19C95D7-AE66-4AF7-8CC2-A3D665DA42F1}"/>
    <cellStyle name="Output 2 3 4 3 3 2 2" xfId="19865" xr:uid="{61B7215F-3594-4250-BCB8-F073F2281DFF}"/>
    <cellStyle name="Output 2 3 4 3 3 3" xfId="16379" xr:uid="{02E92999-42A6-4CC4-9BB4-B19BBDB0BC95}"/>
    <cellStyle name="Output 2 3 4 3 3 4" xfId="23043" xr:uid="{69458B22-02FD-456D-B009-D0CCBD1DFF5C}"/>
    <cellStyle name="Output 2 3 4 3 4" xfId="5581" xr:uid="{3A6AD9DD-1D62-421B-A137-D75250584880}"/>
    <cellStyle name="Output 2 3 4 3 4 2" xfId="11434" xr:uid="{67DA267C-8376-4863-93C2-3EE6145673E7}"/>
    <cellStyle name="Output 2 3 4 3 4 2 2" xfId="20480" xr:uid="{6A275BC7-5458-49DD-99DC-F2AC99F8036C}"/>
    <cellStyle name="Output 2 3 4 3 4 3" xfId="16994" xr:uid="{6479F7B0-E2D9-49D2-B0EE-752621D2FA6A}"/>
    <cellStyle name="Output 2 3 4 3 5" xfId="6192" xr:uid="{91276B8F-C3C4-4841-8D30-A45BD8BBA004}"/>
    <cellStyle name="Output 2 3 4 3 5 2" xfId="12039" xr:uid="{FE287B26-40CF-4CF8-92F4-7D61FE80B33D}"/>
    <cellStyle name="Output 2 3 4 3 5 2 2" xfId="21085" xr:uid="{2E625DCF-EC68-4866-86F0-F5D558EB3F7C}"/>
    <cellStyle name="Output 2 3 4 3 5 3" xfId="17605" xr:uid="{74CDEA48-777F-43BD-AA67-E00E6690CE30}"/>
    <cellStyle name="Output 2 3 4 3 6" xfId="9453" xr:uid="{289808FF-7CFE-4020-A0CF-C8BB4CFFE2C7}"/>
    <cellStyle name="Output 2 3 4 3 6 2" xfId="18499" xr:uid="{BB21D34C-B899-4665-A1D0-6EEACB36CC4F}"/>
    <cellStyle name="Output 2 3 4 3 7" xfId="12851" xr:uid="{554E4F54-D664-49E9-B93C-2A5800C2AEA8}"/>
    <cellStyle name="Output 2 3 4 3 8" xfId="13409" xr:uid="{5BB10754-A88A-4F3C-B823-7EF33D1EAB15}"/>
    <cellStyle name="Output 2 3 4 3 9" xfId="14047" xr:uid="{A11DC8AA-0BAD-4DFA-8A70-B94264B7F1AB}"/>
    <cellStyle name="Output 2 3 4 4" xfId="3991" xr:uid="{DFC3D2D5-F2B0-40C1-BCB5-95CDA7FD8F04}"/>
    <cellStyle name="Output 2 3 4 4 2" xfId="9853" xr:uid="{0EA23C99-B111-4D2E-9F2D-8C89C6CE1340}"/>
    <cellStyle name="Output 2 3 4 4 2 2" xfId="18899" xr:uid="{6465C8DC-D5B5-4AE0-8DA4-C0AABE2730E6}"/>
    <cellStyle name="Output 2 3 4 4 3" xfId="15415" xr:uid="{D87D190E-98D8-4435-A70A-52828315A093}"/>
    <cellStyle name="Output 2 3 4 4 4" xfId="22186" xr:uid="{B134D2B3-126F-479F-9D68-47211EA069B0}"/>
    <cellStyle name="Output 2 3 4 5" xfId="4066" xr:uid="{F2418600-CD46-4BFF-BA89-7727093661F5}"/>
    <cellStyle name="Output 2 3 4 5 2" xfId="9923" xr:uid="{9CADBF7A-063C-46FC-ABD4-AF2D47A548B8}"/>
    <cellStyle name="Output 2 3 4 5 2 2" xfId="18969" xr:uid="{8D37CA3A-66DD-4455-8014-E9BAD222E336}"/>
    <cellStyle name="Output 2 3 4 5 3" xfId="15483" xr:uid="{B86BC39E-FE70-4492-95FB-72DD199532F8}"/>
    <cellStyle name="Output 2 3 4 6" xfId="5366" xr:uid="{8715C42A-F867-4F8F-BA78-4ED5017CDB6D}"/>
    <cellStyle name="Output 2 3 4 6 2" xfId="11219" xr:uid="{FE93B166-9E02-4B7E-8BC6-9821882B02B0}"/>
    <cellStyle name="Output 2 3 4 6 2 2" xfId="20265" xr:uid="{67A54FC9-BBDE-41FD-8A17-DE2888C66A4D}"/>
    <cellStyle name="Output 2 3 4 6 3" xfId="16779" xr:uid="{14908C7E-7ED6-4A18-AE57-9BAE0D04F026}"/>
    <cellStyle name="Output 2 3 4 7" xfId="5977" xr:uid="{FECF2567-6A36-4149-993D-119E92D8BC46}"/>
    <cellStyle name="Output 2 3 4 7 2" xfId="11828" xr:uid="{9FC6EC5A-C415-4219-998C-370EFA98DE23}"/>
    <cellStyle name="Output 2 3 4 7 2 2" xfId="20874" xr:uid="{29CB567E-CC2A-4031-A8E6-98F0FC02497F}"/>
    <cellStyle name="Output 2 3 4 7 3" xfId="17390" xr:uid="{84E8702B-828C-4956-8CB4-78D22B61E8F4}"/>
    <cellStyle name="Output 2 3 4 8" xfId="9238" xr:uid="{62DF6E29-F6BC-45B3-98B9-F807964339E6}"/>
    <cellStyle name="Output 2 3 4 8 2" xfId="18284" xr:uid="{B980F668-FDAC-46FE-81EC-F1BDC87B9A7C}"/>
    <cellStyle name="Output 2 3 4 9" xfId="12636" xr:uid="{526C2503-B6E6-4B10-A04F-4FE995704D74}"/>
    <cellStyle name="Output 2 3 5" xfId="2885" xr:uid="{140EE9A4-EAD7-4F78-9C7B-E1AA033991BC}"/>
    <cellStyle name="Output 2 3 5 10" xfId="13833" xr:uid="{4B9B3061-6EBA-4EFC-96CD-280EA88ED78E}"/>
    <cellStyle name="Output 2 3 5 11" xfId="14808" xr:uid="{F2DBCA8D-4AF4-4979-952B-9912BB43F539}"/>
    <cellStyle name="Output 2 3 5 12" xfId="21678" xr:uid="{992B7172-2156-49B0-A09C-D21A311CCF58}"/>
    <cellStyle name="Output 2 3 5 13" xfId="3060" xr:uid="{FE31EAD2-A1DC-48A4-AAB6-3E01B08835D2}"/>
    <cellStyle name="Output 2 3 5 2" xfId="3444" xr:uid="{D5C8988E-16B1-45E3-B911-AAC750BBB3D9}"/>
    <cellStyle name="Output 2 3 5 2 10" xfId="15235" xr:uid="{12BE9954-BAA3-4346-846F-63CD0E4EA5C4}"/>
    <cellStyle name="Output 2 3 5 2 11" xfId="22104" xr:uid="{EC0FB3CC-81D6-4096-96CD-8AD7B5736212}"/>
    <cellStyle name="Output 2 3 5 2 2" xfId="4678" xr:uid="{C4C35AD4-DB02-4832-8FDC-05E3DE8B21C9}"/>
    <cellStyle name="Output 2 3 5 2 2 2" xfId="10535" xr:uid="{3C5A4B85-E6E1-40BA-84C0-9BCABB1238E9}"/>
    <cellStyle name="Output 2 3 5 2 2 2 2" xfId="19581" xr:uid="{AC7FC651-91E6-498A-82A7-70C60724B39B}"/>
    <cellStyle name="Output 2 3 5 2 2 3" xfId="16095" xr:uid="{AB6E1E23-DFB6-43CE-825E-C6CACD415B54}"/>
    <cellStyle name="Output 2 3 5 2 2 4" xfId="22760" xr:uid="{B3299423-C4B4-4FB3-8BA1-31CD03E7D9E3}"/>
    <cellStyle name="Output 2 3 5 2 3" xfId="5179" xr:uid="{0A545BEF-2E8A-4462-B309-3DD35C59ED22}"/>
    <cellStyle name="Output 2 3 5 2 3 2" xfId="11032" xr:uid="{05BF6FA8-2711-4039-96FF-29FCD517D51E}"/>
    <cellStyle name="Output 2 3 5 2 3 2 2" xfId="20078" xr:uid="{6BB1EBDD-10A1-4FD0-BDE4-F133265E5AD9}"/>
    <cellStyle name="Output 2 3 5 2 3 3" xfId="16592" xr:uid="{795BD800-A0A6-4085-B261-F53947A65B9F}"/>
    <cellStyle name="Output 2 3 5 2 3 4" xfId="23255" xr:uid="{9235A02F-7035-4E68-BE4E-86627EE42536}"/>
    <cellStyle name="Output 2 3 5 2 4" xfId="5794" xr:uid="{C65DE0D6-8EE4-4C6C-90FE-3D50BBCA02AF}"/>
    <cellStyle name="Output 2 3 5 2 4 2" xfId="11647" xr:uid="{E98D1BF7-4C93-4E5C-8336-87C6AC2830DB}"/>
    <cellStyle name="Output 2 3 5 2 4 2 2" xfId="20693" xr:uid="{5088D153-F862-455F-80DD-C20FB9389CFF}"/>
    <cellStyle name="Output 2 3 5 2 4 3" xfId="17207" xr:uid="{C5E3D5DC-BB91-4BAB-9507-ED35B1B36170}"/>
    <cellStyle name="Output 2 3 5 2 5" xfId="6405" xr:uid="{A9C8229F-2D7E-4771-AA66-A87BF47622E9}"/>
    <cellStyle name="Output 2 3 5 2 5 2" xfId="12252" xr:uid="{89EEA8E3-D645-41EC-9FCB-81AB220F5A5C}"/>
    <cellStyle name="Output 2 3 5 2 5 2 2" xfId="21298" xr:uid="{B3EC7A1C-EA71-465E-A255-F2BF77A1082A}"/>
    <cellStyle name="Output 2 3 5 2 5 3" xfId="17818" xr:uid="{348A29B3-3DA1-4DB0-A9F6-2909C57492F5}"/>
    <cellStyle name="Output 2 3 5 2 6" xfId="9666" xr:uid="{8D9330F2-CEF8-498D-A98E-D48B81744984}"/>
    <cellStyle name="Output 2 3 5 2 6 2" xfId="18712" xr:uid="{1C15FB29-3F54-4222-B590-4FA5C2554E4D}"/>
    <cellStyle name="Output 2 3 5 2 7" xfId="13064" xr:uid="{09396B7B-4D9E-426C-B7D0-623836ECA532}"/>
    <cellStyle name="Output 2 3 5 2 8" xfId="13621" xr:uid="{DB6FA5AD-C97D-43E8-B629-58B1932D9DC6}"/>
    <cellStyle name="Output 2 3 5 2 9" xfId="14260" xr:uid="{55B5D54E-7E3C-49A3-8B88-BE56BCE44E91}"/>
    <cellStyle name="Output 2 3 5 3" xfId="3243" xr:uid="{E8F6CE13-070D-4D1A-98B8-19A663641A4D}"/>
    <cellStyle name="Output 2 3 5 3 10" xfId="15023" xr:uid="{0BA9297F-3CEB-4A52-9B7E-70D5E51F2DA3}"/>
    <cellStyle name="Output 2 3 5 3 11" xfId="21893" xr:uid="{59803F0F-3B92-4F72-A131-5888A525885D}"/>
    <cellStyle name="Output 2 3 5 3 2" xfId="4466" xr:uid="{71C30800-F463-42E2-93A9-E163C7C18D2D}"/>
    <cellStyle name="Output 2 3 5 3 2 2" xfId="10323" xr:uid="{94EBB2DC-7FF6-4524-94A1-931745690C27}"/>
    <cellStyle name="Output 2 3 5 3 2 2 2" xfId="19369" xr:uid="{B7980D4A-9B56-4715-A934-BBF5621894B3}"/>
    <cellStyle name="Output 2 3 5 3 2 3" xfId="15883" xr:uid="{DDCCB929-D23B-45A3-8E24-D3F19906994F}"/>
    <cellStyle name="Output 2 3 5 3 2 4" xfId="22549" xr:uid="{766A65C6-D33E-499B-B6A0-ABF0038C1DD0}"/>
    <cellStyle name="Output 2 3 5 3 3" xfId="4967" xr:uid="{CC109C2D-8454-4AD3-8737-D38CDD44576F}"/>
    <cellStyle name="Output 2 3 5 3 3 2" xfId="10820" xr:uid="{38FC670C-D841-469A-9CD7-56EF4B20E29F}"/>
    <cellStyle name="Output 2 3 5 3 3 2 2" xfId="19866" xr:uid="{E0627942-CDA2-489B-8158-38A6107A7CA9}"/>
    <cellStyle name="Output 2 3 5 3 3 3" xfId="16380" xr:uid="{70DDA668-D2DB-469E-BEFC-579A4529B36A}"/>
    <cellStyle name="Output 2 3 5 3 3 4" xfId="23044" xr:uid="{46ECB5F7-9D33-4A70-8149-F97F114F127B}"/>
    <cellStyle name="Output 2 3 5 3 4" xfId="5582" xr:uid="{99887EFE-BFA9-48E9-A108-45589E90C56E}"/>
    <cellStyle name="Output 2 3 5 3 4 2" xfId="11435" xr:uid="{F2B9EB2F-1247-4DA0-B06E-06A327051AB1}"/>
    <cellStyle name="Output 2 3 5 3 4 2 2" xfId="20481" xr:uid="{DBF91464-7FB7-4B71-8066-17596FE27A40}"/>
    <cellStyle name="Output 2 3 5 3 4 3" xfId="16995" xr:uid="{7DFEFF4E-9678-4AED-990C-67441CF78543}"/>
    <cellStyle name="Output 2 3 5 3 5" xfId="6193" xr:uid="{B73AAA76-D08D-406B-AEFD-D36BF2D0808E}"/>
    <cellStyle name="Output 2 3 5 3 5 2" xfId="12040" xr:uid="{F7C35920-B429-48DB-B675-B18B8208EC1B}"/>
    <cellStyle name="Output 2 3 5 3 5 2 2" xfId="21086" xr:uid="{AE4CD742-6824-4CCF-87E6-5D93D3244EBA}"/>
    <cellStyle name="Output 2 3 5 3 5 3" xfId="17606" xr:uid="{50C50504-1BE8-4BDC-BEA1-654A9C09FC3C}"/>
    <cellStyle name="Output 2 3 5 3 6" xfId="9454" xr:uid="{C95D8D59-0D59-40E5-A4B9-E7068E406B5A}"/>
    <cellStyle name="Output 2 3 5 3 6 2" xfId="18500" xr:uid="{802576C3-76D5-453D-9C72-4506C174D739}"/>
    <cellStyle name="Output 2 3 5 3 7" xfId="12852" xr:uid="{06D23F84-0DE2-4873-A112-9C31B6F52C48}"/>
    <cellStyle name="Output 2 3 5 3 8" xfId="13410" xr:uid="{900E2282-B8DD-4D79-A5C0-BCE77F2D6E69}"/>
    <cellStyle name="Output 2 3 5 3 9" xfId="14048" xr:uid="{82F2AB74-B8E6-4386-BE54-4B1AC547D6DE}"/>
    <cellStyle name="Output 2 3 5 4" xfId="4065" xr:uid="{E923B214-1CC7-4732-87DA-14D3CBE109E7}"/>
    <cellStyle name="Output 2 3 5 4 2" xfId="9922" xr:uid="{5E6AFA97-76D7-4C07-81DC-C6F801064382}"/>
    <cellStyle name="Output 2 3 5 4 2 2" xfId="18968" xr:uid="{BDEF59BD-C793-488E-A1E4-FAE2082B2BB1}"/>
    <cellStyle name="Output 2 3 5 4 3" xfId="15482" xr:uid="{5F257D59-9600-433D-ADFC-7BA37DAEC62D}"/>
    <cellStyle name="Output 2 3 5 4 4" xfId="22185" xr:uid="{7652AF36-0A30-443F-AA68-165D73CC5756}"/>
    <cellStyle name="Output 2 3 5 5" xfId="5367" xr:uid="{328C3CF0-AE95-4B83-8419-D9B6752F44FB}"/>
    <cellStyle name="Output 2 3 5 5 2" xfId="11220" xr:uid="{FACE8750-B116-4571-99D3-40B0CB6E49EC}"/>
    <cellStyle name="Output 2 3 5 5 2 2" xfId="20266" xr:uid="{13F574BC-9232-46CB-96E2-ADA557ABBE83}"/>
    <cellStyle name="Output 2 3 5 5 3" xfId="16780" xr:uid="{BBA6263D-4779-4E0F-9522-A5223BE9B8CF}"/>
    <cellStyle name="Output 2 3 5 6" xfId="5978" xr:uid="{943A1766-007D-4E05-BF79-69515C91418C}"/>
    <cellStyle name="Output 2 3 5 6 2" xfId="11829" xr:uid="{7AC35379-9BFA-4D44-8E62-2F5F58662BD3}"/>
    <cellStyle name="Output 2 3 5 6 2 2" xfId="20875" xr:uid="{0188C25B-42FC-476D-A279-F0DA1D9AFE3C}"/>
    <cellStyle name="Output 2 3 5 6 3" xfId="17391" xr:uid="{FAA4B58A-086D-4DD0-BBAC-260C7740245C}"/>
    <cellStyle name="Output 2 3 5 7" xfId="9239" xr:uid="{CA7453E5-A05C-4841-A771-B787CD8024EA}"/>
    <cellStyle name="Output 2 3 5 7 2" xfId="18285" xr:uid="{5141896F-106F-4056-B212-9725095266BE}"/>
    <cellStyle name="Output 2 3 5 8" xfId="12637" xr:uid="{837A83EC-6A3A-4D56-82FB-BF2F84098650}"/>
    <cellStyle name="Output 2 3 5 9" xfId="13199" xr:uid="{5A2A4AD1-BA0B-4FBD-8C3D-7B66C12F1B86}"/>
    <cellStyle name="Output 2 3 6" xfId="3335" xr:uid="{0067DEFC-CAFA-46BB-B48B-FFE3A6149CBD}"/>
    <cellStyle name="Output 2 3 6 10" xfId="15115" xr:uid="{E565636F-B29E-4A1F-BF66-423E0DBC9793}"/>
    <cellStyle name="Output 2 3 6 11" xfId="21984" xr:uid="{C0E79DE9-6473-42C0-BA6B-A86A8822AD52}"/>
    <cellStyle name="Output 2 3 6 2" xfId="4558" xr:uid="{6060F731-D879-4D1E-930F-05283200FB1D}"/>
    <cellStyle name="Output 2 3 6 2 2" xfId="10415" xr:uid="{B35280DC-04A7-4BF9-9916-4965DBB25076}"/>
    <cellStyle name="Output 2 3 6 2 2 2" xfId="19461" xr:uid="{1F39547E-4C32-41D7-8539-7B3F26A1B46F}"/>
    <cellStyle name="Output 2 3 6 2 3" xfId="15975" xr:uid="{AC53B548-F678-4615-A17F-FEB79D31B180}"/>
    <cellStyle name="Output 2 3 6 2 4" xfId="22640" xr:uid="{63F93697-9105-4C75-AC7B-EC5096F10477}"/>
    <cellStyle name="Output 2 3 6 3" xfId="5059" xr:uid="{E935FDF2-88BB-4A59-8715-0096A9633D20}"/>
    <cellStyle name="Output 2 3 6 3 2" xfId="10912" xr:uid="{024FC02C-4010-4E08-BB92-0575D83C8784}"/>
    <cellStyle name="Output 2 3 6 3 2 2" xfId="19958" xr:uid="{FA784B9F-1E7A-45B4-9AC9-D6A846686CBE}"/>
    <cellStyle name="Output 2 3 6 3 3" xfId="16472" xr:uid="{B4D3F93E-0514-4AB0-A3EB-281BA58D5F5B}"/>
    <cellStyle name="Output 2 3 6 3 4" xfId="23135" xr:uid="{733C3A31-BAA3-4430-926E-78BA6F9ACE90}"/>
    <cellStyle name="Output 2 3 6 4" xfId="5674" xr:uid="{BB7A1156-D0C2-4DF5-AE82-51965109E61C}"/>
    <cellStyle name="Output 2 3 6 4 2" xfId="11527" xr:uid="{89B08DD8-C04C-42DF-B971-6F9F59CC72A6}"/>
    <cellStyle name="Output 2 3 6 4 2 2" xfId="20573" xr:uid="{A09C9878-5AAC-4DCC-8393-5BF412F14090}"/>
    <cellStyle name="Output 2 3 6 4 3" xfId="17087" xr:uid="{96F79C8E-DD91-496D-B846-6792D4EF09FB}"/>
    <cellStyle name="Output 2 3 6 5" xfId="6285" xr:uid="{D4776459-606A-488B-904D-194514C9D8BA}"/>
    <cellStyle name="Output 2 3 6 5 2" xfId="12132" xr:uid="{F01E3DAB-804C-4198-ABDC-03992669107A}"/>
    <cellStyle name="Output 2 3 6 5 2 2" xfId="21178" xr:uid="{DF7B9138-72A9-4828-9B38-D2C26B5D4209}"/>
    <cellStyle name="Output 2 3 6 5 3" xfId="17698" xr:uid="{9E2D5E32-7D4D-4D3D-AB69-30A7452B7A56}"/>
    <cellStyle name="Output 2 3 6 6" xfId="9546" xr:uid="{DD221C78-2626-4BDD-ABB4-51FDD59B3719}"/>
    <cellStyle name="Output 2 3 6 6 2" xfId="18592" xr:uid="{C5296373-28D0-4D48-A136-276BE26DBCD9}"/>
    <cellStyle name="Output 2 3 6 7" xfId="12944" xr:uid="{97C3F9F6-802D-4FC1-B683-E99011F0D254}"/>
    <cellStyle name="Output 2 3 6 8" xfId="13501" xr:uid="{BEF98278-EE26-47A1-B634-E788F5246FD1}"/>
    <cellStyle name="Output 2 3 6 9" xfId="14140" xr:uid="{6310F8BD-AF64-431C-AA3D-26B13D327115}"/>
    <cellStyle name="Output 2 3 7" xfId="3123" xr:uid="{A9EABA8B-4626-4FFE-877C-32F911F82A09}"/>
    <cellStyle name="Output 2 3 7 10" xfId="14903" xr:uid="{60B42B17-1FBA-4DDE-92FC-6437296C706A}"/>
    <cellStyle name="Output 2 3 7 11" xfId="21771" xr:uid="{99BA60A4-ADFD-449D-8B93-CDA90F6744FF}"/>
    <cellStyle name="Output 2 3 7 2" xfId="4344" xr:uid="{5D809A74-FD42-4DCC-900E-4A37D9BBDCAF}"/>
    <cellStyle name="Output 2 3 7 2 2" xfId="10201" xr:uid="{6F0B6C42-B669-4628-98C0-A9383FE4772B}"/>
    <cellStyle name="Output 2 3 7 2 2 2" xfId="19247" xr:uid="{D5B64A05-73C8-444F-9952-B1B904EC1E92}"/>
    <cellStyle name="Output 2 3 7 2 3" xfId="15761" xr:uid="{B5ABF450-2D21-4FB3-9BAE-C25FE8E3A5D4}"/>
    <cellStyle name="Output 2 3 7 2 4" xfId="22427" xr:uid="{5F2C4B3B-1048-4F31-805C-9FD28F6E46B3}"/>
    <cellStyle name="Output 2 3 7 3" xfId="4845" xr:uid="{38C753AF-251A-4D70-80CD-0C81F8AB418A}"/>
    <cellStyle name="Output 2 3 7 3 2" xfId="10700" xr:uid="{A26F6FC0-2221-498E-80F4-45D68B202379}"/>
    <cellStyle name="Output 2 3 7 3 2 2" xfId="19746" xr:uid="{D8C9E8B9-DE11-48E3-A917-531AED95167A}"/>
    <cellStyle name="Output 2 3 7 3 3" xfId="16260" xr:uid="{924F7676-2212-4993-BCE1-B1C8DD0E58FD}"/>
    <cellStyle name="Output 2 3 7 3 4" xfId="22922" xr:uid="{685D35E3-C91C-4C0A-8CF7-86B0E3853E8E}"/>
    <cellStyle name="Output 2 3 7 4" xfId="5460" xr:uid="{A0A6EBA7-9C17-47A7-97EB-302772AE79BE}"/>
    <cellStyle name="Output 2 3 7 4 2" xfId="11313" xr:uid="{5D91A670-38E2-4CC3-ABD4-50E96BD99EF1}"/>
    <cellStyle name="Output 2 3 7 4 2 2" xfId="20359" xr:uid="{27AB9FA0-2E0F-4B74-93A4-AD2113068802}"/>
    <cellStyle name="Output 2 3 7 4 3" xfId="16873" xr:uid="{EA770454-2DBA-409B-97C6-A78BB4FE742A}"/>
    <cellStyle name="Output 2 3 7 5" xfId="6071" xr:uid="{C5D5CBEE-BBB0-43F2-8FC6-AC5C4632A3A6}"/>
    <cellStyle name="Output 2 3 7 5 2" xfId="11920" xr:uid="{CD52B556-1B00-4AA7-840A-93F20E406400}"/>
    <cellStyle name="Output 2 3 7 5 2 2" xfId="20966" xr:uid="{D9AEC948-A9EC-48BC-8C80-B7D44174866B}"/>
    <cellStyle name="Output 2 3 7 5 3" xfId="17484" xr:uid="{187720A3-6D36-42B3-96BE-87C66B763483}"/>
    <cellStyle name="Output 2 3 7 6" xfId="9334" xr:uid="{59C38311-0707-4426-8337-70D8D2A19E3C}"/>
    <cellStyle name="Output 2 3 7 6 2" xfId="18380" xr:uid="{25C04AB5-5CFF-4FD5-9E17-9C6C637DDC2E}"/>
    <cellStyle name="Output 2 3 7 7" xfId="12730" xr:uid="{17A565BD-B645-44F8-908E-E68763BA815E}"/>
    <cellStyle name="Output 2 3 7 8" xfId="13290" xr:uid="{966B085B-8DE0-47F6-A196-13ED4CB65DE5}"/>
    <cellStyle name="Output 2 3 7 9" xfId="13926" xr:uid="{6FBDE27F-7031-41A8-A81E-4FD6BADA5538}"/>
    <cellStyle name="Output 2 3 8" xfId="3723" xr:uid="{E14FB2D1-3584-49C0-8E40-61AD3A810934}"/>
    <cellStyle name="Output 2 3 8 2" xfId="9765" xr:uid="{A9B59BC0-AB0B-4A0C-95C6-D2CC9E0DCFFE}"/>
    <cellStyle name="Output 2 3 8 2 2" xfId="18811" xr:uid="{38FDEFCE-9B03-4DEC-9E41-2A29922B4B49}"/>
    <cellStyle name="Output 2 3 8 3" xfId="15331" xr:uid="{3D90526F-6C64-4F9F-B794-F9442847D87F}"/>
    <cellStyle name="Output 2 3 8 4" xfId="22310" xr:uid="{64A4B495-8B7B-4D1A-96ED-F6B87761A56B}"/>
    <cellStyle name="Output 2 3 9" xfId="4207" xr:uid="{9C21278E-4E92-4D9D-B89C-A2586DA24350}"/>
    <cellStyle name="Output 2 3 9 2" xfId="10064" xr:uid="{1A55D6B0-E3C2-445E-87B9-A11D8936059C}"/>
    <cellStyle name="Output 2 3 9 2 2" xfId="19110" xr:uid="{1C209AFF-A5AC-4730-8067-5083702BFD2E}"/>
    <cellStyle name="Output 2 3 9 3" xfId="15624" xr:uid="{3428714F-177E-4EC8-B7D9-BF547CC4809D}"/>
    <cellStyle name="Output 2 3 9 4" xfId="22273" xr:uid="{1CF925A9-EB49-4D95-85FA-57EEFCC233F6}"/>
    <cellStyle name="Output 2 4" xfId="2417" xr:uid="{AC33ADB8-FE9E-441B-BAD9-50ED1BF95B9F}"/>
    <cellStyle name="Output 2 4 10" xfId="4151" xr:uid="{EC9BF902-81C7-4FAE-BAF8-D186D8A9589A}"/>
    <cellStyle name="Output 2 4 10 2" xfId="10008" xr:uid="{161B33F3-9FF6-4F9E-B1C9-CB1474FEFA87}"/>
    <cellStyle name="Output 2 4 10 2 2" xfId="19054" xr:uid="{6351B98B-C7FC-415A-8549-FACF13374178}"/>
    <cellStyle name="Output 2 4 10 3" xfId="15568" xr:uid="{DB2A0E61-91D4-4F02-BFC6-0B444D315FBA}"/>
    <cellStyle name="Output 2 4 11" xfId="4316" xr:uid="{9B310FDF-E836-4026-9157-4B324553133E}"/>
    <cellStyle name="Output 2 4 11 2" xfId="10173" xr:uid="{35D4B9AE-BD23-464A-907A-5B8C43C7748C}"/>
    <cellStyle name="Output 2 4 11 2 2" xfId="19219" xr:uid="{9A330589-EBC9-45DA-B4A4-00C1E81BBF05}"/>
    <cellStyle name="Output 2 4 11 3" xfId="15733" xr:uid="{00B7398C-C073-4F77-A926-B8AC057E524F}"/>
    <cellStyle name="Output 2 4 12" xfId="4167" xr:uid="{92A8FEC1-9985-4017-90D0-DDD09F9CBC88}"/>
    <cellStyle name="Output 2 4 12 2" xfId="10024" xr:uid="{BFF337DE-0E85-4CEC-BB0D-73CABF04D0D4}"/>
    <cellStyle name="Output 2 4 12 2 2" xfId="19070" xr:uid="{1D2D3753-7A58-4DE6-A228-8615B6C34383}"/>
    <cellStyle name="Output 2 4 12 3" xfId="15584" xr:uid="{7C974164-55C6-413A-9C21-D8DB83834771}"/>
    <cellStyle name="Output 2 4 13" xfId="9118" xr:uid="{64EF482A-2FF3-4B6C-A14E-E3D2FE060ABA}"/>
    <cellStyle name="Output 2 4 13 2" xfId="18164" xr:uid="{B5CF9195-0D4E-4EAA-A4BE-BC663EE9B49C}"/>
    <cellStyle name="Output 2 4 14" xfId="12518" xr:uid="{B7D0D228-E8A8-4FC8-8597-19C682CCE2BB}"/>
    <cellStyle name="Output 2 4 15" xfId="13712" xr:uid="{8822373D-293B-4B45-8AB9-843CAB485B6C}"/>
    <cellStyle name="Output 2 4 16" xfId="14687" xr:uid="{314A8794-1F14-4B06-A4CF-3D313BD8428C}"/>
    <cellStyle name="Output 2 4 17" xfId="21559" xr:uid="{2EE06FEE-DD62-4F0E-BB02-A432F5EEE84D}"/>
    <cellStyle name="Output 2 4 18" xfId="23772" xr:uid="{DBB0F052-8FA2-42D9-892B-95190B8BFA0E}"/>
    <cellStyle name="Output 2 4 2" xfId="2418" xr:uid="{220F2310-7935-462F-8F1F-FFE0D25479DE}"/>
    <cellStyle name="Output 2 4 2 10" xfId="5891" xr:uid="{DEE099CC-18C3-4640-B691-6BCB5F8E7F18}"/>
    <cellStyle name="Output 2 4 2 10 2" xfId="11744" xr:uid="{FFABB653-D658-4587-BCAE-4749409AA4B8}"/>
    <cellStyle name="Output 2 4 2 10 2 2" xfId="20790" xr:uid="{D6C96F6D-F594-46D9-B505-D1C85A9A6D3A}"/>
    <cellStyle name="Output 2 4 2 10 3" xfId="17304" xr:uid="{BF6E427A-C488-461E-B6F0-29AFDBB81C99}"/>
    <cellStyle name="Output 2 4 2 11" xfId="9154" xr:uid="{C23B05A8-9E37-436D-A4CF-2600DB1F92F2}"/>
    <cellStyle name="Output 2 4 2 11 2" xfId="18200" xr:uid="{43D15916-C16D-48F4-9D81-16810459C775}"/>
    <cellStyle name="Output 2 4 2 12" xfId="12552" xr:uid="{10E739F4-6259-4D01-B03B-9D1C3179F524}"/>
    <cellStyle name="Output 2 4 2 13" xfId="13746" xr:uid="{2436B705-E992-4E88-9FFA-3E0C15CED0AC}"/>
    <cellStyle name="Output 2 4 2 14" xfId="14723" xr:uid="{4321CFCA-B1AA-4308-9684-5687D7555863}"/>
    <cellStyle name="Output 2 4 2 15" xfId="21593" xr:uid="{74EE5858-F357-43E9-B96E-089A6FE5EA75}"/>
    <cellStyle name="Output 2 4 2 16" xfId="23773" xr:uid="{A1E3D17D-9828-4D1B-B895-E0FEC6CD5997}"/>
    <cellStyle name="Output 2 4 2 2" xfId="2419" xr:uid="{C2E2D78A-E034-4D22-AA29-6D5DD7B208FE}"/>
    <cellStyle name="Output 2 4 2 2 10" xfId="13200" xr:uid="{C7807B3B-FDC4-4406-911C-84232718D151}"/>
    <cellStyle name="Output 2 4 2 2 11" xfId="13834" xr:uid="{AB418B2F-98B1-47BD-9FF5-7C2585897CD8}"/>
    <cellStyle name="Output 2 4 2 2 12" xfId="14809" xr:uid="{C34045AB-47C0-44AF-BCF3-35DF525EF4F5}"/>
    <cellStyle name="Output 2 4 2 2 13" xfId="21679" xr:uid="{0EBA7B4F-F5A3-4859-8A13-2335B2C4C0CE}"/>
    <cellStyle name="Output 2 4 2 2 2" xfId="2638" xr:uid="{6C76AFB9-70AE-4921-98F6-C0D2DC1EB7B5}"/>
    <cellStyle name="Output 2 4 2 2 2 10" xfId="15236" xr:uid="{42EFA7D5-9FBE-4133-9AF8-F61D4094B705}"/>
    <cellStyle name="Output 2 4 2 2 2 11" xfId="22105" xr:uid="{B2EDAAF5-9C0A-4244-BAC6-AE8A61070963}"/>
    <cellStyle name="Output 2 4 2 2 2 12" xfId="3445" xr:uid="{19A6041D-66CD-4431-876E-D8B0D63C377F}"/>
    <cellStyle name="Output 2 4 2 2 2 2" xfId="4679" xr:uid="{0BC041A9-FF01-4C37-83D6-4B1789C6C529}"/>
    <cellStyle name="Output 2 4 2 2 2 2 2" xfId="10536" xr:uid="{034AF50F-EE1A-4F9D-BF15-B30D01CBA765}"/>
    <cellStyle name="Output 2 4 2 2 2 2 2 2" xfId="19582" xr:uid="{8B100BAE-53B8-45CD-9852-24F54074D8F3}"/>
    <cellStyle name="Output 2 4 2 2 2 2 3" xfId="16096" xr:uid="{744BEF60-AFED-469F-94E3-B1F987787F76}"/>
    <cellStyle name="Output 2 4 2 2 2 2 4" xfId="22761" xr:uid="{2F17914E-D1D2-4768-BB2D-AF3258478EBC}"/>
    <cellStyle name="Output 2 4 2 2 2 3" xfId="5180" xr:uid="{4C3FDB98-7E3D-4A6F-A2EC-343C6AFC72CD}"/>
    <cellStyle name="Output 2 4 2 2 2 3 2" xfId="11033" xr:uid="{7C85604B-DE3C-4E0C-9269-EEE6EC07E4F8}"/>
    <cellStyle name="Output 2 4 2 2 2 3 2 2" xfId="20079" xr:uid="{CE297258-48AD-4BE3-9717-BA8192F9C261}"/>
    <cellStyle name="Output 2 4 2 2 2 3 3" xfId="16593" xr:uid="{6E7B175A-356C-4B0F-B811-668739AA2DAC}"/>
    <cellStyle name="Output 2 4 2 2 2 3 4" xfId="23256" xr:uid="{C8DEAEBC-4B52-420B-B2C6-35B9D6574381}"/>
    <cellStyle name="Output 2 4 2 2 2 4" xfId="5795" xr:uid="{F543B0B9-6C2B-4746-AD92-02E9A64E17D1}"/>
    <cellStyle name="Output 2 4 2 2 2 4 2" xfId="11648" xr:uid="{A17871C0-1900-49D5-B30B-8551956D9ABE}"/>
    <cellStyle name="Output 2 4 2 2 2 4 2 2" xfId="20694" xr:uid="{46AE250A-33CE-4275-A9F4-F1AFA94990B8}"/>
    <cellStyle name="Output 2 4 2 2 2 4 3" xfId="17208" xr:uid="{41A88CA3-5113-42C5-ADCC-BD349C4DCB87}"/>
    <cellStyle name="Output 2 4 2 2 2 5" xfId="6406" xr:uid="{52CC8AAD-4E3E-464A-AB15-62256AEA1A72}"/>
    <cellStyle name="Output 2 4 2 2 2 5 2" xfId="12253" xr:uid="{8155A781-7C39-4314-BF89-AEF32401FDC7}"/>
    <cellStyle name="Output 2 4 2 2 2 5 2 2" xfId="21299" xr:uid="{E70E2B5D-4B0F-4E74-B169-619FF703F8AB}"/>
    <cellStyle name="Output 2 4 2 2 2 5 3" xfId="17819" xr:uid="{149BCCB5-4916-46B9-A2BB-D6EAB43F2805}"/>
    <cellStyle name="Output 2 4 2 2 2 6" xfId="9667" xr:uid="{CC98F5DB-E5ED-4EA1-AA82-235499B0374B}"/>
    <cellStyle name="Output 2 4 2 2 2 6 2" xfId="18713" xr:uid="{B152B918-A60F-4EE7-8E3A-D93AB6294ED1}"/>
    <cellStyle name="Output 2 4 2 2 2 7" xfId="13065" xr:uid="{4638959B-4519-45E1-A5EB-A37E73F9A52E}"/>
    <cellStyle name="Output 2 4 2 2 2 8" xfId="13622" xr:uid="{C06CB995-7C9B-4D4A-9882-4176F9EEBF9A}"/>
    <cellStyle name="Output 2 4 2 2 2 9" xfId="14261" xr:uid="{016A713E-F138-4FEB-89B2-98C3F73E4CB2}"/>
    <cellStyle name="Output 2 4 2 2 3" xfId="3244" xr:uid="{E6545494-BA3A-4A56-8564-C9F53DB2FD08}"/>
    <cellStyle name="Output 2 4 2 2 3 10" xfId="15024" xr:uid="{43D2EA0B-D83F-4311-A67B-52E77A5ABF59}"/>
    <cellStyle name="Output 2 4 2 2 3 11" xfId="21894" xr:uid="{7622AD20-7DFD-4490-B4CD-12E1606280B9}"/>
    <cellStyle name="Output 2 4 2 2 3 2" xfId="4467" xr:uid="{4DED5F89-D184-40C0-AF03-20871171CD1B}"/>
    <cellStyle name="Output 2 4 2 2 3 2 2" xfId="10324" xr:uid="{CBFEEBA4-9EB5-436B-AD25-8E5AF3542776}"/>
    <cellStyle name="Output 2 4 2 2 3 2 2 2" xfId="19370" xr:uid="{A151E41B-D78B-46D2-8FB1-4D519E3F1707}"/>
    <cellStyle name="Output 2 4 2 2 3 2 3" xfId="15884" xr:uid="{4855EF61-0E7E-41D0-AD32-6584D1D83C34}"/>
    <cellStyle name="Output 2 4 2 2 3 2 4" xfId="22550" xr:uid="{A014F435-C9A0-44FC-9282-1DDE37242AC8}"/>
    <cellStyle name="Output 2 4 2 2 3 3" xfId="4968" xr:uid="{2504B116-D62C-4418-BEC1-6F791B5BDA40}"/>
    <cellStyle name="Output 2 4 2 2 3 3 2" xfId="10821" xr:uid="{9ECC733D-5647-40E3-B912-D720A1DBAF14}"/>
    <cellStyle name="Output 2 4 2 2 3 3 2 2" xfId="19867" xr:uid="{DBF80E0A-3DC4-495F-91F0-8A597E9A7736}"/>
    <cellStyle name="Output 2 4 2 2 3 3 3" xfId="16381" xr:uid="{F6C9E8A1-6677-47BF-9B1A-C57D5F1B81D0}"/>
    <cellStyle name="Output 2 4 2 2 3 3 4" xfId="23045" xr:uid="{B5A69777-5B7D-4F6A-82FD-5191CC4177AF}"/>
    <cellStyle name="Output 2 4 2 2 3 4" xfId="5583" xr:uid="{96AAA34A-84A5-4DE3-A4BD-E131EDA936C6}"/>
    <cellStyle name="Output 2 4 2 2 3 4 2" xfId="11436" xr:uid="{06B16F65-FEEA-488B-AE04-F67FD2E01F52}"/>
    <cellStyle name="Output 2 4 2 2 3 4 2 2" xfId="20482" xr:uid="{B290A37F-34BD-4BA3-93E8-42C05DF28424}"/>
    <cellStyle name="Output 2 4 2 2 3 4 3" xfId="16996" xr:uid="{384DC4F3-BF9D-456D-992B-C7C8A57559FF}"/>
    <cellStyle name="Output 2 4 2 2 3 5" xfId="6194" xr:uid="{789F4D5F-3920-4C6E-846B-6A64312DAABC}"/>
    <cellStyle name="Output 2 4 2 2 3 5 2" xfId="12041" xr:uid="{346D8659-F2B8-4A59-A00B-6FBE93F32E63}"/>
    <cellStyle name="Output 2 4 2 2 3 5 2 2" xfId="21087" xr:uid="{B898F844-A720-4C12-ACD1-1DDCDC78D4E0}"/>
    <cellStyle name="Output 2 4 2 2 3 5 3" xfId="17607" xr:uid="{B10F35AE-B7A3-4A85-9ECE-BCCA25CF2E32}"/>
    <cellStyle name="Output 2 4 2 2 3 6" xfId="9455" xr:uid="{88583D90-8E5F-4EF5-9DE9-D7A2D2EBA853}"/>
    <cellStyle name="Output 2 4 2 2 3 6 2" xfId="18501" xr:uid="{7842FD57-E412-48B6-9DAB-38AD8A8943FF}"/>
    <cellStyle name="Output 2 4 2 2 3 7" xfId="12853" xr:uid="{B2D8302D-C40B-44A2-94FE-91ABF9F425B0}"/>
    <cellStyle name="Output 2 4 2 2 3 8" xfId="13411" xr:uid="{8078EEDE-8614-40FA-9506-8B4E75C256AE}"/>
    <cellStyle name="Output 2 4 2 2 3 9" xfId="14049" xr:uid="{494E9D2F-660F-4D02-BB87-80C7BC6C9A2C}"/>
    <cellStyle name="Output 2 4 2 2 4" xfId="4027" xr:uid="{387319E6-D783-4195-8708-DE2510889899}"/>
    <cellStyle name="Output 2 4 2 2 4 2" xfId="9889" xr:uid="{5A698688-BF8A-4DD5-9AF2-AE362721EB11}"/>
    <cellStyle name="Output 2 4 2 2 4 2 2" xfId="18935" xr:uid="{FCFD29AA-4044-462C-B1CA-BC620198F911}"/>
    <cellStyle name="Output 2 4 2 2 4 3" xfId="15451" xr:uid="{8BCDF819-15A6-4DC3-AA95-DBC04400A84F}"/>
    <cellStyle name="Output 2 4 2 2 4 4" xfId="22184" xr:uid="{35179693-A692-4F6A-9304-4B3777441096}"/>
    <cellStyle name="Output 2 4 2 2 5" xfId="4751" xr:uid="{2E3B59ED-452B-4920-8564-59D4A5227437}"/>
    <cellStyle name="Output 2 4 2 2 5 2" xfId="10608" xr:uid="{3C5EE95C-ED2F-497B-AF9A-52C71166A3D9}"/>
    <cellStyle name="Output 2 4 2 2 5 2 2" xfId="19654" xr:uid="{6BFA1F84-ACEC-4050-AB9D-42677C131662}"/>
    <cellStyle name="Output 2 4 2 2 5 3" xfId="16168" xr:uid="{A1DA5AAC-E07A-4AF8-964F-822D3495E108}"/>
    <cellStyle name="Output 2 4 2 2 6" xfId="5368" xr:uid="{706A26E2-4CE4-4C03-8DAE-9F17C5E0F1E3}"/>
    <cellStyle name="Output 2 4 2 2 6 2" xfId="11221" xr:uid="{039A2367-7BB1-4BA0-9BA9-62FC65BD022A}"/>
    <cellStyle name="Output 2 4 2 2 6 2 2" xfId="20267" xr:uid="{B30C4813-3A1E-4896-9D1E-E3B9EC805CC6}"/>
    <cellStyle name="Output 2 4 2 2 6 3" xfId="16781" xr:uid="{F9F9B09C-A76E-46FB-A19B-52828BA862EA}"/>
    <cellStyle name="Output 2 4 2 2 7" xfId="5979" xr:uid="{EC318D40-D179-4A0A-9B00-5393138A002C}"/>
    <cellStyle name="Output 2 4 2 2 7 2" xfId="11830" xr:uid="{DE5C4C3D-81AD-473D-8D8F-1C7B9821292D}"/>
    <cellStyle name="Output 2 4 2 2 7 2 2" xfId="20876" xr:uid="{D084FCF6-456B-4C7C-BC5B-C924CCED4674}"/>
    <cellStyle name="Output 2 4 2 2 7 3" xfId="17392" xr:uid="{2C9EB40F-3A6A-4939-937E-D553AA103391}"/>
    <cellStyle name="Output 2 4 2 2 8" xfId="9240" xr:uid="{B2974CB5-3BBB-44E2-9605-D99F107C7900}"/>
    <cellStyle name="Output 2 4 2 2 8 2" xfId="18286" xr:uid="{2418B9E3-FE3E-48BE-8D3D-DFAB7BBC5EF3}"/>
    <cellStyle name="Output 2 4 2 2 9" xfId="12638" xr:uid="{632FAAD3-D8B1-4F8E-B11F-21F4764AEC2E}"/>
    <cellStyle name="Output 2 4 2 3" xfId="2639" xr:uid="{B2143E0F-23D4-44D7-9E51-03BE10F6BF30}"/>
    <cellStyle name="Output 2 4 2 3 10" xfId="13835" xr:uid="{EA4935D3-61CE-4326-9F4A-84FC24FAF84B}"/>
    <cellStyle name="Output 2 4 2 3 11" xfId="14810" xr:uid="{4F4E0934-A815-492D-A88F-3DEE3C287616}"/>
    <cellStyle name="Output 2 4 2 3 12" xfId="21680" xr:uid="{642C51E4-7850-435C-BCE0-CC137E313A7C}"/>
    <cellStyle name="Output 2 4 2 3 13" xfId="3061" xr:uid="{B54050BA-B4C6-473C-80A6-CEAD6C6F587C}"/>
    <cellStyle name="Output 2 4 2 3 2" xfId="3446" xr:uid="{997F7FA9-85E4-408C-9E3A-C3E490B275FE}"/>
    <cellStyle name="Output 2 4 2 3 2 10" xfId="15237" xr:uid="{B208BFE6-5410-4318-BA3F-766060FB6ABB}"/>
    <cellStyle name="Output 2 4 2 3 2 11" xfId="22106" xr:uid="{5691335C-F20B-4C56-8CD9-EEF65FBA831E}"/>
    <cellStyle name="Output 2 4 2 3 2 2" xfId="4680" xr:uid="{23ED463A-B8DD-4CBC-9161-753EB23F145A}"/>
    <cellStyle name="Output 2 4 2 3 2 2 2" xfId="10537" xr:uid="{97F1F44B-FCE9-435F-A921-407D48949E95}"/>
    <cellStyle name="Output 2 4 2 3 2 2 2 2" xfId="19583" xr:uid="{F238DE74-2392-4D70-B510-5FAAD1A6BF9A}"/>
    <cellStyle name="Output 2 4 2 3 2 2 3" xfId="16097" xr:uid="{57814F77-9200-4607-BD20-964362D153A4}"/>
    <cellStyle name="Output 2 4 2 3 2 2 4" xfId="22762" xr:uid="{25AA4F09-6F46-4C2B-B575-2F961852B853}"/>
    <cellStyle name="Output 2 4 2 3 2 3" xfId="5181" xr:uid="{757841F2-03D3-4C3A-A657-C5B7DA728437}"/>
    <cellStyle name="Output 2 4 2 3 2 3 2" xfId="11034" xr:uid="{12789831-4D3B-460B-810C-A24E398FBCF5}"/>
    <cellStyle name="Output 2 4 2 3 2 3 2 2" xfId="20080" xr:uid="{15724603-4E94-446F-BA9F-60A44A5D0634}"/>
    <cellStyle name="Output 2 4 2 3 2 3 3" xfId="16594" xr:uid="{49A18DB9-1CC8-4051-95DE-2E4BF46DF85E}"/>
    <cellStyle name="Output 2 4 2 3 2 3 4" xfId="23257" xr:uid="{BBBD1502-213F-4750-84CE-AA9B8C312236}"/>
    <cellStyle name="Output 2 4 2 3 2 4" xfId="5796" xr:uid="{B8674790-E0B6-4427-9221-84979E94890B}"/>
    <cellStyle name="Output 2 4 2 3 2 4 2" xfId="11649" xr:uid="{CA016298-55B4-45F7-BAD6-1F41AF14A046}"/>
    <cellStyle name="Output 2 4 2 3 2 4 2 2" xfId="20695" xr:uid="{5FF6F1CD-9803-4EA3-BF45-72D804C44D02}"/>
    <cellStyle name="Output 2 4 2 3 2 4 3" xfId="17209" xr:uid="{42A9183A-AB7A-465D-8E19-73F7639C5227}"/>
    <cellStyle name="Output 2 4 2 3 2 5" xfId="6407" xr:uid="{E8F11288-6E4D-4D10-BD0B-2E17E26A141B}"/>
    <cellStyle name="Output 2 4 2 3 2 5 2" xfId="12254" xr:uid="{E7B304AA-24FF-4DA7-A490-2547BF019880}"/>
    <cellStyle name="Output 2 4 2 3 2 5 2 2" xfId="21300" xr:uid="{6BC515D1-2CDD-4557-ACD6-D380C9A96F11}"/>
    <cellStyle name="Output 2 4 2 3 2 5 3" xfId="17820" xr:uid="{11232E9D-EF30-4C01-9D4C-5A10ECFC67E2}"/>
    <cellStyle name="Output 2 4 2 3 2 6" xfId="9668" xr:uid="{14E8AE0F-2B46-4974-B4E2-1555FCEF22E9}"/>
    <cellStyle name="Output 2 4 2 3 2 6 2" xfId="18714" xr:uid="{FEFF7856-4FF9-4503-8AE9-F1CDC46CB63F}"/>
    <cellStyle name="Output 2 4 2 3 2 7" xfId="13066" xr:uid="{8AD1A8CD-3A49-4EE5-97CA-E372AC4C95DB}"/>
    <cellStyle name="Output 2 4 2 3 2 8" xfId="13623" xr:uid="{F1A7356D-4BFB-44E2-A92B-1231AB94B427}"/>
    <cellStyle name="Output 2 4 2 3 2 9" xfId="14262" xr:uid="{37F65F22-7DBD-4477-B6C3-71564179689F}"/>
    <cellStyle name="Output 2 4 2 3 3" xfId="3245" xr:uid="{CCA7D44A-81F9-42CF-9042-F2D48C73C7D3}"/>
    <cellStyle name="Output 2 4 2 3 3 10" xfId="15025" xr:uid="{D247D9CB-8556-41E4-A09E-CD9505505A20}"/>
    <cellStyle name="Output 2 4 2 3 3 11" xfId="21895" xr:uid="{9FB1CDF8-9D8A-4664-BFB8-1F659DB9710F}"/>
    <cellStyle name="Output 2 4 2 3 3 2" xfId="4468" xr:uid="{F9BD4367-5120-4659-BE03-023DAC71C9F9}"/>
    <cellStyle name="Output 2 4 2 3 3 2 2" xfId="10325" xr:uid="{8E915DA7-3684-4E34-B86A-DC1C1FA607DF}"/>
    <cellStyle name="Output 2 4 2 3 3 2 2 2" xfId="19371" xr:uid="{EFBF1B61-4727-4F06-9101-08546122EB76}"/>
    <cellStyle name="Output 2 4 2 3 3 2 3" xfId="15885" xr:uid="{038DD746-7757-46DF-84DF-28D6AFA6D6DD}"/>
    <cellStyle name="Output 2 4 2 3 3 2 4" xfId="22551" xr:uid="{C6CB9A7D-CDE4-49A7-9634-143ACDFC2AA5}"/>
    <cellStyle name="Output 2 4 2 3 3 3" xfId="4969" xr:uid="{B1C2B886-1A59-4549-978D-5F4C1879B973}"/>
    <cellStyle name="Output 2 4 2 3 3 3 2" xfId="10822" xr:uid="{4BDD9C30-18AB-4DBC-9548-F3A7B1188665}"/>
    <cellStyle name="Output 2 4 2 3 3 3 2 2" xfId="19868" xr:uid="{D2A4597D-4818-43D9-960A-8DB6CBBC7DD2}"/>
    <cellStyle name="Output 2 4 2 3 3 3 3" xfId="16382" xr:uid="{17102A30-0055-45B8-BA0D-F70AB4782A59}"/>
    <cellStyle name="Output 2 4 2 3 3 3 4" xfId="23046" xr:uid="{7D7CD970-5CD3-4764-B2E0-09CBCEE86D9E}"/>
    <cellStyle name="Output 2 4 2 3 3 4" xfId="5584" xr:uid="{06DE854A-0221-4232-9F33-6A43CAFC9F45}"/>
    <cellStyle name="Output 2 4 2 3 3 4 2" xfId="11437" xr:uid="{21BCBC97-FE7E-4874-81A7-327F665C3528}"/>
    <cellStyle name="Output 2 4 2 3 3 4 2 2" xfId="20483" xr:uid="{E8A58AA3-D386-4D55-AE1F-FFFB30C7E966}"/>
    <cellStyle name="Output 2 4 2 3 3 4 3" xfId="16997" xr:uid="{E3B1A551-A57B-45CC-ACF5-6150507A43E7}"/>
    <cellStyle name="Output 2 4 2 3 3 5" xfId="6195" xr:uid="{E9264887-E1C4-4D1E-AC3A-3DAB9579863C}"/>
    <cellStyle name="Output 2 4 2 3 3 5 2" xfId="12042" xr:uid="{8317FB14-8586-4C53-A521-7315CD5DD1A7}"/>
    <cellStyle name="Output 2 4 2 3 3 5 2 2" xfId="21088" xr:uid="{59C7C2C9-F080-4EC4-A3F7-8145C26142A0}"/>
    <cellStyle name="Output 2 4 2 3 3 5 3" xfId="17608" xr:uid="{7DA1E5AC-02B4-4575-92CE-80A236DAC16E}"/>
    <cellStyle name="Output 2 4 2 3 3 6" xfId="9456" xr:uid="{AB52E0C9-2682-4402-A7D1-B8D11EB3414B}"/>
    <cellStyle name="Output 2 4 2 3 3 6 2" xfId="18502" xr:uid="{65EE1A39-C3B5-417A-B015-888204493D6A}"/>
    <cellStyle name="Output 2 4 2 3 3 7" xfId="12854" xr:uid="{96B1F234-2436-45E4-ABC7-4A06B9C296E2}"/>
    <cellStyle name="Output 2 4 2 3 3 8" xfId="13412" xr:uid="{5C70570C-4534-4EAB-991F-B6304920AC04}"/>
    <cellStyle name="Output 2 4 2 3 3 9" xfId="14050" xr:uid="{366361FE-7C84-45F1-9CF3-9D5D1F554742}"/>
    <cellStyle name="Output 2 4 2 3 4" xfId="4752" xr:uid="{CEBE659D-C3A5-41AE-8292-4E8441049653}"/>
    <cellStyle name="Output 2 4 2 3 4 2" xfId="10609" xr:uid="{9C8C25B7-81BC-497E-A297-8FD063466154}"/>
    <cellStyle name="Output 2 4 2 3 4 2 2" xfId="19655" xr:uid="{5F99AD97-81FB-4BA8-BE99-501BB8BC5261}"/>
    <cellStyle name="Output 2 4 2 3 4 3" xfId="16169" xr:uid="{EB2E75AC-8F86-4FFE-89F7-0AC0E7A112E8}"/>
    <cellStyle name="Output 2 4 2 3 4 4" xfId="22831" xr:uid="{3CE3A651-A0D0-4DE1-9284-F0449DF912A7}"/>
    <cellStyle name="Output 2 4 2 3 5" xfId="5369" xr:uid="{FBD8D338-AD4E-4A87-866C-6E62F5154D31}"/>
    <cellStyle name="Output 2 4 2 3 5 2" xfId="11222" xr:uid="{34F87EE4-A8B6-47AA-8F39-AD40E9CCEC1A}"/>
    <cellStyle name="Output 2 4 2 3 5 2 2" xfId="20268" xr:uid="{65C7FE1D-5C30-4315-878C-59D094682293}"/>
    <cellStyle name="Output 2 4 2 3 5 3" xfId="16782" xr:uid="{66A0E87A-FC40-4852-B887-1D221465CA0D}"/>
    <cellStyle name="Output 2 4 2 3 6" xfId="5980" xr:uid="{9F18095B-3637-4314-9931-C8758D6FE317}"/>
    <cellStyle name="Output 2 4 2 3 6 2" xfId="11831" xr:uid="{304174FA-7AA6-419C-A53F-804CCE131594}"/>
    <cellStyle name="Output 2 4 2 3 6 2 2" xfId="20877" xr:uid="{309CF81C-91AF-4379-B851-C2FCB3139B77}"/>
    <cellStyle name="Output 2 4 2 3 6 3" xfId="17393" xr:uid="{35F4CBBE-12D1-4BB4-91DB-5FBE7220BC38}"/>
    <cellStyle name="Output 2 4 2 3 7" xfId="9241" xr:uid="{9C7C85F7-75A3-46B3-A9BF-6936B606E366}"/>
    <cellStyle name="Output 2 4 2 3 7 2" xfId="18287" xr:uid="{7CE8803F-1A5E-48D6-9ACD-1BDD43D1E5D1}"/>
    <cellStyle name="Output 2 4 2 3 8" xfId="12639" xr:uid="{8997AADB-4107-47EE-BEFA-C5031B2F60FB}"/>
    <cellStyle name="Output 2 4 2 3 9" xfId="13201" xr:uid="{463E1DFC-1AEE-411A-B73B-A251695BBB9A}"/>
    <cellStyle name="Output 2 4 2 4" xfId="3370" xr:uid="{F15B9467-8981-4F17-A32E-9E3EF0F0D3C7}"/>
    <cellStyle name="Output 2 4 2 4 10" xfId="15150" xr:uid="{E25C73C5-E9E9-40EE-858E-2C2CD4F76C60}"/>
    <cellStyle name="Output 2 4 2 4 11" xfId="22019" xr:uid="{154EBCC4-86BF-4A9B-97FC-7DF6B7DEC19E}"/>
    <cellStyle name="Output 2 4 2 4 2" xfId="4593" xr:uid="{0FC36413-6107-4B6F-A377-1AE437A26235}"/>
    <cellStyle name="Output 2 4 2 4 2 2" xfId="10450" xr:uid="{64C806E1-3F15-46F2-8125-D29823F09669}"/>
    <cellStyle name="Output 2 4 2 4 2 2 2" xfId="19496" xr:uid="{6047697A-9E23-46D6-9095-D5F5333B5CC3}"/>
    <cellStyle name="Output 2 4 2 4 2 3" xfId="16010" xr:uid="{44DD429C-D076-413D-B423-BC5A504A0B5C}"/>
    <cellStyle name="Output 2 4 2 4 2 4" xfId="22675" xr:uid="{CE99AA52-494C-43A7-B683-9B6849DA335C}"/>
    <cellStyle name="Output 2 4 2 4 3" xfId="5094" xr:uid="{CE52A174-15E9-42E0-972D-333DA67A1CA1}"/>
    <cellStyle name="Output 2 4 2 4 3 2" xfId="10947" xr:uid="{BAC0E0BE-D8CD-4B87-B0C5-F8CC0F2EF943}"/>
    <cellStyle name="Output 2 4 2 4 3 2 2" xfId="19993" xr:uid="{82565F36-BCF0-4078-ADAA-2860AB25FE8E}"/>
    <cellStyle name="Output 2 4 2 4 3 3" xfId="16507" xr:uid="{24D56FB6-81CC-4682-9E0F-AD189DD9AD08}"/>
    <cellStyle name="Output 2 4 2 4 3 4" xfId="23170" xr:uid="{7D45D2FA-0C60-426B-81E3-3B2A15586C17}"/>
    <cellStyle name="Output 2 4 2 4 4" xfId="5709" xr:uid="{B15CAD66-7232-45BA-9D8A-7D52DF82C974}"/>
    <cellStyle name="Output 2 4 2 4 4 2" xfId="11562" xr:uid="{94035314-26F7-44C4-88BB-574F89F7DF02}"/>
    <cellStyle name="Output 2 4 2 4 4 2 2" xfId="20608" xr:uid="{57B74164-318B-4BF5-B311-656F604BA856}"/>
    <cellStyle name="Output 2 4 2 4 4 3" xfId="17122" xr:uid="{18025567-2960-44FF-A1F9-0407B3772121}"/>
    <cellStyle name="Output 2 4 2 4 5" xfId="6320" xr:uid="{5686F4AA-D696-4EF9-8C80-3082A96B12AF}"/>
    <cellStyle name="Output 2 4 2 4 5 2" xfId="12167" xr:uid="{7ECA3DB4-6FE8-4DFD-9957-4BC19A78DE15}"/>
    <cellStyle name="Output 2 4 2 4 5 2 2" xfId="21213" xr:uid="{5B9E2ABA-2FEE-4F18-B46C-DE939226B754}"/>
    <cellStyle name="Output 2 4 2 4 5 3" xfId="17733" xr:uid="{0440D852-3148-4639-82C3-CF8CD20B5D4C}"/>
    <cellStyle name="Output 2 4 2 4 6" xfId="9581" xr:uid="{523E10A4-750C-4503-B0C9-BFD297FE23DA}"/>
    <cellStyle name="Output 2 4 2 4 6 2" xfId="18627" xr:uid="{56C0B01E-C396-49E7-9DF5-5927265F5983}"/>
    <cellStyle name="Output 2 4 2 4 7" xfId="12979" xr:uid="{8ABA2DB6-4087-40E3-9478-451940F3A9E9}"/>
    <cellStyle name="Output 2 4 2 4 8" xfId="13536" xr:uid="{1E12178C-8B38-45D3-96B1-BDBB445FAD08}"/>
    <cellStyle name="Output 2 4 2 4 9" xfId="14175" xr:uid="{8DA6CB3D-5C82-466E-9F97-3F601B1BF8F9}"/>
    <cellStyle name="Output 2 4 2 5" xfId="3158" xr:uid="{C7B38CBC-DE58-42B1-98CB-6667E206F86E}"/>
    <cellStyle name="Output 2 4 2 5 10" xfId="14938" xr:uid="{0F5CA614-5D6B-4B49-9314-AB5E6D14B5E2}"/>
    <cellStyle name="Output 2 4 2 5 11" xfId="21806" xr:uid="{27C68E96-B36D-415B-8881-C35A195F4DDE}"/>
    <cellStyle name="Output 2 4 2 5 2" xfId="4379" xr:uid="{E92A12D7-6786-46EB-811F-6BA9BA1A62EC}"/>
    <cellStyle name="Output 2 4 2 5 2 2" xfId="10236" xr:uid="{36DC6DF6-9D55-41D4-A670-553CBF6E036D}"/>
    <cellStyle name="Output 2 4 2 5 2 2 2" xfId="19282" xr:uid="{D3387994-7B72-440F-AED0-C7D18BBF6E12}"/>
    <cellStyle name="Output 2 4 2 5 2 3" xfId="15796" xr:uid="{3334BFFC-B24D-490E-BA6B-13D0F2DF64F2}"/>
    <cellStyle name="Output 2 4 2 5 2 4" xfId="22462" xr:uid="{70572DFD-6CE6-470F-8CE7-EEADAEDC4916}"/>
    <cellStyle name="Output 2 4 2 5 3" xfId="4880" xr:uid="{6FDE984C-22FC-4326-AEDC-B691EB887CE7}"/>
    <cellStyle name="Output 2 4 2 5 3 2" xfId="10735" xr:uid="{35A452C5-2DED-4EA6-BB4A-936A346B1D10}"/>
    <cellStyle name="Output 2 4 2 5 3 2 2" xfId="19781" xr:uid="{FF402CDD-3859-45C6-958D-27CBAECBC9B5}"/>
    <cellStyle name="Output 2 4 2 5 3 3" xfId="16295" xr:uid="{474A2B49-DDF4-4E78-8D75-400D194D3C73}"/>
    <cellStyle name="Output 2 4 2 5 3 4" xfId="22957" xr:uid="{88E07C50-FA02-4795-866A-52D049E2C7DD}"/>
    <cellStyle name="Output 2 4 2 5 4" xfId="5495" xr:uid="{CF4ACE19-DD01-4CBB-8AA4-2C9E3270622E}"/>
    <cellStyle name="Output 2 4 2 5 4 2" xfId="11348" xr:uid="{FCC1ACEE-00E6-426B-887F-4A0FA9157798}"/>
    <cellStyle name="Output 2 4 2 5 4 2 2" xfId="20394" xr:uid="{B81D031D-3765-4C86-AA6C-D9A0ADDFC203}"/>
    <cellStyle name="Output 2 4 2 5 4 3" xfId="16908" xr:uid="{7912C3D7-F7B0-479C-8C7C-EB09A74D6775}"/>
    <cellStyle name="Output 2 4 2 5 5" xfId="6106" xr:uid="{9B6D01F7-9173-4178-9A10-354E0F3BEBB3}"/>
    <cellStyle name="Output 2 4 2 5 5 2" xfId="11955" xr:uid="{3C415715-D18A-49C7-A108-407B51FA20C2}"/>
    <cellStyle name="Output 2 4 2 5 5 2 2" xfId="21001" xr:uid="{ED187469-5ADC-4D0A-837F-E05D05D43A73}"/>
    <cellStyle name="Output 2 4 2 5 5 3" xfId="17519" xr:uid="{1FEA4567-7A17-4624-BD6A-86DCBB797812}"/>
    <cellStyle name="Output 2 4 2 5 6" xfId="9369" xr:uid="{AF133E53-F1E7-4E78-9451-A70B12181135}"/>
    <cellStyle name="Output 2 4 2 5 6 2" xfId="18415" xr:uid="{762B2E9C-54E4-40F9-BFC0-E768FCB34B7A}"/>
    <cellStyle name="Output 2 4 2 5 7" xfId="12765" xr:uid="{1BCA8FE0-D041-463F-A270-01EB7913AD6D}"/>
    <cellStyle name="Output 2 4 2 5 8" xfId="13325" xr:uid="{0E2B65F9-12DE-4FD8-9250-C3E0CD508E48}"/>
    <cellStyle name="Output 2 4 2 5 9" xfId="13961" xr:uid="{66E3F0A3-54DA-40EF-8534-D734954D107C}"/>
    <cellStyle name="Output 2 4 2 6" xfId="3759" xr:uid="{51896C5E-7CE9-4022-BB44-AE154FF3E0FD}"/>
    <cellStyle name="Output 2 4 2 6 2" xfId="9801" xr:uid="{3E828010-C81E-4362-B5AD-A7042AFA605D}"/>
    <cellStyle name="Output 2 4 2 6 2 2" xfId="18847" xr:uid="{73C77DD4-46FB-4AC3-A9AC-F89EBD93E9B2}"/>
    <cellStyle name="Output 2 4 2 6 3" xfId="15367" xr:uid="{7AC5609D-D65C-454D-858E-E7AE3B4D8C26}"/>
    <cellStyle name="Output 2 4 2 6 4" xfId="22346" xr:uid="{2C25EA4C-83CB-4C5A-8D1B-BF3041A3B359}"/>
    <cellStyle name="Output 2 4 2 7" xfId="4243" xr:uid="{46A73CE3-F03F-44DA-9E9C-77E14A55FC67}"/>
    <cellStyle name="Output 2 4 2 7 2" xfId="10100" xr:uid="{3ACA14D1-1662-4E73-9F93-CF7808C999D5}"/>
    <cellStyle name="Output 2 4 2 7 2 2" xfId="19146" xr:uid="{F8C50F7E-423E-4AF4-9B06-9948A7C1DD7B}"/>
    <cellStyle name="Output 2 4 2 7 3" xfId="15660" xr:uid="{6567DB4D-AC26-4D71-B1C2-D521A67CBCCE}"/>
    <cellStyle name="Output 2 4 2 7 4" xfId="22259" xr:uid="{45DB7670-23D5-436E-8EB1-774667053DF5}"/>
    <cellStyle name="Output 2 4 2 8" xfId="4139" xr:uid="{04705478-724C-4867-811F-3612C4834B85}"/>
    <cellStyle name="Output 2 4 2 8 2" xfId="9996" xr:uid="{3BC531D8-A364-447E-8C7C-7837DF616826}"/>
    <cellStyle name="Output 2 4 2 8 2 2" xfId="19042" xr:uid="{BEE24D23-3EFC-4571-96F8-49F3E38FEF64}"/>
    <cellStyle name="Output 2 4 2 8 3" xfId="15556" xr:uid="{4FC9F2CB-E6FD-4CA8-98A3-5C2F8EC4277E}"/>
    <cellStyle name="Output 2 4 2 9" xfId="5280" xr:uid="{40028A99-1BE7-459C-916E-80CD4AFE1FF0}"/>
    <cellStyle name="Output 2 4 2 9 2" xfId="11133" xr:uid="{9BF5129E-535B-44D3-A001-B07A11462765}"/>
    <cellStyle name="Output 2 4 2 9 2 2" xfId="20179" xr:uid="{08F9EC9B-22A7-4163-80FA-970129D076A0}"/>
    <cellStyle name="Output 2 4 2 9 3" xfId="16693" xr:uid="{B6D44694-45A3-4584-ABE6-68B4975D0907}"/>
    <cellStyle name="Output 2 4 3" xfId="2420" xr:uid="{78E08680-9818-4400-9B3E-7FB59934D5C5}"/>
    <cellStyle name="Output 2 4 3 10" xfId="5892" xr:uid="{00598C4F-782F-4457-AB98-0732EE04481A}"/>
    <cellStyle name="Output 2 4 3 10 2" xfId="11745" xr:uid="{F71BB108-0587-4A1D-86AC-83CDFDCA13C3}"/>
    <cellStyle name="Output 2 4 3 10 2 2" xfId="20791" xr:uid="{67A4BF0B-72AD-4B19-A522-5315435B0C7A}"/>
    <cellStyle name="Output 2 4 3 10 3" xfId="17305" xr:uid="{7DF8CF96-AE5C-45E5-A973-E924568DC544}"/>
    <cellStyle name="Output 2 4 3 11" xfId="9155" xr:uid="{9F54CA05-9857-4B97-BD3C-6BDCAD4E5E21}"/>
    <cellStyle name="Output 2 4 3 11 2" xfId="18201" xr:uid="{FF42FD5A-9A2A-4B7B-AC8A-F5EC08808A9D}"/>
    <cellStyle name="Output 2 4 3 12" xfId="12553" xr:uid="{AB026894-B602-4C20-878E-E343D7FA9396}"/>
    <cellStyle name="Output 2 4 3 13" xfId="13747" xr:uid="{3B309744-4BF1-484A-AFFF-021A3F90C492}"/>
    <cellStyle name="Output 2 4 3 14" xfId="14724" xr:uid="{96153CBB-4A22-4E33-AEF9-B38FF7288622}"/>
    <cellStyle name="Output 2 4 3 15" xfId="21594" xr:uid="{D5E7E21F-4FD6-402B-BAF3-21540C76587C}"/>
    <cellStyle name="Output 2 4 3 16" xfId="23774" xr:uid="{8472F48B-4B95-4D41-AA9C-13256984F83D}"/>
    <cellStyle name="Output 2 4 3 2" xfId="2421" xr:uid="{CF39DC16-ED4D-4350-967E-A4F6BEB29C7C}"/>
    <cellStyle name="Output 2 4 3 2 10" xfId="13202" xr:uid="{A8946071-2552-43A5-8EF4-ED6BC502F6ED}"/>
    <cellStyle name="Output 2 4 3 2 11" xfId="13836" xr:uid="{BC415EB0-AEBB-4C29-A1B9-BBD02DBC5386}"/>
    <cellStyle name="Output 2 4 3 2 12" xfId="14811" xr:uid="{5BD1FD15-F18E-4691-906C-3F7ED37B8DBA}"/>
    <cellStyle name="Output 2 4 3 2 13" xfId="21681" xr:uid="{50AB34EE-8FE8-4C3D-BC06-02097818E8F0}"/>
    <cellStyle name="Output 2 4 3 2 2" xfId="2636" xr:uid="{BEBB41A9-B03E-4560-A2B1-8838EC3F5112}"/>
    <cellStyle name="Output 2 4 3 2 2 10" xfId="15238" xr:uid="{8828BB58-4A91-4CDD-AD24-4AFBCB6C9508}"/>
    <cellStyle name="Output 2 4 3 2 2 11" xfId="22107" xr:uid="{4EB45FB2-76D1-4D87-8F43-24A8A6B200A7}"/>
    <cellStyle name="Output 2 4 3 2 2 12" xfId="3447" xr:uid="{F506EF1B-21D0-4068-BDB2-5AB00DB9E60B}"/>
    <cellStyle name="Output 2 4 3 2 2 2" xfId="4681" xr:uid="{678CB64A-B3F8-4DF6-A0FD-6507123DB268}"/>
    <cellStyle name="Output 2 4 3 2 2 2 2" xfId="10538" xr:uid="{BAC660E6-CF33-4864-B7A9-1A51F929A35F}"/>
    <cellStyle name="Output 2 4 3 2 2 2 2 2" xfId="19584" xr:uid="{E52FF0BA-2769-4725-BC1E-FCCEE15EFE06}"/>
    <cellStyle name="Output 2 4 3 2 2 2 3" xfId="16098" xr:uid="{56ADA864-EA4E-42AF-9993-AF6F376C8002}"/>
    <cellStyle name="Output 2 4 3 2 2 2 4" xfId="22763" xr:uid="{3728F51E-9A27-4207-9A8A-2150FFB17823}"/>
    <cellStyle name="Output 2 4 3 2 2 3" xfId="5182" xr:uid="{5F6427A4-C6DB-40DA-8C0D-1FCF8D0C56B0}"/>
    <cellStyle name="Output 2 4 3 2 2 3 2" xfId="11035" xr:uid="{0527BAB2-4828-4B5A-B611-7CC42EB4100D}"/>
    <cellStyle name="Output 2 4 3 2 2 3 2 2" xfId="20081" xr:uid="{A2A7F38C-2726-43F5-B593-4C5DFF38FE93}"/>
    <cellStyle name="Output 2 4 3 2 2 3 3" xfId="16595" xr:uid="{2E1878BF-FC1F-4442-BAFC-CEA5D4C57879}"/>
    <cellStyle name="Output 2 4 3 2 2 3 4" xfId="23258" xr:uid="{2D2ABAE4-14E0-403D-9289-0E0CF1747386}"/>
    <cellStyle name="Output 2 4 3 2 2 4" xfId="5797" xr:uid="{1873B99B-DAE4-4E11-853C-777A734DCC69}"/>
    <cellStyle name="Output 2 4 3 2 2 4 2" xfId="11650" xr:uid="{88943C9A-686D-4AFD-BDB9-5B4BC35D3CEE}"/>
    <cellStyle name="Output 2 4 3 2 2 4 2 2" xfId="20696" xr:uid="{8E975518-9C37-4D17-A828-176E942BB331}"/>
    <cellStyle name="Output 2 4 3 2 2 4 3" xfId="17210" xr:uid="{D26FD510-1ECE-4BC9-8BB7-8E8FC72DF805}"/>
    <cellStyle name="Output 2 4 3 2 2 5" xfId="6408" xr:uid="{EA7DBF5A-125D-43CB-BFF6-5B1C0AAB43F5}"/>
    <cellStyle name="Output 2 4 3 2 2 5 2" xfId="12255" xr:uid="{0296166E-6A77-4B71-9C99-1CB51989BA32}"/>
    <cellStyle name="Output 2 4 3 2 2 5 2 2" xfId="21301" xr:uid="{32911BFC-F752-4D4A-9795-47E7B18E8EBF}"/>
    <cellStyle name="Output 2 4 3 2 2 5 3" xfId="17821" xr:uid="{ECF422EF-B7C5-4502-B65C-0455ABC775E6}"/>
    <cellStyle name="Output 2 4 3 2 2 6" xfId="9669" xr:uid="{182D73BF-57C7-4317-BA21-BDD09412AB02}"/>
    <cellStyle name="Output 2 4 3 2 2 6 2" xfId="18715" xr:uid="{D3AC1042-C16F-4C63-A80D-A30189044A85}"/>
    <cellStyle name="Output 2 4 3 2 2 7" xfId="13067" xr:uid="{1E269C8E-DB8F-4172-9AD8-704817CD0CE9}"/>
    <cellStyle name="Output 2 4 3 2 2 8" xfId="13624" xr:uid="{6A117CD0-2FD1-460E-AB07-F5235271B5B1}"/>
    <cellStyle name="Output 2 4 3 2 2 9" xfId="14263" xr:uid="{C8947356-3DC4-4C59-A240-E355B959A1CE}"/>
    <cellStyle name="Output 2 4 3 2 3" xfId="3246" xr:uid="{2F573936-B247-4E13-B9E7-6C91E10C36CA}"/>
    <cellStyle name="Output 2 4 3 2 3 10" xfId="15026" xr:uid="{EBEE79B1-EEA7-4E9E-93AC-44AEA3B0CEDD}"/>
    <cellStyle name="Output 2 4 3 2 3 11" xfId="21896" xr:uid="{D29F7553-BBDC-4D0E-8C44-174B0151CA4B}"/>
    <cellStyle name="Output 2 4 3 2 3 2" xfId="4469" xr:uid="{A412B7E5-A748-4E75-A9F3-00D0862B0F6F}"/>
    <cellStyle name="Output 2 4 3 2 3 2 2" xfId="10326" xr:uid="{511053DC-BF10-4D75-A31A-7CAF59329263}"/>
    <cellStyle name="Output 2 4 3 2 3 2 2 2" xfId="19372" xr:uid="{20EC9B27-7A14-4515-B278-95353FEEF972}"/>
    <cellStyle name="Output 2 4 3 2 3 2 3" xfId="15886" xr:uid="{39061B0B-6E67-4B59-A1AC-0F48EA29C1D5}"/>
    <cellStyle name="Output 2 4 3 2 3 2 4" xfId="22552" xr:uid="{F68E7F98-EC3C-488A-8AD1-3485322E8416}"/>
    <cellStyle name="Output 2 4 3 2 3 3" xfId="4970" xr:uid="{7D9DAE2E-151A-4DD1-AEE1-3F4F1BCCF8FF}"/>
    <cellStyle name="Output 2 4 3 2 3 3 2" xfId="10823" xr:uid="{272FAE17-2E16-40E9-AC66-5C7EAD5DABEA}"/>
    <cellStyle name="Output 2 4 3 2 3 3 2 2" xfId="19869" xr:uid="{4B29EC61-5397-43B9-BE0A-CF6E31CB2D7C}"/>
    <cellStyle name="Output 2 4 3 2 3 3 3" xfId="16383" xr:uid="{0F73A01F-ED8F-4C6F-A830-4FBDA8559E8F}"/>
    <cellStyle name="Output 2 4 3 2 3 3 4" xfId="23047" xr:uid="{A8F981FA-37FF-4DF8-92D2-23FA9C32FAE1}"/>
    <cellStyle name="Output 2 4 3 2 3 4" xfId="5585" xr:uid="{CA3180B5-D863-4687-8937-0EAC8FF8AF4C}"/>
    <cellStyle name="Output 2 4 3 2 3 4 2" xfId="11438" xr:uid="{3A14A51A-FF34-43B2-979B-2D7F083214C6}"/>
    <cellStyle name="Output 2 4 3 2 3 4 2 2" xfId="20484" xr:uid="{6DA28146-24CA-457E-A89E-CCC7835EC809}"/>
    <cellStyle name="Output 2 4 3 2 3 4 3" xfId="16998" xr:uid="{ED630001-9F0C-4414-A852-05D3E511BFC3}"/>
    <cellStyle name="Output 2 4 3 2 3 5" xfId="6196" xr:uid="{CC71967A-0C30-4E89-AFD7-B00EE0FEB6D1}"/>
    <cellStyle name="Output 2 4 3 2 3 5 2" xfId="12043" xr:uid="{FA8BCACF-F5B2-4E36-8583-70B1D2006630}"/>
    <cellStyle name="Output 2 4 3 2 3 5 2 2" xfId="21089" xr:uid="{82815DCE-BEE9-4272-8AE3-1F73BDC3D350}"/>
    <cellStyle name="Output 2 4 3 2 3 5 3" xfId="17609" xr:uid="{9B0D7804-4DE5-4567-A5CE-B3FC52F0E259}"/>
    <cellStyle name="Output 2 4 3 2 3 6" xfId="9457" xr:uid="{68465089-DB19-4F71-9967-FE44510BD4A7}"/>
    <cellStyle name="Output 2 4 3 2 3 6 2" xfId="18503" xr:uid="{8F613599-8F30-43E2-B26B-6C5300EFE555}"/>
    <cellStyle name="Output 2 4 3 2 3 7" xfId="12855" xr:uid="{AFCF84D3-1A02-44D7-9B04-F8EB11B16A15}"/>
    <cellStyle name="Output 2 4 3 2 3 8" xfId="13413" xr:uid="{9A6CDFD9-3DB1-46CC-9B34-6BC699FC4EF9}"/>
    <cellStyle name="Output 2 4 3 2 3 9" xfId="14051" xr:uid="{5363C3DD-BE68-47A1-8493-748EF4AB3AA8}"/>
    <cellStyle name="Output 2 4 3 2 4" xfId="4028" xr:uid="{2D6114D7-28FC-450E-8193-E9015D91DE9A}"/>
    <cellStyle name="Output 2 4 3 2 4 2" xfId="9890" xr:uid="{2F86EA3E-5419-4CEB-ABD0-297F49589360}"/>
    <cellStyle name="Output 2 4 3 2 4 2 2" xfId="18936" xr:uid="{B7549390-8905-42A1-B479-78E7EFADCCE6}"/>
    <cellStyle name="Output 2 4 3 2 4 3" xfId="15452" xr:uid="{4A728267-8DCB-4601-8641-AB6567C0D79C}"/>
    <cellStyle name="Output 2 4 3 2 4 4" xfId="22832" xr:uid="{32BB558A-14BF-43A8-9BF5-459415F09116}"/>
    <cellStyle name="Output 2 4 3 2 5" xfId="4753" xr:uid="{7E4F704F-F5AC-4BC4-9257-B24E8011DBFF}"/>
    <cellStyle name="Output 2 4 3 2 5 2" xfId="10610" xr:uid="{4278A9CD-1A2F-4558-9723-518AA43D6895}"/>
    <cellStyle name="Output 2 4 3 2 5 2 2" xfId="19656" xr:uid="{A4B3DBDF-77CB-478D-856C-5B8FA6287DB4}"/>
    <cellStyle name="Output 2 4 3 2 5 3" xfId="16170" xr:uid="{24C7157A-AC56-4624-A668-B41C69C1585A}"/>
    <cellStyle name="Output 2 4 3 2 6" xfId="5370" xr:uid="{BE69EE05-017F-41E0-9D79-29D0E21F7007}"/>
    <cellStyle name="Output 2 4 3 2 6 2" xfId="11223" xr:uid="{26618301-D3D6-47EE-8447-CC69CEA035C5}"/>
    <cellStyle name="Output 2 4 3 2 6 2 2" xfId="20269" xr:uid="{9785F936-150F-493A-A7B9-F146B4DE9284}"/>
    <cellStyle name="Output 2 4 3 2 6 3" xfId="16783" xr:uid="{9F0145B5-810A-4CA4-AD53-9CED97E9D609}"/>
    <cellStyle name="Output 2 4 3 2 7" xfId="5981" xr:uid="{64331DBE-5FF7-4AAD-82C4-79E9CF414C36}"/>
    <cellStyle name="Output 2 4 3 2 7 2" xfId="11832" xr:uid="{06BC3846-59ED-480F-B802-961C31B5E1C6}"/>
    <cellStyle name="Output 2 4 3 2 7 2 2" xfId="20878" xr:uid="{F75EBE92-F68D-4C97-BC0E-5E61F230244D}"/>
    <cellStyle name="Output 2 4 3 2 7 3" xfId="17394" xr:uid="{0C133EDA-3D3A-4417-A22E-A1506D087DDB}"/>
    <cellStyle name="Output 2 4 3 2 8" xfId="9242" xr:uid="{52726AC9-4907-42A7-A868-71CF707DB9B3}"/>
    <cellStyle name="Output 2 4 3 2 8 2" xfId="18288" xr:uid="{D12DAE34-A52E-4D79-B304-4BB977C3DF4F}"/>
    <cellStyle name="Output 2 4 3 2 9" xfId="12640" xr:uid="{7338CA75-5D57-430E-8017-1359E3C7A6BC}"/>
    <cellStyle name="Output 2 4 3 3" xfId="2637" xr:uid="{C5E20D83-BA85-4054-91D2-8C5C7B3D459D}"/>
    <cellStyle name="Output 2 4 3 3 10" xfId="13837" xr:uid="{BB5432D7-40BD-4D2B-AB09-9DE5E33F8D76}"/>
    <cellStyle name="Output 2 4 3 3 11" xfId="14812" xr:uid="{9520FC9A-3FB5-4154-B67B-4895A338A0D9}"/>
    <cellStyle name="Output 2 4 3 3 12" xfId="21682" xr:uid="{E9C383BF-62BD-4087-B9F5-4610C38C67B5}"/>
    <cellStyle name="Output 2 4 3 3 13" xfId="3062" xr:uid="{AE038FBA-C824-4F00-A1ED-458B34C93588}"/>
    <cellStyle name="Output 2 4 3 3 2" xfId="3448" xr:uid="{047B53C4-48BB-4265-BB96-584DD734A39A}"/>
    <cellStyle name="Output 2 4 3 3 2 10" xfId="15239" xr:uid="{60FBF898-8E46-41EB-A75B-DD4967730592}"/>
    <cellStyle name="Output 2 4 3 3 2 11" xfId="22108" xr:uid="{49F07E60-8434-45EE-A521-4F326F4A50B4}"/>
    <cellStyle name="Output 2 4 3 3 2 2" xfId="4682" xr:uid="{D5FFA4CA-8910-4C91-8755-ED587A7C25C2}"/>
    <cellStyle name="Output 2 4 3 3 2 2 2" xfId="10539" xr:uid="{9F3BA5FA-9A1A-4730-8D1A-1E9709D53482}"/>
    <cellStyle name="Output 2 4 3 3 2 2 2 2" xfId="19585" xr:uid="{6FC061ED-E0DE-451E-8ECF-502749E08169}"/>
    <cellStyle name="Output 2 4 3 3 2 2 3" xfId="16099" xr:uid="{EE8A78E0-92E3-44C4-8A76-56A536BABC9A}"/>
    <cellStyle name="Output 2 4 3 3 2 2 4" xfId="22764" xr:uid="{E615D8EA-8D7C-41C5-BE3A-D14FF9B15061}"/>
    <cellStyle name="Output 2 4 3 3 2 3" xfId="5183" xr:uid="{F6E8B615-ED89-46AD-B074-50371F41E4DC}"/>
    <cellStyle name="Output 2 4 3 3 2 3 2" xfId="11036" xr:uid="{8F8CEAA8-6498-46DF-BD9C-00D8E572340A}"/>
    <cellStyle name="Output 2 4 3 3 2 3 2 2" xfId="20082" xr:uid="{68ACD7A2-25B5-4CFD-ADE7-51EE26F9D842}"/>
    <cellStyle name="Output 2 4 3 3 2 3 3" xfId="16596" xr:uid="{86FBFD78-EF22-45C3-8CAD-2CFD8C082243}"/>
    <cellStyle name="Output 2 4 3 3 2 3 4" xfId="23259" xr:uid="{069BA3AE-6BD2-4312-B6D4-A1268EC3D477}"/>
    <cellStyle name="Output 2 4 3 3 2 4" xfId="5798" xr:uid="{D89B1383-BC06-4E41-95F6-6A92E2965F3C}"/>
    <cellStyle name="Output 2 4 3 3 2 4 2" xfId="11651" xr:uid="{2F3F5E6E-7A5D-4F73-BE46-BB23A5E8FC94}"/>
    <cellStyle name="Output 2 4 3 3 2 4 2 2" xfId="20697" xr:uid="{3305C93E-FC7D-486F-8632-1616C3CDC4C0}"/>
    <cellStyle name="Output 2 4 3 3 2 4 3" xfId="17211" xr:uid="{34B443FA-35E6-4B98-B522-6419FEDD6D55}"/>
    <cellStyle name="Output 2 4 3 3 2 5" xfId="6409" xr:uid="{B33BFEB9-E5B3-4974-8916-D7F8DADC4ADB}"/>
    <cellStyle name="Output 2 4 3 3 2 5 2" xfId="12256" xr:uid="{7D49C404-F357-40AD-A498-F08D44731886}"/>
    <cellStyle name="Output 2 4 3 3 2 5 2 2" xfId="21302" xr:uid="{22522910-EA5D-497A-A03B-26F9F2B1DE97}"/>
    <cellStyle name="Output 2 4 3 3 2 5 3" xfId="17822" xr:uid="{C2AE5FD8-7E5D-4FDF-A478-10614BA5EB45}"/>
    <cellStyle name="Output 2 4 3 3 2 6" xfId="9670" xr:uid="{29BB8754-E5F2-4E39-AE23-801E4A8F3111}"/>
    <cellStyle name="Output 2 4 3 3 2 6 2" xfId="18716" xr:uid="{0277B1CB-2D68-41B6-A04F-2417A453E9BE}"/>
    <cellStyle name="Output 2 4 3 3 2 7" xfId="13068" xr:uid="{C1097C35-F02D-4A67-AE1D-87E15316ABEB}"/>
    <cellStyle name="Output 2 4 3 3 2 8" xfId="13625" xr:uid="{07CFB6C4-D1C0-4D46-B475-C3DCF542D1A7}"/>
    <cellStyle name="Output 2 4 3 3 2 9" xfId="14264" xr:uid="{62F0FECA-C99E-4F4B-8C7E-1432A84B28D3}"/>
    <cellStyle name="Output 2 4 3 3 3" xfId="3247" xr:uid="{A16B9C79-3FA8-42E8-B461-8C3746E6512E}"/>
    <cellStyle name="Output 2 4 3 3 3 10" xfId="15027" xr:uid="{CCCE3047-A3E4-4F93-B141-BB4CBFA4697F}"/>
    <cellStyle name="Output 2 4 3 3 3 11" xfId="21897" xr:uid="{DB8B03A3-38EB-4891-9DDA-E3103FD2F604}"/>
    <cellStyle name="Output 2 4 3 3 3 2" xfId="4470" xr:uid="{0B30592A-3E9A-442F-B5B8-6207B3F3BA53}"/>
    <cellStyle name="Output 2 4 3 3 3 2 2" xfId="10327" xr:uid="{F0E163E8-CC18-4621-AA3C-BA1D02729666}"/>
    <cellStyle name="Output 2 4 3 3 3 2 2 2" xfId="19373" xr:uid="{75126675-541A-4D57-94FE-6CA27055587F}"/>
    <cellStyle name="Output 2 4 3 3 3 2 3" xfId="15887" xr:uid="{6986BF39-39F5-4F1B-84C8-565910C35DB8}"/>
    <cellStyle name="Output 2 4 3 3 3 2 4" xfId="22553" xr:uid="{6636DA2B-39A0-401A-9FE9-C69813BE81A7}"/>
    <cellStyle name="Output 2 4 3 3 3 3" xfId="4971" xr:uid="{210961A1-DA35-4218-83CD-DF43631950FF}"/>
    <cellStyle name="Output 2 4 3 3 3 3 2" xfId="10824" xr:uid="{C4725D22-364A-419B-B714-626F35B5F6C5}"/>
    <cellStyle name="Output 2 4 3 3 3 3 2 2" xfId="19870" xr:uid="{BBA42AB4-A2F0-47A5-B434-CE222D33F44C}"/>
    <cellStyle name="Output 2 4 3 3 3 3 3" xfId="16384" xr:uid="{8B9071E8-9181-4DE9-87C3-74D8E717B75A}"/>
    <cellStyle name="Output 2 4 3 3 3 3 4" xfId="23048" xr:uid="{70B303B1-D375-4527-A035-27AB226F960B}"/>
    <cellStyle name="Output 2 4 3 3 3 4" xfId="5586" xr:uid="{7E112AFD-DBF2-4B3B-8C75-266C20BB5D46}"/>
    <cellStyle name="Output 2 4 3 3 3 4 2" xfId="11439" xr:uid="{F9B258F7-7452-4058-A3ED-80BE209F9F81}"/>
    <cellStyle name="Output 2 4 3 3 3 4 2 2" xfId="20485" xr:uid="{B6F1FA55-D2B3-49F3-BF17-428B56E266F3}"/>
    <cellStyle name="Output 2 4 3 3 3 4 3" xfId="16999" xr:uid="{4BF9420F-8C1C-4113-B81E-8E0B95FADE24}"/>
    <cellStyle name="Output 2 4 3 3 3 5" xfId="6197" xr:uid="{85190E22-C32A-4E30-8761-EA007744D7DD}"/>
    <cellStyle name="Output 2 4 3 3 3 5 2" xfId="12044" xr:uid="{75B553A4-2CD4-4D5C-A320-2116D2A0B41D}"/>
    <cellStyle name="Output 2 4 3 3 3 5 2 2" xfId="21090" xr:uid="{D72D96F3-F2BF-4D27-9959-7A96CA261397}"/>
    <cellStyle name="Output 2 4 3 3 3 5 3" xfId="17610" xr:uid="{B51104B0-20FA-4B1C-8DEA-00AE4C134EF0}"/>
    <cellStyle name="Output 2 4 3 3 3 6" xfId="9458" xr:uid="{8A115E37-F5D5-42F5-81C8-BDE425A76814}"/>
    <cellStyle name="Output 2 4 3 3 3 6 2" xfId="18504" xr:uid="{70E87E27-9C74-480A-8401-593C1950F742}"/>
    <cellStyle name="Output 2 4 3 3 3 7" xfId="12856" xr:uid="{FFF39B5B-588F-4458-9EAA-A89F82549F19}"/>
    <cellStyle name="Output 2 4 3 3 3 8" xfId="13414" xr:uid="{B7E8AD78-5F62-4C66-9EF4-FEEAF4D33E67}"/>
    <cellStyle name="Output 2 4 3 3 3 9" xfId="14052" xr:uid="{55C92B32-25C7-40AA-9D5F-9A616B9C678C}"/>
    <cellStyle name="Output 2 4 3 3 4" xfId="4754" xr:uid="{FFCF2A3D-9DD3-4C32-B714-CF2165721D8A}"/>
    <cellStyle name="Output 2 4 3 3 4 2" xfId="10611" xr:uid="{13BFE89C-CAA8-4179-8744-21C776E59E6C}"/>
    <cellStyle name="Output 2 4 3 3 4 2 2" xfId="19657" xr:uid="{8F5C935D-57B4-4D1F-8513-708F6DE49A81}"/>
    <cellStyle name="Output 2 4 3 3 4 3" xfId="16171" xr:uid="{C03B329A-AF9D-4402-A1F0-8471DA4D8510}"/>
    <cellStyle name="Output 2 4 3 3 4 4" xfId="22833" xr:uid="{3EDCFBCD-22F0-404A-ACE8-696BAE21F33D}"/>
    <cellStyle name="Output 2 4 3 3 5" xfId="5371" xr:uid="{EEF7CC66-5265-48CD-B019-55B19890D839}"/>
    <cellStyle name="Output 2 4 3 3 5 2" xfId="11224" xr:uid="{C57BFD57-BC81-41C6-A46E-802FC7DD1C1B}"/>
    <cellStyle name="Output 2 4 3 3 5 2 2" xfId="20270" xr:uid="{3DC7864E-6167-49AA-A93E-0049652938F5}"/>
    <cellStyle name="Output 2 4 3 3 5 3" xfId="16784" xr:uid="{3108185E-DF06-4189-8510-4B57373C89A4}"/>
    <cellStyle name="Output 2 4 3 3 6" xfId="5982" xr:uid="{D4989AC7-51BA-45B4-8B14-41ED52C7B03C}"/>
    <cellStyle name="Output 2 4 3 3 6 2" xfId="11833" xr:uid="{73616179-2EAC-47E2-A42A-F73233C9403D}"/>
    <cellStyle name="Output 2 4 3 3 6 2 2" xfId="20879" xr:uid="{B427C721-5A08-42D6-90A4-90BDFC7B7858}"/>
    <cellStyle name="Output 2 4 3 3 6 3" xfId="17395" xr:uid="{3DB38E47-E356-4119-ABF5-0C9C163F66C2}"/>
    <cellStyle name="Output 2 4 3 3 7" xfId="9243" xr:uid="{36545B6A-B6E6-4BB5-B436-B571E7D2E945}"/>
    <cellStyle name="Output 2 4 3 3 7 2" xfId="18289" xr:uid="{367E4E72-1FA1-443C-9024-0F92B3DAD72D}"/>
    <cellStyle name="Output 2 4 3 3 8" xfId="12641" xr:uid="{26DFFCEE-8ABF-4769-B250-BA2684BF5D30}"/>
    <cellStyle name="Output 2 4 3 3 9" xfId="13203" xr:uid="{71ACEC31-690A-4213-9CE3-CB74D405C525}"/>
    <cellStyle name="Output 2 4 3 4" xfId="3371" xr:uid="{A32B464E-F07A-4BF8-87F6-EE21FA41755B}"/>
    <cellStyle name="Output 2 4 3 4 10" xfId="15151" xr:uid="{83A386E7-0268-4D08-BC75-732331DA299D}"/>
    <cellStyle name="Output 2 4 3 4 11" xfId="22020" xr:uid="{BF873244-1008-4D66-A418-C9353B833DCD}"/>
    <cellStyle name="Output 2 4 3 4 2" xfId="4594" xr:uid="{4F285E4B-8340-4402-BDAB-808488A47F21}"/>
    <cellStyle name="Output 2 4 3 4 2 2" xfId="10451" xr:uid="{F27F9769-CA36-4282-9F4A-47E8815DB34B}"/>
    <cellStyle name="Output 2 4 3 4 2 2 2" xfId="19497" xr:uid="{EFB14C72-7B87-40D0-A69A-459992582D99}"/>
    <cellStyle name="Output 2 4 3 4 2 3" xfId="16011" xr:uid="{3D45B0E1-BA61-4250-B421-51F1C78A2B26}"/>
    <cellStyle name="Output 2 4 3 4 2 4" xfId="22676" xr:uid="{BA56C442-99FD-41B3-B5EB-6DDC880803D5}"/>
    <cellStyle name="Output 2 4 3 4 3" xfId="5095" xr:uid="{609F5A3A-CDE7-4FF8-82A5-9D7CC0C80D11}"/>
    <cellStyle name="Output 2 4 3 4 3 2" xfId="10948" xr:uid="{814F5EA5-5636-41E0-BF99-E9C60E3B428D}"/>
    <cellStyle name="Output 2 4 3 4 3 2 2" xfId="19994" xr:uid="{741F623B-7915-45D3-8F80-8347456EC365}"/>
    <cellStyle name="Output 2 4 3 4 3 3" xfId="16508" xr:uid="{B4E60E72-87B1-4B1D-A21D-07C00D124234}"/>
    <cellStyle name="Output 2 4 3 4 3 4" xfId="23171" xr:uid="{9B84DD0F-03CE-4E8E-93E7-D5D54B8AD6C8}"/>
    <cellStyle name="Output 2 4 3 4 4" xfId="5710" xr:uid="{8D09D227-923E-4C82-9932-C4BC6F55336B}"/>
    <cellStyle name="Output 2 4 3 4 4 2" xfId="11563" xr:uid="{2923D09A-9F8B-4AB1-9C8D-93A392545C23}"/>
    <cellStyle name="Output 2 4 3 4 4 2 2" xfId="20609" xr:uid="{59FE4819-990D-4FA8-A350-EA0FAFC72663}"/>
    <cellStyle name="Output 2 4 3 4 4 3" xfId="17123" xr:uid="{8F545788-9DC0-405B-BF3B-29210DDEBE4B}"/>
    <cellStyle name="Output 2 4 3 4 5" xfId="6321" xr:uid="{04094FF0-D7F1-4725-88FE-27F83BC76FD0}"/>
    <cellStyle name="Output 2 4 3 4 5 2" xfId="12168" xr:uid="{4CCC5567-1AAF-4904-BE2B-678F5FF97C42}"/>
    <cellStyle name="Output 2 4 3 4 5 2 2" xfId="21214" xr:uid="{19516D1B-246B-4383-BAB8-47A51E0DCF5F}"/>
    <cellStyle name="Output 2 4 3 4 5 3" xfId="17734" xr:uid="{F7915A66-E4BA-41FD-9735-6F13ECC3D8C8}"/>
    <cellStyle name="Output 2 4 3 4 6" xfId="9582" xr:uid="{F8551E26-5018-4E27-9215-6D874B2A7143}"/>
    <cellStyle name="Output 2 4 3 4 6 2" xfId="18628" xr:uid="{9A89C77C-BC1C-4E6B-AF6C-7A26E92F3CAC}"/>
    <cellStyle name="Output 2 4 3 4 7" xfId="12980" xr:uid="{2596BF3D-2B8A-403B-922D-FAF887F3A191}"/>
    <cellStyle name="Output 2 4 3 4 8" xfId="13537" xr:uid="{B2BAD125-392B-4FA7-885A-FA9E3E7C205D}"/>
    <cellStyle name="Output 2 4 3 4 9" xfId="14176" xr:uid="{074FFF03-CED8-410E-9425-9BAA4041A006}"/>
    <cellStyle name="Output 2 4 3 5" xfId="3159" xr:uid="{940484F3-21E3-4EC9-A63D-41DDBDFA31A1}"/>
    <cellStyle name="Output 2 4 3 5 10" xfId="14939" xr:uid="{CBBB460E-1FA4-4FD1-8A81-48781C747B1D}"/>
    <cellStyle name="Output 2 4 3 5 11" xfId="21807" xr:uid="{82988480-93F3-4EEF-BB20-FEBEC9D8B549}"/>
    <cellStyle name="Output 2 4 3 5 2" xfId="4380" xr:uid="{E2D00BD5-2B5D-4E17-A7AC-916626D33E09}"/>
    <cellStyle name="Output 2 4 3 5 2 2" xfId="10237" xr:uid="{8AEF7E9D-51C5-45F3-AEDE-E36850F797EE}"/>
    <cellStyle name="Output 2 4 3 5 2 2 2" xfId="19283" xr:uid="{D25B0F53-59D1-42A6-9618-7CFACA721F1C}"/>
    <cellStyle name="Output 2 4 3 5 2 3" xfId="15797" xr:uid="{ADE3E306-D7F5-4ECD-BEB3-2871893FF57C}"/>
    <cellStyle name="Output 2 4 3 5 2 4" xfId="22463" xr:uid="{0ECCDAB0-B902-4642-981F-4D205B848B3F}"/>
    <cellStyle name="Output 2 4 3 5 3" xfId="4881" xr:uid="{FAA3AA9C-4997-459C-9725-D4F7CE6E94E7}"/>
    <cellStyle name="Output 2 4 3 5 3 2" xfId="10736" xr:uid="{423C772E-1524-4F49-9498-59EB21CF6B27}"/>
    <cellStyle name="Output 2 4 3 5 3 2 2" xfId="19782" xr:uid="{229858BE-ACC6-4C3C-A2EA-EB7A8A6EB784}"/>
    <cellStyle name="Output 2 4 3 5 3 3" xfId="16296" xr:uid="{D005DCFF-4A1D-4E09-95ED-407DA41AE201}"/>
    <cellStyle name="Output 2 4 3 5 3 4" xfId="22958" xr:uid="{F1F0117D-8851-4F2E-BE48-8D835E294D3E}"/>
    <cellStyle name="Output 2 4 3 5 4" xfId="5496" xr:uid="{FFD853D8-342E-4167-A547-0CF8D28D136E}"/>
    <cellStyle name="Output 2 4 3 5 4 2" xfId="11349" xr:uid="{F8839043-1569-421B-8D3D-3B3F8926F8C6}"/>
    <cellStyle name="Output 2 4 3 5 4 2 2" xfId="20395" xr:uid="{1F937833-5233-481A-95F4-D61C90528591}"/>
    <cellStyle name="Output 2 4 3 5 4 3" xfId="16909" xr:uid="{0579284B-0DD3-4B31-94FD-8229B4388706}"/>
    <cellStyle name="Output 2 4 3 5 5" xfId="6107" xr:uid="{5A89496C-9393-4024-940E-D443CD14C405}"/>
    <cellStyle name="Output 2 4 3 5 5 2" xfId="11956" xr:uid="{1066E486-3AD4-4E85-BFCC-9197D01BE1C8}"/>
    <cellStyle name="Output 2 4 3 5 5 2 2" xfId="21002" xr:uid="{7FA9EAFE-976F-4B8F-98D2-214461453995}"/>
    <cellStyle name="Output 2 4 3 5 5 3" xfId="17520" xr:uid="{E1758B92-F601-4706-AD64-E6B15E2F2D64}"/>
    <cellStyle name="Output 2 4 3 5 6" xfId="9370" xr:uid="{65C49183-8123-4781-8BCD-C4D7D321D0F2}"/>
    <cellStyle name="Output 2 4 3 5 6 2" xfId="18416" xr:uid="{29DDFC2B-D4B2-4880-B313-198089C698D8}"/>
    <cellStyle name="Output 2 4 3 5 7" xfId="12766" xr:uid="{C61FE4FD-235D-4842-917B-11965B82598F}"/>
    <cellStyle name="Output 2 4 3 5 8" xfId="13326" xr:uid="{B06F96E0-ED6E-4CF5-8E9C-B10926B84207}"/>
    <cellStyle name="Output 2 4 3 5 9" xfId="13962" xr:uid="{4F39A4B1-BCAC-4A74-90B7-05602140E352}"/>
    <cellStyle name="Output 2 4 3 6" xfId="3760" xr:uid="{331197F5-045C-4829-B755-3A13DC9310F6}"/>
    <cellStyle name="Output 2 4 3 6 2" xfId="9802" xr:uid="{D8776CA0-3C2F-498E-9D9A-7E8A17CEB2D1}"/>
    <cellStyle name="Output 2 4 3 6 2 2" xfId="18848" xr:uid="{F9A3F5BC-9BB6-4DEB-9914-5DB02208509A}"/>
    <cellStyle name="Output 2 4 3 6 3" xfId="15368" xr:uid="{05500C7E-621F-4A07-A6F2-F17F35E1F279}"/>
    <cellStyle name="Output 2 4 3 6 4" xfId="22347" xr:uid="{E7AA14B2-16E0-445A-A4C4-40B13B872162}"/>
    <cellStyle name="Output 2 4 3 7" xfId="4244" xr:uid="{26710483-B192-4A10-B536-D8C3942995B0}"/>
    <cellStyle name="Output 2 4 3 7 2" xfId="10101" xr:uid="{A501504E-6EDD-46C2-A140-7BE41ADAEBC8}"/>
    <cellStyle name="Output 2 4 3 7 2 2" xfId="19147" xr:uid="{18A68448-36BA-408F-91C9-D8E734539C27}"/>
    <cellStyle name="Output 2 4 3 7 3" xfId="15661" xr:uid="{2C4D1CFF-E7E0-439C-9956-DAB5723D5753}"/>
    <cellStyle name="Output 2 4 3 7 4" xfId="22257" xr:uid="{32A45AF4-690E-4B0A-8F99-C1E17B1871C9}"/>
    <cellStyle name="Output 2 4 3 8" xfId="4138" xr:uid="{7D47287A-278B-4F44-B4A6-9B30A780B2EA}"/>
    <cellStyle name="Output 2 4 3 8 2" xfId="9995" xr:uid="{23889F33-8FDB-4143-BD52-2D4D99B32D89}"/>
    <cellStyle name="Output 2 4 3 8 2 2" xfId="19041" xr:uid="{2EDEE015-6963-4712-A2FC-04040C305666}"/>
    <cellStyle name="Output 2 4 3 8 3" xfId="15555" xr:uid="{286CEBCA-7B19-479F-97E5-4FA72CF40AA5}"/>
    <cellStyle name="Output 2 4 3 9" xfId="5281" xr:uid="{DEFA8667-CE86-40DE-978C-270A79AEEF77}"/>
    <cellStyle name="Output 2 4 3 9 2" xfId="11134" xr:uid="{B314FF20-BCF6-4EC5-87D6-FF45EA6573A7}"/>
    <cellStyle name="Output 2 4 3 9 2 2" xfId="20180" xr:uid="{7E61911C-9498-4577-B1B7-22A7642A8C25}"/>
    <cellStyle name="Output 2 4 3 9 3" xfId="16694" xr:uid="{A5D7C017-8F9D-4862-9348-53E959EAFFBE}"/>
    <cellStyle name="Output 2 4 4" xfId="2422" xr:uid="{33536202-9406-4F90-92E3-D9467FA945D0}"/>
    <cellStyle name="Output 2 4 4 10" xfId="13204" xr:uid="{EAE4EE1A-0648-481F-A45F-A15AF312D70E}"/>
    <cellStyle name="Output 2 4 4 11" xfId="13838" xr:uid="{CC04A0EA-DABC-4D16-823D-96C022247D2C}"/>
    <cellStyle name="Output 2 4 4 12" xfId="14813" xr:uid="{F4259375-EAB7-4471-BF8A-E762B9272E6F}"/>
    <cellStyle name="Output 2 4 4 13" xfId="21683" xr:uid="{C0778469-43DB-4DD8-AF65-3E298AA06114}"/>
    <cellStyle name="Output 2 4 4 2" xfId="2635" xr:uid="{3D32F65E-D27A-4A32-AC6E-63A6C3EC3479}"/>
    <cellStyle name="Output 2 4 4 2 10" xfId="15240" xr:uid="{016DCD81-E0E1-4184-8CA5-88209D22A341}"/>
    <cellStyle name="Output 2 4 4 2 11" xfId="22109" xr:uid="{F4A83753-431B-4F46-807E-6988EF801B42}"/>
    <cellStyle name="Output 2 4 4 2 12" xfId="3449" xr:uid="{DB1EF42D-8341-4C70-8854-0C4D9445CB79}"/>
    <cellStyle name="Output 2 4 4 2 2" xfId="4683" xr:uid="{07F37607-DA60-4FB7-8D58-46B4CDFE95C8}"/>
    <cellStyle name="Output 2 4 4 2 2 2" xfId="10540" xr:uid="{B8D63E33-E359-49C1-ABB9-9AE864CC6FA5}"/>
    <cellStyle name="Output 2 4 4 2 2 2 2" xfId="19586" xr:uid="{39671D58-EA21-4C92-9A94-CE1DF9563D89}"/>
    <cellStyle name="Output 2 4 4 2 2 3" xfId="16100" xr:uid="{1486CC0C-6B40-41BD-8696-2D731978B3BD}"/>
    <cellStyle name="Output 2 4 4 2 2 4" xfId="22765" xr:uid="{DECE6F67-BBBA-4E1D-BD03-6097A20325D0}"/>
    <cellStyle name="Output 2 4 4 2 3" xfId="5184" xr:uid="{5C2884B0-8B7D-4AA2-89CC-2815F1A7D93D}"/>
    <cellStyle name="Output 2 4 4 2 3 2" xfId="11037" xr:uid="{051E8B70-55FD-4D35-8FF2-FAEC3543DD42}"/>
    <cellStyle name="Output 2 4 4 2 3 2 2" xfId="20083" xr:uid="{3A5C2293-3771-4E18-A711-C33292B44523}"/>
    <cellStyle name="Output 2 4 4 2 3 3" xfId="16597" xr:uid="{A373E766-DD37-41FC-8163-4D6BE3939E01}"/>
    <cellStyle name="Output 2 4 4 2 3 4" xfId="23260" xr:uid="{ADD70175-E3BD-4072-ACDA-4A495BC81C71}"/>
    <cellStyle name="Output 2 4 4 2 4" xfId="5799" xr:uid="{DF40CC78-911A-4A52-8BDB-618D6420F906}"/>
    <cellStyle name="Output 2 4 4 2 4 2" xfId="11652" xr:uid="{B601F3D8-F53F-4267-8E5B-1A6D6FADBC29}"/>
    <cellStyle name="Output 2 4 4 2 4 2 2" xfId="20698" xr:uid="{F7AAA804-067B-49D2-9BC1-CA57673A33E5}"/>
    <cellStyle name="Output 2 4 4 2 4 3" xfId="17212" xr:uid="{496C057E-B6FD-4979-8770-836660344271}"/>
    <cellStyle name="Output 2 4 4 2 5" xfId="6410" xr:uid="{1CC80D0B-D83B-48E8-98A8-645D97B28404}"/>
    <cellStyle name="Output 2 4 4 2 5 2" xfId="12257" xr:uid="{903D4C93-CCA4-487D-AD9B-67A26CB59BED}"/>
    <cellStyle name="Output 2 4 4 2 5 2 2" xfId="21303" xr:uid="{061EB9F0-60C2-4C94-995A-0CADDB0AEB39}"/>
    <cellStyle name="Output 2 4 4 2 5 3" xfId="17823" xr:uid="{1E7613BB-7173-4497-8FF4-5D641D77B2E1}"/>
    <cellStyle name="Output 2 4 4 2 6" xfId="9671" xr:uid="{EEF37B7C-FA4B-425C-A366-22F79F0A708D}"/>
    <cellStyle name="Output 2 4 4 2 6 2" xfId="18717" xr:uid="{1B6399EC-3C06-4DCD-8681-FA6A753650DA}"/>
    <cellStyle name="Output 2 4 4 2 7" xfId="13069" xr:uid="{95E24FFF-EC18-4444-84A1-8A3248812850}"/>
    <cellStyle name="Output 2 4 4 2 8" xfId="13626" xr:uid="{E985AE8E-42AA-4DA9-BD4A-760EAF3657F9}"/>
    <cellStyle name="Output 2 4 4 2 9" xfId="14265" xr:uid="{F8E96ED0-11FE-4156-BB7C-BF4570070346}"/>
    <cellStyle name="Output 2 4 4 3" xfId="3248" xr:uid="{8393BECF-F6A6-4A76-B750-3E1D8DDCDAF6}"/>
    <cellStyle name="Output 2 4 4 3 10" xfId="15028" xr:uid="{3B79B17E-0F01-4455-912A-B2C77F627689}"/>
    <cellStyle name="Output 2 4 4 3 11" xfId="21898" xr:uid="{A23409AB-3B27-4CBB-AB3D-0C212A36BB9B}"/>
    <cellStyle name="Output 2 4 4 3 2" xfId="4471" xr:uid="{B3CA8907-D6DD-42BC-9B9B-5CF98F41854D}"/>
    <cellStyle name="Output 2 4 4 3 2 2" xfId="10328" xr:uid="{63BEE7D2-31B3-4DE0-B459-6404A5693CFE}"/>
    <cellStyle name="Output 2 4 4 3 2 2 2" xfId="19374" xr:uid="{39596308-6F35-4984-B523-D6A9DF241FD6}"/>
    <cellStyle name="Output 2 4 4 3 2 3" xfId="15888" xr:uid="{6AD05C82-4293-4CB4-A1F2-8D6A9E02908D}"/>
    <cellStyle name="Output 2 4 4 3 2 4" xfId="22554" xr:uid="{34722174-21A9-48AC-AA63-6575A2333166}"/>
    <cellStyle name="Output 2 4 4 3 3" xfId="4972" xr:uid="{BF79783E-AD8F-4F97-AEE7-C7B71420FE19}"/>
    <cellStyle name="Output 2 4 4 3 3 2" xfId="10825" xr:uid="{39847863-D7F0-4C0B-9B22-3EC23B5E4913}"/>
    <cellStyle name="Output 2 4 4 3 3 2 2" xfId="19871" xr:uid="{C03714B1-7EE5-4759-AD48-757A734FACF5}"/>
    <cellStyle name="Output 2 4 4 3 3 3" xfId="16385" xr:uid="{1FA20010-FD45-4D57-811C-6A4A25AEEB28}"/>
    <cellStyle name="Output 2 4 4 3 3 4" xfId="23049" xr:uid="{B00CD65D-1E01-415F-A3E4-1F2F911E3F08}"/>
    <cellStyle name="Output 2 4 4 3 4" xfId="5587" xr:uid="{50326818-A05B-44C6-96CA-6CD134D8DAA6}"/>
    <cellStyle name="Output 2 4 4 3 4 2" xfId="11440" xr:uid="{01C7EBDC-416C-4F2D-B99B-19CF2F2FB13E}"/>
    <cellStyle name="Output 2 4 4 3 4 2 2" xfId="20486" xr:uid="{94E13930-3DBD-4C6B-8245-F07E0C5E02B8}"/>
    <cellStyle name="Output 2 4 4 3 4 3" xfId="17000" xr:uid="{A11FFBFE-FE73-46C6-BD1A-9A241ED681C2}"/>
    <cellStyle name="Output 2 4 4 3 5" xfId="6198" xr:uid="{09B815C1-E2CC-4B6F-AEFA-9E2AA265D12E}"/>
    <cellStyle name="Output 2 4 4 3 5 2" xfId="12045" xr:uid="{6017FF16-45EF-4727-B866-883E989487F7}"/>
    <cellStyle name="Output 2 4 4 3 5 2 2" xfId="21091" xr:uid="{27B491D1-769D-4214-9908-BB598E2911E4}"/>
    <cellStyle name="Output 2 4 4 3 5 3" xfId="17611" xr:uid="{B30E53BD-2271-4716-BFE5-A2693FB2A515}"/>
    <cellStyle name="Output 2 4 4 3 6" xfId="9459" xr:uid="{6A7E62E0-4FCB-4395-9624-C03FC9008BC3}"/>
    <cellStyle name="Output 2 4 4 3 6 2" xfId="18505" xr:uid="{19C85AEA-FFC3-419F-B455-C9B99D3FF907}"/>
    <cellStyle name="Output 2 4 4 3 7" xfId="12857" xr:uid="{E2F7EDA1-BD2E-4996-B833-75A45C98788C}"/>
    <cellStyle name="Output 2 4 4 3 8" xfId="13415" xr:uid="{9813270A-965F-4D93-89F8-8686422F8FE6}"/>
    <cellStyle name="Output 2 4 4 3 9" xfId="14053" xr:uid="{19E996DC-2527-4104-A54C-1B2AD65C3918}"/>
    <cellStyle name="Output 2 4 4 4" xfId="3992" xr:uid="{05A0605A-2B5B-45F5-9C20-BBD408191BD6}"/>
    <cellStyle name="Output 2 4 4 4 2" xfId="9854" xr:uid="{BB86CC72-85D8-47A7-BD0B-AC43F5F9DA34}"/>
    <cellStyle name="Output 2 4 4 4 2 2" xfId="18900" xr:uid="{219999D0-3954-4487-9F35-8BE5C365637B}"/>
    <cellStyle name="Output 2 4 4 4 3" xfId="15416" xr:uid="{6B009F32-A44E-4059-AD45-D7E9B0F83F44}"/>
    <cellStyle name="Output 2 4 4 4 4" xfId="22834" xr:uid="{A93221CA-2C80-40E5-947A-FDB401F6A43A}"/>
    <cellStyle name="Output 2 4 4 5" xfId="4755" xr:uid="{3D7E1AC9-AB33-4F54-AFC9-3A93168F0DC7}"/>
    <cellStyle name="Output 2 4 4 5 2" xfId="10612" xr:uid="{C0887CC1-726A-4667-92A8-37CFF296E91B}"/>
    <cellStyle name="Output 2 4 4 5 2 2" xfId="19658" xr:uid="{7D83B569-CF78-4F3C-A0CD-4BA485573768}"/>
    <cellStyle name="Output 2 4 4 5 3" xfId="16172" xr:uid="{B6E8B2FA-7653-4CFF-A7FA-2EE91534927E}"/>
    <cellStyle name="Output 2 4 4 6" xfId="5372" xr:uid="{7535AEAE-E038-41C9-89A4-A4EFF810E94F}"/>
    <cellStyle name="Output 2 4 4 6 2" xfId="11225" xr:uid="{5E47DAE1-8FB3-4CD9-83BB-5C563C93C3AC}"/>
    <cellStyle name="Output 2 4 4 6 2 2" xfId="20271" xr:uid="{1F600E2A-0AF5-440C-90FF-967E9971E748}"/>
    <cellStyle name="Output 2 4 4 6 3" xfId="16785" xr:uid="{39488165-B8B2-433B-856F-D8568783FDC6}"/>
    <cellStyle name="Output 2 4 4 7" xfId="5983" xr:uid="{36927C62-8DB8-42C7-AC18-1CEE42E59DEA}"/>
    <cellStyle name="Output 2 4 4 7 2" xfId="11834" xr:uid="{DCCFD235-4F74-477A-A7CB-2F301EFA8B9F}"/>
    <cellStyle name="Output 2 4 4 7 2 2" xfId="20880" xr:uid="{8117AA52-E78A-4B3C-AD5A-99121FD2629E}"/>
    <cellStyle name="Output 2 4 4 7 3" xfId="17396" xr:uid="{9D6E6016-A180-400A-86BF-4190BD59F0B2}"/>
    <cellStyle name="Output 2 4 4 8" xfId="9244" xr:uid="{1FF84CBA-3016-4D01-956D-CB8F083441E0}"/>
    <cellStyle name="Output 2 4 4 8 2" xfId="18290" xr:uid="{D835F1B3-9C3E-4FDA-8D91-CDB3B614C0EF}"/>
    <cellStyle name="Output 2 4 4 9" xfId="12642" xr:uid="{9DFEDA2F-BB27-454F-93E8-59D76ED2E52D}"/>
    <cellStyle name="Output 2 4 5" xfId="2640" xr:uid="{43873850-0603-4E33-92F1-4A090DE2331B}"/>
    <cellStyle name="Output 2 4 5 10" xfId="13839" xr:uid="{A3477193-341A-45F5-8A02-8BA16EC0225C}"/>
    <cellStyle name="Output 2 4 5 11" xfId="14814" xr:uid="{190B4A78-8B70-4E87-B69F-098B6F2387FB}"/>
    <cellStyle name="Output 2 4 5 12" xfId="21684" xr:uid="{A6FB77BA-8E6E-4054-AC5B-4C2A8979B46F}"/>
    <cellStyle name="Output 2 4 5 13" xfId="3063" xr:uid="{69B5C82B-5575-4AD6-B419-7347BB95CE88}"/>
    <cellStyle name="Output 2 4 5 2" xfId="3450" xr:uid="{DAE09ACA-50F3-4E44-B4E6-9F797F293430}"/>
    <cellStyle name="Output 2 4 5 2 10" xfId="15241" xr:uid="{B90F5FB9-F005-430E-B018-A6EBB8815492}"/>
    <cellStyle name="Output 2 4 5 2 11" xfId="22110" xr:uid="{F0E182C2-9413-4CFB-A71D-25CC0D1CA4C2}"/>
    <cellStyle name="Output 2 4 5 2 2" xfId="4684" xr:uid="{2D3916F8-E206-48C3-83A0-8914B6EB711E}"/>
    <cellStyle name="Output 2 4 5 2 2 2" xfId="10541" xr:uid="{DC22F44C-1DE1-46B2-B7FF-44C3E9023106}"/>
    <cellStyle name="Output 2 4 5 2 2 2 2" xfId="19587" xr:uid="{D9CAA458-F844-40CB-9003-B400CEAD36DE}"/>
    <cellStyle name="Output 2 4 5 2 2 3" xfId="16101" xr:uid="{379F3174-797D-4C86-AFE9-301DF5668229}"/>
    <cellStyle name="Output 2 4 5 2 2 4" xfId="22766" xr:uid="{B126C592-56A8-4EEB-81DD-0BAD55FB0F83}"/>
    <cellStyle name="Output 2 4 5 2 3" xfId="5185" xr:uid="{E867B59E-B654-4E6B-B0BB-4EFCC3558164}"/>
    <cellStyle name="Output 2 4 5 2 3 2" xfId="11038" xr:uid="{FDFD9FA4-F949-4191-83A3-57F43228DF07}"/>
    <cellStyle name="Output 2 4 5 2 3 2 2" xfId="20084" xr:uid="{1237FECF-728F-4AE3-A61D-F480088E21F5}"/>
    <cellStyle name="Output 2 4 5 2 3 3" xfId="16598" xr:uid="{30E4120B-7475-4CCE-BF55-924D2FB18CF2}"/>
    <cellStyle name="Output 2 4 5 2 3 4" xfId="23261" xr:uid="{DEBFE1A0-9A85-47A2-BA77-A34C940F938B}"/>
    <cellStyle name="Output 2 4 5 2 4" xfId="5800" xr:uid="{F028A429-4E77-40D3-8261-EC322901C083}"/>
    <cellStyle name="Output 2 4 5 2 4 2" xfId="11653" xr:uid="{7ED7AEAC-F2DD-4AF5-96F4-A91C380FC477}"/>
    <cellStyle name="Output 2 4 5 2 4 2 2" xfId="20699" xr:uid="{A7DF275E-C4FC-4889-9D49-95CB479E78CF}"/>
    <cellStyle name="Output 2 4 5 2 4 3" xfId="17213" xr:uid="{D19C78FA-BE48-4D23-B05B-8CCE438D7494}"/>
    <cellStyle name="Output 2 4 5 2 5" xfId="6411" xr:uid="{0337A7BB-13AC-48E6-9F7B-9576A49937D5}"/>
    <cellStyle name="Output 2 4 5 2 5 2" xfId="12258" xr:uid="{90D8D048-0928-477C-94FB-626DB51909C4}"/>
    <cellStyle name="Output 2 4 5 2 5 2 2" xfId="21304" xr:uid="{080CCA8E-6484-4159-B5D8-07448FC2DA9F}"/>
    <cellStyle name="Output 2 4 5 2 5 3" xfId="17824" xr:uid="{DD0384C7-9286-4B7E-9D4D-BFD7A82BDDA2}"/>
    <cellStyle name="Output 2 4 5 2 6" xfId="9672" xr:uid="{C13693CF-27D0-48C7-BE0E-8331E46BF670}"/>
    <cellStyle name="Output 2 4 5 2 6 2" xfId="18718" xr:uid="{48824047-0DFF-4ABC-9582-7659C8338947}"/>
    <cellStyle name="Output 2 4 5 2 7" xfId="13070" xr:uid="{40261D63-3679-428E-BBFD-4936C32DC062}"/>
    <cellStyle name="Output 2 4 5 2 8" xfId="13627" xr:uid="{E4CCC669-6620-4408-BA04-5AF9242D9C0A}"/>
    <cellStyle name="Output 2 4 5 2 9" xfId="14266" xr:uid="{82B015AA-1501-44CB-A2D9-0B95C350B54C}"/>
    <cellStyle name="Output 2 4 5 3" xfId="3249" xr:uid="{2D7D0D7B-1260-4A19-AE00-75497EBE5D58}"/>
    <cellStyle name="Output 2 4 5 3 10" xfId="15029" xr:uid="{0B3389BC-5A71-426B-A158-3B914064F720}"/>
    <cellStyle name="Output 2 4 5 3 11" xfId="21899" xr:uid="{7F734170-B512-4675-83AF-AEF662D5CACE}"/>
    <cellStyle name="Output 2 4 5 3 2" xfId="4472" xr:uid="{661D3256-B43D-44F8-92FF-69CA25ABCCE5}"/>
    <cellStyle name="Output 2 4 5 3 2 2" xfId="10329" xr:uid="{5B20342D-0D34-432B-AE1F-637C832ACFF6}"/>
    <cellStyle name="Output 2 4 5 3 2 2 2" xfId="19375" xr:uid="{0F636EF1-9FFF-482C-9E8F-81DDFC0B36F5}"/>
    <cellStyle name="Output 2 4 5 3 2 3" xfId="15889" xr:uid="{BAB8317F-5C14-4675-919D-54A4154883A5}"/>
    <cellStyle name="Output 2 4 5 3 2 4" xfId="22555" xr:uid="{35F79BB7-8649-40A9-92CF-43C098EC987B}"/>
    <cellStyle name="Output 2 4 5 3 3" xfId="4973" xr:uid="{73AA7C39-E6D7-4F2A-A204-4C71BBBE35DC}"/>
    <cellStyle name="Output 2 4 5 3 3 2" xfId="10826" xr:uid="{61ECA8FC-49D8-4ED3-BA54-BE41C9265701}"/>
    <cellStyle name="Output 2 4 5 3 3 2 2" xfId="19872" xr:uid="{7A777055-4E7D-4389-9835-F70A5B55B6F1}"/>
    <cellStyle name="Output 2 4 5 3 3 3" xfId="16386" xr:uid="{5548A57C-012B-4FCF-9C6A-925C89E7C7AC}"/>
    <cellStyle name="Output 2 4 5 3 3 4" xfId="23050" xr:uid="{326D9520-BA39-4F0B-B404-4AEC86D0FFBC}"/>
    <cellStyle name="Output 2 4 5 3 4" xfId="5588" xr:uid="{C0DE8F77-DD9C-4AD2-8584-330AD0C806AE}"/>
    <cellStyle name="Output 2 4 5 3 4 2" xfId="11441" xr:uid="{EC4FD7E8-DF31-4B29-B2C2-5842353DDC65}"/>
    <cellStyle name="Output 2 4 5 3 4 2 2" xfId="20487" xr:uid="{BFD14ABE-24E7-4F53-B179-1735FE8DF97C}"/>
    <cellStyle name="Output 2 4 5 3 4 3" xfId="17001" xr:uid="{F82D3A3A-B028-417F-9E3B-DDD3ADFE7F06}"/>
    <cellStyle name="Output 2 4 5 3 5" xfId="6199" xr:uid="{952242EA-E577-4C66-BFD1-5F02B967595D}"/>
    <cellStyle name="Output 2 4 5 3 5 2" xfId="12046" xr:uid="{443F4AB3-7C13-47BF-B63C-B1ED53133FC7}"/>
    <cellStyle name="Output 2 4 5 3 5 2 2" xfId="21092" xr:uid="{B8C737A5-C9AF-4E2B-9DBC-37383D83FA30}"/>
    <cellStyle name="Output 2 4 5 3 5 3" xfId="17612" xr:uid="{D52CD4CF-B4F2-4468-B704-C9FA178800F9}"/>
    <cellStyle name="Output 2 4 5 3 6" xfId="9460" xr:uid="{CFBBF328-E260-47A0-BEA1-AA5419CFAB1D}"/>
    <cellStyle name="Output 2 4 5 3 6 2" xfId="18506" xr:uid="{06A1CDEB-F1EC-4E74-A513-6DFCE457BC05}"/>
    <cellStyle name="Output 2 4 5 3 7" xfId="12858" xr:uid="{BA2A4717-E75C-4DBF-ABC2-F31D6DF1EEB8}"/>
    <cellStyle name="Output 2 4 5 3 8" xfId="13416" xr:uid="{C3D838F7-DD3C-48F0-82BA-ABA515487933}"/>
    <cellStyle name="Output 2 4 5 3 9" xfId="14054" xr:uid="{147CB55A-B185-4821-9B8D-79F6FC13039E}"/>
    <cellStyle name="Output 2 4 5 4" xfId="4756" xr:uid="{7F39AD66-5A04-4B37-BD8B-D0088F78EBBA}"/>
    <cellStyle name="Output 2 4 5 4 2" xfId="10613" xr:uid="{D634A0D3-5B24-4EC0-97D0-84155334EC9D}"/>
    <cellStyle name="Output 2 4 5 4 2 2" xfId="19659" xr:uid="{0653C8E6-2BC3-4205-ADCE-33252E383CE3}"/>
    <cellStyle name="Output 2 4 5 4 3" xfId="16173" xr:uid="{E0E706CC-2F84-450B-9BDB-912B9877BECD}"/>
    <cellStyle name="Output 2 4 5 4 4" xfId="22835" xr:uid="{A7D0C8E3-D151-40F6-8EDC-2B9130A89ACE}"/>
    <cellStyle name="Output 2 4 5 5" xfId="5373" xr:uid="{33F24176-18F0-4A21-BDAE-4BB98A25CA95}"/>
    <cellStyle name="Output 2 4 5 5 2" xfId="11226" xr:uid="{0E98BDC5-4A2B-40B4-8E54-C3D4386EB378}"/>
    <cellStyle name="Output 2 4 5 5 2 2" xfId="20272" xr:uid="{8E502BD8-BEF3-4520-818A-767F2F732C98}"/>
    <cellStyle name="Output 2 4 5 5 3" xfId="16786" xr:uid="{65150255-40A3-4622-846B-8B5A313FD68F}"/>
    <cellStyle name="Output 2 4 5 6" xfId="5984" xr:uid="{46426BD5-4A4D-49DB-804E-A4480B745F4E}"/>
    <cellStyle name="Output 2 4 5 6 2" xfId="11835" xr:uid="{26C6346F-9542-4629-9EBC-EA077EDF9FFA}"/>
    <cellStyle name="Output 2 4 5 6 2 2" xfId="20881" xr:uid="{47BE8502-3BC0-43CF-A992-475735266B5D}"/>
    <cellStyle name="Output 2 4 5 6 3" xfId="17397" xr:uid="{85C081A1-628A-4489-AB93-FC3E1FA6790A}"/>
    <cellStyle name="Output 2 4 5 7" xfId="9245" xr:uid="{07F4DF0F-838C-4976-B7D7-B179F4FEB439}"/>
    <cellStyle name="Output 2 4 5 7 2" xfId="18291" xr:uid="{FA465F36-5484-4835-A54F-5C06D5FA7F2F}"/>
    <cellStyle name="Output 2 4 5 8" xfId="12643" xr:uid="{21883415-4E41-424C-AC3D-531DC67831B0}"/>
    <cellStyle name="Output 2 4 5 9" xfId="13205" xr:uid="{BEF7835E-CAEC-43B8-8A85-38D69D17FAFE}"/>
    <cellStyle name="Output 2 4 6" xfId="3336" xr:uid="{FF7ADBB4-AB82-4977-94A7-96E56743BC02}"/>
    <cellStyle name="Output 2 4 6 10" xfId="15116" xr:uid="{ED415E22-55D6-40AB-A642-835717BE064F}"/>
    <cellStyle name="Output 2 4 6 11" xfId="21985" xr:uid="{4367D29C-2E3F-4047-A30C-5F38B09A4EB0}"/>
    <cellStyle name="Output 2 4 6 2" xfId="4559" xr:uid="{D15158E2-056C-44EA-8476-A33E3AFD8739}"/>
    <cellStyle name="Output 2 4 6 2 2" xfId="10416" xr:uid="{2BB88149-6863-4011-832D-1D2D32D434DC}"/>
    <cellStyle name="Output 2 4 6 2 2 2" xfId="19462" xr:uid="{4707BFE8-92D0-4A13-B7D4-47863916E7BE}"/>
    <cellStyle name="Output 2 4 6 2 3" xfId="15976" xr:uid="{01D3560C-F81E-4071-8AA7-8C55BFB24833}"/>
    <cellStyle name="Output 2 4 6 2 4" xfId="22641" xr:uid="{63946BE9-EA97-4554-A1B1-625209660ABA}"/>
    <cellStyle name="Output 2 4 6 3" xfId="5060" xr:uid="{31C077F2-3A3D-46E5-82E7-7BD03324865B}"/>
    <cellStyle name="Output 2 4 6 3 2" xfId="10913" xr:uid="{EA0478DE-ED31-43C1-9D99-81B399A379DF}"/>
    <cellStyle name="Output 2 4 6 3 2 2" xfId="19959" xr:uid="{F8463F6C-36DB-40DF-86F3-2B2CA512DBC6}"/>
    <cellStyle name="Output 2 4 6 3 3" xfId="16473" xr:uid="{00E69A31-8475-4356-B3DD-D8962D5EBD9D}"/>
    <cellStyle name="Output 2 4 6 3 4" xfId="23136" xr:uid="{17749E6D-BD36-4B14-A46F-8AFA1FCC949D}"/>
    <cellStyle name="Output 2 4 6 4" xfId="5675" xr:uid="{1FC33185-0164-4091-8730-E9F33954B9AC}"/>
    <cellStyle name="Output 2 4 6 4 2" xfId="11528" xr:uid="{267E360B-5F87-438D-A5D9-FEF26F6A0F15}"/>
    <cellStyle name="Output 2 4 6 4 2 2" xfId="20574" xr:uid="{9FBCB6C1-7CE5-4726-91F6-9567301D0647}"/>
    <cellStyle name="Output 2 4 6 4 3" xfId="17088" xr:uid="{B0B65DA1-D01B-40E1-A648-0FFC69E24AC4}"/>
    <cellStyle name="Output 2 4 6 5" xfId="6286" xr:uid="{A9F5A35A-00FC-4CA2-BAC1-9F5291BDC0FF}"/>
    <cellStyle name="Output 2 4 6 5 2" xfId="12133" xr:uid="{B5AF0769-7240-49A1-8447-94340772A8E2}"/>
    <cellStyle name="Output 2 4 6 5 2 2" xfId="21179" xr:uid="{8055D9F3-7372-436C-9B75-2A004BAF412F}"/>
    <cellStyle name="Output 2 4 6 5 3" xfId="17699" xr:uid="{EDE554CF-8D30-4025-A1BB-779EC6ACB990}"/>
    <cellStyle name="Output 2 4 6 6" xfId="9547" xr:uid="{3EB0097A-FC53-42EE-9CED-7C539CD0F376}"/>
    <cellStyle name="Output 2 4 6 6 2" xfId="18593" xr:uid="{098854DA-BDA4-47E7-AC5B-74357C94C75E}"/>
    <cellStyle name="Output 2 4 6 7" xfId="12945" xr:uid="{AF3EA5DF-08E9-43AA-8A9B-B228E0772EF6}"/>
    <cellStyle name="Output 2 4 6 8" xfId="13502" xr:uid="{39183279-C5B9-47CC-8E51-5292EC1BA92F}"/>
    <cellStyle name="Output 2 4 6 9" xfId="14141" xr:uid="{8B5D2AE0-A839-4660-926C-6B38C1647526}"/>
    <cellStyle name="Output 2 4 7" xfId="3124" xr:uid="{95FE3F24-E44A-4C5E-B7C4-CDB4D104CE80}"/>
    <cellStyle name="Output 2 4 7 10" xfId="14904" xr:uid="{36AF5C03-3155-427E-B2C4-CFDBAB80DA8E}"/>
    <cellStyle name="Output 2 4 7 11" xfId="21772" xr:uid="{80858DF5-28F6-4152-A5AC-69D6EB4054B7}"/>
    <cellStyle name="Output 2 4 7 2" xfId="4345" xr:uid="{C0F79AFF-8185-4108-87A2-702A773490DA}"/>
    <cellStyle name="Output 2 4 7 2 2" xfId="10202" xr:uid="{4D927424-AA3E-44D9-812A-BD10A7E2A571}"/>
    <cellStyle name="Output 2 4 7 2 2 2" xfId="19248" xr:uid="{6322BA82-2190-4C93-8115-C9159D3BE607}"/>
    <cellStyle name="Output 2 4 7 2 3" xfId="15762" xr:uid="{A63BEFE1-18BA-4AE2-BCAD-54503B92B35E}"/>
    <cellStyle name="Output 2 4 7 2 4" xfId="22428" xr:uid="{ECE2A7C5-8F0C-4E36-8240-DB57EAD3CA56}"/>
    <cellStyle name="Output 2 4 7 3" xfId="4846" xr:uid="{BDA9672D-EE51-4F6B-85DA-2055ECEAB066}"/>
    <cellStyle name="Output 2 4 7 3 2" xfId="10701" xr:uid="{11674E7E-791F-4168-9A36-98E7954C9688}"/>
    <cellStyle name="Output 2 4 7 3 2 2" xfId="19747" xr:uid="{B22CD77E-3A7E-47D5-B350-25082500B3AB}"/>
    <cellStyle name="Output 2 4 7 3 3" xfId="16261" xr:uid="{52F1F911-A69A-4FB6-8994-913A1BBC5BBE}"/>
    <cellStyle name="Output 2 4 7 3 4" xfId="22923" xr:uid="{AE1AE0EE-0DF4-449A-8529-2E5512F9D5D3}"/>
    <cellStyle name="Output 2 4 7 4" xfId="5461" xr:uid="{5AC9A787-38D0-49ED-B154-067BA54864BF}"/>
    <cellStyle name="Output 2 4 7 4 2" xfId="11314" xr:uid="{B12A8E99-15C9-4B39-9C95-23B60285B139}"/>
    <cellStyle name="Output 2 4 7 4 2 2" xfId="20360" xr:uid="{94C24EE0-4CA3-4B0A-8452-79AB83DB5528}"/>
    <cellStyle name="Output 2 4 7 4 3" xfId="16874" xr:uid="{6C99D7D5-C1CB-4626-843D-40B8A948363D}"/>
    <cellStyle name="Output 2 4 7 5" xfId="6072" xr:uid="{1698F2EB-3F52-4A31-A379-7C682E0BBC29}"/>
    <cellStyle name="Output 2 4 7 5 2" xfId="11921" xr:uid="{7B7661FE-AD03-48BB-9320-B8123CECAFEF}"/>
    <cellStyle name="Output 2 4 7 5 2 2" xfId="20967" xr:uid="{82C7C5A7-921C-45E4-BA00-26DC63AEDA01}"/>
    <cellStyle name="Output 2 4 7 5 3" xfId="17485" xr:uid="{CB0D5E23-1F64-4A86-B851-93F051538953}"/>
    <cellStyle name="Output 2 4 7 6" xfId="9335" xr:uid="{943B8047-5E00-4251-91E8-25B1B0E46467}"/>
    <cellStyle name="Output 2 4 7 6 2" xfId="18381" xr:uid="{3BA03403-0881-43EE-A830-35EEACA3339C}"/>
    <cellStyle name="Output 2 4 7 7" xfId="12731" xr:uid="{B76A4779-88B3-4150-B1F2-B518F70E6080}"/>
    <cellStyle name="Output 2 4 7 8" xfId="13291" xr:uid="{413C37DB-299E-4F97-B894-1722E0D743CF}"/>
    <cellStyle name="Output 2 4 7 9" xfId="13927" xr:uid="{6E8FC52C-B83F-4FC0-AFD9-FF62EC774047}"/>
    <cellStyle name="Output 2 4 8" xfId="3724" xr:uid="{0745A191-2F11-4EE8-AC0E-40AA6265DCEB}"/>
    <cellStyle name="Output 2 4 8 2" xfId="9766" xr:uid="{05670307-E410-4130-9679-F9B1A9BA9A14}"/>
    <cellStyle name="Output 2 4 8 2 2" xfId="18812" xr:uid="{C8FA9AAF-5E7F-49FB-AF2A-FDC9FCB083EB}"/>
    <cellStyle name="Output 2 4 8 3" xfId="15332" xr:uid="{F665AEDA-E931-46C4-BF72-57740C77728E}"/>
    <cellStyle name="Output 2 4 8 4" xfId="22311" xr:uid="{E2883C6E-0687-47FC-8442-D9861EC9C30C}"/>
    <cellStyle name="Output 2 4 9" xfId="4208" xr:uid="{553D01EF-AC7F-4EFF-BC8C-F8FAF6295D00}"/>
    <cellStyle name="Output 2 4 9 2" xfId="10065" xr:uid="{67996086-0B4B-429A-B35A-03E124DE9B36}"/>
    <cellStyle name="Output 2 4 9 2 2" xfId="19111" xr:uid="{5A487D06-70B2-48EE-910E-9F8C70FE3AB9}"/>
    <cellStyle name="Output 2 4 9 3" xfId="15625" xr:uid="{6F4A1CF8-2C27-4A71-8AC7-0D1662598733}"/>
    <cellStyle name="Output 2 4 9 4" xfId="22178" xr:uid="{A5DE7ED3-06A3-455B-A4E3-A11930D98A63}"/>
    <cellStyle name="Output 2 5" xfId="2423" xr:uid="{AE8DE017-5793-4D94-8240-3A2EBEC7C38A}"/>
    <cellStyle name="Output 2 5 10" xfId="4150" xr:uid="{4BAD455B-F3B8-4EA0-AD5D-DF223AD4DCFA}"/>
    <cellStyle name="Output 2 5 10 2" xfId="10007" xr:uid="{F71834C0-F67A-4831-B6FA-05ED5418DCD0}"/>
    <cellStyle name="Output 2 5 10 2 2" xfId="19053" xr:uid="{0D312A31-E497-402F-9814-DA395E4C805B}"/>
    <cellStyle name="Output 2 5 10 3" xfId="15567" xr:uid="{10965218-EE20-46B3-83C6-BDB007605DF5}"/>
    <cellStyle name="Output 2 5 11" xfId="4317" xr:uid="{0FCFCFCF-B0CF-4D16-896F-543E8F2B5BB2}"/>
    <cellStyle name="Output 2 5 11 2" xfId="10174" xr:uid="{5B54B2CA-0B30-4B6A-ABC4-D07B2929E988}"/>
    <cellStyle name="Output 2 5 11 2 2" xfId="19220" xr:uid="{A9F92F13-389A-4EF8-9BD7-57941A71B489}"/>
    <cellStyle name="Output 2 5 11 3" xfId="15734" xr:uid="{183911FF-4ADE-4293-88B5-D627068C3A1A}"/>
    <cellStyle name="Output 2 5 12" xfId="4166" xr:uid="{743233E4-CDAC-4063-ADF3-8588E7CBDC3C}"/>
    <cellStyle name="Output 2 5 12 2" xfId="10023" xr:uid="{D05A8AE8-07D7-47DD-AF31-D2CEFE93A134}"/>
    <cellStyle name="Output 2 5 12 2 2" xfId="19069" xr:uid="{0EC10B6F-F766-4F57-8DD3-64C17ED4D393}"/>
    <cellStyle name="Output 2 5 12 3" xfId="15583" xr:uid="{4271AB42-4395-421C-9BB4-18C6AB217A90}"/>
    <cellStyle name="Output 2 5 13" xfId="9119" xr:uid="{A7094AB1-DC8D-4DE9-9048-0CAAAF87355A}"/>
    <cellStyle name="Output 2 5 13 2" xfId="18165" xr:uid="{7EEE4F91-01F4-4006-BA2F-D83FCCDA19A3}"/>
    <cellStyle name="Output 2 5 14" xfId="12519" xr:uid="{2E174C9F-1D25-4618-B120-F60E86837AF5}"/>
    <cellStyle name="Output 2 5 15" xfId="13713" xr:uid="{FECCA302-0FC9-4A74-A4A3-10B8DB868F26}"/>
    <cellStyle name="Output 2 5 16" xfId="14688" xr:uid="{C6F6BD2F-BB57-49B6-92E1-EB699BA6DAE8}"/>
    <cellStyle name="Output 2 5 17" xfId="21560" xr:uid="{2C35B001-B6F9-468E-AB02-448C33156DAA}"/>
    <cellStyle name="Output 2 5 18" xfId="23775" xr:uid="{BED47F36-482B-479D-894E-1C14AC260A9D}"/>
    <cellStyle name="Output 2 5 2" xfId="2424" xr:uid="{37718540-A708-4EB2-8E3D-AED992C7C9DE}"/>
    <cellStyle name="Output 2 5 2 10" xfId="5893" xr:uid="{527944B6-417B-43BC-B7BD-885A6DB888CB}"/>
    <cellStyle name="Output 2 5 2 10 2" xfId="11746" xr:uid="{9570E132-3A93-42AB-AF5F-B84076B921ED}"/>
    <cellStyle name="Output 2 5 2 10 2 2" xfId="20792" xr:uid="{B118352F-5A84-4E4E-8DE0-A93A6CE3119F}"/>
    <cellStyle name="Output 2 5 2 10 3" xfId="17306" xr:uid="{F762FF6E-1182-4ECF-9C40-251C3A684F21}"/>
    <cellStyle name="Output 2 5 2 11" xfId="9156" xr:uid="{1F7F82E2-D6C5-4810-A1BD-4B0E4A9F7829}"/>
    <cellStyle name="Output 2 5 2 11 2" xfId="18202" xr:uid="{8A731897-F6C9-4BC0-86FA-74709B16453C}"/>
    <cellStyle name="Output 2 5 2 12" xfId="12554" xr:uid="{C12F94BF-D881-4C25-BFDB-3787CFB50CCA}"/>
    <cellStyle name="Output 2 5 2 13" xfId="13748" xr:uid="{11EB58C2-C66C-4025-AD0D-8678F650C1F1}"/>
    <cellStyle name="Output 2 5 2 14" xfId="14725" xr:uid="{D85C2ADF-81D5-4801-84CB-9BB545129F97}"/>
    <cellStyle name="Output 2 5 2 15" xfId="21595" xr:uid="{186710EA-417E-4A37-A58F-306F21C3579B}"/>
    <cellStyle name="Output 2 5 2 16" xfId="23776" xr:uid="{5C8DFDE7-D646-4E44-9453-97F0B20C154C}"/>
    <cellStyle name="Output 2 5 2 2" xfId="2425" xr:uid="{4BA63336-5A68-4990-AF22-E2A66CBE37B3}"/>
    <cellStyle name="Output 2 5 2 2 10" xfId="13206" xr:uid="{5A4BE941-4C65-4702-BCFD-B94C85B3CF4E}"/>
    <cellStyle name="Output 2 5 2 2 11" xfId="13840" xr:uid="{31EBB87D-C8E9-4DD7-8ECA-6ABA46B1311B}"/>
    <cellStyle name="Output 2 5 2 2 12" xfId="14815" xr:uid="{63760225-C4CF-451F-866E-6BEE321D7DA4}"/>
    <cellStyle name="Output 2 5 2 2 13" xfId="21685" xr:uid="{7D515E8E-89DD-4096-8B45-6E2D8A52C66A}"/>
    <cellStyle name="Output 2 5 2 2 2" xfId="2632" xr:uid="{589B24A3-135B-43C9-9155-AA60DBE026B4}"/>
    <cellStyle name="Output 2 5 2 2 2 10" xfId="15242" xr:uid="{28F655D8-E659-4F52-A51D-E27168F2C6C1}"/>
    <cellStyle name="Output 2 5 2 2 2 11" xfId="22111" xr:uid="{AB26C29D-36DF-46F5-B27A-D3C4F6E3E048}"/>
    <cellStyle name="Output 2 5 2 2 2 12" xfId="3451" xr:uid="{E3DD576F-7005-4036-B6B4-66D19C28CC91}"/>
    <cellStyle name="Output 2 5 2 2 2 2" xfId="4685" xr:uid="{BBA05A71-225A-4DB6-BFBD-3C2685E97DB2}"/>
    <cellStyle name="Output 2 5 2 2 2 2 2" xfId="10542" xr:uid="{3CAA46B1-EFD5-430B-AA46-4BC1B43D6CFD}"/>
    <cellStyle name="Output 2 5 2 2 2 2 2 2" xfId="19588" xr:uid="{554212FD-E81E-40C8-A0AB-F8CA7249A071}"/>
    <cellStyle name="Output 2 5 2 2 2 2 3" xfId="16102" xr:uid="{F65EEED4-5CA4-4446-AFC3-432A24D6B955}"/>
    <cellStyle name="Output 2 5 2 2 2 2 4" xfId="22767" xr:uid="{AC4BA3F5-79F6-423B-974F-181AF38DB347}"/>
    <cellStyle name="Output 2 5 2 2 2 3" xfId="5186" xr:uid="{BCE5B52D-30A2-4BCC-8874-0DC6E175FFB3}"/>
    <cellStyle name="Output 2 5 2 2 2 3 2" xfId="11039" xr:uid="{F55317C7-968A-4EF4-AF24-A69AC67C8A65}"/>
    <cellStyle name="Output 2 5 2 2 2 3 2 2" xfId="20085" xr:uid="{96680309-37FC-421D-9E4A-B82122A08021}"/>
    <cellStyle name="Output 2 5 2 2 2 3 3" xfId="16599" xr:uid="{ABE8A97D-9585-4912-AC93-95BD44FF0335}"/>
    <cellStyle name="Output 2 5 2 2 2 3 4" xfId="23262" xr:uid="{D13F1C32-576E-4D7A-BA9E-3A1E036964A1}"/>
    <cellStyle name="Output 2 5 2 2 2 4" xfId="5801" xr:uid="{AAF97C5C-F770-4820-ABE8-51A25CCF8208}"/>
    <cellStyle name="Output 2 5 2 2 2 4 2" xfId="11654" xr:uid="{F37FF4FB-7E07-4D64-AAD4-6E64ED29674A}"/>
    <cellStyle name="Output 2 5 2 2 2 4 2 2" xfId="20700" xr:uid="{81190928-5FF1-428E-A75C-4A5A9E05319B}"/>
    <cellStyle name="Output 2 5 2 2 2 4 3" xfId="17214" xr:uid="{9C796F7A-EFBF-43D5-AE17-71DB6F943549}"/>
    <cellStyle name="Output 2 5 2 2 2 5" xfId="6412" xr:uid="{D525BF91-D000-4D20-9A5B-5D9926F9EA1F}"/>
    <cellStyle name="Output 2 5 2 2 2 5 2" xfId="12259" xr:uid="{76544CC7-B04F-478C-867C-B3DC524EF3C7}"/>
    <cellStyle name="Output 2 5 2 2 2 5 2 2" xfId="21305" xr:uid="{5EAD92B6-7EA4-4B79-88C7-A9D1D0D659C5}"/>
    <cellStyle name="Output 2 5 2 2 2 5 3" xfId="17825" xr:uid="{E2773BD7-1F53-4385-BE9E-091BE3AB25B5}"/>
    <cellStyle name="Output 2 5 2 2 2 6" xfId="9673" xr:uid="{B63ECA1C-8408-4B09-9CD8-83FAF8CBC351}"/>
    <cellStyle name="Output 2 5 2 2 2 6 2" xfId="18719" xr:uid="{ABC8ECDC-D4BA-45C2-9E97-F5BD83E6C837}"/>
    <cellStyle name="Output 2 5 2 2 2 7" xfId="13071" xr:uid="{D14F06A2-6553-4988-B72F-B0C762151CBC}"/>
    <cellStyle name="Output 2 5 2 2 2 8" xfId="13628" xr:uid="{F202AE7D-51CA-45F1-BE65-CF7857BB68C2}"/>
    <cellStyle name="Output 2 5 2 2 2 9" xfId="14267" xr:uid="{C57F1289-189E-4475-9FDB-17978EF0A0ED}"/>
    <cellStyle name="Output 2 5 2 2 3" xfId="3250" xr:uid="{87E86A7D-1028-458B-AD90-DA224D6F373B}"/>
    <cellStyle name="Output 2 5 2 2 3 10" xfId="15030" xr:uid="{73CF24C8-7839-4D35-BDDD-36543192049C}"/>
    <cellStyle name="Output 2 5 2 2 3 11" xfId="21900" xr:uid="{0A297CDC-ED5A-4D78-8E14-AF4486052284}"/>
    <cellStyle name="Output 2 5 2 2 3 2" xfId="4473" xr:uid="{10D537BA-F83C-4440-BAE1-8D9782FC56C8}"/>
    <cellStyle name="Output 2 5 2 2 3 2 2" xfId="10330" xr:uid="{BBB2096E-1118-43BF-9F0D-9DEDD6F3BE74}"/>
    <cellStyle name="Output 2 5 2 2 3 2 2 2" xfId="19376" xr:uid="{ACDE786C-8F0A-4FC8-A3CA-4B6EDC8E28E7}"/>
    <cellStyle name="Output 2 5 2 2 3 2 3" xfId="15890" xr:uid="{DC121C75-E95C-4A06-ABFC-541E4B52E212}"/>
    <cellStyle name="Output 2 5 2 2 3 2 4" xfId="22556" xr:uid="{65EE2DED-D982-440E-AF01-A643EF048FA4}"/>
    <cellStyle name="Output 2 5 2 2 3 3" xfId="4974" xr:uid="{33EC7244-758B-4F2D-A673-5216D6683DF0}"/>
    <cellStyle name="Output 2 5 2 2 3 3 2" xfId="10827" xr:uid="{7F3A6ED8-ADAC-46D7-B5E9-37EBD9E84F1F}"/>
    <cellStyle name="Output 2 5 2 2 3 3 2 2" xfId="19873" xr:uid="{0846B2AA-28CB-4458-B8C9-1539047D29A4}"/>
    <cellStyle name="Output 2 5 2 2 3 3 3" xfId="16387" xr:uid="{4B22898B-4EE4-436C-9013-5C51F7E66578}"/>
    <cellStyle name="Output 2 5 2 2 3 3 4" xfId="23051" xr:uid="{D041F619-77E8-46FC-B861-3A81F431B8E6}"/>
    <cellStyle name="Output 2 5 2 2 3 4" xfId="5589" xr:uid="{E446C92A-CB6E-43F6-B47B-EA96AC4CF1B3}"/>
    <cellStyle name="Output 2 5 2 2 3 4 2" xfId="11442" xr:uid="{1C507F53-EE37-435A-A85F-112364F09B96}"/>
    <cellStyle name="Output 2 5 2 2 3 4 2 2" xfId="20488" xr:uid="{14203247-01E9-4F3C-A1C2-8B9A3363CFFE}"/>
    <cellStyle name="Output 2 5 2 2 3 4 3" xfId="17002" xr:uid="{D30D9308-5BFF-4C41-BD70-284F19905F57}"/>
    <cellStyle name="Output 2 5 2 2 3 5" xfId="6200" xr:uid="{C339D61D-5EF5-4729-9065-390EC7494A49}"/>
    <cellStyle name="Output 2 5 2 2 3 5 2" xfId="12047" xr:uid="{D9DA5A7A-195D-4635-9182-41D29CF41D70}"/>
    <cellStyle name="Output 2 5 2 2 3 5 2 2" xfId="21093" xr:uid="{432B2B2B-EDDA-4D13-9D42-66FF7F1FAF90}"/>
    <cellStyle name="Output 2 5 2 2 3 5 3" xfId="17613" xr:uid="{9F57DFFA-F88B-424E-8A14-C69C3FD7986E}"/>
    <cellStyle name="Output 2 5 2 2 3 6" xfId="9461" xr:uid="{E13462D2-4C60-4F19-ABE5-94A0BCC151A2}"/>
    <cellStyle name="Output 2 5 2 2 3 6 2" xfId="18507" xr:uid="{942AB220-BED5-42C0-896E-779E6E545900}"/>
    <cellStyle name="Output 2 5 2 2 3 7" xfId="12859" xr:uid="{3C9937A8-73ED-485F-93DD-C4D96E18766F}"/>
    <cellStyle name="Output 2 5 2 2 3 8" xfId="13417" xr:uid="{4BB1A884-5E6F-4D93-8725-0BE475E0044E}"/>
    <cellStyle name="Output 2 5 2 2 3 9" xfId="14055" xr:uid="{29F5A374-F059-499F-9070-EF6FA09D89C8}"/>
    <cellStyle name="Output 2 5 2 2 4" xfId="4029" xr:uid="{8A3B9C90-82F9-479D-B0BC-861937C35C89}"/>
    <cellStyle name="Output 2 5 2 2 4 2" xfId="9891" xr:uid="{481B8576-8740-4985-A30B-9CF5F7AF0E8F}"/>
    <cellStyle name="Output 2 5 2 2 4 2 2" xfId="18937" xr:uid="{C80013A3-E6D4-4BE1-AD64-0D971CCBCE4D}"/>
    <cellStyle name="Output 2 5 2 2 4 3" xfId="15453" xr:uid="{2363A7E7-5AA2-45D2-9490-3E74D2DFEB81}"/>
    <cellStyle name="Output 2 5 2 2 4 4" xfId="22836" xr:uid="{0DD4DC1B-43CD-4C83-BCD8-8C74204A266B}"/>
    <cellStyle name="Output 2 5 2 2 5" xfId="4757" xr:uid="{5580BC99-FFBC-4E1E-92C3-547A9011993B}"/>
    <cellStyle name="Output 2 5 2 2 5 2" xfId="10614" xr:uid="{48400119-5D55-4FCF-8AF3-60E4423984E7}"/>
    <cellStyle name="Output 2 5 2 2 5 2 2" xfId="19660" xr:uid="{917561A5-4D21-4A33-AC45-08D7DC05933C}"/>
    <cellStyle name="Output 2 5 2 2 5 3" xfId="16174" xr:uid="{842DE2E7-6FAD-47A2-AF89-CBB2C0C1CAE1}"/>
    <cellStyle name="Output 2 5 2 2 6" xfId="5374" xr:uid="{1EC2AF7F-6558-4406-B904-10403A3EC723}"/>
    <cellStyle name="Output 2 5 2 2 6 2" xfId="11227" xr:uid="{E438228F-1CB8-4912-9B8D-C062436853B9}"/>
    <cellStyle name="Output 2 5 2 2 6 2 2" xfId="20273" xr:uid="{571FC99D-6584-4303-9F41-307EDBC50EA7}"/>
    <cellStyle name="Output 2 5 2 2 6 3" xfId="16787" xr:uid="{85B03433-5BFC-4047-B3CF-FEC49372B888}"/>
    <cellStyle name="Output 2 5 2 2 7" xfId="5985" xr:uid="{FF61189E-F798-4674-982C-9DC0E639D639}"/>
    <cellStyle name="Output 2 5 2 2 7 2" xfId="11836" xr:uid="{063AB2ED-A2A2-4E86-B968-193B96D46757}"/>
    <cellStyle name="Output 2 5 2 2 7 2 2" xfId="20882" xr:uid="{0BD23A82-6DAB-4DD2-A003-466BA7AE38F9}"/>
    <cellStyle name="Output 2 5 2 2 7 3" xfId="17398" xr:uid="{63D88A79-789F-407E-9838-38F4EA166EA8}"/>
    <cellStyle name="Output 2 5 2 2 8" xfId="9246" xr:uid="{5C42C5C3-5721-414D-AEC2-347DAC47C483}"/>
    <cellStyle name="Output 2 5 2 2 8 2" xfId="18292" xr:uid="{1D417E07-167A-4A57-BF64-4397D262155F}"/>
    <cellStyle name="Output 2 5 2 2 9" xfId="12644" xr:uid="{4A27B8BA-6627-41A6-8D99-F16910BF0905}"/>
    <cellStyle name="Output 2 5 2 3" xfId="2633" xr:uid="{9F87941B-79EF-41D5-BAC1-4D296E69A5F0}"/>
    <cellStyle name="Output 2 5 2 3 10" xfId="13841" xr:uid="{0DA56558-C19F-47B6-B61E-E2F5997BD4C7}"/>
    <cellStyle name="Output 2 5 2 3 11" xfId="14816" xr:uid="{646FFFC2-B0F5-4097-B269-B8BCE9FC61AD}"/>
    <cellStyle name="Output 2 5 2 3 12" xfId="21686" xr:uid="{655A442D-4F5E-4528-B2DA-BBAE65C092BE}"/>
    <cellStyle name="Output 2 5 2 3 13" xfId="3064" xr:uid="{29AFE9CC-586B-4FEE-8573-6A6D8F761810}"/>
    <cellStyle name="Output 2 5 2 3 2" xfId="3452" xr:uid="{1EF84A5A-F0FE-4847-B63F-0052B8F960AC}"/>
    <cellStyle name="Output 2 5 2 3 2 10" xfId="15243" xr:uid="{D1C3260F-C454-4DF0-AB78-22C6F96C9566}"/>
    <cellStyle name="Output 2 5 2 3 2 11" xfId="22112" xr:uid="{13FFAF78-41D0-4982-BCDB-CDBAA08B511C}"/>
    <cellStyle name="Output 2 5 2 3 2 2" xfId="4686" xr:uid="{A1E1D60D-33F1-4BAF-9143-465A51A71B14}"/>
    <cellStyle name="Output 2 5 2 3 2 2 2" xfId="10543" xr:uid="{553374ED-B341-4497-A154-92F3C2D908A1}"/>
    <cellStyle name="Output 2 5 2 3 2 2 2 2" xfId="19589" xr:uid="{BF5397E5-ACC8-4DA1-BFDE-DD703D246B4B}"/>
    <cellStyle name="Output 2 5 2 3 2 2 3" xfId="16103" xr:uid="{2D114318-A31F-45ED-A164-C8B35B3DDF77}"/>
    <cellStyle name="Output 2 5 2 3 2 2 4" xfId="22768" xr:uid="{FB784750-04AA-4946-9B05-B02FA969F22B}"/>
    <cellStyle name="Output 2 5 2 3 2 3" xfId="5187" xr:uid="{FDCB3545-3B83-4722-A501-C6FEAE0C2905}"/>
    <cellStyle name="Output 2 5 2 3 2 3 2" xfId="11040" xr:uid="{E21EB30B-E9DB-4CA6-B40E-5EC24702F683}"/>
    <cellStyle name="Output 2 5 2 3 2 3 2 2" xfId="20086" xr:uid="{AAAA14BD-010C-488A-9B28-D6246F12A0E8}"/>
    <cellStyle name="Output 2 5 2 3 2 3 3" xfId="16600" xr:uid="{1727002D-33F1-4DF2-92D0-84CFD614BB46}"/>
    <cellStyle name="Output 2 5 2 3 2 3 4" xfId="23263" xr:uid="{7083F32D-5BB0-4FF1-A026-5E64712F1CA0}"/>
    <cellStyle name="Output 2 5 2 3 2 4" xfId="5802" xr:uid="{F98D4D5F-5B79-4058-B572-6512593DA5AB}"/>
    <cellStyle name="Output 2 5 2 3 2 4 2" xfId="11655" xr:uid="{1C5A43E5-209F-4681-A8ED-688CA03507FB}"/>
    <cellStyle name="Output 2 5 2 3 2 4 2 2" xfId="20701" xr:uid="{07B1F2A7-81F8-4690-ADD3-70D8FB47D30C}"/>
    <cellStyle name="Output 2 5 2 3 2 4 3" xfId="17215" xr:uid="{1DB5AF1B-43C5-4883-A710-EE14A3C01413}"/>
    <cellStyle name="Output 2 5 2 3 2 5" xfId="6413" xr:uid="{657E3959-F1B1-4CEB-9B8D-458556858B91}"/>
    <cellStyle name="Output 2 5 2 3 2 5 2" xfId="12260" xr:uid="{2B98CEA9-36DD-4CF6-9B77-A22574BA9146}"/>
    <cellStyle name="Output 2 5 2 3 2 5 2 2" xfId="21306" xr:uid="{8EE33137-4A79-4070-89DD-C0E2D612C5E6}"/>
    <cellStyle name="Output 2 5 2 3 2 5 3" xfId="17826" xr:uid="{2E71F247-578D-47A4-991E-69A0BD0FF3FE}"/>
    <cellStyle name="Output 2 5 2 3 2 6" xfId="9674" xr:uid="{E7BA18AD-CB8C-47CB-A97A-423A90F30BF5}"/>
    <cellStyle name="Output 2 5 2 3 2 6 2" xfId="18720" xr:uid="{A75DCE27-E678-4D67-AD3C-51C64F2721C3}"/>
    <cellStyle name="Output 2 5 2 3 2 7" xfId="13072" xr:uid="{84711C50-CA1C-45DC-89DD-718E3858DB7E}"/>
    <cellStyle name="Output 2 5 2 3 2 8" xfId="13629" xr:uid="{6E2C6545-193F-4060-A021-C98263638ADE}"/>
    <cellStyle name="Output 2 5 2 3 2 9" xfId="14268" xr:uid="{8DF9477C-F553-45ED-B394-3FC743149981}"/>
    <cellStyle name="Output 2 5 2 3 3" xfId="3251" xr:uid="{D3F33A5D-956D-48C8-91FC-E19AD87CD693}"/>
    <cellStyle name="Output 2 5 2 3 3 10" xfId="15031" xr:uid="{5C84857D-63A6-472A-9C96-1F514AA6A1B2}"/>
    <cellStyle name="Output 2 5 2 3 3 11" xfId="21901" xr:uid="{C8E5ACE3-021C-4701-89EB-B867AA2A241D}"/>
    <cellStyle name="Output 2 5 2 3 3 2" xfId="4474" xr:uid="{E739A7B5-E2A8-4C1D-B9BD-9ED5A5D031BB}"/>
    <cellStyle name="Output 2 5 2 3 3 2 2" xfId="10331" xr:uid="{C2D2CB31-7901-4E0D-89C0-FFDFE2214D16}"/>
    <cellStyle name="Output 2 5 2 3 3 2 2 2" xfId="19377" xr:uid="{F2DC158A-AD38-40F7-80DD-3DE42432AE33}"/>
    <cellStyle name="Output 2 5 2 3 3 2 3" xfId="15891" xr:uid="{A962A207-4021-41F1-B236-856CB82E99DD}"/>
    <cellStyle name="Output 2 5 2 3 3 2 4" xfId="22557" xr:uid="{8FAD686B-A3BF-4F79-8CD3-1C6E2CCB69BE}"/>
    <cellStyle name="Output 2 5 2 3 3 3" xfId="4975" xr:uid="{C05D0281-F06A-4162-838B-98FE4D2A3963}"/>
    <cellStyle name="Output 2 5 2 3 3 3 2" xfId="10828" xr:uid="{8C854161-B6AE-444E-86F1-48C67DEB4193}"/>
    <cellStyle name="Output 2 5 2 3 3 3 2 2" xfId="19874" xr:uid="{805BAD63-459D-41CC-888B-13AF8C53E930}"/>
    <cellStyle name="Output 2 5 2 3 3 3 3" xfId="16388" xr:uid="{75139A0F-6B18-4504-B3CA-48E2C928412F}"/>
    <cellStyle name="Output 2 5 2 3 3 3 4" xfId="23052" xr:uid="{12315F9E-7B36-4F28-8F77-DE189A6EBE15}"/>
    <cellStyle name="Output 2 5 2 3 3 4" xfId="5590" xr:uid="{4C237272-12AC-488A-AB06-1BC8167DDC81}"/>
    <cellStyle name="Output 2 5 2 3 3 4 2" xfId="11443" xr:uid="{C35DDDA3-724B-49BB-85EC-74BA539B3DAC}"/>
    <cellStyle name="Output 2 5 2 3 3 4 2 2" xfId="20489" xr:uid="{452471C3-C4EE-4B7A-BCC4-02560A29A07D}"/>
    <cellStyle name="Output 2 5 2 3 3 4 3" xfId="17003" xr:uid="{7225F60F-1A80-4E61-AF77-25BFCF97DABA}"/>
    <cellStyle name="Output 2 5 2 3 3 5" xfId="6201" xr:uid="{F6C1C531-8AD5-419E-9C9D-200C17EB7071}"/>
    <cellStyle name="Output 2 5 2 3 3 5 2" xfId="12048" xr:uid="{47B8BBA8-6ABB-4C61-A2FB-134AD6FE4CCF}"/>
    <cellStyle name="Output 2 5 2 3 3 5 2 2" xfId="21094" xr:uid="{D8908622-B48A-4D5D-A9FD-786891BCE20B}"/>
    <cellStyle name="Output 2 5 2 3 3 5 3" xfId="17614" xr:uid="{E8C28749-A965-4238-85B8-7E5EEBCCBE81}"/>
    <cellStyle name="Output 2 5 2 3 3 6" xfId="9462" xr:uid="{65466306-3B75-411A-B671-78848D7563FE}"/>
    <cellStyle name="Output 2 5 2 3 3 6 2" xfId="18508" xr:uid="{DC20D6F6-18E7-44A9-A236-AB7E34F6F44E}"/>
    <cellStyle name="Output 2 5 2 3 3 7" xfId="12860" xr:uid="{0FE3213E-48A0-4758-A1C6-CA0B99C82ACA}"/>
    <cellStyle name="Output 2 5 2 3 3 8" xfId="13418" xr:uid="{24ED454B-F1A0-4544-B25C-153FE8891E5A}"/>
    <cellStyle name="Output 2 5 2 3 3 9" xfId="14056" xr:uid="{DFCF5DD3-3C3C-4308-A597-46574800B5D4}"/>
    <cellStyle name="Output 2 5 2 3 4" xfId="4758" xr:uid="{D65048D2-7444-41A0-B7CE-D09CF5021E1D}"/>
    <cellStyle name="Output 2 5 2 3 4 2" xfId="10615" xr:uid="{F1958226-AFC0-4C42-8DE5-500E55146E55}"/>
    <cellStyle name="Output 2 5 2 3 4 2 2" xfId="19661" xr:uid="{6AA87DF3-2339-4AEE-BC3E-BB0DDD8B557A}"/>
    <cellStyle name="Output 2 5 2 3 4 3" xfId="16175" xr:uid="{688ABE00-66CA-46F9-B0AA-3CF6441E6698}"/>
    <cellStyle name="Output 2 5 2 3 4 4" xfId="22837" xr:uid="{83FCC234-F095-4676-9A47-A800511953BF}"/>
    <cellStyle name="Output 2 5 2 3 5" xfId="5375" xr:uid="{ADAEC750-0446-4591-912A-2BCB471A5475}"/>
    <cellStyle name="Output 2 5 2 3 5 2" xfId="11228" xr:uid="{6B0090E5-2195-45AA-B809-1C5088EDD18C}"/>
    <cellStyle name="Output 2 5 2 3 5 2 2" xfId="20274" xr:uid="{6CC99577-C23C-4D2D-857E-757CF66F53CC}"/>
    <cellStyle name="Output 2 5 2 3 5 3" xfId="16788" xr:uid="{A2189E72-861A-4FBC-877A-03AB731103D5}"/>
    <cellStyle name="Output 2 5 2 3 6" xfId="5986" xr:uid="{25FA3C76-2DDC-46D3-BE17-FF655E272550}"/>
    <cellStyle name="Output 2 5 2 3 6 2" xfId="11837" xr:uid="{6DB73A52-AA2B-4C85-8314-41C16E6D3619}"/>
    <cellStyle name="Output 2 5 2 3 6 2 2" xfId="20883" xr:uid="{EA9A207D-72D3-4DF7-B8FE-8A1F09708672}"/>
    <cellStyle name="Output 2 5 2 3 6 3" xfId="17399" xr:uid="{E3AEA8E2-B1A0-4948-BCED-C3083E68A3A4}"/>
    <cellStyle name="Output 2 5 2 3 7" xfId="9247" xr:uid="{0E41AE83-E32F-4556-BED5-0653EA6B4DB5}"/>
    <cellStyle name="Output 2 5 2 3 7 2" xfId="18293" xr:uid="{2F8B2072-5591-497C-AF6F-38DF07E3BDD8}"/>
    <cellStyle name="Output 2 5 2 3 8" xfId="12645" xr:uid="{0DABE677-580C-4405-8EC8-2A72257D56F9}"/>
    <cellStyle name="Output 2 5 2 3 9" xfId="13207" xr:uid="{EA8CCCF7-21F9-459E-972B-899A3AFD5017}"/>
    <cellStyle name="Output 2 5 2 4" xfId="3372" xr:uid="{FAEC0201-58C5-4B1E-BB8D-343F22147A54}"/>
    <cellStyle name="Output 2 5 2 4 10" xfId="15152" xr:uid="{E602F7E6-F869-4A76-9962-8B8DCEEF3E2D}"/>
    <cellStyle name="Output 2 5 2 4 11" xfId="22021" xr:uid="{CA8EDD37-6598-4A4D-8C8D-95F8E4ED252E}"/>
    <cellStyle name="Output 2 5 2 4 2" xfId="4595" xr:uid="{B48B5B75-C1DA-4110-BA30-598D2BB07BC7}"/>
    <cellStyle name="Output 2 5 2 4 2 2" xfId="10452" xr:uid="{CFA9ACC6-CA51-4229-B508-20ECE6D4C6D8}"/>
    <cellStyle name="Output 2 5 2 4 2 2 2" xfId="19498" xr:uid="{5295C69A-D647-4AF1-BC96-28E34952A0D9}"/>
    <cellStyle name="Output 2 5 2 4 2 3" xfId="16012" xr:uid="{D87B5655-6C4E-40DD-BBAA-5AEFFB17AA32}"/>
    <cellStyle name="Output 2 5 2 4 2 4" xfId="22677" xr:uid="{1F775BEE-1170-44D3-B5F9-ED3C278C5E09}"/>
    <cellStyle name="Output 2 5 2 4 3" xfId="5096" xr:uid="{92CB0C3D-90E6-40DA-92C0-65EAB6C268CC}"/>
    <cellStyle name="Output 2 5 2 4 3 2" xfId="10949" xr:uid="{CFC25CCD-7DD7-43B0-974E-08FCF112E053}"/>
    <cellStyle name="Output 2 5 2 4 3 2 2" xfId="19995" xr:uid="{C403696D-3078-4294-B224-A1333E91B7A0}"/>
    <cellStyle name="Output 2 5 2 4 3 3" xfId="16509" xr:uid="{E8D34BF8-F582-4FF4-A42F-42A94C19C26E}"/>
    <cellStyle name="Output 2 5 2 4 3 4" xfId="23172" xr:uid="{F54A4100-7FB8-4B67-A305-C22A3FD67A94}"/>
    <cellStyle name="Output 2 5 2 4 4" xfId="5711" xr:uid="{99D7558B-FF6C-4FDE-9C90-8D40F7E520D0}"/>
    <cellStyle name="Output 2 5 2 4 4 2" xfId="11564" xr:uid="{6D32F6FE-EBE7-48FE-B4BC-02AEAC858246}"/>
    <cellStyle name="Output 2 5 2 4 4 2 2" xfId="20610" xr:uid="{A355F6BA-FA5C-4093-BEF5-754B820E2BF2}"/>
    <cellStyle name="Output 2 5 2 4 4 3" xfId="17124" xr:uid="{27DFA570-3922-47B9-B455-0A87A31C6541}"/>
    <cellStyle name="Output 2 5 2 4 5" xfId="6322" xr:uid="{DD2A01FB-512C-431A-B692-6FC4387AB87A}"/>
    <cellStyle name="Output 2 5 2 4 5 2" xfId="12169" xr:uid="{AE4E3642-5955-4365-A40A-1FD103F11213}"/>
    <cellStyle name="Output 2 5 2 4 5 2 2" xfId="21215" xr:uid="{61A57899-D470-4556-AEBA-314AC4786F59}"/>
    <cellStyle name="Output 2 5 2 4 5 3" xfId="17735" xr:uid="{9FC33C9E-1F06-4E7D-8F4D-62B861F0A11C}"/>
    <cellStyle name="Output 2 5 2 4 6" xfId="9583" xr:uid="{6088C76D-C081-456A-80AE-6CA4FE2A82E8}"/>
    <cellStyle name="Output 2 5 2 4 6 2" xfId="18629" xr:uid="{E14B1824-F1EF-43B1-9F93-F7BEC90344C3}"/>
    <cellStyle name="Output 2 5 2 4 7" xfId="12981" xr:uid="{2A587F42-56E6-411E-918F-716D01894938}"/>
    <cellStyle name="Output 2 5 2 4 8" xfId="13538" xr:uid="{7FE72EB0-E7C6-412C-966B-72558F2B380B}"/>
    <cellStyle name="Output 2 5 2 4 9" xfId="14177" xr:uid="{85E9BD0A-E53E-4612-AE2E-52B0C0C6C5CE}"/>
    <cellStyle name="Output 2 5 2 5" xfId="3160" xr:uid="{F3B855C9-6E2E-4C95-88C9-00C771D5830E}"/>
    <cellStyle name="Output 2 5 2 5 10" xfId="14940" xr:uid="{F26F64C8-D022-4158-B9B5-871BE9690A20}"/>
    <cellStyle name="Output 2 5 2 5 11" xfId="21808" xr:uid="{C981726B-50FF-4852-B2CB-72D0216C9C85}"/>
    <cellStyle name="Output 2 5 2 5 2" xfId="4381" xr:uid="{9CD0242E-D6C5-4E87-995C-86700A2153BC}"/>
    <cellStyle name="Output 2 5 2 5 2 2" xfId="10238" xr:uid="{9582C6E6-C390-41D3-A7A7-8B5080233DBC}"/>
    <cellStyle name="Output 2 5 2 5 2 2 2" xfId="19284" xr:uid="{AD7E6670-035A-4150-9CFD-2605FC83FF93}"/>
    <cellStyle name="Output 2 5 2 5 2 3" xfId="15798" xr:uid="{C0252C18-42CD-4668-A6B8-21FDBA2FBB48}"/>
    <cellStyle name="Output 2 5 2 5 2 4" xfId="22464" xr:uid="{5F063EB8-ACCF-443C-B049-0CEA8F1809A7}"/>
    <cellStyle name="Output 2 5 2 5 3" xfId="4882" xr:uid="{11D8BA35-A93B-4F43-957A-A7457C383883}"/>
    <cellStyle name="Output 2 5 2 5 3 2" xfId="10737" xr:uid="{EB1DA63D-E4D9-4F29-A4D4-48A869B65658}"/>
    <cellStyle name="Output 2 5 2 5 3 2 2" xfId="19783" xr:uid="{1AF2462F-C250-472A-BA75-AAE55C0FC9E0}"/>
    <cellStyle name="Output 2 5 2 5 3 3" xfId="16297" xr:uid="{41537861-B3E4-480D-B74B-BE5BFCBEE78B}"/>
    <cellStyle name="Output 2 5 2 5 3 4" xfId="22959" xr:uid="{0871D99A-5A44-4CF0-89D8-CF47739F5FED}"/>
    <cellStyle name="Output 2 5 2 5 4" xfId="5497" xr:uid="{AD620033-B799-4DD2-B36B-92523A6507AB}"/>
    <cellStyle name="Output 2 5 2 5 4 2" xfId="11350" xr:uid="{77ABDB3D-1287-48C6-AE1D-B18349C57113}"/>
    <cellStyle name="Output 2 5 2 5 4 2 2" xfId="20396" xr:uid="{55653AF1-91F9-4AF2-B6A8-D6A736B43796}"/>
    <cellStyle name="Output 2 5 2 5 4 3" xfId="16910" xr:uid="{D7D8D124-C92D-41D8-BAFE-F3AE484001F7}"/>
    <cellStyle name="Output 2 5 2 5 5" xfId="6108" xr:uid="{D935CD85-D59C-44DE-9D5A-71C536E92752}"/>
    <cellStyle name="Output 2 5 2 5 5 2" xfId="11957" xr:uid="{E633E0DD-F702-42B1-9191-FB0EFF57C041}"/>
    <cellStyle name="Output 2 5 2 5 5 2 2" xfId="21003" xr:uid="{F6E3C417-EBBD-4610-A26B-906D6A9EE905}"/>
    <cellStyle name="Output 2 5 2 5 5 3" xfId="17521" xr:uid="{180E220E-FD24-44A4-B931-89DF343BBEF9}"/>
    <cellStyle name="Output 2 5 2 5 6" xfId="9371" xr:uid="{6AA3A441-DC58-4F5B-A6B9-D512B623966C}"/>
    <cellStyle name="Output 2 5 2 5 6 2" xfId="18417" xr:uid="{0F74DC6D-22F7-49BB-B19E-541C89BABECC}"/>
    <cellStyle name="Output 2 5 2 5 7" xfId="12767" xr:uid="{3CB26A3A-CA58-4930-9B1A-892AF5A6FA4E}"/>
    <cellStyle name="Output 2 5 2 5 8" xfId="13327" xr:uid="{D2F7D7CC-6A6D-4F97-B7E4-9DA8895CB5B3}"/>
    <cellStyle name="Output 2 5 2 5 9" xfId="13963" xr:uid="{3BA6F6FA-0592-4487-B4A9-AB4948EB7FFE}"/>
    <cellStyle name="Output 2 5 2 6" xfId="3761" xr:uid="{54021E79-03DC-4C6F-8AD5-9CC49553C425}"/>
    <cellStyle name="Output 2 5 2 6 2" xfId="9803" xr:uid="{265CA034-B4E9-49B4-8DBB-AE37C8A034F6}"/>
    <cellStyle name="Output 2 5 2 6 2 2" xfId="18849" xr:uid="{06D280D4-7253-4095-97BE-63099EF749AB}"/>
    <cellStyle name="Output 2 5 2 6 3" xfId="15369" xr:uid="{829EBF2E-FA06-435D-BCA4-FB6F1C77A5DD}"/>
    <cellStyle name="Output 2 5 2 6 4" xfId="22348" xr:uid="{DBB981C2-1A01-4BC1-8991-00D399DF5947}"/>
    <cellStyle name="Output 2 5 2 7" xfId="4245" xr:uid="{E831AF67-E1C6-49F9-BB55-561FA5EA6AF2}"/>
    <cellStyle name="Output 2 5 2 7 2" xfId="10102" xr:uid="{EDB24E5A-7360-4DB0-9A3C-B1ADB42487FF}"/>
    <cellStyle name="Output 2 5 2 7 2 2" xfId="19148" xr:uid="{91745073-9F74-4D08-8A38-A3445178C869}"/>
    <cellStyle name="Output 2 5 2 7 3" xfId="15662" xr:uid="{224AAEFC-D214-4D53-9313-28EDC3C961D6}"/>
    <cellStyle name="Output 2 5 2 7 4" xfId="22256" xr:uid="{DE89EC55-9D2E-4848-ABE1-AF4626211F52}"/>
    <cellStyle name="Output 2 5 2 8" xfId="4137" xr:uid="{C6A0C6DB-984E-404A-BAAD-26D5BC24B380}"/>
    <cellStyle name="Output 2 5 2 8 2" xfId="9994" xr:uid="{A5FBF547-B2EB-4D08-866B-FFD48B8C2E48}"/>
    <cellStyle name="Output 2 5 2 8 2 2" xfId="19040" xr:uid="{0EE72264-96DB-4DC9-8833-0864B239E80C}"/>
    <cellStyle name="Output 2 5 2 8 3" xfId="15554" xr:uid="{D4C632F5-5AC4-4F1F-A586-A79E47FFE36A}"/>
    <cellStyle name="Output 2 5 2 9" xfId="5282" xr:uid="{39DCFE64-64F1-4F87-9C22-6BCA0A842AC0}"/>
    <cellStyle name="Output 2 5 2 9 2" xfId="11135" xr:uid="{28B27719-183A-43A4-829F-15D4FA13E03E}"/>
    <cellStyle name="Output 2 5 2 9 2 2" xfId="20181" xr:uid="{6A5336E0-97F3-41FA-8BEF-193BC319D547}"/>
    <cellStyle name="Output 2 5 2 9 3" xfId="16695" xr:uid="{8C7C1DF3-F50E-4501-A2F0-EEBC3CA078ED}"/>
    <cellStyle name="Output 2 5 3" xfId="2426" xr:uid="{00966660-0527-4101-823D-44FD4BD86D20}"/>
    <cellStyle name="Output 2 5 3 10" xfId="5894" xr:uid="{E7F6F7A0-A11C-4F36-99C9-1DA42024876B}"/>
    <cellStyle name="Output 2 5 3 10 2" xfId="11747" xr:uid="{E1F79DCB-D7B0-45B6-8C65-BE266B3AEFD4}"/>
    <cellStyle name="Output 2 5 3 10 2 2" xfId="20793" xr:uid="{539339CC-5803-4029-B206-DADA89A3BDE2}"/>
    <cellStyle name="Output 2 5 3 10 3" xfId="17307" xr:uid="{1F9AA2E6-093C-46D2-8BA3-7DA437E782A2}"/>
    <cellStyle name="Output 2 5 3 11" xfId="9157" xr:uid="{909EF5C7-2754-4B30-9812-230BDF7707FE}"/>
    <cellStyle name="Output 2 5 3 11 2" xfId="18203" xr:uid="{5380095C-629E-4B40-9129-2A4A6C9FC071}"/>
    <cellStyle name="Output 2 5 3 12" xfId="12555" xr:uid="{975A6DF1-79B8-4575-82D0-321BCCF79DD4}"/>
    <cellStyle name="Output 2 5 3 13" xfId="13749" xr:uid="{4FCEDC8A-378B-4148-8A9F-C50C5A30CACE}"/>
    <cellStyle name="Output 2 5 3 14" xfId="14726" xr:uid="{5A673B62-0177-45BC-BB23-3F85FFF8132E}"/>
    <cellStyle name="Output 2 5 3 15" xfId="21596" xr:uid="{A0216D43-633B-4F15-9C2D-F330D492B7CB}"/>
    <cellStyle name="Output 2 5 3 16" xfId="23777" xr:uid="{575C4B37-4260-4AC3-9734-BF92BC65C381}"/>
    <cellStyle name="Output 2 5 3 2" xfId="2427" xr:uid="{5AACFCD3-0FEE-4259-93C0-24AA99241100}"/>
    <cellStyle name="Output 2 5 3 2 10" xfId="13208" xr:uid="{C710BA45-B257-4730-8619-FE5C010F2E71}"/>
    <cellStyle name="Output 2 5 3 2 11" xfId="13842" xr:uid="{EA931617-3BBF-49D4-9DF2-1BC4BAE09522}"/>
    <cellStyle name="Output 2 5 3 2 12" xfId="14817" xr:uid="{84AB6965-24CC-4C68-88C8-797B7EBB0C7C}"/>
    <cellStyle name="Output 2 5 3 2 13" xfId="21687" xr:uid="{0CE5AA74-637A-4AA2-860D-5F10ECF10ED0}"/>
    <cellStyle name="Output 2 5 3 2 2" xfId="2630" xr:uid="{CAABA3AE-EB58-443D-9517-CDF8DE94DB66}"/>
    <cellStyle name="Output 2 5 3 2 2 10" xfId="15244" xr:uid="{826DEA06-83B4-4009-8963-DEBEC1BB0873}"/>
    <cellStyle name="Output 2 5 3 2 2 11" xfId="22113" xr:uid="{A8E9000C-5504-4EDA-A1D7-15E648FA64FA}"/>
    <cellStyle name="Output 2 5 3 2 2 12" xfId="3453" xr:uid="{BEF393BA-E995-41C6-90C8-9D2F6156B0E9}"/>
    <cellStyle name="Output 2 5 3 2 2 2" xfId="4687" xr:uid="{8C7EDAF6-7D74-488C-8B9E-FD48CF65CB00}"/>
    <cellStyle name="Output 2 5 3 2 2 2 2" xfId="10544" xr:uid="{717D79AA-C835-4AA4-BE5A-1C6251B81D14}"/>
    <cellStyle name="Output 2 5 3 2 2 2 2 2" xfId="19590" xr:uid="{677DD8DB-666F-4EA3-A3C0-C487A780EE45}"/>
    <cellStyle name="Output 2 5 3 2 2 2 3" xfId="16104" xr:uid="{7B36DA0E-C3F3-4829-8F03-6844CF1534D4}"/>
    <cellStyle name="Output 2 5 3 2 2 2 4" xfId="22769" xr:uid="{CF21796E-1E46-4769-97CA-3AB133C8A117}"/>
    <cellStyle name="Output 2 5 3 2 2 3" xfId="5188" xr:uid="{E5AD9D51-632A-4EFA-A907-86D4C5767CC0}"/>
    <cellStyle name="Output 2 5 3 2 2 3 2" xfId="11041" xr:uid="{34FC23B5-7AC3-4514-A65A-EC70D35A712F}"/>
    <cellStyle name="Output 2 5 3 2 2 3 2 2" xfId="20087" xr:uid="{6522AD3F-2691-4ED4-AD22-9AB60F196B8B}"/>
    <cellStyle name="Output 2 5 3 2 2 3 3" xfId="16601" xr:uid="{28200B24-04F0-45A6-8185-2F60A5A3E4AF}"/>
    <cellStyle name="Output 2 5 3 2 2 3 4" xfId="23264" xr:uid="{97867D5E-6C07-45CD-8B6B-093B79D8842A}"/>
    <cellStyle name="Output 2 5 3 2 2 4" xfId="5803" xr:uid="{125D34DA-0E68-412D-B46E-2C15446DED12}"/>
    <cellStyle name="Output 2 5 3 2 2 4 2" xfId="11656" xr:uid="{56BD316C-1284-44E6-B7A4-7BB69EF5565D}"/>
    <cellStyle name="Output 2 5 3 2 2 4 2 2" xfId="20702" xr:uid="{A8A4B98D-BA8F-462E-994F-D36BD7726C11}"/>
    <cellStyle name="Output 2 5 3 2 2 4 3" xfId="17216" xr:uid="{90FC2AF7-E0AF-4CE9-BDF0-46F9E99F4976}"/>
    <cellStyle name="Output 2 5 3 2 2 5" xfId="6414" xr:uid="{1C15F923-7161-4254-81BB-79B2E0954306}"/>
    <cellStyle name="Output 2 5 3 2 2 5 2" xfId="12261" xr:uid="{729639F8-B9CD-402F-8C6A-3E70E70E867A}"/>
    <cellStyle name="Output 2 5 3 2 2 5 2 2" xfId="21307" xr:uid="{743E0BED-0190-47FF-BECD-EE7191C237F8}"/>
    <cellStyle name="Output 2 5 3 2 2 5 3" xfId="17827" xr:uid="{CD096835-9A0A-4FF2-B2EF-79D293FBE97D}"/>
    <cellStyle name="Output 2 5 3 2 2 6" xfId="9675" xr:uid="{25108F56-7B0B-4A1A-AF8E-9FE4016127D3}"/>
    <cellStyle name="Output 2 5 3 2 2 6 2" xfId="18721" xr:uid="{6A0DA759-CF94-4CD8-A155-89F9658B15F7}"/>
    <cellStyle name="Output 2 5 3 2 2 7" xfId="13073" xr:uid="{E4ABDBE6-545C-43B2-B690-34039ADF30A7}"/>
    <cellStyle name="Output 2 5 3 2 2 8" xfId="13630" xr:uid="{130606E3-2B33-45EA-A20D-C824056087E0}"/>
    <cellStyle name="Output 2 5 3 2 2 9" xfId="14269" xr:uid="{68FB151B-AC08-4122-889C-82DE4E35D999}"/>
    <cellStyle name="Output 2 5 3 2 3" xfId="3252" xr:uid="{6AC0F89C-3783-47CF-8EE8-D6D8C17E9688}"/>
    <cellStyle name="Output 2 5 3 2 3 10" xfId="15032" xr:uid="{C7DC9289-781F-40CC-BDB1-F2E64DE19463}"/>
    <cellStyle name="Output 2 5 3 2 3 11" xfId="21902" xr:uid="{F261B98F-757B-471E-A8E6-99CD5ACC475F}"/>
    <cellStyle name="Output 2 5 3 2 3 2" xfId="4475" xr:uid="{80088813-4F92-443A-A6EB-D2D8A34DF275}"/>
    <cellStyle name="Output 2 5 3 2 3 2 2" xfId="10332" xr:uid="{9157F27B-ABAB-42EC-83C8-50C4596E40B1}"/>
    <cellStyle name="Output 2 5 3 2 3 2 2 2" xfId="19378" xr:uid="{9D82AD55-0F75-4CB1-AC2A-8E2B9B58DD7B}"/>
    <cellStyle name="Output 2 5 3 2 3 2 3" xfId="15892" xr:uid="{B1D12426-3694-463A-B3A5-47614B9DF7CF}"/>
    <cellStyle name="Output 2 5 3 2 3 2 4" xfId="22558" xr:uid="{A6F3405E-40F2-48B8-8307-EABECB1EE3B3}"/>
    <cellStyle name="Output 2 5 3 2 3 3" xfId="4976" xr:uid="{BBD91462-1E34-4798-B453-4FBDFB239063}"/>
    <cellStyle name="Output 2 5 3 2 3 3 2" xfId="10829" xr:uid="{233826E8-2B3B-46F3-8907-8F70A909BB33}"/>
    <cellStyle name="Output 2 5 3 2 3 3 2 2" xfId="19875" xr:uid="{1DD0555E-51E4-4037-9188-6B18605F27C4}"/>
    <cellStyle name="Output 2 5 3 2 3 3 3" xfId="16389" xr:uid="{9E4EA4A8-44EB-48A5-829D-91607A449221}"/>
    <cellStyle name="Output 2 5 3 2 3 3 4" xfId="23053" xr:uid="{83EED854-25C1-45ED-9392-96660EBE03DD}"/>
    <cellStyle name="Output 2 5 3 2 3 4" xfId="5591" xr:uid="{34E65740-102F-4EAB-9FA0-3093C90B3D77}"/>
    <cellStyle name="Output 2 5 3 2 3 4 2" xfId="11444" xr:uid="{8694482F-06D4-4455-B19F-137AA856621C}"/>
    <cellStyle name="Output 2 5 3 2 3 4 2 2" xfId="20490" xr:uid="{E8907C05-BEEC-48EE-BC77-7B2DA801E1F5}"/>
    <cellStyle name="Output 2 5 3 2 3 4 3" xfId="17004" xr:uid="{98742B6A-6435-46FC-B3AA-6DC15CD91C90}"/>
    <cellStyle name="Output 2 5 3 2 3 5" xfId="6202" xr:uid="{34402C94-5BF6-493F-A8C1-0066D9B4641A}"/>
    <cellStyle name="Output 2 5 3 2 3 5 2" xfId="12049" xr:uid="{25B9BE79-77C2-4194-8CBB-B4416CDDC40C}"/>
    <cellStyle name="Output 2 5 3 2 3 5 2 2" xfId="21095" xr:uid="{83043C01-D14A-48AC-AB05-C361AD64905A}"/>
    <cellStyle name="Output 2 5 3 2 3 5 3" xfId="17615" xr:uid="{6E260E96-A0F8-4254-86C5-69DDB9C26D8E}"/>
    <cellStyle name="Output 2 5 3 2 3 6" xfId="9463" xr:uid="{3CF6F881-C5DB-41EC-A976-21D60677C317}"/>
    <cellStyle name="Output 2 5 3 2 3 6 2" xfId="18509" xr:uid="{18F004E3-BCFC-4DDA-9475-6C293ABFF102}"/>
    <cellStyle name="Output 2 5 3 2 3 7" xfId="12861" xr:uid="{08423002-B4AB-486B-A59C-D5A030C1D09A}"/>
    <cellStyle name="Output 2 5 3 2 3 8" xfId="13419" xr:uid="{9C674D9E-70D9-4BC6-A1F7-072659A3DC9D}"/>
    <cellStyle name="Output 2 5 3 2 3 9" xfId="14057" xr:uid="{39825150-5307-4F5F-A1D6-F3B53C17B732}"/>
    <cellStyle name="Output 2 5 3 2 4" xfId="4030" xr:uid="{EEE9C898-465E-40EA-B5BF-AD0057E0A4AF}"/>
    <cellStyle name="Output 2 5 3 2 4 2" xfId="9892" xr:uid="{B1B451C0-8E75-4CC6-8F38-1A0585C7A172}"/>
    <cellStyle name="Output 2 5 3 2 4 2 2" xfId="18938" xr:uid="{6C12A2D8-09C9-4350-9E6E-6B52C2BE21D2}"/>
    <cellStyle name="Output 2 5 3 2 4 3" xfId="15454" xr:uid="{30037386-C460-4891-8C0B-0312B70AB130}"/>
    <cellStyle name="Output 2 5 3 2 4 4" xfId="22838" xr:uid="{795A776B-BE67-42AC-83ED-0DA577F5A0AA}"/>
    <cellStyle name="Output 2 5 3 2 5" xfId="4759" xr:uid="{AFCF39A2-3FC9-44B4-B571-E5C16750F6E5}"/>
    <cellStyle name="Output 2 5 3 2 5 2" xfId="10616" xr:uid="{1CF015AE-2037-4EF7-8517-8E911D287D60}"/>
    <cellStyle name="Output 2 5 3 2 5 2 2" xfId="19662" xr:uid="{9203DDFE-B496-4CED-A010-3D82743024DC}"/>
    <cellStyle name="Output 2 5 3 2 5 3" xfId="16176" xr:uid="{122D6D02-362A-4525-9614-C6AF939E6EE2}"/>
    <cellStyle name="Output 2 5 3 2 6" xfId="5376" xr:uid="{4539241B-2D8C-4051-B9D6-EF72F8E95D07}"/>
    <cellStyle name="Output 2 5 3 2 6 2" xfId="11229" xr:uid="{4F0E73BB-DB56-4530-8E1E-E94BCBBEF245}"/>
    <cellStyle name="Output 2 5 3 2 6 2 2" xfId="20275" xr:uid="{2A933160-C12E-4D24-8CAF-B7B4A34EDFA8}"/>
    <cellStyle name="Output 2 5 3 2 6 3" xfId="16789" xr:uid="{08775759-BCE3-4E05-8364-39222C68DC88}"/>
    <cellStyle name="Output 2 5 3 2 7" xfId="5987" xr:uid="{DBDC0D02-A150-4264-A60F-BC34604E7BC1}"/>
    <cellStyle name="Output 2 5 3 2 7 2" xfId="11838" xr:uid="{5F03AB80-F0A6-4EF0-89F9-27534B14652A}"/>
    <cellStyle name="Output 2 5 3 2 7 2 2" xfId="20884" xr:uid="{036DADBC-AA04-41D9-B720-4762A7308EAB}"/>
    <cellStyle name="Output 2 5 3 2 7 3" xfId="17400" xr:uid="{5E146CCE-3F7E-48C8-97CA-853AE7DB5165}"/>
    <cellStyle name="Output 2 5 3 2 8" xfId="9248" xr:uid="{6319FCAC-FE4B-4BE9-AEA3-F695411C7EDD}"/>
    <cellStyle name="Output 2 5 3 2 8 2" xfId="18294" xr:uid="{66B0EFEF-7D74-406F-A780-2CF5080D78E5}"/>
    <cellStyle name="Output 2 5 3 2 9" xfId="12646" xr:uid="{84515365-7CDF-4AC2-9143-FE641E537447}"/>
    <cellStyle name="Output 2 5 3 3" xfId="2631" xr:uid="{636BD761-2326-4397-BBD9-7D81FFE7B098}"/>
    <cellStyle name="Output 2 5 3 3 10" xfId="13843" xr:uid="{B8573DB6-3ACB-411C-B3BA-2C84D0BF571A}"/>
    <cellStyle name="Output 2 5 3 3 11" xfId="14818" xr:uid="{1FF07049-A662-4248-B7FE-480324EA5809}"/>
    <cellStyle name="Output 2 5 3 3 12" xfId="21688" xr:uid="{EE20C23E-8D31-456F-BC7C-CE31C78CBA13}"/>
    <cellStyle name="Output 2 5 3 3 13" xfId="3065" xr:uid="{3D14E866-1EA8-4808-9E0C-68B4AD8945B6}"/>
    <cellStyle name="Output 2 5 3 3 2" xfId="3454" xr:uid="{0EEE22FB-D5E5-4A29-A308-8C213FF23139}"/>
    <cellStyle name="Output 2 5 3 3 2 10" xfId="15245" xr:uid="{29F6AEE6-0817-4E91-A587-009843EFFF93}"/>
    <cellStyle name="Output 2 5 3 3 2 11" xfId="22114" xr:uid="{81ACF5B2-112A-4E3D-ACFC-D53710D8A7EB}"/>
    <cellStyle name="Output 2 5 3 3 2 2" xfId="4688" xr:uid="{E4287BB5-8B84-43D9-AB96-0276C35D6BC3}"/>
    <cellStyle name="Output 2 5 3 3 2 2 2" xfId="10545" xr:uid="{D283E375-F892-48DE-B1B5-57A6A422246E}"/>
    <cellStyle name="Output 2 5 3 3 2 2 2 2" xfId="19591" xr:uid="{C1804FBE-079F-4F59-9652-6E8310560310}"/>
    <cellStyle name="Output 2 5 3 3 2 2 3" xfId="16105" xr:uid="{43D53BA5-4D30-4D39-9CAF-7808C80F08BB}"/>
    <cellStyle name="Output 2 5 3 3 2 2 4" xfId="22770" xr:uid="{1EEF6AE0-026C-4CA9-958C-D33F17895A29}"/>
    <cellStyle name="Output 2 5 3 3 2 3" xfId="5189" xr:uid="{04CC353B-D3BC-413B-8D14-1C3EFEE86190}"/>
    <cellStyle name="Output 2 5 3 3 2 3 2" xfId="11042" xr:uid="{12F936CB-92A1-4A16-8310-0F287DF96ABF}"/>
    <cellStyle name="Output 2 5 3 3 2 3 2 2" xfId="20088" xr:uid="{925C8203-4995-46BF-A665-B9BD83AC0130}"/>
    <cellStyle name="Output 2 5 3 3 2 3 3" xfId="16602" xr:uid="{7B10539C-F86E-43E8-9729-B449A203F758}"/>
    <cellStyle name="Output 2 5 3 3 2 3 4" xfId="23265" xr:uid="{A5B9A681-D34B-464E-B774-74485DF0EE6E}"/>
    <cellStyle name="Output 2 5 3 3 2 4" xfId="5804" xr:uid="{2D325514-8DBC-49F9-A7B5-5B3088DE2860}"/>
    <cellStyle name="Output 2 5 3 3 2 4 2" xfId="11657" xr:uid="{5BBE258C-9557-43C0-BEE2-AC02A1AB8847}"/>
    <cellStyle name="Output 2 5 3 3 2 4 2 2" xfId="20703" xr:uid="{E190F279-4A06-44B5-B7A3-B2B83DE792B9}"/>
    <cellStyle name="Output 2 5 3 3 2 4 3" xfId="17217" xr:uid="{39D0464E-343F-42F6-A3EF-B090ADBD6970}"/>
    <cellStyle name="Output 2 5 3 3 2 5" xfId="6415" xr:uid="{0CDB3177-CDA2-4235-820B-453EA2649785}"/>
    <cellStyle name="Output 2 5 3 3 2 5 2" xfId="12262" xr:uid="{AD7BE597-A603-43E7-8D1E-1189D4505876}"/>
    <cellStyle name="Output 2 5 3 3 2 5 2 2" xfId="21308" xr:uid="{A1C22AF5-AAB3-4775-AC8F-1D6B73DF6891}"/>
    <cellStyle name="Output 2 5 3 3 2 5 3" xfId="17828" xr:uid="{1D8FF66A-BBA9-457E-AC82-D804628F9F55}"/>
    <cellStyle name="Output 2 5 3 3 2 6" xfId="9676" xr:uid="{E3FB0E86-21E7-4154-A6CD-AA1818A9C047}"/>
    <cellStyle name="Output 2 5 3 3 2 6 2" xfId="18722" xr:uid="{C3B644AE-1B5D-4CA6-A9C0-BF40B87E301D}"/>
    <cellStyle name="Output 2 5 3 3 2 7" xfId="13074" xr:uid="{EBE6B001-3E6A-4A3B-AEED-483963B02B6D}"/>
    <cellStyle name="Output 2 5 3 3 2 8" xfId="13631" xr:uid="{114F01F3-DE3E-4A95-964A-85469996BF3F}"/>
    <cellStyle name="Output 2 5 3 3 2 9" xfId="14270" xr:uid="{5ADC105A-82BB-4F73-B715-05F6CA08942E}"/>
    <cellStyle name="Output 2 5 3 3 3" xfId="3253" xr:uid="{070A564D-862D-496B-B545-FBBA89DE7689}"/>
    <cellStyle name="Output 2 5 3 3 3 10" xfId="15033" xr:uid="{194A9761-40A7-4567-A45B-6FDE2184E294}"/>
    <cellStyle name="Output 2 5 3 3 3 11" xfId="21903" xr:uid="{4F8C72CD-2AF0-497C-A902-C20F42A902D8}"/>
    <cellStyle name="Output 2 5 3 3 3 2" xfId="4476" xr:uid="{6AC19936-46DF-42F2-903D-59945604A555}"/>
    <cellStyle name="Output 2 5 3 3 3 2 2" xfId="10333" xr:uid="{89312975-2769-436E-929E-1CD90D31B785}"/>
    <cellStyle name="Output 2 5 3 3 3 2 2 2" xfId="19379" xr:uid="{5D69BBCD-3E84-4793-8A21-95C113E57757}"/>
    <cellStyle name="Output 2 5 3 3 3 2 3" xfId="15893" xr:uid="{E86DC1CC-8FBC-4D17-AE93-2644E3DB6E0C}"/>
    <cellStyle name="Output 2 5 3 3 3 2 4" xfId="22559" xr:uid="{69F5A950-FEF8-46A1-9AC3-B43A0A748C76}"/>
    <cellStyle name="Output 2 5 3 3 3 3" xfId="4977" xr:uid="{F2904085-7B57-47FB-AAE1-82A96A698A4D}"/>
    <cellStyle name="Output 2 5 3 3 3 3 2" xfId="10830" xr:uid="{42BAFC3D-7423-4D30-B525-A46151B5CE5A}"/>
    <cellStyle name="Output 2 5 3 3 3 3 2 2" xfId="19876" xr:uid="{CBE91E97-732E-4A0F-A336-BFB39BEECF2A}"/>
    <cellStyle name="Output 2 5 3 3 3 3 3" xfId="16390" xr:uid="{8FC27895-BC24-423E-BB7E-C91C700E7825}"/>
    <cellStyle name="Output 2 5 3 3 3 3 4" xfId="23054" xr:uid="{4FB75308-5DEC-42A2-AFFC-B86B5FA86AC8}"/>
    <cellStyle name="Output 2 5 3 3 3 4" xfId="5592" xr:uid="{CD3C8C21-FF11-4871-8FFC-E24A8D755A73}"/>
    <cellStyle name="Output 2 5 3 3 3 4 2" xfId="11445" xr:uid="{39B6F6B3-5DDF-4795-B4E9-B161A7082781}"/>
    <cellStyle name="Output 2 5 3 3 3 4 2 2" xfId="20491" xr:uid="{3D114295-C4CE-4C9B-A048-9FDDB6912563}"/>
    <cellStyle name="Output 2 5 3 3 3 4 3" xfId="17005" xr:uid="{F39F60F2-A413-4792-BF60-BC8DA258C5F5}"/>
    <cellStyle name="Output 2 5 3 3 3 5" xfId="6203" xr:uid="{5ECEBDE3-2BCA-45F8-BC01-D61C43FC8170}"/>
    <cellStyle name="Output 2 5 3 3 3 5 2" xfId="12050" xr:uid="{84F114DA-140B-4F70-89FF-38E24DD5A679}"/>
    <cellStyle name="Output 2 5 3 3 3 5 2 2" xfId="21096" xr:uid="{AEEC2927-7757-467E-8527-A92855D62BA6}"/>
    <cellStyle name="Output 2 5 3 3 3 5 3" xfId="17616" xr:uid="{932B9F11-D50B-4CC9-BE97-31D9ED2CF770}"/>
    <cellStyle name="Output 2 5 3 3 3 6" xfId="9464" xr:uid="{2327CD13-5C6F-43B1-9B35-A4DB611C5F9F}"/>
    <cellStyle name="Output 2 5 3 3 3 6 2" xfId="18510" xr:uid="{842CF025-102C-49B7-8C99-EC330445B826}"/>
    <cellStyle name="Output 2 5 3 3 3 7" xfId="12862" xr:uid="{AA0F999A-2D35-4B2B-83D9-AF9B08239CEF}"/>
    <cellStyle name="Output 2 5 3 3 3 8" xfId="13420" xr:uid="{838FE15E-4365-4A14-9AA3-DF020E9E7A8B}"/>
    <cellStyle name="Output 2 5 3 3 3 9" xfId="14058" xr:uid="{4515601E-841E-4679-9C77-CA8D077D3CDC}"/>
    <cellStyle name="Output 2 5 3 3 4" xfId="4760" xr:uid="{56EED721-85CD-4C90-9A24-61C9FAD1CCB6}"/>
    <cellStyle name="Output 2 5 3 3 4 2" xfId="10617" xr:uid="{A0FEF1AB-1DDA-41C1-BD98-F63050F446C3}"/>
    <cellStyle name="Output 2 5 3 3 4 2 2" xfId="19663" xr:uid="{F4F46A56-5F82-479D-B495-1E6B777B5A3E}"/>
    <cellStyle name="Output 2 5 3 3 4 3" xfId="16177" xr:uid="{0B26415C-CAFD-4DCB-BB33-FEC2A9C1EC41}"/>
    <cellStyle name="Output 2 5 3 3 4 4" xfId="22839" xr:uid="{FE46853F-42B8-4ECF-9F7F-3E331F720214}"/>
    <cellStyle name="Output 2 5 3 3 5" xfId="5377" xr:uid="{29FB97DD-D8E1-4B7F-BEED-8A0D094C4F15}"/>
    <cellStyle name="Output 2 5 3 3 5 2" xfId="11230" xr:uid="{781C6DAA-1AF8-48E8-91F9-0E04B31CF864}"/>
    <cellStyle name="Output 2 5 3 3 5 2 2" xfId="20276" xr:uid="{3F8DEB73-B73F-4B3E-BAD2-D10048F5AEDF}"/>
    <cellStyle name="Output 2 5 3 3 5 3" xfId="16790" xr:uid="{CDFFEEB8-5163-4C58-84CA-DB4B5F1E885D}"/>
    <cellStyle name="Output 2 5 3 3 6" xfId="5988" xr:uid="{F5EE2B98-A7D0-4A98-BA20-217B1B495F0B}"/>
    <cellStyle name="Output 2 5 3 3 6 2" xfId="11839" xr:uid="{B12CA1BD-80E7-460E-9574-22DD2B97A8AD}"/>
    <cellStyle name="Output 2 5 3 3 6 2 2" xfId="20885" xr:uid="{4FA54336-8D97-4650-9415-6F10B1D233F2}"/>
    <cellStyle name="Output 2 5 3 3 6 3" xfId="17401" xr:uid="{B1F4B5A0-30FA-465E-A473-89E880D73643}"/>
    <cellStyle name="Output 2 5 3 3 7" xfId="9249" xr:uid="{09B54D9D-B3AD-48A7-88A9-DFC0E2ED2627}"/>
    <cellStyle name="Output 2 5 3 3 7 2" xfId="18295" xr:uid="{0F7733EF-FD71-46C7-AC3E-018B17381082}"/>
    <cellStyle name="Output 2 5 3 3 8" xfId="12647" xr:uid="{557E6838-0398-4BDB-A4CA-3731E7120048}"/>
    <cellStyle name="Output 2 5 3 3 9" xfId="13209" xr:uid="{58CD5CEE-C3DD-4F23-80A5-83C412EFBBBD}"/>
    <cellStyle name="Output 2 5 3 4" xfId="3373" xr:uid="{1DC1D143-E880-410F-8FF6-18E953C9E54A}"/>
    <cellStyle name="Output 2 5 3 4 10" xfId="15153" xr:uid="{7ECA5BD1-ED13-475E-AD8C-47B2D5EA4CC4}"/>
    <cellStyle name="Output 2 5 3 4 11" xfId="22022" xr:uid="{9B89A38A-BF95-435E-8348-FBCF739991A2}"/>
    <cellStyle name="Output 2 5 3 4 2" xfId="4596" xr:uid="{AFBDD2E2-B55F-442E-9E61-6B77458598BE}"/>
    <cellStyle name="Output 2 5 3 4 2 2" xfId="10453" xr:uid="{CCE23D85-B295-40F5-8E38-FB7372C0F9BB}"/>
    <cellStyle name="Output 2 5 3 4 2 2 2" xfId="19499" xr:uid="{B21D117A-E802-4C58-B89D-8744FA8190AE}"/>
    <cellStyle name="Output 2 5 3 4 2 3" xfId="16013" xr:uid="{F14E9415-6190-40EF-997D-F70744D7EE30}"/>
    <cellStyle name="Output 2 5 3 4 2 4" xfId="22678" xr:uid="{EE6EC99B-2B5E-4F85-967C-5DB1E6EEE13B}"/>
    <cellStyle name="Output 2 5 3 4 3" xfId="5097" xr:uid="{F1EC6FAD-CE09-4F5E-A107-3E4943406838}"/>
    <cellStyle name="Output 2 5 3 4 3 2" xfId="10950" xr:uid="{38BC3530-B5F0-4188-92BC-594D807090DB}"/>
    <cellStyle name="Output 2 5 3 4 3 2 2" xfId="19996" xr:uid="{DDD7C9DD-A614-4585-AF90-B0DDD57809A9}"/>
    <cellStyle name="Output 2 5 3 4 3 3" xfId="16510" xr:uid="{FE9F21F1-BDD3-407B-BF37-69734B0FBE27}"/>
    <cellStyle name="Output 2 5 3 4 3 4" xfId="23173" xr:uid="{CB061951-EB9B-4A46-9A65-1B48585E860E}"/>
    <cellStyle name="Output 2 5 3 4 4" xfId="5712" xr:uid="{AA04C822-C3AC-4358-8580-0A93E3219731}"/>
    <cellStyle name="Output 2 5 3 4 4 2" xfId="11565" xr:uid="{8F59B3FD-EC8D-4F8B-867A-3C081418EB5B}"/>
    <cellStyle name="Output 2 5 3 4 4 2 2" xfId="20611" xr:uid="{8B031AD2-53F3-4DB0-B332-2EFF6CE69898}"/>
    <cellStyle name="Output 2 5 3 4 4 3" xfId="17125" xr:uid="{ED697B5A-5054-4A2C-9EED-C38EF9170052}"/>
    <cellStyle name="Output 2 5 3 4 5" xfId="6323" xr:uid="{1E4AC3BD-B54B-4921-BFBA-F37C7EB2EF7F}"/>
    <cellStyle name="Output 2 5 3 4 5 2" xfId="12170" xr:uid="{A904E153-8615-4A81-81BB-EFEC6F2534F2}"/>
    <cellStyle name="Output 2 5 3 4 5 2 2" xfId="21216" xr:uid="{E182079B-140B-4A98-9727-C142E5A04C76}"/>
    <cellStyle name="Output 2 5 3 4 5 3" xfId="17736" xr:uid="{972C8D86-3D4E-4BFE-A1D3-4B758D33D574}"/>
    <cellStyle name="Output 2 5 3 4 6" xfId="9584" xr:uid="{3707F825-B79C-4860-A8E0-8D829678ED17}"/>
    <cellStyle name="Output 2 5 3 4 6 2" xfId="18630" xr:uid="{8EAE4B16-5D89-48CC-B83A-93EBDBD5A62D}"/>
    <cellStyle name="Output 2 5 3 4 7" xfId="12982" xr:uid="{DD0724D3-014C-49C5-8ECE-BEE8E4F7B27E}"/>
    <cellStyle name="Output 2 5 3 4 8" xfId="13539" xr:uid="{2784685A-94D5-4F42-A419-C8E5B25954DA}"/>
    <cellStyle name="Output 2 5 3 4 9" xfId="14178" xr:uid="{F265A9A6-CFA2-40DE-8C1E-9D09F70865BD}"/>
    <cellStyle name="Output 2 5 3 5" xfId="3161" xr:uid="{252A4C0E-1C69-4FEF-BBB3-835AAB4654E2}"/>
    <cellStyle name="Output 2 5 3 5 10" xfId="14941" xr:uid="{609AAD9D-8554-4EF9-A27F-5C482A08968A}"/>
    <cellStyle name="Output 2 5 3 5 11" xfId="21809" xr:uid="{9AB0A376-295D-49FC-BF33-FE365C6FA57C}"/>
    <cellStyle name="Output 2 5 3 5 2" xfId="4382" xr:uid="{8A74A261-9805-493B-816F-60A4ABC56F9C}"/>
    <cellStyle name="Output 2 5 3 5 2 2" xfId="10239" xr:uid="{322CFDE4-FE7D-4499-8490-8EBA21876F5C}"/>
    <cellStyle name="Output 2 5 3 5 2 2 2" xfId="19285" xr:uid="{61591512-D0F3-44A9-8A4B-50AA888E25EB}"/>
    <cellStyle name="Output 2 5 3 5 2 3" xfId="15799" xr:uid="{8712A796-7D9D-4832-90BE-A3008FA6FA08}"/>
    <cellStyle name="Output 2 5 3 5 2 4" xfId="22465" xr:uid="{F0EF27A0-2DAE-4874-9B34-1B89A48999B7}"/>
    <cellStyle name="Output 2 5 3 5 3" xfId="4883" xr:uid="{D9DBD7A9-A5D6-4A8D-B437-287A05C4CA64}"/>
    <cellStyle name="Output 2 5 3 5 3 2" xfId="10738" xr:uid="{D3748188-E85A-4B3C-92E4-A30586B45A1E}"/>
    <cellStyle name="Output 2 5 3 5 3 2 2" xfId="19784" xr:uid="{FC6E2832-4C1A-4402-8B29-D0F9CC0392F7}"/>
    <cellStyle name="Output 2 5 3 5 3 3" xfId="16298" xr:uid="{3E256F75-9186-4E57-B34D-F5AD39BEA0D6}"/>
    <cellStyle name="Output 2 5 3 5 3 4" xfId="22960" xr:uid="{37BE7E48-8C73-453E-AE68-B475474054FB}"/>
    <cellStyle name="Output 2 5 3 5 4" xfId="5498" xr:uid="{7F1ACF98-3C5C-43F5-8229-ACF2065E33A6}"/>
    <cellStyle name="Output 2 5 3 5 4 2" xfId="11351" xr:uid="{9ED45E53-6E86-43DF-BEE1-49B1C8C90B33}"/>
    <cellStyle name="Output 2 5 3 5 4 2 2" xfId="20397" xr:uid="{A21F4FD1-30C5-480D-B734-7682C353D299}"/>
    <cellStyle name="Output 2 5 3 5 4 3" xfId="16911" xr:uid="{B5275D44-A557-469A-939E-41ED93678DA7}"/>
    <cellStyle name="Output 2 5 3 5 5" xfId="6109" xr:uid="{B103B9BA-93A7-4799-9D7D-01C1A45B6A5B}"/>
    <cellStyle name="Output 2 5 3 5 5 2" xfId="11958" xr:uid="{32E62106-28FA-4B6D-91B8-EA7865225671}"/>
    <cellStyle name="Output 2 5 3 5 5 2 2" xfId="21004" xr:uid="{11D4559B-A170-4B07-9452-D324D02AEC25}"/>
    <cellStyle name="Output 2 5 3 5 5 3" xfId="17522" xr:uid="{8E944029-AA10-424B-B827-190CCF9EC625}"/>
    <cellStyle name="Output 2 5 3 5 6" xfId="9372" xr:uid="{C3EBF9E0-46DD-4F93-BA96-A52E5CA7BC96}"/>
    <cellStyle name="Output 2 5 3 5 6 2" xfId="18418" xr:uid="{2CDAE5EA-1CAE-4986-ACD5-E09B7002DDDC}"/>
    <cellStyle name="Output 2 5 3 5 7" xfId="12768" xr:uid="{91882BBC-151D-4E53-B5E7-C725E0202142}"/>
    <cellStyle name="Output 2 5 3 5 8" xfId="13328" xr:uid="{D498D996-F734-4B97-BBCF-D579353AB943}"/>
    <cellStyle name="Output 2 5 3 5 9" xfId="13964" xr:uid="{C01666BE-E1EB-4FE2-AEE2-30000E07A51C}"/>
    <cellStyle name="Output 2 5 3 6" xfId="3762" xr:uid="{A1B665F0-371F-428A-9A77-95B74CA77C12}"/>
    <cellStyle name="Output 2 5 3 6 2" xfId="9804" xr:uid="{F21F13DD-BB83-4864-89BE-D398829BBD6B}"/>
    <cellStyle name="Output 2 5 3 6 2 2" xfId="18850" xr:uid="{A9298D26-2D0B-446D-9DBC-9E438A2A2CDD}"/>
    <cellStyle name="Output 2 5 3 6 3" xfId="15370" xr:uid="{C7D73C2C-0375-4B1A-8F49-5CBA8EF92597}"/>
    <cellStyle name="Output 2 5 3 6 4" xfId="22349" xr:uid="{ED55AA1B-031B-4C29-BE2A-2C5475A4F6D7}"/>
    <cellStyle name="Output 2 5 3 7" xfId="4246" xr:uid="{CFC0A4CB-C8AA-4C05-B9FD-CF7E43B834B8}"/>
    <cellStyle name="Output 2 5 3 7 2" xfId="10103" xr:uid="{34806985-7207-42AA-A34C-BA8C40112AA8}"/>
    <cellStyle name="Output 2 5 3 7 2 2" xfId="19149" xr:uid="{F4405AF5-91DF-4723-96EB-2DF20E4CC67E}"/>
    <cellStyle name="Output 2 5 3 7 3" xfId="15663" xr:uid="{8A2FFD2E-A71E-4DED-9110-BD98152B1D1E}"/>
    <cellStyle name="Output 2 5 3 7 4" xfId="22255" xr:uid="{3E0ACC25-BDA6-4966-9377-653D61978F86}"/>
    <cellStyle name="Output 2 5 3 8" xfId="4136" xr:uid="{4947761B-FA78-4791-A8D3-BFCADB7DC720}"/>
    <cellStyle name="Output 2 5 3 8 2" xfId="9993" xr:uid="{872A08E7-B923-431C-9923-DFBE1B0E8380}"/>
    <cellStyle name="Output 2 5 3 8 2 2" xfId="19039" xr:uid="{922498C2-63B1-4B17-8F33-C21409359FED}"/>
    <cellStyle name="Output 2 5 3 8 3" xfId="15553" xr:uid="{67DDFB02-3135-43FA-AE64-2B16F728DEA9}"/>
    <cellStyle name="Output 2 5 3 9" xfId="5283" xr:uid="{CA29B0BF-ACB9-4342-9AA6-70DC10BA0DB0}"/>
    <cellStyle name="Output 2 5 3 9 2" xfId="11136" xr:uid="{A68569AA-9E57-47DD-A26F-57B9B1A2D80A}"/>
    <cellStyle name="Output 2 5 3 9 2 2" xfId="20182" xr:uid="{63128111-3505-4CA2-9851-CCC1DCD00E5E}"/>
    <cellStyle name="Output 2 5 3 9 3" xfId="16696" xr:uid="{1C025F62-29D3-4D56-8AAF-90572F59F66D}"/>
    <cellStyle name="Output 2 5 4" xfId="2428" xr:uid="{4B4A7C40-B317-4408-95A5-2D064B1C748F}"/>
    <cellStyle name="Output 2 5 4 10" xfId="13210" xr:uid="{B057218B-D16F-4E4A-AC87-87C87144C51D}"/>
    <cellStyle name="Output 2 5 4 11" xfId="13844" xr:uid="{2C7428E0-CD8F-47DA-BF38-DAB73CBE31A1}"/>
    <cellStyle name="Output 2 5 4 12" xfId="14819" xr:uid="{0D73C314-AA28-4C4A-B765-9665EABDC164}"/>
    <cellStyle name="Output 2 5 4 13" xfId="21689" xr:uid="{E049E56C-DF13-4912-9914-F66A6830CD11}"/>
    <cellStyle name="Output 2 5 4 2" xfId="2629" xr:uid="{0DA6FD94-EE0D-4FCD-9883-FCCCFCEA6C21}"/>
    <cellStyle name="Output 2 5 4 2 10" xfId="15246" xr:uid="{5D9FD4F1-4FCA-402F-AFE2-54EC9D97C06F}"/>
    <cellStyle name="Output 2 5 4 2 11" xfId="22115" xr:uid="{63E0B9A6-01BA-44B7-B7A5-2674E4F46861}"/>
    <cellStyle name="Output 2 5 4 2 12" xfId="3455" xr:uid="{72BAC12A-86F7-4B5A-B12D-C0352F0245C7}"/>
    <cellStyle name="Output 2 5 4 2 2" xfId="4689" xr:uid="{55C41DBF-5228-4C07-8C7A-443A11FA3388}"/>
    <cellStyle name="Output 2 5 4 2 2 2" xfId="10546" xr:uid="{99A42834-351D-48DB-953E-835B4D55E52A}"/>
    <cellStyle name="Output 2 5 4 2 2 2 2" xfId="19592" xr:uid="{1F4A2966-E3F6-4B23-926E-D7BF7589CE3A}"/>
    <cellStyle name="Output 2 5 4 2 2 3" xfId="16106" xr:uid="{7F8782B1-AC89-4A09-AEA7-187F3C91C9F2}"/>
    <cellStyle name="Output 2 5 4 2 2 4" xfId="22771" xr:uid="{5B7FE724-4FD5-47EA-AC07-1D1E60153F8D}"/>
    <cellStyle name="Output 2 5 4 2 3" xfId="5190" xr:uid="{05E21733-010A-4973-BB1E-340755D42937}"/>
    <cellStyle name="Output 2 5 4 2 3 2" xfId="11043" xr:uid="{C29B18DB-8908-45B1-AF15-1FB9E0B78A24}"/>
    <cellStyle name="Output 2 5 4 2 3 2 2" xfId="20089" xr:uid="{95919542-35D1-480B-9884-83F096BD26F7}"/>
    <cellStyle name="Output 2 5 4 2 3 3" xfId="16603" xr:uid="{91FAE02B-0F5C-4350-9230-7F418447E274}"/>
    <cellStyle name="Output 2 5 4 2 3 4" xfId="23266" xr:uid="{E8C6E6C8-00AE-4F10-8037-6E934D7F7E4D}"/>
    <cellStyle name="Output 2 5 4 2 4" xfId="5805" xr:uid="{C9B5F465-13D8-448F-B439-1BD797536EC3}"/>
    <cellStyle name="Output 2 5 4 2 4 2" xfId="11658" xr:uid="{6673876F-2FC5-4E40-8425-1CE4BA834C63}"/>
    <cellStyle name="Output 2 5 4 2 4 2 2" xfId="20704" xr:uid="{1EB184D7-705B-4C73-9A57-6AA3E735A0F4}"/>
    <cellStyle name="Output 2 5 4 2 4 3" xfId="17218" xr:uid="{D426B89C-59FB-41AA-AF5D-ADA1008A6A01}"/>
    <cellStyle name="Output 2 5 4 2 5" xfId="6416" xr:uid="{5FF2310B-AB35-45AC-835A-11E2E380E2A9}"/>
    <cellStyle name="Output 2 5 4 2 5 2" xfId="12263" xr:uid="{1FD7B6CD-9241-4075-A0D6-B7C6731D5B34}"/>
    <cellStyle name="Output 2 5 4 2 5 2 2" xfId="21309" xr:uid="{AE0D77D7-2CAE-45B7-8CF5-BA98F068E7B4}"/>
    <cellStyle name="Output 2 5 4 2 5 3" xfId="17829" xr:uid="{BB39DEE4-23D2-4802-88FC-FD6FA5C590D4}"/>
    <cellStyle name="Output 2 5 4 2 6" xfId="9677" xr:uid="{64D8DF70-8327-49C6-B3DA-0D12351DCF43}"/>
    <cellStyle name="Output 2 5 4 2 6 2" xfId="18723" xr:uid="{2AFFD31B-8050-4E28-B615-220A153631D7}"/>
    <cellStyle name="Output 2 5 4 2 7" xfId="13075" xr:uid="{FA13F66B-685F-443C-997D-33AA77258A06}"/>
    <cellStyle name="Output 2 5 4 2 8" xfId="13632" xr:uid="{565C4251-79BE-4B43-BA6D-C6A1E4DF3D1E}"/>
    <cellStyle name="Output 2 5 4 2 9" xfId="14271" xr:uid="{87C7BADA-A5B6-4A82-BC66-A8BDA01601F8}"/>
    <cellStyle name="Output 2 5 4 3" xfId="3254" xr:uid="{997D7509-105D-464B-93AC-D8028039B9AA}"/>
    <cellStyle name="Output 2 5 4 3 10" xfId="15034" xr:uid="{192FB7B9-D6C5-4F1A-AD14-940F4EAEB8A2}"/>
    <cellStyle name="Output 2 5 4 3 11" xfId="21904" xr:uid="{320FF265-9F6A-4C49-BC42-F0F6BD67F2E0}"/>
    <cellStyle name="Output 2 5 4 3 2" xfId="4477" xr:uid="{F8E3BBA1-27C5-4E68-9620-7242D8FB3E0E}"/>
    <cellStyle name="Output 2 5 4 3 2 2" xfId="10334" xr:uid="{4D131305-23AD-4F26-B742-492064E0A914}"/>
    <cellStyle name="Output 2 5 4 3 2 2 2" xfId="19380" xr:uid="{EEB4E04A-AD0D-44D9-BF72-37B9DE3EA054}"/>
    <cellStyle name="Output 2 5 4 3 2 3" xfId="15894" xr:uid="{D2B2D5D3-944C-448D-922C-91F3273E96E5}"/>
    <cellStyle name="Output 2 5 4 3 2 4" xfId="22560" xr:uid="{B1F03DB2-6C4F-4345-A9E7-FBADB59336E3}"/>
    <cellStyle name="Output 2 5 4 3 3" xfId="4978" xr:uid="{3BE6624D-059A-45F2-9881-DB1CF750F7E6}"/>
    <cellStyle name="Output 2 5 4 3 3 2" xfId="10831" xr:uid="{E74C5517-9B6A-4DA4-9F56-28BC02BDCD2E}"/>
    <cellStyle name="Output 2 5 4 3 3 2 2" xfId="19877" xr:uid="{EBAF36D7-9F02-401D-BBDC-ED3C674617F7}"/>
    <cellStyle name="Output 2 5 4 3 3 3" xfId="16391" xr:uid="{E12605B9-6CB4-41DA-BAD6-440D99C8F1C7}"/>
    <cellStyle name="Output 2 5 4 3 3 4" xfId="23055" xr:uid="{491851F8-E460-4110-AB4B-5D774524F90C}"/>
    <cellStyle name="Output 2 5 4 3 4" xfId="5593" xr:uid="{0350C5D6-2B3C-4DCE-BEA3-7AB92A55A8B1}"/>
    <cellStyle name="Output 2 5 4 3 4 2" xfId="11446" xr:uid="{9B24F3B8-9BF1-47F5-AF7F-3E0B79F3FC0E}"/>
    <cellStyle name="Output 2 5 4 3 4 2 2" xfId="20492" xr:uid="{F7F6580D-D8B4-4882-ADDA-9CD5C5F7EE6B}"/>
    <cellStyle name="Output 2 5 4 3 4 3" xfId="17006" xr:uid="{A6FF1869-A73B-41DC-97E4-F09A68BBE8BF}"/>
    <cellStyle name="Output 2 5 4 3 5" xfId="6204" xr:uid="{2A192055-6894-4CEA-ACF6-327858E6DBC1}"/>
    <cellStyle name="Output 2 5 4 3 5 2" xfId="12051" xr:uid="{9F72FCD3-866E-41F5-8369-34A2EAA715D3}"/>
    <cellStyle name="Output 2 5 4 3 5 2 2" xfId="21097" xr:uid="{D4894FCB-A314-4425-AC6C-D70AC2B5C516}"/>
    <cellStyle name="Output 2 5 4 3 5 3" xfId="17617" xr:uid="{5BDEC971-AAEE-4EB9-8831-8BBD936E5DDE}"/>
    <cellStyle name="Output 2 5 4 3 6" xfId="9465" xr:uid="{7D663D17-DD80-4F37-BF6F-E51E810D5FC1}"/>
    <cellStyle name="Output 2 5 4 3 6 2" xfId="18511" xr:uid="{E658B82C-4BAA-4D53-822E-2DB184C41BD6}"/>
    <cellStyle name="Output 2 5 4 3 7" xfId="12863" xr:uid="{77FA331C-D1EF-442E-BF92-BD05B26A3E05}"/>
    <cellStyle name="Output 2 5 4 3 8" xfId="13421" xr:uid="{329636D4-1A7F-4683-9AAB-91907AF3DD77}"/>
    <cellStyle name="Output 2 5 4 3 9" xfId="14059" xr:uid="{FF71BD79-68A2-4C99-938D-62BC51CDD3A0}"/>
    <cellStyle name="Output 2 5 4 4" xfId="3993" xr:uid="{AC2E619E-097C-4D67-8F90-9A2E57308705}"/>
    <cellStyle name="Output 2 5 4 4 2" xfId="9855" xr:uid="{EE644D2A-CF8A-4A4A-BBAB-999D7CCED4E8}"/>
    <cellStyle name="Output 2 5 4 4 2 2" xfId="18901" xr:uid="{1ECAB172-0D11-4374-B532-9E1FF2941E1B}"/>
    <cellStyle name="Output 2 5 4 4 3" xfId="15417" xr:uid="{D7A1DA44-BDB0-40B8-8976-98AFE95A504A}"/>
    <cellStyle name="Output 2 5 4 4 4" xfId="22840" xr:uid="{F6DEA81E-3741-4437-A3D2-AD4C4CB90537}"/>
    <cellStyle name="Output 2 5 4 5" xfId="4761" xr:uid="{8A7071BF-3C5A-47BF-B7D9-8E009B4B086B}"/>
    <cellStyle name="Output 2 5 4 5 2" xfId="10618" xr:uid="{33F08C45-B410-45FD-9017-3E5BF922500B}"/>
    <cellStyle name="Output 2 5 4 5 2 2" xfId="19664" xr:uid="{E745F9CB-3DB4-45B1-A32C-05DFBF3E614A}"/>
    <cellStyle name="Output 2 5 4 5 3" xfId="16178" xr:uid="{D1C2612F-38B0-451E-B64B-3C01A9B6E323}"/>
    <cellStyle name="Output 2 5 4 6" xfId="5378" xr:uid="{ECCF035F-5681-4C2E-B313-C3CB4E7A6985}"/>
    <cellStyle name="Output 2 5 4 6 2" xfId="11231" xr:uid="{FB5011CE-F036-4E13-BEE6-5F1DC0836AE8}"/>
    <cellStyle name="Output 2 5 4 6 2 2" xfId="20277" xr:uid="{E0743806-34EF-4D57-8D1A-5154FBBD5C83}"/>
    <cellStyle name="Output 2 5 4 6 3" xfId="16791" xr:uid="{5732B3D1-832C-438F-9B26-E021AF41AEA5}"/>
    <cellStyle name="Output 2 5 4 7" xfId="5989" xr:uid="{ABF725E6-99E3-4D99-B607-028B87365869}"/>
    <cellStyle name="Output 2 5 4 7 2" xfId="11840" xr:uid="{DADF24BA-87F2-4396-BFC3-323E637F3BB5}"/>
    <cellStyle name="Output 2 5 4 7 2 2" xfId="20886" xr:uid="{4C9A0305-C047-4438-A048-078E9AA5630E}"/>
    <cellStyle name="Output 2 5 4 7 3" xfId="17402" xr:uid="{148A85E0-ED40-4959-B267-62BF72EFAF37}"/>
    <cellStyle name="Output 2 5 4 8" xfId="9250" xr:uid="{5D554D79-4971-4E12-9908-077646EA59C7}"/>
    <cellStyle name="Output 2 5 4 8 2" xfId="18296" xr:uid="{E7FFC000-A229-4BB4-B9D5-62FD9D12F00D}"/>
    <cellStyle name="Output 2 5 4 9" xfId="12648" xr:uid="{A5CC1F7F-370A-4A19-97A0-EC1F87CEF7F7}"/>
    <cellStyle name="Output 2 5 5" xfId="2634" xr:uid="{2479A01F-89B3-4FBD-BA3F-1F27EE95358C}"/>
    <cellStyle name="Output 2 5 5 10" xfId="13845" xr:uid="{667E8940-1E93-456D-A7E4-9DFB42BFDAF8}"/>
    <cellStyle name="Output 2 5 5 11" xfId="14820" xr:uid="{6505872E-9B2E-425C-88D7-3355B08AE283}"/>
    <cellStyle name="Output 2 5 5 12" xfId="21690" xr:uid="{9F37E1CA-8CE0-4409-9301-86EADDED1F6E}"/>
    <cellStyle name="Output 2 5 5 13" xfId="3066" xr:uid="{7E529696-A8D4-4BEE-9553-1A93ED7C66C3}"/>
    <cellStyle name="Output 2 5 5 2" xfId="3456" xr:uid="{1DC588AC-2E0C-4EE3-B088-D2D53A17A29E}"/>
    <cellStyle name="Output 2 5 5 2 10" xfId="15247" xr:uid="{C843D36F-65A7-4D19-B1D4-CD5D1538F183}"/>
    <cellStyle name="Output 2 5 5 2 11" xfId="22116" xr:uid="{1A986889-776E-4C28-AB19-3598931A6957}"/>
    <cellStyle name="Output 2 5 5 2 2" xfId="4690" xr:uid="{E7E3F13C-F36B-459F-ABD1-B105D3F8A152}"/>
    <cellStyle name="Output 2 5 5 2 2 2" xfId="10547" xr:uid="{45ADCC95-7E16-4148-98DE-00C9ABD4A16B}"/>
    <cellStyle name="Output 2 5 5 2 2 2 2" xfId="19593" xr:uid="{3A6B24A6-283A-4A55-B256-1272B78E269B}"/>
    <cellStyle name="Output 2 5 5 2 2 3" xfId="16107" xr:uid="{67C03E8E-5D8C-415B-A0F0-B9E1CD78B95A}"/>
    <cellStyle name="Output 2 5 5 2 2 4" xfId="22772" xr:uid="{6F4590E7-F4D5-4D94-89C2-F9B44FCFB43F}"/>
    <cellStyle name="Output 2 5 5 2 3" xfId="5191" xr:uid="{2106E873-248D-49E0-8BF4-48FB454ED03B}"/>
    <cellStyle name="Output 2 5 5 2 3 2" xfId="11044" xr:uid="{C461D889-C029-4311-8B70-DF37EEED2D87}"/>
    <cellStyle name="Output 2 5 5 2 3 2 2" xfId="20090" xr:uid="{A14076A8-235B-4D9F-9F41-78713F5056EA}"/>
    <cellStyle name="Output 2 5 5 2 3 3" xfId="16604" xr:uid="{66B7ECE1-DBF4-49E3-A36E-DFAEB2554FC7}"/>
    <cellStyle name="Output 2 5 5 2 3 4" xfId="23267" xr:uid="{C59F76E9-D6A0-4717-899F-F1ED44346BCC}"/>
    <cellStyle name="Output 2 5 5 2 4" xfId="5806" xr:uid="{078ABD8C-9290-4D8B-B17C-0EEAD953DE3D}"/>
    <cellStyle name="Output 2 5 5 2 4 2" xfId="11659" xr:uid="{39975320-A7A6-419F-B378-09FAEF68EC1F}"/>
    <cellStyle name="Output 2 5 5 2 4 2 2" xfId="20705" xr:uid="{3615DDAC-CF0B-4CD8-8427-6A67E28BF134}"/>
    <cellStyle name="Output 2 5 5 2 4 3" xfId="17219" xr:uid="{EFDAED67-11E6-44ED-89BD-EEBF02E9C4E3}"/>
    <cellStyle name="Output 2 5 5 2 5" xfId="6417" xr:uid="{0865862A-EE31-4A0B-B42D-BEA2DBAA6E5B}"/>
    <cellStyle name="Output 2 5 5 2 5 2" xfId="12264" xr:uid="{A3F0B364-9532-48E1-A7E4-A29007528F58}"/>
    <cellStyle name="Output 2 5 5 2 5 2 2" xfId="21310" xr:uid="{0B442EEE-22A5-4D6D-8179-8CBCABD7840A}"/>
    <cellStyle name="Output 2 5 5 2 5 3" xfId="17830" xr:uid="{942299F5-B538-4BAE-BE26-7179C04400A7}"/>
    <cellStyle name="Output 2 5 5 2 6" xfId="9678" xr:uid="{18483D9A-7EFB-45E5-9FF4-5B7196E6F34A}"/>
    <cellStyle name="Output 2 5 5 2 6 2" xfId="18724" xr:uid="{F4BD4863-6297-4C54-BC31-A15664F8051F}"/>
    <cellStyle name="Output 2 5 5 2 7" xfId="13076" xr:uid="{8D49681B-0283-4633-95F3-0DC987FDCC24}"/>
    <cellStyle name="Output 2 5 5 2 8" xfId="13633" xr:uid="{A88CE9FD-B74F-4598-AC68-53042F568D4B}"/>
    <cellStyle name="Output 2 5 5 2 9" xfId="14272" xr:uid="{BE05EE07-58C4-4306-92F6-127A025264A6}"/>
    <cellStyle name="Output 2 5 5 3" xfId="3255" xr:uid="{59565E18-3E1C-4AB3-89AA-32D7A71582BB}"/>
    <cellStyle name="Output 2 5 5 3 10" xfId="15035" xr:uid="{085541D1-1BD3-4FEB-B93D-9F3F3D3131D0}"/>
    <cellStyle name="Output 2 5 5 3 11" xfId="21905" xr:uid="{6FD1E10B-88F1-45CD-82FB-EDCFCEBEFF92}"/>
    <cellStyle name="Output 2 5 5 3 2" xfId="4478" xr:uid="{BAE5B807-D6DE-4D3F-B6AC-1509E1FDE62A}"/>
    <cellStyle name="Output 2 5 5 3 2 2" xfId="10335" xr:uid="{A30CD218-89C4-4353-A953-38223A3D3D82}"/>
    <cellStyle name="Output 2 5 5 3 2 2 2" xfId="19381" xr:uid="{02E231D3-49AC-449A-B2A9-E7828257906E}"/>
    <cellStyle name="Output 2 5 5 3 2 3" xfId="15895" xr:uid="{38E5711E-5EA9-4571-9D64-159D26C318D8}"/>
    <cellStyle name="Output 2 5 5 3 2 4" xfId="22561" xr:uid="{83F14DF2-E1A9-4A10-BD9A-23378B9E067F}"/>
    <cellStyle name="Output 2 5 5 3 3" xfId="4979" xr:uid="{6112B6C5-D083-48A0-A1C4-4CCFA4DB05FA}"/>
    <cellStyle name="Output 2 5 5 3 3 2" xfId="10832" xr:uid="{0DE6E7AE-537C-4A2D-A3A3-9C3158EDBE0A}"/>
    <cellStyle name="Output 2 5 5 3 3 2 2" xfId="19878" xr:uid="{81AA5D7F-B19E-42E2-8284-5890115A3121}"/>
    <cellStyle name="Output 2 5 5 3 3 3" xfId="16392" xr:uid="{8CA26C89-238E-493A-B817-2583D7BE5038}"/>
    <cellStyle name="Output 2 5 5 3 3 4" xfId="23056" xr:uid="{2B81D7AB-7FDC-400B-8FC7-26BF6C6DE1CC}"/>
    <cellStyle name="Output 2 5 5 3 4" xfId="5594" xr:uid="{FA4607E8-A59B-45C5-B82A-E741818A1161}"/>
    <cellStyle name="Output 2 5 5 3 4 2" xfId="11447" xr:uid="{506E3959-D61C-4022-A7A8-A5C5E9E5F49D}"/>
    <cellStyle name="Output 2 5 5 3 4 2 2" xfId="20493" xr:uid="{E91255E9-9EBF-47AC-A4D4-59407FE02BAD}"/>
    <cellStyle name="Output 2 5 5 3 4 3" xfId="17007" xr:uid="{098A874E-31B3-49F6-84EE-7F7ACCCE08C4}"/>
    <cellStyle name="Output 2 5 5 3 5" xfId="6205" xr:uid="{83B803A2-FFC7-4D20-99D5-E81080CBB063}"/>
    <cellStyle name="Output 2 5 5 3 5 2" xfId="12052" xr:uid="{971BE9C0-B3E7-4748-ABE1-A88A094BC8A0}"/>
    <cellStyle name="Output 2 5 5 3 5 2 2" xfId="21098" xr:uid="{67B90A95-18C9-4DF7-AA6C-0E48D1C16087}"/>
    <cellStyle name="Output 2 5 5 3 5 3" xfId="17618" xr:uid="{02D5C871-15DC-45EB-9F53-EB96D1168927}"/>
    <cellStyle name="Output 2 5 5 3 6" xfId="9466" xr:uid="{0BF9DD51-C112-418D-8D4B-2FB35DE1959D}"/>
    <cellStyle name="Output 2 5 5 3 6 2" xfId="18512" xr:uid="{2C7DE831-3090-4218-A5CA-0FCC2F7F53D8}"/>
    <cellStyle name="Output 2 5 5 3 7" xfId="12864" xr:uid="{7EBD54EB-A129-4C41-AA3F-711FD8088B8E}"/>
    <cellStyle name="Output 2 5 5 3 8" xfId="13422" xr:uid="{E2E4AB6A-2940-46EE-88EB-72FA38B005A6}"/>
    <cellStyle name="Output 2 5 5 3 9" xfId="14060" xr:uid="{4313EE35-02ED-4D21-B553-0BF460A79E81}"/>
    <cellStyle name="Output 2 5 5 4" xfId="4762" xr:uid="{1562A43F-96FE-480D-A846-DB46FE6F5D0B}"/>
    <cellStyle name="Output 2 5 5 4 2" xfId="10619" xr:uid="{4967D118-7BE9-4E90-89F0-532310B0761A}"/>
    <cellStyle name="Output 2 5 5 4 2 2" xfId="19665" xr:uid="{F85E5810-4340-443B-B828-61FF1B03A1B9}"/>
    <cellStyle name="Output 2 5 5 4 3" xfId="16179" xr:uid="{5C48B732-DA8C-4B91-9FE5-E3FFEBB05EE3}"/>
    <cellStyle name="Output 2 5 5 4 4" xfId="22841" xr:uid="{1F4C9382-AEBE-4090-9119-23FB5D11A871}"/>
    <cellStyle name="Output 2 5 5 5" xfId="5379" xr:uid="{A43F3B24-2A9A-45C9-B9F4-86DF38F0D158}"/>
    <cellStyle name="Output 2 5 5 5 2" xfId="11232" xr:uid="{9A6D08C4-861C-4116-8BD9-0AB20D3EB2B9}"/>
    <cellStyle name="Output 2 5 5 5 2 2" xfId="20278" xr:uid="{EDB2EFF3-9E5C-41DD-848E-1A0124D85C83}"/>
    <cellStyle name="Output 2 5 5 5 3" xfId="16792" xr:uid="{A73C8E66-FA9D-4916-AFEC-0B6461839329}"/>
    <cellStyle name="Output 2 5 5 6" xfId="5990" xr:uid="{3D18966C-4E80-4D46-8372-5F5BE269DFC7}"/>
    <cellStyle name="Output 2 5 5 6 2" xfId="11841" xr:uid="{A8A9288F-2729-433A-B5FD-B73CB042965B}"/>
    <cellStyle name="Output 2 5 5 6 2 2" xfId="20887" xr:uid="{C51DEBBF-A832-4BBC-8496-051B9C3596DC}"/>
    <cellStyle name="Output 2 5 5 6 3" xfId="17403" xr:uid="{99A24867-627D-4179-852E-C5F301A506E1}"/>
    <cellStyle name="Output 2 5 5 7" xfId="9251" xr:uid="{228A63FA-6E16-4827-9E65-1BCD85C11734}"/>
    <cellStyle name="Output 2 5 5 7 2" xfId="18297" xr:uid="{E60F2E8A-2F32-4D3A-9935-98322BD144C3}"/>
    <cellStyle name="Output 2 5 5 8" xfId="12649" xr:uid="{4B087C48-7AD9-460F-BAC5-4A3B148880D7}"/>
    <cellStyle name="Output 2 5 5 9" xfId="13211" xr:uid="{D2777506-E2E4-46CA-BD9B-5D4F1AF17C57}"/>
    <cellStyle name="Output 2 5 6" xfId="3337" xr:uid="{39A7AFCF-973F-4A5F-8660-C0602C7E3812}"/>
    <cellStyle name="Output 2 5 6 10" xfId="15117" xr:uid="{AA91C37B-B596-436E-8C02-2C16E1EBCD40}"/>
    <cellStyle name="Output 2 5 6 11" xfId="21986" xr:uid="{5323231F-9C62-497D-9169-77789BEAD34B}"/>
    <cellStyle name="Output 2 5 6 2" xfId="4560" xr:uid="{4290084F-7D13-4BDA-944D-59AF4247E4C0}"/>
    <cellStyle name="Output 2 5 6 2 2" xfId="10417" xr:uid="{8975E2C6-5146-4682-9556-CA54A9EE3233}"/>
    <cellStyle name="Output 2 5 6 2 2 2" xfId="19463" xr:uid="{7ABB2503-BF0B-467A-82D2-5C613927D019}"/>
    <cellStyle name="Output 2 5 6 2 3" xfId="15977" xr:uid="{E7C199D2-CF3E-48A2-A043-0BA575B47667}"/>
    <cellStyle name="Output 2 5 6 2 4" xfId="22642" xr:uid="{9E492EBB-71E7-4749-8630-69E7157F1563}"/>
    <cellStyle name="Output 2 5 6 3" xfId="5061" xr:uid="{F4E8A3AE-C19E-43DE-9933-956B28774D49}"/>
    <cellStyle name="Output 2 5 6 3 2" xfId="10914" xr:uid="{311C44F2-7212-4013-B152-AC7FE1268961}"/>
    <cellStyle name="Output 2 5 6 3 2 2" xfId="19960" xr:uid="{2902D917-3344-4F5D-BAF5-538693D0C55A}"/>
    <cellStyle name="Output 2 5 6 3 3" xfId="16474" xr:uid="{ABD1BC80-67C0-45A0-BD18-C1CE6F136839}"/>
    <cellStyle name="Output 2 5 6 3 4" xfId="23137" xr:uid="{2B38B1A7-4DA8-4C4C-877F-6C2E5255B13B}"/>
    <cellStyle name="Output 2 5 6 4" xfId="5676" xr:uid="{90A695A5-BB9F-47DA-A424-020E9666A3A6}"/>
    <cellStyle name="Output 2 5 6 4 2" xfId="11529" xr:uid="{BB67E97C-C577-4C27-9E59-37B53A042DFF}"/>
    <cellStyle name="Output 2 5 6 4 2 2" xfId="20575" xr:uid="{EB708D4A-7EB0-4CA9-870A-63310E5575F0}"/>
    <cellStyle name="Output 2 5 6 4 3" xfId="17089" xr:uid="{51EE8B6C-E079-40B2-AC79-2B99C1510076}"/>
    <cellStyle name="Output 2 5 6 5" xfId="6287" xr:uid="{0981C4E5-2633-484F-8E1D-AF141820F94B}"/>
    <cellStyle name="Output 2 5 6 5 2" xfId="12134" xr:uid="{7C4FC6CB-2FC7-4E1B-A8A9-AA496BB77B4E}"/>
    <cellStyle name="Output 2 5 6 5 2 2" xfId="21180" xr:uid="{D1F001CF-0616-459A-83A4-C5AA6BCF77F0}"/>
    <cellStyle name="Output 2 5 6 5 3" xfId="17700" xr:uid="{7CAD458B-763B-4431-A9E5-6D1655EC7ACC}"/>
    <cellStyle name="Output 2 5 6 6" xfId="9548" xr:uid="{7D675906-8DA3-4187-9FEF-6F890EA85AA7}"/>
    <cellStyle name="Output 2 5 6 6 2" xfId="18594" xr:uid="{48D98E3F-2D06-41CD-B858-4118C691AE79}"/>
    <cellStyle name="Output 2 5 6 7" xfId="12946" xr:uid="{BE4DE1B2-ED0F-443C-8543-A45100357C8D}"/>
    <cellStyle name="Output 2 5 6 8" xfId="13503" xr:uid="{46123BAA-E5AF-467A-A85E-ACA2EAA4A49C}"/>
    <cellStyle name="Output 2 5 6 9" xfId="14142" xr:uid="{CB6F9171-E2CA-488E-BFE2-8F568B1B331F}"/>
    <cellStyle name="Output 2 5 7" xfId="3125" xr:uid="{1EE78311-43BB-41B3-97F0-F4C8E66A7022}"/>
    <cellStyle name="Output 2 5 7 10" xfId="14905" xr:uid="{D06030BF-2E35-49CC-8CC5-4ABA37F14A1C}"/>
    <cellStyle name="Output 2 5 7 11" xfId="21773" xr:uid="{25BCCAD5-C9EA-4529-94C7-4FA5513F5F0B}"/>
    <cellStyle name="Output 2 5 7 2" xfId="4346" xr:uid="{A444B3CA-1ECC-400D-839C-FA00AB4CB23D}"/>
    <cellStyle name="Output 2 5 7 2 2" xfId="10203" xr:uid="{580D1138-7EAA-42EC-B62E-A95503AA036A}"/>
    <cellStyle name="Output 2 5 7 2 2 2" xfId="19249" xr:uid="{0073B258-2160-42B0-B8C4-BFBF5D1C450A}"/>
    <cellStyle name="Output 2 5 7 2 3" xfId="15763" xr:uid="{007F7675-5E2F-46B8-99DD-DA9BFCF6FCE0}"/>
    <cellStyle name="Output 2 5 7 2 4" xfId="22429" xr:uid="{EBCB8CDD-F4E8-4B6D-95A4-8459DBAE945E}"/>
    <cellStyle name="Output 2 5 7 3" xfId="4847" xr:uid="{FD93714F-81D5-4E3D-BBA9-76DD1771E273}"/>
    <cellStyle name="Output 2 5 7 3 2" xfId="10702" xr:uid="{18B2E46F-3E16-429D-A69A-6D7EC34F27AF}"/>
    <cellStyle name="Output 2 5 7 3 2 2" xfId="19748" xr:uid="{1C2784F0-ADBE-40DF-BDEB-DFE07151940A}"/>
    <cellStyle name="Output 2 5 7 3 3" xfId="16262" xr:uid="{F9130224-04BA-4C06-BF39-D2EA383AD6ED}"/>
    <cellStyle name="Output 2 5 7 3 4" xfId="22924" xr:uid="{013976EF-816A-433C-8297-47A6F58D9BC2}"/>
    <cellStyle name="Output 2 5 7 4" xfId="5462" xr:uid="{8F609E30-17F5-4225-9570-FC8ACF417163}"/>
    <cellStyle name="Output 2 5 7 4 2" xfId="11315" xr:uid="{1C2601D3-EE62-4B78-96CD-6FDDCA03A6F7}"/>
    <cellStyle name="Output 2 5 7 4 2 2" xfId="20361" xr:uid="{92DF276C-BA23-4838-B4D0-BEF3611A376A}"/>
    <cellStyle name="Output 2 5 7 4 3" xfId="16875" xr:uid="{3CB43B1B-1E91-4EE7-A337-4FF554D08268}"/>
    <cellStyle name="Output 2 5 7 5" xfId="6073" xr:uid="{5BD5BFA5-17D7-4D62-84D1-E39A44C11777}"/>
    <cellStyle name="Output 2 5 7 5 2" xfId="11922" xr:uid="{9A9B71F0-5D74-4FC3-8AA3-4A8D0A39BFD7}"/>
    <cellStyle name="Output 2 5 7 5 2 2" xfId="20968" xr:uid="{ABD8ED71-1B27-4DE2-A953-F7AED6E9BC54}"/>
    <cellStyle name="Output 2 5 7 5 3" xfId="17486" xr:uid="{4006893F-F94D-47A3-8656-FCF93532B283}"/>
    <cellStyle name="Output 2 5 7 6" xfId="9336" xr:uid="{D7AA321B-18A2-4258-AB11-08416E48F641}"/>
    <cellStyle name="Output 2 5 7 6 2" xfId="18382" xr:uid="{2F8B7751-8D80-434B-8FA7-CE18B02F02F3}"/>
    <cellStyle name="Output 2 5 7 7" xfId="12732" xr:uid="{A4A894FE-010E-412A-B648-344A35BD046E}"/>
    <cellStyle name="Output 2 5 7 8" xfId="13292" xr:uid="{8233F4DF-C792-4596-B16E-AEF15CDCD438}"/>
    <cellStyle name="Output 2 5 7 9" xfId="13928" xr:uid="{DECA4AAC-DFE4-44E6-A4ED-523163EFCFED}"/>
    <cellStyle name="Output 2 5 8" xfId="3725" xr:uid="{EBF8AFA5-6AA0-4CB1-B654-0E9F4910CE10}"/>
    <cellStyle name="Output 2 5 8 2" xfId="9767" xr:uid="{6C49C07C-3375-4C68-BEAC-FB3CFE6B57FD}"/>
    <cellStyle name="Output 2 5 8 2 2" xfId="18813" xr:uid="{DC669AC6-7FA7-4EB1-87B4-A00E969785D9}"/>
    <cellStyle name="Output 2 5 8 3" xfId="15333" xr:uid="{B6DAF491-33F8-4443-B8C1-1A42B806B29F}"/>
    <cellStyle name="Output 2 5 8 4" xfId="22312" xr:uid="{5C688092-0D3D-4408-BB7B-3246D394C648}"/>
    <cellStyle name="Output 2 5 9" xfId="4209" xr:uid="{FC633674-0F49-4AF2-A4BC-38FCACE5E62D}"/>
    <cellStyle name="Output 2 5 9 2" xfId="10066" xr:uid="{42FBCED1-3A3F-4F89-B4A5-5074489D1E3D}"/>
    <cellStyle name="Output 2 5 9 2 2" xfId="19112" xr:uid="{D5EC3843-2E46-40DF-9B81-A977D816E49D}"/>
    <cellStyle name="Output 2 5 9 3" xfId="15626" xr:uid="{65140BC1-CAC4-44CE-BAA2-612D0A501365}"/>
    <cellStyle name="Output 2 5 9 4" xfId="22272" xr:uid="{47699480-C89C-4288-9A29-9D19764F7014}"/>
    <cellStyle name="Output 2 6" xfId="2429" xr:uid="{4C7ADF70-2413-40FA-93C8-FD6E5E97B430}"/>
    <cellStyle name="Output 2 6 10" xfId="4273" xr:uid="{979A1231-86F3-465D-A465-3B2E9E7DDFA9}"/>
    <cellStyle name="Output 2 6 10 2" xfId="10130" xr:uid="{41C74668-8BE5-4191-AE77-EB6D730F8A7C}"/>
    <cellStyle name="Output 2 6 10 2 2" xfId="19176" xr:uid="{923A4327-EA01-4C27-B0CE-9831197C4369}"/>
    <cellStyle name="Output 2 6 10 3" xfId="15690" xr:uid="{AE08A199-59EB-4805-B858-B8443B87DBDE}"/>
    <cellStyle name="Output 2 6 11" xfId="4318" xr:uid="{A4613A77-ABE3-4D85-BEF0-2D5059D0C205}"/>
    <cellStyle name="Output 2 6 11 2" xfId="10175" xr:uid="{23491D52-0542-4644-B4D8-6DB1B4F6B5AB}"/>
    <cellStyle name="Output 2 6 11 2 2" xfId="19221" xr:uid="{B0AB5F34-854C-47B5-BCAC-2EF52DD2DFF5}"/>
    <cellStyle name="Output 2 6 11 3" xfId="15735" xr:uid="{EB79DEBD-D709-4829-9259-BE84CD124698}"/>
    <cellStyle name="Output 2 6 12" xfId="4271" xr:uid="{98C97021-163C-4C1D-B6F4-62FBA334C55F}"/>
    <cellStyle name="Output 2 6 12 2" xfId="10128" xr:uid="{040201E4-A6D5-472C-960E-CC7D6D3B2E36}"/>
    <cellStyle name="Output 2 6 12 2 2" xfId="19174" xr:uid="{765B9E60-691E-4FD1-8B48-A76B3E2B2356}"/>
    <cellStyle name="Output 2 6 12 3" xfId="15688" xr:uid="{EFF8A89F-2288-48AC-A4B3-53C93A30F3F3}"/>
    <cellStyle name="Output 2 6 13" xfId="9120" xr:uid="{8487577A-A6CF-43CF-A585-7B3765E388B1}"/>
    <cellStyle name="Output 2 6 13 2" xfId="18166" xr:uid="{123C2DBB-613B-497D-ACE3-C98B5C255C73}"/>
    <cellStyle name="Output 2 6 14" xfId="12520" xr:uid="{C0470073-84C5-4AE9-8359-5C46DD334C06}"/>
    <cellStyle name="Output 2 6 15" xfId="13714" xr:uid="{E9306FBF-36C2-4C83-9368-9549BC08A329}"/>
    <cellStyle name="Output 2 6 16" xfId="14689" xr:uid="{38E8B58F-F792-45D9-944C-7D7B000BE334}"/>
    <cellStyle name="Output 2 6 17" xfId="21561" xr:uid="{DA724B24-9812-4B14-8324-64FACB0DA479}"/>
    <cellStyle name="Output 2 6 18" xfId="23778" xr:uid="{09D9A4D9-3DF2-4319-9C9A-AC6143802B03}"/>
    <cellStyle name="Output 2 6 2" xfId="2430" xr:uid="{EDDE41D4-18A2-4FF6-9E4D-C0E48E701063}"/>
    <cellStyle name="Output 2 6 2 10" xfId="5895" xr:uid="{77912180-F1A5-46C9-BEA5-A0887724EC5D}"/>
    <cellStyle name="Output 2 6 2 10 2" xfId="11748" xr:uid="{4986B774-4768-4C58-BC9D-BB479FA2BE27}"/>
    <cellStyle name="Output 2 6 2 10 2 2" xfId="20794" xr:uid="{EA658EE0-517E-4353-8F2B-97328B3099D0}"/>
    <cellStyle name="Output 2 6 2 10 3" xfId="17308" xr:uid="{7266214D-32C4-4430-85C8-751312E6D3E0}"/>
    <cellStyle name="Output 2 6 2 11" xfId="9158" xr:uid="{1ABB8885-3F09-43C4-8484-E8ED4D729FD1}"/>
    <cellStyle name="Output 2 6 2 11 2" xfId="18204" xr:uid="{8DB97084-9CC1-453C-A23B-BCD340F2129A}"/>
    <cellStyle name="Output 2 6 2 12" xfId="12556" xr:uid="{D280B1C2-CE1F-4807-A10B-AA1C114BB0C5}"/>
    <cellStyle name="Output 2 6 2 13" xfId="13750" xr:uid="{E22E35F7-AD20-4EF6-AC58-707BCB5C6EBD}"/>
    <cellStyle name="Output 2 6 2 14" xfId="14727" xr:uid="{0F0DA1B0-9A49-4FF5-B553-63EBA9ED0CB4}"/>
    <cellStyle name="Output 2 6 2 15" xfId="21597" xr:uid="{CC44BD86-8E1D-46D0-9EA8-1FAF57C0FE18}"/>
    <cellStyle name="Output 2 6 2 16" xfId="23779" xr:uid="{31512060-3194-4265-AB6C-C5FFF2F312A4}"/>
    <cellStyle name="Output 2 6 2 2" xfId="2431" xr:uid="{EF2F5692-61DA-4952-9AFC-A7E11D2065B2}"/>
    <cellStyle name="Output 2 6 2 2 10" xfId="13212" xr:uid="{F1D88DD9-60F2-4568-B50A-CC9A8B99D155}"/>
    <cellStyle name="Output 2 6 2 2 11" xfId="13846" xr:uid="{630B4FDB-1AA5-4991-A140-631B570024E1}"/>
    <cellStyle name="Output 2 6 2 2 12" xfId="14821" xr:uid="{F1B235CC-619D-411E-9053-B203D3210E03}"/>
    <cellStyle name="Output 2 6 2 2 13" xfId="21691" xr:uid="{4284CE99-4726-4F98-A5CE-C64C63911F14}"/>
    <cellStyle name="Output 2 6 2 2 2" xfId="2626" xr:uid="{00B32930-711C-469B-A449-A78B66FB85B8}"/>
    <cellStyle name="Output 2 6 2 2 2 10" xfId="15248" xr:uid="{A1FF869C-1AA5-46A9-9CFF-EFAD74B44E6F}"/>
    <cellStyle name="Output 2 6 2 2 2 11" xfId="22117" xr:uid="{8F2EC015-17AD-4E0F-AAB7-5C33BC3D7278}"/>
    <cellStyle name="Output 2 6 2 2 2 12" xfId="3457" xr:uid="{E17A3207-2304-4A39-8CAF-AC43731EF8D9}"/>
    <cellStyle name="Output 2 6 2 2 2 2" xfId="4691" xr:uid="{2DA86E29-2BC9-4CE2-A5A4-8B601B462AD4}"/>
    <cellStyle name="Output 2 6 2 2 2 2 2" xfId="10548" xr:uid="{120D3CE3-533A-40BB-BCA0-E05332A74654}"/>
    <cellStyle name="Output 2 6 2 2 2 2 2 2" xfId="19594" xr:uid="{5D41CFAA-4267-4BD5-BCE5-7EC055DE20ED}"/>
    <cellStyle name="Output 2 6 2 2 2 2 3" xfId="16108" xr:uid="{5FEFD04B-52A8-40B3-ABAE-F64D56707780}"/>
    <cellStyle name="Output 2 6 2 2 2 2 4" xfId="22773" xr:uid="{13EAE03A-2ECB-4EFF-9297-17F22F540F72}"/>
    <cellStyle name="Output 2 6 2 2 2 3" xfId="5192" xr:uid="{06AA69CC-9C8D-444A-A450-8F3CA13D5C1A}"/>
    <cellStyle name="Output 2 6 2 2 2 3 2" xfId="11045" xr:uid="{7E036A3E-20C1-4FFD-8071-351704A1A7C3}"/>
    <cellStyle name="Output 2 6 2 2 2 3 2 2" xfId="20091" xr:uid="{D353E62D-D0F4-4A7D-BE4F-1B656DE2D53F}"/>
    <cellStyle name="Output 2 6 2 2 2 3 3" xfId="16605" xr:uid="{9FB3C0DC-4B28-41DE-A1C1-AA6AAE454A0F}"/>
    <cellStyle name="Output 2 6 2 2 2 3 4" xfId="23268" xr:uid="{ABBE0A68-F33E-4767-9AC0-072495172F9A}"/>
    <cellStyle name="Output 2 6 2 2 2 4" xfId="5807" xr:uid="{35650F12-A137-499A-A988-B327EACFC555}"/>
    <cellStyle name="Output 2 6 2 2 2 4 2" xfId="11660" xr:uid="{2BCCA391-5CD2-41F5-BA17-D3AEEF4C9F29}"/>
    <cellStyle name="Output 2 6 2 2 2 4 2 2" xfId="20706" xr:uid="{AE0796EB-048D-48AF-BDDE-F878A8DB53C9}"/>
    <cellStyle name="Output 2 6 2 2 2 4 3" xfId="17220" xr:uid="{C64E71B0-59C2-4C62-B92E-A806BE897016}"/>
    <cellStyle name="Output 2 6 2 2 2 5" xfId="6418" xr:uid="{0EA89D7B-1ED3-4EB7-B7BB-EE46BED5EC13}"/>
    <cellStyle name="Output 2 6 2 2 2 5 2" xfId="12265" xr:uid="{8199E2DA-8188-4D44-8A8B-023491091770}"/>
    <cellStyle name="Output 2 6 2 2 2 5 2 2" xfId="21311" xr:uid="{3D3ED915-B8B0-4F89-812B-6FFBF24292E7}"/>
    <cellStyle name="Output 2 6 2 2 2 5 3" xfId="17831" xr:uid="{DC8E4855-A86F-461D-9FAF-23164AD435FC}"/>
    <cellStyle name="Output 2 6 2 2 2 6" xfId="9679" xr:uid="{E9D57D83-CBD3-48BA-B74A-915E4686766C}"/>
    <cellStyle name="Output 2 6 2 2 2 6 2" xfId="18725" xr:uid="{8A4052CF-B427-4D49-9441-D467C6EA8349}"/>
    <cellStyle name="Output 2 6 2 2 2 7" xfId="13077" xr:uid="{8B6AFB3A-0FD6-45C0-917F-D5519702CBA0}"/>
    <cellStyle name="Output 2 6 2 2 2 8" xfId="13634" xr:uid="{9F1F99A6-75AD-448D-AA0F-461FD3660B07}"/>
    <cellStyle name="Output 2 6 2 2 2 9" xfId="14273" xr:uid="{3C57418A-484C-4E10-94CE-8069D3C8D0EE}"/>
    <cellStyle name="Output 2 6 2 2 3" xfId="3256" xr:uid="{A9E840C0-8760-43E3-A83A-C17BDFD5F339}"/>
    <cellStyle name="Output 2 6 2 2 3 10" xfId="15036" xr:uid="{0C834AB6-8907-4364-B191-13EE12852FEF}"/>
    <cellStyle name="Output 2 6 2 2 3 11" xfId="21906" xr:uid="{DAA081E2-7D88-4DFB-A8F7-B756656974B6}"/>
    <cellStyle name="Output 2 6 2 2 3 2" xfId="4479" xr:uid="{EA8CE6B2-0269-4B64-A61E-7F39CFD91DAA}"/>
    <cellStyle name="Output 2 6 2 2 3 2 2" xfId="10336" xr:uid="{36F4296A-4689-4819-A573-45907CEDE716}"/>
    <cellStyle name="Output 2 6 2 2 3 2 2 2" xfId="19382" xr:uid="{D966C6DD-E29A-4966-AA6D-E9CD26D0DD98}"/>
    <cellStyle name="Output 2 6 2 2 3 2 3" xfId="15896" xr:uid="{1F5BEF59-4449-43CA-AC6D-299B8801FB25}"/>
    <cellStyle name="Output 2 6 2 2 3 2 4" xfId="22562" xr:uid="{ED58851F-6A3C-40E1-AAC2-A53466061F64}"/>
    <cellStyle name="Output 2 6 2 2 3 3" xfId="4980" xr:uid="{A42B6E11-2788-4D49-B92D-AEDFAB153808}"/>
    <cellStyle name="Output 2 6 2 2 3 3 2" xfId="10833" xr:uid="{343F6421-6A54-47B2-A84A-63B54C4708FA}"/>
    <cellStyle name="Output 2 6 2 2 3 3 2 2" xfId="19879" xr:uid="{A359B8BE-54E1-44EB-B213-793D51D8EECB}"/>
    <cellStyle name="Output 2 6 2 2 3 3 3" xfId="16393" xr:uid="{E65ECAF3-441A-4493-85EC-9CE1BA312345}"/>
    <cellStyle name="Output 2 6 2 2 3 3 4" xfId="23057" xr:uid="{270F02CF-B76F-4F16-A0B8-211F161E5D3D}"/>
    <cellStyle name="Output 2 6 2 2 3 4" xfId="5595" xr:uid="{B75313BD-7DC5-4CB2-BBA4-4F4133886113}"/>
    <cellStyle name="Output 2 6 2 2 3 4 2" xfId="11448" xr:uid="{50359AB3-75A1-438F-AF10-F2E7404F0734}"/>
    <cellStyle name="Output 2 6 2 2 3 4 2 2" xfId="20494" xr:uid="{7D58536C-6D02-48BD-A3EC-0F027BC0D715}"/>
    <cellStyle name="Output 2 6 2 2 3 4 3" xfId="17008" xr:uid="{4ED5565C-FC77-4522-ABE6-09EEA904AC55}"/>
    <cellStyle name="Output 2 6 2 2 3 5" xfId="6206" xr:uid="{18D0A8F6-E1B6-4100-98C9-EC029E33E37B}"/>
    <cellStyle name="Output 2 6 2 2 3 5 2" xfId="12053" xr:uid="{71216E18-7932-4963-93D7-F790F4120BC1}"/>
    <cellStyle name="Output 2 6 2 2 3 5 2 2" xfId="21099" xr:uid="{2B42BB22-EEBD-4CC6-87C8-04380AFF2169}"/>
    <cellStyle name="Output 2 6 2 2 3 5 3" xfId="17619" xr:uid="{4A9F37E1-A280-45E7-889B-52D425028EBB}"/>
    <cellStyle name="Output 2 6 2 2 3 6" xfId="9467" xr:uid="{D8BE363F-0631-432F-A9F9-A89D3EB29847}"/>
    <cellStyle name="Output 2 6 2 2 3 6 2" xfId="18513" xr:uid="{B5BA3BF9-D072-44F2-AF5E-3A0C5AF07997}"/>
    <cellStyle name="Output 2 6 2 2 3 7" xfId="12865" xr:uid="{4B8D4010-9C38-4A9A-9683-589D95D94FA3}"/>
    <cellStyle name="Output 2 6 2 2 3 8" xfId="13423" xr:uid="{29727CF6-7B37-4E69-88C6-B3E146CDF4F9}"/>
    <cellStyle name="Output 2 6 2 2 3 9" xfId="14061" xr:uid="{A98A40BC-7DE3-48FE-AB7A-F5990A137169}"/>
    <cellStyle name="Output 2 6 2 2 4" xfId="4031" xr:uid="{5ECF5C7C-BC3B-43D5-8788-EBE1D2AA37AD}"/>
    <cellStyle name="Output 2 6 2 2 4 2" xfId="9893" xr:uid="{7F00C5FB-B81A-44AE-A303-4A70C346B5B2}"/>
    <cellStyle name="Output 2 6 2 2 4 2 2" xfId="18939" xr:uid="{163BA9DC-6CDB-427C-A87D-26D6E1FEDDE4}"/>
    <cellStyle name="Output 2 6 2 2 4 3" xfId="15455" xr:uid="{D46596FA-B085-4FCF-B824-45A459E3D1B7}"/>
    <cellStyle name="Output 2 6 2 2 4 4" xfId="22842" xr:uid="{58E8329A-0DFB-4EA0-BA2C-94F5DEAE452E}"/>
    <cellStyle name="Output 2 6 2 2 5" xfId="4763" xr:uid="{11D2CE13-595D-4AC2-8F37-354BE0A0B60E}"/>
    <cellStyle name="Output 2 6 2 2 5 2" xfId="10620" xr:uid="{AD807C2F-B3EE-410B-B209-0437A90ECAD5}"/>
    <cellStyle name="Output 2 6 2 2 5 2 2" xfId="19666" xr:uid="{AA76C80E-68A2-45D6-8B3B-96E99DB1F871}"/>
    <cellStyle name="Output 2 6 2 2 5 3" xfId="16180" xr:uid="{F6590A31-0E88-406A-9ACF-9FF0E598C497}"/>
    <cellStyle name="Output 2 6 2 2 6" xfId="5380" xr:uid="{F8E28DB0-B3AF-4FED-8BAD-038BF9B7638A}"/>
    <cellStyle name="Output 2 6 2 2 6 2" xfId="11233" xr:uid="{2352F1C2-AB6E-47D4-B5C7-07B9185BDF24}"/>
    <cellStyle name="Output 2 6 2 2 6 2 2" xfId="20279" xr:uid="{40FA386D-94FA-4630-84EE-41362DAA0EA6}"/>
    <cellStyle name="Output 2 6 2 2 6 3" xfId="16793" xr:uid="{6A29972C-79C1-4289-BC1D-95177B937D78}"/>
    <cellStyle name="Output 2 6 2 2 7" xfId="5991" xr:uid="{EE290284-7302-4EFA-B04A-ACEE498D4D3F}"/>
    <cellStyle name="Output 2 6 2 2 7 2" xfId="11842" xr:uid="{33A3888C-B45D-456C-B450-877552A3DA5D}"/>
    <cellStyle name="Output 2 6 2 2 7 2 2" xfId="20888" xr:uid="{C4641A06-BE77-4160-B910-4CE01944B435}"/>
    <cellStyle name="Output 2 6 2 2 7 3" xfId="17404" xr:uid="{56A7BA2A-3B68-40A5-9A17-A7FDE999FE02}"/>
    <cellStyle name="Output 2 6 2 2 8" xfId="9252" xr:uid="{9E263156-FF78-4297-8D58-9BCEAC42D58A}"/>
    <cellStyle name="Output 2 6 2 2 8 2" xfId="18298" xr:uid="{23DEDD6D-9FBA-479C-BC29-01804178B180}"/>
    <cellStyle name="Output 2 6 2 2 9" xfId="12650" xr:uid="{23FFDC06-B072-48A1-B17C-84DF114530C6}"/>
    <cellStyle name="Output 2 6 2 3" xfId="2627" xr:uid="{91FE6475-200E-41E4-BA4D-AC532DADAB26}"/>
    <cellStyle name="Output 2 6 2 3 10" xfId="13847" xr:uid="{3EE4E468-1AAC-44A9-B509-98EBD5C2FB7A}"/>
    <cellStyle name="Output 2 6 2 3 11" xfId="14822" xr:uid="{62408336-8752-4852-85AD-99B058E08657}"/>
    <cellStyle name="Output 2 6 2 3 12" xfId="21692" xr:uid="{0EA18A5B-2B69-47E1-85AC-DEA8CEB766F3}"/>
    <cellStyle name="Output 2 6 2 3 13" xfId="3067" xr:uid="{72543FAB-C091-4765-AD46-ADFF13522EEB}"/>
    <cellStyle name="Output 2 6 2 3 2" xfId="3458" xr:uid="{43880D13-5F52-426C-91CB-964DFE0BFD7B}"/>
    <cellStyle name="Output 2 6 2 3 2 10" xfId="15249" xr:uid="{D76566C8-9F32-4378-BD7B-B69C2DF13714}"/>
    <cellStyle name="Output 2 6 2 3 2 11" xfId="22118" xr:uid="{5C1B8343-9E5F-4BCD-89FD-BF7A82F23020}"/>
    <cellStyle name="Output 2 6 2 3 2 2" xfId="4692" xr:uid="{F74B6E69-6E74-40C5-80CB-FF44F034A249}"/>
    <cellStyle name="Output 2 6 2 3 2 2 2" xfId="10549" xr:uid="{D0781430-F5C9-4DAA-9BCA-05FCE06020BF}"/>
    <cellStyle name="Output 2 6 2 3 2 2 2 2" xfId="19595" xr:uid="{07E7B304-D276-420F-BF04-D08411E85E74}"/>
    <cellStyle name="Output 2 6 2 3 2 2 3" xfId="16109" xr:uid="{0BD21472-C0B5-4C24-AB82-EC5CD86A4A56}"/>
    <cellStyle name="Output 2 6 2 3 2 2 4" xfId="22774" xr:uid="{0666454F-3AB3-4A7E-AEE4-BF9EBE2521F4}"/>
    <cellStyle name="Output 2 6 2 3 2 3" xfId="5193" xr:uid="{173962A4-E0F2-43E9-B1AE-1D7BA6E7EE89}"/>
    <cellStyle name="Output 2 6 2 3 2 3 2" xfId="11046" xr:uid="{C0650A79-891C-49BC-93F7-E86C673C6396}"/>
    <cellStyle name="Output 2 6 2 3 2 3 2 2" xfId="20092" xr:uid="{A9C6D25B-ECA3-4EFF-9DD8-408ADEEAEA7A}"/>
    <cellStyle name="Output 2 6 2 3 2 3 3" xfId="16606" xr:uid="{507F0C3B-8A1D-4BAB-8504-CC592076F81D}"/>
    <cellStyle name="Output 2 6 2 3 2 3 4" xfId="23269" xr:uid="{1452267C-DB76-4568-AC63-D622675B2244}"/>
    <cellStyle name="Output 2 6 2 3 2 4" xfId="5808" xr:uid="{F5A2A241-0975-4CD8-A333-F9BBD4019325}"/>
    <cellStyle name="Output 2 6 2 3 2 4 2" xfId="11661" xr:uid="{2736D4BC-02C3-4CE4-95EF-040467C7926E}"/>
    <cellStyle name="Output 2 6 2 3 2 4 2 2" xfId="20707" xr:uid="{6A40B780-ED13-4A34-B199-823564BF1568}"/>
    <cellStyle name="Output 2 6 2 3 2 4 3" xfId="17221" xr:uid="{32E55977-A262-4E59-8E73-C602023D41A3}"/>
    <cellStyle name="Output 2 6 2 3 2 5" xfId="6419" xr:uid="{2E612CF7-FF94-4227-916D-F7007D5B37BA}"/>
    <cellStyle name="Output 2 6 2 3 2 5 2" xfId="12266" xr:uid="{B8EADD42-8FF5-4D46-A2FE-7196257A75D7}"/>
    <cellStyle name="Output 2 6 2 3 2 5 2 2" xfId="21312" xr:uid="{BD4B2EB0-2F12-4771-8516-A1A81E0A0EB6}"/>
    <cellStyle name="Output 2 6 2 3 2 5 3" xfId="17832" xr:uid="{912A1528-63F5-45A5-81E6-862C77C6B45A}"/>
    <cellStyle name="Output 2 6 2 3 2 6" xfId="9680" xr:uid="{DCCA2662-FE4D-46CA-AF81-912104B7F778}"/>
    <cellStyle name="Output 2 6 2 3 2 6 2" xfId="18726" xr:uid="{DBF01197-FE36-4E14-827C-A34939144834}"/>
    <cellStyle name="Output 2 6 2 3 2 7" xfId="13078" xr:uid="{C4864C68-344F-499F-9104-DB903B2A1114}"/>
    <cellStyle name="Output 2 6 2 3 2 8" xfId="13635" xr:uid="{5701E1DB-2D23-4022-BF0E-8A7DECDF18A1}"/>
    <cellStyle name="Output 2 6 2 3 2 9" xfId="14274" xr:uid="{1D9A2A77-22A4-4A00-AC3F-DF8CCF8775FB}"/>
    <cellStyle name="Output 2 6 2 3 3" xfId="3257" xr:uid="{EE820617-4AF9-45C1-97D4-C208EDA25E50}"/>
    <cellStyle name="Output 2 6 2 3 3 10" xfId="15037" xr:uid="{3DD084FF-925A-410A-BDAE-928810D94E2C}"/>
    <cellStyle name="Output 2 6 2 3 3 11" xfId="21907" xr:uid="{264A28E6-2636-4F10-A439-EC0C4CE9ACD3}"/>
    <cellStyle name="Output 2 6 2 3 3 2" xfId="4480" xr:uid="{8832A3FC-9BFC-47B9-AEF4-8B182D19BBCF}"/>
    <cellStyle name="Output 2 6 2 3 3 2 2" xfId="10337" xr:uid="{30CED937-C507-4BD9-B16C-7B9FAED59891}"/>
    <cellStyle name="Output 2 6 2 3 3 2 2 2" xfId="19383" xr:uid="{C94F4C59-6C78-491C-AE1E-0E50CC33C4FB}"/>
    <cellStyle name="Output 2 6 2 3 3 2 3" xfId="15897" xr:uid="{CCA4888A-9047-4E4C-90D6-FAC5200F360C}"/>
    <cellStyle name="Output 2 6 2 3 3 2 4" xfId="22563" xr:uid="{8FF89800-BFD2-4C96-8E3F-E816C1A58CF3}"/>
    <cellStyle name="Output 2 6 2 3 3 3" xfId="4981" xr:uid="{8B5BE775-27B9-4531-A960-836882173AF6}"/>
    <cellStyle name="Output 2 6 2 3 3 3 2" xfId="10834" xr:uid="{BE047211-57C0-445A-AF83-607838EE0F69}"/>
    <cellStyle name="Output 2 6 2 3 3 3 2 2" xfId="19880" xr:uid="{FDA05A5A-9C9E-48C4-AD2A-77CD99A90A6A}"/>
    <cellStyle name="Output 2 6 2 3 3 3 3" xfId="16394" xr:uid="{B7DC24ED-90BD-4B71-B1CB-5B8B15EB032E}"/>
    <cellStyle name="Output 2 6 2 3 3 3 4" xfId="23058" xr:uid="{956C6560-94B8-40F3-AD4C-9AB00E1D870B}"/>
    <cellStyle name="Output 2 6 2 3 3 4" xfId="5596" xr:uid="{D597E68A-8F0A-400F-81D2-F8030DDEF0A6}"/>
    <cellStyle name="Output 2 6 2 3 3 4 2" xfId="11449" xr:uid="{1C91CA85-2D33-4E40-9A47-FEA1835E0D6C}"/>
    <cellStyle name="Output 2 6 2 3 3 4 2 2" xfId="20495" xr:uid="{C1373806-7A9E-47F8-877D-7D9363EC1581}"/>
    <cellStyle name="Output 2 6 2 3 3 4 3" xfId="17009" xr:uid="{E7180B0C-84EB-401E-864E-509852B2FD73}"/>
    <cellStyle name="Output 2 6 2 3 3 5" xfId="6207" xr:uid="{2F0AAEF4-163D-4EFC-8521-CFF9A1D02204}"/>
    <cellStyle name="Output 2 6 2 3 3 5 2" xfId="12054" xr:uid="{3CAF9998-4B1C-4558-B2DA-E56D3780B29E}"/>
    <cellStyle name="Output 2 6 2 3 3 5 2 2" xfId="21100" xr:uid="{A6D06D52-BA52-417C-8F5F-F5CB72B8E24E}"/>
    <cellStyle name="Output 2 6 2 3 3 5 3" xfId="17620" xr:uid="{7912AAFD-CE5D-42F8-B4D3-AC957B358388}"/>
    <cellStyle name="Output 2 6 2 3 3 6" xfId="9468" xr:uid="{597B1510-0E56-4507-9F9C-5251CA6B2EE9}"/>
    <cellStyle name="Output 2 6 2 3 3 6 2" xfId="18514" xr:uid="{52ADDAE6-FECC-4643-AE91-5DF9C573905D}"/>
    <cellStyle name="Output 2 6 2 3 3 7" xfId="12866" xr:uid="{A2F318B1-4AC5-4123-BD11-EC6D056B9257}"/>
    <cellStyle name="Output 2 6 2 3 3 8" xfId="13424" xr:uid="{F78842AB-48B5-4B17-A5A0-786186C2821D}"/>
    <cellStyle name="Output 2 6 2 3 3 9" xfId="14062" xr:uid="{8C836A06-712D-424E-8ED4-EE56119EB7A8}"/>
    <cellStyle name="Output 2 6 2 3 4" xfId="4764" xr:uid="{8FDF8F68-603C-4A1E-BC42-7AB1DA6370BE}"/>
    <cellStyle name="Output 2 6 2 3 4 2" xfId="10621" xr:uid="{861BD26A-1212-47E6-97DC-98A3460A6EBE}"/>
    <cellStyle name="Output 2 6 2 3 4 2 2" xfId="19667" xr:uid="{33F04971-000F-4185-A74A-00479E3A0793}"/>
    <cellStyle name="Output 2 6 2 3 4 3" xfId="16181" xr:uid="{F856E82F-D6B8-4457-AD9C-F8F36871C00B}"/>
    <cellStyle name="Output 2 6 2 3 4 4" xfId="22843" xr:uid="{8C13748B-B543-4AC7-A2AB-2152B6AA78EB}"/>
    <cellStyle name="Output 2 6 2 3 5" xfId="5381" xr:uid="{12E6F563-E9FC-43E9-AB16-80F637A34F3B}"/>
    <cellStyle name="Output 2 6 2 3 5 2" xfId="11234" xr:uid="{8D8AB835-C1CB-4877-A32D-D7D055BDB63E}"/>
    <cellStyle name="Output 2 6 2 3 5 2 2" xfId="20280" xr:uid="{557CF1F0-6B35-4CF2-8F4B-EBA2D78564F3}"/>
    <cellStyle name="Output 2 6 2 3 5 3" xfId="16794" xr:uid="{724D15A0-E9E6-4F22-92CF-1556F8EF3D2D}"/>
    <cellStyle name="Output 2 6 2 3 6" xfId="5992" xr:uid="{52C33570-0E0A-451C-93F7-4EFFE6C17122}"/>
    <cellStyle name="Output 2 6 2 3 6 2" xfId="11843" xr:uid="{5C2B8500-165D-4F48-9545-8FF2532BD68C}"/>
    <cellStyle name="Output 2 6 2 3 6 2 2" xfId="20889" xr:uid="{94C1E241-99EC-41BC-88AA-7AD2714BB094}"/>
    <cellStyle name="Output 2 6 2 3 6 3" xfId="17405" xr:uid="{88337552-569B-42FE-A6E7-97EAD8D21833}"/>
    <cellStyle name="Output 2 6 2 3 7" xfId="9253" xr:uid="{742CC3C7-AC5D-4CFC-815B-2CD7B6D9E7F3}"/>
    <cellStyle name="Output 2 6 2 3 7 2" xfId="18299" xr:uid="{C683B9B5-4B3D-441C-83C3-47C710AD4802}"/>
    <cellStyle name="Output 2 6 2 3 8" xfId="12651" xr:uid="{DF54EA80-B3EB-4FE2-B1ED-766A1AB2CE0E}"/>
    <cellStyle name="Output 2 6 2 3 9" xfId="13213" xr:uid="{AF4CC900-AECC-42FD-AB55-3C56F7B73C9A}"/>
    <cellStyle name="Output 2 6 2 4" xfId="3374" xr:uid="{2658E613-E326-4138-B07B-60CE42A543C8}"/>
    <cellStyle name="Output 2 6 2 4 10" xfId="15154" xr:uid="{C5FE69AF-4513-44F9-8BDF-4539B86B7A06}"/>
    <cellStyle name="Output 2 6 2 4 11" xfId="22023" xr:uid="{6E0EC56E-85B0-4EA5-A671-5450C56C7953}"/>
    <cellStyle name="Output 2 6 2 4 2" xfId="4597" xr:uid="{0E0D9046-4C73-4A64-900D-983FF053F2F0}"/>
    <cellStyle name="Output 2 6 2 4 2 2" xfId="10454" xr:uid="{C459923E-0625-4C0C-AEF6-254645FED34B}"/>
    <cellStyle name="Output 2 6 2 4 2 2 2" xfId="19500" xr:uid="{CF008027-9E34-4703-897A-7FD44DAE42FD}"/>
    <cellStyle name="Output 2 6 2 4 2 3" xfId="16014" xr:uid="{BAE92FFE-F78B-45E1-AB6D-8745D7BD2774}"/>
    <cellStyle name="Output 2 6 2 4 2 4" xfId="22679" xr:uid="{795FC338-F8C9-4553-8358-2740B734FFED}"/>
    <cellStyle name="Output 2 6 2 4 3" xfId="5098" xr:uid="{38FBA471-9F1D-419F-B5B5-C2724C33911C}"/>
    <cellStyle name="Output 2 6 2 4 3 2" xfId="10951" xr:uid="{D4523B93-882C-4D30-BD67-CC263767D5EB}"/>
    <cellStyle name="Output 2 6 2 4 3 2 2" xfId="19997" xr:uid="{4C777D7B-32F5-434F-8387-82B3B5E769E7}"/>
    <cellStyle name="Output 2 6 2 4 3 3" xfId="16511" xr:uid="{FFED0F5C-D779-489B-B257-FD21238725B5}"/>
    <cellStyle name="Output 2 6 2 4 3 4" xfId="23174" xr:uid="{DE6E11A6-88F2-4E98-8297-2ED3D4F394A2}"/>
    <cellStyle name="Output 2 6 2 4 4" xfId="5713" xr:uid="{26057806-A97D-47ED-BA0E-33AE7F5BDDF2}"/>
    <cellStyle name="Output 2 6 2 4 4 2" xfId="11566" xr:uid="{00086AB8-83D4-4CA5-A7CE-A7D47E7AB31D}"/>
    <cellStyle name="Output 2 6 2 4 4 2 2" xfId="20612" xr:uid="{9EB87906-319C-4089-8C0D-DDED72EFD3F2}"/>
    <cellStyle name="Output 2 6 2 4 4 3" xfId="17126" xr:uid="{31ABE790-64EF-438D-8F66-CECBBCA1AA88}"/>
    <cellStyle name="Output 2 6 2 4 5" xfId="6324" xr:uid="{09DBCCEA-F654-4992-BDE9-D6CD631C8DDD}"/>
    <cellStyle name="Output 2 6 2 4 5 2" xfId="12171" xr:uid="{2EAE3D67-D306-40D6-A2E7-996942E9ABF4}"/>
    <cellStyle name="Output 2 6 2 4 5 2 2" xfId="21217" xr:uid="{A98031F4-61F4-41BA-9B09-02F19AF60674}"/>
    <cellStyle name="Output 2 6 2 4 5 3" xfId="17737" xr:uid="{D94F1A19-C3D4-4FF2-881F-87A00F99F6DF}"/>
    <cellStyle name="Output 2 6 2 4 6" xfId="9585" xr:uid="{7E91BC87-1AE3-434A-8536-376F7822363E}"/>
    <cellStyle name="Output 2 6 2 4 6 2" xfId="18631" xr:uid="{64A06407-C9BE-4C4A-B439-FA39068845F0}"/>
    <cellStyle name="Output 2 6 2 4 7" xfId="12983" xr:uid="{0E00B1AB-11B0-4814-A7E1-D6D4D6E7415D}"/>
    <cellStyle name="Output 2 6 2 4 8" xfId="13540" xr:uid="{21A7E07D-2D3C-4774-8481-D8792F307679}"/>
    <cellStyle name="Output 2 6 2 4 9" xfId="14179" xr:uid="{3432C1CC-5D65-4EBA-B6CC-06D271D5D01A}"/>
    <cellStyle name="Output 2 6 2 5" xfId="3162" xr:uid="{644C7FB8-9D39-43C7-9282-FB9B736EF03F}"/>
    <cellStyle name="Output 2 6 2 5 10" xfId="14942" xr:uid="{30468316-2E65-4B0D-B720-002033FCFF2D}"/>
    <cellStyle name="Output 2 6 2 5 11" xfId="21810" xr:uid="{5FB0F9A7-346C-4A14-8C13-5FE2DBF05FFD}"/>
    <cellStyle name="Output 2 6 2 5 2" xfId="4383" xr:uid="{226122F1-18E4-49BC-AC96-D5C25CEC151E}"/>
    <cellStyle name="Output 2 6 2 5 2 2" xfId="10240" xr:uid="{834549C6-AC04-4202-8F42-B36C53ABD734}"/>
    <cellStyle name="Output 2 6 2 5 2 2 2" xfId="19286" xr:uid="{47B980D8-77C8-4580-BF80-C231E693590C}"/>
    <cellStyle name="Output 2 6 2 5 2 3" xfId="15800" xr:uid="{88D8535C-540E-4635-8FD2-8965A7A7C15D}"/>
    <cellStyle name="Output 2 6 2 5 2 4" xfId="22466" xr:uid="{DA63C396-F40C-4240-A363-D6E42FEE0CA6}"/>
    <cellStyle name="Output 2 6 2 5 3" xfId="4884" xr:uid="{9E1E5EB7-2F49-4188-8A47-A1D29BC6C896}"/>
    <cellStyle name="Output 2 6 2 5 3 2" xfId="10739" xr:uid="{5D064105-3DFB-4A80-B587-4E3FA0DC7E5B}"/>
    <cellStyle name="Output 2 6 2 5 3 2 2" xfId="19785" xr:uid="{EFA1E676-03C4-454B-B2E4-AED634A0398B}"/>
    <cellStyle name="Output 2 6 2 5 3 3" xfId="16299" xr:uid="{AB0E0560-3F95-4F71-85E9-3120D08F54A3}"/>
    <cellStyle name="Output 2 6 2 5 3 4" xfId="22961" xr:uid="{5AFFC863-313E-43AB-8310-F0F6E6A8D067}"/>
    <cellStyle name="Output 2 6 2 5 4" xfId="5499" xr:uid="{0B2A3794-37A7-449C-AE55-F6F01E009110}"/>
    <cellStyle name="Output 2 6 2 5 4 2" xfId="11352" xr:uid="{BC0A791E-0735-43E7-A99F-AB04D611636B}"/>
    <cellStyle name="Output 2 6 2 5 4 2 2" xfId="20398" xr:uid="{E8FCCA34-47E8-4BEF-B7E2-9FB0F3AF5764}"/>
    <cellStyle name="Output 2 6 2 5 4 3" xfId="16912" xr:uid="{D5ED2AB9-A6EA-4D78-821B-A3ABE6C21C90}"/>
    <cellStyle name="Output 2 6 2 5 5" xfId="6110" xr:uid="{E4830170-207A-4C16-9BC3-E59CCF4FF00D}"/>
    <cellStyle name="Output 2 6 2 5 5 2" xfId="11959" xr:uid="{BCE8F38A-08C8-4EC2-A3F4-C536477615ED}"/>
    <cellStyle name="Output 2 6 2 5 5 2 2" xfId="21005" xr:uid="{8884E9CA-3655-47DD-A149-DC6636A3ECDC}"/>
    <cellStyle name="Output 2 6 2 5 5 3" xfId="17523" xr:uid="{4586A4BB-7400-4E93-8A75-26271DC8ECB1}"/>
    <cellStyle name="Output 2 6 2 5 6" xfId="9373" xr:uid="{4C7C82D1-1A5C-4C49-A5B9-63CF16E6CA8B}"/>
    <cellStyle name="Output 2 6 2 5 6 2" xfId="18419" xr:uid="{55506016-DCB5-4745-B49F-8535FE517747}"/>
    <cellStyle name="Output 2 6 2 5 7" xfId="12769" xr:uid="{464DA163-02F0-49BC-9D0E-CD9B5460DC6F}"/>
    <cellStyle name="Output 2 6 2 5 8" xfId="13329" xr:uid="{F8010640-DF7C-429C-9236-A1BF3F92A25A}"/>
    <cellStyle name="Output 2 6 2 5 9" xfId="13965" xr:uid="{6B3DAC25-9DDA-49ED-A3BD-F7C384FDDA78}"/>
    <cellStyle name="Output 2 6 2 6" xfId="3763" xr:uid="{A5D70E66-C102-4F4B-A2F5-75357C43FDE2}"/>
    <cellStyle name="Output 2 6 2 6 2" xfId="9805" xr:uid="{BA2BF8C1-CB24-48F8-877B-E4D02DE21549}"/>
    <cellStyle name="Output 2 6 2 6 2 2" xfId="18851" xr:uid="{4DD08D05-DF9C-4388-A7D3-CD888DE8E8B7}"/>
    <cellStyle name="Output 2 6 2 6 3" xfId="15371" xr:uid="{F0F8AA70-91A1-48C2-863B-27F7BA7673AB}"/>
    <cellStyle name="Output 2 6 2 6 4" xfId="22350" xr:uid="{B04D20FC-A32B-43B6-86CD-720361B29B4F}"/>
    <cellStyle name="Output 2 6 2 7" xfId="4247" xr:uid="{AE95D386-AF3C-4DE1-B058-2F356CFB40CE}"/>
    <cellStyle name="Output 2 6 2 7 2" xfId="10104" xr:uid="{38A3668D-3563-4A09-A159-DDCABFF78AE5}"/>
    <cellStyle name="Output 2 6 2 7 2 2" xfId="19150" xr:uid="{CA54F496-A451-4316-A799-C7B6E133D9F4}"/>
    <cellStyle name="Output 2 6 2 7 3" xfId="15664" xr:uid="{D99399E3-EE7C-468C-BFD4-A8565FE0F04B}"/>
    <cellStyle name="Output 2 6 2 7 4" xfId="22254" xr:uid="{222A92A9-5E37-4C00-BBA7-A9EF450005FD}"/>
    <cellStyle name="Output 2 6 2 8" xfId="4135" xr:uid="{587EE216-D10E-4081-A3D1-34788133DA5D}"/>
    <cellStyle name="Output 2 6 2 8 2" xfId="9992" xr:uid="{795C4AFC-A762-47F4-AAC4-0E6709CAB38D}"/>
    <cellStyle name="Output 2 6 2 8 2 2" xfId="19038" xr:uid="{8B06E484-EAF7-465F-8062-DCB2CF194056}"/>
    <cellStyle name="Output 2 6 2 8 3" xfId="15552" xr:uid="{B5ED397F-BCDA-4115-8FAD-76E4D7A69077}"/>
    <cellStyle name="Output 2 6 2 9" xfId="5284" xr:uid="{EFBCEA35-4271-4844-B085-93E2A76B09FA}"/>
    <cellStyle name="Output 2 6 2 9 2" xfId="11137" xr:uid="{4010B6F0-7A23-4766-9726-8524275F316A}"/>
    <cellStyle name="Output 2 6 2 9 2 2" xfId="20183" xr:uid="{BA70D355-DFCC-44BD-9978-DCB3AF09192C}"/>
    <cellStyle name="Output 2 6 2 9 3" xfId="16697" xr:uid="{75D3D7A6-5F44-44D8-8B39-A02080B96555}"/>
    <cellStyle name="Output 2 6 3" xfId="2432" xr:uid="{00FB5CE7-3D03-4081-B905-256BB4FD5450}"/>
    <cellStyle name="Output 2 6 3 10" xfId="5896" xr:uid="{9C799867-8005-48D7-B369-D8EC6C7A8FE7}"/>
    <cellStyle name="Output 2 6 3 10 2" xfId="11749" xr:uid="{42E58884-4C92-4363-8DF3-F85769B192A9}"/>
    <cellStyle name="Output 2 6 3 10 2 2" xfId="20795" xr:uid="{FD426C75-20A4-462E-A815-DAAECECA9242}"/>
    <cellStyle name="Output 2 6 3 10 3" xfId="17309" xr:uid="{4B0B5D01-4D23-4B02-87B2-916AC08516D9}"/>
    <cellStyle name="Output 2 6 3 11" xfId="9159" xr:uid="{3B6498D2-4ACD-453A-9043-B2B919342FAB}"/>
    <cellStyle name="Output 2 6 3 11 2" xfId="18205" xr:uid="{D99620A9-C492-40B7-8C01-D0E52285C227}"/>
    <cellStyle name="Output 2 6 3 12" xfId="12557" xr:uid="{82847AEE-3C87-483D-B368-6BE876A10258}"/>
    <cellStyle name="Output 2 6 3 13" xfId="13751" xr:uid="{9B2BA41D-E367-4E8F-A9BA-59516AF5AAF4}"/>
    <cellStyle name="Output 2 6 3 14" xfId="14728" xr:uid="{7F4647CD-86B5-4D5D-9FDD-ED5E4E7B7659}"/>
    <cellStyle name="Output 2 6 3 15" xfId="21598" xr:uid="{4663D9BD-F97A-4C9F-A739-D2655D215F4C}"/>
    <cellStyle name="Output 2 6 3 16" xfId="23780" xr:uid="{8A0C5DC5-BE02-4EBD-A60B-02D0E2850271}"/>
    <cellStyle name="Output 2 6 3 2" xfId="2433" xr:uid="{AFEC9E42-52E8-479C-AF25-83ED811EF27B}"/>
    <cellStyle name="Output 2 6 3 2 10" xfId="13214" xr:uid="{06C6DFA5-91DD-4BCA-835F-CE5C4A5DB6D3}"/>
    <cellStyle name="Output 2 6 3 2 11" xfId="13848" xr:uid="{B96B5FB3-9B77-4122-9DB0-C258C5FA6DBE}"/>
    <cellStyle name="Output 2 6 3 2 12" xfId="14823" xr:uid="{FDE5AE72-EA61-429B-8EAA-E4CAD1DF6029}"/>
    <cellStyle name="Output 2 6 3 2 13" xfId="21693" xr:uid="{C7FA82B5-DD79-4AAA-8708-7CB79D7CF1B9}"/>
    <cellStyle name="Output 2 6 3 2 2" xfId="2624" xr:uid="{10A911A5-874B-4BCE-83A6-0B770A0ECB17}"/>
    <cellStyle name="Output 2 6 3 2 2 10" xfId="15250" xr:uid="{DCBEE38C-1CE3-48C6-86A9-9536FC0FA9C0}"/>
    <cellStyle name="Output 2 6 3 2 2 11" xfId="22119" xr:uid="{D27DF823-3F9F-40F9-9AC2-084977599645}"/>
    <cellStyle name="Output 2 6 3 2 2 12" xfId="3459" xr:uid="{C29C28EB-B8E3-4DB2-BE53-1348CADCE658}"/>
    <cellStyle name="Output 2 6 3 2 2 2" xfId="4693" xr:uid="{78943408-923A-4D72-BA68-CF32F87DCF7B}"/>
    <cellStyle name="Output 2 6 3 2 2 2 2" xfId="10550" xr:uid="{47A76CDA-7A02-4F1B-884E-7F8B4919F05C}"/>
    <cellStyle name="Output 2 6 3 2 2 2 2 2" xfId="19596" xr:uid="{47CCCF17-0585-4309-99BC-9A923D13E9D6}"/>
    <cellStyle name="Output 2 6 3 2 2 2 3" xfId="16110" xr:uid="{E989EB61-D89B-4B67-B0B5-2019F7B49656}"/>
    <cellStyle name="Output 2 6 3 2 2 2 4" xfId="22775" xr:uid="{CD008AC1-38AE-41C6-8896-41E8C225AF27}"/>
    <cellStyle name="Output 2 6 3 2 2 3" xfId="5194" xr:uid="{4A71130A-6126-4E97-8B08-CBD7A5800CCC}"/>
    <cellStyle name="Output 2 6 3 2 2 3 2" xfId="11047" xr:uid="{9C983B08-87F2-46EF-A440-073A15586CBD}"/>
    <cellStyle name="Output 2 6 3 2 2 3 2 2" xfId="20093" xr:uid="{E9D6AE42-3737-428B-8A43-7AAFEC80FD28}"/>
    <cellStyle name="Output 2 6 3 2 2 3 3" xfId="16607" xr:uid="{26AB22C3-DCB5-44FA-846C-DBFD0EA610DC}"/>
    <cellStyle name="Output 2 6 3 2 2 3 4" xfId="23270" xr:uid="{9DF6179E-1EB2-4B74-A14D-ADC3A776AEE9}"/>
    <cellStyle name="Output 2 6 3 2 2 4" xfId="5809" xr:uid="{35CF3F1F-FBBE-49E8-AA6E-209FAE93F8A4}"/>
    <cellStyle name="Output 2 6 3 2 2 4 2" xfId="11662" xr:uid="{E2394804-A66D-4825-B002-0B59D040CBB6}"/>
    <cellStyle name="Output 2 6 3 2 2 4 2 2" xfId="20708" xr:uid="{E2D2F364-89A3-491C-9F8A-FD903D1172AD}"/>
    <cellStyle name="Output 2 6 3 2 2 4 3" xfId="17222" xr:uid="{F32804B8-3A1E-459C-BCF1-390644F434B8}"/>
    <cellStyle name="Output 2 6 3 2 2 5" xfId="6420" xr:uid="{0F6C21FF-6C5F-4A89-83A1-3DED2206451A}"/>
    <cellStyle name="Output 2 6 3 2 2 5 2" xfId="12267" xr:uid="{FE1D66E3-669A-436C-8743-EFE114385A5E}"/>
    <cellStyle name="Output 2 6 3 2 2 5 2 2" xfId="21313" xr:uid="{D67A02EC-4D02-4DB2-A193-B4C1BDE46F79}"/>
    <cellStyle name="Output 2 6 3 2 2 5 3" xfId="17833" xr:uid="{25B66677-3DA7-4E21-BE23-A9EFA669CEC5}"/>
    <cellStyle name="Output 2 6 3 2 2 6" xfId="9681" xr:uid="{11A6C539-1645-49EC-A06C-C4D87F8976F5}"/>
    <cellStyle name="Output 2 6 3 2 2 6 2" xfId="18727" xr:uid="{BF80C48B-E408-4252-8729-C69F0E3A8CC1}"/>
    <cellStyle name="Output 2 6 3 2 2 7" xfId="13079" xr:uid="{2B65B2B0-F510-43AC-8C67-94051B335E7B}"/>
    <cellStyle name="Output 2 6 3 2 2 8" xfId="13636" xr:uid="{3BA881F4-45A6-4D65-95F7-84305DDA2D93}"/>
    <cellStyle name="Output 2 6 3 2 2 9" xfId="14275" xr:uid="{FE63C453-A74B-41CB-9A07-5B00EF05C9AF}"/>
    <cellStyle name="Output 2 6 3 2 3" xfId="3258" xr:uid="{4D558F24-6E1B-4621-8509-FF4B457F9489}"/>
    <cellStyle name="Output 2 6 3 2 3 10" xfId="15038" xr:uid="{C3090092-7AC2-44D0-BFAE-661D9397CC37}"/>
    <cellStyle name="Output 2 6 3 2 3 11" xfId="21908" xr:uid="{47673D03-599A-4385-8327-B1D8F959CA3A}"/>
    <cellStyle name="Output 2 6 3 2 3 2" xfId="4481" xr:uid="{3BA8ADEA-533F-4424-BAB8-4AE40B97B8CF}"/>
    <cellStyle name="Output 2 6 3 2 3 2 2" xfId="10338" xr:uid="{7EDF4A6A-B711-43BD-9D48-99A7B138176D}"/>
    <cellStyle name="Output 2 6 3 2 3 2 2 2" xfId="19384" xr:uid="{AADBB36E-6379-40D4-B522-59DB4EA4620A}"/>
    <cellStyle name="Output 2 6 3 2 3 2 3" xfId="15898" xr:uid="{D025B489-9498-4120-A123-6F252777A3C1}"/>
    <cellStyle name="Output 2 6 3 2 3 2 4" xfId="22564" xr:uid="{B20C3904-3D91-472D-91C9-CC58375D4170}"/>
    <cellStyle name="Output 2 6 3 2 3 3" xfId="4982" xr:uid="{A458796F-5F39-49BE-8D78-ED5EC2F416DD}"/>
    <cellStyle name="Output 2 6 3 2 3 3 2" xfId="10835" xr:uid="{07115937-14B1-40E8-A934-11F3CA3D4AAC}"/>
    <cellStyle name="Output 2 6 3 2 3 3 2 2" xfId="19881" xr:uid="{29482BF4-4017-4D14-B729-A0A45A849B37}"/>
    <cellStyle name="Output 2 6 3 2 3 3 3" xfId="16395" xr:uid="{E7AEED21-01CE-426E-8B7B-ABBBDDBF4D1D}"/>
    <cellStyle name="Output 2 6 3 2 3 3 4" xfId="23059" xr:uid="{209D6D46-0AEB-4E88-83E1-25223071F397}"/>
    <cellStyle name="Output 2 6 3 2 3 4" xfId="5597" xr:uid="{227C5B60-882A-4179-96E7-7E4A7BB3AA9A}"/>
    <cellStyle name="Output 2 6 3 2 3 4 2" xfId="11450" xr:uid="{36B34FFB-9C57-4003-BB2C-B006B5A7EA77}"/>
    <cellStyle name="Output 2 6 3 2 3 4 2 2" xfId="20496" xr:uid="{D0E69213-157C-4ECC-82D1-0C7EEB006F01}"/>
    <cellStyle name="Output 2 6 3 2 3 4 3" xfId="17010" xr:uid="{152EBD3E-63AB-458F-9AAC-C4CBF1B2F9DA}"/>
    <cellStyle name="Output 2 6 3 2 3 5" xfId="6208" xr:uid="{7E432D8E-D4EB-48C2-A87B-3FA4A39B039C}"/>
    <cellStyle name="Output 2 6 3 2 3 5 2" xfId="12055" xr:uid="{390AD32C-F645-4C55-BAF3-138A4301D544}"/>
    <cellStyle name="Output 2 6 3 2 3 5 2 2" xfId="21101" xr:uid="{980A24E9-4CC1-41F8-B868-4352873DB082}"/>
    <cellStyle name="Output 2 6 3 2 3 5 3" xfId="17621" xr:uid="{9C1ADBF6-C641-4B5F-A9FB-F568B36EA218}"/>
    <cellStyle name="Output 2 6 3 2 3 6" xfId="9469" xr:uid="{D9D8C03C-B24D-49DC-AFF8-A0D85EBCDA1D}"/>
    <cellStyle name="Output 2 6 3 2 3 6 2" xfId="18515" xr:uid="{ADF0E43C-F0DA-4477-AF1C-816106FD27B8}"/>
    <cellStyle name="Output 2 6 3 2 3 7" xfId="12867" xr:uid="{D6FB003B-1843-467C-A15F-0A0B7E0B0232}"/>
    <cellStyle name="Output 2 6 3 2 3 8" xfId="13425" xr:uid="{9F1DB355-EA14-4FA5-9B1F-4EBB9997BC16}"/>
    <cellStyle name="Output 2 6 3 2 3 9" xfId="14063" xr:uid="{21D11CD3-992C-428B-A538-C9F041F553ED}"/>
    <cellStyle name="Output 2 6 3 2 4" xfId="4032" xr:uid="{80C62A50-12CD-40B8-B0F3-869E7A7BCF7E}"/>
    <cellStyle name="Output 2 6 3 2 4 2" xfId="9894" xr:uid="{81282CA4-276F-4995-8005-D3EA574A521C}"/>
    <cellStyle name="Output 2 6 3 2 4 2 2" xfId="18940" xr:uid="{2EC2474A-812E-46B3-8617-1889553BA1C4}"/>
    <cellStyle name="Output 2 6 3 2 4 3" xfId="15456" xr:uid="{ED690381-D61B-4A39-9040-5F77458CB6F4}"/>
    <cellStyle name="Output 2 6 3 2 4 4" xfId="22844" xr:uid="{CDC4AF01-CEEF-4045-ABE0-980D53590873}"/>
    <cellStyle name="Output 2 6 3 2 5" xfId="4765" xr:uid="{1718255B-CB69-4ED1-B250-0396B0EBC0E0}"/>
    <cellStyle name="Output 2 6 3 2 5 2" xfId="10622" xr:uid="{06BE1960-DA4C-4392-9712-15F86B1A9504}"/>
    <cellStyle name="Output 2 6 3 2 5 2 2" xfId="19668" xr:uid="{35912A67-32C2-4C88-ACE4-FD782C1C9347}"/>
    <cellStyle name="Output 2 6 3 2 5 3" xfId="16182" xr:uid="{3E69A189-D069-4063-B617-57E2DE444BAD}"/>
    <cellStyle name="Output 2 6 3 2 6" xfId="5382" xr:uid="{88FF5601-6BAD-442B-9491-ECBE3D84A518}"/>
    <cellStyle name="Output 2 6 3 2 6 2" xfId="11235" xr:uid="{17EC3763-96AD-4E0C-9316-2F1A747A85D9}"/>
    <cellStyle name="Output 2 6 3 2 6 2 2" xfId="20281" xr:uid="{8A9D5F3C-050B-46C6-BA0B-156721FE7C74}"/>
    <cellStyle name="Output 2 6 3 2 6 3" xfId="16795" xr:uid="{CFD29639-3356-4A57-BF7D-A263A84B3B67}"/>
    <cellStyle name="Output 2 6 3 2 7" xfId="5993" xr:uid="{BCFD304F-F80C-4960-97B9-2ACF6AA435B9}"/>
    <cellStyle name="Output 2 6 3 2 7 2" xfId="11844" xr:uid="{3D86F7C0-7353-431D-8D47-E58D4F87EC9B}"/>
    <cellStyle name="Output 2 6 3 2 7 2 2" xfId="20890" xr:uid="{2816ABE7-8283-4C3C-A2FD-1D81256CFD48}"/>
    <cellStyle name="Output 2 6 3 2 7 3" xfId="17406" xr:uid="{CD0B5226-3EB0-4EBC-A6A4-619F555B9AF3}"/>
    <cellStyle name="Output 2 6 3 2 8" xfId="9254" xr:uid="{71189FF1-F7B2-4FA7-9789-0D46D4E153E3}"/>
    <cellStyle name="Output 2 6 3 2 8 2" xfId="18300" xr:uid="{C5025012-7454-489D-A676-17E7D8E742F5}"/>
    <cellStyle name="Output 2 6 3 2 9" xfId="12652" xr:uid="{BDEB73C0-AE10-49D3-889C-6769CB4EF484}"/>
    <cellStyle name="Output 2 6 3 3" xfId="2625" xr:uid="{7F1A7D58-82E1-4EF7-AE29-FEC01EE67FC2}"/>
    <cellStyle name="Output 2 6 3 3 10" xfId="13849" xr:uid="{C40AB9E1-A9CC-4319-984B-D177E72836B0}"/>
    <cellStyle name="Output 2 6 3 3 11" xfId="14824" xr:uid="{98EC9140-C14C-47F7-BAE9-AE05E3D6E2C4}"/>
    <cellStyle name="Output 2 6 3 3 12" xfId="21694" xr:uid="{7DF3BE22-72C5-4654-948A-CF8038B76D6C}"/>
    <cellStyle name="Output 2 6 3 3 13" xfId="3068" xr:uid="{07EE8EE8-CDBC-40D1-9DCE-94EE87A8DA20}"/>
    <cellStyle name="Output 2 6 3 3 2" xfId="3460" xr:uid="{A9420CCB-B2BE-4A10-9306-A2421C0623E4}"/>
    <cellStyle name="Output 2 6 3 3 2 10" xfId="15251" xr:uid="{48719E1E-F3B6-4D99-8C46-617AAA1F7F7F}"/>
    <cellStyle name="Output 2 6 3 3 2 11" xfId="22120" xr:uid="{5D0A7CA1-BD1B-4B34-81B4-461148197C34}"/>
    <cellStyle name="Output 2 6 3 3 2 2" xfId="4694" xr:uid="{90A89492-BCD7-4A2A-82A2-C7ECE42C31E3}"/>
    <cellStyle name="Output 2 6 3 3 2 2 2" xfId="10551" xr:uid="{3A337F7F-FAF2-4030-AF6F-D72C34966641}"/>
    <cellStyle name="Output 2 6 3 3 2 2 2 2" xfId="19597" xr:uid="{D27EFC66-E418-467E-87BA-58913BA9E5CD}"/>
    <cellStyle name="Output 2 6 3 3 2 2 3" xfId="16111" xr:uid="{9E6ADA6A-3E76-4343-AA35-7A1E3D68E2DF}"/>
    <cellStyle name="Output 2 6 3 3 2 2 4" xfId="22776" xr:uid="{B8554106-2696-4563-B38F-249961FEC62B}"/>
    <cellStyle name="Output 2 6 3 3 2 3" xfId="5195" xr:uid="{C64C6471-1D46-4C7B-B6A5-3DD140A6B7F8}"/>
    <cellStyle name="Output 2 6 3 3 2 3 2" xfId="11048" xr:uid="{094DFA25-6AE0-4444-BEF0-C72BA5F019A1}"/>
    <cellStyle name="Output 2 6 3 3 2 3 2 2" xfId="20094" xr:uid="{A6F9501C-CD81-416F-8654-6B0D5954E7FA}"/>
    <cellStyle name="Output 2 6 3 3 2 3 3" xfId="16608" xr:uid="{664CBC94-6154-418D-BE81-158B34D07A82}"/>
    <cellStyle name="Output 2 6 3 3 2 3 4" xfId="23271" xr:uid="{131394B6-17AA-4A96-8282-6BE5066DC422}"/>
    <cellStyle name="Output 2 6 3 3 2 4" xfId="5810" xr:uid="{029DC9AF-C959-4DEA-9B2D-0A4A6D02EC2A}"/>
    <cellStyle name="Output 2 6 3 3 2 4 2" xfId="11663" xr:uid="{3557A864-F6B0-4586-978D-599AEF464701}"/>
    <cellStyle name="Output 2 6 3 3 2 4 2 2" xfId="20709" xr:uid="{B4A2DCD3-0C74-4C6F-A179-91D4AC589D5D}"/>
    <cellStyle name="Output 2 6 3 3 2 4 3" xfId="17223" xr:uid="{0C1845BA-01A7-42A4-91AF-D29B0DD606BF}"/>
    <cellStyle name="Output 2 6 3 3 2 5" xfId="6421" xr:uid="{DC696952-157B-480A-8A42-E5087786CFFA}"/>
    <cellStyle name="Output 2 6 3 3 2 5 2" xfId="12268" xr:uid="{89E7802B-B618-48CE-B8D8-3606076E891C}"/>
    <cellStyle name="Output 2 6 3 3 2 5 2 2" xfId="21314" xr:uid="{26F4AA37-3589-4293-8C0E-37144711BF44}"/>
    <cellStyle name="Output 2 6 3 3 2 5 3" xfId="17834" xr:uid="{7201E2F1-6B91-4950-8258-68706B71F21A}"/>
    <cellStyle name="Output 2 6 3 3 2 6" xfId="9682" xr:uid="{2DAB0327-CCEF-47E1-80FE-ED018D2C3A3B}"/>
    <cellStyle name="Output 2 6 3 3 2 6 2" xfId="18728" xr:uid="{3E60F087-8B41-4484-99F9-96CDDAE3669E}"/>
    <cellStyle name="Output 2 6 3 3 2 7" xfId="13080" xr:uid="{28D919C0-82DA-436E-8FBA-FCBCE90D48F6}"/>
    <cellStyle name="Output 2 6 3 3 2 8" xfId="13637" xr:uid="{1595232D-D830-4AD2-B217-F361BD32E842}"/>
    <cellStyle name="Output 2 6 3 3 2 9" xfId="14276" xr:uid="{0663DD99-0AAD-44AC-A74A-989651B01576}"/>
    <cellStyle name="Output 2 6 3 3 3" xfId="3259" xr:uid="{6B8F4ECC-BD3E-439C-8F96-083CA8EB6507}"/>
    <cellStyle name="Output 2 6 3 3 3 10" xfId="15039" xr:uid="{D0FE8B8E-8FA7-444C-A477-9C923CADFB10}"/>
    <cellStyle name="Output 2 6 3 3 3 11" xfId="21909" xr:uid="{CA3C321F-43EB-4381-8CA5-B890CB633406}"/>
    <cellStyle name="Output 2 6 3 3 3 2" xfId="4482" xr:uid="{5F291260-5C03-4C62-86B4-75FDB041AC46}"/>
    <cellStyle name="Output 2 6 3 3 3 2 2" xfId="10339" xr:uid="{50E68249-AFF7-41E8-9128-091A9CAD9EEC}"/>
    <cellStyle name="Output 2 6 3 3 3 2 2 2" xfId="19385" xr:uid="{D508B805-9AB9-4418-9D56-B6C62B16F8DD}"/>
    <cellStyle name="Output 2 6 3 3 3 2 3" xfId="15899" xr:uid="{79A0A801-7550-4838-ADF7-7038228A225F}"/>
    <cellStyle name="Output 2 6 3 3 3 2 4" xfId="22565" xr:uid="{48250977-9B1D-4B7F-9DD5-23145C1D98B1}"/>
    <cellStyle name="Output 2 6 3 3 3 3" xfId="4983" xr:uid="{9073A9A7-4C1D-4D31-8F1E-04916B6BCC73}"/>
    <cellStyle name="Output 2 6 3 3 3 3 2" xfId="10836" xr:uid="{4ED7D437-978C-4DBF-9272-BA83010586AC}"/>
    <cellStyle name="Output 2 6 3 3 3 3 2 2" xfId="19882" xr:uid="{58B91D53-663E-4D25-8111-4485EE396794}"/>
    <cellStyle name="Output 2 6 3 3 3 3 3" xfId="16396" xr:uid="{5264B330-93FE-4E27-B3F1-967BAB839B00}"/>
    <cellStyle name="Output 2 6 3 3 3 3 4" xfId="23060" xr:uid="{A31982D5-158B-48C9-91C3-16A25BC7B858}"/>
    <cellStyle name="Output 2 6 3 3 3 4" xfId="5598" xr:uid="{82CF2ACE-7195-4681-B213-DC18E179A26B}"/>
    <cellStyle name="Output 2 6 3 3 3 4 2" xfId="11451" xr:uid="{F979875A-26B6-42A3-930E-CA3DD9218779}"/>
    <cellStyle name="Output 2 6 3 3 3 4 2 2" xfId="20497" xr:uid="{95ACE1CE-023D-414B-B531-8B9F32161E37}"/>
    <cellStyle name="Output 2 6 3 3 3 4 3" xfId="17011" xr:uid="{B05F4897-2610-4907-98C8-1E1530086E4E}"/>
    <cellStyle name="Output 2 6 3 3 3 5" xfId="6209" xr:uid="{7C911A7E-FA0B-487B-95CA-3DE72EA6CBFD}"/>
    <cellStyle name="Output 2 6 3 3 3 5 2" xfId="12056" xr:uid="{26190E94-8E4F-4620-999E-74AE990F1C10}"/>
    <cellStyle name="Output 2 6 3 3 3 5 2 2" xfId="21102" xr:uid="{DE49E006-E28A-4CD3-9609-EEB4959F7A24}"/>
    <cellStyle name="Output 2 6 3 3 3 5 3" xfId="17622" xr:uid="{684B6DA8-DC23-40E6-ADCA-B9D4184E9DB6}"/>
    <cellStyle name="Output 2 6 3 3 3 6" xfId="9470" xr:uid="{25561BB2-E099-4A13-A293-EFB411EC52AF}"/>
    <cellStyle name="Output 2 6 3 3 3 6 2" xfId="18516" xr:uid="{8AD73474-2051-4FF2-BDA7-BBB82F7C8233}"/>
    <cellStyle name="Output 2 6 3 3 3 7" xfId="12868" xr:uid="{C8BEFBC1-054A-41B2-B67F-09E035F027E8}"/>
    <cellStyle name="Output 2 6 3 3 3 8" xfId="13426" xr:uid="{ADEE41FE-DD40-4DB5-A043-77EF8526F0D4}"/>
    <cellStyle name="Output 2 6 3 3 3 9" xfId="14064" xr:uid="{8C986530-C27A-429D-9090-1A5AEE3648E7}"/>
    <cellStyle name="Output 2 6 3 3 4" xfId="4766" xr:uid="{359D3FD1-C342-4290-8862-C4A91ACF71AE}"/>
    <cellStyle name="Output 2 6 3 3 4 2" xfId="10623" xr:uid="{A997361B-DF39-499C-A00A-FDA1075700F7}"/>
    <cellStyle name="Output 2 6 3 3 4 2 2" xfId="19669" xr:uid="{D1349812-DAEE-41BA-B0B5-294042E4E19A}"/>
    <cellStyle name="Output 2 6 3 3 4 3" xfId="16183" xr:uid="{31EE17A2-9CF1-409A-8D40-F1FD6EDDEEEE}"/>
    <cellStyle name="Output 2 6 3 3 4 4" xfId="22845" xr:uid="{BE3E357E-D125-4966-ABA6-A678F7A796BB}"/>
    <cellStyle name="Output 2 6 3 3 5" xfId="5383" xr:uid="{B8258555-7BDE-4DAB-AA91-9B47650C1E80}"/>
    <cellStyle name="Output 2 6 3 3 5 2" xfId="11236" xr:uid="{903F9C46-2C9A-48C8-8CEF-A50BABE448EF}"/>
    <cellStyle name="Output 2 6 3 3 5 2 2" xfId="20282" xr:uid="{1E65814B-B19A-4A5C-9079-F93BF59F7FAD}"/>
    <cellStyle name="Output 2 6 3 3 5 3" xfId="16796" xr:uid="{7570D527-8F40-4C97-9594-275FD46C6E49}"/>
    <cellStyle name="Output 2 6 3 3 6" xfId="5994" xr:uid="{3725E49D-1374-4E34-BE62-E82ED423FD00}"/>
    <cellStyle name="Output 2 6 3 3 6 2" xfId="11845" xr:uid="{C8C0214F-F18A-4FBE-B67D-999D1CCA65A5}"/>
    <cellStyle name="Output 2 6 3 3 6 2 2" xfId="20891" xr:uid="{2ADDE1A8-9DF5-4AEF-B51B-4CDC07CBAF31}"/>
    <cellStyle name="Output 2 6 3 3 6 3" xfId="17407" xr:uid="{0F31DAAB-D51E-4096-AF71-72AF7593BB5F}"/>
    <cellStyle name="Output 2 6 3 3 7" xfId="9255" xr:uid="{AA272478-1C3A-47C2-A7B8-888DAEAE6F75}"/>
    <cellStyle name="Output 2 6 3 3 7 2" xfId="18301" xr:uid="{7E5C966C-6624-4BD9-813A-E72A82FCB885}"/>
    <cellStyle name="Output 2 6 3 3 8" xfId="12653" xr:uid="{C3A203CB-03AE-4A7F-8FB7-3D7ADDD25911}"/>
    <cellStyle name="Output 2 6 3 3 9" xfId="13215" xr:uid="{07295ECA-65C1-4F81-BED8-0A4773E6ED0D}"/>
    <cellStyle name="Output 2 6 3 4" xfId="3375" xr:uid="{1EB58088-25C2-430C-B210-2C7622955A8E}"/>
    <cellStyle name="Output 2 6 3 4 10" xfId="15155" xr:uid="{289AF630-8613-4E74-AF33-559B6DE7A480}"/>
    <cellStyle name="Output 2 6 3 4 11" xfId="22024" xr:uid="{394A52AE-6D17-446F-AE96-7EF287CF7DA2}"/>
    <cellStyle name="Output 2 6 3 4 2" xfId="4598" xr:uid="{4BB7E905-EA6E-4A0F-B537-7F4840FDACCC}"/>
    <cellStyle name="Output 2 6 3 4 2 2" xfId="10455" xr:uid="{81F635D7-E1EE-4051-8FDB-48B14EE6038B}"/>
    <cellStyle name="Output 2 6 3 4 2 2 2" xfId="19501" xr:uid="{7C1327D3-C77E-4DC8-B0C7-7865CD7AB207}"/>
    <cellStyle name="Output 2 6 3 4 2 3" xfId="16015" xr:uid="{80D9E0DC-F474-4422-ACA2-17BCB5D224AB}"/>
    <cellStyle name="Output 2 6 3 4 2 4" xfId="22680" xr:uid="{0346BF1E-5F14-4ED0-BA78-4F396882C2A4}"/>
    <cellStyle name="Output 2 6 3 4 3" xfId="5099" xr:uid="{B284196D-5977-42EC-B9F5-F0E53B124B30}"/>
    <cellStyle name="Output 2 6 3 4 3 2" xfId="10952" xr:uid="{8CF42463-0C7B-441A-B170-512D7524B55B}"/>
    <cellStyle name="Output 2 6 3 4 3 2 2" xfId="19998" xr:uid="{3F1A736B-5D45-4C8D-9149-449070C23AE3}"/>
    <cellStyle name="Output 2 6 3 4 3 3" xfId="16512" xr:uid="{75A71503-409E-41C5-A0A8-165B22615B7C}"/>
    <cellStyle name="Output 2 6 3 4 3 4" xfId="23175" xr:uid="{F9F14022-7556-4B54-9505-55FBE2247E02}"/>
    <cellStyle name="Output 2 6 3 4 4" xfId="5714" xr:uid="{51AD264A-5B50-4E09-90A7-427A4E75665A}"/>
    <cellStyle name="Output 2 6 3 4 4 2" xfId="11567" xr:uid="{FB163D60-96A3-4DEC-B9C0-AFABC0AF6C78}"/>
    <cellStyle name="Output 2 6 3 4 4 2 2" xfId="20613" xr:uid="{55C7FE86-AA67-45D4-BB60-41BC3069BE90}"/>
    <cellStyle name="Output 2 6 3 4 4 3" xfId="17127" xr:uid="{C4F962C1-FEAB-4E88-A189-3B8FBBCA3BC6}"/>
    <cellStyle name="Output 2 6 3 4 5" xfId="6325" xr:uid="{8AA77AFC-FAFA-4CE6-86A9-98DC69F8FEDF}"/>
    <cellStyle name="Output 2 6 3 4 5 2" xfId="12172" xr:uid="{A8032C8C-FC1B-4137-A8EA-86166C128EAA}"/>
    <cellStyle name="Output 2 6 3 4 5 2 2" xfId="21218" xr:uid="{52F41BDB-4EAA-44C6-9561-8E9B3BD9C94E}"/>
    <cellStyle name="Output 2 6 3 4 5 3" xfId="17738" xr:uid="{3340A6D4-64FC-4D91-B6EB-AE669EEB0A86}"/>
    <cellStyle name="Output 2 6 3 4 6" xfId="9586" xr:uid="{F133392E-F027-45E0-B484-E2B88DF1D033}"/>
    <cellStyle name="Output 2 6 3 4 6 2" xfId="18632" xr:uid="{2FCF0A89-687D-4BA1-9F55-252792E3E3F1}"/>
    <cellStyle name="Output 2 6 3 4 7" xfId="12984" xr:uid="{696E2233-3440-4450-B92C-41669F57738E}"/>
    <cellStyle name="Output 2 6 3 4 8" xfId="13541" xr:uid="{536CE84A-35B5-4FA8-9689-BFFB2C8A4AF8}"/>
    <cellStyle name="Output 2 6 3 4 9" xfId="14180" xr:uid="{C4CE33F1-40F1-41D8-AEA2-70000CE8ADFC}"/>
    <cellStyle name="Output 2 6 3 5" xfId="3163" xr:uid="{A1C7F717-94EA-4FD4-8796-8BF0F3BBC74E}"/>
    <cellStyle name="Output 2 6 3 5 10" xfId="14943" xr:uid="{AA605998-F72A-4A8C-91D3-8A7B58CAEF63}"/>
    <cellStyle name="Output 2 6 3 5 11" xfId="21811" xr:uid="{BBC86185-6043-48BF-8776-B376D0990DCF}"/>
    <cellStyle name="Output 2 6 3 5 2" xfId="4384" xr:uid="{8A6006AB-BA5D-4CC5-83A8-CF3E5DD53A35}"/>
    <cellStyle name="Output 2 6 3 5 2 2" xfId="10241" xr:uid="{6548FF05-08C3-4AB7-A5C2-0724101454C5}"/>
    <cellStyle name="Output 2 6 3 5 2 2 2" xfId="19287" xr:uid="{8BBC0A7A-D6E9-4976-A59C-AD05F8C936A7}"/>
    <cellStyle name="Output 2 6 3 5 2 3" xfId="15801" xr:uid="{47325968-66FD-4F21-9C80-DA342D24580A}"/>
    <cellStyle name="Output 2 6 3 5 2 4" xfId="22467" xr:uid="{A90AFD44-27BF-48D3-AD4B-6A44507D2768}"/>
    <cellStyle name="Output 2 6 3 5 3" xfId="4885" xr:uid="{C6DD00A6-75B4-42B9-8858-3C8196C60B38}"/>
    <cellStyle name="Output 2 6 3 5 3 2" xfId="10740" xr:uid="{E31ECBB8-5BF9-4F39-978D-DADF831EB09D}"/>
    <cellStyle name="Output 2 6 3 5 3 2 2" xfId="19786" xr:uid="{EB48DB4A-AC7F-41DE-9DF7-28B61A540F2E}"/>
    <cellStyle name="Output 2 6 3 5 3 3" xfId="16300" xr:uid="{923456B5-9D9A-46F4-A7B0-3982D14EFFFF}"/>
    <cellStyle name="Output 2 6 3 5 3 4" xfId="22962" xr:uid="{A648A919-46E9-4A6A-8C26-BF83539748C8}"/>
    <cellStyle name="Output 2 6 3 5 4" xfId="5500" xr:uid="{A2C2E143-537A-44A1-9292-376A6B6AD042}"/>
    <cellStyle name="Output 2 6 3 5 4 2" xfId="11353" xr:uid="{D6D062C9-7CBA-45BE-BDE8-C09136BF4061}"/>
    <cellStyle name="Output 2 6 3 5 4 2 2" xfId="20399" xr:uid="{E5E7C162-C61E-4A3A-AEE5-5F08993FA082}"/>
    <cellStyle name="Output 2 6 3 5 4 3" xfId="16913" xr:uid="{87160461-6C4B-49C3-9F6B-6F660928259E}"/>
    <cellStyle name="Output 2 6 3 5 5" xfId="6111" xr:uid="{F8B0060A-A473-42C8-89EF-C128324FB588}"/>
    <cellStyle name="Output 2 6 3 5 5 2" xfId="11960" xr:uid="{67D8F193-066D-41B2-832D-B8AD54DC7458}"/>
    <cellStyle name="Output 2 6 3 5 5 2 2" xfId="21006" xr:uid="{834D096A-4724-4674-8EC2-EE9B4A18375C}"/>
    <cellStyle name="Output 2 6 3 5 5 3" xfId="17524" xr:uid="{1670188D-03DB-42BB-B47A-7DAE0FA395E1}"/>
    <cellStyle name="Output 2 6 3 5 6" xfId="9374" xr:uid="{16534F20-CD8F-45AD-A322-CE240DB3DD20}"/>
    <cellStyle name="Output 2 6 3 5 6 2" xfId="18420" xr:uid="{ED810B24-C610-4F40-8433-5043D942C59C}"/>
    <cellStyle name="Output 2 6 3 5 7" xfId="12770" xr:uid="{42AA00D9-224D-4B2E-B13D-B41830947340}"/>
    <cellStyle name="Output 2 6 3 5 8" xfId="13330" xr:uid="{43034F9C-5F7E-4121-BF4F-D7A9431A7022}"/>
    <cellStyle name="Output 2 6 3 5 9" xfId="13966" xr:uid="{FA4EB7ED-61A7-4E2D-8163-C4F79D6D8EEA}"/>
    <cellStyle name="Output 2 6 3 6" xfId="3764" xr:uid="{453FC86F-C5BB-4C66-874F-CD7776262C98}"/>
    <cellStyle name="Output 2 6 3 6 2" xfId="9806" xr:uid="{BFE93A62-C1A8-42AB-9269-524C6B9022FB}"/>
    <cellStyle name="Output 2 6 3 6 2 2" xfId="18852" xr:uid="{D213798E-6D25-4C0B-979A-08FBFCEC7043}"/>
    <cellStyle name="Output 2 6 3 6 3" xfId="15372" xr:uid="{EEB00F6E-F640-4D3E-8987-5638EA564078}"/>
    <cellStyle name="Output 2 6 3 6 4" xfId="22351" xr:uid="{049E43B5-6CDF-499E-8641-3B22FEA6BAA8}"/>
    <cellStyle name="Output 2 6 3 7" xfId="4248" xr:uid="{B082EF68-4991-4D30-A9DB-A4A1CE1A1B87}"/>
    <cellStyle name="Output 2 6 3 7 2" xfId="10105" xr:uid="{DF7AC773-0AA0-4086-A5DD-E44FB8D18A23}"/>
    <cellStyle name="Output 2 6 3 7 2 2" xfId="19151" xr:uid="{7024020A-CDCD-4DD4-8CAC-14FA27675D43}"/>
    <cellStyle name="Output 2 6 3 7 3" xfId="15665" xr:uid="{43B6B840-EB7A-49A6-A05F-F749076D381C}"/>
    <cellStyle name="Output 2 6 3 7 4" xfId="22253" xr:uid="{1F3FD275-786A-48B2-82E7-04BA3ABCDB20}"/>
    <cellStyle name="Output 2 6 3 8" xfId="4134" xr:uid="{29D29935-EC65-4A55-824C-528E50515CAA}"/>
    <cellStyle name="Output 2 6 3 8 2" xfId="9991" xr:uid="{B0AA76BD-14CC-43E9-A3C9-551F0C27BA54}"/>
    <cellStyle name="Output 2 6 3 8 2 2" xfId="19037" xr:uid="{EAEDBEFE-1520-49C1-8DBB-8E65B6460062}"/>
    <cellStyle name="Output 2 6 3 8 3" xfId="15551" xr:uid="{9C245419-86C8-4CF0-9744-93981058872B}"/>
    <cellStyle name="Output 2 6 3 9" xfId="5285" xr:uid="{153C911F-2CD1-4082-B008-3108ACCFAE4F}"/>
    <cellStyle name="Output 2 6 3 9 2" xfId="11138" xr:uid="{63378E7D-F89A-432F-A843-F36D024EF322}"/>
    <cellStyle name="Output 2 6 3 9 2 2" xfId="20184" xr:uid="{882095FC-3FDB-493E-9B86-0FD02F1245D7}"/>
    <cellStyle name="Output 2 6 3 9 3" xfId="16698" xr:uid="{D8F66785-C792-43DC-A189-3747C3F1B9CD}"/>
    <cellStyle name="Output 2 6 4" xfId="2434" xr:uid="{C60DA37A-E0A9-436E-B6E9-43C0980CE3AD}"/>
    <cellStyle name="Output 2 6 4 10" xfId="13216" xr:uid="{19CCD04D-A9A6-49F1-B896-E8266A1631A7}"/>
    <cellStyle name="Output 2 6 4 11" xfId="13850" xr:uid="{89A90632-A021-448D-9BFA-0D2117B0727D}"/>
    <cellStyle name="Output 2 6 4 12" xfId="14825" xr:uid="{3D191AF7-884B-45CA-A54B-D8378158D408}"/>
    <cellStyle name="Output 2 6 4 13" xfId="21695" xr:uid="{B4DB8224-D28E-46B2-AC29-3CC7DDED80E0}"/>
    <cellStyle name="Output 2 6 4 2" xfId="2623" xr:uid="{9CF76D8D-506C-43E1-A8AE-73C5ECC39FF1}"/>
    <cellStyle name="Output 2 6 4 2 10" xfId="15252" xr:uid="{F0538F92-3F8F-4F9A-9F39-57BB51952C64}"/>
    <cellStyle name="Output 2 6 4 2 11" xfId="22121" xr:uid="{1D25963C-FA32-4BCA-9AD1-EBFEEA588415}"/>
    <cellStyle name="Output 2 6 4 2 12" xfId="3461" xr:uid="{82803F19-3A33-4C19-A949-FD3B00616EE2}"/>
    <cellStyle name="Output 2 6 4 2 2" xfId="4695" xr:uid="{AD745349-66E3-4114-B1A5-03EA031BE33B}"/>
    <cellStyle name="Output 2 6 4 2 2 2" xfId="10552" xr:uid="{77FD2397-4A91-4F21-B592-BD998FD8C09D}"/>
    <cellStyle name="Output 2 6 4 2 2 2 2" xfId="19598" xr:uid="{1C8B417E-25D0-4E01-B075-67B956C1309F}"/>
    <cellStyle name="Output 2 6 4 2 2 3" xfId="16112" xr:uid="{F57DCDD2-2515-4056-8137-51EA0263AEA4}"/>
    <cellStyle name="Output 2 6 4 2 2 4" xfId="22777" xr:uid="{8ACCD203-12DB-4647-BA96-AAB35A7BB8F6}"/>
    <cellStyle name="Output 2 6 4 2 3" xfId="5196" xr:uid="{8AA02E39-E81A-4043-8AC5-4948475B4C73}"/>
    <cellStyle name="Output 2 6 4 2 3 2" xfId="11049" xr:uid="{9C0C4C58-D3AE-4A31-A3F5-5409A06B4211}"/>
    <cellStyle name="Output 2 6 4 2 3 2 2" xfId="20095" xr:uid="{00533014-A0CC-44BA-A01F-1C9225F41359}"/>
    <cellStyle name="Output 2 6 4 2 3 3" xfId="16609" xr:uid="{E8B15BF2-4744-4954-BE59-2BD9583A5F67}"/>
    <cellStyle name="Output 2 6 4 2 3 4" xfId="23272" xr:uid="{06C04D65-9370-484F-A037-81E20D06C513}"/>
    <cellStyle name="Output 2 6 4 2 4" xfId="5811" xr:uid="{CE6051A3-E669-4FE8-B0C3-21D2A51A438D}"/>
    <cellStyle name="Output 2 6 4 2 4 2" xfId="11664" xr:uid="{20150984-FB4D-4736-8050-CA1C9A57EB2A}"/>
    <cellStyle name="Output 2 6 4 2 4 2 2" xfId="20710" xr:uid="{4FF767B6-9335-4B1C-9794-5546591BD7D5}"/>
    <cellStyle name="Output 2 6 4 2 4 3" xfId="17224" xr:uid="{AEE95B6C-5BE9-48A2-BDE8-D927EEAEAC04}"/>
    <cellStyle name="Output 2 6 4 2 5" xfId="6422" xr:uid="{BF479B74-BE3A-42BC-BB8B-7AAD7DF14D50}"/>
    <cellStyle name="Output 2 6 4 2 5 2" xfId="12269" xr:uid="{88C3D038-2CDD-4830-9553-8281A94AC8DC}"/>
    <cellStyle name="Output 2 6 4 2 5 2 2" xfId="21315" xr:uid="{8F63521A-C6C9-4F1B-A179-F307C93A57DA}"/>
    <cellStyle name="Output 2 6 4 2 5 3" xfId="17835" xr:uid="{464763C9-F1DB-4A2A-818B-A90DD358291D}"/>
    <cellStyle name="Output 2 6 4 2 6" xfId="9683" xr:uid="{304455EA-0805-4DC2-87A7-1688ED0516B5}"/>
    <cellStyle name="Output 2 6 4 2 6 2" xfId="18729" xr:uid="{1AFA3C2B-C218-4F3B-8669-5FA437F2A883}"/>
    <cellStyle name="Output 2 6 4 2 7" xfId="13081" xr:uid="{7035C6D1-8129-455E-9D4B-6020AFA57370}"/>
    <cellStyle name="Output 2 6 4 2 8" xfId="13638" xr:uid="{885E6CE3-B786-4CA1-8E65-A5CF2249E775}"/>
    <cellStyle name="Output 2 6 4 2 9" xfId="14277" xr:uid="{8FF7BDCF-4C15-4793-9662-DFF9DF11B6DB}"/>
    <cellStyle name="Output 2 6 4 3" xfId="3260" xr:uid="{D7352624-8920-4ED7-89B3-ACFF07A9CEEF}"/>
    <cellStyle name="Output 2 6 4 3 10" xfId="15040" xr:uid="{E0818DC1-C373-4A21-ABF3-CE93F2FF6405}"/>
    <cellStyle name="Output 2 6 4 3 11" xfId="21910" xr:uid="{73B588E9-F1FA-40E5-A03E-13394EFA9EAF}"/>
    <cellStyle name="Output 2 6 4 3 2" xfId="4483" xr:uid="{7F6442CE-7FC0-4FFD-9412-D20385CFC4B3}"/>
    <cellStyle name="Output 2 6 4 3 2 2" xfId="10340" xr:uid="{E43800A5-1F29-480D-B277-931DDA8673B0}"/>
    <cellStyle name="Output 2 6 4 3 2 2 2" xfId="19386" xr:uid="{A53FC3EE-ED4C-4A0B-BDA6-15AF34B133C1}"/>
    <cellStyle name="Output 2 6 4 3 2 3" xfId="15900" xr:uid="{DEA84349-000A-4589-B486-11314ACF4E7B}"/>
    <cellStyle name="Output 2 6 4 3 2 4" xfId="22566" xr:uid="{285883C5-29BC-4919-8DC7-564C2FA1DE08}"/>
    <cellStyle name="Output 2 6 4 3 3" xfId="4984" xr:uid="{2D9BE9A6-44EE-484C-ABD7-FB09722ADD1C}"/>
    <cellStyle name="Output 2 6 4 3 3 2" xfId="10837" xr:uid="{A1CC61C5-080E-43AE-8D56-38564F531C5B}"/>
    <cellStyle name="Output 2 6 4 3 3 2 2" xfId="19883" xr:uid="{692CB823-544D-4D3B-8F03-C85F368FDA40}"/>
    <cellStyle name="Output 2 6 4 3 3 3" xfId="16397" xr:uid="{9CE1A114-36EF-4747-891D-55C0916D7885}"/>
    <cellStyle name="Output 2 6 4 3 3 4" xfId="23061" xr:uid="{3388D497-FAE4-4EC6-9B6C-86D255496B72}"/>
    <cellStyle name="Output 2 6 4 3 4" xfId="5599" xr:uid="{A4AD2AFF-5EAD-439D-8B07-66E57231F623}"/>
    <cellStyle name="Output 2 6 4 3 4 2" xfId="11452" xr:uid="{F96E95EF-68EF-4026-88B4-AE880478366F}"/>
    <cellStyle name="Output 2 6 4 3 4 2 2" xfId="20498" xr:uid="{659663A2-2004-405D-9DE0-49351B7216BD}"/>
    <cellStyle name="Output 2 6 4 3 4 3" xfId="17012" xr:uid="{EF55F0CB-7A30-4A52-888A-2D33B244F52D}"/>
    <cellStyle name="Output 2 6 4 3 5" xfId="6210" xr:uid="{23F6F859-2FAD-46D9-84A9-22C83FDC1CBC}"/>
    <cellStyle name="Output 2 6 4 3 5 2" xfId="12057" xr:uid="{47CE01FA-7E45-41B1-9C96-781DE36BA879}"/>
    <cellStyle name="Output 2 6 4 3 5 2 2" xfId="21103" xr:uid="{E72B82C2-F8DB-4EF5-883D-990CF4567353}"/>
    <cellStyle name="Output 2 6 4 3 5 3" xfId="17623" xr:uid="{C5EA7EE4-0F08-4C54-A069-B4D99B83C239}"/>
    <cellStyle name="Output 2 6 4 3 6" xfId="9471" xr:uid="{60148955-C17F-404F-B2BF-26FCC00DE762}"/>
    <cellStyle name="Output 2 6 4 3 6 2" xfId="18517" xr:uid="{C297A705-09BF-4862-9A97-288A19FD65E4}"/>
    <cellStyle name="Output 2 6 4 3 7" xfId="12869" xr:uid="{B4D8CB9A-9735-4CFF-B5F3-CE8DFC7BCC6F}"/>
    <cellStyle name="Output 2 6 4 3 8" xfId="13427" xr:uid="{B2C5E3F3-8264-4260-92F0-4D62F4A42CAD}"/>
    <cellStyle name="Output 2 6 4 3 9" xfId="14065" xr:uid="{8031A043-F4D9-4D25-983C-6E8E78FB25C8}"/>
    <cellStyle name="Output 2 6 4 4" xfId="3994" xr:uid="{45737395-786A-4CCF-A280-C263B8FA63E7}"/>
    <cellStyle name="Output 2 6 4 4 2" xfId="9856" xr:uid="{95B2DE32-1F8B-4251-A4AB-C756B3FCACC9}"/>
    <cellStyle name="Output 2 6 4 4 2 2" xfId="18902" xr:uid="{CBE72240-1A78-4A46-9C70-B311065C07FB}"/>
    <cellStyle name="Output 2 6 4 4 3" xfId="15418" xr:uid="{2B12CED9-617A-4CC6-AC2E-EF89E0D60DB4}"/>
    <cellStyle name="Output 2 6 4 4 4" xfId="22846" xr:uid="{BCA17AAF-BEB6-4062-8872-CDC96FB43A81}"/>
    <cellStyle name="Output 2 6 4 5" xfId="4767" xr:uid="{046B79A8-AA3B-4BE4-941E-03A4250B6DD0}"/>
    <cellStyle name="Output 2 6 4 5 2" xfId="10624" xr:uid="{C3A92B0A-7C81-4C44-A9D2-474C892610DE}"/>
    <cellStyle name="Output 2 6 4 5 2 2" xfId="19670" xr:uid="{EA7D34EB-B918-4F36-8660-F21F61D5F240}"/>
    <cellStyle name="Output 2 6 4 5 3" xfId="16184" xr:uid="{1CD0D135-9FEF-4220-B1CD-D9DF81775CB2}"/>
    <cellStyle name="Output 2 6 4 6" xfId="5384" xr:uid="{DD4C9929-436C-44FD-BF51-DD30E58FAF3A}"/>
    <cellStyle name="Output 2 6 4 6 2" xfId="11237" xr:uid="{4F4820A2-99B3-4387-88D1-151DFB857A3B}"/>
    <cellStyle name="Output 2 6 4 6 2 2" xfId="20283" xr:uid="{58606CDD-AB97-47BE-B59C-614A7900410A}"/>
    <cellStyle name="Output 2 6 4 6 3" xfId="16797" xr:uid="{D4F63FA6-F388-4DE2-8544-0C10B57BC8B0}"/>
    <cellStyle name="Output 2 6 4 7" xfId="5995" xr:uid="{E6F94988-CB47-4F4F-A840-89968EC1C670}"/>
    <cellStyle name="Output 2 6 4 7 2" xfId="11846" xr:uid="{9C804245-AD52-459C-AFF3-2F7532D82E2A}"/>
    <cellStyle name="Output 2 6 4 7 2 2" xfId="20892" xr:uid="{836A216C-E97B-4D24-A9C3-9CE9ECDF8941}"/>
    <cellStyle name="Output 2 6 4 7 3" xfId="17408" xr:uid="{E738AF7C-F63B-49B5-8C62-C7F942B3636F}"/>
    <cellStyle name="Output 2 6 4 8" xfId="9256" xr:uid="{9AEC989D-6866-47B6-A342-9D1A33475065}"/>
    <cellStyle name="Output 2 6 4 8 2" xfId="18302" xr:uid="{94CE7CBA-F757-4850-83E7-F69EC931D927}"/>
    <cellStyle name="Output 2 6 4 9" xfId="12654" xr:uid="{EDDE105A-29B9-4423-AB23-25F8799A6268}"/>
    <cellStyle name="Output 2 6 5" xfId="2628" xr:uid="{1B3FFDDA-06C7-498E-9D9D-2AF86D8081E2}"/>
    <cellStyle name="Output 2 6 5 10" xfId="13851" xr:uid="{2D5FEC35-0371-4CE8-9B74-322FB3F98F22}"/>
    <cellStyle name="Output 2 6 5 11" xfId="14826" xr:uid="{A7AE04A0-27A4-417C-BC80-3FAE834502A4}"/>
    <cellStyle name="Output 2 6 5 12" xfId="21696" xr:uid="{6A214416-29B4-4B72-B0E6-040A89DC9990}"/>
    <cellStyle name="Output 2 6 5 13" xfId="3069" xr:uid="{5EF82371-035C-44DB-8B4E-1B4407BC3121}"/>
    <cellStyle name="Output 2 6 5 2" xfId="3462" xr:uid="{815321B3-0432-4474-942D-D5D3C8D28E5F}"/>
    <cellStyle name="Output 2 6 5 2 10" xfId="15253" xr:uid="{B59B2184-63D7-4728-8946-96B29F26FD6A}"/>
    <cellStyle name="Output 2 6 5 2 11" xfId="22122" xr:uid="{8416FCD3-DAB4-4790-BF51-EEAFFE1475BB}"/>
    <cellStyle name="Output 2 6 5 2 2" xfId="4696" xr:uid="{81CB9126-B6DF-4693-93D2-124A6E28C19D}"/>
    <cellStyle name="Output 2 6 5 2 2 2" xfId="10553" xr:uid="{DB29B3D1-543F-4477-8C23-35BEC96B404D}"/>
    <cellStyle name="Output 2 6 5 2 2 2 2" xfId="19599" xr:uid="{E8F166B5-D195-45E3-8C99-598ADB52A1D8}"/>
    <cellStyle name="Output 2 6 5 2 2 3" xfId="16113" xr:uid="{A9F6FE46-4CA0-4449-BA16-42BA9352BAB2}"/>
    <cellStyle name="Output 2 6 5 2 2 4" xfId="22778" xr:uid="{80242689-9235-4AA3-9B57-E18E1F738149}"/>
    <cellStyle name="Output 2 6 5 2 3" xfId="5197" xr:uid="{614E3E39-5FFC-42CB-9E14-E3047DD8C9E5}"/>
    <cellStyle name="Output 2 6 5 2 3 2" xfId="11050" xr:uid="{CFEC9C09-7EC1-4A68-B837-39474000D2B3}"/>
    <cellStyle name="Output 2 6 5 2 3 2 2" xfId="20096" xr:uid="{4BB720A2-EB87-4039-B52C-04A1D7A3BA82}"/>
    <cellStyle name="Output 2 6 5 2 3 3" xfId="16610" xr:uid="{F2EEEB91-F18A-4F17-B95A-31EDE196BD06}"/>
    <cellStyle name="Output 2 6 5 2 3 4" xfId="23273" xr:uid="{D78037D3-CFF0-4B77-9928-0192DC4936DB}"/>
    <cellStyle name="Output 2 6 5 2 4" xfId="5812" xr:uid="{D7A09873-F46C-4BE1-A360-22017675682B}"/>
    <cellStyle name="Output 2 6 5 2 4 2" xfId="11665" xr:uid="{37154232-FCC3-4AEF-8C6D-717E76F179E3}"/>
    <cellStyle name="Output 2 6 5 2 4 2 2" xfId="20711" xr:uid="{76FE1BB2-31F5-44EB-9B61-25A723DE85FB}"/>
    <cellStyle name="Output 2 6 5 2 4 3" xfId="17225" xr:uid="{913A378C-0DA5-4061-8D3F-7ECB06BC4EC5}"/>
    <cellStyle name="Output 2 6 5 2 5" xfId="6423" xr:uid="{ED96AC28-EE29-4A28-8397-99FBC6DC9407}"/>
    <cellStyle name="Output 2 6 5 2 5 2" xfId="12270" xr:uid="{80F98C27-00C4-49F5-B627-D079309C12DA}"/>
    <cellStyle name="Output 2 6 5 2 5 2 2" xfId="21316" xr:uid="{A7F82548-7147-4F7C-9DA9-EA924EEDA673}"/>
    <cellStyle name="Output 2 6 5 2 5 3" xfId="17836" xr:uid="{77C9C847-72B3-4BFC-8F41-D468E0D19E9F}"/>
    <cellStyle name="Output 2 6 5 2 6" xfId="9684" xr:uid="{DD69E9B8-CE1B-4C69-A5F2-9891B4D67D55}"/>
    <cellStyle name="Output 2 6 5 2 6 2" xfId="18730" xr:uid="{B3DCBD47-81A9-4619-8E97-9BE7FB13DA58}"/>
    <cellStyle name="Output 2 6 5 2 7" xfId="13082" xr:uid="{F3DFEE6B-35AC-43BD-9B12-753AD4DC49FE}"/>
    <cellStyle name="Output 2 6 5 2 8" xfId="13639" xr:uid="{AE3407F6-FD19-43EC-8247-46ADEFEF0004}"/>
    <cellStyle name="Output 2 6 5 2 9" xfId="14278" xr:uid="{32AF0BFC-43DA-4992-ACDB-4C1B391DACCC}"/>
    <cellStyle name="Output 2 6 5 3" xfId="3261" xr:uid="{33C35043-947C-4660-8E0A-E175CE380C39}"/>
    <cellStyle name="Output 2 6 5 3 10" xfId="15041" xr:uid="{E59A7A9F-4083-4B76-A83A-484C74AC8369}"/>
    <cellStyle name="Output 2 6 5 3 11" xfId="21911" xr:uid="{180F56FD-F34F-4B75-97AF-76B13D40B770}"/>
    <cellStyle name="Output 2 6 5 3 2" xfId="4484" xr:uid="{269327C3-F779-43FD-B405-FE0DBE0B0079}"/>
    <cellStyle name="Output 2 6 5 3 2 2" xfId="10341" xr:uid="{BD964483-E3AA-4CD5-B0C7-D8EBB07C2754}"/>
    <cellStyle name="Output 2 6 5 3 2 2 2" xfId="19387" xr:uid="{7AF7ADC2-4291-4DC2-9782-08036184B1E0}"/>
    <cellStyle name="Output 2 6 5 3 2 3" xfId="15901" xr:uid="{188BD710-CB57-48CE-84D6-C6CC317B9FD9}"/>
    <cellStyle name="Output 2 6 5 3 2 4" xfId="22567" xr:uid="{1F77847D-C90E-462A-93CD-5EE26A6341C1}"/>
    <cellStyle name="Output 2 6 5 3 3" xfId="4985" xr:uid="{AD9443E6-DDE9-44E0-8F20-7A7D064B7AA6}"/>
    <cellStyle name="Output 2 6 5 3 3 2" xfId="10838" xr:uid="{87A2984D-190E-4F91-B1D0-93D69624E277}"/>
    <cellStyle name="Output 2 6 5 3 3 2 2" xfId="19884" xr:uid="{9FB578E9-11C8-406B-8249-1F78B18BE460}"/>
    <cellStyle name="Output 2 6 5 3 3 3" xfId="16398" xr:uid="{ADA4D569-8A41-478C-9E3C-76332805A210}"/>
    <cellStyle name="Output 2 6 5 3 3 4" xfId="23062" xr:uid="{D5D0C8BC-E080-4957-933D-9CE1525759E3}"/>
    <cellStyle name="Output 2 6 5 3 4" xfId="5600" xr:uid="{B22949FA-1A9D-4461-AA3C-AF98702168AD}"/>
    <cellStyle name="Output 2 6 5 3 4 2" xfId="11453" xr:uid="{7FE9D8E1-1E3F-4F11-AC4C-53D179C9BE1C}"/>
    <cellStyle name="Output 2 6 5 3 4 2 2" xfId="20499" xr:uid="{342BCD5D-8F39-4AD8-B98A-B6FCC2B7C8E2}"/>
    <cellStyle name="Output 2 6 5 3 4 3" xfId="17013" xr:uid="{F6ECDF3C-127D-4E78-8219-ECF800636B99}"/>
    <cellStyle name="Output 2 6 5 3 5" xfId="6211" xr:uid="{8325853A-AEAE-4112-B79C-52EE1DF117B7}"/>
    <cellStyle name="Output 2 6 5 3 5 2" xfId="12058" xr:uid="{EB6343FD-122B-44EE-84E7-BE6702F5AFA2}"/>
    <cellStyle name="Output 2 6 5 3 5 2 2" xfId="21104" xr:uid="{255F97DB-D3FF-4D45-941A-293C66A386C6}"/>
    <cellStyle name="Output 2 6 5 3 5 3" xfId="17624" xr:uid="{4B506DE9-2A36-45B9-9740-00EF283BCBFB}"/>
    <cellStyle name="Output 2 6 5 3 6" xfId="9472" xr:uid="{DBB75708-3C09-4C6C-B4B6-62EF0944899B}"/>
    <cellStyle name="Output 2 6 5 3 6 2" xfId="18518" xr:uid="{CCF6F59C-E9C8-47A4-B339-F1D6BEFA9F8E}"/>
    <cellStyle name="Output 2 6 5 3 7" xfId="12870" xr:uid="{E02CD4E1-647D-4111-AF7F-E3A5948C99EB}"/>
    <cellStyle name="Output 2 6 5 3 8" xfId="13428" xr:uid="{BF53CC9E-B05C-4CC9-8B6C-426FB094B84B}"/>
    <cellStyle name="Output 2 6 5 3 9" xfId="14066" xr:uid="{B7F9BB3C-9EBB-46EE-BFE4-F808337E6AD1}"/>
    <cellStyle name="Output 2 6 5 4" xfId="4768" xr:uid="{E0DA426D-B35A-409A-920D-99DEB6341F34}"/>
    <cellStyle name="Output 2 6 5 4 2" xfId="10625" xr:uid="{EBCDD20D-23B5-494F-BDDF-F04094854F25}"/>
    <cellStyle name="Output 2 6 5 4 2 2" xfId="19671" xr:uid="{DB1AC536-4A8E-49F7-9D6E-BEF32F39F321}"/>
    <cellStyle name="Output 2 6 5 4 3" xfId="16185" xr:uid="{4AEB5476-B15F-4B9B-B8AE-89868899A970}"/>
    <cellStyle name="Output 2 6 5 4 4" xfId="22847" xr:uid="{7ECC32EC-48C5-4B2D-B94D-839C59EB8B00}"/>
    <cellStyle name="Output 2 6 5 5" xfId="5385" xr:uid="{AE4E60C0-7E7E-4420-BF1D-1C9064266D92}"/>
    <cellStyle name="Output 2 6 5 5 2" xfId="11238" xr:uid="{EAFC81F0-B435-423C-BE78-43DC2D38B5AD}"/>
    <cellStyle name="Output 2 6 5 5 2 2" xfId="20284" xr:uid="{5ADCABD4-69B9-48E8-B9F1-9E655A017173}"/>
    <cellStyle name="Output 2 6 5 5 3" xfId="16798" xr:uid="{AFCEDECD-DFDA-4071-9C0F-65978925A6E5}"/>
    <cellStyle name="Output 2 6 5 6" xfId="5996" xr:uid="{EF411306-F130-484D-A48F-EB67B50B22F6}"/>
    <cellStyle name="Output 2 6 5 6 2" xfId="11847" xr:uid="{82B21665-0F9B-4DCD-A5FF-6D7951B12FD5}"/>
    <cellStyle name="Output 2 6 5 6 2 2" xfId="20893" xr:uid="{960C1861-2ABE-43CF-9D9E-959260C62EEE}"/>
    <cellStyle name="Output 2 6 5 6 3" xfId="17409" xr:uid="{DF4ABA5C-3A82-448A-999C-FE258D5AC3BF}"/>
    <cellStyle name="Output 2 6 5 7" xfId="9257" xr:uid="{DEBAEC28-0FC2-42A7-92A0-93BF3D909C0F}"/>
    <cellStyle name="Output 2 6 5 7 2" xfId="18303" xr:uid="{53BA4F5F-3F66-429D-B841-23E18EF0A9A0}"/>
    <cellStyle name="Output 2 6 5 8" xfId="12655" xr:uid="{E5F156EB-83E9-4513-8B2A-16E90A6C6E19}"/>
    <cellStyle name="Output 2 6 5 9" xfId="13217" xr:uid="{5B2EDDA4-DC92-4CE9-89C2-84E62C6DBD3E}"/>
    <cellStyle name="Output 2 6 6" xfId="3338" xr:uid="{BC97A478-F06F-46FA-BE75-C350A7A65064}"/>
    <cellStyle name="Output 2 6 6 10" xfId="15118" xr:uid="{FB37DB24-D0F2-4CDF-963B-780671B23B27}"/>
    <cellStyle name="Output 2 6 6 11" xfId="21987" xr:uid="{A31AE93A-413D-48B8-9291-510AAA52A02E}"/>
    <cellStyle name="Output 2 6 6 2" xfId="4561" xr:uid="{4952231E-E3FD-45EE-8768-662C3A132715}"/>
    <cellStyle name="Output 2 6 6 2 2" xfId="10418" xr:uid="{0BE24544-B9EF-457C-BA4A-E1D88737F3C0}"/>
    <cellStyle name="Output 2 6 6 2 2 2" xfId="19464" xr:uid="{4E8CEF92-F4EA-4BD5-9886-7A1C7BCED0ED}"/>
    <cellStyle name="Output 2 6 6 2 3" xfId="15978" xr:uid="{A07A3149-D770-4E13-BD06-1D02377E2AD2}"/>
    <cellStyle name="Output 2 6 6 2 4" xfId="22643" xr:uid="{717C32E6-518E-483D-92A5-58BCA656F6CA}"/>
    <cellStyle name="Output 2 6 6 3" xfId="5062" xr:uid="{2B412590-6166-4625-9E20-6359E335DEB2}"/>
    <cellStyle name="Output 2 6 6 3 2" xfId="10915" xr:uid="{8CEBEB2D-8A35-4D86-898D-00AB059FA7CD}"/>
    <cellStyle name="Output 2 6 6 3 2 2" xfId="19961" xr:uid="{9695D308-8A61-4CF0-BEF7-E4E5C9702C33}"/>
    <cellStyle name="Output 2 6 6 3 3" xfId="16475" xr:uid="{467E8223-AE29-4937-8C90-372FF6D0FF09}"/>
    <cellStyle name="Output 2 6 6 3 4" xfId="23138" xr:uid="{2C0DB070-D9B7-4E93-84FE-3771C6545D9B}"/>
    <cellStyle name="Output 2 6 6 4" xfId="5677" xr:uid="{6E2D6EEA-66D2-4830-A047-03FE74A96E0F}"/>
    <cellStyle name="Output 2 6 6 4 2" xfId="11530" xr:uid="{507D133A-11AE-4C78-B439-AF9D7572B75B}"/>
    <cellStyle name="Output 2 6 6 4 2 2" xfId="20576" xr:uid="{1698AC7D-8A16-44AE-BA1A-65775F6CF1F7}"/>
    <cellStyle name="Output 2 6 6 4 3" xfId="17090" xr:uid="{F51AFBDD-0860-4B04-B896-A0035034C4F4}"/>
    <cellStyle name="Output 2 6 6 5" xfId="6288" xr:uid="{A93068C9-A0F7-4C36-8314-BC6CA3B88DD6}"/>
    <cellStyle name="Output 2 6 6 5 2" xfId="12135" xr:uid="{BADC814A-5D6A-455A-9ED6-2FBA84A2BB81}"/>
    <cellStyle name="Output 2 6 6 5 2 2" xfId="21181" xr:uid="{C1F104B4-9189-41D6-82A2-311AAAC34499}"/>
    <cellStyle name="Output 2 6 6 5 3" xfId="17701" xr:uid="{3D9ED2C7-3077-4EDE-A4FB-C14EC82DEC41}"/>
    <cellStyle name="Output 2 6 6 6" xfId="9549" xr:uid="{41609CA5-BA3E-4D58-B1F9-7EC75D8FD80B}"/>
    <cellStyle name="Output 2 6 6 6 2" xfId="18595" xr:uid="{0BCFAB98-F94D-44EE-B46C-04D441258A84}"/>
    <cellStyle name="Output 2 6 6 7" xfId="12947" xr:uid="{4FCC9164-2F16-40EE-8F49-8884A97BD746}"/>
    <cellStyle name="Output 2 6 6 8" xfId="13504" xr:uid="{F5903ACC-A3CA-44F2-A53E-7394C4BC03E6}"/>
    <cellStyle name="Output 2 6 6 9" xfId="14143" xr:uid="{A42C467D-B4B1-4095-9FB3-F247F1E0D5BD}"/>
    <cellStyle name="Output 2 6 7" xfId="3126" xr:uid="{CCBD67FE-98F9-4ED6-929D-2CE63B1FADE7}"/>
    <cellStyle name="Output 2 6 7 10" xfId="14906" xr:uid="{4BF19BC0-5CCC-4585-B038-9D15B13ACF40}"/>
    <cellStyle name="Output 2 6 7 11" xfId="21774" xr:uid="{4C8B2EC3-DE39-4588-93D2-25778BFECC55}"/>
    <cellStyle name="Output 2 6 7 2" xfId="4347" xr:uid="{63C38AFB-EEEA-4BC6-A46E-D518AE2CC10A}"/>
    <cellStyle name="Output 2 6 7 2 2" xfId="10204" xr:uid="{5C603416-F939-4FB5-99F2-894F1A0A972D}"/>
    <cellStyle name="Output 2 6 7 2 2 2" xfId="19250" xr:uid="{7E18824F-AF3B-436A-846F-87E593B693D4}"/>
    <cellStyle name="Output 2 6 7 2 3" xfId="15764" xr:uid="{4D131212-2026-4C94-8C3B-587AB5A89639}"/>
    <cellStyle name="Output 2 6 7 2 4" xfId="22430" xr:uid="{A6C051B0-3AA4-40EC-957D-EFFF83E31A2F}"/>
    <cellStyle name="Output 2 6 7 3" xfId="4848" xr:uid="{EFE3FEFE-8DC5-4807-9251-E9F7C4256C4B}"/>
    <cellStyle name="Output 2 6 7 3 2" xfId="10703" xr:uid="{DBEC9B52-9785-4A2A-8BBC-278D235D8B57}"/>
    <cellStyle name="Output 2 6 7 3 2 2" xfId="19749" xr:uid="{98825317-9895-4A3A-A5EF-165E3C6BC95D}"/>
    <cellStyle name="Output 2 6 7 3 3" xfId="16263" xr:uid="{A2218A4C-4619-4270-BD3B-59ED295B4942}"/>
    <cellStyle name="Output 2 6 7 3 4" xfId="22925" xr:uid="{E54AEAEA-B0F7-493C-9118-BB7B1B56B405}"/>
    <cellStyle name="Output 2 6 7 4" xfId="5463" xr:uid="{63088E48-BFF4-40EE-B7B1-5D5734142813}"/>
    <cellStyle name="Output 2 6 7 4 2" xfId="11316" xr:uid="{389D30A5-F699-4138-B5CC-02375F992081}"/>
    <cellStyle name="Output 2 6 7 4 2 2" xfId="20362" xr:uid="{23688D63-D06D-420D-9212-7E8F6C0837F9}"/>
    <cellStyle name="Output 2 6 7 4 3" xfId="16876" xr:uid="{F5609F09-8577-40F0-95E3-F1429D6CEE82}"/>
    <cellStyle name="Output 2 6 7 5" xfId="6074" xr:uid="{D8776D81-CBC4-4530-8DFA-2E49B9884F16}"/>
    <cellStyle name="Output 2 6 7 5 2" xfId="11923" xr:uid="{3BF7E3DB-AA70-4418-9D5B-59ADE840D1A7}"/>
    <cellStyle name="Output 2 6 7 5 2 2" xfId="20969" xr:uid="{4ED126BD-746B-4432-8222-FD9D0B6225BA}"/>
    <cellStyle name="Output 2 6 7 5 3" xfId="17487" xr:uid="{3F626FE2-F170-4474-AE9E-E9A92BAFAEA3}"/>
    <cellStyle name="Output 2 6 7 6" xfId="9337" xr:uid="{371A7BDE-D223-47A5-B402-EB6596EE7538}"/>
    <cellStyle name="Output 2 6 7 6 2" xfId="18383" xr:uid="{3CDBB481-7950-4701-87FD-3AF6AD04BA1C}"/>
    <cellStyle name="Output 2 6 7 7" xfId="12733" xr:uid="{810ACF57-C18D-4297-BB30-34A93CA3BE59}"/>
    <cellStyle name="Output 2 6 7 8" xfId="13293" xr:uid="{E56D9C13-6012-43B9-827D-1E01CCB5655F}"/>
    <cellStyle name="Output 2 6 7 9" xfId="13929" xr:uid="{15CB2C07-3067-4229-B3F1-66CB16C7609A}"/>
    <cellStyle name="Output 2 6 8" xfId="3726" xr:uid="{309A8440-BAB3-46A1-A4B2-79BC2F97A5C1}"/>
    <cellStyle name="Output 2 6 8 2" xfId="9768" xr:uid="{65614306-4B76-43FC-AA67-D50EA95B8A7E}"/>
    <cellStyle name="Output 2 6 8 2 2" xfId="18814" xr:uid="{9EB901E6-E3A4-4BB9-8290-538B2820592D}"/>
    <cellStyle name="Output 2 6 8 3" xfId="15334" xr:uid="{5EFA34E1-8862-446A-AC15-B12A3B31DC1E}"/>
    <cellStyle name="Output 2 6 8 4" xfId="22313" xr:uid="{A26FE487-AA5C-4A94-BA66-844B411791A0}"/>
    <cellStyle name="Output 2 6 9" xfId="4210" xr:uid="{37487985-2470-4118-9DF0-E945A13A2E40}"/>
    <cellStyle name="Output 2 6 9 2" xfId="10067" xr:uid="{61FDB0C5-D618-4FD9-8C52-04F704D673A0}"/>
    <cellStyle name="Output 2 6 9 2 2" xfId="19113" xr:uid="{4146E9D0-C71D-4B82-B29F-93611C883F6C}"/>
    <cellStyle name="Output 2 6 9 3" xfId="15627" xr:uid="{61FE8EE0-B777-4710-9869-B1C4829C9DFC}"/>
    <cellStyle name="Output 2 6 9 4" xfId="22176" xr:uid="{5924BFE3-9B5C-4BD4-B091-329B9E029FD6}"/>
    <cellStyle name="Output 2 7" xfId="2435" xr:uid="{9DB90665-1F9E-4B0F-9065-E2CBE481FF04}"/>
    <cellStyle name="Output 2 7 10" xfId="4272" xr:uid="{753B7EA5-440D-4134-9007-2E76C27A5C5B}"/>
    <cellStyle name="Output 2 7 10 2" xfId="10129" xr:uid="{4305B9E6-3D77-448A-BC3E-90677992B560}"/>
    <cellStyle name="Output 2 7 10 2 2" xfId="19175" xr:uid="{BDEA49BE-5F61-4C70-82CD-9F83C9E382EB}"/>
    <cellStyle name="Output 2 7 10 3" xfId="15689" xr:uid="{AB4884E7-638D-49D9-A0B8-6801E49AEF9A}"/>
    <cellStyle name="Output 2 7 11" xfId="4319" xr:uid="{2298AB14-F999-4337-A53A-A34A86874439}"/>
    <cellStyle name="Output 2 7 11 2" xfId="10176" xr:uid="{99EEBCAA-EF93-44B5-94FB-215DEF9AC95C}"/>
    <cellStyle name="Output 2 7 11 2 2" xfId="19222" xr:uid="{B4A90F2D-99BD-4BEA-85BE-D267C3782DA1}"/>
    <cellStyle name="Output 2 7 11 3" xfId="15736" xr:uid="{B6F93A68-9258-468A-B761-076CB8AD80D3}"/>
    <cellStyle name="Output 2 7 12" xfId="4779" xr:uid="{0C4622F5-9002-4425-9F83-55A21A2E864D}"/>
    <cellStyle name="Output 2 7 12 2" xfId="10636" xr:uid="{4ABEF312-34D8-4BEA-A565-BD5EF66A25D4}"/>
    <cellStyle name="Output 2 7 12 2 2" xfId="19682" xr:uid="{4B08B238-0B16-4DE4-B8E4-C1F962BF8DB3}"/>
    <cellStyle name="Output 2 7 12 3" xfId="16196" xr:uid="{59ABE00A-808D-4775-9855-E8E3A6466C9F}"/>
    <cellStyle name="Output 2 7 13" xfId="9121" xr:uid="{EFB5C219-95BF-40AE-868E-F5D9C66078C6}"/>
    <cellStyle name="Output 2 7 13 2" xfId="18167" xr:uid="{E17D384E-B128-49A9-8426-E5B786D08680}"/>
    <cellStyle name="Output 2 7 14" xfId="12521" xr:uid="{264EF9FD-79DD-4E09-96BE-E7D440D84ED2}"/>
    <cellStyle name="Output 2 7 15" xfId="13715" xr:uid="{A27B3AD8-BF87-4B8E-B117-FE7AFDB60E96}"/>
    <cellStyle name="Output 2 7 16" xfId="14690" xr:uid="{6214DDF9-9149-4844-BC55-914C169851D0}"/>
    <cellStyle name="Output 2 7 17" xfId="21562" xr:uid="{31A113F8-1191-4E9D-A612-2AEBA1F81BA9}"/>
    <cellStyle name="Output 2 7 18" xfId="23781" xr:uid="{E5D95B6F-D250-4E9C-BF3F-14EE9F29B2BC}"/>
    <cellStyle name="Output 2 7 2" xfId="2436" xr:uid="{89968EB7-D873-47B4-94DB-1883C1E074E1}"/>
    <cellStyle name="Output 2 7 2 10" xfId="5897" xr:uid="{FFDAC8C0-4FD9-4BF3-A03D-ACEF32B696A5}"/>
    <cellStyle name="Output 2 7 2 10 2" xfId="11750" xr:uid="{B72B507F-0A40-42BC-8BB8-034103D6101D}"/>
    <cellStyle name="Output 2 7 2 10 2 2" xfId="20796" xr:uid="{CC01490D-EF38-4DED-AEE5-89E3EEDB698B}"/>
    <cellStyle name="Output 2 7 2 10 3" xfId="17310" xr:uid="{F1DC8357-E941-495B-8D07-60A4097E35C2}"/>
    <cellStyle name="Output 2 7 2 11" xfId="9160" xr:uid="{DBB1765E-5EB4-4345-B18F-87EC991F2017}"/>
    <cellStyle name="Output 2 7 2 11 2" xfId="18206" xr:uid="{A08192E8-DBF5-42F0-BC35-661B3B4F0835}"/>
    <cellStyle name="Output 2 7 2 12" xfId="12558" xr:uid="{C85A9CF4-CAC6-4327-A315-C427B02E7893}"/>
    <cellStyle name="Output 2 7 2 13" xfId="13752" xr:uid="{C9CEED04-7C2D-4653-B830-329A2B4FF432}"/>
    <cellStyle name="Output 2 7 2 14" xfId="14729" xr:uid="{2147411A-B49F-4C24-A5C4-E912FFC1CAA1}"/>
    <cellStyle name="Output 2 7 2 15" xfId="21599" xr:uid="{B08DC595-75ED-437A-93F6-97114DE62620}"/>
    <cellStyle name="Output 2 7 2 16" xfId="23782" xr:uid="{6B4B94EB-FEC3-45FA-BAD5-9D735CFBC0E4}"/>
    <cellStyle name="Output 2 7 2 2" xfId="2437" xr:uid="{F18BCE8A-1B1B-4A4C-847D-B66A4DB5AD59}"/>
    <cellStyle name="Output 2 7 2 2 10" xfId="13218" xr:uid="{A7C4F6F0-2B77-4CC5-8B5A-669E8E193FDC}"/>
    <cellStyle name="Output 2 7 2 2 11" xfId="13852" xr:uid="{D4AC021E-DE3E-4B30-BDD0-AE5E17739440}"/>
    <cellStyle name="Output 2 7 2 2 12" xfId="14827" xr:uid="{ED486564-F43E-42C7-934A-1455528A8EA1}"/>
    <cellStyle name="Output 2 7 2 2 13" xfId="21697" xr:uid="{F8FF25B7-26D2-43F6-A5E5-F3AB4B38943B}"/>
    <cellStyle name="Output 2 7 2 2 2" xfId="2952" xr:uid="{D85BD22A-6BCC-4D9B-A55D-CD7A1BFBCF11}"/>
    <cellStyle name="Output 2 7 2 2 2 10" xfId="15254" xr:uid="{05E48104-DD44-48DF-9EB4-DC12C9C033DE}"/>
    <cellStyle name="Output 2 7 2 2 2 11" xfId="22123" xr:uid="{9AB260A8-8B67-4B82-98BE-9175BB70E684}"/>
    <cellStyle name="Output 2 7 2 2 2 12" xfId="3463" xr:uid="{30C772CE-AAA9-4739-A17B-A4713AB54541}"/>
    <cellStyle name="Output 2 7 2 2 2 2" xfId="4697" xr:uid="{38E7B48D-5A8A-4BA3-BB1C-B57CB363B0E1}"/>
    <cellStyle name="Output 2 7 2 2 2 2 2" xfId="10554" xr:uid="{1827315A-634E-42DC-8278-0ABF6B7274D9}"/>
    <cellStyle name="Output 2 7 2 2 2 2 2 2" xfId="19600" xr:uid="{E1A5DFF6-39C0-4742-A799-4C6385CA32B7}"/>
    <cellStyle name="Output 2 7 2 2 2 2 3" xfId="16114" xr:uid="{06ED46E1-F7BE-4DD5-8116-A7DD0F8EE1F6}"/>
    <cellStyle name="Output 2 7 2 2 2 2 4" xfId="22779" xr:uid="{6745ED87-1EAC-4C71-9973-0047A444A9E4}"/>
    <cellStyle name="Output 2 7 2 2 2 3" xfId="5198" xr:uid="{C095172E-184F-495F-B0EA-F40668C11C97}"/>
    <cellStyle name="Output 2 7 2 2 2 3 2" xfId="11051" xr:uid="{F57177BA-4BCC-4238-B06F-3722006F11A5}"/>
    <cellStyle name="Output 2 7 2 2 2 3 2 2" xfId="20097" xr:uid="{013920EC-7A48-4400-8CB5-A05DBBF82F88}"/>
    <cellStyle name="Output 2 7 2 2 2 3 3" xfId="16611" xr:uid="{49742452-DAB2-4BEB-8CBC-3C0BDFADE51A}"/>
    <cellStyle name="Output 2 7 2 2 2 3 4" xfId="23274" xr:uid="{0BA3DB8F-B05F-406A-A124-AF30BE002321}"/>
    <cellStyle name="Output 2 7 2 2 2 4" xfId="5813" xr:uid="{B388CD04-D3A8-4742-B087-A615B15CD44F}"/>
    <cellStyle name="Output 2 7 2 2 2 4 2" xfId="11666" xr:uid="{81EEC196-8D76-4C2D-A9BB-742D8C22F886}"/>
    <cellStyle name="Output 2 7 2 2 2 4 2 2" xfId="20712" xr:uid="{3C4A7FCF-9A07-466A-A9AA-3E1269570A78}"/>
    <cellStyle name="Output 2 7 2 2 2 4 3" xfId="17226" xr:uid="{8796A59B-7FEB-4E2C-BB57-5A0CAA869320}"/>
    <cellStyle name="Output 2 7 2 2 2 5" xfId="6424" xr:uid="{93CA82D5-A1D7-49A2-BA2E-3A8B682BF0FC}"/>
    <cellStyle name="Output 2 7 2 2 2 5 2" xfId="12271" xr:uid="{080240C5-50E6-4F0C-B77D-3056B80777A8}"/>
    <cellStyle name="Output 2 7 2 2 2 5 2 2" xfId="21317" xr:uid="{BFCAF869-FBCC-43C6-8076-BFEFFA0B504D}"/>
    <cellStyle name="Output 2 7 2 2 2 5 3" xfId="17837" xr:uid="{D2F979CE-24ED-44E3-B0E1-D1DC36A46D19}"/>
    <cellStyle name="Output 2 7 2 2 2 6" xfId="9685" xr:uid="{A1737C6F-B8EC-44D1-B148-D806525E4A4E}"/>
    <cellStyle name="Output 2 7 2 2 2 6 2" xfId="18731" xr:uid="{B3A7EB35-0CB6-4FC8-8067-2F91E34DBC3E}"/>
    <cellStyle name="Output 2 7 2 2 2 7" xfId="13083" xr:uid="{4272BAC5-3896-456A-AF96-595DAD7353FE}"/>
    <cellStyle name="Output 2 7 2 2 2 8" xfId="13640" xr:uid="{4F9F9CD0-D12A-4C65-891F-884B25933128}"/>
    <cellStyle name="Output 2 7 2 2 2 9" xfId="14279" xr:uid="{B84B5EFA-6FE2-4B26-8AFA-240C0E3E2CDE}"/>
    <cellStyle name="Output 2 7 2 2 3" xfId="3262" xr:uid="{799F3621-ABB0-44A4-BDF2-0CBA201638D8}"/>
    <cellStyle name="Output 2 7 2 2 3 10" xfId="15042" xr:uid="{EABA8535-B6EE-4AFD-A367-36FF178A1DBB}"/>
    <cellStyle name="Output 2 7 2 2 3 11" xfId="21912" xr:uid="{1DCEF868-6003-4062-AE83-421E347621DB}"/>
    <cellStyle name="Output 2 7 2 2 3 2" xfId="4485" xr:uid="{6415D3D0-7254-435C-80F1-7CE28EF3528E}"/>
    <cellStyle name="Output 2 7 2 2 3 2 2" xfId="10342" xr:uid="{C67EBB00-FC91-4544-B94A-5F833510BC8F}"/>
    <cellStyle name="Output 2 7 2 2 3 2 2 2" xfId="19388" xr:uid="{FCB5BFDC-CA01-4E48-8AB8-210DAEA5C9DF}"/>
    <cellStyle name="Output 2 7 2 2 3 2 3" xfId="15902" xr:uid="{47C598A8-B4EB-4555-8A81-99B242FD2107}"/>
    <cellStyle name="Output 2 7 2 2 3 2 4" xfId="22568" xr:uid="{20A0598F-F8BE-4ECD-A874-BAAF86737DE3}"/>
    <cellStyle name="Output 2 7 2 2 3 3" xfId="4986" xr:uid="{5C363D85-A6EE-4C77-9CED-D2C9218FF9BC}"/>
    <cellStyle name="Output 2 7 2 2 3 3 2" xfId="10839" xr:uid="{2D6E1BE2-DAB1-472E-8F7B-71B110139788}"/>
    <cellStyle name="Output 2 7 2 2 3 3 2 2" xfId="19885" xr:uid="{5683C98B-C58D-4DFB-864A-4C437E4EEDCD}"/>
    <cellStyle name="Output 2 7 2 2 3 3 3" xfId="16399" xr:uid="{74609D57-248D-46EE-89E0-A56D26B6B5AA}"/>
    <cellStyle name="Output 2 7 2 2 3 3 4" xfId="23063" xr:uid="{7F02984E-3A8A-4780-BE75-C689FC322888}"/>
    <cellStyle name="Output 2 7 2 2 3 4" xfId="5601" xr:uid="{1109895A-D617-43EF-9D4B-04ED76C5D1BE}"/>
    <cellStyle name="Output 2 7 2 2 3 4 2" xfId="11454" xr:uid="{753EB4CC-0930-4075-9D95-A01776A3CA89}"/>
    <cellStyle name="Output 2 7 2 2 3 4 2 2" xfId="20500" xr:uid="{DDAC1BB3-2843-42DA-950D-2F372D363D2D}"/>
    <cellStyle name="Output 2 7 2 2 3 4 3" xfId="17014" xr:uid="{F7FC7934-B39F-469A-820D-B760BBE2CF97}"/>
    <cellStyle name="Output 2 7 2 2 3 5" xfId="6212" xr:uid="{C7903B86-2BDF-441D-8AE1-94776331FB64}"/>
    <cellStyle name="Output 2 7 2 2 3 5 2" xfId="12059" xr:uid="{36377833-84C9-4786-842F-DAD320D28CBF}"/>
    <cellStyle name="Output 2 7 2 2 3 5 2 2" xfId="21105" xr:uid="{90D5459D-56DC-40EC-9360-58C03213A8F2}"/>
    <cellStyle name="Output 2 7 2 2 3 5 3" xfId="17625" xr:uid="{29F32CBD-5F01-4507-A70F-9ECA48080334}"/>
    <cellStyle name="Output 2 7 2 2 3 6" xfId="9473" xr:uid="{6316EC8C-B403-4DFD-AE3A-50A6078DA2AE}"/>
    <cellStyle name="Output 2 7 2 2 3 6 2" xfId="18519" xr:uid="{9311A5B7-1D8B-4C42-8F87-22E78D839132}"/>
    <cellStyle name="Output 2 7 2 2 3 7" xfId="12871" xr:uid="{A26A69D4-79D9-461B-A50F-4D5D3C1D7FCC}"/>
    <cellStyle name="Output 2 7 2 2 3 8" xfId="13429" xr:uid="{F76CE965-CF4C-403B-9429-72F6DDBB6BD2}"/>
    <cellStyle name="Output 2 7 2 2 3 9" xfId="14067" xr:uid="{F4CC7A86-2AFE-4A66-8028-801E0374D094}"/>
    <cellStyle name="Output 2 7 2 2 4" xfId="4033" xr:uid="{DAD45907-2671-4487-9DD6-88B58FDEE445}"/>
    <cellStyle name="Output 2 7 2 2 4 2" xfId="9895" xr:uid="{8F70B610-E69B-405F-8782-FE5349557C17}"/>
    <cellStyle name="Output 2 7 2 2 4 2 2" xfId="18941" xr:uid="{FD8DEE46-527B-4F85-9AAB-5CD23899247D}"/>
    <cellStyle name="Output 2 7 2 2 4 3" xfId="15457" xr:uid="{202E0405-8B23-409B-8CE0-9C09708D9DE6}"/>
    <cellStyle name="Output 2 7 2 2 4 4" xfId="22848" xr:uid="{4CEC4E69-5A93-4457-B50F-666B33DDE226}"/>
    <cellStyle name="Output 2 7 2 2 5" xfId="4769" xr:uid="{17A0521C-2EED-431D-B5F7-042D2EE4D896}"/>
    <cellStyle name="Output 2 7 2 2 5 2" xfId="10626" xr:uid="{ED9B1459-E0DE-4510-89EA-7F0DD214B93D}"/>
    <cellStyle name="Output 2 7 2 2 5 2 2" xfId="19672" xr:uid="{7CBC0C21-F3A6-4578-A713-5B2D2D8790E5}"/>
    <cellStyle name="Output 2 7 2 2 5 3" xfId="16186" xr:uid="{BE1A76B7-D6DE-4AF6-8519-0DDAD50A3E51}"/>
    <cellStyle name="Output 2 7 2 2 6" xfId="5386" xr:uid="{B61FA8DD-E48E-443E-A271-84216C5B29CB}"/>
    <cellStyle name="Output 2 7 2 2 6 2" xfId="11239" xr:uid="{30FA8A47-61F8-42AF-A316-37EC1D4BD2EF}"/>
    <cellStyle name="Output 2 7 2 2 6 2 2" xfId="20285" xr:uid="{060D8BED-0317-4055-88D2-36D605BB43E9}"/>
    <cellStyle name="Output 2 7 2 2 6 3" xfId="16799" xr:uid="{8E85F380-B2C0-4C76-A609-FF22DAC3F544}"/>
    <cellStyle name="Output 2 7 2 2 7" xfId="5997" xr:uid="{5E09CECA-2E1D-4EC1-B686-6818AE3D0B0E}"/>
    <cellStyle name="Output 2 7 2 2 7 2" xfId="11848" xr:uid="{26795D8A-468F-483A-BE13-91B458E8561E}"/>
    <cellStyle name="Output 2 7 2 2 7 2 2" xfId="20894" xr:uid="{364028CC-74FA-4FAE-915F-CFEEB9A403BC}"/>
    <cellStyle name="Output 2 7 2 2 7 3" xfId="17410" xr:uid="{9B5C9552-4F3A-4772-9072-C168AE5C4408}"/>
    <cellStyle name="Output 2 7 2 2 8" xfId="9258" xr:uid="{B0B34109-D7EA-4599-B4B8-873F24F1EB89}"/>
    <cellStyle name="Output 2 7 2 2 8 2" xfId="18304" xr:uid="{3AACB071-1706-4B9D-8D3C-1156314D8C5E}"/>
    <cellStyle name="Output 2 7 2 2 9" xfId="12656" xr:uid="{C4CA75A3-1D2E-4D16-A42E-3BD96EA6BC0D}"/>
    <cellStyle name="Output 2 7 2 3" xfId="2621" xr:uid="{70F7153C-E86C-444F-A339-4CC106662FAB}"/>
    <cellStyle name="Output 2 7 2 3 10" xfId="13853" xr:uid="{8378BCEC-16E3-4110-A4FE-C13F32B7F499}"/>
    <cellStyle name="Output 2 7 2 3 11" xfId="14828" xr:uid="{05CDC7E8-88B7-426B-A2EF-8F432D7EE455}"/>
    <cellStyle name="Output 2 7 2 3 12" xfId="21698" xr:uid="{DAA1F62B-3A39-495C-9BC8-BC2641F35A0A}"/>
    <cellStyle name="Output 2 7 2 3 13" xfId="3070" xr:uid="{8FAF5DB9-4F4B-4FF1-8BA9-867C82C996EE}"/>
    <cellStyle name="Output 2 7 2 3 2" xfId="3464" xr:uid="{895C6C7A-ACD0-4366-A48A-A65CEC165F29}"/>
    <cellStyle name="Output 2 7 2 3 2 10" xfId="15255" xr:uid="{589DBFC2-5B38-4DBE-82F3-975ADDB01FA2}"/>
    <cellStyle name="Output 2 7 2 3 2 11" xfId="22124" xr:uid="{9ACE23AD-C102-46B7-9768-1AF229D69253}"/>
    <cellStyle name="Output 2 7 2 3 2 2" xfId="4698" xr:uid="{E93827CE-7967-415A-80A7-C7A900A28015}"/>
    <cellStyle name="Output 2 7 2 3 2 2 2" xfId="10555" xr:uid="{AA146850-8D6E-47B1-BEF1-63E3F16C3DFC}"/>
    <cellStyle name="Output 2 7 2 3 2 2 2 2" xfId="19601" xr:uid="{0D5D654F-FA7B-498C-BB0E-1D12D85BBA3E}"/>
    <cellStyle name="Output 2 7 2 3 2 2 3" xfId="16115" xr:uid="{7F011032-F4B0-4259-B421-F964F690F181}"/>
    <cellStyle name="Output 2 7 2 3 2 2 4" xfId="22780" xr:uid="{C7DE8455-3B96-4FC5-A3BB-F933BB50197E}"/>
    <cellStyle name="Output 2 7 2 3 2 3" xfId="5199" xr:uid="{AAD9532B-BE12-4CCA-B999-28F05C3E905B}"/>
    <cellStyle name="Output 2 7 2 3 2 3 2" xfId="11052" xr:uid="{321B5C2A-B337-4BD8-9513-6B528429ACFF}"/>
    <cellStyle name="Output 2 7 2 3 2 3 2 2" xfId="20098" xr:uid="{320E1A7B-E36E-4A82-B2D4-80D6CCF80341}"/>
    <cellStyle name="Output 2 7 2 3 2 3 3" xfId="16612" xr:uid="{A82DCB70-60FF-4CB5-B7E2-3F6EDDA6AF21}"/>
    <cellStyle name="Output 2 7 2 3 2 3 4" xfId="23275" xr:uid="{8E3EDF07-FC78-40A5-BB89-1934102EC0AA}"/>
    <cellStyle name="Output 2 7 2 3 2 4" xfId="5814" xr:uid="{F3D29BD3-9869-4A2B-9A45-DDD8362799A3}"/>
    <cellStyle name="Output 2 7 2 3 2 4 2" xfId="11667" xr:uid="{66864360-9FC6-4763-8057-02A574717790}"/>
    <cellStyle name="Output 2 7 2 3 2 4 2 2" xfId="20713" xr:uid="{F8DF60C9-5C76-4B41-85D9-8E2459C06277}"/>
    <cellStyle name="Output 2 7 2 3 2 4 3" xfId="17227" xr:uid="{30B0C82A-2A07-4A42-A744-F8E729847439}"/>
    <cellStyle name="Output 2 7 2 3 2 5" xfId="6425" xr:uid="{514DA8F2-AEE3-4FC1-B210-DABBF7AA69D7}"/>
    <cellStyle name="Output 2 7 2 3 2 5 2" xfId="12272" xr:uid="{EDBDDBC4-992E-4C08-8196-A9D27685DD1F}"/>
    <cellStyle name="Output 2 7 2 3 2 5 2 2" xfId="21318" xr:uid="{6BA06AFE-3930-48D6-A016-8A55B2D5A692}"/>
    <cellStyle name="Output 2 7 2 3 2 5 3" xfId="17838" xr:uid="{5A5FBD7A-F860-49C2-941C-0B81EC5D6AD8}"/>
    <cellStyle name="Output 2 7 2 3 2 6" xfId="9686" xr:uid="{C581BB7D-18CA-4A65-8E32-9788DEAEF98D}"/>
    <cellStyle name="Output 2 7 2 3 2 6 2" xfId="18732" xr:uid="{3C6C6204-9B5E-4BA9-85D2-99A46771EC07}"/>
    <cellStyle name="Output 2 7 2 3 2 7" xfId="13084" xr:uid="{0C183051-DBC9-4612-925C-982630456F4A}"/>
    <cellStyle name="Output 2 7 2 3 2 8" xfId="13641" xr:uid="{235F510C-3BA2-458C-9D58-4E9DEE8AC602}"/>
    <cellStyle name="Output 2 7 2 3 2 9" xfId="14280" xr:uid="{2F5AC09D-4654-4DC0-A545-0CE06C4FD9CF}"/>
    <cellStyle name="Output 2 7 2 3 3" xfId="3263" xr:uid="{9D544F61-740A-4C5C-A393-7FE519411E80}"/>
    <cellStyle name="Output 2 7 2 3 3 10" xfId="15043" xr:uid="{4DB82D1C-3541-491B-8537-E086679B7E74}"/>
    <cellStyle name="Output 2 7 2 3 3 11" xfId="21913" xr:uid="{13B297E7-BD50-4FBC-8509-4FD9DB128519}"/>
    <cellStyle name="Output 2 7 2 3 3 2" xfId="4486" xr:uid="{C8011775-DCFA-4277-9C19-FDC87B053940}"/>
    <cellStyle name="Output 2 7 2 3 3 2 2" xfId="10343" xr:uid="{98B48EB1-C25B-4F1A-AA1C-633D17E02DA8}"/>
    <cellStyle name="Output 2 7 2 3 3 2 2 2" xfId="19389" xr:uid="{B5C7C1A9-5172-43F6-BA1F-B31860A94328}"/>
    <cellStyle name="Output 2 7 2 3 3 2 3" xfId="15903" xr:uid="{B07DA235-3D82-47EC-A0F2-AE688A6BCBFC}"/>
    <cellStyle name="Output 2 7 2 3 3 2 4" xfId="22569" xr:uid="{17C69BEF-6723-43D8-B5ED-87615FBA3A62}"/>
    <cellStyle name="Output 2 7 2 3 3 3" xfId="4987" xr:uid="{69FA3A73-9DC9-4693-9D8F-C8495887BA8A}"/>
    <cellStyle name="Output 2 7 2 3 3 3 2" xfId="10840" xr:uid="{A6EE785C-B344-44B0-BAD0-F2194558AB3A}"/>
    <cellStyle name="Output 2 7 2 3 3 3 2 2" xfId="19886" xr:uid="{F2E6F417-D336-4965-ABB4-36E5BDE57107}"/>
    <cellStyle name="Output 2 7 2 3 3 3 3" xfId="16400" xr:uid="{58274A6E-771B-421A-A286-AEEC899396DF}"/>
    <cellStyle name="Output 2 7 2 3 3 3 4" xfId="23064" xr:uid="{F821BAC4-80CD-403B-88C4-A208E6B1E91C}"/>
    <cellStyle name="Output 2 7 2 3 3 4" xfId="5602" xr:uid="{56E52BA1-4DEE-45D9-A291-6C4C41C13BE0}"/>
    <cellStyle name="Output 2 7 2 3 3 4 2" xfId="11455" xr:uid="{A7050A12-310E-41CC-A86A-11F9D95DEFB1}"/>
    <cellStyle name="Output 2 7 2 3 3 4 2 2" xfId="20501" xr:uid="{464B7B38-6C6E-4C6D-9145-570A21CAED45}"/>
    <cellStyle name="Output 2 7 2 3 3 4 3" xfId="17015" xr:uid="{5C5A271E-F63F-41E7-8A05-94BE707F7BC3}"/>
    <cellStyle name="Output 2 7 2 3 3 5" xfId="6213" xr:uid="{E6DCE711-6A26-4797-9407-A743CE4F5384}"/>
    <cellStyle name="Output 2 7 2 3 3 5 2" xfId="12060" xr:uid="{03D8DEE3-5B1C-4AB4-97A2-B69C8D0836A6}"/>
    <cellStyle name="Output 2 7 2 3 3 5 2 2" xfId="21106" xr:uid="{70DBAEC4-4E02-4B99-B2AE-5675850E8CCC}"/>
    <cellStyle name="Output 2 7 2 3 3 5 3" xfId="17626" xr:uid="{C8D822C3-ECEA-49CD-B4A4-2F9C979735D4}"/>
    <cellStyle name="Output 2 7 2 3 3 6" xfId="9474" xr:uid="{32761115-4043-4494-A5A6-A033A22FEC16}"/>
    <cellStyle name="Output 2 7 2 3 3 6 2" xfId="18520" xr:uid="{CBE3D0DD-2495-4ACB-AF64-95690D040583}"/>
    <cellStyle name="Output 2 7 2 3 3 7" xfId="12872" xr:uid="{BB86AD85-1DA5-4AB0-8C4C-080D905F5886}"/>
    <cellStyle name="Output 2 7 2 3 3 8" xfId="13430" xr:uid="{EFCF258D-09D7-4D6E-AA93-42D28B0D5C87}"/>
    <cellStyle name="Output 2 7 2 3 3 9" xfId="14068" xr:uid="{0F18B26A-C9C6-4E1E-B727-2458148F3992}"/>
    <cellStyle name="Output 2 7 2 3 4" xfId="4770" xr:uid="{AF9B1502-B628-48B7-A913-C618A764FE5B}"/>
    <cellStyle name="Output 2 7 2 3 4 2" xfId="10627" xr:uid="{AA0BE825-F2E1-48E0-99C8-D80E4DB1ED45}"/>
    <cellStyle name="Output 2 7 2 3 4 2 2" xfId="19673" xr:uid="{99981FEF-3955-4999-A88A-50007F6FC655}"/>
    <cellStyle name="Output 2 7 2 3 4 3" xfId="16187" xr:uid="{640A3E8F-0D57-40CF-8916-B003915B6564}"/>
    <cellStyle name="Output 2 7 2 3 4 4" xfId="22849" xr:uid="{D4E6F930-110C-4E5B-A493-8C8D34B8F583}"/>
    <cellStyle name="Output 2 7 2 3 5" xfId="5387" xr:uid="{DC97D79D-2104-4C48-89C1-CEE1670149DA}"/>
    <cellStyle name="Output 2 7 2 3 5 2" xfId="11240" xr:uid="{1DF8B39D-4689-4A05-BB84-A1A61FF7EABA}"/>
    <cellStyle name="Output 2 7 2 3 5 2 2" xfId="20286" xr:uid="{0DBC4832-0A8F-4952-8547-2B42714509E2}"/>
    <cellStyle name="Output 2 7 2 3 5 3" xfId="16800" xr:uid="{3905B66A-527B-4915-A22E-CB03F817D979}"/>
    <cellStyle name="Output 2 7 2 3 6" xfId="5998" xr:uid="{7E6FD9FB-2765-4414-88C4-DB753579E781}"/>
    <cellStyle name="Output 2 7 2 3 6 2" xfId="11849" xr:uid="{50687FBC-D0E6-46D6-9ABC-95AD699C411D}"/>
    <cellStyle name="Output 2 7 2 3 6 2 2" xfId="20895" xr:uid="{0997F0C7-36CC-43A1-BB6E-E84EEFF01BB7}"/>
    <cellStyle name="Output 2 7 2 3 6 3" xfId="17411" xr:uid="{8F1AEE4A-E806-4D46-98D7-FB66117734F2}"/>
    <cellStyle name="Output 2 7 2 3 7" xfId="9259" xr:uid="{74E81E7C-9E61-486E-AF96-32C1E4DD82AC}"/>
    <cellStyle name="Output 2 7 2 3 7 2" xfId="18305" xr:uid="{3C1E78BA-5C2B-4EC9-B8CF-2EDFE62DABCE}"/>
    <cellStyle name="Output 2 7 2 3 8" xfId="12657" xr:uid="{7FF35CD9-252F-415A-BB09-2CE745167BD1}"/>
    <cellStyle name="Output 2 7 2 3 9" xfId="13219" xr:uid="{6FA68C0F-1DE9-4A75-9B98-265BA6B6260F}"/>
    <cellStyle name="Output 2 7 2 4" xfId="3376" xr:uid="{E61D9D45-CAC3-4797-B639-B894846CF9B8}"/>
    <cellStyle name="Output 2 7 2 4 10" xfId="15156" xr:uid="{5DA530F3-DCC0-4891-B2E6-74C614029866}"/>
    <cellStyle name="Output 2 7 2 4 11" xfId="22025" xr:uid="{551E042C-CD3F-4935-911D-CC1F62B78EB0}"/>
    <cellStyle name="Output 2 7 2 4 2" xfId="4599" xr:uid="{BEAB861B-4E8F-43B2-98C9-557BC44089E4}"/>
    <cellStyle name="Output 2 7 2 4 2 2" xfId="10456" xr:uid="{5188B091-8782-4C60-A893-623476790797}"/>
    <cellStyle name="Output 2 7 2 4 2 2 2" xfId="19502" xr:uid="{FC93E7C7-AD2F-4491-B150-97F9D43C66FB}"/>
    <cellStyle name="Output 2 7 2 4 2 3" xfId="16016" xr:uid="{0F06EEE8-F296-47E0-A877-1E806E3D6BBB}"/>
    <cellStyle name="Output 2 7 2 4 2 4" xfId="22681" xr:uid="{182BFC11-8E28-4DF4-883C-621925542660}"/>
    <cellStyle name="Output 2 7 2 4 3" xfId="5100" xr:uid="{592C8A97-3231-410E-8B75-1074E351FEA4}"/>
    <cellStyle name="Output 2 7 2 4 3 2" xfId="10953" xr:uid="{75644095-7D19-42DF-BF56-9862D1FCB53A}"/>
    <cellStyle name="Output 2 7 2 4 3 2 2" xfId="19999" xr:uid="{C5DD4221-56A5-4EBB-95FE-2D4DF72EF296}"/>
    <cellStyle name="Output 2 7 2 4 3 3" xfId="16513" xr:uid="{84BB0FB5-79ED-4CDE-B072-3671DE9BCE4B}"/>
    <cellStyle name="Output 2 7 2 4 3 4" xfId="23176" xr:uid="{C693E081-8C4A-43B0-86DE-6C0E349BA214}"/>
    <cellStyle name="Output 2 7 2 4 4" xfId="5715" xr:uid="{18A059F3-71B8-444A-93A9-43F58FE7746B}"/>
    <cellStyle name="Output 2 7 2 4 4 2" xfId="11568" xr:uid="{E99DAAC5-496F-4C6E-BDA7-D2FF1A3E1F9A}"/>
    <cellStyle name="Output 2 7 2 4 4 2 2" xfId="20614" xr:uid="{365A4B07-FA8E-4A39-81C0-DFDEDAEE31ED}"/>
    <cellStyle name="Output 2 7 2 4 4 3" xfId="17128" xr:uid="{E0029025-2AFA-42A4-8DA8-5255C649A7EC}"/>
    <cellStyle name="Output 2 7 2 4 5" xfId="6326" xr:uid="{F797B910-37AC-4039-AF81-E74BE8D8B646}"/>
    <cellStyle name="Output 2 7 2 4 5 2" xfId="12173" xr:uid="{62235F02-72A8-4144-B582-E74370684A03}"/>
    <cellStyle name="Output 2 7 2 4 5 2 2" xfId="21219" xr:uid="{13F8BD61-AAFF-4493-AD9E-0006C0E507F7}"/>
    <cellStyle name="Output 2 7 2 4 5 3" xfId="17739" xr:uid="{3C188650-55F9-4D00-AF6E-36F0C9892977}"/>
    <cellStyle name="Output 2 7 2 4 6" xfId="9587" xr:uid="{75BF08C7-AFC4-48F7-9D1F-0845057877EE}"/>
    <cellStyle name="Output 2 7 2 4 6 2" xfId="18633" xr:uid="{BFB5F32F-8DE9-4120-A4D3-3E6476A17F52}"/>
    <cellStyle name="Output 2 7 2 4 7" xfId="12985" xr:uid="{D435B629-732E-4DEA-99F3-3004242AE2B6}"/>
    <cellStyle name="Output 2 7 2 4 8" xfId="13542" xr:uid="{57337E8F-CA6F-4168-A018-5A3F12513E63}"/>
    <cellStyle name="Output 2 7 2 4 9" xfId="14181" xr:uid="{F182EC1C-0C2D-4DAE-80A0-E37B773340B8}"/>
    <cellStyle name="Output 2 7 2 5" xfId="3164" xr:uid="{855D0E58-6ADE-413E-8D56-4D0151B8ABF9}"/>
    <cellStyle name="Output 2 7 2 5 10" xfId="14944" xr:uid="{40839D5C-F1BA-416A-908B-2EB7270EADFF}"/>
    <cellStyle name="Output 2 7 2 5 11" xfId="21812" xr:uid="{AC650A63-BBE6-44E2-8BE0-72E31BE09B4A}"/>
    <cellStyle name="Output 2 7 2 5 2" xfId="4385" xr:uid="{DC1A821B-BE3B-4D86-ACF3-B50903CDB881}"/>
    <cellStyle name="Output 2 7 2 5 2 2" xfId="10242" xr:uid="{FA35F968-268A-4C8B-8D12-9C96C3FA472D}"/>
    <cellStyle name="Output 2 7 2 5 2 2 2" xfId="19288" xr:uid="{2B8A61D1-8B4D-48F2-816A-67A13A466813}"/>
    <cellStyle name="Output 2 7 2 5 2 3" xfId="15802" xr:uid="{04436A70-C63D-4DC8-B00B-F6C59F94D5F5}"/>
    <cellStyle name="Output 2 7 2 5 2 4" xfId="22468" xr:uid="{6916F310-B881-4297-A5D7-6B62F76630DF}"/>
    <cellStyle name="Output 2 7 2 5 3" xfId="4886" xr:uid="{E62B0080-908C-4503-B530-99C45880226D}"/>
    <cellStyle name="Output 2 7 2 5 3 2" xfId="10741" xr:uid="{8B31C6CE-03D7-466D-856F-5AD45E1A9E99}"/>
    <cellStyle name="Output 2 7 2 5 3 2 2" xfId="19787" xr:uid="{B22E3B2E-A019-41A7-8B14-80E76A299FBD}"/>
    <cellStyle name="Output 2 7 2 5 3 3" xfId="16301" xr:uid="{2EC5C8F7-CE3F-4925-A2EB-5DAE06EF2427}"/>
    <cellStyle name="Output 2 7 2 5 3 4" xfId="22963" xr:uid="{090BD6F1-E026-43AC-B054-E335D8D21270}"/>
    <cellStyle name="Output 2 7 2 5 4" xfId="5501" xr:uid="{5B7B0105-B1C9-40AB-9309-C5BB3269370C}"/>
    <cellStyle name="Output 2 7 2 5 4 2" xfId="11354" xr:uid="{7D0492D2-2ACA-451D-8E6B-F697AD939082}"/>
    <cellStyle name="Output 2 7 2 5 4 2 2" xfId="20400" xr:uid="{BDC32222-2482-4D3E-A161-BCDCBF64A122}"/>
    <cellStyle name="Output 2 7 2 5 4 3" xfId="16914" xr:uid="{F60054CD-E263-4399-9F44-000FC1B862AA}"/>
    <cellStyle name="Output 2 7 2 5 5" xfId="6112" xr:uid="{F737B490-8424-4BB1-BF71-51E92F0CA499}"/>
    <cellStyle name="Output 2 7 2 5 5 2" xfId="11961" xr:uid="{4BE85041-1E1E-4C7A-ABE8-3129D9F7AECC}"/>
    <cellStyle name="Output 2 7 2 5 5 2 2" xfId="21007" xr:uid="{A33EFE83-4A24-4358-8879-1837A2C66173}"/>
    <cellStyle name="Output 2 7 2 5 5 3" xfId="17525" xr:uid="{1CB971D1-5417-401E-802F-62AA6F192939}"/>
    <cellStyle name="Output 2 7 2 5 6" xfId="9375" xr:uid="{C26CAC4D-C60A-4F16-8BB9-346B8E86D9B0}"/>
    <cellStyle name="Output 2 7 2 5 6 2" xfId="18421" xr:uid="{56806AE4-8BFD-4147-BBD6-6F5F844344DC}"/>
    <cellStyle name="Output 2 7 2 5 7" xfId="12771" xr:uid="{07DF008D-3B81-4BC9-997B-43F4601919A7}"/>
    <cellStyle name="Output 2 7 2 5 8" xfId="13331" xr:uid="{6884395B-0686-4C2C-AA97-62126236833D}"/>
    <cellStyle name="Output 2 7 2 5 9" xfId="13967" xr:uid="{2B99F061-0364-48A9-A2C8-8BEEC2C0EBFA}"/>
    <cellStyle name="Output 2 7 2 6" xfId="3765" xr:uid="{F2DE8657-F7F0-4AA7-9191-C6E689494CBB}"/>
    <cellStyle name="Output 2 7 2 6 2" xfId="9807" xr:uid="{73BDDB55-1DE4-4704-B5D5-B29CB6E7AF3D}"/>
    <cellStyle name="Output 2 7 2 6 2 2" xfId="18853" xr:uid="{C083B298-2BF7-4D63-820E-0990644D5C9C}"/>
    <cellStyle name="Output 2 7 2 6 3" xfId="15373" xr:uid="{4C015E53-8532-434D-B3D5-7D0D67F9BF1D}"/>
    <cellStyle name="Output 2 7 2 6 4" xfId="22352" xr:uid="{51B28BF6-28F8-4E6F-8CDA-F48E79CE0BE2}"/>
    <cellStyle name="Output 2 7 2 7" xfId="4249" xr:uid="{5FBEFDBC-EA91-46D5-9094-113F99696011}"/>
    <cellStyle name="Output 2 7 2 7 2" xfId="10106" xr:uid="{7EA55EA9-794C-4943-B3E9-38CE7834065D}"/>
    <cellStyle name="Output 2 7 2 7 2 2" xfId="19152" xr:uid="{D94AB1A5-FCD5-4B34-AE34-F625038B8D26}"/>
    <cellStyle name="Output 2 7 2 7 3" xfId="15666" xr:uid="{7498221C-78F1-40D1-9D6C-54CBDB168DEF}"/>
    <cellStyle name="Output 2 7 2 7 4" xfId="22252" xr:uid="{97E9A34B-2058-452D-8926-E575FC61BB99}"/>
    <cellStyle name="Output 2 7 2 8" xfId="4133" xr:uid="{7F88FF62-C411-4662-922D-87FDCB8D580B}"/>
    <cellStyle name="Output 2 7 2 8 2" xfId="9990" xr:uid="{F94D81C6-2EF3-495B-BE1B-8FF50F2DEA16}"/>
    <cellStyle name="Output 2 7 2 8 2 2" xfId="19036" xr:uid="{3AD2E21B-EDF5-46C1-9573-3579820BFE5B}"/>
    <cellStyle name="Output 2 7 2 8 3" xfId="15550" xr:uid="{2A546A92-3DEC-4078-8BA8-E8ED24FDD2D1}"/>
    <cellStyle name="Output 2 7 2 9" xfId="5286" xr:uid="{7F24CCD6-707B-4AFC-AC4A-C99E180E246F}"/>
    <cellStyle name="Output 2 7 2 9 2" xfId="11139" xr:uid="{3B2CD4C3-914E-486B-9FD0-75F89D3BD64E}"/>
    <cellStyle name="Output 2 7 2 9 2 2" xfId="20185" xr:uid="{36BD97A3-17CD-4E00-8F6F-06BED213DE24}"/>
    <cellStyle name="Output 2 7 2 9 3" xfId="16699" xr:uid="{3CB261B0-B553-47AD-A699-593A49A11394}"/>
    <cellStyle name="Output 2 7 3" xfId="2438" xr:uid="{5F120216-3109-44D6-BCF4-4CC8695FD200}"/>
    <cellStyle name="Output 2 7 3 10" xfId="5898" xr:uid="{DA886B89-2AC7-4212-BF11-0A5B6CFBE77B}"/>
    <cellStyle name="Output 2 7 3 10 2" xfId="11751" xr:uid="{4E0F1E9A-F3A0-49AB-B91E-57EEFCA59764}"/>
    <cellStyle name="Output 2 7 3 10 2 2" xfId="20797" xr:uid="{AC83FF9C-B90C-4264-96A8-743CBC3FAC20}"/>
    <cellStyle name="Output 2 7 3 10 3" xfId="17311" xr:uid="{83F09997-5806-4653-9A7B-5A056B679EAA}"/>
    <cellStyle name="Output 2 7 3 11" xfId="9161" xr:uid="{0646702A-433F-4B81-8AEF-6E7AEC70F559}"/>
    <cellStyle name="Output 2 7 3 11 2" xfId="18207" xr:uid="{9A85F58A-C545-4B54-8382-6E99C1528CC2}"/>
    <cellStyle name="Output 2 7 3 12" xfId="12559" xr:uid="{E08B6DEE-09D7-4118-BF43-5E774A32FF44}"/>
    <cellStyle name="Output 2 7 3 13" xfId="13753" xr:uid="{EF14A34B-5E87-4412-B93F-C5558A1A23A4}"/>
    <cellStyle name="Output 2 7 3 14" xfId="14730" xr:uid="{76070BCC-6DE0-4F5F-AD0B-6A1BA2C26825}"/>
    <cellStyle name="Output 2 7 3 15" xfId="21600" xr:uid="{F8EDE87B-1513-4479-A5D9-8ABA8161C4C5}"/>
    <cellStyle name="Output 2 7 3 16" xfId="23783" xr:uid="{E3BAEBDD-7A28-43D4-B844-629889B1C7ED}"/>
    <cellStyle name="Output 2 7 3 2" xfId="2439" xr:uid="{1551EDF8-6A15-4643-B23E-876C28C89DBD}"/>
    <cellStyle name="Output 2 7 3 2 10" xfId="13220" xr:uid="{10F0A7DC-4361-41E1-8639-6D7A9027B452}"/>
    <cellStyle name="Output 2 7 3 2 11" xfId="13854" xr:uid="{60E4EBF8-0AA8-461A-AA40-AE191E25B638}"/>
    <cellStyle name="Output 2 7 3 2 12" xfId="14829" xr:uid="{6A36550A-7693-4024-BCDB-8F6D6BABA5DD}"/>
    <cellStyle name="Output 2 7 3 2 13" xfId="21699" xr:uid="{15C001CD-7E01-4FDC-903E-9896EBB7C479}"/>
    <cellStyle name="Output 2 7 3 2 2" xfId="2620" xr:uid="{4C113E6C-846F-4DB0-8A0D-F87C84F84081}"/>
    <cellStyle name="Output 2 7 3 2 2 10" xfId="15256" xr:uid="{0552076D-DC8C-47E1-BE12-5C3630540470}"/>
    <cellStyle name="Output 2 7 3 2 2 11" xfId="22125" xr:uid="{3F072DFE-6531-4F82-9D8E-8CA1028CDE8F}"/>
    <cellStyle name="Output 2 7 3 2 2 12" xfId="3465" xr:uid="{73F553CA-8EB0-4150-AE15-84489F10ABFF}"/>
    <cellStyle name="Output 2 7 3 2 2 2" xfId="4699" xr:uid="{DE5EF632-548B-4EC0-9784-F9BF5544529C}"/>
    <cellStyle name="Output 2 7 3 2 2 2 2" xfId="10556" xr:uid="{EC2F5DC5-8864-4A51-8788-6DA6A29687FB}"/>
    <cellStyle name="Output 2 7 3 2 2 2 2 2" xfId="19602" xr:uid="{241A9431-6213-46E6-A365-B469F71F3CAC}"/>
    <cellStyle name="Output 2 7 3 2 2 2 3" xfId="16116" xr:uid="{D9C8E519-CF29-4D02-AA9D-F9DBC074C7EA}"/>
    <cellStyle name="Output 2 7 3 2 2 2 4" xfId="22781" xr:uid="{8CF181A1-15E2-44E1-BDC5-169A8EFDF086}"/>
    <cellStyle name="Output 2 7 3 2 2 3" xfId="5200" xr:uid="{0D98F148-9A07-4C6D-B961-78660A84670A}"/>
    <cellStyle name="Output 2 7 3 2 2 3 2" xfId="11053" xr:uid="{FCF23322-5F46-4419-B842-4E25908451D1}"/>
    <cellStyle name="Output 2 7 3 2 2 3 2 2" xfId="20099" xr:uid="{6CF0BC44-AC4E-442E-B79E-65858D530DD4}"/>
    <cellStyle name="Output 2 7 3 2 2 3 3" xfId="16613" xr:uid="{4F4F8087-6E41-4E76-957D-276AAF6F58B8}"/>
    <cellStyle name="Output 2 7 3 2 2 3 4" xfId="23276" xr:uid="{6C6B2B22-758F-4E5D-A477-9400B264E662}"/>
    <cellStyle name="Output 2 7 3 2 2 4" xfId="5815" xr:uid="{DA604275-3E28-4424-87E2-F8A380CA1C95}"/>
    <cellStyle name="Output 2 7 3 2 2 4 2" xfId="11668" xr:uid="{CE42D888-80F3-4BDD-BF91-091C45E9598E}"/>
    <cellStyle name="Output 2 7 3 2 2 4 2 2" xfId="20714" xr:uid="{2B168E9E-2C3D-460A-A82A-9CAF3A22753D}"/>
    <cellStyle name="Output 2 7 3 2 2 4 3" xfId="17228" xr:uid="{56D0A671-C8EE-4B07-A876-1F8C89FBBECC}"/>
    <cellStyle name="Output 2 7 3 2 2 5" xfId="6426" xr:uid="{AA9ABDF0-B6CE-4BB2-9C03-7FDB333D4C36}"/>
    <cellStyle name="Output 2 7 3 2 2 5 2" xfId="12273" xr:uid="{C0D90E20-C4F7-4E43-AAF4-BCD5EDF9AE03}"/>
    <cellStyle name="Output 2 7 3 2 2 5 2 2" xfId="21319" xr:uid="{37EBE64D-0EE5-40C9-BD71-2C48B765822F}"/>
    <cellStyle name="Output 2 7 3 2 2 5 3" xfId="17839" xr:uid="{3924D8F1-23BD-475C-B929-E3A614527DB5}"/>
    <cellStyle name="Output 2 7 3 2 2 6" xfId="9687" xr:uid="{751C1021-C575-40F5-9DA7-F820D3EE3BEC}"/>
    <cellStyle name="Output 2 7 3 2 2 6 2" xfId="18733" xr:uid="{A5F95EB0-4436-4256-9938-3643C8ADB040}"/>
    <cellStyle name="Output 2 7 3 2 2 7" xfId="13085" xr:uid="{B15150BA-40D5-485C-B5FF-398E28230649}"/>
    <cellStyle name="Output 2 7 3 2 2 8" xfId="13642" xr:uid="{0ED19DD9-DF87-4733-BD9C-A11804D2D290}"/>
    <cellStyle name="Output 2 7 3 2 2 9" xfId="14281" xr:uid="{F08604D7-42D5-4B69-89F4-4B5F6235FD88}"/>
    <cellStyle name="Output 2 7 3 2 3" xfId="3264" xr:uid="{9FF93FFA-941A-4248-8173-DDCB78EEFB4D}"/>
    <cellStyle name="Output 2 7 3 2 3 10" xfId="15044" xr:uid="{6F647A9E-3225-4B24-B5CD-BAE8094B0A4A}"/>
    <cellStyle name="Output 2 7 3 2 3 11" xfId="21914" xr:uid="{97A717C1-F14E-4020-96E0-64738724492B}"/>
    <cellStyle name="Output 2 7 3 2 3 2" xfId="4487" xr:uid="{F5BA1439-3BB0-493D-A239-EFBB54764AF2}"/>
    <cellStyle name="Output 2 7 3 2 3 2 2" xfId="10344" xr:uid="{F9074C51-3FF1-4569-A724-01500F19010A}"/>
    <cellStyle name="Output 2 7 3 2 3 2 2 2" xfId="19390" xr:uid="{29EA6B5D-6536-4238-89BC-A988386C74E2}"/>
    <cellStyle name="Output 2 7 3 2 3 2 3" xfId="15904" xr:uid="{A16F0329-62F1-4622-B242-DEF16BB5F700}"/>
    <cellStyle name="Output 2 7 3 2 3 2 4" xfId="22570" xr:uid="{EA3BBFBB-8CB0-49FE-9A72-9C7161C0BD79}"/>
    <cellStyle name="Output 2 7 3 2 3 3" xfId="4988" xr:uid="{1DFE0F63-C385-408E-B300-1BA0992C0AC0}"/>
    <cellStyle name="Output 2 7 3 2 3 3 2" xfId="10841" xr:uid="{B3E608DD-3E79-4C76-8036-BD8AC7E82F4F}"/>
    <cellStyle name="Output 2 7 3 2 3 3 2 2" xfId="19887" xr:uid="{C33CF900-CB72-4D57-9937-FD7C14C9C356}"/>
    <cellStyle name="Output 2 7 3 2 3 3 3" xfId="16401" xr:uid="{ABCF9D63-07A2-401F-9B14-FB1ACE310E79}"/>
    <cellStyle name="Output 2 7 3 2 3 3 4" xfId="23065" xr:uid="{6B357FE6-5825-48BE-B1A7-4A21425CAF49}"/>
    <cellStyle name="Output 2 7 3 2 3 4" xfId="5603" xr:uid="{80403A94-2C15-42C1-8235-FF6AC1FCAAA8}"/>
    <cellStyle name="Output 2 7 3 2 3 4 2" xfId="11456" xr:uid="{6F02C0D5-4601-491A-BCDD-DCC0FB940EBD}"/>
    <cellStyle name="Output 2 7 3 2 3 4 2 2" xfId="20502" xr:uid="{6D03C84C-5BD2-4684-9FF4-58B8B249E0A6}"/>
    <cellStyle name="Output 2 7 3 2 3 4 3" xfId="17016" xr:uid="{32850BB1-C2C5-46DC-B0FF-D80FEDE2EA5F}"/>
    <cellStyle name="Output 2 7 3 2 3 5" xfId="6214" xr:uid="{9110A4E8-E292-4F9E-95A8-9C89B8904079}"/>
    <cellStyle name="Output 2 7 3 2 3 5 2" xfId="12061" xr:uid="{5F805547-64C4-463D-8F27-A37257F1981D}"/>
    <cellStyle name="Output 2 7 3 2 3 5 2 2" xfId="21107" xr:uid="{30A39F0C-0CB8-4FED-B724-10B241988F20}"/>
    <cellStyle name="Output 2 7 3 2 3 5 3" xfId="17627" xr:uid="{350757A7-BA3C-4D2F-9207-E2B55C308108}"/>
    <cellStyle name="Output 2 7 3 2 3 6" xfId="9475" xr:uid="{1F06C133-1E7E-4052-B738-48F1F1CBD19E}"/>
    <cellStyle name="Output 2 7 3 2 3 6 2" xfId="18521" xr:uid="{2274D1A2-CE74-47AB-9AB0-131092753976}"/>
    <cellStyle name="Output 2 7 3 2 3 7" xfId="12873" xr:uid="{1A9719E8-1693-474E-8EB4-C7AF25AE2EAC}"/>
    <cellStyle name="Output 2 7 3 2 3 8" xfId="13431" xr:uid="{535EFDB7-F402-4616-B7B7-7A3469A58671}"/>
    <cellStyle name="Output 2 7 3 2 3 9" xfId="14069" xr:uid="{84236380-7056-4F82-867C-BE9D8D9B54DA}"/>
    <cellStyle name="Output 2 7 3 2 4" xfId="4034" xr:uid="{A571A2EA-4A3F-4863-9FCC-DDB08E9D012B}"/>
    <cellStyle name="Output 2 7 3 2 4 2" xfId="9896" xr:uid="{046745BB-99DA-4EAF-BCCE-B71164496308}"/>
    <cellStyle name="Output 2 7 3 2 4 2 2" xfId="18942" xr:uid="{F50DB510-6499-4D12-B4FA-397558C595C4}"/>
    <cellStyle name="Output 2 7 3 2 4 3" xfId="15458" xr:uid="{5FDD6E5B-44FD-4EB2-82C2-E44C62A29425}"/>
    <cellStyle name="Output 2 7 3 2 4 4" xfId="22850" xr:uid="{B6AD7B49-2A2E-4BAA-8033-DA76D4BE0D13}"/>
    <cellStyle name="Output 2 7 3 2 5" xfId="4771" xr:uid="{FAB22124-2604-484C-8080-76E7E2679E40}"/>
    <cellStyle name="Output 2 7 3 2 5 2" xfId="10628" xr:uid="{09BE397C-EA01-4ACA-A1E2-47359D28D990}"/>
    <cellStyle name="Output 2 7 3 2 5 2 2" xfId="19674" xr:uid="{7702A8EA-FD87-4A8A-A572-7BEBE01B1CD5}"/>
    <cellStyle name="Output 2 7 3 2 5 3" xfId="16188" xr:uid="{3E660361-D7D7-4477-97A0-971810ED719E}"/>
    <cellStyle name="Output 2 7 3 2 6" xfId="5388" xr:uid="{FA42C891-8CA0-48DC-8BC4-8B5B955EAF6D}"/>
    <cellStyle name="Output 2 7 3 2 6 2" xfId="11241" xr:uid="{6172A6D4-1E6A-46EF-9835-332DAC99D129}"/>
    <cellStyle name="Output 2 7 3 2 6 2 2" xfId="20287" xr:uid="{D7E400DD-734F-4F58-AC99-135188FCCB62}"/>
    <cellStyle name="Output 2 7 3 2 6 3" xfId="16801" xr:uid="{5088B90D-DB98-4A2D-BA24-195A93CC3195}"/>
    <cellStyle name="Output 2 7 3 2 7" xfId="5999" xr:uid="{D56A7A67-9DA4-4126-A5B3-460FD3077C42}"/>
    <cellStyle name="Output 2 7 3 2 7 2" xfId="11850" xr:uid="{CC595795-A842-455C-9869-A4F2E3B83044}"/>
    <cellStyle name="Output 2 7 3 2 7 2 2" xfId="20896" xr:uid="{EF071377-5569-47CE-86AA-DD9BC750D9AF}"/>
    <cellStyle name="Output 2 7 3 2 7 3" xfId="17412" xr:uid="{10B77CDD-FB75-4EE4-A7FF-F30B40035A64}"/>
    <cellStyle name="Output 2 7 3 2 8" xfId="9260" xr:uid="{2FAC5C78-8430-4A66-A102-B138580829D3}"/>
    <cellStyle name="Output 2 7 3 2 8 2" xfId="18306" xr:uid="{CA28A79A-D4BF-421C-9FDA-1C350B044493}"/>
    <cellStyle name="Output 2 7 3 2 9" xfId="12658" xr:uid="{817999EC-D2EC-45E5-94CE-6EC6A5F8DE90}"/>
    <cellStyle name="Output 2 7 3 3" xfId="2545" xr:uid="{478E288E-8A51-4E22-8F0A-2FF0F70EC444}"/>
    <cellStyle name="Output 2 7 3 3 10" xfId="13855" xr:uid="{7D686E9B-F464-4732-82A8-3A993BFAFFFD}"/>
    <cellStyle name="Output 2 7 3 3 11" xfId="14830" xr:uid="{0E29B09D-9DC0-4210-9DBE-C3C5B83D986D}"/>
    <cellStyle name="Output 2 7 3 3 12" xfId="21700" xr:uid="{DFDABC69-CC0C-4C49-853C-541D722A4245}"/>
    <cellStyle name="Output 2 7 3 3 13" xfId="3071" xr:uid="{1A547967-08A9-4B62-BEDF-2C1E560AC430}"/>
    <cellStyle name="Output 2 7 3 3 2" xfId="3466" xr:uid="{C18EC22A-F2B3-45F6-AAAC-A7EF5F8A1159}"/>
    <cellStyle name="Output 2 7 3 3 2 10" xfId="15257" xr:uid="{59030AE2-E2B3-49DF-972D-FAA43D637D78}"/>
    <cellStyle name="Output 2 7 3 3 2 11" xfId="22126" xr:uid="{865199A5-9680-42D7-9048-766CDD1B7E21}"/>
    <cellStyle name="Output 2 7 3 3 2 2" xfId="4700" xr:uid="{EE1DE906-8E7C-4BB7-82AA-1A93A5999DFC}"/>
    <cellStyle name="Output 2 7 3 3 2 2 2" xfId="10557" xr:uid="{E5FC87C2-94EC-4045-828B-6EF873C46F68}"/>
    <cellStyle name="Output 2 7 3 3 2 2 2 2" xfId="19603" xr:uid="{8AAD96B1-D7FB-43B2-816F-67D4BD232D28}"/>
    <cellStyle name="Output 2 7 3 3 2 2 3" xfId="16117" xr:uid="{8350A35D-1CF4-44B6-8C48-7E41136D0CDB}"/>
    <cellStyle name="Output 2 7 3 3 2 2 4" xfId="22782" xr:uid="{BA01D423-85A9-4962-83D6-7DB5E3C507C7}"/>
    <cellStyle name="Output 2 7 3 3 2 3" xfId="5201" xr:uid="{90F05559-EA6A-418D-8800-A52847E4F60A}"/>
    <cellStyle name="Output 2 7 3 3 2 3 2" xfId="11054" xr:uid="{FE7A1D46-1E8C-4CFD-BC78-EC5E2F01F1A8}"/>
    <cellStyle name="Output 2 7 3 3 2 3 2 2" xfId="20100" xr:uid="{CF710F29-3BFF-48AC-8E3A-0AEB9C5D7DAE}"/>
    <cellStyle name="Output 2 7 3 3 2 3 3" xfId="16614" xr:uid="{E2F12219-9326-4335-BB46-4BF5487061F9}"/>
    <cellStyle name="Output 2 7 3 3 2 3 4" xfId="23277" xr:uid="{F38355EF-FBE3-46EC-8CFC-5AD2473B5128}"/>
    <cellStyle name="Output 2 7 3 3 2 4" xfId="5816" xr:uid="{947CEE20-9EF0-4125-A88E-34466307F55B}"/>
    <cellStyle name="Output 2 7 3 3 2 4 2" xfId="11669" xr:uid="{A7210FA3-55B6-471C-9450-703647912BE8}"/>
    <cellStyle name="Output 2 7 3 3 2 4 2 2" xfId="20715" xr:uid="{4F798B2E-A285-4A26-A4BB-9B5CB96208A9}"/>
    <cellStyle name="Output 2 7 3 3 2 4 3" xfId="17229" xr:uid="{064DDABF-881B-425F-967A-ECFA4A5BBB14}"/>
    <cellStyle name="Output 2 7 3 3 2 5" xfId="6427" xr:uid="{5F1A05D7-A616-4964-B8E7-A19BB35B384C}"/>
    <cellStyle name="Output 2 7 3 3 2 5 2" xfId="12274" xr:uid="{8DF842F1-E942-4865-A92A-F6126462B441}"/>
    <cellStyle name="Output 2 7 3 3 2 5 2 2" xfId="21320" xr:uid="{54F0C2E0-D48A-48D9-840E-E55F35657FE0}"/>
    <cellStyle name="Output 2 7 3 3 2 5 3" xfId="17840" xr:uid="{65C9B39F-7810-4EC0-A7A4-831F0694FDC0}"/>
    <cellStyle name="Output 2 7 3 3 2 6" xfId="9688" xr:uid="{BFD87020-8634-4391-8170-CF0C892095C8}"/>
    <cellStyle name="Output 2 7 3 3 2 6 2" xfId="18734" xr:uid="{C8CD043F-0CAF-4079-9168-8D1026AAE9E0}"/>
    <cellStyle name="Output 2 7 3 3 2 7" xfId="13086" xr:uid="{978B77CE-39E5-4B92-B065-94098098E2E0}"/>
    <cellStyle name="Output 2 7 3 3 2 8" xfId="13643" xr:uid="{71CD4C44-406D-48DE-802A-AC251A21A04B}"/>
    <cellStyle name="Output 2 7 3 3 2 9" xfId="14282" xr:uid="{60C0EABD-B412-4014-B5C2-9A51C9B7DF4F}"/>
    <cellStyle name="Output 2 7 3 3 3" xfId="3265" xr:uid="{8559CC6D-0C7B-46AC-B4A6-24FDF591A62B}"/>
    <cellStyle name="Output 2 7 3 3 3 10" xfId="15045" xr:uid="{1DF84A4F-5C0A-47DF-822E-AE74B74F6BBC}"/>
    <cellStyle name="Output 2 7 3 3 3 11" xfId="21915" xr:uid="{FBD54B9C-9462-4AF1-A46F-1A3E1C83A3E0}"/>
    <cellStyle name="Output 2 7 3 3 3 2" xfId="4488" xr:uid="{EA81CD34-170F-49C7-962F-007D56EAF502}"/>
    <cellStyle name="Output 2 7 3 3 3 2 2" xfId="10345" xr:uid="{3352D5AF-C5D6-4B21-B70A-800D10FA6944}"/>
    <cellStyle name="Output 2 7 3 3 3 2 2 2" xfId="19391" xr:uid="{3403D2B3-0F2C-4137-8962-1CC6A74EA1E3}"/>
    <cellStyle name="Output 2 7 3 3 3 2 3" xfId="15905" xr:uid="{3FE928C6-BB39-478B-90CF-FA1375CAC478}"/>
    <cellStyle name="Output 2 7 3 3 3 2 4" xfId="22571" xr:uid="{71EFE16D-F44D-4F02-8A38-4E8BC04C31A5}"/>
    <cellStyle name="Output 2 7 3 3 3 3" xfId="4989" xr:uid="{C9D09DAA-9320-4DE9-996E-A34F1F2FFE5D}"/>
    <cellStyle name="Output 2 7 3 3 3 3 2" xfId="10842" xr:uid="{E632E402-1192-4AD8-92E8-D6A1DD226DC7}"/>
    <cellStyle name="Output 2 7 3 3 3 3 2 2" xfId="19888" xr:uid="{184680AA-575A-4BBB-88B2-9D5235E21B83}"/>
    <cellStyle name="Output 2 7 3 3 3 3 3" xfId="16402" xr:uid="{FA02843E-1B72-48F0-AFDA-DDB5BC3B2B84}"/>
    <cellStyle name="Output 2 7 3 3 3 3 4" xfId="23066" xr:uid="{43DAE5B6-A341-4F88-9AC2-704B14FB06D6}"/>
    <cellStyle name="Output 2 7 3 3 3 4" xfId="5604" xr:uid="{361375D3-4A1B-4592-BCEB-B177838F9348}"/>
    <cellStyle name="Output 2 7 3 3 3 4 2" xfId="11457" xr:uid="{F7717425-0CB6-4938-887E-636FAD2069CA}"/>
    <cellStyle name="Output 2 7 3 3 3 4 2 2" xfId="20503" xr:uid="{78F0BE79-9A10-41B2-A6CE-3022BAC98F25}"/>
    <cellStyle name="Output 2 7 3 3 3 4 3" xfId="17017" xr:uid="{F15C8FF8-D4CD-4D5F-96D1-9DB3B3E3A5B3}"/>
    <cellStyle name="Output 2 7 3 3 3 5" xfId="6215" xr:uid="{3A7205CC-A40B-4D7C-AB9A-2417EE05A0B1}"/>
    <cellStyle name="Output 2 7 3 3 3 5 2" xfId="12062" xr:uid="{1C6DAB9A-6D79-44B7-B931-82380DEB867F}"/>
    <cellStyle name="Output 2 7 3 3 3 5 2 2" xfId="21108" xr:uid="{11215D2A-9AD3-4096-BEC6-5EE8F5286BD9}"/>
    <cellStyle name="Output 2 7 3 3 3 5 3" xfId="17628" xr:uid="{8DB84C20-4F7B-4112-B313-41948EC7A0FF}"/>
    <cellStyle name="Output 2 7 3 3 3 6" xfId="9476" xr:uid="{A2E70037-53DB-4B56-9D64-32B09CAECFE1}"/>
    <cellStyle name="Output 2 7 3 3 3 6 2" xfId="18522" xr:uid="{80A780CA-789B-4E98-9E1B-7FA4DCB822B4}"/>
    <cellStyle name="Output 2 7 3 3 3 7" xfId="12874" xr:uid="{52EA0537-AD55-42C8-9B55-E08246134311}"/>
    <cellStyle name="Output 2 7 3 3 3 8" xfId="13432" xr:uid="{D8D14C17-C0B3-4328-9FD0-FE5824C8E139}"/>
    <cellStyle name="Output 2 7 3 3 3 9" xfId="14070" xr:uid="{53F5418F-25FF-4E47-A0C8-F6F0A294CD9C}"/>
    <cellStyle name="Output 2 7 3 3 4" xfId="4772" xr:uid="{C614D124-DF96-46DF-92A7-B013046B1912}"/>
    <cellStyle name="Output 2 7 3 3 4 2" xfId="10629" xr:uid="{1A91A9B2-C8BD-428C-BBDE-8D1D81AAD948}"/>
    <cellStyle name="Output 2 7 3 3 4 2 2" xfId="19675" xr:uid="{B06F3A10-6754-4360-9065-B8B2FC9C0AE7}"/>
    <cellStyle name="Output 2 7 3 3 4 3" xfId="16189" xr:uid="{C41AA6CD-F377-46B4-8D42-04D6F73DBB4D}"/>
    <cellStyle name="Output 2 7 3 3 4 4" xfId="22851" xr:uid="{7A82C4EA-6D8F-4581-8ABA-737C5DD89D06}"/>
    <cellStyle name="Output 2 7 3 3 5" xfId="5389" xr:uid="{201CD323-0BBB-4D4E-BBC4-4FAEEC7BC435}"/>
    <cellStyle name="Output 2 7 3 3 5 2" xfId="11242" xr:uid="{CD78E74E-00F6-4DD0-BE2A-D94AC9E0C6D4}"/>
    <cellStyle name="Output 2 7 3 3 5 2 2" xfId="20288" xr:uid="{DC4E406B-24EC-4BE5-B9E6-1837F43E8F6E}"/>
    <cellStyle name="Output 2 7 3 3 5 3" xfId="16802" xr:uid="{CB2D6E79-3D72-4520-82CC-CC0709864B84}"/>
    <cellStyle name="Output 2 7 3 3 6" xfId="6000" xr:uid="{21A4B322-EEDA-46F0-8C44-0B9138D25DEF}"/>
    <cellStyle name="Output 2 7 3 3 6 2" xfId="11851" xr:uid="{C0121BF4-866A-4F5C-AEB5-555CD714389E}"/>
    <cellStyle name="Output 2 7 3 3 6 2 2" xfId="20897" xr:uid="{5BB674D3-81D3-4C94-A144-BB9846A7AD72}"/>
    <cellStyle name="Output 2 7 3 3 6 3" xfId="17413" xr:uid="{491CA5A4-B467-46FD-BE37-AA3022BB29C4}"/>
    <cellStyle name="Output 2 7 3 3 7" xfId="9261" xr:uid="{67F75086-B509-423B-B4E4-287FCA785108}"/>
    <cellStyle name="Output 2 7 3 3 7 2" xfId="18307" xr:uid="{AF76BD3D-22D1-4B81-9A2A-05BE818A661B}"/>
    <cellStyle name="Output 2 7 3 3 8" xfId="12659" xr:uid="{BF12C4AC-398E-48FE-8E6F-878DA7280449}"/>
    <cellStyle name="Output 2 7 3 3 9" xfId="13221" xr:uid="{7FBF9AB5-49E8-4157-BA4F-4B97B3A1D203}"/>
    <cellStyle name="Output 2 7 3 4" xfId="3377" xr:uid="{18B175F6-8ECA-425A-8CDC-D1037230CE82}"/>
    <cellStyle name="Output 2 7 3 4 10" xfId="15157" xr:uid="{955D93EA-98DF-41BE-97E3-340CC490BCCE}"/>
    <cellStyle name="Output 2 7 3 4 11" xfId="22026" xr:uid="{F0EE0CDA-FF4F-4A25-A149-26C655AA5EBF}"/>
    <cellStyle name="Output 2 7 3 4 2" xfId="4600" xr:uid="{303F6BD7-D265-4A51-9FF3-C34CD57A72BE}"/>
    <cellStyle name="Output 2 7 3 4 2 2" xfId="10457" xr:uid="{EC047A41-9094-4D3B-931A-63F80E96BB3F}"/>
    <cellStyle name="Output 2 7 3 4 2 2 2" xfId="19503" xr:uid="{A2508B2F-FBB8-46A1-95AE-3A0FBBC0DEA2}"/>
    <cellStyle name="Output 2 7 3 4 2 3" xfId="16017" xr:uid="{B1CF2F99-6EDA-4F81-8B68-0FD744D741DF}"/>
    <cellStyle name="Output 2 7 3 4 2 4" xfId="22682" xr:uid="{1A629435-9A38-4846-89BF-B6ACE0D514AD}"/>
    <cellStyle name="Output 2 7 3 4 3" xfId="5101" xr:uid="{44FCFCD0-1353-4832-BD30-2EA5B9CEC93B}"/>
    <cellStyle name="Output 2 7 3 4 3 2" xfId="10954" xr:uid="{0B6D30D9-C54A-4D09-A44A-72640614E9EA}"/>
    <cellStyle name="Output 2 7 3 4 3 2 2" xfId="20000" xr:uid="{F6DEE93E-E1B2-43A9-A428-153431204B6B}"/>
    <cellStyle name="Output 2 7 3 4 3 3" xfId="16514" xr:uid="{5F705B3E-8252-463B-9385-2E96598B4447}"/>
    <cellStyle name="Output 2 7 3 4 3 4" xfId="23177" xr:uid="{891E9FE5-9861-4F70-A534-CEFA851732E8}"/>
    <cellStyle name="Output 2 7 3 4 4" xfId="5716" xr:uid="{07B0A5C3-022F-4C98-8C6B-1E519338FE84}"/>
    <cellStyle name="Output 2 7 3 4 4 2" xfId="11569" xr:uid="{2767CDE6-E267-4688-A6EB-2FF388ED4222}"/>
    <cellStyle name="Output 2 7 3 4 4 2 2" xfId="20615" xr:uid="{51FAC2BB-735B-44CF-87A1-EE20EFA85203}"/>
    <cellStyle name="Output 2 7 3 4 4 3" xfId="17129" xr:uid="{9AF5DD31-0A6B-41FA-942F-74A7607B84AF}"/>
    <cellStyle name="Output 2 7 3 4 5" xfId="6327" xr:uid="{D4354B82-52E3-4813-A35D-4D66ABB2B458}"/>
    <cellStyle name="Output 2 7 3 4 5 2" xfId="12174" xr:uid="{6DD08D37-8915-45B8-96D0-0D1B92C881C6}"/>
    <cellStyle name="Output 2 7 3 4 5 2 2" xfId="21220" xr:uid="{63FC3B22-D9B2-4C7D-B291-B22212CE1B8C}"/>
    <cellStyle name="Output 2 7 3 4 5 3" xfId="17740" xr:uid="{B500ADF9-FA74-4795-BD19-034E90FD8D76}"/>
    <cellStyle name="Output 2 7 3 4 6" xfId="9588" xr:uid="{23DECDDC-0235-4018-A9D2-342A745D22DC}"/>
    <cellStyle name="Output 2 7 3 4 6 2" xfId="18634" xr:uid="{25EB78CD-1633-4F53-B97B-26471436B635}"/>
    <cellStyle name="Output 2 7 3 4 7" xfId="12986" xr:uid="{64B58D71-729A-4758-87B7-4D1AF671F9AD}"/>
    <cellStyle name="Output 2 7 3 4 8" xfId="13543" xr:uid="{088ACC24-07DB-4F74-AACF-8884D8FC1134}"/>
    <cellStyle name="Output 2 7 3 4 9" xfId="14182" xr:uid="{91CCBFD9-5DC4-4C8E-A4EB-A3D38B614EFA}"/>
    <cellStyle name="Output 2 7 3 5" xfId="3165" xr:uid="{82E2198B-73C2-4660-9E51-D0DD897908FE}"/>
    <cellStyle name="Output 2 7 3 5 10" xfId="14945" xr:uid="{549D1A8F-C641-4C6D-BF1D-62D83339AFAD}"/>
    <cellStyle name="Output 2 7 3 5 11" xfId="21813" xr:uid="{9EB9F62E-2B65-4E08-A96A-9ACD76AD33C9}"/>
    <cellStyle name="Output 2 7 3 5 2" xfId="4386" xr:uid="{DBBD3716-B5A8-4B47-A594-DB8340FC2EC9}"/>
    <cellStyle name="Output 2 7 3 5 2 2" xfId="10243" xr:uid="{978AFC88-A433-4A36-80D3-41F7D76E3C6C}"/>
    <cellStyle name="Output 2 7 3 5 2 2 2" xfId="19289" xr:uid="{41472D5B-2D0F-4F22-B454-B63DB34D6244}"/>
    <cellStyle name="Output 2 7 3 5 2 3" xfId="15803" xr:uid="{D529C66F-9069-4BC4-99CA-2071479D6DCE}"/>
    <cellStyle name="Output 2 7 3 5 2 4" xfId="22469" xr:uid="{F5D968E8-A97D-4001-9B7E-634BE6E5E6BB}"/>
    <cellStyle name="Output 2 7 3 5 3" xfId="4887" xr:uid="{C62C07D7-3E1B-4589-AF11-D201DFD26CCE}"/>
    <cellStyle name="Output 2 7 3 5 3 2" xfId="10742" xr:uid="{EB1C38E7-1F38-4BAE-A2E0-597691A88F7D}"/>
    <cellStyle name="Output 2 7 3 5 3 2 2" xfId="19788" xr:uid="{4B3ED72D-E12A-491E-9A51-4FFA81ABD647}"/>
    <cellStyle name="Output 2 7 3 5 3 3" xfId="16302" xr:uid="{9C35F2CF-327B-48D8-B9C0-60D6ED3154E8}"/>
    <cellStyle name="Output 2 7 3 5 3 4" xfId="22964" xr:uid="{61A28032-9AC7-4BB5-8049-57130C500C36}"/>
    <cellStyle name="Output 2 7 3 5 4" xfId="5502" xr:uid="{7DC04B35-3448-48D8-98AD-ADAE8A43E06C}"/>
    <cellStyle name="Output 2 7 3 5 4 2" xfId="11355" xr:uid="{03E61E7A-7341-4B21-8244-9988BD7F1EEA}"/>
    <cellStyle name="Output 2 7 3 5 4 2 2" xfId="20401" xr:uid="{7077A626-B21E-4CC2-8EB0-D4AAC6117439}"/>
    <cellStyle name="Output 2 7 3 5 4 3" xfId="16915" xr:uid="{EABD8F36-3BD0-4EC1-8396-B2ABAF81AD0B}"/>
    <cellStyle name="Output 2 7 3 5 5" xfId="6113" xr:uid="{E2539159-CA91-4976-9280-6D37B3E8E774}"/>
    <cellStyle name="Output 2 7 3 5 5 2" xfId="11962" xr:uid="{569A0560-3C61-4E66-85F9-185A5C86ED08}"/>
    <cellStyle name="Output 2 7 3 5 5 2 2" xfId="21008" xr:uid="{A912DC8D-C6D0-4334-9010-9F61A191F39B}"/>
    <cellStyle name="Output 2 7 3 5 5 3" xfId="17526" xr:uid="{99C848EE-EDA8-452D-8050-A660DD0554FD}"/>
    <cellStyle name="Output 2 7 3 5 6" xfId="9376" xr:uid="{A4B38348-F91A-42DD-9D8C-8344B6C6AA79}"/>
    <cellStyle name="Output 2 7 3 5 6 2" xfId="18422" xr:uid="{C7F63F26-8F1B-4484-879A-B2DE3DBEFEDD}"/>
    <cellStyle name="Output 2 7 3 5 7" xfId="12772" xr:uid="{FEC69956-CD4F-4E11-819C-37E1CD24381C}"/>
    <cellStyle name="Output 2 7 3 5 8" xfId="13332" xr:uid="{C7C75DFF-0636-4068-9AB1-EF292D28F9A0}"/>
    <cellStyle name="Output 2 7 3 5 9" xfId="13968" xr:uid="{8549FFE1-6005-47CE-AB29-9DAF20F950F4}"/>
    <cellStyle name="Output 2 7 3 6" xfId="3766" xr:uid="{81DEB234-9817-4D3B-806C-9E78BF05B0FD}"/>
    <cellStyle name="Output 2 7 3 6 2" xfId="9808" xr:uid="{BFF97DD2-AC77-4286-8E94-BFE93C9709E2}"/>
    <cellStyle name="Output 2 7 3 6 2 2" xfId="18854" xr:uid="{A7D32D5F-089A-4401-8577-577F955221D4}"/>
    <cellStyle name="Output 2 7 3 6 3" xfId="15374" xr:uid="{06B282C4-785C-4F2A-8DCA-5EBC3C32A4A6}"/>
    <cellStyle name="Output 2 7 3 6 4" xfId="22353" xr:uid="{BF77C140-B972-453D-9C5E-E0A93DF11D86}"/>
    <cellStyle name="Output 2 7 3 7" xfId="4250" xr:uid="{A4E57985-CB6F-42F6-B0B3-C765FEB69A9A}"/>
    <cellStyle name="Output 2 7 3 7 2" xfId="10107" xr:uid="{AF9D53A6-6BB0-4A61-80E5-FD39AFDAAE68}"/>
    <cellStyle name="Output 2 7 3 7 2 2" xfId="19153" xr:uid="{A35C1D74-5694-4729-AA09-20AC7CFC7642}"/>
    <cellStyle name="Output 2 7 3 7 3" xfId="15667" xr:uid="{BA31DE61-C548-4358-BA46-249CBD6171B8}"/>
    <cellStyle name="Output 2 7 3 7 4" xfId="22251" xr:uid="{466B40DB-4466-4414-8F09-057A7545FBAF}"/>
    <cellStyle name="Output 2 7 3 8" xfId="4132" xr:uid="{D7917952-999B-4975-A690-8C7E23A78CF2}"/>
    <cellStyle name="Output 2 7 3 8 2" xfId="9989" xr:uid="{70800BCA-8943-476B-AE86-01FDF56FAF09}"/>
    <cellStyle name="Output 2 7 3 8 2 2" xfId="19035" xr:uid="{4EA67606-1FC6-4B69-9E83-8E1476178A06}"/>
    <cellStyle name="Output 2 7 3 8 3" xfId="15549" xr:uid="{0137D383-1F64-40F9-892B-952B8BFE6F3D}"/>
    <cellStyle name="Output 2 7 3 9" xfId="5287" xr:uid="{5C31BA7C-63FC-43D2-AF7E-3491267CF81A}"/>
    <cellStyle name="Output 2 7 3 9 2" xfId="11140" xr:uid="{C5D4A351-8C7F-4507-B8DC-95BD14B1B1AD}"/>
    <cellStyle name="Output 2 7 3 9 2 2" xfId="20186" xr:uid="{0E7E7D7C-AC3B-4DB1-AA5B-9C5E09298B02}"/>
    <cellStyle name="Output 2 7 3 9 3" xfId="16700" xr:uid="{D4B8FFCC-74BD-4BB8-B02C-837F5E4138DA}"/>
    <cellStyle name="Output 2 7 4" xfId="2440" xr:uid="{FD96FA50-8A68-41CB-AA15-93CB675BFCC0}"/>
    <cellStyle name="Output 2 7 4 10" xfId="13222" xr:uid="{BAAD15AB-588E-4BCF-9929-BD5D23CB3BD8}"/>
    <cellStyle name="Output 2 7 4 11" xfId="13856" xr:uid="{9DE0022C-B59D-4C7C-AA74-45B6F2B624C2}"/>
    <cellStyle name="Output 2 7 4 12" xfId="14831" xr:uid="{4B71CA24-9777-4524-97B8-3762A5F139E9}"/>
    <cellStyle name="Output 2 7 4 13" xfId="21701" xr:uid="{9CDF8468-1247-48A4-A8CD-1FABC66CC87C}"/>
    <cellStyle name="Output 2 7 4 2" xfId="2619" xr:uid="{C20F3411-A461-4CBD-9225-FFCBEBE70EB8}"/>
    <cellStyle name="Output 2 7 4 2 10" xfId="15258" xr:uid="{4C8A2C9A-B8A3-445E-8858-F14A01D70508}"/>
    <cellStyle name="Output 2 7 4 2 11" xfId="22127" xr:uid="{4A949158-B8F9-4D66-BA7F-D95E18A2CD28}"/>
    <cellStyle name="Output 2 7 4 2 12" xfId="3467" xr:uid="{EF4A0664-040C-479E-9FFF-25AB62EF06F9}"/>
    <cellStyle name="Output 2 7 4 2 2" xfId="4701" xr:uid="{4C1EF57F-ECBC-4B25-AE0D-220FA1F9F5DC}"/>
    <cellStyle name="Output 2 7 4 2 2 2" xfId="10558" xr:uid="{6E053914-5AC6-479C-B0FE-7B33E6C391A0}"/>
    <cellStyle name="Output 2 7 4 2 2 2 2" xfId="19604" xr:uid="{EF774752-908B-4F21-A06D-FF8B4E314B03}"/>
    <cellStyle name="Output 2 7 4 2 2 3" xfId="16118" xr:uid="{9D4C95BE-EEB7-4618-81E1-4556FDA8A777}"/>
    <cellStyle name="Output 2 7 4 2 2 4" xfId="22783" xr:uid="{B211D0F5-7F55-443C-9EC4-A218EDBD81E0}"/>
    <cellStyle name="Output 2 7 4 2 3" xfId="5202" xr:uid="{BE80BFA6-C749-41EC-B092-FC17083B4D8D}"/>
    <cellStyle name="Output 2 7 4 2 3 2" xfId="11055" xr:uid="{3595DD21-6728-4DAA-82C2-B9A3B6EA1F4D}"/>
    <cellStyle name="Output 2 7 4 2 3 2 2" xfId="20101" xr:uid="{B5EEB57E-E239-470E-9964-B359D790BDAB}"/>
    <cellStyle name="Output 2 7 4 2 3 3" xfId="16615" xr:uid="{6DE489B3-F227-4790-8215-4BB5DF61F123}"/>
    <cellStyle name="Output 2 7 4 2 3 4" xfId="23278" xr:uid="{CC60EF40-CD30-4D3D-83BE-94925894F63E}"/>
    <cellStyle name="Output 2 7 4 2 4" xfId="5817" xr:uid="{F7013855-F6F8-4745-A8C2-0BD2A5643CCB}"/>
    <cellStyle name="Output 2 7 4 2 4 2" xfId="11670" xr:uid="{B1E84F21-89BF-4A4D-BF85-A9D21AE6528C}"/>
    <cellStyle name="Output 2 7 4 2 4 2 2" xfId="20716" xr:uid="{EEDE4228-AE94-4ECF-880F-8FB42FE6962F}"/>
    <cellStyle name="Output 2 7 4 2 4 3" xfId="17230" xr:uid="{4DFFE7A1-DABC-4BAB-A727-148B96D0625F}"/>
    <cellStyle name="Output 2 7 4 2 5" xfId="6428" xr:uid="{08FE95B4-A1D4-4A3E-A101-15BD34D3F507}"/>
    <cellStyle name="Output 2 7 4 2 5 2" xfId="12275" xr:uid="{A7073042-15BB-49A7-8985-4EE4E9542A5F}"/>
    <cellStyle name="Output 2 7 4 2 5 2 2" xfId="21321" xr:uid="{40247FA1-C8FE-4D12-BFA3-02FD9E827D50}"/>
    <cellStyle name="Output 2 7 4 2 5 3" xfId="17841" xr:uid="{EC0BD351-BAA4-47E1-B231-EDD02A8AFA14}"/>
    <cellStyle name="Output 2 7 4 2 6" xfId="9689" xr:uid="{C85D8EAF-0D77-4195-B789-37ED68CFAA7C}"/>
    <cellStyle name="Output 2 7 4 2 6 2" xfId="18735" xr:uid="{9A326C2E-A55C-444C-9098-9AD06F771F7F}"/>
    <cellStyle name="Output 2 7 4 2 7" xfId="13087" xr:uid="{D55CEC90-5346-425F-A49F-6A88653628E3}"/>
    <cellStyle name="Output 2 7 4 2 8" xfId="13644" xr:uid="{7E6845B3-0A2C-4B09-B355-C69FA78B8118}"/>
    <cellStyle name="Output 2 7 4 2 9" xfId="14283" xr:uid="{C943EDD8-008C-45C8-8825-4CF43BB3BCF0}"/>
    <cellStyle name="Output 2 7 4 3" xfId="3266" xr:uid="{A53A9CBD-C0EA-40EF-B9E0-FB1CC3837652}"/>
    <cellStyle name="Output 2 7 4 3 10" xfId="15046" xr:uid="{979361EC-48C9-4918-91C0-ED74D6377391}"/>
    <cellStyle name="Output 2 7 4 3 11" xfId="21916" xr:uid="{61F07027-2413-4BF8-ABF7-051F07AC1F6A}"/>
    <cellStyle name="Output 2 7 4 3 2" xfId="4489" xr:uid="{94357F19-F1AD-48BF-BB0E-1F9EB4309421}"/>
    <cellStyle name="Output 2 7 4 3 2 2" xfId="10346" xr:uid="{7C78106F-61C5-4569-9EAE-6BBFBFBC6B4D}"/>
    <cellStyle name="Output 2 7 4 3 2 2 2" xfId="19392" xr:uid="{02DCF790-F405-4243-9DAB-0349148BA710}"/>
    <cellStyle name="Output 2 7 4 3 2 3" xfId="15906" xr:uid="{7517700D-71CD-4D6C-850C-C4332EAB7835}"/>
    <cellStyle name="Output 2 7 4 3 2 4" xfId="22572" xr:uid="{26C85044-BDF1-48C1-96AF-771B5ED97589}"/>
    <cellStyle name="Output 2 7 4 3 3" xfId="4990" xr:uid="{02FC8695-E5E5-4096-BA7E-0ECB5E6A6E7F}"/>
    <cellStyle name="Output 2 7 4 3 3 2" xfId="10843" xr:uid="{EF71CC9D-99A4-4F2D-B136-95761193F23F}"/>
    <cellStyle name="Output 2 7 4 3 3 2 2" xfId="19889" xr:uid="{A07C5B55-4EEF-4E34-AB0E-9A61F3DCB634}"/>
    <cellStyle name="Output 2 7 4 3 3 3" xfId="16403" xr:uid="{2C24149E-1BB4-446A-BB75-E1F8F7668B8D}"/>
    <cellStyle name="Output 2 7 4 3 3 4" xfId="23067" xr:uid="{6A49FF85-8CE6-4AD5-A1BB-1A100885C18E}"/>
    <cellStyle name="Output 2 7 4 3 4" xfId="5605" xr:uid="{031F36A7-EB74-44FB-B9B9-0D73DF593E55}"/>
    <cellStyle name="Output 2 7 4 3 4 2" xfId="11458" xr:uid="{48AEA75F-2BED-4B01-91EB-A3B7CCED6E0A}"/>
    <cellStyle name="Output 2 7 4 3 4 2 2" xfId="20504" xr:uid="{99887074-C3AC-4F02-BC6E-C26683081029}"/>
    <cellStyle name="Output 2 7 4 3 4 3" xfId="17018" xr:uid="{0FC511F0-1AAC-4C20-8874-2A74B415BED8}"/>
    <cellStyle name="Output 2 7 4 3 5" xfId="6216" xr:uid="{C0235666-F0F8-4F31-86F5-5712B6AF8C72}"/>
    <cellStyle name="Output 2 7 4 3 5 2" xfId="12063" xr:uid="{84826256-9368-41AC-8CE2-6D5BE906D797}"/>
    <cellStyle name="Output 2 7 4 3 5 2 2" xfId="21109" xr:uid="{755DDF3A-2034-4135-8EE2-D419A9D7592D}"/>
    <cellStyle name="Output 2 7 4 3 5 3" xfId="17629" xr:uid="{A0F501F5-C367-4B19-9770-DE93E459C346}"/>
    <cellStyle name="Output 2 7 4 3 6" xfId="9477" xr:uid="{070EBA7A-B7EC-4E94-B126-23B8C3A2476A}"/>
    <cellStyle name="Output 2 7 4 3 6 2" xfId="18523" xr:uid="{FC0AFA00-3707-4A10-8346-7011F1529EE4}"/>
    <cellStyle name="Output 2 7 4 3 7" xfId="12875" xr:uid="{BABCDB06-6118-4690-83A8-963B3F49FC43}"/>
    <cellStyle name="Output 2 7 4 3 8" xfId="13433" xr:uid="{62D6867D-57F2-4DF0-8937-325147F8ACC9}"/>
    <cellStyle name="Output 2 7 4 3 9" xfId="14071" xr:uid="{C1CCB442-1ACE-4EA5-9091-B0C2BB1572C7}"/>
    <cellStyle name="Output 2 7 4 4" xfId="3995" xr:uid="{A4877F34-4C38-4A14-AA85-1DD3C30B8B7D}"/>
    <cellStyle name="Output 2 7 4 4 2" xfId="9857" xr:uid="{0FA4F260-204A-446F-AA5A-4F3464690D84}"/>
    <cellStyle name="Output 2 7 4 4 2 2" xfId="18903" xr:uid="{11F10291-FF2A-45A8-A7D8-44CB157E8017}"/>
    <cellStyle name="Output 2 7 4 4 3" xfId="15419" xr:uid="{C0FE3AA4-5EEC-4F80-B86A-4739107609DE}"/>
    <cellStyle name="Output 2 7 4 4 4" xfId="22852" xr:uid="{89D4398B-B85D-4019-958D-E37168C56F6E}"/>
    <cellStyle name="Output 2 7 4 5" xfId="4773" xr:uid="{23E1A42D-A277-499E-A137-89C8CCF21D34}"/>
    <cellStyle name="Output 2 7 4 5 2" xfId="10630" xr:uid="{D7F2AA62-6259-4193-9D73-6060C79975C9}"/>
    <cellStyle name="Output 2 7 4 5 2 2" xfId="19676" xr:uid="{E67DCD89-E912-45C7-920C-4BC4677020F6}"/>
    <cellStyle name="Output 2 7 4 5 3" xfId="16190" xr:uid="{9B60CC54-B6E8-49E5-AA92-DFDC8E576296}"/>
    <cellStyle name="Output 2 7 4 6" xfId="5390" xr:uid="{6F990686-9D00-4AB5-9971-7BBCC24BA5F1}"/>
    <cellStyle name="Output 2 7 4 6 2" xfId="11243" xr:uid="{677B1653-2791-40C5-AE7F-B68BDCBC5623}"/>
    <cellStyle name="Output 2 7 4 6 2 2" xfId="20289" xr:uid="{BB250307-E0B2-460E-B01B-C1DC56B8FA2A}"/>
    <cellStyle name="Output 2 7 4 6 3" xfId="16803" xr:uid="{047843A4-48BF-4011-98F1-857A688E182D}"/>
    <cellStyle name="Output 2 7 4 7" xfId="6001" xr:uid="{5DA6FE85-361D-4616-BBBA-38A116886E35}"/>
    <cellStyle name="Output 2 7 4 7 2" xfId="11852" xr:uid="{0EDA6A56-BBAC-4ED5-B534-FA8E42455F9C}"/>
    <cellStyle name="Output 2 7 4 7 2 2" xfId="20898" xr:uid="{A552CD62-A51B-40E4-A34E-936018046ED4}"/>
    <cellStyle name="Output 2 7 4 7 3" xfId="17414" xr:uid="{7454A304-A987-4304-BA4F-8965DE2763AD}"/>
    <cellStyle name="Output 2 7 4 8" xfId="9262" xr:uid="{027C8501-07B2-4A6E-B211-12F9A97973E6}"/>
    <cellStyle name="Output 2 7 4 8 2" xfId="18308" xr:uid="{8C56FC92-9488-4FED-A979-1EAD844923B5}"/>
    <cellStyle name="Output 2 7 4 9" xfId="12660" xr:uid="{A67BB6AF-1567-48AC-AE2B-F261E919D946}"/>
    <cellStyle name="Output 2 7 5" xfId="2622" xr:uid="{E3940634-6253-43C7-A356-F670D46A5EA4}"/>
    <cellStyle name="Output 2 7 5 10" xfId="13857" xr:uid="{C6275B13-DC41-4CDC-97DC-70D03FF4820D}"/>
    <cellStyle name="Output 2 7 5 11" xfId="14832" xr:uid="{8DF06889-8CBA-4531-9323-9FF3E9986F07}"/>
    <cellStyle name="Output 2 7 5 12" xfId="21702" xr:uid="{9CDD7CA7-22F0-48AA-9E1C-C4060AE09FBA}"/>
    <cellStyle name="Output 2 7 5 13" xfId="3072" xr:uid="{DD19019A-E5C5-43D1-8EEE-EDE5C43951BE}"/>
    <cellStyle name="Output 2 7 5 2" xfId="3468" xr:uid="{46A2B1DC-DF98-46ED-AE6F-58D050AFD13A}"/>
    <cellStyle name="Output 2 7 5 2 10" xfId="15259" xr:uid="{645BC6A5-F329-43A1-95FC-B3F1AECA9941}"/>
    <cellStyle name="Output 2 7 5 2 11" xfId="22128" xr:uid="{ABB3516D-F8E8-4A8A-99D5-A657D08C4341}"/>
    <cellStyle name="Output 2 7 5 2 2" xfId="4702" xr:uid="{2D544F28-4AA6-4366-9099-1A4B8D76F55E}"/>
    <cellStyle name="Output 2 7 5 2 2 2" xfId="10559" xr:uid="{ECABB2CF-BAF2-40EB-A4BB-127981AAD091}"/>
    <cellStyle name="Output 2 7 5 2 2 2 2" xfId="19605" xr:uid="{7290011D-B2B0-4197-AA99-CA2E9ABC225C}"/>
    <cellStyle name="Output 2 7 5 2 2 3" xfId="16119" xr:uid="{F3035141-BDB6-4308-9D1A-340D23F355D1}"/>
    <cellStyle name="Output 2 7 5 2 2 4" xfId="22784" xr:uid="{00B5F1AF-960F-4C64-A475-E8B33C2F236B}"/>
    <cellStyle name="Output 2 7 5 2 3" xfId="5203" xr:uid="{5C67CFD3-2D33-4832-ABD8-92FA22C7AD2A}"/>
    <cellStyle name="Output 2 7 5 2 3 2" xfId="11056" xr:uid="{B6FAFA5F-6831-4C1D-9696-2897ABD20E57}"/>
    <cellStyle name="Output 2 7 5 2 3 2 2" xfId="20102" xr:uid="{1D4D8FDA-E27F-40CE-B681-0C8103C7968E}"/>
    <cellStyle name="Output 2 7 5 2 3 3" xfId="16616" xr:uid="{61C9CA93-117D-4F72-9F7E-D47726141B7D}"/>
    <cellStyle name="Output 2 7 5 2 3 4" xfId="23279" xr:uid="{BF0B6EA6-37EC-4E42-98EF-5A28D725BDBD}"/>
    <cellStyle name="Output 2 7 5 2 4" xfId="5818" xr:uid="{BA10754D-1A6B-4FDA-AD74-968FEBEE2BEB}"/>
    <cellStyle name="Output 2 7 5 2 4 2" xfId="11671" xr:uid="{6D747717-5981-4B3C-9AB7-1B31074B00C6}"/>
    <cellStyle name="Output 2 7 5 2 4 2 2" xfId="20717" xr:uid="{4211D1D8-DAB7-41E7-AF82-417ACC4F5F84}"/>
    <cellStyle name="Output 2 7 5 2 4 3" xfId="17231" xr:uid="{8AFAC64D-1667-49EF-AFEC-5250C156D73E}"/>
    <cellStyle name="Output 2 7 5 2 5" xfId="6429" xr:uid="{8EC5B0CE-F55C-4EA1-84D9-7E71A01F636A}"/>
    <cellStyle name="Output 2 7 5 2 5 2" xfId="12276" xr:uid="{5B21FF96-9FD2-41CE-981B-D8818FA92B84}"/>
    <cellStyle name="Output 2 7 5 2 5 2 2" xfId="21322" xr:uid="{97BE206F-6CC8-4599-BD46-20B4AC8B256E}"/>
    <cellStyle name="Output 2 7 5 2 5 3" xfId="17842" xr:uid="{7386D880-462B-421E-AE07-2BBD1223C21D}"/>
    <cellStyle name="Output 2 7 5 2 6" xfId="9690" xr:uid="{8BA5ADAF-9364-4826-9283-340094486CF5}"/>
    <cellStyle name="Output 2 7 5 2 6 2" xfId="18736" xr:uid="{721E4D88-A156-410D-8EAC-5D0F7328E0EF}"/>
    <cellStyle name="Output 2 7 5 2 7" xfId="13088" xr:uid="{A932C4B8-3A23-46F6-951A-7722ED2B1F83}"/>
    <cellStyle name="Output 2 7 5 2 8" xfId="13645" xr:uid="{3DFD4D8B-C020-47A5-8252-28ED414AD7AF}"/>
    <cellStyle name="Output 2 7 5 2 9" xfId="14284" xr:uid="{41F2200B-03D4-4949-9A73-6AB7463CB935}"/>
    <cellStyle name="Output 2 7 5 3" xfId="3267" xr:uid="{FE8C3341-BCD1-4C69-AE2A-16EB4C3AF413}"/>
    <cellStyle name="Output 2 7 5 3 10" xfId="15047" xr:uid="{532AF880-BC3D-4221-8676-A59B91B1EC9A}"/>
    <cellStyle name="Output 2 7 5 3 11" xfId="21917" xr:uid="{60B25B6F-1714-4E87-B167-C81BCB91B1CF}"/>
    <cellStyle name="Output 2 7 5 3 2" xfId="4490" xr:uid="{52B7B24C-2A96-4CBB-B490-EF7B2970C068}"/>
    <cellStyle name="Output 2 7 5 3 2 2" xfId="10347" xr:uid="{26E8A1DD-1831-4A7A-9FD5-C6030F8505FD}"/>
    <cellStyle name="Output 2 7 5 3 2 2 2" xfId="19393" xr:uid="{07AC12FC-DCD6-4C7C-9F02-7694A88A5C7A}"/>
    <cellStyle name="Output 2 7 5 3 2 3" xfId="15907" xr:uid="{3753C4F0-49CB-420A-BEAE-EB5412A94CE4}"/>
    <cellStyle name="Output 2 7 5 3 2 4" xfId="22573" xr:uid="{CDDACD33-0E6E-4BF2-9110-2912EA1EEEAF}"/>
    <cellStyle name="Output 2 7 5 3 3" xfId="4991" xr:uid="{FE4D38C9-EA54-4640-ACC3-30C5098C3B6D}"/>
    <cellStyle name="Output 2 7 5 3 3 2" xfId="10844" xr:uid="{16CBC518-F620-48A3-B13A-F420DC892713}"/>
    <cellStyle name="Output 2 7 5 3 3 2 2" xfId="19890" xr:uid="{0EBEBE91-9869-4889-AD80-667DCF396746}"/>
    <cellStyle name="Output 2 7 5 3 3 3" xfId="16404" xr:uid="{4E477AEB-5DCA-4F75-AA42-4C5AA7821519}"/>
    <cellStyle name="Output 2 7 5 3 3 4" xfId="23068" xr:uid="{E9C5AD78-38AA-4A3E-8B79-A9B86488DEBA}"/>
    <cellStyle name="Output 2 7 5 3 4" xfId="5606" xr:uid="{F15CD977-5306-4820-9A08-4F55FAE753E1}"/>
    <cellStyle name="Output 2 7 5 3 4 2" xfId="11459" xr:uid="{E4D32CD9-B2B4-4940-9104-E8E41DE43DBB}"/>
    <cellStyle name="Output 2 7 5 3 4 2 2" xfId="20505" xr:uid="{B4F29333-8398-4F8E-8725-9221FA90861C}"/>
    <cellStyle name="Output 2 7 5 3 4 3" xfId="17019" xr:uid="{891DB911-0786-4B8D-BAF7-3D0714B85526}"/>
    <cellStyle name="Output 2 7 5 3 5" xfId="6217" xr:uid="{6909B14F-F889-417B-ABB5-28F6D28CEBBD}"/>
    <cellStyle name="Output 2 7 5 3 5 2" xfId="12064" xr:uid="{DF79166A-8254-4B18-B840-8481DA6BC0A6}"/>
    <cellStyle name="Output 2 7 5 3 5 2 2" xfId="21110" xr:uid="{4CC9F088-E3BE-44CC-A8F3-8B27B4A07F74}"/>
    <cellStyle name="Output 2 7 5 3 5 3" xfId="17630" xr:uid="{40609855-FEBE-4807-8C36-827BFD9151F1}"/>
    <cellStyle name="Output 2 7 5 3 6" xfId="9478" xr:uid="{156CDEC8-97FC-4EDF-AAB2-BE29D39F054C}"/>
    <cellStyle name="Output 2 7 5 3 6 2" xfId="18524" xr:uid="{3466D475-3A70-46FF-9926-A2ED7C246658}"/>
    <cellStyle name="Output 2 7 5 3 7" xfId="12876" xr:uid="{CBF0B408-D745-4766-9540-92F6BB40CAED}"/>
    <cellStyle name="Output 2 7 5 3 8" xfId="13434" xr:uid="{5FBECF51-AE21-4177-A0D6-09B795070121}"/>
    <cellStyle name="Output 2 7 5 3 9" xfId="14072" xr:uid="{624F0653-7002-43F7-A0F0-70EEF9F5D71D}"/>
    <cellStyle name="Output 2 7 5 4" xfId="4774" xr:uid="{307C4187-5DA1-4C21-97EF-44C90A1F5CC3}"/>
    <cellStyle name="Output 2 7 5 4 2" xfId="10631" xr:uid="{EE5ACE39-C839-4237-A608-AD4C86315DBD}"/>
    <cellStyle name="Output 2 7 5 4 2 2" xfId="19677" xr:uid="{7305351C-8C7E-4C65-83B1-152A67E05C44}"/>
    <cellStyle name="Output 2 7 5 4 3" xfId="16191" xr:uid="{379B6073-C705-49B1-B179-3347ED51931E}"/>
    <cellStyle name="Output 2 7 5 4 4" xfId="22853" xr:uid="{F8929285-A896-48B2-9AD4-25CE9069CAFF}"/>
    <cellStyle name="Output 2 7 5 5" xfId="5391" xr:uid="{91C37400-8A20-44F6-94B4-A4D2EB17A303}"/>
    <cellStyle name="Output 2 7 5 5 2" xfId="11244" xr:uid="{E707774B-C2AE-47F5-8C2F-C5051846CD9C}"/>
    <cellStyle name="Output 2 7 5 5 2 2" xfId="20290" xr:uid="{E178845A-D2B4-4FDD-A088-FCDF63DA01B0}"/>
    <cellStyle name="Output 2 7 5 5 3" xfId="16804" xr:uid="{D56EAB5C-493B-4398-AD14-1053667B05D3}"/>
    <cellStyle name="Output 2 7 5 6" xfId="6002" xr:uid="{F4402F54-47E8-4E09-A435-5FA23AF12DFB}"/>
    <cellStyle name="Output 2 7 5 6 2" xfId="11853" xr:uid="{B0C1BE3F-0122-42C8-A54C-30B67021B205}"/>
    <cellStyle name="Output 2 7 5 6 2 2" xfId="20899" xr:uid="{5B3E7A13-D032-48BD-ADD9-F395A891BADE}"/>
    <cellStyle name="Output 2 7 5 6 3" xfId="17415" xr:uid="{6A06835F-B21F-4ACA-8BA0-301D212BE772}"/>
    <cellStyle name="Output 2 7 5 7" xfId="9263" xr:uid="{D7AE1B6B-FCEA-4973-B2CB-F2F8C4E2CCA1}"/>
    <cellStyle name="Output 2 7 5 7 2" xfId="18309" xr:uid="{9E2B60D6-BDA5-468A-A883-73CCF5CA6535}"/>
    <cellStyle name="Output 2 7 5 8" xfId="12661" xr:uid="{E7005153-479A-4F84-A32C-32C937887E24}"/>
    <cellStyle name="Output 2 7 5 9" xfId="13223" xr:uid="{6A8C90FF-00E3-4877-800D-E8B2BF9E6DB7}"/>
    <cellStyle name="Output 2 7 6" xfId="3339" xr:uid="{2D4C3982-E799-4FCF-BCB8-D984A4ED6608}"/>
    <cellStyle name="Output 2 7 6 10" xfId="15119" xr:uid="{D60E9D7F-56D7-431A-8CF4-8D7890D7FFA5}"/>
    <cellStyle name="Output 2 7 6 11" xfId="21988" xr:uid="{B9EEE576-6A15-4B67-B4DB-11E54B28EEDC}"/>
    <cellStyle name="Output 2 7 6 2" xfId="4562" xr:uid="{70F4B09F-19CA-4F1F-B639-DE24F29436C0}"/>
    <cellStyle name="Output 2 7 6 2 2" xfId="10419" xr:uid="{9FB95274-76A2-40B7-9947-FA200D51083E}"/>
    <cellStyle name="Output 2 7 6 2 2 2" xfId="19465" xr:uid="{C89E4412-A437-4ADE-82A9-A932BDDFEDD0}"/>
    <cellStyle name="Output 2 7 6 2 3" xfId="15979" xr:uid="{619B7CAF-8867-49D3-95FB-9A794D4C4E72}"/>
    <cellStyle name="Output 2 7 6 2 4" xfId="22644" xr:uid="{A422CD65-F484-436D-8CEC-9D6454A354AD}"/>
    <cellStyle name="Output 2 7 6 3" xfId="5063" xr:uid="{45573647-98CD-405A-9625-92ED841B40C7}"/>
    <cellStyle name="Output 2 7 6 3 2" xfId="10916" xr:uid="{29AB4386-70B2-4EC0-8815-9CA1BE832544}"/>
    <cellStyle name="Output 2 7 6 3 2 2" xfId="19962" xr:uid="{AEA95C47-27FC-41B3-91AE-9ED70ABB5F39}"/>
    <cellStyle name="Output 2 7 6 3 3" xfId="16476" xr:uid="{1C5619EF-5C2E-45FD-8669-F7074DC9B5C3}"/>
    <cellStyle name="Output 2 7 6 3 4" xfId="23139" xr:uid="{0EE78705-4630-4168-85FC-5C5DDC137974}"/>
    <cellStyle name="Output 2 7 6 4" xfId="5678" xr:uid="{3F14657A-9914-402F-ADF5-A2A9F5B99EB5}"/>
    <cellStyle name="Output 2 7 6 4 2" xfId="11531" xr:uid="{914543BA-C2D8-41A8-B7E2-6A3F341AEAC0}"/>
    <cellStyle name="Output 2 7 6 4 2 2" xfId="20577" xr:uid="{6F34831D-B4D3-4B8F-933E-EF40B6FF485B}"/>
    <cellStyle name="Output 2 7 6 4 3" xfId="17091" xr:uid="{45952D8E-5A0F-47BD-80D7-35CB1EE367AA}"/>
    <cellStyle name="Output 2 7 6 5" xfId="6289" xr:uid="{A45A9EE5-17B8-4767-9153-64987C213C51}"/>
    <cellStyle name="Output 2 7 6 5 2" xfId="12136" xr:uid="{C2C1FF73-2830-4EBA-88EB-55971EEC9FA6}"/>
    <cellStyle name="Output 2 7 6 5 2 2" xfId="21182" xr:uid="{3C529F21-D61B-4F2E-9A4D-C119711615C8}"/>
    <cellStyle name="Output 2 7 6 5 3" xfId="17702" xr:uid="{05CF3BA6-C85D-4234-A755-349DE3174F3A}"/>
    <cellStyle name="Output 2 7 6 6" xfId="9550" xr:uid="{AA60DCE1-3C28-41EC-B62F-69177FD8203D}"/>
    <cellStyle name="Output 2 7 6 6 2" xfId="18596" xr:uid="{FB6E4583-D7DD-4F95-A5DB-F5CD1F008BED}"/>
    <cellStyle name="Output 2 7 6 7" xfId="12948" xr:uid="{E0F4AA02-745F-42F5-B3B7-734EE8007CCD}"/>
    <cellStyle name="Output 2 7 6 8" xfId="13505" xr:uid="{80960743-1856-4E25-B55F-B23597BA966B}"/>
    <cellStyle name="Output 2 7 6 9" xfId="14144" xr:uid="{89BC32A1-4D42-4D99-B13D-65BF96130ABD}"/>
    <cellStyle name="Output 2 7 7" xfId="3127" xr:uid="{D4AABFBA-181B-4175-85B8-1DB66B571D9A}"/>
    <cellStyle name="Output 2 7 7 10" xfId="14907" xr:uid="{09195610-21A7-43E8-A832-EBDB79A35551}"/>
    <cellStyle name="Output 2 7 7 11" xfId="21775" xr:uid="{85AD0203-1F27-4263-8BCD-C664E37EDD39}"/>
    <cellStyle name="Output 2 7 7 2" xfId="4348" xr:uid="{442D6E8E-F9B7-4D48-BB56-452C95AA5425}"/>
    <cellStyle name="Output 2 7 7 2 2" xfId="10205" xr:uid="{692CD45A-552E-426C-BD7D-30E8B7658632}"/>
    <cellStyle name="Output 2 7 7 2 2 2" xfId="19251" xr:uid="{9037CB13-61EB-47A7-AEF4-C1F24D52621C}"/>
    <cellStyle name="Output 2 7 7 2 3" xfId="15765" xr:uid="{A08EE4F9-A795-4DB9-ABD2-C84374D86B8F}"/>
    <cellStyle name="Output 2 7 7 2 4" xfId="22431" xr:uid="{0479905F-664C-436B-AB02-3CDA0174DA76}"/>
    <cellStyle name="Output 2 7 7 3" xfId="4849" xr:uid="{472C5A17-BD83-47BA-BE3E-7355E6082248}"/>
    <cellStyle name="Output 2 7 7 3 2" xfId="10704" xr:uid="{BB6A9F62-A8D1-47A3-9A6F-E8B46792E4BB}"/>
    <cellStyle name="Output 2 7 7 3 2 2" xfId="19750" xr:uid="{3846F026-4EE3-4952-B77F-4ABAB3EA4F19}"/>
    <cellStyle name="Output 2 7 7 3 3" xfId="16264" xr:uid="{009D312A-97A3-4356-89F7-2990F632D879}"/>
    <cellStyle name="Output 2 7 7 3 4" xfId="22926" xr:uid="{EFE17B2D-8AB7-49F7-888E-64331802D308}"/>
    <cellStyle name="Output 2 7 7 4" xfId="5464" xr:uid="{BADF0359-07FD-4884-A946-AF0B0C06302D}"/>
    <cellStyle name="Output 2 7 7 4 2" xfId="11317" xr:uid="{102CDE5D-8D93-40CA-ADD5-99C1A5ED7E74}"/>
    <cellStyle name="Output 2 7 7 4 2 2" xfId="20363" xr:uid="{0C2B23CE-1E2E-4058-9954-B094E033C9C2}"/>
    <cellStyle name="Output 2 7 7 4 3" xfId="16877" xr:uid="{9CC8A2E1-3350-4964-BAEC-26AAA800325B}"/>
    <cellStyle name="Output 2 7 7 5" xfId="6075" xr:uid="{024FB6AB-E68B-489C-9BDD-27A864A5F5B0}"/>
    <cellStyle name="Output 2 7 7 5 2" xfId="11924" xr:uid="{4D3E6934-3D69-4CFA-99B4-E7229DF972BA}"/>
    <cellStyle name="Output 2 7 7 5 2 2" xfId="20970" xr:uid="{64AF3939-8188-4FB7-8C34-1520AC07826D}"/>
    <cellStyle name="Output 2 7 7 5 3" xfId="17488" xr:uid="{4FE6EF80-7DA6-4134-8D94-DD9698D6F27F}"/>
    <cellStyle name="Output 2 7 7 6" xfId="9338" xr:uid="{E04A652D-3311-4A40-9277-0E08836E6057}"/>
    <cellStyle name="Output 2 7 7 6 2" xfId="18384" xr:uid="{37237931-BD68-49F1-9855-58917EF4C5D3}"/>
    <cellStyle name="Output 2 7 7 7" xfId="12734" xr:uid="{9A31341E-3502-49BE-8948-34D5A81DCAF6}"/>
    <cellStyle name="Output 2 7 7 8" xfId="13294" xr:uid="{5E1C9A54-7A48-4EC9-A7ED-96EF5F2475D7}"/>
    <cellStyle name="Output 2 7 7 9" xfId="13930" xr:uid="{3B4E29D1-3A5C-45A3-A19C-2407D7040C45}"/>
    <cellStyle name="Output 2 7 8" xfId="3727" xr:uid="{325680E6-BC4E-4266-846C-6C45E91554F2}"/>
    <cellStyle name="Output 2 7 8 2" xfId="9769" xr:uid="{462FDE79-FD5E-4E57-9D6C-563037A7C737}"/>
    <cellStyle name="Output 2 7 8 2 2" xfId="18815" xr:uid="{C31B3BE2-BA19-4CBA-B75A-E906A7AF4675}"/>
    <cellStyle name="Output 2 7 8 3" xfId="15335" xr:uid="{960D7AD7-4E30-4CC4-A0F6-F694D4C81A4C}"/>
    <cellStyle name="Output 2 7 8 4" xfId="22314" xr:uid="{F4E6DC60-E76C-432C-BB64-BA5E5EECF13B}"/>
    <cellStyle name="Output 2 7 9" xfId="4211" xr:uid="{B7221026-A0CD-4080-9AB8-4B5DCD61F16F}"/>
    <cellStyle name="Output 2 7 9 2" xfId="10068" xr:uid="{8B3FDCC2-93AE-40C2-9014-72BC07E687AC}"/>
    <cellStyle name="Output 2 7 9 2 2" xfId="19114" xr:uid="{E6662866-8831-4653-8BCF-82581EA2018D}"/>
    <cellStyle name="Output 2 7 9 3" xfId="15628" xr:uid="{A70140F9-2B6F-4979-9869-904E87E633D7}"/>
    <cellStyle name="Output 2 7 9 4" xfId="22271" xr:uid="{6CC4A08F-4BED-43B0-B13C-AB1FFAE8C7FC}"/>
    <cellStyle name="Output 2 8" xfId="2441" xr:uid="{C99E8036-70C8-46B8-84B3-CCD7F58677F9}"/>
    <cellStyle name="Output 2 8 10" xfId="5899" xr:uid="{40290D3F-EE93-455F-A910-90350610BBD6}"/>
    <cellStyle name="Output 2 8 10 2" xfId="11752" xr:uid="{560D7793-A024-4CB5-8472-C4A810203280}"/>
    <cellStyle name="Output 2 8 10 2 2" xfId="20798" xr:uid="{231685F3-09BC-46AA-B70D-5E5D28F38EAF}"/>
    <cellStyle name="Output 2 8 10 3" xfId="17312" xr:uid="{57E1791E-111D-4B95-B6F9-9811719EC2BF}"/>
    <cellStyle name="Output 2 8 11" xfId="9162" xr:uid="{E4467C86-F791-43B8-9630-11A7459A1257}"/>
    <cellStyle name="Output 2 8 11 2" xfId="18208" xr:uid="{282E0B51-5721-4518-8C4C-4CDB5672C4AB}"/>
    <cellStyle name="Output 2 8 12" xfId="12560" xr:uid="{E0FAF8D6-B2FA-4CE2-A2D0-62213530E169}"/>
    <cellStyle name="Output 2 8 13" xfId="13754" xr:uid="{2921E42C-9F82-4C1F-875D-32D467C346A3}"/>
    <cellStyle name="Output 2 8 14" xfId="14731" xr:uid="{B47E5415-D5D6-4CAA-869D-98DE4B22C528}"/>
    <cellStyle name="Output 2 8 15" xfId="21601" xr:uid="{49FF7542-DC80-487A-8707-C1B5E691A38E}"/>
    <cellStyle name="Output 2 8 16" xfId="23784" xr:uid="{B3A7EC64-701E-4C6F-B921-39EF6F256A1A}"/>
    <cellStyle name="Output 2 8 2" xfId="2442" xr:uid="{AB787B32-B719-4C01-BC0C-4C4D31302C79}"/>
    <cellStyle name="Output 2 8 2 10" xfId="13224" xr:uid="{F15B1599-AD73-4EED-8B96-25FAA511DDD4}"/>
    <cellStyle name="Output 2 8 2 11" xfId="13858" xr:uid="{D900D7BB-40CD-4EAB-A7F4-A41C2AC81A25}"/>
    <cellStyle name="Output 2 8 2 12" xfId="14833" xr:uid="{2FA76FBD-D338-4417-9FC7-CB2FF073E3ED}"/>
    <cellStyle name="Output 2 8 2 13" xfId="21703" xr:uid="{6AB7DF22-D837-4E5F-975F-974BB30D386C}"/>
    <cellStyle name="Output 2 8 2 2" xfId="2617" xr:uid="{BD7F5565-D5E8-4EE3-B629-FF2B369A4715}"/>
    <cellStyle name="Output 2 8 2 2 10" xfId="15260" xr:uid="{ABD0E12E-AAB0-4033-8778-86C7123052F8}"/>
    <cellStyle name="Output 2 8 2 2 11" xfId="22129" xr:uid="{B9B8C9B1-49FB-4A2A-94B4-32894BC5637A}"/>
    <cellStyle name="Output 2 8 2 2 12" xfId="3469" xr:uid="{A0DA1FCF-A8CE-4DD5-B109-BD78F7B7B966}"/>
    <cellStyle name="Output 2 8 2 2 2" xfId="4703" xr:uid="{5834138B-88C2-47BC-8F4B-BF62B769A427}"/>
    <cellStyle name="Output 2 8 2 2 2 2" xfId="10560" xr:uid="{DEE7B1E6-39B0-45A0-BD56-3AF5386DADE6}"/>
    <cellStyle name="Output 2 8 2 2 2 2 2" xfId="19606" xr:uid="{AD5C2A79-38C3-4244-87FA-14CFD8A6D0F1}"/>
    <cellStyle name="Output 2 8 2 2 2 3" xfId="16120" xr:uid="{2E57ADEC-3E0A-49DE-A929-02BDE98452E8}"/>
    <cellStyle name="Output 2 8 2 2 2 4" xfId="22785" xr:uid="{7BC35974-706A-4171-B7D2-4993EC9D171B}"/>
    <cellStyle name="Output 2 8 2 2 3" xfId="5204" xr:uid="{806A5176-C385-43B1-A718-ADCF4B9A2607}"/>
    <cellStyle name="Output 2 8 2 2 3 2" xfId="11057" xr:uid="{971394AB-D6B8-4606-80A7-9632DBFA3D70}"/>
    <cellStyle name="Output 2 8 2 2 3 2 2" xfId="20103" xr:uid="{020F5C25-F1F5-4B7D-A2BC-D2920FFB0217}"/>
    <cellStyle name="Output 2 8 2 2 3 3" xfId="16617" xr:uid="{F2C63007-0158-40D2-9207-7B3FC0BDC48F}"/>
    <cellStyle name="Output 2 8 2 2 3 4" xfId="23280" xr:uid="{FC7C948D-0AF8-4701-95FB-A67C80C1D917}"/>
    <cellStyle name="Output 2 8 2 2 4" xfId="5819" xr:uid="{C9B5C574-6787-4EE5-A715-81BF260CDE6B}"/>
    <cellStyle name="Output 2 8 2 2 4 2" xfId="11672" xr:uid="{6679F0E9-01EC-459C-BBE7-C115AB447D14}"/>
    <cellStyle name="Output 2 8 2 2 4 2 2" xfId="20718" xr:uid="{C584FCF3-E409-4215-8EF8-A4E1EE4D331B}"/>
    <cellStyle name="Output 2 8 2 2 4 3" xfId="17232" xr:uid="{A653D8C2-49F1-4180-B2CA-CD14DF3C1568}"/>
    <cellStyle name="Output 2 8 2 2 5" xfId="6430" xr:uid="{8B3675DB-7916-4B40-B3DD-5753AA1E7ABF}"/>
    <cellStyle name="Output 2 8 2 2 5 2" xfId="12277" xr:uid="{6A7D0740-CF66-4838-BC33-13335076560F}"/>
    <cellStyle name="Output 2 8 2 2 5 2 2" xfId="21323" xr:uid="{F05B698F-0C10-4E97-8F0B-9DD0A6C9A6FC}"/>
    <cellStyle name="Output 2 8 2 2 5 3" xfId="17843" xr:uid="{5B3A77D1-2F19-41F7-B111-7AD44B07745C}"/>
    <cellStyle name="Output 2 8 2 2 6" xfId="9691" xr:uid="{D7CA41DC-9FCA-4BC6-82AB-D401440687F9}"/>
    <cellStyle name="Output 2 8 2 2 6 2" xfId="18737" xr:uid="{968F2838-448C-4C5F-ACEF-38F8372C6DC8}"/>
    <cellStyle name="Output 2 8 2 2 7" xfId="13089" xr:uid="{722CB1CA-6CB9-4B00-8EB6-D8AA7AAB9172}"/>
    <cellStyle name="Output 2 8 2 2 8" xfId="13646" xr:uid="{CAB4B2C4-94AE-48CD-9593-A63BCD35318E}"/>
    <cellStyle name="Output 2 8 2 2 9" xfId="14285" xr:uid="{D24A7A50-D1A4-4C57-BA01-12CCE8C63C31}"/>
    <cellStyle name="Output 2 8 2 3" xfId="3268" xr:uid="{9C063AD6-141B-4F5F-B6BA-D8FBECA32451}"/>
    <cellStyle name="Output 2 8 2 3 10" xfId="15048" xr:uid="{5362CA43-5F32-4857-A9C0-4CA1F240291F}"/>
    <cellStyle name="Output 2 8 2 3 11" xfId="21918" xr:uid="{43726A6C-963E-408E-BB3B-7C23D15DFC33}"/>
    <cellStyle name="Output 2 8 2 3 2" xfId="4491" xr:uid="{EFB2798E-5A5F-4418-B87F-F67A99411AF9}"/>
    <cellStyle name="Output 2 8 2 3 2 2" xfId="10348" xr:uid="{E7331A23-7230-45F5-A072-CE9FB2E80370}"/>
    <cellStyle name="Output 2 8 2 3 2 2 2" xfId="19394" xr:uid="{98B3DAB3-F19D-4029-9EE2-826C3F8EF475}"/>
    <cellStyle name="Output 2 8 2 3 2 3" xfId="15908" xr:uid="{4CDC80EE-EA31-4077-B0C4-225E186A04FA}"/>
    <cellStyle name="Output 2 8 2 3 2 4" xfId="22574" xr:uid="{F2C50036-0EE9-42ED-96F8-A3F197711ED1}"/>
    <cellStyle name="Output 2 8 2 3 3" xfId="4992" xr:uid="{E4706D8C-FDA4-4710-8DFA-C9523DB7FDAF}"/>
    <cellStyle name="Output 2 8 2 3 3 2" xfId="10845" xr:uid="{7C38480B-432C-4294-95A3-F761583D29A3}"/>
    <cellStyle name="Output 2 8 2 3 3 2 2" xfId="19891" xr:uid="{02552B11-5BC2-4CAA-9806-1A3CC2136B2D}"/>
    <cellStyle name="Output 2 8 2 3 3 3" xfId="16405" xr:uid="{7136CB62-09C2-495A-8FF9-20888EE108CD}"/>
    <cellStyle name="Output 2 8 2 3 3 4" xfId="23069" xr:uid="{53359954-22E1-45EE-847F-77C611CF0247}"/>
    <cellStyle name="Output 2 8 2 3 4" xfId="5607" xr:uid="{46049DAD-7263-4F41-B368-34AF6B7AD6A2}"/>
    <cellStyle name="Output 2 8 2 3 4 2" xfId="11460" xr:uid="{E4BFAFD9-4F8E-4288-94A7-4A3927CF8B47}"/>
    <cellStyle name="Output 2 8 2 3 4 2 2" xfId="20506" xr:uid="{A80F4F65-3024-4023-B6A7-3CFA9FC83816}"/>
    <cellStyle name="Output 2 8 2 3 4 3" xfId="17020" xr:uid="{17A4E4B6-1BAA-46A0-8882-8B692F560BE9}"/>
    <cellStyle name="Output 2 8 2 3 5" xfId="6218" xr:uid="{74C40857-E4D1-4952-925B-C84F63B733CB}"/>
    <cellStyle name="Output 2 8 2 3 5 2" xfId="12065" xr:uid="{F69E09EB-5F1B-4E84-BFFB-4C2A60B1E3F8}"/>
    <cellStyle name="Output 2 8 2 3 5 2 2" xfId="21111" xr:uid="{05A1DA2D-AD11-4A01-8562-35F4050C98F1}"/>
    <cellStyle name="Output 2 8 2 3 5 3" xfId="17631" xr:uid="{514F8F93-D3BA-4589-B07B-5F5E5A9F3C35}"/>
    <cellStyle name="Output 2 8 2 3 6" xfId="9479" xr:uid="{D5414C96-2B1D-4361-86B2-ACB430F54106}"/>
    <cellStyle name="Output 2 8 2 3 6 2" xfId="18525" xr:uid="{CB25EBDB-CD52-4D8E-A29A-E4FF472E49CA}"/>
    <cellStyle name="Output 2 8 2 3 7" xfId="12877" xr:uid="{91B9D37A-3F4B-4113-9016-CD0073F283DD}"/>
    <cellStyle name="Output 2 8 2 3 8" xfId="13435" xr:uid="{830CFBF7-1DB0-494A-BBEC-0C50A461D2D5}"/>
    <cellStyle name="Output 2 8 2 3 9" xfId="14073" xr:uid="{D72A18E7-F7D5-497E-84C9-E8BA88AE647A}"/>
    <cellStyle name="Output 2 8 2 4" xfId="4035" xr:uid="{372100D5-D0C6-4BE8-926D-B9702FDECE15}"/>
    <cellStyle name="Output 2 8 2 4 2" xfId="9897" xr:uid="{EB5C8934-05B3-4D5F-8A29-F35C65F55386}"/>
    <cellStyle name="Output 2 8 2 4 2 2" xfId="18943" xr:uid="{8FEC875F-C256-48D3-ADD0-B7C6262DC2D7}"/>
    <cellStyle name="Output 2 8 2 4 3" xfId="15459" xr:uid="{90012403-EA57-424D-9599-14B169547023}"/>
    <cellStyle name="Output 2 8 2 4 4" xfId="22854" xr:uid="{B45AEAB7-2FA4-4D21-ACFB-D3E3BC10F465}"/>
    <cellStyle name="Output 2 8 2 5" xfId="4775" xr:uid="{CB4A60F3-6FBE-4E1C-B088-25FE10108B07}"/>
    <cellStyle name="Output 2 8 2 5 2" xfId="10632" xr:uid="{6832BB96-1FC6-497A-9412-5D0892423C16}"/>
    <cellStyle name="Output 2 8 2 5 2 2" xfId="19678" xr:uid="{240AA50D-E017-4AE3-A0D5-03D613C6DEE3}"/>
    <cellStyle name="Output 2 8 2 5 3" xfId="16192" xr:uid="{14DCC86E-AD96-4C3E-BF2B-58D21911B446}"/>
    <cellStyle name="Output 2 8 2 6" xfId="5392" xr:uid="{CFB654EA-252E-4025-B290-276C505E2493}"/>
    <cellStyle name="Output 2 8 2 6 2" xfId="11245" xr:uid="{98365B9E-07A0-47E8-935C-986BE594F1D3}"/>
    <cellStyle name="Output 2 8 2 6 2 2" xfId="20291" xr:uid="{739C2BF1-1748-4CCC-BAE2-687AB74B9A3B}"/>
    <cellStyle name="Output 2 8 2 6 3" xfId="16805" xr:uid="{A8F22999-FAC8-4468-B800-8F8B0297FD00}"/>
    <cellStyle name="Output 2 8 2 7" xfId="6003" xr:uid="{8B1ED681-4264-47D0-A1C0-B68B22A283BF}"/>
    <cellStyle name="Output 2 8 2 7 2" xfId="11854" xr:uid="{37F45729-EC03-4E36-900C-08175DC9DB8F}"/>
    <cellStyle name="Output 2 8 2 7 2 2" xfId="20900" xr:uid="{2C276F0A-99D7-48E1-BBA2-6D46B7A13AD5}"/>
    <cellStyle name="Output 2 8 2 7 3" xfId="17416" xr:uid="{224CEBC2-C022-4A75-946C-1421A7E23E8F}"/>
    <cellStyle name="Output 2 8 2 8" xfId="9264" xr:uid="{6F04C549-7CF2-4F8C-B8EB-646D5430BD5B}"/>
    <cellStyle name="Output 2 8 2 8 2" xfId="18310" xr:uid="{2087A01E-FBBA-44F4-9E4E-8FD93634283E}"/>
    <cellStyle name="Output 2 8 2 9" xfId="12662" xr:uid="{E244FB95-9AC7-4370-8166-72736C1CE16D}"/>
    <cellStyle name="Output 2 8 3" xfId="2618" xr:uid="{C2C7A8CB-0614-4B46-A94A-C5F503C4A9CC}"/>
    <cellStyle name="Output 2 8 3 10" xfId="13859" xr:uid="{7460665A-5DD8-4025-95EF-2500F6E4C4C2}"/>
    <cellStyle name="Output 2 8 3 11" xfId="14834" xr:uid="{451ABEE2-5F57-4022-8A29-560518F99573}"/>
    <cellStyle name="Output 2 8 3 12" xfId="21704" xr:uid="{60282B35-FE3F-44D4-8AF7-CE1838FAF9AA}"/>
    <cellStyle name="Output 2 8 3 13" xfId="3073" xr:uid="{60174020-74F3-4C82-BEAB-9CB579EE707D}"/>
    <cellStyle name="Output 2 8 3 2" xfId="3470" xr:uid="{EF459CD0-5E0C-49CD-8B79-776C57FC97BB}"/>
    <cellStyle name="Output 2 8 3 2 10" xfId="15261" xr:uid="{B0A60DC9-1A70-49A3-8BB8-5FFADDDC8DF1}"/>
    <cellStyle name="Output 2 8 3 2 11" xfId="22130" xr:uid="{EBB64A12-A3E6-4056-8499-81D0CB5CD0E4}"/>
    <cellStyle name="Output 2 8 3 2 2" xfId="4704" xr:uid="{D041CEBE-CBFF-437F-AA8B-AAEE7A5529B0}"/>
    <cellStyle name="Output 2 8 3 2 2 2" xfId="10561" xr:uid="{A308C675-6D4B-471C-96D5-141815994A05}"/>
    <cellStyle name="Output 2 8 3 2 2 2 2" xfId="19607" xr:uid="{1CB95398-B869-4DD1-9D5D-CB67D3AF4F48}"/>
    <cellStyle name="Output 2 8 3 2 2 3" xfId="16121" xr:uid="{A94CC395-FB60-48A5-8D91-408B358A4C46}"/>
    <cellStyle name="Output 2 8 3 2 2 4" xfId="22786" xr:uid="{A833BF9E-A4D2-4AE5-B02E-9090E1D62564}"/>
    <cellStyle name="Output 2 8 3 2 3" xfId="5205" xr:uid="{33D68556-216B-490F-B3B1-3172EFF861D1}"/>
    <cellStyle name="Output 2 8 3 2 3 2" xfId="11058" xr:uid="{ADF96B38-89FB-4865-AF89-36DC5968C73F}"/>
    <cellStyle name="Output 2 8 3 2 3 2 2" xfId="20104" xr:uid="{61A8D4EE-BAC4-4991-AA28-98CC5C1EAB53}"/>
    <cellStyle name="Output 2 8 3 2 3 3" xfId="16618" xr:uid="{FF580865-5AEA-414F-AF11-82152A3AF487}"/>
    <cellStyle name="Output 2 8 3 2 3 4" xfId="23281" xr:uid="{5C0195F6-1D98-4C0F-9CA6-CFE69011DFB7}"/>
    <cellStyle name="Output 2 8 3 2 4" xfId="5820" xr:uid="{630441FF-6C81-4BB0-AB06-40DD438DCCF8}"/>
    <cellStyle name="Output 2 8 3 2 4 2" xfId="11673" xr:uid="{CD993ECC-377F-4ED1-800F-21C6CEC23206}"/>
    <cellStyle name="Output 2 8 3 2 4 2 2" xfId="20719" xr:uid="{11752D71-69D5-4001-982B-97DE8A439BCB}"/>
    <cellStyle name="Output 2 8 3 2 4 3" xfId="17233" xr:uid="{F5485BC4-4E57-4FBC-8C10-5764C6666F1E}"/>
    <cellStyle name="Output 2 8 3 2 5" xfId="6431" xr:uid="{F18501D7-1E77-465E-B609-3F7EE6422F8A}"/>
    <cellStyle name="Output 2 8 3 2 5 2" xfId="12278" xr:uid="{8A0DE201-DD70-4B97-B4F8-7B83A89D4837}"/>
    <cellStyle name="Output 2 8 3 2 5 2 2" xfId="21324" xr:uid="{F9F84D8E-8535-4157-9263-FC1B41B87D54}"/>
    <cellStyle name="Output 2 8 3 2 5 3" xfId="17844" xr:uid="{1C6B3B3B-59C2-49A2-BF3F-7F7B4EE3D465}"/>
    <cellStyle name="Output 2 8 3 2 6" xfId="9692" xr:uid="{B283CA25-8B69-4C97-8FFE-0DEAF865C702}"/>
    <cellStyle name="Output 2 8 3 2 6 2" xfId="18738" xr:uid="{04010967-BCAC-4BFC-9AAF-F3B3A0635A11}"/>
    <cellStyle name="Output 2 8 3 2 7" xfId="13090" xr:uid="{7562081F-792D-4C1E-9EFF-1FF566EED23E}"/>
    <cellStyle name="Output 2 8 3 2 8" xfId="13647" xr:uid="{6BCF5D5E-9FB0-4885-843C-BE41F339D3AA}"/>
    <cellStyle name="Output 2 8 3 2 9" xfId="14286" xr:uid="{9AF5085A-669F-446B-ABEE-5EB3802B0CDE}"/>
    <cellStyle name="Output 2 8 3 3" xfId="3269" xr:uid="{3B770EC9-2073-4132-BA00-FDCBE867E580}"/>
    <cellStyle name="Output 2 8 3 3 10" xfId="15049" xr:uid="{AC6E11D8-C2EA-45F9-B7D2-BCDC11D5965A}"/>
    <cellStyle name="Output 2 8 3 3 11" xfId="21919" xr:uid="{F2975F29-3040-4207-A751-6480548385CC}"/>
    <cellStyle name="Output 2 8 3 3 2" xfId="4492" xr:uid="{76DB4300-0A3D-4BF9-A618-639975E21D24}"/>
    <cellStyle name="Output 2 8 3 3 2 2" xfId="10349" xr:uid="{99421364-07BF-4331-8810-3C61A2E0D1EC}"/>
    <cellStyle name="Output 2 8 3 3 2 2 2" xfId="19395" xr:uid="{0780441E-3B83-4E66-BC7F-60826439C7DC}"/>
    <cellStyle name="Output 2 8 3 3 2 3" xfId="15909" xr:uid="{BB2FE730-55B7-42E2-885B-876C6E632234}"/>
    <cellStyle name="Output 2 8 3 3 2 4" xfId="22575" xr:uid="{5B9FD5C3-EF1C-4E66-B3AB-BA78ECC2B79F}"/>
    <cellStyle name="Output 2 8 3 3 3" xfId="4993" xr:uid="{875C4A90-907C-4DE6-BCA2-91233B10F19A}"/>
    <cellStyle name="Output 2 8 3 3 3 2" xfId="10846" xr:uid="{AB7DB347-099B-4820-8030-99D379BE715E}"/>
    <cellStyle name="Output 2 8 3 3 3 2 2" xfId="19892" xr:uid="{82B86D31-035E-4A95-BFA9-FFF29398BA6A}"/>
    <cellStyle name="Output 2 8 3 3 3 3" xfId="16406" xr:uid="{0A2200B3-EE1C-455D-A0A5-C5D4A12BC923}"/>
    <cellStyle name="Output 2 8 3 3 3 4" xfId="23070" xr:uid="{9BA30C36-D4FA-414D-AC30-EF372B014C7E}"/>
    <cellStyle name="Output 2 8 3 3 4" xfId="5608" xr:uid="{2470E634-9FDD-4C01-AE59-39BD45EE034F}"/>
    <cellStyle name="Output 2 8 3 3 4 2" xfId="11461" xr:uid="{B88D610C-9BE6-404C-AC06-B34A0613AC69}"/>
    <cellStyle name="Output 2 8 3 3 4 2 2" xfId="20507" xr:uid="{8E6B3D35-E0D0-4119-BB4C-0BAADD7096D5}"/>
    <cellStyle name="Output 2 8 3 3 4 3" xfId="17021" xr:uid="{96896181-CA41-4039-BBA6-49F45F14FC9F}"/>
    <cellStyle name="Output 2 8 3 3 5" xfId="6219" xr:uid="{96175EB1-1621-48B4-A6F3-7C14B2EDDDCA}"/>
    <cellStyle name="Output 2 8 3 3 5 2" xfId="12066" xr:uid="{8779A015-09FB-4771-8504-E3C95840AADC}"/>
    <cellStyle name="Output 2 8 3 3 5 2 2" xfId="21112" xr:uid="{425A6C46-C86D-42C8-AAF0-1C3FF7221C6A}"/>
    <cellStyle name="Output 2 8 3 3 5 3" xfId="17632" xr:uid="{BA05151B-8ACD-4098-A899-81FBB7194C2C}"/>
    <cellStyle name="Output 2 8 3 3 6" xfId="9480" xr:uid="{9211AC62-415F-4C06-9801-330383C0B87F}"/>
    <cellStyle name="Output 2 8 3 3 6 2" xfId="18526" xr:uid="{7A55678E-1A5D-4E40-834E-C55D8337D89B}"/>
    <cellStyle name="Output 2 8 3 3 7" xfId="12878" xr:uid="{1944238E-4BEF-4023-86F0-7C93657F1AC3}"/>
    <cellStyle name="Output 2 8 3 3 8" xfId="13436" xr:uid="{59BD8D35-F33A-4F79-A2ED-64E6964000DD}"/>
    <cellStyle name="Output 2 8 3 3 9" xfId="14074" xr:uid="{DC3FCB16-0692-4421-9DAA-4435DF576403}"/>
    <cellStyle name="Output 2 8 3 4" xfId="4776" xr:uid="{CDF433EE-610C-4A52-A0D8-1DC6944AB992}"/>
    <cellStyle name="Output 2 8 3 4 2" xfId="10633" xr:uid="{2E1D49DE-DA04-4119-BE5E-D81CE8CF4A2C}"/>
    <cellStyle name="Output 2 8 3 4 2 2" xfId="19679" xr:uid="{1FD260D4-37A4-4A5F-956E-207281A3EAAA}"/>
    <cellStyle name="Output 2 8 3 4 3" xfId="16193" xr:uid="{99CD0E0B-F4E4-42E4-B506-E73C39A8BC27}"/>
    <cellStyle name="Output 2 8 3 4 4" xfId="22855" xr:uid="{5D0BE23C-9AB6-469B-9D29-0A4108A6BE95}"/>
    <cellStyle name="Output 2 8 3 5" xfId="5393" xr:uid="{8165EA74-D144-4174-BD02-C7FFB0FC2B0A}"/>
    <cellStyle name="Output 2 8 3 5 2" xfId="11246" xr:uid="{A8A354C4-D676-4132-8903-7AACFAA390E6}"/>
    <cellStyle name="Output 2 8 3 5 2 2" xfId="20292" xr:uid="{94DEE9F4-982A-4BF7-B281-B3F6C2DC2257}"/>
    <cellStyle name="Output 2 8 3 5 3" xfId="16806" xr:uid="{D40EA0A6-31CC-47B8-A199-4DB40F2F3F1C}"/>
    <cellStyle name="Output 2 8 3 6" xfId="6004" xr:uid="{E0624828-4A65-4941-B519-F1C86E3705C7}"/>
    <cellStyle name="Output 2 8 3 6 2" xfId="11855" xr:uid="{6744CB49-2AD9-477C-9E20-583ADA353067}"/>
    <cellStyle name="Output 2 8 3 6 2 2" xfId="20901" xr:uid="{F81C7366-280A-4C57-8AFA-64C266036527}"/>
    <cellStyle name="Output 2 8 3 6 3" xfId="17417" xr:uid="{B0799C5A-8FE5-4EF7-A064-1A43DC68799D}"/>
    <cellStyle name="Output 2 8 3 7" xfId="9265" xr:uid="{3BF88946-375C-41B5-BDB8-5BA8FFF65B6E}"/>
    <cellStyle name="Output 2 8 3 7 2" xfId="18311" xr:uid="{E5261240-B21B-4A06-8AAB-7B2F0F73A1A0}"/>
    <cellStyle name="Output 2 8 3 8" xfId="12663" xr:uid="{163E0D92-7226-44F8-9932-4B8D7F9D1FD9}"/>
    <cellStyle name="Output 2 8 3 9" xfId="13225" xr:uid="{4481E1B7-5708-4E39-92E3-9E3080C712E6}"/>
    <cellStyle name="Output 2 8 4" xfId="3378" xr:uid="{83EF99EF-5035-48FA-920E-2E3E4625182F}"/>
    <cellStyle name="Output 2 8 4 10" xfId="15158" xr:uid="{18689E14-0DF6-4A5F-B6CE-C783EEDEAA9D}"/>
    <cellStyle name="Output 2 8 4 11" xfId="22027" xr:uid="{FE050CCC-10F1-47DA-BB6B-EE3AE59F93D0}"/>
    <cellStyle name="Output 2 8 4 2" xfId="4601" xr:uid="{1CABF895-F163-42B2-9C65-58D55B3961C3}"/>
    <cellStyle name="Output 2 8 4 2 2" xfId="10458" xr:uid="{AB8FEFB7-3167-4DA4-931C-19C99D71065E}"/>
    <cellStyle name="Output 2 8 4 2 2 2" xfId="19504" xr:uid="{1E6F2C75-6112-4A25-8116-569BA5F4ABF2}"/>
    <cellStyle name="Output 2 8 4 2 3" xfId="16018" xr:uid="{B865D4D7-4CDA-4C22-9449-C109C5A7B94F}"/>
    <cellStyle name="Output 2 8 4 2 4" xfId="22683" xr:uid="{ED13BFBB-3401-45DE-B0FA-C0CC5521C0DA}"/>
    <cellStyle name="Output 2 8 4 3" xfId="5102" xr:uid="{621B39A1-2191-4410-ADE0-3D4B09EF56B1}"/>
    <cellStyle name="Output 2 8 4 3 2" xfId="10955" xr:uid="{45918DA4-B3C7-45D2-95A7-A72F9E2D240B}"/>
    <cellStyle name="Output 2 8 4 3 2 2" xfId="20001" xr:uid="{4BDDC32E-57F9-4C2B-B77A-8E639C6563D3}"/>
    <cellStyle name="Output 2 8 4 3 3" xfId="16515" xr:uid="{B9750F1B-30C8-4549-875B-9BEE226B8DA8}"/>
    <cellStyle name="Output 2 8 4 3 4" xfId="23178" xr:uid="{FA4ACF4B-47EF-4C15-85D8-8465947EA3B9}"/>
    <cellStyle name="Output 2 8 4 4" xfId="5717" xr:uid="{EA1F456C-DA5F-4BE5-BD59-CE902EEC952D}"/>
    <cellStyle name="Output 2 8 4 4 2" xfId="11570" xr:uid="{AA534EAF-95CA-4BAC-9E23-9B79832BE41F}"/>
    <cellStyle name="Output 2 8 4 4 2 2" xfId="20616" xr:uid="{27E78DFE-0B61-4097-9207-86837C6C04E6}"/>
    <cellStyle name="Output 2 8 4 4 3" xfId="17130" xr:uid="{D3DF9D85-817A-4834-87D6-AA21329E9758}"/>
    <cellStyle name="Output 2 8 4 5" xfId="6328" xr:uid="{C4987024-04A1-4E63-8242-9D0F4CF2D6F6}"/>
    <cellStyle name="Output 2 8 4 5 2" xfId="12175" xr:uid="{E5CB635E-911A-4677-8FB0-AD2BABB59802}"/>
    <cellStyle name="Output 2 8 4 5 2 2" xfId="21221" xr:uid="{BA1F6730-51B1-4654-AFCE-576547F5D662}"/>
    <cellStyle name="Output 2 8 4 5 3" xfId="17741" xr:uid="{DDA4B265-6DA0-4F1D-AE6E-39BB7AEDF555}"/>
    <cellStyle name="Output 2 8 4 6" xfId="9589" xr:uid="{4160E9BD-57DD-4F27-88CF-0B43E8ED23E4}"/>
    <cellStyle name="Output 2 8 4 6 2" xfId="18635" xr:uid="{DE3861C0-83DE-46CB-8895-0AC03911FC84}"/>
    <cellStyle name="Output 2 8 4 7" xfId="12987" xr:uid="{11E88F04-F60F-4782-9EA9-C7DD687D9FE5}"/>
    <cellStyle name="Output 2 8 4 8" xfId="13544" xr:uid="{EDB42797-B1F7-4C1F-A484-CC6A6B0723D3}"/>
    <cellStyle name="Output 2 8 4 9" xfId="14183" xr:uid="{A269C45D-8FEA-425F-BB10-D3F7E005CA3A}"/>
    <cellStyle name="Output 2 8 5" xfId="3166" xr:uid="{82D46F2A-2EA7-46DC-B060-24870B33D2B8}"/>
    <cellStyle name="Output 2 8 5 10" xfId="14946" xr:uid="{BBE6FD35-7632-412C-82D1-4D81D2D1C918}"/>
    <cellStyle name="Output 2 8 5 11" xfId="21814" xr:uid="{FFD577CE-C3BD-4818-AD46-E2C825CF57C4}"/>
    <cellStyle name="Output 2 8 5 2" xfId="4387" xr:uid="{887C4136-D034-4558-ADE9-495B86EE686F}"/>
    <cellStyle name="Output 2 8 5 2 2" xfId="10244" xr:uid="{0E8FCD96-CC15-41D5-8B26-9EA3D7F144D5}"/>
    <cellStyle name="Output 2 8 5 2 2 2" xfId="19290" xr:uid="{DC01EF0B-0522-412F-8FF6-D3F5B60483C1}"/>
    <cellStyle name="Output 2 8 5 2 3" xfId="15804" xr:uid="{BEA8C406-49CD-4333-BBB4-FCD90F907FC1}"/>
    <cellStyle name="Output 2 8 5 2 4" xfId="22470" xr:uid="{1031F77C-5DF3-467C-ABA5-BEB580849389}"/>
    <cellStyle name="Output 2 8 5 3" xfId="4888" xr:uid="{3FE3D8EC-BDF1-4DA7-A2F7-350ADD8731EB}"/>
    <cellStyle name="Output 2 8 5 3 2" xfId="10743" xr:uid="{589D55E9-F8B7-494C-91A8-EE9CCB383E3A}"/>
    <cellStyle name="Output 2 8 5 3 2 2" xfId="19789" xr:uid="{252E0B32-9352-4856-8B9C-D7EBE1E74A8F}"/>
    <cellStyle name="Output 2 8 5 3 3" xfId="16303" xr:uid="{C00C5983-17F6-48A7-9C8F-B060DA8BE64A}"/>
    <cellStyle name="Output 2 8 5 3 4" xfId="22965" xr:uid="{A4810C49-4037-4559-93D1-A2F5FDE729C2}"/>
    <cellStyle name="Output 2 8 5 4" xfId="5503" xr:uid="{06353ED0-4F46-4F3E-B7B3-22D0A329A71D}"/>
    <cellStyle name="Output 2 8 5 4 2" xfId="11356" xr:uid="{102CE754-2405-408E-8557-6DFE9A443680}"/>
    <cellStyle name="Output 2 8 5 4 2 2" xfId="20402" xr:uid="{C9E7837C-8344-4DC3-9CB2-7B840FC99E3A}"/>
    <cellStyle name="Output 2 8 5 4 3" xfId="16916" xr:uid="{CDABC729-E876-432A-810E-199C19B77BC8}"/>
    <cellStyle name="Output 2 8 5 5" xfId="6114" xr:uid="{B13925FA-EB25-48B1-9DF0-8043A84C3CC0}"/>
    <cellStyle name="Output 2 8 5 5 2" xfId="11963" xr:uid="{62AA8B55-9E3A-47A2-8574-D4F96EE76844}"/>
    <cellStyle name="Output 2 8 5 5 2 2" xfId="21009" xr:uid="{2B3D1F90-5722-4891-B5D8-D8617E3DDB1D}"/>
    <cellStyle name="Output 2 8 5 5 3" xfId="17527" xr:uid="{ADA1FA4B-7692-4DF3-8F90-5CC5E684C6FE}"/>
    <cellStyle name="Output 2 8 5 6" xfId="9377" xr:uid="{704A1392-7CD2-4A9A-B0D0-862A57A62285}"/>
    <cellStyle name="Output 2 8 5 6 2" xfId="18423" xr:uid="{4FD03403-2609-44D9-829A-C3AA4307E19E}"/>
    <cellStyle name="Output 2 8 5 7" xfId="12773" xr:uid="{E739084C-B4B6-4B16-9B93-7665A508A1DD}"/>
    <cellStyle name="Output 2 8 5 8" xfId="13333" xr:uid="{A26536E7-46FD-4E0A-BF81-4C8E0A6E529A}"/>
    <cellStyle name="Output 2 8 5 9" xfId="13969" xr:uid="{CA3804FD-9BA1-4107-A493-847217020EFE}"/>
    <cellStyle name="Output 2 8 6" xfId="3767" xr:uid="{AEE96317-2AB4-4135-A745-86312370221A}"/>
    <cellStyle name="Output 2 8 6 2" xfId="9809" xr:uid="{2374B941-2C26-4202-AE1C-81ED57F1AF24}"/>
    <cellStyle name="Output 2 8 6 2 2" xfId="18855" xr:uid="{D60257EF-EE25-4DFC-9E26-059757CA999F}"/>
    <cellStyle name="Output 2 8 6 3" xfId="15375" xr:uid="{E11ECD84-6479-47BD-B563-90A1B731CF79}"/>
    <cellStyle name="Output 2 8 6 4" xfId="22354" xr:uid="{647FCC1F-0993-4457-B602-3A0E4EC95079}"/>
    <cellStyle name="Output 2 8 7" xfId="4251" xr:uid="{446469EB-0C8C-4466-B851-BFA667AEBAB2}"/>
    <cellStyle name="Output 2 8 7 2" xfId="10108" xr:uid="{8738C940-F71B-4FF8-B15E-1D4A1980933E}"/>
    <cellStyle name="Output 2 8 7 2 2" xfId="19154" xr:uid="{E7B281E3-AC85-4FF4-8FB2-52744CF15E4F}"/>
    <cellStyle name="Output 2 8 7 3" xfId="15668" xr:uid="{C6A0064C-7C57-4289-9CBE-2889A86927BE}"/>
    <cellStyle name="Output 2 8 7 4" xfId="22250" xr:uid="{FC5D94B2-324D-48C1-87E7-51234845DDE2}"/>
    <cellStyle name="Output 2 8 8" xfId="4131" xr:uid="{9377D49C-CB46-49A1-B265-6C5971F23F56}"/>
    <cellStyle name="Output 2 8 8 2" xfId="9988" xr:uid="{CB3E8D33-99A1-44E2-96BF-1A49DC954F27}"/>
    <cellStyle name="Output 2 8 8 2 2" xfId="19034" xr:uid="{E8B9A1EC-D1A9-4A97-8F69-E30E0DF44F40}"/>
    <cellStyle name="Output 2 8 8 3" xfId="15548" xr:uid="{C1C1B965-77AB-435B-938E-E940A963BA94}"/>
    <cellStyle name="Output 2 8 9" xfId="5288" xr:uid="{148ABFCF-0C05-4A42-A8F4-DB9204D62CCF}"/>
    <cellStyle name="Output 2 8 9 2" xfId="11141" xr:uid="{ABB427A5-15AE-493E-A780-2BC8AE3ECF5F}"/>
    <cellStyle name="Output 2 8 9 2 2" xfId="20187" xr:uid="{760096ED-D7FE-4747-BD9D-2EB01EB6D6C2}"/>
    <cellStyle name="Output 2 8 9 3" xfId="16701" xr:uid="{870E9AAB-8849-4D5C-A179-08F32F44944E}"/>
    <cellStyle name="Output 2 9" xfId="2443" xr:uid="{80B18362-9758-4A67-8FA4-A2776DCEAED3}"/>
    <cellStyle name="Output 2 9 10" xfId="5900" xr:uid="{BFC73557-A14B-4C12-9B96-A59543D2571F}"/>
    <cellStyle name="Output 2 9 10 2" xfId="11753" xr:uid="{C45F507B-0A99-474C-A16C-1E640E662314}"/>
    <cellStyle name="Output 2 9 10 2 2" xfId="20799" xr:uid="{14207B88-99A2-463E-A50B-44EF77768B29}"/>
    <cellStyle name="Output 2 9 10 3" xfId="17313" xr:uid="{E943A457-AA65-4B37-BDA8-4B5DF5A5A7E6}"/>
    <cellStyle name="Output 2 9 11" xfId="9163" xr:uid="{6ECFE334-BC61-4509-88A8-0AA116C19A67}"/>
    <cellStyle name="Output 2 9 11 2" xfId="18209" xr:uid="{C91A59D4-A245-4465-AEDD-9CF5FF05D461}"/>
    <cellStyle name="Output 2 9 12" xfId="12561" xr:uid="{E39997D9-A9E5-47B1-BFCC-A06183720703}"/>
    <cellStyle name="Output 2 9 13" xfId="13755" xr:uid="{45ED3171-1C1C-44D2-AB87-9376FB46F7EB}"/>
    <cellStyle name="Output 2 9 14" xfId="14732" xr:uid="{2D639267-30C2-402B-BE1D-C854999A639C}"/>
    <cellStyle name="Output 2 9 15" xfId="21602" xr:uid="{5460A56A-98A8-413F-9981-9C6EA439E2DE}"/>
    <cellStyle name="Output 2 9 16" xfId="23785" xr:uid="{A6ECEF2B-8B3B-4E02-9331-4BC365A3CEA1}"/>
    <cellStyle name="Output 2 9 2" xfId="2444" xr:uid="{398243DB-E843-4846-8F96-E0C8DDCE8C96}"/>
    <cellStyle name="Output 2 9 2 10" xfId="13226" xr:uid="{DB69BA90-588D-47EF-ACF2-B1A535AB194B}"/>
    <cellStyle name="Output 2 9 2 11" xfId="13860" xr:uid="{32635747-308A-4B31-BA01-67C17037BD90}"/>
    <cellStyle name="Output 2 9 2 12" xfId="14835" xr:uid="{24B8E33D-F3DE-4DAB-8E8D-BFB5B6295B95}"/>
    <cellStyle name="Output 2 9 2 13" xfId="21705" xr:uid="{2211A77F-C239-49CF-A7E6-8A2F0C8804F9}"/>
    <cellStyle name="Output 2 9 2 2" xfId="2615" xr:uid="{F723A1E0-41F8-44D5-BE2B-8E29F39E9821}"/>
    <cellStyle name="Output 2 9 2 2 10" xfId="15262" xr:uid="{0F94297C-845E-4826-8F81-521357B7136F}"/>
    <cellStyle name="Output 2 9 2 2 11" xfId="22131" xr:uid="{F06F5AF3-0D3E-4441-A1D5-F72C49E2B1A7}"/>
    <cellStyle name="Output 2 9 2 2 12" xfId="3471" xr:uid="{8660BA98-866D-4D88-9852-6EB227A65DB3}"/>
    <cellStyle name="Output 2 9 2 2 2" xfId="4705" xr:uid="{7EB98046-F253-4074-A5F8-B8F456EC1975}"/>
    <cellStyle name="Output 2 9 2 2 2 2" xfId="10562" xr:uid="{72C849A2-1123-47A1-A86B-71E4B1F8CB82}"/>
    <cellStyle name="Output 2 9 2 2 2 2 2" xfId="19608" xr:uid="{D22DAE62-808C-471F-8290-9F6F38061D37}"/>
    <cellStyle name="Output 2 9 2 2 2 3" xfId="16122" xr:uid="{F6E12784-6DC2-49BA-817E-8A94CE7E2223}"/>
    <cellStyle name="Output 2 9 2 2 2 4" xfId="22787" xr:uid="{21F751E3-1E14-4967-B131-E6BD1B904E9B}"/>
    <cellStyle name="Output 2 9 2 2 3" xfId="5206" xr:uid="{5C68B188-3670-458B-8412-B23E031CF75E}"/>
    <cellStyle name="Output 2 9 2 2 3 2" xfId="11059" xr:uid="{934FA021-5B15-4949-BBFC-6EDFEF31E002}"/>
    <cellStyle name="Output 2 9 2 2 3 2 2" xfId="20105" xr:uid="{FE4A02F4-B9AA-433F-9133-0E01A98B867E}"/>
    <cellStyle name="Output 2 9 2 2 3 3" xfId="16619" xr:uid="{F3286CC6-4C2A-4263-BBA8-A0CA9D247B9C}"/>
    <cellStyle name="Output 2 9 2 2 3 4" xfId="23282" xr:uid="{FDDBFE61-75DC-4930-958A-2FC8ECC02321}"/>
    <cellStyle name="Output 2 9 2 2 4" xfId="5821" xr:uid="{7389BAE6-B868-45F9-970E-4E33F5013C87}"/>
    <cellStyle name="Output 2 9 2 2 4 2" xfId="11674" xr:uid="{CFCBDA0D-FD6A-4680-9AAD-CCF25DFDBC0B}"/>
    <cellStyle name="Output 2 9 2 2 4 2 2" xfId="20720" xr:uid="{F4FF7AC4-1ACE-4AD7-BE46-348667C7339C}"/>
    <cellStyle name="Output 2 9 2 2 4 3" xfId="17234" xr:uid="{4FE628DE-27CF-46DA-A0EC-603081CF156D}"/>
    <cellStyle name="Output 2 9 2 2 5" xfId="6432" xr:uid="{7C9B6B3D-3080-4371-BEFF-947B8B389B8E}"/>
    <cellStyle name="Output 2 9 2 2 5 2" xfId="12279" xr:uid="{6BBF103A-DE9E-4D4D-8190-37AFC4DE50F3}"/>
    <cellStyle name="Output 2 9 2 2 5 2 2" xfId="21325" xr:uid="{B8E790BF-D67E-438E-975B-CC020CDD53FC}"/>
    <cellStyle name="Output 2 9 2 2 5 3" xfId="17845" xr:uid="{5354ED28-20AA-474F-BF3D-5095224B773E}"/>
    <cellStyle name="Output 2 9 2 2 6" xfId="9693" xr:uid="{50EE6880-1728-4CBA-AC0D-C6F583F3AC6E}"/>
    <cellStyle name="Output 2 9 2 2 6 2" xfId="18739" xr:uid="{C4616DF5-E236-492B-9CA3-D0F673F6662C}"/>
    <cellStyle name="Output 2 9 2 2 7" xfId="13091" xr:uid="{8101CA9D-CE7D-47D4-B3AB-F6DCBC9B6832}"/>
    <cellStyle name="Output 2 9 2 2 8" xfId="13648" xr:uid="{57F08690-7ED1-4579-8F25-24DB55F6AE71}"/>
    <cellStyle name="Output 2 9 2 2 9" xfId="14287" xr:uid="{ED08CDB3-1D01-4E19-8F9B-EC3A1028C9E8}"/>
    <cellStyle name="Output 2 9 2 3" xfId="3270" xr:uid="{CDAE2491-8DE1-49AF-922E-884841A5C509}"/>
    <cellStyle name="Output 2 9 2 3 10" xfId="15050" xr:uid="{08A4FFBA-B101-447F-ACAC-319BAA461A37}"/>
    <cellStyle name="Output 2 9 2 3 11" xfId="21920" xr:uid="{0D12E41F-41A7-4E3F-ACB6-15CBFF4B0D38}"/>
    <cellStyle name="Output 2 9 2 3 2" xfId="4493" xr:uid="{E37D1C5B-35A4-4532-8394-5A321260C7A5}"/>
    <cellStyle name="Output 2 9 2 3 2 2" xfId="10350" xr:uid="{85723FA4-3AA2-4ADA-879B-B71CB48C0E50}"/>
    <cellStyle name="Output 2 9 2 3 2 2 2" xfId="19396" xr:uid="{C9CBD395-B1F7-4CEE-A5D0-4E91C9C9E1B3}"/>
    <cellStyle name="Output 2 9 2 3 2 3" xfId="15910" xr:uid="{5D3FA113-540E-4D81-8864-E0E50C009637}"/>
    <cellStyle name="Output 2 9 2 3 2 4" xfId="22576" xr:uid="{0F4D4A3B-3D51-4E9F-9CF5-B0479D147FF1}"/>
    <cellStyle name="Output 2 9 2 3 3" xfId="4994" xr:uid="{E2B59D52-B648-44F4-825D-A58719E00023}"/>
    <cellStyle name="Output 2 9 2 3 3 2" xfId="10847" xr:uid="{3FD6F5D0-3482-48F5-89C4-03A4F6C0FEE0}"/>
    <cellStyle name="Output 2 9 2 3 3 2 2" xfId="19893" xr:uid="{9FBC64D8-9041-4815-AE59-662D975B33A6}"/>
    <cellStyle name="Output 2 9 2 3 3 3" xfId="16407" xr:uid="{BCFC6333-4986-4E8E-B06F-2CD42F917DC4}"/>
    <cellStyle name="Output 2 9 2 3 3 4" xfId="23071" xr:uid="{30B1A9AD-7B41-49F3-B919-0AD795C44824}"/>
    <cellStyle name="Output 2 9 2 3 4" xfId="5609" xr:uid="{F46C21BD-9EEF-46F9-85CB-B0425B290B34}"/>
    <cellStyle name="Output 2 9 2 3 4 2" xfId="11462" xr:uid="{7BDAD3B3-5222-47FF-845F-59DF03A495C0}"/>
    <cellStyle name="Output 2 9 2 3 4 2 2" xfId="20508" xr:uid="{D7000E99-F429-46BB-A175-C11A450220D1}"/>
    <cellStyle name="Output 2 9 2 3 4 3" xfId="17022" xr:uid="{931CF3C5-480D-434E-9F82-BFD2A4C06DC0}"/>
    <cellStyle name="Output 2 9 2 3 5" xfId="6220" xr:uid="{6705F725-C8F0-4ACE-A45D-FEF4FE064E7B}"/>
    <cellStyle name="Output 2 9 2 3 5 2" xfId="12067" xr:uid="{1F206F97-31A1-4F51-BA91-5D823F571315}"/>
    <cellStyle name="Output 2 9 2 3 5 2 2" xfId="21113" xr:uid="{304B76E6-469E-415C-BFD7-BAFF375F9911}"/>
    <cellStyle name="Output 2 9 2 3 5 3" xfId="17633" xr:uid="{820F5ED1-2AC8-4B3D-9766-DE7FE2084F50}"/>
    <cellStyle name="Output 2 9 2 3 6" xfId="9481" xr:uid="{BCABAA67-C33A-4B3F-AF08-577C67E0BE53}"/>
    <cellStyle name="Output 2 9 2 3 6 2" xfId="18527" xr:uid="{1CB6E211-6AC1-4AD0-A53B-89A5DA6EE075}"/>
    <cellStyle name="Output 2 9 2 3 7" xfId="12879" xr:uid="{0C14AB0D-6E52-4BD7-8E36-AB9A1F89C7B9}"/>
    <cellStyle name="Output 2 9 2 3 8" xfId="13437" xr:uid="{A2F4437F-54A9-4C1F-A0BE-DA33988B88F1}"/>
    <cellStyle name="Output 2 9 2 3 9" xfId="14075" xr:uid="{804E44C3-27E9-410E-A118-C4EAA4C45E55}"/>
    <cellStyle name="Output 2 9 2 4" xfId="4036" xr:uid="{03149E23-4B8A-48F2-B03A-B905E3DD6250}"/>
    <cellStyle name="Output 2 9 2 4 2" xfId="9898" xr:uid="{8BEE91E2-025D-4C6C-85AF-844FABA50310}"/>
    <cellStyle name="Output 2 9 2 4 2 2" xfId="18944" xr:uid="{2B4F43AC-89DB-4A64-AEE3-DC9EC7720C04}"/>
    <cellStyle name="Output 2 9 2 4 3" xfId="15460" xr:uid="{C459D74E-54C5-472C-954F-7D53D08CD6E0}"/>
    <cellStyle name="Output 2 9 2 4 4" xfId="22856" xr:uid="{A09D6140-2473-40EB-8322-253C838166B1}"/>
    <cellStyle name="Output 2 9 2 5" xfId="4777" xr:uid="{383E811C-0CB1-4EDB-953C-D11C896BE745}"/>
    <cellStyle name="Output 2 9 2 5 2" xfId="10634" xr:uid="{2C786EE6-A2EC-4469-A23E-DEDEEDDD0362}"/>
    <cellStyle name="Output 2 9 2 5 2 2" xfId="19680" xr:uid="{A585E020-34FC-43E9-9630-7B1C818CEE01}"/>
    <cellStyle name="Output 2 9 2 5 3" xfId="16194" xr:uid="{4AA60F0F-B461-4B61-A921-91E4CAC6596D}"/>
    <cellStyle name="Output 2 9 2 6" xfId="5394" xr:uid="{95EA48A0-165A-45A2-BF14-9E3404B1BE81}"/>
    <cellStyle name="Output 2 9 2 6 2" xfId="11247" xr:uid="{41FA4FFC-9821-49E8-A626-EABA208B35B6}"/>
    <cellStyle name="Output 2 9 2 6 2 2" xfId="20293" xr:uid="{B3F73249-E82D-44EF-A7E6-BEB5F601E9F8}"/>
    <cellStyle name="Output 2 9 2 6 3" xfId="16807" xr:uid="{BF7C90A2-3FAC-496A-891C-D712FB182716}"/>
    <cellStyle name="Output 2 9 2 7" xfId="6005" xr:uid="{0DBEFDE9-8BC3-40D4-9106-88B14C9AD7E7}"/>
    <cellStyle name="Output 2 9 2 7 2" xfId="11856" xr:uid="{1AB6AD5C-B0CB-4AB7-AFA5-55CCD35776A1}"/>
    <cellStyle name="Output 2 9 2 7 2 2" xfId="20902" xr:uid="{3FA5DF10-62A9-4601-B160-B9936C2EF64C}"/>
    <cellStyle name="Output 2 9 2 7 3" xfId="17418" xr:uid="{DE91BDBA-6D06-4157-A815-D256DD12DF88}"/>
    <cellStyle name="Output 2 9 2 8" xfId="9266" xr:uid="{4993EA1C-8C1D-4201-BFBB-7A80C5A5908C}"/>
    <cellStyle name="Output 2 9 2 8 2" xfId="18312" xr:uid="{95BD0A41-9A62-4AB6-96A2-886D9248B72C}"/>
    <cellStyle name="Output 2 9 2 9" xfId="12664" xr:uid="{69343DE2-CC7A-40EA-8F4B-D0F557C774D0}"/>
    <cellStyle name="Output 2 9 3" xfId="2616" xr:uid="{6D1378B0-F787-41D8-A600-8BCB71519018}"/>
    <cellStyle name="Output 2 9 3 10" xfId="13861" xr:uid="{6CA2C053-4C7F-44CB-86AA-BEE0F5A5A9F9}"/>
    <cellStyle name="Output 2 9 3 11" xfId="14836" xr:uid="{51001D5F-CE81-4ACF-8558-2DCE6E0F80EE}"/>
    <cellStyle name="Output 2 9 3 12" xfId="21706" xr:uid="{22B4274E-EC81-40BB-B648-D1AC9207A3A3}"/>
    <cellStyle name="Output 2 9 3 13" xfId="3074" xr:uid="{44C6B709-22C4-48C8-A6D4-89271580D26D}"/>
    <cellStyle name="Output 2 9 3 2" xfId="3472" xr:uid="{106D1E1B-0135-45D3-B70A-D3FE935B8B07}"/>
    <cellStyle name="Output 2 9 3 2 10" xfId="15263" xr:uid="{DF09783C-E0DC-417A-ADF9-DE699C7812D3}"/>
    <cellStyle name="Output 2 9 3 2 11" xfId="22132" xr:uid="{EADABFDD-D696-493D-9435-24C4E6D0E584}"/>
    <cellStyle name="Output 2 9 3 2 2" xfId="4706" xr:uid="{C8DA35A0-3462-4273-AC5E-B5C6CF025249}"/>
    <cellStyle name="Output 2 9 3 2 2 2" xfId="10563" xr:uid="{77E115F5-7262-4053-873F-2C8A472539DC}"/>
    <cellStyle name="Output 2 9 3 2 2 2 2" xfId="19609" xr:uid="{299AA0DE-5B05-4736-9635-97E6980F9F2E}"/>
    <cellStyle name="Output 2 9 3 2 2 3" xfId="16123" xr:uid="{08B8E8BB-083B-4931-9EB2-7FDF998160AD}"/>
    <cellStyle name="Output 2 9 3 2 2 4" xfId="22788" xr:uid="{B37765B3-A788-444E-B4EE-3D810B4E76DD}"/>
    <cellStyle name="Output 2 9 3 2 3" xfId="5207" xr:uid="{50DA209D-82C0-44DF-9160-604AE884B362}"/>
    <cellStyle name="Output 2 9 3 2 3 2" xfId="11060" xr:uid="{23B3B26A-4824-40A5-9F66-64FB79534A2E}"/>
    <cellStyle name="Output 2 9 3 2 3 2 2" xfId="20106" xr:uid="{A87042A4-AA7F-4F5A-9483-04B060CCFA20}"/>
    <cellStyle name="Output 2 9 3 2 3 3" xfId="16620" xr:uid="{B45601D9-8016-4803-B073-F48E2AE04C21}"/>
    <cellStyle name="Output 2 9 3 2 3 4" xfId="23283" xr:uid="{E2CA1C04-E9AD-4ACA-9287-C424CD7A9BD0}"/>
    <cellStyle name="Output 2 9 3 2 4" xfId="5822" xr:uid="{34778053-815E-41D0-B1CA-36FDEB715119}"/>
    <cellStyle name="Output 2 9 3 2 4 2" xfId="11675" xr:uid="{10B20837-7EF2-4609-A16B-0E24C12DC1ED}"/>
    <cellStyle name="Output 2 9 3 2 4 2 2" xfId="20721" xr:uid="{A316475A-5091-4B59-8F2F-40D00A26AA4B}"/>
    <cellStyle name="Output 2 9 3 2 4 3" xfId="17235" xr:uid="{AE9F5F24-A190-46AD-9C62-BF5AB27D8A04}"/>
    <cellStyle name="Output 2 9 3 2 5" xfId="6433" xr:uid="{74B62418-5253-4A9F-9749-85919E056AA9}"/>
    <cellStyle name="Output 2 9 3 2 5 2" xfId="12280" xr:uid="{2B1A2349-B5DB-40A7-A8BD-5EFB6F9FBA41}"/>
    <cellStyle name="Output 2 9 3 2 5 2 2" xfId="21326" xr:uid="{5399792E-2195-496C-9B2F-7CEF971BDBC4}"/>
    <cellStyle name="Output 2 9 3 2 5 3" xfId="17846" xr:uid="{C3CC72D7-CA0C-406D-AEBE-F01821E4BE2F}"/>
    <cellStyle name="Output 2 9 3 2 6" xfId="9694" xr:uid="{68848F4E-E3F3-4E1D-AB5E-E26908E6F680}"/>
    <cellStyle name="Output 2 9 3 2 6 2" xfId="18740" xr:uid="{820181FC-3B63-4C04-A91D-AAEFDDF780AA}"/>
    <cellStyle name="Output 2 9 3 2 7" xfId="13092" xr:uid="{0DEB241A-BA48-4665-A3FC-914FE22BD96D}"/>
    <cellStyle name="Output 2 9 3 2 8" xfId="13649" xr:uid="{4A18502E-AA40-4E7F-A7C2-13B6D9B0EC67}"/>
    <cellStyle name="Output 2 9 3 2 9" xfId="14288" xr:uid="{76F9CF25-2CC9-4AF3-9AA4-B02A00A7D70B}"/>
    <cellStyle name="Output 2 9 3 3" xfId="3271" xr:uid="{375FE300-A23F-4786-B810-3CE68DF14E8F}"/>
    <cellStyle name="Output 2 9 3 3 10" xfId="15051" xr:uid="{4B2FA6CD-D595-482A-893A-C9B07084032D}"/>
    <cellStyle name="Output 2 9 3 3 11" xfId="21921" xr:uid="{F8B2A5CC-6C06-471F-BC86-125D027F95D2}"/>
    <cellStyle name="Output 2 9 3 3 2" xfId="4494" xr:uid="{32017DB7-2255-4CBD-BBA4-863D47968763}"/>
    <cellStyle name="Output 2 9 3 3 2 2" xfId="10351" xr:uid="{AF13CDE5-80F8-4A9A-801B-150305AED086}"/>
    <cellStyle name="Output 2 9 3 3 2 2 2" xfId="19397" xr:uid="{A24D66F7-0362-42DF-A13B-2A5840604128}"/>
    <cellStyle name="Output 2 9 3 3 2 3" xfId="15911" xr:uid="{7CA98C36-0BC3-4AAF-9F43-ACB9C8C016CA}"/>
    <cellStyle name="Output 2 9 3 3 2 4" xfId="22577" xr:uid="{0B8D062A-9FC5-4373-97AC-C6375BBC7B92}"/>
    <cellStyle name="Output 2 9 3 3 3" xfId="4995" xr:uid="{4E6E66D7-D0B2-4F7C-8576-35F1842011DD}"/>
    <cellStyle name="Output 2 9 3 3 3 2" xfId="10848" xr:uid="{EF1B08E6-9CF9-4E55-BA67-6F9F5F11592C}"/>
    <cellStyle name="Output 2 9 3 3 3 2 2" xfId="19894" xr:uid="{A1D5FF09-3EC3-4462-9AF1-66B189F14FFC}"/>
    <cellStyle name="Output 2 9 3 3 3 3" xfId="16408" xr:uid="{8437F8BA-0D6C-4CF4-A51C-1B7260D30709}"/>
    <cellStyle name="Output 2 9 3 3 3 4" xfId="23072" xr:uid="{92A52474-F711-4B96-9F4E-BF54B101E538}"/>
    <cellStyle name="Output 2 9 3 3 4" xfId="5610" xr:uid="{40B49E6E-CC1E-4E97-8C15-1CCBB227D21B}"/>
    <cellStyle name="Output 2 9 3 3 4 2" xfId="11463" xr:uid="{C37E36EC-DA16-4268-A8AF-D90F9E971825}"/>
    <cellStyle name="Output 2 9 3 3 4 2 2" xfId="20509" xr:uid="{BAE6F96B-0E06-4367-AA69-3DAE76C8932A}"/>
    <cellStyle name="Output 2 9 3 3 4 3" xfId="17023" xr:uid="{9E1A545C-18FF-4555-9526-23B407BDE7B4}"/>
    <cellStyle name="Output 2 9 3 3 5" xfId="6221" xr:uid="{9AA4DC25-EB88-4EFD-9C5E-E2BC1218D2A8}"/>
    <cellStyle name="Output 2 9 3 3 5 2" xfId="12068" xr:uid="{0708340D-3A1C-46D6-AE42-7D8E51152875}"/>
    <cellStyle name="Output 2 9 3 3 5 2 2" xfId="21114" xr:uid="{CB6C0F77-7035-401D-A5AB-263E768F170B}"/>
    <cellStyle name="Output 2 9 3 3 5 3" xfId="17634" xr:uid="{911357FF-E233-4BE9-8390-623A033CBDA1}"/>
    <cellStyle name="Output 2 9 3 3 6" xfId="9482" xr:uid="{CFB88614-F2D7-444A-BC84-CF18D9BF4F2D}"/>
    <cellStyle name="Output 2 9 3 3 6 2" xfId="18528" xr:uid="{858EB2B1-A841-466B-A254-F7CC026BD93A}"/>
    <cellStyle name="Output 2 9 3 3 7" xfId="12880" xr:uid="{8415187B-28C7-40DA-85FA-E92D74CBF69E}"/>
    <cellStyle name="Output 2 9 3 3 8" xfId="13438" xr:uid="{4C6D9A9D-A101-493C-A2FC-20D2C6566453}"/>
    <cellStyle name="Output 2 9 3 3 9" xfId="14076" xr:uid="{6E3D28B7-E77A-4F43-B560-0FB3A005DD69}"/>
    <cellStyle name="Output 2 9 3 4" xfId="4778" xr:uid="{FA917DDD-786B-47F6-AF06-809681D9C33F}"/>
    <cellStyle name="Output 2 9 3 4 2" xfId="10635" xr:uid="{7B32ED1F-4ECC-4BC2-89F7-A8FC7C422249}"/>
    <cellStyle name="Output 2 9 3 4 2 2" xfId="19681" xr:uid="{A116092D-F138-491C-91B4-15C116F04300}"/>
    <cellStyle name="Output 2 9 3 4 3" xfId="16195" xr:uid="{48D1A7B4-9B40-4265-ACDA-D34F79BB6306}"/>
    <cellStyle name="Output 2 9 3 4 4" xfId="22857" xr:uid="{61A0EFC0-2CC0-4294-B27F-1E19A9FB7329}"/>
    <cellStyle name="Output 2 9 3 5" xfId="5395" xr:uid="{69A69214-8D0F-4F46-AA7F-29B3B3EA25F8}"/>
    <cellStyle name="Output 2 9 3 5 2" xfId="11248" xr:uid="{E6CE8B84-5A6C-4445-A78F-0CBE63F0A7F3}"/>
    <cellStyle name="Output 2 9 3 5 2 2" xfId="20294" xr:uid="{9DAD0B41-FF24-4546-9DEE-68D5A4FB25B7}"/>
    <cellStyle name="Output 2 9 3 5 3" xfId="16808" xr:uid="{DE95ACBB-4A30-415E-B099-BD42CB053BA0}"/>
    <cellStyle name="Output 2 9 3 6" xfId="6006" xr:uid="{9EA1CB1F-7183-4911-BF6A-8992FB36CE32}"/>
    <cellStyle name="Output 2 9 3 6 2" xfId="11857" xr:uid="{FB69A995-6800-48A7-A884-5A81C48CAD7E}"/>
    <cellStyle name="Output 2 9 3 6 2 2" xfId="20903" xr:uid="{D5E72968-42B1-4FEE-AEA5-F3C387174597}"/>
    <cellStyle name="Output 2 9 3 6 3" xfId="17419" xr:uid="{C8904B38-0CC0-45BA-A55D-2CCB9B936969}"/>
    <cellStyle name="Output 2 9 3 7" xfId="9267" xr:uid="{9382B380-23D9-4130-9D64-F938D5302F8F}"/>
    <cellStyle name="Output 2 9 3 7 2" xfId="18313" xr:uid="{1FDAE3BD-1F36-481A-ACBA-75C5B8DDCAAF}"/>
    <cellStyle name="Output 2 9 3 8" xfId="12665" xr:uid="{88C1663A-0B1F-4C55-A834-B5119E84F8E2}"/>
    <cellStyle name="Output 2 9 3 9" xfId="13227" xr:uid="{F7D649DF-175D-48B2-9967-85A91A192E09}"/>
    <cellStyle name="Output 2 9 4" xfId="3379" xr:uid="{4033B226-89C6-4D53-8E8E-620711CE66D6}"/>
    <cellStyle name="Output 2 9 4 10" xfId="15159" xr:uid="{37A89F09-9B40-4ED5-896D-54A1969683F2}"/>
    <cellStyle name="Output 2 9 4 11" xfId="22028" xr:uid="{F9B2A203-CAA5-4F32-A005-C4CF678C53A8}"/>
    <cellStyle name="Output 2 9 4 2" xfId="4602" xr:uid="{8FA653E1-4875-480D-93F5-91B9B48FCF2A}"/>
    <cellStyle name="Output 2 9 4 2 2" xfId="10459" xr:uid="{49EEAA46-FC0E-4F55-AF78-BC9A65A647E9}"/>
    <cellStyle name="Output 2 9 4 2 2 2" xfId="19505" xr:uid="{1F84BFB1-0D81-4FF7-AD14-CFBE082EE39E}"/>
    <cellStyle name="Output 2 9 4 2 3" xfId="16019" xr:uid="{58BE7617-AD1C-49DD-B071-4ECCE3B15598}"/>
    <cellStyle name="Output 2 9 4 2 4" xfId="22684" xr:uid="{A6219DCC-0510-4C49-9B04-A1825DE32A9F}"/>
    <cellStyle name="Output 2 9 4 3" xfId="5103" xr:uid="{2326A772-4B6B-4AA1-AEAC-7A765F90BAE7}"/>
    <cellStyle name="Output 2 9 4 3 2" xfId="10956" xr:uid="{2725637C-DBBE-48B7-AF0F-E0C94A801A3F}"/>
    <cellStyle name="Output 2 9 4 3 2 2" xfId="20002" xr:uid="{403FB840-1945-4C12-B5F5-9293BDEF4A17}"/>
    <cellStyle name="Output 2 9 4 3 3" xfId="16516" xr:uid="{B45512D7-7097-4F71-9EBA-4BAB9EFCA12B}"/>
    <cellStyle name="Output 2 9 4 3 4" xfId="23179" xr:uid="{34EA684C-67C8-4DCA-9DC6-348786899FB1}"/>
    <cellStyle name="Output 2 9 4 4" xfId="5718" xr:uid="{9559A620-498D-476E-89FF-236935B80186}"/>
    <cellStyle name="Output 2 9 4 4 2" xfId="11571" xr:uid="{91EB134D-0390-4980-AB7F-25AFBCD62DEC}"/>
    <cellStyle name="Output 2 9 4 4 2 2" xfId="20617" xr:uid="{B6871C59-2587-4EA6-87A2-EF9EE631C278}"/>
    <cellStyle name="Output 2 9 4 4 3" xfId="17131" xr:uid="{A58CA813-FD0D-4498-8643-0D0C620D0988}"/>
    <cellStyle name="Output 2 9 4 5" xfId="6329" xr:uid="{9B1AB942-B825-405B-83D1-CC18491AC6E2}"/>
    <cellStyle name="Output 2 9 4 5 2" xfId="12176" xr:uid="{44E1BE3E-C001-4E34-9B9F-ABCDF15B3621}"/>
    <cellStyle name="Output 2 9 4 5 2 2" xfId="21222" xr:uid="{5667615F-C944-460D-80EA-D591C408FC7B}"/>
    <cellStyle name="Output 2 9 4 5 3" xfId="17742" xr:uid="{141E32AA-278F-4B2E-A9B4-1C8F3D0B066E}"/>
    <cellStyle name="Output 2 9 4 6" xfId="9590" xr:uid="{E8E990E7-920A-4E6F-8EB6-35F7531402A8}"/>
    <cellStyle name="Output 2 9 4 6 2" xfId="18636" xr:uid="{9F0B4BDE-7F5D-45B5-A812-BB7B24F96787}"/>
    <cellStyle name="Output 2 9 4 7" xfId="12988" xr:uid="{FF51E30B-617F-4F19-9F04-E0690788F7F1}"/>
    <cellStyle name="Output 2 9 4 8" xfId="13545" xr:uid="{91110A2C-7B3C-46AA-BD1C-83C1099862A2}"/>
    <cellStyle name="Output 2 9 4 9" xfId="14184" xr:uid="{481B7FEC-3676-4931-82F0-0D46D5212467}"/>
    <cellStyle name="Output 2 9 5" xfId="3167" xr:uid="{9ECE2E3A-E0A8-47F3-8B2D-F054C657105F}"/>
    <cellStyle name="Output 2 9 5 10" xfId="14947" xr:uid="{308465F5-1B5E-4FC2-B0DD-7EAF85249206}"/>
    <cellStyle name="Output 2 9 5 11" xfId="21815" xr:uid="{1BC84ACE-D861-4572-B13C-DF6AFD67AAF4}"/>
    <cellStyle name="Output 2 9 5 2" xfId="4388" xr:uid="{2BA8EF27-722F-4591-9307-7CE4A9460E63}"/>
    <cellStyle name="Output 2 9 5 2 2" xfId="10245" xr:uid="{9283A8BF-9011-4ACE-9A5D-F12AFC18B964}"/>
    <cellStyle name="Output 2 9 5 2 2 2" xfId="19291" xr:uid="{A921A265-D9B8-42C1-925F-8E4A7A71879C}"/>
    <cellStyle name="Output 2 9 5 2 3" xfId="15805" xr:uid="{E59232B5-AD4B-4B36-85EB-11A1AEEFAF7F}"/>
    <cellStyle name="Output 2 9 5 2 4" xfId="22471" xr:uid="{BABC5C61-701C-4085-9876-27B55DF6D4D4}"/>
    <cellStyle name="Output 2 9 5 3" xfId="4889" xr:uid="{70428571-E45D-4D28-8ECF-EF24050DE8C5}"/>
    <cellStyle name="Output 2 9 5 3 2" xfId="10744" xr:uid="{8715E003-747F-4611-B1E5-0E0DB4FC2AE4}"/>
    <cellStyle name="Output 2 9 5 3 2 2" xfId="19790" xr:uid="{E59780F6-AC63-4D23-8FCA-98226C8E95EB}"/>
    <cellStyle name="Output 2 9 5 3 3" xfId="16304" xr:uid="{4591AD83-6BEC-4537-80AD-58B47289F451}"/>
    <cellStyle name="Output 2 9 5 3 4" xfId="22966" xr:uid="{82035D91-31B3-45A2-A323-7415C6F53CE6}"/>
    <cellStyle name="Output 2 9 5 4" xfId="5504" xr:uid="{7149C100-5588-4BAA-A78F-7E3BE2B14992}"/>
    <cellStyle name="Output 2 9 5 4 2" xfId="11357" xr:uid="{E856EDD2-F52C-4206-8A2D-5437DCD6179E}"/>
    <cellStyle name="Output 2 9 5 4 2 2" xfId="20403" xr:uid="{0EFC38B7-94EE-41EA-A846-02F50F5D4846}"/>
    <cellStyle name="Output 2 9 5 4 3" xfId="16917" xr:uid="{B54339BF-E938-43F2-8C79-EB0172D8DAE0}"/>
    <cellStyle name="Output 2 9 5 5" xfId="6115" xr:uid="{D764B76F-A23C-476A-9B42-44053AD56074}"/>
    <cellStyle name="Output 2 9 5 5 2" xfId="11964" xr:uid="{FA6587B4-B9EF-4B81-926E-5EDC8AE57D1E}"/>
    <cellStyle name="Output 2 9 5 5 2 2" xfId="21010" xr:uid="{8CEB5542-2445-40F3-A5D2-E85CB7E8AB4B}"/>
    <cellStyle name="Output 2 9 5 5 3" xfId="17528" xr:uid="{8E62A049-9C67-464D-A262-44977C69507C}"/>
    <cellStyle name="Output 2 9 5 6" xfId="9378" xr:uid="{F89E2FED-65A1-4551-816B-71533026D838}"/>
    <cellStyle name="Output 2 9 5 6 2" xfId="18424" xr:uid="{2EEA028C-CABA-413D-B63B-544524D842F7}"/>
    <cellStyle name="Output 2 9 5 7" xfId="12774" xr:uid="{012A7583-1E8B-46C8-B135-4EA47305ECC7}"/>
    <cellStyle name="Output 2 9 5 8" xfId="13334" xr:uid="{32284EB3-AAFB-409B-90B6-4F678DED55FE}"/>
    <cellStyle name="Output 2 9 5 9" xfId="13970" xr:uid="{CBD198DF-2C65-4A06-A440-DDE3F5A936F0}"/>
    <cellStyle name="Output 2 9 6" xfId="3768" xr:uid="{CB9B9C78-05D1-4577-92A3-7B79B23D1664}"/>
    <cellStyle name="Output 2 9 6 2" xfId="9810" xr:uid="{BD8DC020-42EE-4C21-9666-B57D096A578D}"/>
    <cellStyle name="Output 2 9 6 2 2" xfId="18856" xr:uid="{A5996D8B-19A3-43C5-B2AF-DA7D6477DF2E}"/>
    <cellStyle name="Output 2 9 6 3" xfId="15376" xr:uid="{EB1884E1-34DF-4DC6-B03A-714011E04071}"/>
    <cellStyle name="Output 2 9 6 4" xfId="22355" xr:uid="{9C3A8647-612F-495E-A0FB-184FAFFFF760}"/>
    <cellStyle name="Output 2 9 7" xfId="4252" xr:uid="{6BFF32C6-F547-483B-AB4C-3B202BA4F8A1}"/>
    <cellStyle name="Output 2 9 7 2" xfId="10109" xr:uid="{13D9083E-BC0D-4DEE-8100-C995955F20F1}"/>
    <cellStyle name="Output 2 9 7 2 2" xfId="19155" xr:uid="{3E66801B-95AF-4F3C-9F1A-D986F61003CD}"/>
    <cellStyle name="Output 2 9 7 3" xfId="15669" xr:uid="{83F2B655-C77E-4B9A-8BF2-3810E32EBB6C}"/>
    <cellStyle name="Output 2 9 7 4" xfId="22249" xr:uid="{E651689B-04DB-4BAE-8D61-65F0E251E214}"/>
    <cellStyle name="Output 2 9 8" xfId="4130" xr:uid="{B4999D8A-AF0E-42D8-A758-24373623B9ED}"/>
    <cellStyle name="Output 2 9 8 2" xfId="9987" xr:uid="{19DBF169-4652-477E-BA4C-F08288223617}"/>
    <cellStyle name="Output 2 9 8 2 2" xfId="19033" xr:uid="{6641C90E-0372-4AA3-887F-5D81AFAAFDFD}"/>
    <cellStyle name="Output 2 9 8 3" xfId="15547" xr:uid="{09E25CD6-3D60-46F2-8666-1FAC4DC0B5BC}"/>
    <cellStyle name="Output 2 9 9" xfId="5289" xr:uid="{93710E73-DFD0-4E13-9A48-D26DA7528485}"/>
    <cellStyle name="Output 2 9 9 2" xfId="11142" xr:uid="{B13A258E-5F30-43CA-923A-5EAEB1950788}"/>
    <cellStyle name="Output 2 9 9 2 2" xfId="20188" xr:uid="{3888D149-F1B3-4AED-8045-1131ED4C299F}"/>
    <cellStyle name="Output 2 9 9 3" xfId="16702" xr:uid="{23B03E40-A872-458A-8ADC-27AAB0B856D2}"/>
    <cellStyle name="Output 3" xfId="8384" xr:uid="{D1F2694E-11FF-49A0-9F54-912D96884C61}"/>
    <cellStyle name="Output 3 2" xfId="9030" xr:uid="{FDE17C77-E821-4670-90F9-E4C7FC3486D9}"/>
    <cellStyle name="Output 3 2 2" xfId="18076" xr:uid="{7D287509-75F3-4A44-AF30-3AA5C8D039F5}"/>
    <cellStyle name="Output 3 2 3" xfId="23663" xr:uid="{488298F0-EEAD-4457-A9B0-0CB2D6BBE9CB}"/>
    <cellStyle name="Output 3 3" xfId="12416" xr:uid="{F62D0640-C6A5-4C9A-A74B-81EBFE00BD2C}"/>
    <cellStyle name="Output 3 3 2" xfId="21463" xr:uid="{FA7E1CC5-6308-470E-8A5F-05E3D75F3438}"/>
    <cellStyle name="Output 3 4" xfId="14532" xr:uid="{36B75FDC-CF1D-4A76-A59F-4C0057840FD8}"/>
    <cellStyle name="Output 3 5" xfId="17994" xr:uid="{642D414F-3E6E-444D-AD44-8747D0E3F93C}"/>
    <cellStyle name="Output 3 6" xfId="23467" xr:uid="{B2DB53B0-19EE-4100-9FFD-EE4C372DE8F2}"/>
    <cellStyle name="Output 4" xfId="8385" xr:uid="{6151A2D7-1E3E-4D5B-A7DD-4F98571518FE}"/>
    <cellStyle name="Output 4 2" xfId="9029" xr:uid="{3074153B-EA76-4CA9-8DA5-5D69A8137A2F}"/>
    <cellStyle name="Output 4 2 2" xfId="18075" xr:uid="{EF570DB1-2114-4B2E-95C4-4F3A91C3C769}"/>
    <cellStyle name="Output 4 2 3" xfId="23664" xr:uid="{589EE5AD-D99C-4E9C-87F0-E9261406A307}"/>
    <cellStyle name="Output 4 3" xfId="12417" xr:uid="{AC354B63-35F0-4164-9687-E9ACAF411754}"/>
    <cellStyle name="Output 4 3 2" xfId="21464" xr:uid="{78039633-3323-4F4A-B8C9-F346590D5604}"/>
    <cellStyle name="Output 4 4" xfId="14533" xr:uid="{D57BC122-380F-45FD-8758-DCD0F7F8B41E}"/>
    <cellStyle name="Output 4 5" xfId="17995" xr:uid="{A1F2A5EE-5857-4C81-B842-25C6607A0AC3}"/>
    <cellStyle name="Output 4 6" xfId="23468" xr:uid="{40555C59-A894-49BE-8D6C-6E52D2C894F1}"/>
    <cellStyle name="Output 5" xfId="8386" xr:uid="{3F1EE594-8DE8-44DE-81CC-ED2029D41747}"/>
    <cellStyle name="Output 5 2" xfId="9028" xr:uid="{CD41ECE3-AC30-46DF-954A-A7BECCC96665}"/>
    <cellStyle name="Output 5 2 2" xfId="18074" xr:uid="{8B926A34-28F8-4E6D-9045-083DF9CD38C6}"/>
    <cellStyle name="Output 5 2 3" xfId="23665" xr:uid="{92036F00-234D-47A2-823C-630248378A66}"/>
    <cellStyle name="Output 5 3" xfId="12418" xr:uid="{E185AB7B-5103-444C-B01B-DCA786F3AC5C}"/>
    <cellStyle name="Output 5 3 2" xfId="21465" xr:uid="{57B6CEF9-6559-442D-A25A-898CAC34DA53}"/>
    <cellStyle name="Output 5 4" xfId="14534" xr:uid="{F6F262DD-4D38-467C-A2A5-7956F0C62302}"/>
    <cellStyle name="Output 5 5" xfId="17996" xr:uid="{4521B11E-CFBC-49B3-8276-47FCB829315C}"/>
    <cellStyle name="Output 5 6" xfId="23469" xr:uid="{5A67FA7D-6F82-4FE9-82CB-B6405E575A84}"/>
    <cellStyle name="Output 6" xfId="8387" xr:uid="{1517C9F0-EB8B-4D1B-BF4F-7BD7B2B08DF2}"/>
    <cellStyle name="Output 6 2" xfId="9027" xr:uid="{1A9B1B75-ABA9-4B8B-BFE5-6A34DAB22929}"/>
    <cellStyle name="Output 6 2 2" xfId="18073" xr:uid="{EE89D605-4608-4AA7-96BD-610BE94739EA}"/>
    <cellStyle name="Output 6 2 3" xfId="23666" xr:uid="{06DF97F4-7738-48D1-AA2A-BAC3063F0CF0}"/>
    <cellStyle name="Output 6 3" xfId="12419" xr:uid="{6B6EC4FF-00CC-4EBF-A90B-6FAA3A412F81}"/>
    <cellStyle name="Output 6 3 2" xfId="21466" xr:uid="{19928973-C006-4A7E-B6CD-597A217123A6}"/>
    <cellStyle name="Output 6 4" xfId="14535" xr:uid="{05BAB581-6731-472A-ACF3-ECDE63BE2253}"/>
    <cellStyle name="Output 6 5" xfId="17997" xr:uid="{CD541C2F-E0AE-4CFA-8876-924F0830EA4E}"/>
    <cellStyle name="Output 6 6" xfId="23470" xr:uid="{258AE0BA-015F-40DC-AB2A-E352A3F25F8F}"/>
    <cellStyle name="Output 7" xfId="8388" xr:uid="{BC58DCC6-89B4-401E-948C-C9DAE396F4BE}"/>
    <cellStyle name="Output 7 2" xfId="9026" xr:uid="{88033B42-7641-4EE6-A0E3-7549E1C8742F}"/>
    <cellStyle name="Output 7 2 2" xfId="18072" xr:uid="{630EACAC-2CE6-4BDE-B1FC-179B68E0EB7F}"/>
    <cellStyle name="Output 7 2 3" xfId="23667" xr:uid="{A0D79827-2322-42AC-920C-F18E18D21C60}"/>
    <cellStyle name="Output 7 3" xfId="12420" xr:uid="{0F364D44-8B2C-4CF3-A4E2-7758F80533D7}"/>
    <cellStyle name="Output 7 3 2" xfId="21467" xr:uid="{0F1BA0B0-9FC8-4C8F-8F16-AB20F4E24E2A}"/>
    <cellStyle name="Output 7 4" xfId="14536" xr:uid="{1503B4E8-6496-4D6B-95FC-C81066D28530}"/>
    <cellStyle name="Output 7 5" xfId="17998" xr:uid="{FFC85A0B-F6F1-4963-85F1-FF72C3623D0C}"/>
    <cellStyle name="Output 7 6" xfId="23471" xr:uid="{9E9F42DF-4B0D-4648-80C1-8784FFA519E6}"/>
    <cellStyle name="Output 8" xfId="8389" xr:uid="{62242077-CD42-4C81-948E-C58C46CF2E1A}"/>
    <cellStyle name="Output 8 2" xfId="9025" xr:uid="{E42919F2-EA9F-4B5A-B7F7-C25A31ABAFAD}"/>
    <cellStyle name="Output 8 2 2" xfId="18071" xr:uid="{B543EA06-D45A-4898-AA7C-4F0FB15F36A5}"/>
    <cellStyle name="Output 8 2 3" xfId="23668" xr:uid="{E47DD986-4399-4065-82B7-C1363950486D}"/>
    <cellStyle name="Output 8 3" xfId="12421" xr:uid="{67DA2428-A16C-42D9-A2CE-32F5244AAC5B}"/>
    <cellStyle name="Output 8 3 2" xfId="21468" xr:uid="{349892D2-7909-402B-B380-11FB184CD259}"/>
    <cellStyle name="Output 8 4" xfId="14537" xr:uid="{07F22885-D784-4AFC-962D-3B2F8CBB4603}"/>
    <cellStyle name="Output 8 5" xfId="17999" xr:uid="{53E73664-571A-48CB-A07B-1A5FF1BB51C0}"/>
    <cellStyle name="Output 8 6" xfId="23472" xr:uid="{1C47F3A7-C416-4215-A7BE-C5C5BB599C88}"/>
    <cellStyle name="Output 9" xfId="8390" xr:uid="{E2631FA8-7E12-4E16-8C79-3CE2F5E8E8D1}"/>
    <cellStyle name="Output 9 2" xfId="9024" xr:uid="{C9C0A792-085A-406E-BFFF-67AB8DCF82BC}"/>
    <cellStyle name="Output 9 2 2" xfId="18070" xr:uid="{EA1E89C9-E2D6-4F7F-88B1-B391BC2213A0}"/>
    <cellStyle name="Output 9 2 3" xfId="23669" xr:uid="{F2E83B17-FA99-4893-82E8-B49FB80E643E}"/>
    <cellStyle name="Output 9 3" xfId="12422" xr:uid="{E9F5A8DB-99CC-4C8B-8B19-5663E65E6DCE}"/>
    <cellStyle name="Output 9 3 2" xfId="21469" xr:uid="{BCAA50F8-1483-4A72-B086-C20152167DAF}"/>
    <cellStyle name="Output 9 4" xfId="14538" xr:uid="{55B6E2B7-D885-4034-93E4-9737BB64F0E9}"/>
    <cellStyle name="Output 9 5" xfId="18000" xr:uid="{078D76E4-63B3-44C0-8071-FF78BE6375E5}"/>
    <cellStyle name="Output 9 6" xfId="23473" xr:uid="{DF1A0E80-710C-42FD-8B93-9465A348B781}"/>
    <cellStyle name="Output millions" xfId="2004" xr:uid="{38189C74-911C-4FD7-AE3F-3C6B7E8DD76B}"/>
    <cellStyle name="P/N" xfId="2005" xr:uid="{47AE7CEF-481A-4B8A-B67A-19E22D8F33B8}"/>
    <cellStyle name="Page Heading Large" xfId="8391" xr:uid="{9C9FF482-CD33-4A25-BB7B-612CA4647D80}"/>
    <cellStyle name="Page Heading Small" xfId="8392" xr:uid="{0DACEEA8-9AA9-426C-A547-2B3CA37E1DEC}"/>
    <cellStyle name="Page Number" xfId="2006" xr:uid="{5743F48E-B73A-4D0C-8B99-4E9037724779}"/>
    <cellStyle name="Page1" xfId="2007" xr:uid="{71CF01B8-40C1-490B-B8E9-D2BF7EC68EB9}"/>
    <cellStyle name="Parameter" xfId="2445" xr:uid="{D99BE329-4AD6-4B05-AEFA-74803C554F7E}"/>
    <cellStyle name="Parameter 2" xfId="2882" xr:uid="{01FAAD00-263C-4228-9E10-A259358C8C92}"/>
    <cellStyle name="Pattern_Forecast" xfId="8393" xr:uid="{F5EE28A4-2A9E-41A7-B1CD-8E161298C03F}"/>
    <cellStyle name="Percent" xfId="567" builtinId="5"/>
    <cellStyle name="Percent [0%]" xfId="2008" xr:uid="{4C452EE4-5BB7-48AE-AC24-082F6DDD593B}"/>
    <cellStyle name="Percent [0%] 2" xfId="2009" xr:uid="{10AB5D1F-75D2-4AA2-9D9E-5A77E32AD18E}"/>
    <cellStyle name="Percent [0.00%]" xfId="2010" xr:uid="{3386F4FB-D3E1-452B-9CC5-2443661F7ED6}"/>
    <cellStyle name="Percent [0.00%] 2" xfId="2011" xr:uid="{780AB1E9-3035-4B55-B926-12D30F148B20}"/>
    <cellStyle name="Percent [0]" xfId="2012" xr:uid="{CC92BC11-9170-453B-A7A5-A326C737E316}"/>
    <cellStyle name="Percent [0] 10" xfId="8394" xr:uid="{6668FAE3-C0B8-4F0F-A1FE-E176F3275592}"/>
    <cellStyle name="Percent [0] 10 2" xfId="8395" xr:uid="{608E0126-0960-41D3-B45F-B5C7C6308F76}"/>
    <cellStyle name="Percent [0] 10 2 2" xfId="8396" xr:uid="{07F971EE-1E8B-4AE7-AAA6-A1316194230F}"/>
    <cellStyle name="Percent [0] 11" xfId="8397" xr:uid="{E8956D72-FE7C-4E98-AECB-6ACD1FF48E03}"/>
    <cellStyle name="Percent [0] 2" xfId="8398" xr:uid="{E20BD12E-9246-4A51-94A7-BF4E067AD416}"/>
    <cellStyle name="Percent [0] 2 2" xfId="8399" xr:uid="{F29CA59B-5764-4B60-91A4-46A7F993B5DE}"/>
    <cellStyle name="Percent [0] 2 3" xfId="8400" xr:uid="{6C25244F-2AC2-44B7-B10A-D63B3CEFC9CA}"/>
    <cellStyle name="Percent [0] 3" xfId="8401" xr:uid="{7A98942F-565C-4036-A3BA-276E4C8F5C13}"/>
    <cellStyle name="Percent [0] 3 2" xfId="8402" xr:uid="{CEA46B46-4C6D-4039-83BF-B699F392551C}"/>
    <cellStyle name="Percent [0] 3 3" xfId="8403" xr:uid="{FA83BE8D-8BED-4266-9668-B76EC3D94301}"/>
    <cellStyle name="Percent [0] 4" xfId="8404" xr:uid="{7C175913-7944-45E4-8595-49727D309AB9}"/>
    <cellStyle name="Percent [0] 4 2" xfId="8405" xr:uid="{7341DD9D-E8C3-4A22-81A8-00D4C95FB668}"/>
    <cellStyle name="Percent [0] 4 3" xfId="8406" xr:uid="{21AE7553-A901-47BA-8B3A-C3845E136FAB}"/>
    <cellStyle name="Percent [0] 5" xfId="8407" xr:uid="{CAC728C9-9E82-4426-B5F5-20AF02F04695}"/>
    <cellStyle name="Percent [0] 5 2" xfId="8408" xr:uid="{237BC16A-0C87-4A2C-9CB3-084E44A31791}"/>
    <cellStyle name="Percent [0] 5 3" xfId="8409" xr:uid="{272D4CDB-A649-4B47-9FBC-8E31FFDC51D2}"/>
    <cellStyle name="Percent [0] 6" xfId="8410" xr:uid="{8D43B1E2-2983-4076-8880-76DBBDD0F1C0}"/>
    <cellStyle name="Percent [0] 6 2" xfId="8411" xr:uid="{E994B5DE-B834-4629-9629-6D56F5DCBCC4}"/>
    <cellStyle name="Percent [0] 6 3" xfId="8412" xr:uid="{82D80180-80C7-4EED-B29D-A208C814E26A}"/>
    <cellStyle name="Percent [0] 7" xfId="8413" xr:uid="{6EE669BD-EF21-4D15-A044-14A3C1002DBC}"/>
    <cellStyle name="Percent [0] 7 2" xfId="8414" xr:uid="{D026CE28-5D6D-488D-9049-9AEDB09C7717}"/>
    <cellStyle name="Percent [0] 7 3" xfId="8415" xr:uid="{B40288D9-FFBE-4EEA-8B94-B8BCEA88912A}"/>
    <cellStyle name="Percent [0] 8" xfId="8416" xr:uid="{9C11D894-1188-4494-B2B7-50BA6C7B3E2C}"/>
    <cellStyle name="Percent [0] 8 2" xfId="8417" xr:uid="{483E8B02-890C-493B-B814-83A7A98F85F4}"/>
    <cellStyle name="Percent [0] 8 3" xfId="8418" xr:uid="{F0D13172-B7F9-4E92-B84E-B68B5774539D}"/>
    <cellStyle name="Percent [0] 9" xfId="8419" xr:uid="{477A123F-5889-4433-BE7B-0E92F6DA55D5}"/>
    <cellStyle name="Percent [0] 9 2" xfId="8420" xr:uid="{7D5B390B-047F-4E17-8462-9028AFF68526}"/>
    <cellStyle name="Percent [0] 9 3" xfId="8421" xr:uid="{FD426168-63C7-41A2-9638-70656DB7A6E7}"/>
    <cellStyle name="Percent [00]" xfId="2013" xr:uid="{21B1B04D-223B-4C18-B3DE-60C2DE6F6229}"/>
    <cellStyle name="Percent [00] 10" xfId="8423" xr:uid="{B991AA54-EDD3-4449-BC95-0D368ABCDEA5}"/>
    <cellStyle name="Percent [00] 10 2" xfId="8424" xr:uid="{7341D897-6C6C-48E2-A063-88DF7BF38E47}"/>
    <cellStyle name="Percent [00] 10 2 2" xfId="8425" xr:uid="{80A79DD8-DD2D-47E3-B8B8-95C84F1A1016}"/>
    <cellStyle name="Percent [00] 11" xfId="8422" xr:uid="{09D9CAA4-9090-483F-A2B8-1AA95D956F51}"/>
    <cellStyle name="Percent [00] 2" xfId="8426" xr:uid="{1093CB8E-3D77-4B25-AC2B-0F30014BC261}"/>
    <cellStyle name="Percent [00] 2 2" xfId="8427" xr:uid="{9BECBFEC-38B7-45DF-ABC7-C48C9F26E5F7}"/>
    <cellStyle name="Percent [00] 2 3" xfId="8428" xr:uid="{780088FA-1FD3-4D45-A9BF-B2926F0F008D}"/>
    <cellStyle name="Percent [00] 3" xfId="8429" xr:uid="{F6E40C12-9E8D-45DB-B58C-97271D2242ED}"/>
    <cellStyle name="Percent [00] 3 2" xfId="8430" xr:uid="{82716FD9-3BD5-460F-A5F8-745D172D21FC}"/>
    <cellStyle name="Percent [00] 3 3" xfId="8431" xr:uid="{ED9F3AFD-808F-47DE-B564-56CADD8A1AD2}"/>
    <cellStyle name="Percent [00] 4" xfId="8432" xr:uid="{8C06C9C6-653B-4E4D-88A2-F1B224F7C9A0}"/>
    <cellStyle name="Percent [00] 4 2" xfId="8433" xr:uid="{D7E181D3-C111-4310-9AEA-A36046D93DB9}"/>
    <cellStyle name="Percent [00] 4 3" xfId="8434" xr:uid="{46909967-C51A-4526-A2E9-8CC14A88A592}"/>
    <cellStyle name="Percent [00] 5" xfId="8435" xr:uid="{71349F7F-488C-4941-AB2B-A788007BCD7A}"/>
    <cellStyle name="Percent [00] 5 2" xfId="8436" xr:uid="{E55C374C-6D42-4FC6-BF33-E946FC45C83F}"/>
    <cellStyle name="Percent [00] 5 3" xfId="8437" xr:uid="{D7219498-4E85-4BE0-898F-4DC592A60AA1}"/>
    <cellStyle name="Percent [00] 6" xfId="8438" xr:uid="{241AEC64-4B71-4AC6-ACAA-F36665A5CB3E}"/>
    <cellStyle name="Percent [00] 6 2" xfId="8439" xr:uid="{8FA4C90B-FDD9-4F5F-A775-53B6FFCB7F14}"/>
    <cellStyle name="Percent [00] 6 3" xfId="8440" xr:uid="{98B15FB6-B101-4636-8D1E-50648729A6BB}"/>
    <cellStyle name="Percent [00] 7" xfId="8441" xr:uid="{22259B40-CB6E-4B01-AD55-4F9CB38E087F}"/>
    <cellStyle name="Percent [00] 7 2" xfId="8442" xr:uid="{122FD07A-1268-4D71-AB3C-A8EC77EA64E4}"/>
    <cellStyle name="Percent [00] 7 3" xfId="8443" xr:uid="{CFF1749C-23CD-4710-BEBD-72C8D1839500}"/>
    <cellStyle name="Percent [00] 8" xfId="8444" xr:uid="{029A8C82-CC96-4194-BF27-C271581B506F}"/>
    <cellStyle name="Percent [00] 8 2" xfId="8445" xr:uid="{8E66E6E4-32A6-4CC7-B3F6-EE82F532F02C}"/>
    <cellStyle name="Percent [00] 8 3" xfId="8446" xr:uid="{C1E904E5-454F-4904-81AB-19BB268FABAB}"/>
    <cellStyle name="Percent [00] 9" xfId="8447" xr:uid="{084B88DE-5303-4F7C-A172-4CDB89124460}"/>
    <cellStyle name="Percent [00] 9 2" xfId="8448" xr:uid="{36C42B62-8FEB-4529-8FD1-6214353BD9BC}"/>
    <cellStyle name="Percent [00] 9 3" xfId="8449" xr:uid="{52C24C95-4E50-4A87-BD18-8DA167471BE6}"/>
    <cellStyle name="Percent [1]" xfId="8450" xr:uid="{0CB599C1-6CBA-4F74-B781-94F8C090720F}"/>
    <cellStyle name="Percent [2]" xfId="216" xr:uid="{EFB0E805-6C4B-4D03-9757-586E9FECCFC7}"/>
    <cellStyle name="Percent [2] 2" xfId="217" xr:uid="{2F62AEA5-0802-4066-9842-967F3FDA5306}"/>
    <cellStyle name="Percent [2] 2 2" xfId="8451" xr:uid="{10E246F7-92B2-4153-8844-0B9A29DF6C14}"/>
    <cellStyle name="Percent [2] 3" xfId="3035" xr:uid="{319F706E-6D84-498E-8C54-3614F78D7A1B}"/>
    <cellStyle name="Percent [2] 4" xfId="599" xr:uid="{FDA9DE07-A6BA-4BE0-B4F1-1ED5B3955880}"/>
    <cellStyle name="Percent [2] U" xfId="2014" xr:uid="{3F00EF86-F705-4E1D-AA0D-F1BBBBBF1BE5}"/>
    <cellStyle name="Percent [2] U 2" xfId="8452" xr:uid="{99AFAB0B-94EE-4973-BFF2-2E7789242934}"/>
    <cellStyle name="Percent [2]_141702_1" xfId="2015" xr:uid="{171DDAE2-15DE-4E34-A897-D36B4BFE7099}"/>
    <cellStyle name="Percent 10" xfId="2016" xr:uid="{C1E087D7-5FF6-4CF3-9919-598A33553E45}"/>
    <cellStyle name="Percent 10 2" xfId="8453" xr:uid="{0C8E6DB2-C34E-4F45-87CC-C715B56DBE52}"/>
    <cellStyle name="Percent 11" xfId="2017" xr:uid="{A4BAECD1-000D-426D-9DC2-1B0A41C60548}"/>
    <cellStyle name="Percent 11 2" xfId="8454" xr:uid="{DD1B8CB7-27C9-46FA-B3CA-765262DE3B32}"/>
    <cellStyle name="Percent 12" xfId="515" xr:uid="{E10E57F1-D1BD-409A-A003-F05ACAB2FAC2}"/>
    <cellStyle name="Percent 12 2" xfId="516" xr:uid="{38DF1EBC-3737-4CCF-86A3-BFCDC8815566}"/>
    <cellStyle name="Percent 12 2 2" xfId="517" xr:uid="{C4A48213-76DE-4E4F-BAB4-B84765BD4A10}"/>
    <cellStyle name="Percent 12 2 3" xfId="8455" xr:uid="{590BD13D-50B4-47BE-B1A5-F5DC83076A03}"/>
    <cellStyle name="Percent 12 3" xfId="518" xr:uid="{681E9BF4-E5D0-465E-8BA6-1302C06DD99A}"/>
    <cellStyle name="Percent 12 4" xfId="519" xr:uid="{17A2ADEF-6A36-4D45-A266-C8AA796D2145}"/>
    <cellStyle name="Percent 12 5" xfId="2018" xr:uid="{DBC4F3DB-1A2A-4341-90F9-A94468D26214}"/>
    <cellStyle name="Percent 13" xfId="2019" xr:uid="{02C2D0C3-7BA6-4CB3-AF73-F886B8D6E356}"/>
    <cellStyle name="Percent 13 2" xfId="2020" xr:uid="{F5A062D2-31E5-44C4-BCE8-5C446CC4BFF6}"/>
    <cellStyle name="Percent 13 3" xfId="8456" xr:uid="{49A36EC2-5403-4647-B03D-3D2E1545BAB2}"/>
    <cellStyle name="Percent 14" xfId="2021" xr:uid="{911443CE-17E2-404A-85E0-18EB95AA52A4}"/>
    <cellStyle name="Percent 15" xfId="2255" xr:uid="{80586909-94DA-41A1-B1A5-EB625005350A}"/>
    <cellStyle name="Percent 15 2" xfId="8457" xr:uid="{F9BF75F9-78B5-4390-8902-2CBE0CA908DB}"/>
    <cellStyle name="Percent 16" xfId="580" xr:uid="{B2E21C3A-3734-42B5-99E9-F442AB4C071F}"/>
    <cellStyle name="Percent 17" xfId="2509" xr:uid="{3BC6F371-F450-4824-930F-D0D8CBC21C93}"/>
    <cellStyle name="Percent 18" xfId="2901" xr:uid="{1B0D14AE-4885-41CB-857C-98DB515BB364}"/>
    <cellStyle name="Percent 19" xfId="2511" xr:uid="{31FEB7EF-4E44-4AEE-93C5-F73031BF5FF6}"/>
    <cellStyle name="Percent 2" xfId="30" xr:uid="{7B0E8CA0-9377-4FBA-BF85-6F3F2DBCBDCA}"/>
    <cellStyle name="Percent 2 2" xfId="218" xr:uid="{2C5DB6BA-389F-4FB1-B11A-51867607BA6A}"/>
    <cellStyle name="Percent 2 2 2" xfId="520" xr:uid="{4779E6C8-EE44-4711-A067-59DB933DCFFE}"/>
    <cellStyle name="Percent 2 2 2 2" xfId="521" xr:uid="{EB25E55F-0EDA-4651-87B5-2042FF4C6AB0}"/>
    <cellStyle name="Percent 2 2 2 2 2" xfId="522" xr:uid="{2C474853-420C-480A-84A8-E126C848335C}"/>
    <cellStyle name="Percent 2 2 2 2 3" xfId="523" xr:uid="{041E72AF-D3A5-4665-9B86-4B9BC25E79B6}"/>
    <cellStyle name="Percent 2 2 2 2 4" xfId="8460" xr:uid="{571E843C-126A-4920-A3FE-6EAB86131B66}"/>
    <cellStyle name="Percent 2 2 2 3" xfId="524" xr:uid="{ED5E3CBF-FB34-4F0A-8112-348B10BE4A6E}"/>
    <cellStyle name="Percent 2 2 2 4" xfId="525" xr:uid="{6BC0ABBE-C9B5-4047-8B11-F24C8D1B20AB}"/>
    <cellStyle name="Percent 2 2 2 5" xfId="8459" xr:uid="{90362D14-F698-49D6-8B58-03AD1F2027C8}"/>
    <cellStyle name="Percent 2 2 3" xfId="526" xr:uid="{68D0A645-B7F7-4116-B712-F84ACC85BDF5}"/>
    <cellStyle name="Percent 2 2 3 2" xfId="527" xr:uid="{6EFFB764-55BB-4D1E-9ABD-31C4D76BACE6}"/>
    <cellStyle name="Percent 2 2 3 2 2" xfId="528" xr:uid="{E3B14EA2-6237-4BDD-A301-006DEB01C617}"/>
    <cellStyle name="Percent 2 2 3 2 3" xfId="529" xr:uid="{A5F4EB3E-9383-4CEC-971C-F36989D09A22}"/>
    <cellStyle name="Percent 2 2 3 3" xfId="530" xr:uid="{3045A0BC-A64C-44DE-A164-0712EADF166D}"/>
    <cellStyle name="Percent 2 2 3 4" xfId="531" xr:uid="{2DFADF07-9B7C-47BB-B6A3-61E9DD738061}"/>
    <cellStyle name="Percent 2 2 3 5" xfId="8893" xr:uid="{FB440B62-03D0-415F-868F-7764522D00CF}"/>
    <cellStyle name="Percent 2 2 4" xfId="8458" xr:uid="{FA39B9E6-94B5-40EE-81A8-49A6311C9E71}"/>
    <cellStyle name="Percent 2 2 5" xfId="2022" xr:uid="{84420CC7-0419-42CB-86E0-4BBCDEE31A31}"/>
    <cellStyle name="Percent 2 3" xfId="532" xr:uid="{7B030AC3-FF5B-4130-BD5C-DC9E5E38F3A7}"/>
    <cellStyle name="Percent 2 3 2" xfId="533" xr:uid="{75A6267E-6677-4D0A-8B55-C41F02C12F43}"/>
    <cellStyle name="Percent 2 3 2 2" xfId="534" xr:uid="{259BA8B5-E1D2-4DE2-952F-E42EF4C2CDE6}"/>
    <cellStyle name="Percent 2 3 2 3" xfId="535" xr:uid="{7C41E9EA-8A86-4D40-80A3-A3EFD18CF9BB}"/>
    <cellStyle name="Percent 2 3 2 4" xfId="8462" xr:uid="{947A93B5-A65A-4B09-A4D2-14CE457643E4}"/>
    <cellStyle name="Percent 2 3 3" xfId="536" xr:uid="{E711C2B6-AF76-41E0-87EA-1821C4CACAF6}"/>
    <cellStyle name="Percent 2 3 3 2" xfId="23474" xr:uid="{FA801B0C-E265-4789-A0AC-E58205264770}"/>
    <cellStyle name="Percent 2 3 4" xfId="537" xr:uid="{28BABD81-1194-422A-882D-BA1B7F2BF208}"/>
    <cellStyle name="Percent 2 3 4 2" xfId="8461" xr:uid="{79742AA5-12B0-4715-A0DE-196E50BEDEF4}"/>
    <cellStyle name="Percent 2 3 5" xfId="2023" xr:uid="{6B979693-2B16-4F21-91E2-701D7618A591}"/>
    <cellStyle name="Percent 2 4" xfId="538" xr:uid="{B157C543-608E-4300-8994-E9DFB99EAA23}"/>
    <cellStyle name="Percent 2 4 2" xfId="539" xr:uid="{0A33798F-B26C-48E6-8A2B-02A43ABC7B1D}"/>
    <cellStyle name="Percent 2 4 2 2" xfId="540" xr:uid="{8EF9DF70-F0C9-4A87-9EB3-772626F4D5C8}"/>
    <cellStyle name="Percent 2 4 2 3" xfId="541" xr:uid="{D9110D25-309B-4C47-B016-BA6EE390AD92}"/>
    <cellStyle name="Percent 2 4 3" xfId="542" xr:uid="{8EAA961E-D5D3-442A-AC16-1097C6D95CD0}"/>
    <cellStyle name="Percent 2 4 4" xfId="543" xr:uid="{4175DAF2-9F9E-4EB8-82C4-23D1FD262C03}"/>
    <cellStyle name="Percent 2 4 5" xfId="2024" xr:uid="{2FC1E59C-0AE9-472C-B25F-F7E906C4AD2D}"/>
    <cellStyle name="Percent 2 5" xfId="2025" xr:uid="{9AB5AC1E-9F54-40A3-90B8-653BFBD0146F}"/>
    <cellStyle name="Percent 2 5 2" xfId="8463" xr:uid="{12E8A843-B349-475B-8410-451CBE0D388E}"/>
    <cellStyle name="Percent 2 6" xfId="2026" xr:uid="{DC6B29C3-F940-470C-BABC-2AFB0C72043D}"/>
    <cellStyle name="Percent 2 6 2" xfId="8905" xr:uid="{62926EB9-8FAB-40E0-9013-1EF72C1ED31B}"/>
    <cellStyle name="Percent 20" xfId="2522" xr:uid="{F75FFEFC-76C8-4862-9C96-1C85884CCFBA}"/>
    <cellStyle name="Percent 21" xfId="2948" xr:uid="{CD9DCADF-6632-46CD-B347-D66909F79BA3}"/>
    <cellStyle name="Percent 22" xfId="2933" xr:uid="{FEDD2EDB-0A8A-42FB-A6F3-3128F2693400}"/>
    <cellStyle name="Percent 23" xfId="2586" xr:uid="{200D52CA-3230-45AB-B9C1-5E9C067A790B}"/>
    <cellStyle name="Percent 24" xfId="8464" xr:uid="{49DCA242-2634-4000-B99B-4DF13588A30C}"/>
    <cellStyle name="Percent 25" xfId="8465" xr:uid="{ADF9C3DA-5D32-4049-980A-585517C5117F}"/>
    <cellStyle name="Percent 26" xfId="8466" xr:uid="{27DDE131-49AE-4510-9093-D2614BBC2CA4}"/>
    <cellStyle name="Percent 26 2" xfId="8467" xr:uid="{C1A11C6C-0B05-4E79-A16E-903CEF925FF2}"/>
    <cellStyle name="Percent 27" xfId="8468" xr:uid="{5B75F353-7FFE-422C-BF27-BCD133CD0FC9}"/>
    <cellStyle name="Percent 28" xfId="8469" xr:uid="{34369AEE-C391-4B64-895C-A4030B8BD53C}"/>
    <cellStyle name="Percent 29" xfId="8470" xr:uid="{74710BBC-4D90-4409-B6EC-42C96DABE03D}"/>
    <cellStyle name="Percent 3" xfId="219" xr:uid="{D7789619-868F-4DE7-99F6-68804FD0420E}"/>
    <cellStyle name="Percent 3 2" xfId="220" xr:uid="{5E19ABA3-7B80-406A-B598-3681A5D3B426}"/>
    <cellStyle name="Percent 3 2 2" xfId="2027" xr:uid="{A5C67193-9B2E-4784-B83B-92086D93471A}"/>
    <cellStyle name="Percent 3 3" xfId="2496" xr:uid="{B9DC9473-6DBF-4331-BACC-768D18E4DF5C}"/>
    <cellStyle name="Percent 3 3 2" xfId="8472" xr:uid="{29208D5F-E480-4C0D-ADDC-DE4AE9E14EFF}"/>
    <cellStyle name="Percent 3 4" xfId="544" xr:uid="{2BDBC41B-365E-4ADB-B0D4-1E9F68BC6361}"/>
    <cellStyle name="Percent 3 4 2" xfId="545" xr:uid="{ACBD9A7B-B464-43F1-844E-4E11592413D9}"/>
    <cellStyle name="Percent 3 4 3" xfId="546" xr:uid="{C82C4F94-AEB8-4B7E-93F4-03278702B156}"/>
    <cellStyle name="Percent 3 4 4" xfId="8473" xr:uid="{16E9EF62-862A-4095-BBC4-C4CD10EAD053}"/>
    <cellStyle name="Percent 3 5" xfId="8939" xr:uid="{56E9FBC5-DD4D-4D28-9D38-C37017F0DE15}"/>
    <cellStyle name="Percent 3 6" xfId="8471" xr:uid="{4B9BEF6F-D5F8-4D68-A3A4-E5583FA46E21}"/>
    <cellStyle name="Percent 30" xfId="8474" xr:uid="{D873B012-EB9A-4A75-9E38-DFF3909374D2}"/>
    <cellStyle name="Percent 31" xfId="8475" xr:uid="{C95CD971-AFCA-4D27-A159-62C660AF5884}"/>
    <cellStyle name="Percent 32" xfId="8476" xr:uid="{410AB4FD-56DA-49FF-90B5-23F788688F57}"/>
    <cellStyle name="Percent 33" xfId="8477" xr:uid="{0F1E68EF-AA0C-456F-BA50-8CFAA3E7CD9B}"/>
    <cellStyle name="Percent 34" xfId="8478" xr:uid="{818B6198-34BE-42CC-9F8D-3037A06D8B87}"/>
    <cellStyle name="Percent 35" xfId="8479" xr:uid="{4509BBD6-8502-4EF0-A93E-A0F6BDEAEA87}"/>
    <cellStyle name="Percent 36" xfId="8480" xr:uid="{D426F1CE-362B-481D-AD20-C0E00694E207}"/>
    <cellStyle name="Percent 37" xfId="8481" xr:uid="{2C0715FD-69F4-406A-B5B6-1444073BE3FA}"/>
    <cellStyle name="Percent 38" xfId="8482" xr:uid="{F8532436-C89C-4E7B-A631-941C9C7F974D}"/>
    <cellStyle name="Percent 39" xfId="8483" xr:uid="{94E95638-2024-4DE3-835D-77CF65A1FDE0}"/>
    <cellStyle name="Percent 4" xfId="221" xr:uid="{D4F461BA-655D-46E3-93D1-F0DFFE9BCBF8}"/>
    <cellStyle name="Percent 4 2" xfId="2029" xr:uid="{7286E361-F371-4BEA-A593-F0D300F4099A}"/>
    <cellStyle name="Percent 4 3" xfId="2030" xr:uid="{4E00E146-F816-4206-BFC6-5FEF51356703}"/>
    <cellStyle name="Percent 4 3 2" xfId="2031" xr:uid="{16F594AD-C9AB-45FE-9BF7-ECB13D5C3484}"/>
    <cellStyle name="Percent 4 3 3" xfId="8485" xr:uid="{96202751-6674-4B50-87F4-FED62CA6C292}"/>
    <cellStyle name="Percent 4 4" xfId="2032" xr:uid="{A783CAC1-AF89-4018-B953-27541D7837C4}"/>
    <cellStyle name="Percent 4 4 2" xfId="2033" xr:uid="{81164C80-9FB3-4A9B-A66E-6D90412F9A13}"/>
    <cellStyle name="Percent 4 4 3" xfId="8486" xr:uid="{9D712BCD-00A6-4932-9AD1-9A4415B846E4}"/>
    <cellStyle name="Percent 4 5" xfId="2034" xr:uid="{E7EE2C26-83B3-4F3C-AACC-D3CF4239657C}"/>
    <cellStyle name="Percent 4 5 2" xfId="8906" xr:uid="{AFD9A5F9-676B-4C51-9103-442AFC0DD675}"/>
    <cellStyle name="Percent 4 6" xfId="8484" xr:uid="{4B771D3E-0444-4266-9459-8DF3F876B811}"/>
    <cellStyle name="Percent 4 7" xfId="2028" xr:uid="{4F18DBCC-7D44-4EDE-91EA-5FF17EF245A8}"/>
    <cellStyle name="Percent 40" xfId="8487" xr:uid="{936AFCA2-B377-4179-9AF1-9676198333D5}"/>
    <cellStyle name="Percent 41" xfId="8488" xr:uid="{17218E0F-0A24-46BD-9573-2D66153BD70E}"/>
    <cellStyle name="Percent 42" xfId="8489" xr:uid="{491DB591-C8D3-450B-9183-B1E4CDB5761E}"/>
    <cellStyle name="Percent 43" xfId="8832" xr:uid="{B565E54F-AA99-4651-9AA0-AD1BA408761D}"/>
    <cellStyle name="Percent 44" xfId="8896" xr:uid="{E1CBE527-0761-4B41-A03F-D9C259557885}"/>
    <cellStyle name="Percent 45" xfId="8942" xr:uid="{22ACCABD-3A0D-45EF-B63A-260C7A13B391}"/>
    <cellStyle name="Percent 46" xfId="8938" xr:uid="{301857F0-FE82-4546-9207-D581255AAEEF}"/>
    <cellStyle name="Percent 47" xfId="8944" xr:uid="{B1B1E441-109C-4F88-9F26-483B618F8AAA}"/>
    <cellStyle name="Percent 5" xfId="547" xr:uid="{5759ED38-F8E2-4340-A272-DE1E9AA6ED19}"/>
    <cellStyle name="Percent 5 2" xfId="548" xr:uid="{CED6C9C5-A76C-4232-94DB-5C4CAF04E951}"/>
    <cellStyle name="Percent 5 2 2" xfId="2036" xr:uid="{F1E55DC0-642E-461A-8E74-749B894CED61}"/>
    <cellStyle name="Percent 5 2 3" xfId="8490" xr:uid="{8ABC0899-9D23-4FA2-AF0B-DD5D9234002E}"/>
    <cellStyle name="Percent 5 3" xfId="549" xr:uid="{F0162E57-8797-46A1-A7C6-852E923FBB22}"/>
    <cellStyle name="Percent 5 3 2" xfId="2037" xr:uid="{9E0D60F4-6115-4FB4-B395-A5ACC1CE2769}"/>
    <cellStyle name="Percent 5 4" xfId="8491" xr:uid="{C3A0DE19-A482-489E-ABE7-971D11D376D2}"/>
    <cellStyle name="Percent 5 5" xfId="2035" xr:uid="{75310B33-C717-4050-AA63-40F964EA7A6F}"/>
    <cellStyle name="Percent 6" xfId="550" xr:uid="{EDE0C93F-480A-4D33-A0FB-461DE7BB9B9F}"/>
    <cellStyle name="Percent 6 2" xfId="2039" xr:uid="{A585A8D7-44F4-4706-99B9-2520E7CAAAF5}"/>
    <cellStyle name="Percent 6 2 2" xfId="8493" xr:uid="{2216FDD8-2D13-4E9D-8ABA-953578577118}"/>
    <cellStyle name="Percent 6 2 3" xfId="8492" xr:uid="{80E13D85-5D7B-4519-8814-91F1501D6BC3}"/>
    <cellStyle name="Percent 6 3" xfId="8494" xr:uid="{B7EB5882-C74F-4FA3-88A0-B34CFEDC288D}"/>
    <cellStyle name="Percent 6 4" xfId="8495" xr:uid="{E4AAB77C-6FA9-4F68-9EF5-FE724C7F2E56}"/>
    <cellStyle name="Percent 6 5" xfId="2038" xr:uid="{595A20D9-6B24-4739-8978-159C11590CEF}"/>
    <cellStyle name="Percent 7" xfId="222" xr:uid="{9BBF92DC-B49C-41AB-85EE-7151875C953A}"/>
    <cellStyle name="Percent 7 2" xfId="8497" xr:uid="{306B9DFC-3C6A-422A-AD33-6FECE98E7CE3}"/>
    <cellStyle name="Percent 7 3" xfId="8498" xr:uid="{A1E7F30A-FBD6-47F6-91AE-E7C27AF02838}"/>
    <cellStyle name="Percent 7 4" xfId="8499" xr:uid="{7B312C55-573D-4DD5-8764-3D966034038F}"/>
    <cellStyle name="Percent 7 5" xfId="8496" xr:uid="{C804B51A-A6F0-4825-BCF8-AA8F67B4EE54}"/>
    <cellStyle name="Percent 7 6" xfId="2040" xr:uid="{9F494179-E8DC-4FCF-8414-64F67EC82F7D}"/>
    <cellStyle name="Percent 8" xfId="28" xr:uid="{B187183C-DB81-477A-A70C-0B069C49BEFE}"/>
    <cellStyle name="Percent 8 2" xfId="8500" xr:uid="{194B5371-ECF0-421E-819C-9F5CCA0C7124}"/>
    <cellStyle name="Percent 8 3" xfId="2041" xr:uid="{A8662462-AB17-4D3A-9F4F-60428C0D64DB}"/>
    <cellStyle name="Percent 9" xfId="2042" xr:uid="{6A2ED92A-CB16-4767-A356-D2313D3CF68C}"/>
    <cellStyle name="Percent 9 2" xfId="8501" xr:uid="{A8C0F8BD-C3C3-4C45-BF98-122F41521800}"/>
    <cellStyle name="Percent Hard" xfId="8502" xr:uid="{96DB73AD-DC75-4875-9FC5-FEC8A6D8719E}"/>
    <cellStyle name="Percentage" xfId="223" xr:uid="{E71F61A4-4B24-49AE-9835-70AF48DDC77E}"/>
    <cellStyle name="Percentage." xfId="2043" xr:uid="{1D7E2835-2588-4C25-AAE5-018AD61EEBCA}"/>
    <cellStyle name="Period Title" xfId="224" xr:uid="{9BE8C6CD-DEC4-4C4D-BA84-615E371A4736}"/>
    <cellStyle name="Period Title 2" xfId="2045" xr:uid="{8BA89A36-3C89-4487-88EE-BC7C4BE579F0}"/>
    <cellStyle name="Period Title 2 2" xfId="3943" xr:uid="{22720DD2-99F3-4A84-95C7-7CFC21FF55B9}"/>
    <cellStyle name="Period Title 3" xfId="3676" xr:uid="{278CE7EE-BB30-4635-9938-E6A2BA68946D}"/>
    <cellStyle name="Period Title 4" xfId="2044" xr:uid="{55ACD673-438F-4230-9A6A-05937FB42797}"/>
    <cellStyle name="Period Title." xfId="2046" xr:uid="{C25A85CD-9950-41F3-8956-3819DCD6D052}"/>
    <cellStyle name="Period Title_7_11 Consolidated Budget Model 091123 bud" xfId="2047" xr:uid="{1198277A-6C01-439B-BDFA-DA794038F9FF}"/>
    <cellStyle name="Pnumber" xfId="2048" xr:uid="{35FDC867-3BEF-4721-92D4-9BE178549C59}"/>
    <cellStyle name="Pnumber 2" xfId="2946" xr:uid="{A53A4243-8D6B-4CAC-829B-24909252AEE6}"/>
    <cellStyle name="Popis" xfId="2049" xr:uid="{EE84534E-EA0B-4A49-A0D8-DAA93A2F0954}"/>
    <cellStyle name="Porcentagem_RESULTS" xfId="2050" xr:uid="{EC47A3D3-328F-4F1B-9E4A-DC5023E5E219}"/>
    <cellStyle name="Poznámka" xfId="2051" xr:uid="{94F2435D-E6BC-46F7-9056-3F6137804D59}"/>
    <cellStyle name="PrePop Currency (0)" xfId="2052" xr:uid="{79A64E56-0563-43B9-8C35-8DFA500C42E5}"/>
    <cellStyle name="PrePop Currency (0) 10" xfId="8504" xr:uid="{438AB93F-960F-463B-B849-5DEB6E947C4A}"/>
    <cellStyle name="PrePop Currency (0) 10 2" xfId="8505" xr:uid="{FE7A453D-0FDD-4B6B-ACC2-8EB09F85A0E9}"/>
    <cellStyle name="PrePop Currency (0) 10 2 2" xfId="8506" xr:uid="{85961D36-4B58-467F-AAE2-636B9C37FA96}"/>
    <cellStyle name="PrePop Currency (0) 11" xfId="8503" xr:uid="{A452D36D-625C-49FF-AA6D-7DFFC508860E}"/>
    <cellStyle name="PrePop Currency (0) 2" xfId="8507" xr:uid="{D7E2ABF2-36F8-457A-BCD0-9745229F11E0}"/>
    <cellStyle name="PrePop Currency (0) 2 2" xfId="8508" xr:uid="{BA438600-A940-4A2E-8A0D-A19AD267ACE1}"/>
    <cellStyle name="PrePop Currency (0) 2 3" xfId="8509" xr:uid="{C2190C06-77BF-4AC9-8D08-ED82EAA08264}"/>
    <cellStyle name="PrePop Currency (0) 3" xfId="8510" xr:uid="{56B73C0F-FB13-4DEB-BC5D-D32D15A91AD2}"/>
    <cellStyle name="PrePop Currency (0) 3 2" xfId="8511" xr:uid="{E4DE224D-DCB4-489E-B984-F849FEA78FCA}"/>
    <cellStyle name="PrePop Currency (0) 3 3" xfId="8512" xr:uid="{02B415D6-EC5E-4638-82FA-9F6FFF4AA643}"/>
    <cellStyle name="PrePop Currency (0) 4" xfId="8513" xr:uid="{A3A8C7E4-E8C1-4654-9B4D-22C12058AA15}"/>
    <cellStyle name="PrePop Currency (0) 4 2" xfId="8514" xr:uid="{7DD7E8A6-8C59-45AB-AFA3-F7043BC8CC89}"/>
    <cellStyle name="PrePop Currency (0) 4 3" xfId="8515" xr:uid="{3DC582F9-E35F-4E58-A683-08F1737E58D4}"/>
    <cellStyle name="PrePop Currency (0) 5" xfId="8516" xr:uid="{8A548D0E-4199-4B4E-9CA6-EDF272E620BF}"/>
    <cellStyle name="PrePop Currency (0) 5 2" xfId="8517" xr:uid="{9BE3BB05-7BC6-401D-BA0B-017119DFF59C}"/>
    <cellStyle name="PrePop Currency (0) 5 3" xfId="8518" xr:uid="{0CF86F8A-B37B-41AC-9A81-F47999CA2867}"/>
    <cellStyle name="PrePop Currency (0) 6" xfId="8519" xr:uid="{F8BFCC4F-9B3F-41B0-A311-325F98201805}"/>
    <cellStyle name="PrePop Currency (0) 6 2" xfId="8520" xr:uid="{D3A6B8A1-AFF6-4DC8-B37D-7BB4BECDBCD2}"/>
    <cellStyle name="PrePop Currency (0) 6 3" xfId="8521" xr:uid="{7F343EE7-7390-4E03-9523-6C9E9D26E105}"/>
    <cellStyle name="PrePop Currency (0) 7" xfId="8522" xr:uid="{2A2CCF3C-AE17-460F-B23E-ADB033D76F82}"/>
    <cellStyle name="PrePop Currency (0) 7 2" xfId="8523" xr:uid="{EA119D03-F42E-4710-BC64-ABEF2095936D}"/>
    <cellStyle name="PrePop Currency (0) 7 3" xfId="8524" xr:uid="{58339689-15C4-41C2-9FA7-12C57E3B37EB}"/>
    <cellStyle name="PrePop Currency (0) 8" xfId="8525" xr:uid="{E162771D-FED4-4EBB-B230-FEAF8C21348E}"/>
    <cellStyle name="PrePop Currency (0) 8 2" xfId="8526" xr:uid="{0CDDFEE0-611A-4CCE-A2EA-4C4E2DB22222}"/>
    <cellStyle name="PrePop Currency (0) 8 3" xfId="8527" xr:uid="{ACD25F11-E6DA-47BA-8E54-613D1E0758B7}"/>
    <cellStyle name="PrePop Currency (0) 9" xfId="8528" xr:uid="{B8220C6A-54F0-4EA6-972F-B607F8FC6FC3}"/>
    <cellStyle name="PrePop Currency (0) 9 2" xfId="8529" xr:uid="{A28698FB-B7C7-4A7D-8F74-3505F08C130A}"/>
    <cellStyle name="PrePop Currency (0) 9 3" xfId="8530" xr:uid="{8EFF0621-DF73-45DC-A222-A901F05EE37B}"/>
    <cellStyle name="PrePop Currency (2)" xfId="2053" xr:uid="{5269A84C-D8E2-42F8-9CDD-B3549FD83ED5}"/>
    <cellStyle name="PrePop Currency (2) 10" xfId="8532" xr:uid="{180236FC-BACE-47E3-93BF-3DADFB2BF8CD}"/>
    <cellStyle name="PrePop Currency (2) 10 2" xfId="8533" xr:uid="{89463BA9-A290-4EF1-A563-30C0E604833E}"/>
    <cellStyle name="PrePop Currency (2) 10 2 2" xfId="8534" xr:uid="{9AA226E4-443A-40AB-8509-86FB2FA9437F}"/>
    <cellStyle name="PrePop Currency (2) 11" xfId="8531" xr:uid="{400CA1F0-4E7E-4E04-858F-06CF0EE22B00}"/>
    <cellStyle name="PrePop Currency (2) 2" xfId="8535" xr:uid="{11AE5FC3-5784-4835-B35E-CDCDC6611096}"/>
    <cellStyle name="PrePop Currency (2) 2 2" xfId="8536" xr:uid="{FD2F5E3A-BA89-4C3E-8AEF-7D2D6F9982D7}"/>
    <cellStyle name="PrePop Currency (2) 2 3" xfId="8537" xr:uid="{47F43920-EE6D-4694-9B33-4150B848DFD2}"/>
    <cellStyle name="PrePop Currency (2) 3" xfId="8538" xr:uid="{26342313-5E68-45A7-98E7-7A86E5BA8001}"/>
    <cellStyle name="PrePop Currency (2) 3 2" xfId="8539" xr:uid="{1492491B-A0FF-42A1-9E20-08D9B88B420F}"/>
    <cellStyle name="PrePop Currency (2) 3 3" xfId="8540" xr:uid="{02FFC5F8-51BF-46F1-9D79-41BC7A857271}"/>
    <cellStyle name="PrePop Currency (2) 4" xfId="8541" xr:uid="{D7C3A45C-FBEA-485B-8BB6-A173B56BDCEF}"/>
    <cellStyle name="PrePop Currency (2) 4 2" xfId="8542" xr:uid="{81F2590D-D96D-46FE-83E2-21EEE784BB77}"/>
    <cellStyle name="PrePop Currency (2) 4 3" xfId="8543" xr:uid="{37FBACBB-41AB-411E-8D3F-42DA0B935D9D}"/>
    <cellStyle name="PrePop Currency (2) 5" xfId="8544" xr:uid="{5571AF25-F3A4-4C32-B5E8-126D68C733FF}"/>
    <cellStyle name="PrePop Currency (2) 5 2" xfId="8545" xr:uid="{E41E8E51-41F0-4EAF-9087-1E53B21E2628}"/>
    <cellStyle name="PrePop Currency (2) 5 3" xfId="8546" xr:uid="{24DAAAB9-468D-4B36-9374-5B14037CD45A}"/>
    <cellStyle name="PrePop Currency (2) 6" xfId="8547" xr:uid="{E901C9EF-D952-4636-A86E-8A94BBA31EAD}"/>
    <cellStyle name="PrePop Currency (2) 6 2" xfId="8548" xr:uid="{53540D75-E2D6-45DD-9170-2ADCF8A44434}"/>
    <cellStyle name="PrePop Currency (2) 6 3" xfId="8549" xr:uid="{C97937E9-ADC4-4053-97C1-266FDDD35A92}"/>
    <cellStyle name="PrePop Currency (2) 7" xfId="8550" xr:uid="{DEED2B74-7756-4022-8B7D-DD619670CFFA}"/>
    <cellStyle name="PrePop Currency (2) 7 2" xfId="8551" xr:uid="{4D85D5A7-A674-4B37-8DFD-EEC7D9D1A913}"/>
    <cellStyle name="PrePop Currency (2) 7 3" xfId="8552" xr:uid="{5BC6EEB7-1D50-4D75-AC1B-71B21F3AD157}"/>
    <cellStyle name="PrePop Currency (2) 8" xfId="8553" xr:uid="{43BB4AD3-296A-43FF-B327-5A4699CDF5B5}"/>
    <cellStyle name="PrePop Currency (2) 8 2" xfId="8554" xr:uid="{C5251DE4-7E1C-4FD7-A4E6-078B52116D8B}"/>
    <cellStyle name="PrePop Currency (2) 8 3" xfId="8555" xr:uid="{AEDA15D2-891E-41CC-A686-5E9EE420FEC7}"/>
    <cellStyle name="PrePop Currency (2) 9" xfId="8556" xr:uid="{C8817D42-75D7-4130-9861-A68D1456BBF0}"/>
    <cellStyle name="PrePop Currency (2) 9 2" xfId="8557" xr:uid="{97040F2A-F762-45DB-98B9-6B1A021024DA}"/>
    <cellStyle name="PrePop Currency (2) 9 3" xfId="8558" xr:uid="{166621B0-066F-433A-A706-F2B700E8617E}"/>
    <cellStyle name="PrePop Units (0)" xfId="2054" xr:uid="{2076D0E7-B9E6-4C7E-B6D3-22351EC5C5DF}"/>
    <cellStyle name="PrePop Units (0) 10" xfId="8560" xr:uid="{30850FDD-AC25-4F9D-97E1-39AE91F5C826}"/>
    <cellStyle name="PrePop Units (0) 10 2" xfId="8561" xr:uid="{1DD80EE2-5877-49C4-B668-53AC1E82D27E}"/>
    <cellStyle name="PrePop Units (0) 10 2 2" xfId="8562" xr:uid="{53E5C16B-E62A-4B62-8EB8-45E1E4A9BEC2}"/>
    <cellStyle name="PrePop Units (0) 11" xfId="8559" xr:uid="{6C78AB76-190D-4839-B7EE-A3A0C2AC0221}"/>
    <cellStyle name="PrePop Units (0) 2" xfId="8563" xr:uid="{A36DB00B-75AD-417E-880F-6958D664F4D0}"/>
    <cellStyle name="PrePop Units (0) 2 2" xfId="8564" xr:uid="{B51A5E2A-C798-4AA0-9DFB-58255AA7E0BF}"/>
    <cellStyle name="PrePop Units (0) 2 3" xfId="8565" xr:uid="{655E64BD-7B0E-4791-BC4E-40BC711FC146}"/>
    <cellStyle name="PrePop Units (0) 3" xfId="8566" xr:uid="{6E912C55-39D8-47A1-A804-1CF2DA4ACB44}"/>
    <cellStyle name="PrePop Units (0) 3 2" xfId="8567" xr:uid="{361779F1-81F6-42FC-B4AD-B4809547A6B5}"/>
    <cellStyle name="PrePop Units (0) 3 3" xfId="8568" xr:uid="{DF9482E2-4BC1-46E7-A645-BFAEA75632EF}"/>
    <cellStyle name="PrePop Units (0) 4" xfId="8569" xr:uid="{FE11DFFE-AFCF-4C54-8233-FF54EF97BE41}"/>
    <cellStyle name="PrePop Units (0) 4 2" xfId="8570" xr:uid="{0D75EA75-76A3-4366-8F53-73E50CAAD3C8}"/>
    <cellStyle name="PrePop Units (0) 4 3" xfId="8571" xr:uid="{3323963E-334B-48C3-866F-35591249AEA2}"/>
    <cellStyle name="PrePop Units (0) 5" xfId="8572" xr:uid="{D0BCFF5E-1D7B-4037-A6AA-8AC0875C6FD8}"/>
    <cellStyle name="PrePop Units (0) 5 2" xfId="8573" xr:uid="{E85D13A1-BA52-40F9-8FB3-FCD2F322CB91}"/>
    <cellStyle name="PrePop Units (0) 5 3" xfId="8574" xr:uid="{951E9FF8-CACD-4A46-935E-7F7FADB7E119}"/>
    <cellStyle name="PrePop Units (0) 6" xfId="8575" xr:uid="{0D2EC055-82AF-4098-9570-C16737A52FC6}"/>
    <cellStyle name="PrePop Units (0) 6 2" xfId="8576" xr:uid="{FCBC1B60-59AD-4047-89C0-F91328051034}"/>
    <cellStyle name="PrePop Units (0) 6 3" xfId="8577" xr:uid="{B4E8BE01-62DC-42B9-8A29-4615D3EADFAC}"/>
    <cellStyle name="PrePop Units (0) 7" xfId="8578" xr:uid="{ADB1BDCD-81A0-4CAF-85D4-B1F804FC5886}"/>
    <cellStyle name="PrePop Units (0) 7 2" xfId="8579" xr:uid="{6EB6A353-E602-4542-9E5E-52701D18D9F9}"/>
    <cellStyle name="PrePop Units (0) 7 3" xfId="8580" xr:uid="{104D0BB6-2A45-4009-B827-75FA5F863E9A}"/>
    <cellStyle name="PrePop Units (0) 8" xfId="8581" xr:uid="{8E050FDB-BBC3-46FA-ABCC-C2F71DA6D1B5}"/>
    <cellStyle name="PrePop Units (0) 8 2" xfId="8582" xr:uid="{5701EF46-0339-4ADF-A603-6FE14F3B7003}"/>
    <cellStyle name="PrePop Units (0) 8 3" xfId="8583" xr:uid="{6819D0F5-17B2-4DC5-A78D-91F639FB461C}"/>
    <cellStyle name="PrePop Units (0) 9" xfId="8584" xr:uid="{DB6888C2-681B-4816-AD59-E2B70A8085D3}"/>
    <cellStyle name="PrePop Units (0) 9 2" xfId="8585" xr:uid="{7E459C72-DF80-417B-8901-143EDF15D7FA}"/>
    <cellStyle name="PrePop Units (0) 9 3" xfId="8586" xr:uid="{DFB385E2-CF53-4DA7-8957-4CA8CEE0DA86}"/>
    <cellStyle name="PrePop Units (1)" xfId="2055" xr:uid="{75F10244-E59C-42AD-B1CE-D194534464A1}"/>
    <cellStyle name="PrePop Units (1) 10" xfId="8588" xr:uid="{8B49567F-402A-440A-99E3-C31A8BA95AFF}"/>
    <cellStyle name="PrePop Units (1) 10 2" xfId="8589" xr:uid="{F984554E-4D27-45C9-BE74-5EBCFACD90E3}"/>
    <cellStyle name="PrePop Units (1) 10 2 2" xfId="8590" xr:uid="{815CB519-FBA5-4E88-A455-21995501CBC1}"/>
    <cellStyle name="PrePop Units (1) 11" xfId="8587" xr:uid="{BC304515-827F-4B8B-B612-DBF27D3D7948}"/>
    <cellStyle name="PrePop Units (1) 2" xfId="8591" xr:uid="{AE0B0668-A790-47A3-9C28-7B114AFA87EC}"/>
    <cellStyle name="PrePop Units (1) 2 2" xfId="8592" xr:uid="{C11D8D6A-09FC-4BC2-87E6-313530900057}"/>
    <cellStyle name="PrePop Units (1) 2 3" xfId="8593" xr:uid="{6027CC37-9DB8-4B47-8FF6-C147AEEB1BAF}"/>
    <cellStyle name="PrePop Units (1) 3" xfId="8594" xr:uid="{0AE030FE-778C-4371-9B85-0B6E1F200D78}"/>
    <cellStyle name="PrePop Units (1) 3 2" xfId="8595" xr:uid="{83712161-81EC-4CBC-9B2B-620F407931CD}"/>
    <cellStyle name="PrePop Units (1) 3 3" xfId="8596" xr:uid="{D0765F15-25A6-4144-BBED-9D62C2692A37}"/>
    <cellStyle name="PrePop Units (1) 4" xfId="8597" xr:uid="{2EE38F7C-2BE4-4743-ADD0-D174EE889D9D}"/>
    <cellStyle name="PrePop Units (1) 4 2" xfId="8598" xr:uid="{CEDD8C1D-4F93-41F1-9BCF-D9C274A3D18B}"/>
    <cellStyle name="PrePop Units (1) 4 3" xfId="8599" xr:uid="{2F07382A-5A8E-453E-9E1E-8128FC628991}"/>
    <cellStyle name="PrePop Units (1) 5" xfId="8600" xr:uid="{16E8E714-70CB-4A61-AEFE-2F0AE4FB8648}"/>
    <cellStyle name="PrePop Units (1) 5 2" xfId="8601" xr:uid="{1CA27EFB-5144-4972-B273-1FD2ACBB7328}"/>
    <cellStyle name="PrePop Units (1) 5 3" xfId="8602" xr:uid="{4766A05F-D60E-44CD-A8DA-7CAAB7850215}"/>
    <cellStyle name="PrePop Units (1) 6" xfId="8603" xr:uid="{5F9DAF42-886D-4612-BF1A-3EB8C5A956F5}"/>
    <cellStyle name="PrePop Units (1) 6 2" xfId="8604" xr:uid="{512F18C5-A2DC-4A81-A77D-D6BF92DE09D6}"/>
    <cellStyle name="PrePop Units (1) 6 3" xfId="8605" xr:uid="{62557E0D-BF71-4CCD-9B6C-C62FF363DEC2}"/>
    <cellStyle name="PrePop Units (1) 7" xfId="8606" xr:uid="{93C2B3DC-E094-4BFF-8091-80E552D5DFF1}"/>
    <cellStyle name="PrePop Units (1) 7 2" xfId="8607" xr:uid="{47861919-3E7B-4465-99EC-8FD8514E1087}"/>
    <cellStyle name="PrePop Units (1) 7 3" xfId="8608" xr:uid="{CF244B6C-2781-4471-884F-D835A14C0C34}"/>
    <cellStyle name="PrePop Units (1) 8" xfId="8609" xr:uid="{C28404C1-A943-41BC-A45A-C65A15C3D667}"/>
    <cellStyle name="PrePop Units (1) 8 2" xfId="8610" xr:uid="{6A34D1F6-500E-4684-B73C-9D0DDF4CEA45}"/>
    <cellStyle name="PrePop Units (1) 8 3" xfId="8611" xr:uid="{7E3FEE68-D3D1-4BA9-AC7B-DF86829B2AFC}"/>
    <cellStyle name="PrePop Units (1) 9" xfId="8612" xr:uid="{92F7490C-5882-4ED5-8DA7-9B50E6CBB1D6}"/>
    <cellStyle name="PrePop Units (1) 9 2" xfId="8613" xr:uid="{583A1C8E-4F2D-4EA2-B86A-5F4252C9BC83}"/>
    <cellStyle name="PrePop Units (1) 9 3" xfId="8614" xr:uid="{DAA0E32A-2019-424E-828E-6DEFA43F0E37}"/>
    <cellStyle name="PrePop Units (2)" xfId="2056" xr:uid="{1D1E8FA8-5E0B-4036-9375-C18B1AFF4E51}"/>
    <cellStyle name="PrePop Units (2) 10" xfId="8616" xr:uid="{0549EE7E-6DFF-4CB3-98B9-E0C48B8CC41F}"/>
    <cellStyle name="PrePop Units (2) 10 2" xfId="8617" xr:uid="{E347840E-C026-41CC-B033-AE904B160872}"/>
    <cellStyle name="PrePop Units (2) 10 2 2" xfId="8618" xr:uid="{8FD3DA41-E64D-4A5C-8E06-6CF63AE55DB6}"/>
    <cellStyle name="PrePop Units (2) 11" xfId="8615" xr:uid="{C1E952AE-419F-41C4-ADA4-163B4550E01D}"/>
    <cellStyle name="PrePop Units (2) 2" xfId="8619" xr:uid="{FA0819EB-D9C7-4ABA-AE1E-7C5956F05149}"/>
    <cellStyle name="PrePop Units (2) 2 2" xfId="8620" xr:uid="{3B53A513-D83D-40AD-9B81-17719A93FAB2}"/>
    <cellStyle name="PrePop Units (2) 2 3" xfId="8621" xr:uid="{A08D1018-C15C-45F1-BD9B-07C22D6C1BE1}"/>
    <cellStyle name="PrePop Units (2) 3" xfId="8622" xr:uid="{FE53E505-E52F-4C83-896C-88C82F590F34}"/>
    <cellStyle name="PrePop Units (2) 3 2" xfId="8623" xr:uid="{AFE44611-8DED-424D-B1A4-BE320A6FCD19}"/>
    <cellStyle name="PrePop Units (2) 3 3" xfId="8624" xr:uid="{81635F83-737D-49DA-A2C0-B150B2BDB394}"/>
    <cellStyle name="PrePop Units (2) 4" xfId="8625" xr:uid="{2A4ABFF3-0A26-46C2-811B-B5C5214301D7}"/>
    <cellStyle name="PrePop Units (2) 4 2" xfId="8626" xr:uid="{F0BE1AFF-2CFF-4FBF-8B28-CF99477843CF}"/>
    <cellStyle name="PrePop Units (2) 4 3" xfId="8627" xr:uid="{DE58B0E6-30E4-48E6-B2BC-6F3DB541CC64}"/>
    <cellStyle name="PrePop Units (2) 5" xfId="8628" xr:uid="{682A5801-B8C4-40FB-AE86-8408FA1A24CD}"/>
    <cellStyle name="PrePop Units (2) 5 2" xfId="8629" xr:uid="{F3EF4AF1-0360-450C-9075-B857D911D54F}"/>
    <cellStyle name="PrePop Units (2) 5 3" xfId="8630" xr:uid="{4A6B1155-FA7F-461E-82EF-CF5881F90C7D}"/>
    <cellStyle name="PrePop Units (2) 6" xfId="8631" xr:uid="{91D8556B-D628-4817-8FD7-BDF6B039B529}"/>
    <cellStyle name="PrePop Units (2) 6 2" xfId="8632" xr:uid="{392D7145-1EF6-49DA-AE9A-D1FA3AF3EC04}"/>
    <cellStyle name="PrePop Units (2) 6 3" xfId="8633" xr:uid="{7B8DA0CB-77EA-4FDF-AFDD-F4C9956A52A0}"/>
    <cellStyle name="PrePop Units (2) 7" xfId="8634" xr:uid="{C576EF7A-A326-4F21-8176-A6DE9025C764}"/>
    <cellStyle name="PrePop Units (2) 7 2" xfId="8635" xr:uid="{E37D496E-1444-4120-A1BE-120B95D7907A}"/>
    <cellStyle name="PrePop Units (2) 7 3" xfId="8636" xr:uid="{3A040580-85A5-4521-B3EE-8D93AC2BB01A}"/>
    <cellStyle name="PrePop Units (2) 8" xfId="8637" xr:uid="{EF78FE0F-3114-4BE2-97CD-E1C18B4CF100}"/>
    <cellStyle name="PrePop Units (2) 8 2" xfId="8638" xr:uid="{569CCBC3-9C5C-4CA7-AAA7-FE1B05C20BF2}"/>
    <cellStyle name="PrePop Units (2) 8 3" xfId="8639" xr:uid="{1226349A-4F45-42FC-9E6B-8750F861013D}"/>
    <cellStyle name="PrePop Units (2) 9" xfId="8640" xr:uid="{D492138F-1879-4E28-91E4-9BD055B78D34}"/>
    <cellStyle name="PrePop Units (2) 9 2" xfId="8641" xr:uid="{5D658BCE-68DC-4B00-AB42-0F7A85245AFD}"/>
    <cellStyle name="PrePop Units (2) 9 3" xfId="8642" xr:uid="{1C4F9A3F-9413-4C99-96D3-CA04925AD788}"/>
    <cellStyle name="Presentation Currency" xfId="2057" xr:uid="{5EFCA8B4-5900-4DFD-B482-6206E658B848}"/>
    <cellStyle name="Presentation Currency." xfId="2058" xr:uid="{A8B62FC1-3F23-4E8D-A441-FBDDD7A4BFBB}"/>
    <cellStyle name="Presentation Currency. 2" xfId="2059" xr:uid="{B0FE522B-C61B-4715-9FB1-E05D75FC29AC}"/>
    <cellStyle name="Presentation Date" xfId="2060" xr:uid="{F0E089EB-8813-4267-BBE5-E95744212780}"/>
    <cellStyle name="Presentation Date." xfId="2061" xr:uid="{92E801E4-B6B9-4D32-9B2E-3CD83FAD43DA}"/>
    <cellStyle name="Presentation Date. 2" xfId="2062" xr:uid="{804FEBF3-38AC-426E-8039-C8D428873BB4}"/>
    <cellStyle name="Presentation Heading 1" xfId="2063" xr:uid="{82223A2D-E582-4543-9F2B-202048120C13}"/>
    <cellStyle name="Presentation Heading 1." xfId="2064" xr:uid="{715C27BF-18FA-4CF8-AF26-A7758D0F4EEE}"/>
    <cellStyle name="Presentation Heading 1. 2" xfId="2065" xr:uid="{0C95053C-A95E-4E0A-BEE5-A774B215C37B}"/>
    <cellStyle name="Presentation Heading 2" xfId="2066" xr:uid="{9FAFC3FB-FA98-46F6-B706-EA7902D609C3}"/>
    <cellStyle name="Presentation Heading 2." xfId="2067" xr:uid="{2FB10FC5-1BFF-42A9-AA34-22D049DBA58A}"/>
    <cellStyle name="Presentation Heading 2. 2" xfId="2068" xr:uid="{0BC716CE-DE0D-42D6-B36B-C85555F9E14C}"/>
    <cellStyle name="Presentation Heading 3" xfId="2069" xr:uid="{A45FABCB-0F27-4553-906C-98FF0979E68D}"/>
    <cellStyle name="Presentation Heading 3." xfId="2070" xr:uid="{D04F9BC9-6632-4EE6-8385-9C8AE010AA00}"/>
    <cellStyle name="Presentation Heading 3. 2" xfId="2071" xr:uid="{F4B380E7-D16D-4478-A863-227E49730B01}"/>
    <cellStyle name="Presentation Heading 4" xfId="2072" xr:uid="{DDECCE75-8D43-4CC9-BB98-E43DF6E2A6BB}"/>
    <cellStyle name="Presentation Heading 4." xfId="2073" xr:uid="{7AFA772C-F24C-4B30-96B6-3E53604F14EE}"/>
    <cellStyle name="Presentation Heading 4. 2" xfId="2074" xr:uid="{F12B8703-A43B-452D-BC4D-693F3CFF5B1D}"/>
    <cellStyle name="Presentation Hyperlink Arrow" xfId="2075" xr:uid="{6FBB2D13-873C-44FC-BB39-F4FDDABCE66B}"/>
    <cellStyle name="Presentation Hyperlink Arrow." xfId="2076" xr:uid="{8000FD8F-725C-40CC-8A50-938D9071B2B8}"/>
    <cellStyle name="Presentation Hyperlink Check" xfId="2077" xr:uid="{06602E3D-CE56-4FFE-A1E8-1E685855B0DE}"/>
    <cellStyle name="Presentation Hyperlink Check." xfId="2078" xr:uid="{C6B3282C-0AF8-4CE4-B9FC-BA19517E786D}"/>
    <cellStyle name="Presentation Hyperlink Text" xfId="2079" xr:uid="{78A061E7-B3CC-4F0A-98AE-E89F69369D58}"/>
    <cellStyle name="Presentation Hyperlink Text." xfId="2080" xr:uid="{1E5452A2-7E33-445D-A5F0-08B66E85A7F7}"/>
    <cellStyle name="Presentation Hyperlink Text. 2" xfId="2081" xr:uid="{E5047729-234A-4B53-BA5E-6116F734DE96}"/>
    <cellStyle name="Presentation Model Name" xfId="2082" xr:uid="{4028B963-0AB8-432F-9911-8A3485BC7A0B}"/>
    <cellStyle name="Presentation Model Name." xfId="2083" xr:uid="{40DD68DD-B233-4A24-9F2E-9F5775C9FCE0}"/>
    <cellStyle name="Presentation Model Name. 2" xfId="2084" xr:uid="{834A9F83-5489-4293-BCDE-6B11F879F2DD}"/>
    <cellStyle name="Presentation Multiple" xfId="2085" xr:uid="{0B798250-CE22-485E-ADA0-D455AFB98C23}"/>
    <cellStyle name="Presentation Multiple." xfId="2086" xr:uid="{50B8F342-5A84-4D9A-99ED-253FF9A7B391}"/>
    <cellStyle name="Presentation Multiple. 2" xfId="2087" xr:uid="{7D317F88-BD18-4C2D-A90C-A6FE8445AE1C}"/>
    <cellStyle name="Presentation Normal" xfId="2088" xr:uid="{92130728-B08B-4DCA-88DD-8B6486F30474}"/>
    <cellStyle name="Presentation Normal." xfId="2089" xr:uid="{B71ADD9A-58F1-4636-BEB0-444474BDF371}"/>
    <cellStyle name="Presentation Normal. 2" xfId="2090" xr:uid="{76C8E6BE-B2A9-40FA-A048-33A46380B826}"/>
    <cellStyle name="Presentation Number" xfId="2091" xr:uid="{A7658325-1C61-4BE5-AA8A-24A2CBCAA1B7}"/>
    <cellStyle name="Presentation Number." xfId="2092" xr:uid="{8E2DAAD7-3B9B-4B40-AC7A-F638881F19F1}"/>
    <cellStyle name="Presentation Number. 2" xfId="2093" xr:uid="{D875013A-B0ED-4E25-BC94-D9007171990F}"/>
    <cellStyle name="Presentation Percentage" xfId="2094" xr:uid="{B51DF6B1-AE4B-4615-A866-A30C465BA287}"/>
    <cellStyle name="Presentation Percentage." xfId="2095" xr:uid="{E9DBBA60-F38A-44AE-8ECF-7B4341F1ECB7}"/>
    <cellStyle name="Presentation Percentage. 2" xfId="2096" xr:uid="{723AB797-E826-4EE1-AF55-C441C06174B2}"/>
    <cellStyle name="Presentation Period Title" xfId="2097" xr:uid="{72EE4BA3-0C53-4799-B473-18BE4603ED11}"/>
    <cellStyle name="Presentation Period Title." xfId="2098" xr:uid="{2690C95E-1FBE-4C17-B5D1-861ADB5C596B}"/>
    <cellStyle name="Presentation Period Title. 2" xfId="2099" xr:uid="{66290D1C-7ADE-405C-AF20-931233F4391A}"/>
    <cellStyle name="Presentation Section Number" xfId="2100" xr:uid="{45469B25-98EB-487C-9916-595FBF479B94}"/>
    <cellStyle name="Presentation Section Number." xfId="2101" xr:uid="{7889CF8A-E0A1-4D2A-8F3C-D837A327D55B}"/>
    <cellStyle name="Presentation Section Number. 2" xfId="2102" xr:uid="{047121D9-FF38-4D34-844C-F8CC65296E71}"/>
    <cellStyle name="Presentation Sheet Title" xfId="2103" xr:uid="{F7470EC8-31CA-4148-BA18-E721FBBA6EE1}"/>
    <cellStyle name="Presentation Sheet Title." xfId="2104" xr:uid="{83B8AA95-C88B-423C-9316-17CA138118E5}"/>
    <cellStyle name="Presentation Sheet Title. 2" xfId="2105" xr:uid="{AFC21F69-328B-47FD-907C-A541B8F1CB8F}"/>
    <cellStyle name="Presentation Sub Total." xfId="2106" xr:uid="{0F56DFD2-478A-4EBA-81F8-2CB744A38A0C}"/>
    <cellStyle name="Presentation Sub Total. 2" xfId="2107" xr:uid="{B703A36C-6A46-4CA2-B0C6-6875D9277E51}"/>
    <cellStyle name="Presentation TOC 1." xfId="2108" xr:uid="{C5E306A7-57C8-4551-930A-2CEFD312BABE}"/>
    <cellStyle name="Presentation TOC 1. 2" xfId="2109" xr:uid="{F38A9B83-2026-4C11-96FA-3E394F189EDD}"/>
    <cellStyle name="Presentation TOC 2." xfId="2110" xr:uid="{BF2924C1-F583-4B4C-93F4-37B9D0339447}"/>
    <cellStyle name="Presentation TOC 2. 2" xfId="2111" xr:uid="{61626E38-07AB-41E4-B9D7-18805C57C752}"/>
    <cellStyle name="Presentation TOC 3." xfId="2112" xr:uid="{88DDB428-CC0A-42E8-A476-D8266C082B56}"/>
    <cellStyle name="Presentation TOC 3. 2" xfId="2113" xr:uid="{FA330A6A-DC31-4317-8A3F-490D63DFE6BE}"/>
    <cellStyle name="Presentation TOC 4." xfId="2114" xr:uid="{BEEFEDF1-0F3F-4D38-A3E9-307F3FAA7ABF}"/>
    <cellStyle name="Presentation TOC 4. 2" xfId="2115" xr:uid="{43035DA5-7FB0-4EF9-9A44-E9996F73086F}"/>
    <cellStyle name="Presentation Year" xfId="2116" xr:uid="{7F75EDDE-94C9-498B-B5A9-3FB08EBFBBC4}"/>
    <cellStyle name="Presentation Year." xfId="2117" xr:uid="{AD57AF37-5104-4379-8182-154D540983AA}"/>
    <cellStyle name="Presentation Year. 2" xfId="2118" xr:uid="{366B51BC-1104-4693-8C6B-03AB7B4E8DD2}"/>
    <cellStyle name="Proportion" xfId="2119" xr:uid="{0FD6FAD4-2CCF-46B9-84A0-D125ECCB1651}"/>
    <cellStyle name="PROTECT" xfId="8833" xr:uid="{29071A57-2405-4ECA-B674-76060C7229A4}"/>
    <cellStyle name="PROTECT 2" xfId="8943" xr:uid="{D9013AD1-A5B6-4413-8775-F0BD2B716B9D}"/>
    <cellStyle name="PROTECT 2 2" xfId="9020" xr:uid="{9E90C91F-DB97-4719-A7CB-4DD1C0C7129D}"/>
    <cellStyle name="PROTECT 3" xfId="9018" xr:uid="{4CCCDD4B-B131-447A-B25E-02777FE6B3EB}"/>
    <cellStyle name="PSChar" xfId="225" xr:uid="{74C2D118-0F69-409B-9733-C203EF35958C}"/>
    <cellStyle name="PSChar 2" xfId="3944" xr:uid="{70151FBA-0DE5-465A-BC14-F6EEE49075EE}"/>
    <cellStyle name="PSChar 2 2" xfId="8643" xr:uid="{3CC626CA-C519-44CC-A2DF-8F86D964F3D0}"/>
    <cellStyle name="PSChar 3" xfId="3677" xr:uid="{B0EC6942-E059-452F-AF41-3F4DAE944020}"/>
    <cellStyle name="PSDate" xfId="226" xr:uid="{574276A0-82AC-4F15-96D1-BB07EDC51340}"/>
    <cellStyle name="PSDate 2" xfId="8644" xr:uid="{CACF18DD-FAD5-49CB-BB5E-4B94DE318F84}"/>
    <cellStyle name="PSDate 3" xfId="8645" xr:uid="{23D5EE5D-D28F-4C63-B78F-7A70E0FEFA36}"/>
    <cellStyle name="PSDec" xfId="227" xr:uid="{3FA8618C-B8BF-4B33-B0B1-51438ECCAA9C}"/>
    <cellStyle name="PSDec 2" xfId="8646" xr:uid="{D49075A6-91DB-465D-BDC1-3A1A0DC2A1CF}"/>
    <cellStyle name="PSDetail" xfId="228" xr:uid="{29C1301D-C33B-4E56-B8BE-5D75CD0A8561}"/>
    <cellStyle name="PSDetail 2" xfId="2120" xr:uid="{2B0D7C45-F9F1-4F85-BD0F-07DB4B4D2E3B}"/>
    <cellStyle name="PSDetail 2 2" xfId="2836" xr:uid="{6D5B1D72-8BE9-4A44-9C7B-CEBAAEA4C88F}"/>
    <cellStyle name="PSDetail 3" xfId="2523" xr:uid="{A5128F80-5534-49AD-8859-D3069C4D055C}"/>
    <cellStyle name="PSHeading" xfId="229" xr:uid="{D4301440-3A55-49E9-95A9-C48F2470AF11}"/>
    <cellStyle name="PSHeading 10" xfId="9084" xr:uid="{C5CF0BB8-163D-49AD-B4D6-D5BFA9B1FC5E}"/>
    <cellStyle name="PSHeading 10 2" xfId="18130" xr:uid="{7DDE6808-2E23-49D8-89A4-6713B94B56FC}"/>
    <cellStyle name="PSHeading 11" xfId="9743" xr:uid="{8A1FDDB3-AB05-473F-8EDE-FDA827B777E5}"/>
    <cellStyle name="PSHeading 11 2" xfId="18789" xr:uid="{8A019E78-A197-4FE1-AA67-E713F1CA4A89}"/>
    <cellStyle name="PSHeading 12" xfId="12491" xr:uid="{62E5F45D-4915-492E-BDAD-43E42B6FF625}"/>
    <cellStyle name="PSHeading 12 2" xfId="21538" xr:uid="{0B7BC0E7-2048-4CC5-87CE-1429E509B095}"/>
    <cellStyle name="PSHeading 13" xfId="23786" xr:uid="{B9F4A82F-FF72-448A-8D49-D911B83F1C60}"/>
    <cellStyle name="PSHeading 14" xfId="600" xr:uid="{6A1B66C9-CF5C-4E2B-A27E-D37400DCB594}"/>
    <cellStyle name="PSHeading 2" xfId="551" xr:uid="{DFBF754B-994B-4F93-9D8E-062F8B609B89}"/>
    <cellStyle name="PSHeading 2 10" xfId="9101" xr:uid="{4213A07D-8147-4B85-A054-88B6F557C993}"/>
    <cellStyle name="PSHeading 2 10 2" xfId="18147" xr:uid="{80E99F3E-B6C5-44F8-B11D-809E80652112}"/>
    <cellStyle name="PSHeading 2 11" xfId="12492" xr:uid="{9CFA8B7A-AA99-4243-B93A-A315D3946C65}"/>
    <cellStyle name="PSHeading 2 11 2" xfId="21539" xr:uid="{0455FA47-BFAF-417E-BEE7-6239F9BF058C}"/>
    <cellStyle name="PSHeading 2 12" xfId="2886" xr:uid="{31E7C00B-0E2F-4B5D-A3BC-AA60EAEE9D73}"/>
    <cellStyle name="PSHeading 2 2" xfId="552" xr:uid="{62148D0E-5AA3-468E-B29B-1E62F9D2D9E2}"/>
    <cellStyle name="PSHeading 2 2 10" xfId="3473" xr:uid="{366FC1BA-AF85-4EB3-A157-DE81C6489D26}"/>
    <cellStyle name="PSHeading 2 2 2" xfId="4707" xr:uid="{68B3F557-51A3-48EA-B1FC-32B9FB7DB98B}"/>
    <cellStyle name="PSHeading 2 2 2 2" xfId="10564" xr:uid="{881713A4-129C-4C7E-B192-848613982142}"/>
    <cellStyle name="PSHeading 2 2 2 2 2" xfId="19610" xr:uid="{4C37A424-AC43-4D5C-963E-6071E2A95088}"/>
    <cellStyle name="PSHeading 2 2 2 3" xfId="16124" xr:uid="{7F797F75-3950-47A2-BC0D-B4D8B78DDA61}"/>
    <cellStyle name="PSHeading 2 2 3" xfId="5208" xr:uid="{4358AB04-63BA-45E3-B6AE-84E37EF7DCF7}"/>
    <cellStyle name="PSHeading 2 2 3 2" xfId="11061" xr:uid="{8277E082-65EA-4781-A4F5-EE8DBE59424A}"/>
    <cellStyle name="PSHeading 2 2 3 2 2" xfId="20107" xr:uid="{B2F597D4-67A1-429D-AFD1-525F3B585242}"/>
    <cellStyle name="PSHeading 2 2 3 3" xfId="16621" xr:uid="{3F246E5F-2835-422A-945F-5353215D8DA2}"/>
    <cellStyle name="PSHeading 2 2 4" xfId="5823" xr:uid="{EDDA16E7-18D5-4A23-9B81-F4FD212199E3}"/>
    <cellStyle name="PSHeading 2 2 4 2" xfId="11676" xr:uid="{ADBC161B-A207-4C39-9356-9A3210A5CC0D}"/>
    <cellStyle name="PSHeading 2 2 4 2 2" xfId="20722" xr:uid="{D984BE30-1119-4E8B-9125-00E84F57084E}"/>
    <cellStyle name="PSHeading 2 2 4 3" xfId="17236" xr:uid="{8E2459CD-14DD-438C-BAFE-84BACD32957B}"/>
    <cellStyle name="PSHeading 2 2 5" xfId="6434" xr:uid="{E6AF79A6-FF32-4544-80E9-C79BA4B1FB19}"/>
    <cellStyle name="PSHeading 2 2 5 2" xfId="12281" xr:uid="{825199B4-4BA6-4F60-97C3-44033BF59597}"/>
    <cellStyle name="PSHeading 2 2 5 2 2" xfId="21327" xr:uid="{479DB2C8-17FE-4E83-B50C-957D94C72007}"/>
    <cellStyle name="PSHeading 2 2 5 3" xfId="17847" xr:uid="{9A01A4BB-7B53-46B5-B9ED-147118837A37}"/>
    <cellStyle name="PSHeading 2 2 6" xfId="9695" xr:uid="{D7DF6C5A-86E2-47D4-B52D-A9088A685EF6}"/>
    <cellStyle name="PSHeading 2 2 6 2" xfId="18741" xr:uid="{0B110A92-EA23-4093-88D6-DE728897BE87}"/>
    <cellStyle name="PSHeading 2 2 7" xfId="13093" xr:uid="{3288FCCC-FEC2-4354-A7A5-12E2AC1530F2}"/>
    <cellStyle name="PSHeading 2 2 8" xfId="14289" xr:uid="{BA4E16E9-024E-4D31-8EAF-682C1C5604C1}"/>
    <cellStyle name="PSHeading 2 2 9" xfId="15264" xr:uid="{7761FB64-5134-4E82-A117-05A9EBACE08D}"/>
    <cellStyle name="PSHeading 2 3" xfId="3945" xr:uid="{C69367C4-7B1D-4711-ADC1-225EE7F6FFF6}"/>
    <cellStyle name="PSHeading 2 3 2" xfId="9834" xr:uid="{AE7E59A5-7A15-4918-BB97-222B65BB38A9}"/>
    <cellStyle name="PSHeading 2 3 2 2" xfId="18880" xr:uid="{BBB864C9-309E-4535-A0AD-C6E7255E7BDD}"/>
    <cellStyle name="PSHeading 2 3 3" xfId="14597" xr:uid="{600C3E3A-C813-4E80-9BB9-EA8BAFC82F9A}"/>
    <cellStyle name="PSHeading 2 3 4" xfId="15396" xr:uid="{2122F92D-7213-407A-9C0E-D3CB20C48A4A}"/>
    <cellStyle name="PSHeading 2 3 5" xfId="23564" xr:uid="{70DF5EC8-2238-4F9C-8975-B31D52C2DE8C}"/>
    <cellStyle name="PSHeading 2 4" xfId="4057" xr:uid="{9CF5F903-9384-44EF-81CB-FC089235FAAD}"/>
    <cellStyle name="PSHeading 2 4 2" xfId="9914" xr:uid="{B38DB4BD-6E61-4BA1-8D08-854DFA951B45}"/>
    <cellStyle name="PSHeading 2 4 2 2" xfId="18960" xr:uid="{5C974444-FC5F-4F43-A4BF-F6265AC857D3}"/>
    <cellStyle name="PSHeading 2 4 3" xfId="14598" xr:uid="{6CFF3115-2FB3-439A-BFC2-1780DAAC3279}"/>
    <cellStyle name="PSHeading 2 4 4" xfId="23671" xr:uid="{526FA66A-4405-436F-B697-CEE2E771D2FB}"/>
    <cellStyle name="PSHeading 2 5" xfId="4299" xr:uid="{B048808B-1D70-4218-928E-82F2B0D29272}"/>
    <cellStyle name="PSHeading 2 5 2" xfId="10156" xr:uid="{DC3081E6-FEE4-48B3-86BE-366A4E3850F8}"/>
    <cellStyle name="PSHeading 2 5 2 2" xfId="19202" xr:uid="{5FFB0953-5E46-4277-B90D-BD7B9240F5B2}"/>
    <cellStyle name="PSHeading 2 5 3" xfId="14616" xr:uid="{805158C7-F2F1-4E3E-89B6-71E2AFBA3B90}"/>
    <cellStyle name="PSHeading 2 5 4" xfId="15716" xr:uid="{9A41BE7F-AD41-45A9-8FC3-619F0B6CBB80}"/>
    <cellStyle name="PSHeading 2 6" xfId="9014" xr:uid="{136EF9C3-9BA9-4E0E-B79C-7A076C0322F4}"/>
    <cellStyle name="PSHeading 2 6 2" xfId="14632" xr:uid="{31CBB33E-5E9E-4713-98D0-5665BA5469ED}"/>
    <cellStyle name="PSHeading 2 6 3" xfId="18062" xr:uid="{563D65F6-EC25-4EA6-96D0-E74BCDC51904}"/>
    <cellStyle name="PSHeading 2 7" xfId="9021" xr:uid="{02EEB6BC-4D05-471E-AE71-E000EA348EDE}"/>
    <cellStyle name="PSHeading 2 7 2" xfId="14648" xr:uid="{FB6D961B-B4DE-49CD-9D1B-BC699D57F523}"/>
    <cellStyle name="PSHeading 2 7 3" xfId="18067" xr:uid="{D92C1DF9-2BAA-48E2-AF4D-28B194556E8A}"/>
    <cellStyle name="PSHeading 2 8" xfId="9059" xr:uid="{7E5CD62D-4FAD-4361-AB03-413DA546B2F0}"/>
    <cellStyle name="PSHeading 2 8 2" xfId="18106" xr:uid="{FD6FB0EC-BA99-4013-B186-196C2F0DF335}"/>
    <cellStyle name="PSHeading 2 9" xfId="9083" xr:uid="{08E955C7-AEBF-454E-9C45-F147A03C3FCF}"/>
    <cellStyle name="PSHeading 2 9 2" xfId="18129" xr:uid="{83B57401-DE3A-468B-8803-B683881B93ED}"/>
    <cellStyle name="PSHeading 3" xfId="553" xr:uid="{ADF8BA8C-EF16-441F-8C32-42D4DB831180}"/>
    <cellStyle name="PSHeading 3 10" xfId="3318" xr:uid="{7E2C3AC3-4EBA-4E1A-8D9A-B6046EAA53FB}"/>
    <cellStyle name="PSHeading 3 2" xfId="554" xr:uid="{17C2A2C0-D94C-4F46-B7D8-F40DAB3216D6}"/>
    <cellStyle name="PSHeading 3 2 2" xfId="555" xr:uid="{FF23A4F9-2692-44B0-83DF-9E43AA8D0775}"/>
    <cellStyle name="PSHeading 3 2 2 2" xfId="19444" xr:uid="{E9311BFF-1CBE-4878-850B-71B5071A19B2}"/>
    <cellStyle name="PSHeading 3 2 2 3" xfId="10398" xr:uid="{CC9653A0-8709-4522-A805-AF2490690ED8}"/>
    <cellStyle name="PSHeading 3 2 3" xfId="15958" xr:uid="{2843C78F-C449-4156-86E4-370FDB8433B6}"/>
    <cellStyle name="PSHeading 3 2 4" xfId="4541" xr:uid="{E1954529-85DD-42FF-B00B-0D4CB4698C42}"/>
    <cellStyle name="PSHeading 3 3" xfId="5042" xr:uid="{3CA85304-6849-4B67-8DB1-88A11F5336C8}"/>
    <cellStyle name="PSHeading 3 3 2" xfId="10895" xr:uid="{A7BB4024-0111-4EFC-AB14-DF68F6955FC9}"/>
    <cellStyle name="PSHeading 3 3 2 2" xfId="19941" xr:uid="{7EC82C6B-E4FF-490C-84B9-E47FA08DAC8F}"/>
    <cellStyle name="PSHeading 3 3 3" xfId="16455" xr:uid="{366255DA-8834-4F92-9203-C4A0899AFE3B}"/>
    <cellStyle name="PSHeading 3 4" xfId="5657" xr:uid="{01D4F0EE-AF4B-4383-8644-F917837E9738}"/>
    <cellStyle name="PSHeading 3 4 2" xfId="11510" xr:uid="{F804643C-F558-4B08-9556-63EC9A1A4309}"/>
    <cellStyle name="PSHeading 3 4 2 2" xfId="20556" xr:uid="{52AD9AA9-807F-4A36-BB45-55392D27011C}"/>
    <cellStyle name="PSHeading 3 4 3" xfId="17070" xr:uid="{BC94E125-F352-4550-A7CF-96CD133EE739}"/>
    <cellStyle name="PSHeading 3 5" xfId="6268" xr:uid="{206D9CC1-A5B0-400C-B48F-EE2AEEB664CA}"/>
    <cellStyle name="PSHeading 3 5 2" xfId="12115" xr:uid="{8D5939C0-7BA2-4FA9-A023-FCE57158797C}"/>
    <cellStyle name="PSHeading 3 5 2 2" xfId="21161" xr:uid="{D6CA6C06-FFC9-4DB0-AC73-3038DA0EC801}"/>
    <cellStyle name="PSHeading 3 5 3" xfId="17681" xr:uid="{9605A002-419B-43AB-A4BE-D23C12BE82B1}"/>
    <cellStyle name="PSHeading 3 6" xfId="9529" xr:uid="{7A467EBE-1FE5-4A51-8D31-66CB7BE8D61B}"/>
    <cellStyle name="PSHeading 3 6 2" xfId="18575" xr:uid="{9F63B03B-49F7-4BB7-9D8A-3C3C2BCE2704}"/>
    <cellStyle name="PSHeading 3 7" xfId="12927" xr:uid="{08927F8F-A583-42B3-9F11-65A7373F7A99}"/>
    <cellStyle name="PSHeading 3 8" xfId="14123" xr:uid="{BF81C03E-4CAF-4BAD-A5BE-953995434C4E}"/>
    <cellStyle name="PSHeading 3 9" xfId="15098" xr:uid="{B01B9507-2DFF-4721-94E1-FDB071D10EA3}"/>
    <cellStyle name="PSHeading 4" xfId="556" xr:uid="{257E16DF-65B5-41D4-B0E4-03CE3E290426}"/>
    <cellStyle name="PSHeading 4 2" xfId="9746" xr:uid="{5CA70664-98C3-4981-B43B-59246F8450E8}"/>
    <cellStyle name="PSHeading 4 2 2" xfId="18792" xr:uid="{5A4CF801-A2D7-48E0-AE60-FEE4E701400D}"/>
    <cellStyle name="PSHeading 4 3" xfId="14596" xr:uid="{172B29DE-CDB3-4392-A1FA-D4AC82966ADA}"/>
    <cellStyle name="PSHeading 4 4" xfId="15312" xr:uid="{3E72589F-7E4B-4279-859A-586FFEB16B38}"/>
    <cellStyle name="PSHeading 4 5" xfId="23563" xr:uid="{2036155C-695D-4484-8B9C-6A9AAB3238F2}"/>
    <cellStyle name="PSHeading 4 6" xfId="3678" xr:uid="{EDB8DE59-0ED2-4AD7-AB78-20ECD80AE49D}"/>
    <cellStyle name="PSHeading 5" xfId="4056" xr:uid="{AC8174D4-7A9B-4C7A-B6D6-0DE0AE1CDD70}"/>
    <cellStyle name="PSHeading 5 2" xfId="9913" xr:uid="{D01BA903-5994-4AE0-B983-00DE925AEE9E}"/>
    <cellStyle name="PSHeading 5 2 2" xfId="18959" xr:uid="{BBB9035B-422C-4EE8-B007-DEBF56E3C317}"/>
    <cellStyle name="PSHeading 5 3" xfId="14599" xr:uid="{09BA5BDC-DCF4-4254-BCCC-EAA8732F1947}"/>
    <cellStyle name="PSHeading 5 4" xfId="23670" xr:uid="{EB33D80A-AD4B-464F-B7E9-1A15BF77883A}"/>
    <cellStyle name="PSHeading 6" xfId="4184" xr:uid="{5B251C3A-7B8C-4471-A459-DB5EADD3DB59}"/>
    <cellStyle name="PSHeading 6 2" xfId="10041" xr:uid="{CC9D6AC0-BD48-4ABF-9A37-5222C5E561B5}"/>
    <cellStyle name="PSHeading 6 2 2" xfId="19087" xr:uid="{F9A1C256-153B-467B-BCBD-7620263CF1DB}"/>
    <cellStyle name="PSHeading 6 3" xfId="14617" xr:uid="{8B3D8E40-07F9-440D-BE54-622266771D38}"/>
    <cellStyle name="PSHeading 6 4" xfId="15601" xr:uid="{9248AEC8-F0F1-4A7B-A894-37932610C176}"/>
    <cellStyle name="PSHeading 7" xfId="9013" xr:uid="{13458D3E-E49E-4B4B-A778-F75402472BAF}"/>
    <cellStyle name="PSHeading 7 2" xfId="14633" xr:uid="{DD799376-022C-4709-90AE-4637570BD546}"/>
    <cellStyle name="PSHeading 7 3" xfId="18061" xr:uid="{968AB8A0-98E9-49DB-B0A0-23961B405032}"/>
    <cellStyle name="PSHeading 8" xfId="9022" xr:uid="{D38BA4C5-A894-4D4D-8247-B7657B2C1551}"/>
    <cellStyle name="PSHeading 8 2" xfId="14649" xr:uid="{716646B5-9C72-46C9-AEE6-194EAB04C6A1}"/>
    <cellStyle name="PSHeading 8 3" xfId="18068" xr:uid="{7B65F58F-5672-4061-8950-625FAF05DE51}"/>
    <cellStyle name="PSHeading 9" xfId="9060" xr:uid="{CFC7E423-FD7D-4C81-A9C5-AD41D952C843}"/>
    <cellStyle name="PSHeading 9 2" xfId="18107" xr:uid="{01F78183-A4D2-4096-A3DC-64E270F0674D}"/>
    <cellStyle name="PSInt" xfId="230" xr:uid="{55B4201E-07F5-42BB-8630-03395C7951CD}"/>
    <cellStyle name="PSInt 2" xfId="8647" xr:uid="{D0A9FA46-B4CB-41AF-841C-D2405F47DF87}"/>
    <cellStyle name="PSSpacer" xfId="231" xr:uid="{2EC8ED77-3964-49DF-953F-2168D4F6A3AC}"/>
    <cellStyle name="PSSpacer 2" xfId="3946" xr:uid="{FE08E30B-0E00-4541-857D-73CE78907E3E}"/>
    <cellStyle name="PSSpacer 3" xfId="3679" xr:uid="{D2E47D6D-B87E-42BF-9425-F5DB5F08CC8C}"/>
    <cellStyle name="PTFM-Normal" xfId="8648" xr:uid="{24600F33-70CC-43F0-A51A-4569CBE100AF}"/>
    <cellStyle name="PTFM-UnitsonIssue" xfId="8649" xr:uid="{712722A5-1878-45F0-916A-D36E3E135076}"/>
    <cellStyle name="Quarter" xfId="2121" xr:uid="{45063BFC-8382-468B-8DFF-4C5CC68C5E79}"/>
    <cellStyle name="Range Name Description" xfId="2446" xr:uid="{53C2D908-8C79-4B28-B1BE-7B75421D3F96}"/>
    <cellStyle name="Ratio" xfId="232" xr:uid="{737700C6-85D2-4793-A258-11D3A49D6A3D}"/>
    <cellStyle name="ratio - Style2" xfId="2122" xr:uid="{EA7184A6-BB14-4473-A19E-26B59701823F}"/>
    <cellStyle name="Ratio 2" xfId="233" xr:uid="{02448081-DFEB-49B1-A6F2-45E66E8E9784}"/>
    <cellStyle name="Ratio 3" xfId="601" xr:uid="{65AE5614-693B-4341-B3F9-85AF2828052C}"/>
    <cellStyle name="Ratio_1106 v1.4 MGH Corporate Model Hybrid v5c" xfId="2123" xr:uid="{1C3C6E60-604D-4EA3-9C25-4A093757C26C}"/>
    <cellStyle name="RedHeader" xfId="8650" xr:uid="{FC05EAA2-A077-473A-BBE2-8865F91EC7AA}"/>
    <cellStyle name="ReportData" xfId="8651" xr:uid="{2C712039-A587-477E-BEA0-FDB96F0807E8}"/>
    <cellStyle name="ReportElements" xfId="8652" xr:uid="{84FCC132-F46B-4293-9A71-0097EEC763FE}"/>
    <cellStyle name="ReportHeader" xfId="8653" xr:uid="{CBB883EF-F0D6-4DBD-A1DF-73779DE640F1}"/>
    <cellStyle name="ReportHeader 2" xfId="12423" xr:uid="{EA1BD258-BDE0-4114-BEC2-94DDD58F0F56}"/>
    <cellStyle name="ReportHeader 2 2" xfId="21470" xr:uid="{BA87B749-BCD6-404A-B410-90B3BFDD0BA2}"/>
    <cellStyle name="ReportHeader 2 3" xfId="23672" xr:uid="{3E50604A-ECF3-41E3-B2F0-30C75C162258}"/>
    <cellStyle name="ReportHeader 3" xfId="14539" xr:uid="{D0EE40C4-A0FE-469F-8DDD-0486294CE6A4}"/>
    <cellStyle name="ReportHeader 4" xfId="18001" xr:uid="{6101EE4A-143A-4087-9FF1-CB9419A46B3D}"/>
    <cellStyle name="ReportHeader 5" xfId="23475" xr:uid="{671432CC-DAE0-4F71-AD05-23BED2279345}"/>
    <cellStyle name="RevList" xfId="2124" xr:uid="{F9673F16-0499-4AC6-9353-BC7C042058DE}"/>
    <cellStyle name="Right Currency" xfId="2125" xr:uid="{D5E0FDD2-B814-48BD-9C2F-3022D15C434F}"/>
    <cellStyle name="Right Currency 2" xfId="2126" xr:uid="{9BB82CEF-4C0B-4F1C-BCD1-E1443BE50D4E}"/>
    <cellStyle name="Right Currency_7_11 Consolidated Budget Model 091123 bud" xfId="2127" xr:uid="{549F4C6A-DD58-4384-9316-9785751F8E5D}"/>
    <cellStyle name="Right Date" xfId="234" xr:uid="{F0E50796-BC93-464B-BA43-1BCE0E51C300}"/>
    <cellStyle name="Right Date 2" xfId="2129" xr:uid="{8953BF59-60D1-484A-B96F-BAF6B1EC5036}"/>
    <cellStyle name="Right Date 3" xfId="2128" xr:uid="{6595656C-5313-438B-9027-64492006AFED}"/>
    <cellStyle name="Right Date_6. Ass-Fin" xfId="2130" xr:uid="{C4A521A8-A946-49D5-9484-DD625EDC801B}"/>
    <cellStyle name="Right Multiple" xfId="2131" xr:uid="{B1825518-8744-4771-BDE5-BEC06F1FFDAA}"/>
    <cellStyle name="Right Multiple 2" xfId="2132" xr:uid="{4C762FB1-3A5A-4341-B57D-539B8F6B38BC}"/>
    <cellStyle name="Right Multiple_7_11 Consolidated Budget Model 091123 bud" xfId="2133" xr:uid="{AD7720F0-C88C-410E-9DF9-C741299513F8}"/>
    <cellStyle name="Right Number" xfId="235" xr:uid="{F43F312D-719F-46F1-BB2B-95D45AD70926}"/>
    <cellStyle name="Right Number 2" xfId="2134" xr:uid="{C60EC3CD-16C7-4D65-B505-18376497371D}"/>
    <cellStyle name="Right Number_7_11 Consolidated Budget Model 091123 bud" xfId="2135" xr:uid="{B7C0E980-9C59-4CF0-9216-776C68D34743}"/>
    <cellStyle name="Right Percentage" xfId="2136" xr:uid="{66D82EAB-F898-4FEB-9F4D-E1DB701F2979}"/>
    <cellStyle name="Right Percentage 2" xfId="2137" xr:uid="{14B9848B-4E97-4BFD-B14A-D85DA29B5A78}"/>
    <cellStyle name="Right Percentage_7_11 Consolidated Budget Model 091123 bud" xfId="2138" xr:uid="{B1571FE1-CD55-4127-91A1-F7ACF009490D}"/>
    <cellStyle name="Right Year" xfId="236" xr:uid="{BB3B299B-280A-42FB-BB88-A17E5979C6B7}"/>
    <cellStyle name="Right Year 2" xfId="2139" xr:uid="{B5643DE5-9BD3-475F-AF76-C25CE009CB0D}"/>
    <cellStyle name="Right Year_7_11 Consolidated Budget Model 091123 bud" xfId="2140" xr:uid="{7C27ADA9-8D76-48AE-8E28-20E7F5E19944}"/>
    <cellStyle name="RIN_Input$_3dp" xfId="557" xr:uid="{5B9E15DF-9779-47FF-8564-BEA6C1909A33}"/>
    <cellStyle name="Row - Heading" xfId="8654" xr:uid="{200D9EDB-B771-4E42-B076-424C67DE28BD}"/>
    <cellStyle name="Row - SubHeading" xfId="8655" xr:uid="{898D9A53-CE9A-472C-B17A-8C920245184E}"/>
    <cellStyle name="Row Ref" xfId="2447" xr:uid="{88529E96-57BD-41BF-A390-A500D0A8674A}"/>
    <cellStyle name="Row_Summary" xfId="2265" xr:uid="{2F2634D2-9C2E-4B94-A7BE-F9437DC89C69}"/>
    <cellStyle name="rt" xfId="2141" xr:uid="{AF683B5D-04BE-40D9-87AB-9ECC284D2642}"/>
    <cellStyle name="Salomon Logo" xfId="2142" xr:uid="{DBFAA532-3B7B-468B-8D21-4E0D7720DE62}"/>
    <cellStyle name="Salomon Logo 2" xfId="2143" xr:uid="{B9DFA141-018D-427D-8E16-99F9309D1A7A}"/>
    <cellStyle name="Salomon Logo 2 2" xfId="2144" xr:uid="{F0087195-99E9-4466-AD51-47CC1897AA8F}"/>
    <cellStyle name="Salomon Logo 3" xfId="2145" xr:uid="{6D52C9AA-FBD8-4558-AF35-2CC5B1D65DDD}"/>
    <cellStyle name="Salomon Logo_6. Ass-Fin" xfId="2146" xr:uid="{15574FF0-FCFF-4F91-91B2-40662AAA35DB}"/>
    <cellStyle name="SAPBEXaggData" xfId="8834" xr:uid="{B06449E7-FFCE-4056-8E64-8B64A6405547}"/>
    <cellStyle name="SAPBEXaggData 2" xfId="12440" xr:uid="{F459A5D8-3B30-4C89-BF62-833E51AC65FA}"/>
    <cellStyle name="SAPBEXaggData 2 2" xfId="21487" xr:uid="{07D0572B-1B4C-4DF8-B174-7E1790F00B9A}"/>
    <cellStyle name="SAPBEXaggData 2 3" xfId="23686" xr:uid="{5433FC7C-0A9B-4133-994E-8D59CD29131D}"/>
    <cellStyle name="SAPBEXaggData 3" xfId="14554" xr:uid="{07FF1872-BBE1-498C-BD27-B703ABF8E786}"/>
    <cellStyle name="SAPBEXaggData 4" xfId="18019" xr:uid="{78DD48BB-38C1-4B0D-995E-788DE368BD92}"/>
    <cellStyle name="SAPBEXaggData 5" xfId="23489" xr:uid="{9ADF6E70-10E7-4DA0-AF14-1C837BFAA33D}"/>
    <cellStyle name="SAPBEXaggDataEmph" xfId="8835" xr:uid="{40DB4B02-4C83-4A0A-A71E-60869ECB64F9}"/>
    <cellStyle name="SAPBEXaggDataEmph 2" xfId="12441" xr:uid="{BBEA208B-337F-4173-89EE-C41CE4519537}"/>
    <cellStyle name="SAPBEXaggDataEmph 2 2" xfId="21488" xr:uid="{32548537-B5B0-4258-BBD0-400FD7253D71}"/>
    <cellStyle name="SAPBEXaggDataEmph 2 3" xfId="23687" xr:uid="{11CBF4A6-E82C-4C83-9B3D-C654963286B7}"/>
    <cellStyle name="SAPBEXaggDataEmph 3" xfId="14555" xr:uid="{24DD734F-54F3-44B6-8182-739594CF486D}"/>
    <cellStyle name="SAPBEXaggDataEmph 4" xfId="18020" xr:uid="{6F1F9C7C-3093-4664-9C2C-215B9F4DF2D2}"/>
    <cellStyle name="SAPBEXaggDataEmph 5" xfId="23490" xr:uid="{6DF2A26C-C953-4B3A-8CF5-8C2748F2A9B9}"/>
    <cellStyle name="SAPBEXaggItem" xfId="8836" xr:uid="{222274B4-96DC-433C-B0F0-5701B87E08B8}"/>
    <cellStyle name="SAPBEXaggItem 2" xfId="12442" xr:uid="{DC29C0B2-8098-4537-BE7A-EEE7569CFEB1}"/>
    <cellStyle name="SAPBEXaggItem 2 2" xfId="21489" xr:uid="{BBDE8D14-FA13-47C6-8AFA-E2CCCA1E10F4}"/>
    <cellStyle name="SAPBEXaggItem 2 3" xfId="23688" xr:uid="{6C71742E-7F9D-45E9-85B1-98BF06C80974}"/>
    <cellStyle name="SAPBEXaggItem 3" xfId="14556" xr:uid="{7EE55ED3-775A-4188-81BA-4F1A233C4667}"/>
    <cellStyle name="SAPBEXaggItem 4" xfId="18021" xr:uid="{0C539EAC-1BF8-4081-9586-F3E2A238B7AD}"/>
    <cellStyle name="SAPBEXaggItem 5" xfId="23491" xr:uid="{F177D5BD-E617-4997-871B-EC368FB3D2C8}"/>
    <cellStyle name="SAPBEXaggItemX" xfId="8837" xr:uid="{071688DE-ACFB-4CB1-9666-EFAA3166CD7C}"/>
    <cellStyle name="SAPBEXaggItemX 2" xfId="12443" xr:uid="{658331EB-1CAD-438F-B8AA-D753948ED0CC}"/>
    <cellStyle name="SAPBEXaggItemX 2 2" xfId="21490" xr:uid="{E3E2625F-DD2F-401F-BB5F-F833A90137A8}"/>
    <cellStyle name="SAPBEXaggItemX 2 3" xfId="23689" xr:uid="{D09E793C-4C74-434C-9F1E-25E62077186E}"/>
    <cellStyle name="SAPBEXaggItemX 3" xfId="14557" xr:uid="{882F4CB0-0092-452F-A330-536CC2EF1F6E}"/>
    <cellStyle name="SAPBEXaggItemX 4" xfId="18022" xr:uid="{F8A56C62-99B8-43F9-AB82-BA341F3DD7B0}"/>
    <cellStyle name="SAPBEXaggItemX 5" xfId="23492" xr:uid="{C7D10558-BFD5-4502-9417-E06B46AA4510}"/>
    <cellStyle name="SAPBEXchaText" xfId="8838" xr:uid="{D8711D62-B58C-45A1-91B9-3F469152110E}"/>
    <cellStyle name="SAPBEXchaText 2" xfId="12444" xr:uid="{38CBD370-89ED-4212-ACCD-D370FA5C5FD6}"/>
    <cellStyle name="SAPBEXchaText 2 2" xfId="21491" xr:uid="{FB55E6CD-F23C-49FD-981B-576FAE714E95}"/>
    <cellStyle name="SAPBEXchaText 2 3" xfId="23690" xr:uid="{74441398-48E0-42E4-A20E-D87EF4E8C010}"/>
    <cellStyle name="SAPBEXchaText 3" xfId="14558" xr:uid="{F0CC01D1-1FBC-427F-99EB-59AD29AE538D}"/>
    <cellStyle name="SAPBEXchaText 4" xfId="18023" xr:uid="{85DD0BED-96D5-4F1E-8D99-710C482E19F5}"/>
    <cellStyle name="SAPBEXchaText 5" xfId="23493" xr:uid="{88A3B5C6-9AD6-4D61-973C-A991596F36AB}"/>
    <cellStyle name="SAPBEXexcBad7" xfId="8839" xr:uid="{E833FA05-C892-4AFF-A9FF-29AD50F2FB0E}"/>
    <cellStyle name="SAPBEXexcBad7 2" xfId="12445" xr:uid="{54AC1941-0981-450D-8F11-7305F3A61239}"/>
    <cellStyle name="SAPBEXexcBad7 2 2" xfId="21492" xr:uid="{4089FF0F-13AB-4376-B4A0-A22BEF2D1178}"/>
    <cellStyle name="SAPBEXexcBad7 2 3" xfId="23691" xr:uid="{F2DE0216-4318-4184-A041-E119480493B0}"/>
    <cellStyle name="SAPBEXexcBad7 3" xfId="14559" xr:uid="{A05AC76A-3A2D-4EB0-847E-89189946EBA1}"/>
    <cellStyle name="SAPBEXexcBad7 4" xfId="18024" xr:uid="{82FF6FD2-4793-4686-A121-54036AA6B1F2}"/>
    <cellStyle name="SAPBEXexcBad7 5" xfId="23494" xr:uid="{8EC167F9-5F7F-4D15-8ADF-9DE9BDA143A4}"/>
    <cellStyle name="SAPBEXexcBad8" xfId="8840" xr:uid="{DA3CADA2-249F-4FAB-9FC8-DD4610FFADC3}"/>
    <cellStyle name="SAPBEXexcBad8 2" xfId="12446" xr:uid="{E3A72511-58AF-4A37-839B-688B2337854A}"/>
    <cellStyle name="SAPBEXexcBad8 2 2" xfId="21493" xr:uid="{FF31AC90-EAB2-4DB2-8376-2B5AD13C4B94}"/>
    <cellStyle name="SAPBEXexcBad8 2 3" xfId="23692" xr:uid="{9A4A8FD8-9300-4F10-B464-AD4EF1190EFA}"/>
    <cellStyle name="SAPBEXexcBad8 3" xfId="14560" xr:uid="{C2B97BA1-5239-4E52-9BF9-B99020A49C0F}"/>
    <cellStyle name="SAPBEXexcBad8 4" xfId="18025" xr:uid="{098C9204-E36F-429A-B9CF-6184D4F49D87}"/>
    <cellStyle name="SAPBEXexcBad8 5" xfId="23495" xr:uid="{57AC3636-86E1-4CD2-A939-EF8ED4884260}"/>
    <cellStyle name="SAPBEXexcBad9" xfId="8841" xr:uid="{99464F71-2302-4EED-894F-4F9D8153B462}"/>
    <cellStyle name="SAPBEXexcBad9 2" xfId="12447" xr:uid="{DD36803F-5255-49E2-9D5F-1A28B9B27760}"/>
    <cellStyle name="SAPBEXexcBad9 2 2" xfId="21494" xr:uid="{58E87BDC-ED5C-444C-BA6F-21EFC13E8240}"/>
    <cellStyle name="SAPBEXexcBad9 2 3" xfId="23693" xr:uid="{6760012E-47DA-4A7C-AD87-CEBF6151F73F}"/>
    <cellStyle name="SAPBEXexcBad9 3" xfId="14561" xr:uid="{9E13FE63-A63D-4A62-9C12-3000E6AEA488}"/>
    <cellStyle name="SAPBEXexcBad9 4" xfId="18026" xr:uid="{A9648E7C-319B-4371-AD24-6D70BDDAE9EA}"/>
    <cellStyle name="SAPBEXexcBad9 5" xfId="23496" xr:uid="{AA0FC80C-273A-4621-B65B-14B6A14DB34A}"/>
    <cellStyle name="SAPBEXexcCritical4" xfId="8842" xr:uid="{BFE1D120-02BB-4435-AA10-E7F7C660866A}"/>
    <cellStyle name="SAPBEXexcCritical4 2" xfId="12448" xr:uid="{67CCBAB3-005C-4E75-BD90-C914F00270CF}"/>
    <cellStyle name="SAPBEXexcCritical4 2 2" xfId="21495" xr:uid="{959E1699-4D72-4FE5-8AC4-BA7E7C4E5B6D}"/>
    <cellStyle name="SAPBEXexcCritical4 2 3" xfId="23694" xr:uid="{B1C41033-6A4E-4D1B-B895-7A0B25638473}"/>
    <cellStyle name="SAPBEXexcCritical4 3" xfId="14562" xr:uid="{37A86D6D-7709-4D8F-B0EA-1C870783188F}"/>
    <cellStyle name="SAPBEXexcCritical4 4" xfId="18027" xr:uid="{54D9B327-3943-4184-B13C-C62882D1D1B2}"/>
    <cellStyle name="SAPBEXexcCritical4 5" xfId="23497" xr:uid="{A742D869-B145-4C27-8EF7-CF21DC2FE7A7}"/>
    <cellStyle name="SAPBEXexcCritical5" xfId="8843" xr:uid="{497B387F-BDD0-4323-A0C7-537FD86DA24F}"/>
    <cellStyle name="SAPBEXexcCritical5 2" xfId="12449" xr:uid="{E020F3CE-4479-4E92-881F-E5E1FC11BF2F}"/>
    <cellStyle name="SAPBEXexcCritical5 2 2" xfId="21496" xr:uid="{8E5D35A5-949D-43BA-9564-1D37DB1131D2}"/>
    <cellStyle name="SAPBEXexcCritical5 2 3" xfId="23695" xr:uid="{D123FA23-2046-43DE-B2C0-ABEEA3EDE263}"/>
    <cellStyle name="SAPBEXexcCritical5 3" xfId="14563" xr:uid="{095D2C7D-7F05-4F2B-A66B-C1E7DC9AEABA}"/>
    <cellStyle name="SAPBEXexcCritical5 4" xfId="18028" xr:uid="{319BF037-19E9-4F0C-9CEA-FC69C009A524}"/>
    <cellStyle name="SAPBEXexcCritical5 5" xfId="23498" xr:uid="{74F80BDF-A326-4E6A-B936-F240015520F0}"/>
    <cellStyle name="SAPBEXexcCritical6" xfId="8844" xr:uid="{7658E836-5811-4417-9688-53601491106D}"/>
    <cellStyle name="SAPBEXexcCritical6 2" xfId="12450" xr:uid="{0C851508-8296-467C-B715-0F3950627E74}"/>
    <cellStyle name="SAPBEXexcCritical6 2 2" xfId="21497" xr:uid="{3C30F573-9852-43A3-B7AA-C3BC3B6684CA}"/>
    <cellStyle name="SAPBEXexcCritical6 2 3" xfId="23696" xr:uid="{EDDC9B2E-8B8A-4062-9DB7-2F79A87AF965}"/>
    <cellStyle name="SAPBEXexcCritical6 3" xfId="14564" xr:uid="{EC71A28D-C6D0-44E2-8AFB-9806DCC2CC2B}"/>
    <cellStyle name="SAPBEXexcCritical6 4" xfId="18029" xr:uid="{9C77A3F7-F3F3-4D69-846E-F4C5C299D857}"/>
    <cellStyle name="SAPBEXexcCritical6 5" xfId="23499" xr:uid="{73233B6F-1B28-46A4-85E3-7332FCD05C6A}"/>
    <cellStyle name="SAPBEXexcGood1" xfId="8845" xr:uid="{26A458B9-A1F9-4DA2-97FD-E8CE1A456FCA}"/>
    <cellStyle name="SAPBEXexcGood1 2" xfId="12451" xr:uid="{949DF3B3-DD99-47C6-9F69-CDDFA1FE3ACD}"/>
    <cellStyle name="SAPBEXexcGood1 2 2" xfId="21498" xr:uid="{73717511-D555-42DA-B1D4-3F57593A1F43}"/>
    <cellStyle name="SAPBEXexcGood1 2 3" xfId="23697" xr:uid="{9C24ED90-7BE5-4B4F-9178-A542721163C2}"/>
    <cellStyle name="SAPBEXexcGood1 3" xfId="14565" xr:uid="{325E4AF7-2561-44EC-9921-2B52B1CBCF96}"/>
    <cellStyle name="SAPBEXexcGood1 4" xfId="18030" xr:uid="{DD126BD2-DF73-431A-8D3D-43B7A1132B94}"/>
    <cellStyle name="SAPBEXexcGood1 5" xfId="23500" xr:uid="{32063A2A-32E4-43BA-92C8-697F6028DDBD}"/>
    <cellStyle name="SAPBEXexcGood2" xfId="8846" xr:uid="{E3F1AC9E-6938-4C56-BCF2-2B34D32D245C}"/>
    <cellStyle name="SAPBEXexcGood2 2" xfId="12452" xr:uid="{DB9B7F85-5D8E-4AA8-9CCF-783713B4B220}"/>
    <cellStyle name="SAPBEXexcGood2 2 2" xfId="21499" xr:uid="{8A485563-1BDC-4FDA-B8F2-D07B81E1FCAF}"/>
    <cellStyle name="SAPBEXexcGood2 2 3" xfId="23698" xr:uid="{F7F41A5B-5575-4547-B149-8E64D3E5EE7F}"/>
    <cellStyle name="SAPBEXexcGood2 3" xfId="14566" xr:uid="{C78D94B7-8B4F-4C9F-B005-38AA9928A7ED}"/>
    <cellStyle name="SAPBEXexcGood2 4" xfId="18031" xr:uid="{82CFECCB-D1DE-4C83-A8B0-CE53A90691F4}"/>
    <cellStyle name="SAPBEXexcGood2 5" xfId="23501" xr:uid="{73AE71E5-80CC-4C72-9AA0-7CF07F1CE08C}"/>
    <cellStyle name="SAPBEXexcGood3" xfId="8847" xr:uid="{A64FD30F-4E60-41FA-BA69-8E0FFE6D3AD9}"/>
    <cellStyle name="SAPBEXexcGood3 2" xfId="12453" xr:uid="{3AA35269-CDFF-49F6-AAE2-EDCC2D57E9F4}"/>
    <cellStyle name="SAPBEXexcGood3 2 2" xfId="21500" xr:uid="{7341A1C6-39AD-4198-B700-6B6B4BB8F91C}"/>
    <cellStyle name="SAPBEXexcGood3 2 3" xfId="23699" xr:uid="{18448A32-BE1C-408A-A97E-F660169C96D0}"/>
    <cellStyle name="SAPBEXexcGood3 3" xfId="14567" xr:uid="{6B4A85BF-4301-4F57-A7FA-117D72E836B4}"/>
    <cellStyle name="SAPBEXexcGood3 4" xfId="18032" xr:uid="{02A6F733-BC6E-4A8D-9DCD-4953C0F8EF98}"/>
    <cellStyle name="SAPBEXexcGood3 5" xfId="23502" xr:uid="{0307A8A7-A86D-42BF-BCCA-0781F20D5974}"/>
    <cellStyle name="SAPBEXfilterDrill" xfId="8848" xr:uid="{E55FF5A6-874D-4B52-A11E-D77C2B37E19C}"/>
    <cellStyle name="SAPBEXfilterDrill 2" xfId="12454" xr:uid="{4F008FDD-B581-48A5-A687-B72EB2A85D39}"/>
    <cellStyle name="SAPBEXfilterDrill 2 2" xfId="21501" xr:uid="{00239B2A-D882-400A-8D04-9AA79361D0EC}"/>
    <cellStyle name="SAPBEXfilterDrill 2 3" xfId="23700" xr:uid="{DC9C4F22-26EF-4611-926B-CB2B7B88B5B3}"/>
    <cellStyle name="SAPBEXfilterDrill 3" xfId="14568" xr:uid="{262CF28D-8F56-4892-8DD3-9930BA16EF87}"/>
    <cellStyle name="SAPBEXfilterDrill 4" xfId="18033" xr:uid="{2C039135-817E-4A37-8916-265D7A80FC2B}"/>
    <cellStyle name="SAPBEXfilterDrill 5" xfId="23503" xr:uid="{5013A0BB-DB12-45D4-8D3F-196872FDD6C2}"/>
    <cellStyle name="SAPBEXfilterItem" xfId="8849" xr:uid="{F32E1B62-A707-4B4B-BC5E-77F36731341D}"/>
    <cellStyle name="SAPBEXfilterItem 2" xfId="12455" xr:uid="{C1458610-304E-41F2-ABCE-F17D7C485A44}"/>
    <cellStyle name="SAPBEXfilterItem 2 2" xfId="21502" xr:uid="{AA8EC9FC-D9FF-4541-A0A2-7BCC68E003B6}"/>
    <cellStyle name="SAPBEXfilterItem 2 3" xfId="23701" xr:uid="{AE6451B1-FEC6-4B8D-A49D-D8669806D5D9}"/>
    <cellStyle name="SAPBEXfilterItem 3" xfId="14569" xr:uid="{F49BC6AE-285F-425C-B775-0C6765EC7896}"/>
    <cellStyle name="SAPBEXfilterItem 4" xfId="18034" xr:uid="{A6B3BAEC-C9AA-4AE8-BAA7-A6FFFEB9A585}"/>
    <cellStyle name="SAPBEXfilterItem 5" xfId="23504" xr:uid="{86F0E59B-0DDC-453E-A117-0AEC3C0960CC}"/>
    <cellStyle name="SAPBEXfilterText" xfId="8850" xr:uid="{9F9FF43C-7187-41B8-835B-4E2536108650}"/>
    <cellStyle name="SAPBEXfilterText 2" xfId="12456" xr:uid="{EB5E39BB-15CD-480F-AAC8-FDFA411E1ECE}"/>
    <cellStyle name="SAPBEXfilterText 2 2" xfId="21503" xr:uid="{9536A7E7-1994-49D7-BC42-CE5EC41B5924}"/>
    <cellStyle name="SAPBEXfilterText 2 3" xfId="23702" xr:uid="{530B411B-E284-4DA8-9351-937551648C90}"/>
    <cellStyle name="SAPBEXfilterText 3" xfId="14570" xr:uid="{77983B0A-29D9-4C11-B493-4DA6F60BF319}"/>
    <cellStyle name="SAPBEXfilterText 4" xfId="18035" xr:uid="{1B39A1E5-053B-4192-9DFF-4ABCD2C14130}"/>
    <cellStyle name="SAPBEXfilterText 5" xfId="23505" xr:uid="{7914818E-5D01-4365-A657-3425929823AF}"/>
    <cellStyle name="SAPBEXformats" xfId="8851" xr:uid="{C723D264-EEEB-42C9-82C5-724C687A8AE1}"/>
    <cellStyle name="SAPBEXformats 2" xfId="12457" xr:uid="{4FD95287-988B-49BB-9348-A20E25862B88}"/>
    <cellStyle name="SAPBEXformats 2 2" xfId="21504" xr:uid="{9BFFE9C8-919D-4EF7-90D9-08DE260BFBDB}"/>
    <cellStyle name="SAPBEXformats 2 3" xfId="23703" xr:uid="{57341F30-373E-40C5-A971-2CD770750A55}"/>
    <cellStyle name="SAPBEXformats 3" xfId="14571" xr:uid="{41BBF2B5-CC47-4F05-8C29-CBB13E4E82A9}"/>
    <cellStyle name="SAPBEXformats 4" xfId="18036" xr:uid="{5AC52F87-06B5-4F51-866B-5760CE21705F}"/>
    <cellStyle name="SAPBEXformats 5" xfId="23506" xr:uid="{FC45EA3E-643D-424D-B3C6-E9D799E43641}"/>
    <cellStyle name="SAPBEXheaderItem" xfId="8852" xr:uid="{0E791BCA-A0FB-4CE1-BD59-A6AA97793AE6}"/>
    <cellStyle name="SAPBEXheaderItem 2" xfId="12458" xr:uid="{E1E2802A-6918-4313-9FD5-41338808F573}"/>
    <cellStyle name="SAPBEXheaderItem 2 2" xfId="21505" xr:uid="{F313D023-D2FF-41B6-A1F9-3E66E6EB2735}"/>
    <cellStyle name="SAPBEXheaderItem 2 3" xfId="23704" xr:uid="{01A467A0-C011-4BCD-A2E0-BFCEDAA8EB0E}"/>
    <cellStyle name="SAPBEXheaderItem 3" xfId="14572" xr:uid="{F9FFA67C-D389-4714-ACCF-FF3FE3FA022C}"/>
    <cellStyle name="SAPBEXheaderItem 4" xfId="18037" xr:uid="{83B664EE-B97E-4635-89DF-7F711150C96B}"/>
    <cellStyle name="SAPBEXheaderItem 5" xfId="23507" xr:uid="{DA9A75DF-C806-4D59-817B-BB43AF48E0DD}"/>
    <cellStyle name="SAPBEXheaderText" xfId="8853" xr:uid="{98633C9B-229F-48CB-AD26-AAA089081B48}"/>
    <cellStyle name="SAPBEXheaderText 2" xfId="12459" xr:uid="{6B4759A7-69A3-447B-B310-8EE73FC1454D}"/>
    <cellStyle name="SAPBEXheaderText 2 2" xfId="21506" xr:uid="{EDDE0427-9D4A-429A-882B-74CAA11C67A3}"/>
    <cellStyle name="SAPBEXheaderText 2 3" xfId="23705" xr:uid="{6B590AF0-ABCA-4087-9721-7060C4EC6485}"/>
    <cellStyle name="SAPBEXheaderText 3" xfId="14573" xr:uid="{090E34C2-15ED-40F1-A70F-C7E26697DA59}"/>
    <cellStyle name="SAPBEXheaderText 4" xfId="18038" xr:uid="{E79BFA44-C96B-4991-8D11-47E97FD8B89A}"/>
    <cellStyle name="SAPBEXheaderText 5" xfId="23508" xr:uid="{3105B004-1A3B-4EF8-8C7C-4EF797E519F4}"/>
    <cellStyle name="SAPBEXHLevel0" xfId="8854" xr:uid="{28E6E7BC-7F70-4E01-95FA-D8BAD333AB8E}"/>
    <cellStyle name="SAPBEXHLevel0 2" xfId="12460" xr:uid="{C276E4F5-1968-4E8A-8FD8-B84EB0FAE2EF}"/>
    <cellStyle name="SAPBEXHLevel0 2 2" xfId="21507" xr:uid="{1D765F01-4380-4474-8450-60AB38E6B0A7}"/>
    <cellStyle name="SAPBEXHLevel0 2 3" xfId="23706" xr:uid="{B4FB2BE5-2821-4BF9-BE32-44A9FB09A616}"/>
    <cellStyle name="SAPBEXHLevel0 3" xfId="14574" xr:uid="{5DDE1F93-4E2E-4A00-BCFB-1C6DB1352F3A}"/>
    <cellStyle name="SAPBEXHLevel0 4" xfId="18039" xr:uid="{F13E894B-C705-46C8-8FAC-1FA682F7F234}"/>
    <cellStyle name="SAPBEXHLevel0 5" xfId="23509" xr:uid="{F13D0F30-70D8-41D1-8ADD-4E267780FC81}"/>
    <cellStyle name="SAPBEXHLevel0X" xfId="8855" xr:uid="{E36E809A-BB68-480C-B593-5EA4A85B9B59}"/>
    <cellStyle name="SAPBEXHLevel0X 2" xfId="12461" xr:uid="{EAAA1D37-5436-41D9-96B3-4CBEA1E30027}"/>
    <cellStyle name="SAPBEXHLevel0X 2 2" xfId="21508" xr:uid="{9EAACED9-D1B0-4529-BDDA-A962397843C5}"/>
    <cellStyle name="SAPBEXHLevel0X 2 3" xfId="23707" xr:uid="{E834BE49-8347-4C4B-8FCF-BAE6D3F0D251}"/>
    <cellStyle name="SAPBEXHLevel0X 3" xfId="14575" xr:uid="{92FE6DB0-7685-4DFB-98B8-271E909E122E}"/>
    <cellStyle name="SAPBEXHLevel0X 4" xfId="18040" xr:uid="{1789B239-DA38-4240-A888-93571F8AE90D}"/>
    <cellStyle name="SAPBEXHLevel0X 5" xfId="23510" xr:uid="{746B0875-803A-4B7D-B8FF-67826B4C1F4C}"/>
    <cellStyle name="SAPBEXHLevel1" xfId="8856" xr:uid="{E26D0F8B-A67A-49DC-AFB3-EBB958178413}"/>
    <cellStyle name="SAPBEXHLevel1 2" xfId="12462" xr:uid="{0CC6E974-10A8-4518-B36C-0496A2EAB4BF}"/>
    <cellStyle name="SAPBEXHLevel1 2 2" xfId="21509" xr:uid="{BB78A4B7-7E16-4B3F-8808-560CA09CAE33}"/>
    <cellStyle name="SAPBEXHLevel1 2 3" xfId="23708" xr:uid="{00A64C8F-234B-44D3-93EF-352DA4C3BF21}"/>
    <cellStyle name="SAPBEXHLevel1 3" xfId="14576" xr:uid="{30958C45-A9FB-4876-8FAB-7BDCB9356889}"/>
    <cellStyle name="SAPBEXHLevel1 4" xfId="18041" xr:uid="{177BFC29-485F-4079-A586-5BDBFE6DFD60}"/>
    <cellStyle name="SAPBEXHLevel1 5" xfId="23511" xr:uid="{43E50450-0C28-4630-8DB2-F224D0A0E02D}"/>
    <cellStyle name="SAPBEXHLevel1X" xfId="8857" xr:uid="{BE3E10CE-67DE-427A-A5E8-FCD59154FD15}"/>
    <cellStyle name="SAPBEXHLevel1X 2" xfId="12463" xr:uid="{693EDCA4-8259-4248-A11A-6DEA0DE66159}"/>
    <cellStyle name="SAPBEXHLevel1X 2 2" xfId="21510" xr:uid="{C15C4629-4B60-4E12-B634-D3344D367E50}"/>
    <cellStyle name="SAPBEXHLevel1X 2 3" xfId="23709" xr:uid="{0DEACBE8-2D7E-4DBD-8ED1-615D66D996FC}"/>
    <cellStyle name="SAPBEXHLevel1X 3" xfId="14577" xr:uid="{EC7E70A6-2DB3-4B01-912A-E593A2C8BD70}"/>
    <cellStyle name="SAPBEXHLevel1X 4" xfId="18042" xr:uid="{7C4ED789-0C95-488F-819D-C08BD109DB39}"/>
    <cellStyle name="SAPBEXHLevel1X 5" xfId="23512" xr:uid="{94DA7C1F-281E-47BD-84DB-BC76609C26E0}"/>
    <cellStyle name="SAPBEXHLevel2" xfId="8858" xr:uid="{381E3628-B010-49F1-9E53-3596AD291C4C}"/>
    <cellStyle name="SAPBEXHLevel2 2" xfId="12464" xr:uid="{EAFA280E-F448-4E4B-803A-8F1F3FE47D2F}"/>
    <cellStyle name="SAPBEXHLevel2 2 2" xfId="21511" xr:uid="{5F1D6E07-E5EF-4708-AE7E-E1079ADF722D}"/>
    <cellStyle name="SAPBEXHLevel2 2 3" xfId="23710" xr:uid="{9F17C924-6BFA-435A-A163-02DAF78B6EB1}"/>
    <cellStyle name="SAPBEXHLevel2 3" xfId="14578" xr:uid="{7103EE3D-0EBF-4DEE-BB3A-DAE41C77A313}"/>
    <cellStyle name="SAPBEXHLevel2 4" xfId="18043" xr:uid="{2B255F6B-939A-4929-B5DC-0927174973FF}"/>
    <cellStyle name="SAPBEXHLevel2 5" xfId="23513" xr:uid="{E7D3A2A0-8208-432B-AE9A-7D88828F59B4}"/>
    <cellStyle name="SAPBEXHLevel2X" xfId="8859" xr:uid="{C16467EE-AD51-400C-90DF-8E46CC110280}"/>
    <cellStyle name="SAPBEXHLevel2X 2" xfId="12465" xr:uid="{255A1DA8-6F12-4E87-B107-D9235DBADBDA}"/>
    <cellStyle name="SAPBEXHLevel2X 2 2" xfId="21512" xr:uid="{16BE58CA-A050-418C-8B62-7441AEBE35A8}"/>
    <cellStyle name="SAPBEXHLevel2X 2 3" xfId="23711" xr:uid="{18ED41C6-7DED-40DF-872A-23F7D3B8800D}"/>
    <cellStyle name="SAPBEXHLevel2X 3" xfId="14579" xr:uid="{0E0E32BA-EBB4-42F3-9265-1825679F10AF}"/>
    <cellStyle name="SAPBEXHLevel2X 4" xfId="18044" xr:uid="{EBE0013D-2F05-43E0-84BE-55A9DE35A606}"/>
    <cellStyle name="SAPBEXHLevel2X 5" xfId="23514" xr:uid="{F5AE98DF-9BDB-4A01-B6F6-7CFC78D0D720}"/>
    <cellStyle name="SAPBEXHLevel3" xfId="8860" xr:uid="{ADCACBFA-5140-4906-AD95-1EFD1AE26A4A}"/>
    <cellStyle name="SAPBEXHLevel3 2" xfId="12466" xr:uid="{46637AAE-0142-4913-AA95-7EB53D9A981D}"/>
    <cellStyle name="SAPBEXHLevel3 2 2" xfId="21513" xr:uid="{3F81A5DC-508C-4D9E-A456-B66B147254CA}"/>
    <cellStyle name="SAPBEXHLevel3 2 3" xfId="23712" xr:uid="{9DC1C2A6-38C6-444E-BE21-D695A69C29C5}"/>
    <cellStyle name="SAPBEXHLevel3 3" xfId="14580" xr:uid="{289D46C0-E2E7-4852-AD5D-19A42B73A38E}"/>
    <cellStyle name="SAPBEXHLevel3 4" xfId="18045" xr:uid="{646C1F1D-F2DD-4BFA-8660-72DB45641364}"/>
    <cellStyle name="SAPBEXHLevel3 5" xfId="23515" xr:uid="{2A470E99-9793-450D-83C0-9F14D588F511}"/>
    <cellStyle name="SAPBEXHLevel3X" xfId="8861" xr:uid="{42DCFFA8-4AAE-42D4-88D8-BD934D768912}"/>
    <cellStyle name="SAPBEXHLevel3X 2" xfId="12467" xr:uid="{3487DD52-E1C3-413D-989D-B5656DD6FA25}"/>
    <cellStyle name="SAPBEXHLevel3X 2 2" xfId="21514" xr:uid="{514B2A35-BDF3-4A08-A2D7-C9BB59D34187}"/>
    <cellStyle name="SAPBEXHLevel3X 2 3" xfId="23713" xr:uid="{D00D0B69-B4E1-44AD-BA4F-24344D49CAB1}"/>
    <cellStyle name="SAPBEXHLevel3X 3" xfId="14581" xr:uid="{225E6656-72B9-4ABB-AC56-3C1684D19935}"/>
    <cellStyle name="SAPBEXHLevel3X 4" xfId="18046" xr:uid="{FB2EFBDA-9909-4ECD-AD40-9C139B5F785C}"/>
    <cellStyle name="SAPBEXHLevel3X 5" xfId="23516" xr:uid="{ABE33075-EEB4-4F11-A4CD-67C0C3F6D08F}"/>
    <cellStyle name="SAPBEXinputData" xfId="8862" xr:uid="{5CCE65AD-FDDA-472C-8EC1-2683CBE1FA52}"/>
    <cellStyle name="SAPBEXinputData 2" xfId="9019" xr:uid="{D22B0459-F306-4815-9206-A764509C6AE3}"/>
    <cellStyle name="SAPBEXinputData 2 2" xfId="14615" xr:uid="{4B923848-E3AB-4F5F-A75C-A975B8227C0D}"/>
    <cellStyle name="SAPBEXinputData 2 3" xfId="18066" xr:uid="{4FFD7A41-122A-45BF-B03C-F5F6380BCDF2}"/>
    <cellStyle name="SAPBEXinputData 2 4" xfId="23331" xr:uid="{71D54EF6-87E0-4BAB-A49B-A2F6841A2466}"/>
    <cellStyle name="SAPBEXinputData 3" xfId="9058" xr:uid="{7E35B4AF-9A32-4312-8CE5-AC93510B3C20}"/>
    <cellStyle name="SAPBEXinputData 3 2" xfId="14631" xr:uid="{C0BE6125-F5B3-4BC6-B95E-2540828C463F}"/>
    <cellStyle name="SAPBEXinputData 3 3" xfId="18105" xr:uid="{15F024EA-A60B-45F1-9820-72340037CAA3}"/>
    <cellStyle name="SAPBEXinputData 4" xfId="9081" xr:uid="{CCE638FE-53D0-4175-AC7C-9FE6087E0C3D}"/>
    <cellStyle name="SAPBEXinputData 4 2" xfId="14647" xr:uid="{CE13FDD3-3D4B-4CEF-A873-6C776B643803}"/>
    <cellStyle name="SAPBEXinputData 4 3" xfId="18127" xr:uid="{E1D016BE-DD55-4055-9DA3-181116414981}"/>
    <cellStyle name="SAPBEXinputData 5" xfId="9098" xr:uid="{5EB082F3-955D-4147-8464-91D5E669EA7B}"/>
    <cellStyle name="SAPBEXinputData 5 2" xfId="14663" xr:uid="{E94CD344-2EBA-4FF6-A367-BB49BF7A09FC}"/>
    <cellStyle name="SAPBEXinputData 5 3" xfId="18144" xr:uid="{42E5D940-3011-41A0-87E2-69D198C045D1}"/>
    <cellStyle name="SAPBEXinputData 6" xfId="12468" xr:uid="{4C8C77B5-88E4-4990-9B42-2C45EFE21D4F}"/>
    <cellStyle name="SAPBEXinputData 6 2" xfId="21515" xr:uid="{38BF9564-5667-491F-9C5D-2F138BB5A9E8}"/>
    <cellStyle name="SAPBEXinputData 7" xfId="12496" xr:uid="{63A48311-CC76-4325-8E2D-C7988428CF3C}"/>
    <cellStyle name="SAPBEXinputData 7 2" xfId="21543" xr:uid="{DAAB628A-CB48-4EE1-8DDE-8477D1F120E4}"/>
    <cellStyle name="SAPBEXinputData 8" xfId="18047" xr:uid="{D91211C4-6E69-4B17-8094-E48B93A02DC4}"/>
    <cellStyle name="SAPBEXItemHeader" xfId="8863" xr:uid="{138AB991-5308-4DFD-BF99-95959B1915AF}"/>
    <cellStyle name="SAPBEXItemHeader 2" xfId="12469" xr:uid="{09E4E92A-9594-486A-8745-0310E0067A30}"/>
    <cellStyle name="SAPBEXItemHeader 2 2" xfId="21516" xr:uid="{1BD35A4E-B961-4FCE-BCD4-74F955C463B7}"/>
    <cellStyle name="SAPBEXItemHeader 2 3" xfId="23714" xr:uid="{9521D432-2C44-4911-8C8B-CD80D9987A7C}"/>
    <cellStyle name="SAPBEXItemHeader 3" xfId="14582" xr:uid="{A3138D5C-5B46-407F-BE44-4FF157622438}"/>
    <cellStyle name="SAPBEXItemHeader 4" xfId="18048" xr:uid="{D38C26FA-3365-4389-835A-7FA0CCD6A129}"/>
    <cellStyle name="SAPBEXItemHeader 5" xfId="23517" xr:uid="{ECA508BB-81E0-44A0-ACD8-2E84C5F0480A}"/>
    <cellStyle name="SAPBEXresData" xfId="8864" xr:uid="{AFF7DB48-3B81-4BA9-8C3E-5014C5EA83A7}"/>
    <cellStyle name="SAPBEXresData 2" xfId="12470" xr:uid="{54EC27F1-80ED-4466-A238-D24F0BAF2A69}"/>
    <cellStyle name="SAPBEXresData 2 2" xfId="21517" xr:uid="{31F6C5A6-DE30-4962-B91F-6D9D4E602F52}"/>
    <cellStyle name="SAPBEXresData 2 3" xfId="23715" xr:uid="{80BFB233-980C-4F7F-9830-982C5A2D5EE6}"/>
    <cellStyle name="SAPBEXresData 3" xfId="14583" xr:uid="{EA28835F-EE32-4123-8308-F803B7CD54FB}"/>
    <cellStyle name="SAPBEXresData 4" xfId="18049" xr:uid="{949561CF-182A-4E76-8540-106B628067B6}"/>
    <cellStyle name="SAPBEXresData 5" xfId="23518" xr:uid="{9D971B34-04B5-41EA-9B3C-A97B289B145F}"/>
    <cellStyle name="SAPBEXresDataEmph" xfId="8865" xr:uid="{61FFE179-01FD-4222-A87C-8E788A28E261}"/>
    <cellStyle name="SAPBEXresDataEmph 2" xfId="12471" xr:uid="{4E12B100-B492-4AA0-BE11-7F95766AA4A5}"/>
    <cellStyle name="SAPBEXresDataEmph 2 2" xfId="21518" xr:uid="{A0FB2CB3-E236-4F67-84F0-6EC82D589775}"/>
    <cellStyle name="SAPBEXresDataEmph 2 3" xfId="23716" xr:uid="{FA943507-3447-47B9-862B-A9C3AB4C7195}"/>
    <cellStyle name="SAPBEXresDataEmph 3" xfId="14584" xr:uid="{F221DA39-E87C-4A0D-9086-1B5182D2F43E}"/>
    <cellStyle name="SAPBEXresDataEmph 4" xfId="18050" xr:uid="{66FCDC4E-D20E-41CE-939F-E0182827D713}"/>
    <cellStyle name="SAPBEXresDataEmph 5" xfId="23519" xr:uid="{8BEEC105-234A-4C9E-A403-791DE0B5EA89}"/>
    <cellStyle name="SAPBEXresItem" xfId="8866" xr:uid="{182AB4D4-94E6-4E51-9466-8727DD8A701D}"/>
    <cellStyle name="SAPBEXresItem 2" xfId="12472" xr:uid="{45D711CA-5337-43CA-B1F2-F509252B2F6C}"/>
    <cellStyle name="SAPBEXresItem 2 2" xfId="21519" xr:uid="{748AA5FF-9F84-4845-B628-8680A04BAB93}"/>
    <cellStyle name="SAPBEXresItem 2 3" xfId="23717" xr:uid="{669ED505-91C4-477A-8B4C-FF0BCE29B7E0}"/>
    <cellStyle name="SAPBEXresItem 3" xfId="14585" xr:uid="{F0BD0501-F250-45BA-B57F-A1D848897FEB}"/>
    <cellStyle name="SAPBEXresItem 4" xfId="18051" xr:uid="{CF0FDF59-7925-4056-A762-42E703AD93AF}"/>
    <cellStyle name="SAPBEXresItem 5" xfId="23520" xr:uid="{BB10D6C5-E506-453E-97D1-F2DBDFCD6FAA}"/>
    <cellStyle name="SAPBEXresItemX" xfId="8867" xr:uid="{EDFF65C3-23CD-408E-816F-D5D6BC0D4683}"/>
    <cellStyle name="SAPBEXresItemX 2" xfId="12473" xr:uid="{A827DC76-012C-4653-95C2-21009E40B048}"/>
    <cellStyle name="SAPBEXresItemX 2 2" xfId="21520" xr:uid="{A80A4654-8BA7-4211-B0E6-AC1C1B0AAA36}"/>
    <cellStyle name="SAPBEXresItemX 2 3" xfId="23718" xr:uid="{5A5B90A6-0BA9-449F-A61B-B26497AD7E49}"/>
    <cellStyle name="SAPBEXresItemX 3" xfId="14586" xr:uid="{97794EBC-C792-4FE6-B33F-1DC087E3BC3A}"/>
    <cellStyle name="SAPBEXresItemX 4" xfId="18052" xr:uid="{C639AD02-01C3-4128-AD79-59B70044578E}"/>
    <cellStyle name="SAPBEXresItemX 5" xfId="23521" xr:uid="{A3537A40-11A1-44FF-92A5-E231585EC414}"/>
    <cellStyle name="SAPBEXstdData" xfId="8868" xr:uid="{0682F31C-F958-496A-AA27-1B95D2A0149E}"/>
    <cellStyle name="SAPBEXstdData 2" xfId="12474" xr:uid="{18E4A391-FE71-4763-9162-C2CAF7D1F2CF}"/>
    <cellStyle name="SAPBEXstdData 2 2" xfId="21521" xr:uid="{D3BF92A8-116E-4048-A710-E00E802560E7}"/>
    <cellStyle name="SAPBEXstdData 2 3" xfId="23719" xr:uid="{FEC6BBE1-93C3-43BE-95CD-AABA2A3E8AB3}"/>
    <cellStyle name="SAPBEXstdData 3" xfId="14587" xr:uid="{F16DDA15-2238-4C15-B5F4-DFC971D7C461}"/>
    <cellStyle name="SAPBEXstdData 4" xfId="18053" xr:uid="{57D98CD8-E993-4D43-AD42-A18E14DC92FD}"/>
    <cellStyle name="SAPBEXstdData 5" xfId="23522" xr:uid="{D227E635-D5F3-4D8B-B79D-DE7FA197232D}"/>
    <cellStyle name="SAPBEXstdDataEmph" xfId="8869" xr:uid="{F00F2816-FF69-4230-A8BD-E6D0B2807BF2}"/>
    <cellStyle name="SAPBEXstdDataEmph 2" xfId="12475" xr:uid="{FE48C6DA-A847-4146-B33A-86957FFA25E1}"/>
    <cellStyle name="SAPBEXstdDataEmph 2 2" xfId="21522" xr:uid="{D8F3124D-90E3-45D0-825C-08C38E62B43E}"/>
    <cellStyle name="SAPBEXstdDataEmph 2 3" xfId="23720" xr:uid="{CD6D4992-EA1A-4359-82FA-D03B57B8CCF2}"/>
    <cellStyle name="SAPBEXstdDataEmph 3" xfId="14588" xr:uid="{CB33E881-617D-4FB2-8614-B567F2A96E71}"/>
    <cellStyle name="SAPBEXstdDataEmph 4" xfId="18054" xr:uid="{15739E99-116E-4915-A229-E71A4150E019}"/>
    <cellStyle name="SAPBEXstdDataEmph 5" xfId="23523" xr:uid="{92742E2B-9A2C-49BA-AAE9-5D2A3C8ED68F}"/>
    <cellStyle name="SAPBEXstdItem" xfId="8870" xr:uid="{AC8CAAE6-F03E-454F-8217-AFC3949470AC}"/>
    <cellStyle name="SAPBEXstdItem 2" xfId="12476" xr:uid="{6F257341-EBA7-4975-A506-40DF971FAFF9}"/>
    <cellStyle name="SAPBEXstdItem 2 2" xfId="21523" xr:uid="{7423CBF3-61E2-4C59-AF69-9CE2D2C77E79}"/>
    <cellStyle name="SAPBEXstdItem 2 3" xfId="23721" xr:uid="{0CC798E4-7328-4F15-86A3-F67C3E61628D}"/>
    <cellStyle name="SAPBEXstdItem 3" xfId="14589" xr:uid="{7685D278-F424-45C4-881F-00D13D2D25A9}"/>
    <cellStyle name="SAPBEXstdItem 4" xfId="18055" xr:uid="{59611F77-7DB0-466E-A30F-28033399E2E5}"/>
    <cellStyle name="SAPBEXstdItem 5" xfId="23524" xr:uid="{8B16DC47-4860-4C52-ABE9-1FA4410FCF50}"/>
    <cellStyle name="SAPBEXstdItemX" xfId="8871" xr:uid="{B5B5B019-BEB3-4BEC-B3F2-EA3521F9BC1B}"/>
    <cellStyle name="SAPBEXstdItemX 2" xfId="12477" xr:uid="{5CB393D8-6BDF-4BAE-B6D5-D142BC47B7F0}"/>
    <cellStyle name="SAPBEXstdItemX 2 2" xfId="21524" xr:uid="{4A9BA077-B44D-46DA-9A7A-D6A2AA4B93B9}"/>
    <cellStyle name="SAPBEXstdItemX 2 3" xfId="23722" xr:uid="{FD7DECFD-021D-4D0C-96FE-AFCA47CF211A}"/>
    <cellStyle name="SAPBEXstdItemX 3" xfId="14590" xr:uid="{686CB71A-8EC3-4333-9E36-B61E7D0CA12D}"/>
    <cellStyle name="SAPBEXstdItemX 4" xfId="18056" xr:uid="{673DD58E-F288-4005-AC69-0BD93B6A045B}"/>
    <cellStyle name="SAPBEXstdItemX 5" xfId="23525" xr:uid="{10073AF1-7A33-42A7-A56B-64E68D0DF291}"/>
    <cellStyle name="SAPBEXtitle" xfId="8872" xr:uid="{F5051796-2451-45E8-808F-A8D2442B8617}"/>
    <cellStyle name="SAPBEXtitle 2" xfId="12478" xr:uid="{0112DEE0-5600-4A72-B1B0-34F3F494AA7E}"/>
    <cellStyle name="SAPBEXtitle 2 2" xfId="21525" xr:uid="{A618E748-CF43-4A6A-A707-BE66CC866815}"/>
    <cellStyle name="SAPBEXtitle 2 3" xfId="23723" xr:uid="{7F7FA802-0D97-4366-A0FF-1F8895B32665}"/>
    <cellStyle name="SAPBEXtitle 3" xfId="14591" xr:uid="{9C6FF98B-7B6F-4A23-9BAC-3A6A01D77712}"/>
    <cellStyle name="SAPBEXtitle 4" xfId="18057" xr:uid="{4EB86230-B364-4F98-8EF0-F95E1B3DFDF5}"/>
    <cellStyle name="SAPBEXtitle 5" xfId="23526" xr:uid="{9F03B492-3AEE-40CF-A4CF-F2C19920E1E1}"/>
    <cellStyle name="SAPBEXunassignedItem" xfId="8873" xr:uid="{78AED647-917C-4F27-889B-08D02B1F3387}"/>
    <cellStyle name="SAPBEXunassignedItem 2" xfId="12479" xr:uid="{75929CCF-BCB9-4190-904A-C96DBA227F9E}"/>
    <cellStyle name="SAPBEXunassignedItem 2 2" xfId="21526" xr:uid="{14B2068E-A750-4B84-A2EE-BFB5AC34CFA4}"/>
    <cellStyle name="SAPBEXunassignedItem 2 3" xfId="23724" xr:uid="{D0A41BDD-8AE9-4866-9159-72E6D9316976}"/>
    <cellStyle name="SAPBEXunassignedItem 3" xfId="14592" xr:uid="{C384B075-06B7-403A-8B0B-D74F1CD038E8}"/>
    <cellStyle name="SAPBEXunassignedItem 4" xfId="18058" xr:uid="{FED4E938-B591-4E48-8051-930986E38A89}"/>
    <cellStyle name="SAPBEXunassignedItem 5" xfId="23527" xr:uid="{BCDB9D9F-4151-474C-B84C-11A6EB11F1BA}"/>
    <cellStyle name="SAPBEXundefined" xfId="8874" xr:uid="{D3FAB711-8480-4E05-8285-62F3C50CD8F9}"/>
    <cellStyle name="SAPBEXundefined 2" xfId="12480" xr:uid="{B934A075-0014-4B1C-BB15-99AE386E6DC9}"/>
    <cellStyle name="SAPBEXundefined 2 2" xfId="21527" xr:uid="{5DEC989B-480E-4597-9E5F-58A2E0523FF8}"/>
    <cellStyle name="SAPBEXundefined 2 3" xfId="23725" xr:uid="{7561529A-198E-48DF-A511-2D2E2F5C6860}"/>
    <cellStyle name="SAPBEXundefined 3" xfId="14593" xr:uid="{F477A48D-226A-44C3-92EC-8F080D8138C9}"/>
    <cellStyle name="SAPBEXundefined 4" xfId="18059" xr:uid="{FF6D8847-B25D-49AB-B508-8343AA75D51E}"/>
    <cellStyle name="SAPBEXundefined 5" xfId="23528" xr:uid="{29069093-1DD1-43F9-911B-B962F5EE6815}"/>
    <cellStyle name="SAPError" xfId="237" xr:uid="{61E194D3-0CE9-41A6-85E5-1DFB66FF551A}"/>
    <cellStyle name="SAPError 2" xfId="238" xr:uid="{85787CDD-9D38-4407-AB6C-213883AB5A2F}"/>
    <cellStyle name="SAPError 2 2" xfId="3947" xr:uid="{7C51A947-2D51-42FE-A3EB-0D68D815C29D}"/>
    <cellStyle name="SAPError 3" xfId="3680" xr:uid="{4958797D-B56F-4082-B6CE-4307B67100D3}"/>
    <cellStyle name="SAPKey" xfId="239" xr:uid="{A76DAF72-3FD5-4321-BF5E-4219DF2F0F6D}"/>
    <cellStyle name="SAPKey 2" xfId="240" xr:uid="{63BEBFAB-D530-42C0-B8E5-0EA57F2181DD}"/>
    <cellStyle name="SAPKey 2 2" xfId="3948" xr:uid="{4B963368-D7E1-44E4-92C3-C5965BBE7D67}"/>
    <cellStyle name="SAPKey 3" xfId="3681" xr:uid="{0484BA55-1C63-4129-97CD-86D0C030F183}"/>
    <cellStyle name="SAPLocked" xfId="241" xr:uid="{AECB0E33-F3D2-4C5C-A43C-8ABF3537592C}"/>
    <cellStyle name="SAPLocked 2" xfId="242" xr:uid="{C166A325-6972-49D9-B3F9-E7D65664A20D}"/>
    <cellStyle name="SAPLocked 2 2" xfId="3949" xr:uid="{AFED5A43-44A4-4669-90EF-4397EC1DF415}"/>
    <cellStyle name="SAPLocked 3" xfId="3682" xr:uid="{37C9E66E-A654-41F6-81DD-00F9E729D29F}"/>
    <cellStyle name="SAPOutput" xfId="243" xr:uid="{F4D2926D-69CD-4708-8D6C-4C0E0A4921A8}"/>
    <cellStyle name="SAPOutput 2" xfId="244" xr:uid="{DD5BC015-4793-4ECD-9B16-AC1EDE07B7C0}"/>
    <cellStyle name="SAPOutput 2 2" xfId="3950" xr:uid="{19F0E065-72F6-4AC1-9289-87DF2B21D9F4}"/>
    <cellStyle name="SAPOutput 3" xfId="3683" xr:uid="{D1F488D4-F9A5-4639-B719-69415C69D04C}"/>
    <cellStyle name="SAPSpace" xfId="245" xr:uid="{372050D1-E17E-4D6C-94CF-FC9626E5BE0D}"/>
    <cellStyle name="SAPSpace 2" xfId="246" xr:uid="{DE73E1CB-43BC-40D0-B627-D5041BE22EC3}"/>
    <cellStyle name="SAPSpace 2 2" xfId="3951" xr:uid="{C4F44FA6-DE18-4204-8433-F24B963133C1}"/>
    <cellStyle name="SAPSpace 3" xfId="3684" xr:uid="{0C960F87-04B8-443D-91A1-43C147B6DFD6}"/>
    <cellStyle name="SAPText" xfId="247" xr:uid="{562CBC24-F6CD-44B0-A40E-E15BEEB49F12}"/>
    <cellStyle name="SAPText 2" xfId="248" xr:uid="{B9BBE1B3-EDC7-4F3F-BEB1-97565FE98E4C}"/>
    <cellStyle name="SAPText 2 2" xfId="3952" xr:uid="{76E88475-FFF9-4A49-9F27-DE5752270595}"/>
    <cellStyle name="SAPText 3" xfId="3685" xr:uid="{139B7B22-9F63-4F60-A646-B8D8477C7722}"/>
    <cellStyle name="SAPUnLocked" xfId="249" xr:uid="{994D50F3-A5A6-4BC0-8ADA-D7C2E371AD09}"/>
    <cellStyle name="SAPUnLocked 2" xfId="250" xr:uid="{32D9FA4D-DBCF-4358-9132-F76315EAB117}"/>
    <cellStyle name="SAPUnLocked 2 2" xfId="3953" xr:uid="{C4E08F44-98B2-4488-9B1B-F0D69B7F2EF3}"/>
    <cellStyle name="SAPUnLocked 3" xfId="3686" xr:uid="{862FE72F-79D3-4807-93BF-A9DF791CA9D9}"/>
    <cellStyle name="sbt2" xfId="2147" xr:uid="{6F93AC54-0D28-4BF9-94E7-0D5E6E420A54}"/>
    <cellStyle name="sbt2 2" xfId="2685" xr:uid="{2EE01FDB-4F18-496E-B7A6-DBF9395EC96E}"/>
    <cellStyle name="sbt2 3" xfId="2974" xr:uid="{878C1623-2443-44F3-8AC1-BB5993A0827E}"/>
    <cellStyle name="ScenarioInput" xfId="8656" xr:uid="{08605D0C-C686-4013-B48E-BF3944323999}"/>
    <cellStyle name="SDate" xfId="2148" xr:uid="{412EC78C-DD74-472A-B790-DAD39F20CDF7}"/>
    <cellStyle name="SDEntry" xfId="2149" xr:uid="{CB5FA730-864E-4E15-BA47-88DA624A4908}"/>
    <cellStyle name="SDHeader" xfId="2150" xr:uid="{1802EE14-0861-4E25-BC55-A6EF57AD2A35}"/>
    <cellStyle name="Section Number" xfId="2151" xr:uid="{4B959899-564F-4CAE-8FF3-61100F9BCF17}"/>
    <cellStyle name="Section Number." xfId="2152" xr:uid="{21B83163-4FD6-417B-9CC8-02D9DBB8D93E}"/>
    <cellStyle name="Section Number_6. Ass-Fin" xfId="2153" xr:uid="{8A4C818F-483D-4149-BF13-1A6DCE895862}"/>
    <cellStyle name="SEEntry" xfId="2154" xr:uid="{6BDCFD72-8B22-4945-81A7-CBEA66511F21}"/>
    <cellStyle name="SEFormula" xfId="2155" xr:uid="{5D56B765-C8EC-48AD-A7F5-F522538F1B4B}"/>
    <cellStyle name="SEFormula 2" xfId="2839" xr:uid="{1C402DCA-DE8E-4555-8973-E49FAE84CB06}"/>
    <cellStyle name="SEFormula 3" xfId="2587" xr:uid="{B775B4AD-98D3-4CEF-998E-4984585534DA}"/>
    <cellStyle name="SEHeader" xfId="2156" xr:uid="{BA668A77-96DD-4075-8368-4C9D4AF33241}"/>
    <cellStyle name="SELocked" xfId="2157" xr:uid="{61F1BBCC-14A8-4904-976D-5A02264C4B57}"/>
    <cellStyle name="SEM-BPS-data" xfId="2158" xr:uid="{61504B05-66C2-42B7-9316-39672499BEFC}"/>
    <cellStyle name="SEM-BPS-headdata" xfId="2159" xr:uid="{2FC386A0-8070-470A-9D64-3BAEA35F5B84}"/>
    <cellStyle name="SEM-BPS-headkey" xfId="2160" xr:uid="{1EB9D761-62D3-472C-AC37-670F219EB91D}"/>
    <cellStyle name="SEM-BPS-input-on" xfId="2161" xr:uid="{41897947-F0B5-42C9-86ED-C94E8E844F32}"/>
    <cellStyle name="SEM-BPS-key" xfId="2162" xr:uid="{037AB616-0185-4E21-BBDC-315BE9880A45}"/>
    <cellStyle name="Shaded" xfId="8657" xr:uid="{E273F643-3693-4184-8927-522A642D4054}"/>
    <cellStyle name="Sheet Title" xfId="251" xr:uid="{AF81B6FC-37FD-4DAD-A1A8-9F4B30CE4BEE}"/>
    <cellStyle name="Sheet Title 2" xfId="2261" xr:uid="{02CF83E0-44ED-41B8-B5C4-D950B6C2662D}"/>
    <cellStyle name="Sheet Title 2 2" xfId="3954" xr:uid="{DBB4171D-BF5D-4D5F-96FC-E0A81C2A8EC4}"/>
    <cellStyle name="Sheet Title 3" xfId="3687" xr:uid="{2DBD58ED-9C3D-42FF-ADBF-41C711851C44}"/>
    <cellStyle name="Sheet Title 4" xfId="3036" xr:uid="{6C068F2A-65E1-45B3-96BE-3F3E305225C8}"/>
    <cellStyle name="Sheet Title 5" xfId="2163" xr:uid="{59B79FE8-594A-4E43-AEF1-318DBE43392B}"/>
    <cellStyle name="Sheet Title." xfId="2164" xr:uid="{E9ECD2C3-F3D3-4F7C-BB25-A01821A51AD4}"/>
    <cellStyle name="SheetHeader1" xfId="29" xr:uid="{29E217EC-609D-4DB7-803E-645966498676}"/>
    <cellStyle name="ShortDate" xfId="2165" xr:uid="{35369732-57CA-4783-8690-5FF9E31B0871}"/>
    <cellStyle name="Special" xfId="8875" xr:uid="{540676CE-26E4-4EFE-AA5A-790BFA1A787B}"/>
    <cellStyle name="Special 2" xfId="9082" xr:uid="{82525FDD-831D-4400-8403-C93150C0665C}"/>
    <cellStyle name="Special 2 2" xfId="18128" xr:uid="{D42EE56E-AC56-468E-BF4A-124349B22CFA}"/>
    <cellStyle name="Standard" xfId="2166" xr:uid="{7E176664-97F9-4328-BADC-60F068017AF7}"/>
    <cellStyle name="Standard 2" xfId="2167" xr:uid="{4BF7E972-DA28-4863-BDE5-8A653A96B3B2}"/>
    <cellStyle name="std" xfId="2168" xr:uid="{701D6D44-8382-43F9-BA09-8651F35351AE}"/>
    <cellStyle name="Style 1" xfId="252" xr:uid="{F1E46562-FAAA-49B6-BEBD-E22B618CA5A0}"/>
    <cellStyle name="Style 1 2" xfId="253" xr:uid="{BB45C849-C478-4D7C-A843-4B633BA0A6DA}"/>
    <cellStyle name="Style 1 2 2" xfId="558" xr:uid="{1848F04D-7058-496D-BD49-F9A7D476B718}"/>
    <cellStyle name="Style 1 2 2 2" xfId="8894" xr:uid="{89A02F2B-AA26-4DD3-BB4D-5762C56054B4}"/>
    <cellStyle name="Style 1 2 2 3" xfId="3789" xr:uid="{E1355812-4EDA-40AE-A451-E27F4227643B}"/>
    <cellStyle name="Style 1 2 3" xfId="3522" xr:uid="{DF38A993-C456-4D2F-96F2-AFC5739429B5}"/>
    <cellStyle name="Style 1 2 4" xfId="23991" xr:uid="{4B0467AC-A2A8-40E2-B1B5-33A5DF3B7668}"/>
    <cellStyle name="Style 1 3" xfId="559" xr:uid="{E92FA793-232D-443F-B811-80D455C45D2D}"/>
    <cellStyle name="Style 1 3 2" xfId="560" xr:uid="{C630EA01-A64A-48F4-8DE0-2AA99C55CF34}"/>
    <cellStyle name="Style 1 3 2 2" xfId="8876" xr:uid="{3539D0A1-5D00-4536-8262-D6FEE616CD79}"/>
    <cellStyle name="Style 1 3 3" xfId="561" xr:uid="{8E651285-6EEB-4677-8EFD-CBB51CDCA8D1}"/>
    <cellStyle name="Style 1 3 3 2" xfId="3955" xr:uid="{0291BEDA-9534-4EE2-9B9E-BD59BD3D7E02}"/>
    <cellStyle name="Style 1 3 4" xfId="23992" xr:uid="{4ECE739C-9D58-4087-88E3-985EAEED91E3}"/>
    <cellStyle name="Style 1 4" xfId="562" xr:uid="{F50883C4-C79B-4389-A4AA-42B29A22522B}"/>
    <cellStyle name="Style 1 4 2" xfId="8940" xr:uid="{C0938B6C-7488-4F5D-9A2F-C3D6C9E5CED3}"/>
    <cellStyle name="Style 1 4 3" xfId="3688" xr:uid="{618B12B1-B174-469F-80A5-28712BDDCAD5}"/>
    <cellStyle name="Style 1 4 4" xfId="2169" xr:uid="{913CF459-413C-4E7D-BA2F-749991B280EE}"/>
    <cellStyle name="Style 1 5" xfId="8658" xr:uid="{FB08F83D-A002-4654-9C2D-31461F11AD2C}"/>
    <cellStyle name="Style 1 6" xfId="602" xr:uid="{577389A9-CDAA-4B20-8AE4-AECD9C2A7544}"/>
    <cellStyle name="Style 1_29(d) - Gas extensions -tariffs" xfId="254" xr:uid="{BD67CBBE-3308-4505-9A9A-A27414536A62}"/>
    <cellStyle name="Style 2" xfId="8877" xr:uid="{BECD9000-7E15-4C7D-BBD2-C2E5EA6A953D}"/>
    <cellStyle name="Style 26" xfId="8659" xr:uid="{59F6C286-D25F-4A17-9EDF-0CA95DE1F1DF}"/>
    <cellStyle name="Style 26 2" xfId="9015" xr:uid="{DC478209-7298-45D8-A872-241AE31CB183}"/>
    <cellStyle name="Style 26 2 2" xfId="14611" xr:uid="{AA151A33-3A50-4AF0-BF18-6BFB8DCF69A0}"/>
    <cellStyle name="Style 26 2 3" xfId="18063" xr:uid="{559682BD-AB98-43F1-8061-D7A9F271CDAE}"/>
    <cellStyle name="Style 26 2 4" xfId="23531" xr:uid="{063C6129-9015-45C8-B864-9578E6628DA6}"/>
    <cellStyle name="Style 26 3" xfId="9045" xr:uid="{38A17CBB-1658-4EC5-8DAB-6E8A5E247D39}"/>
    <cellStyle name="Style 26 3 2" xfId="14628" xr:uid="{BC327BDC-F611-4283-A7CD-552C8CF03057}"/>
    <cellStyle name="Style 26 3 3" xfId="18092" xr:uid="{7C7FF21B-6F30-476C-804F-B7506E6EDD52}"/>
    <cellStyle name="Style 26 4" xfId="9075" xr:uid="{91F317B4-0431-432E-A6FF-92B9FD52B385}"/>
    <cellStyle name="Style 26 4 2" xfId="14644" xr:uid="{DE52128C-6981-4D05-9075-DC995C9FEC76}"/>
    <cellStyle name="Style 26 4 3" xfId="18121" xr:uid="{01DFA3BE-E354-4D77-9C5D-2A1A749CFD4F}"/>
    <cellStyle name="Style 26 5" xfId="9095" xr:uid="{0C6540F7-2FF8-460D-82A2-428F566E8222}"/>
    <cellStyle name="Style 26 5 2" xfId="14660" xr:uid="{E2282034-E1BF-456D-B8EA-66986BA98E7F}"/>
    <cellStyle name="Style 26 5 3" xfId="18141" xr:uid="{F12F5436-908D-48E3-AAF8-7B93D788B5D3}"/>
    <cellStyle name="Style 26 6" xfId="12424" xr:uid="{F5E4B611-8325-43A0-B04E-FD506EAD923C}"/>
    <cellStyle name="Style 26 6 2" xfId="21471" xr:uid="{6C0C7F78-ADB1-4B2D-872D-7C1E1B17ADF3}"/>
    <cellStyle name="Style 26 7" xfId="12493" xr:uid="{71FBBFB9-2CF0-4D66-B760-C1CF242382C6}"/>
    <cellStyle name="Style 26 7 2" xfId="21540" xr:uid="{F2D49214-4417-46BC-9076-C6A1A0F50A9D}"/>
    <cellStyle name="Style 26 8" xfId="18002" xr:uid="{39A40D5B-EA9F-4CEC-B346-679D6FC6705B}"/>
    <cellStyle name="Style 27" xfId="8660" xr:uid="{5BC15E30-63CF-4945-8D4B-C1A4EF73F1FA}"/>
    <cellStyle name="Style 27 2" xfId="9016" xr:uid="{97DB1450-72E5-4FBC-9DEC-87E990C894FD}"/>
    <cellStyle name="Style 27 2 2" xfId="14612" xr:uid="{D613033C-5F62-4488-B337-DC79340B12AF}"/>
    <cellStyle name="Style 27 2 3" xfId="18064" xr:uid="{DFCDA205-7696-481F-AFDE-572205F4CF1B}"/>
    <cellStyle name="Style 27 2 4" xfId="23530" xr:uid="{F8363E37-75B3-4BFE-A594-79DE96E41FA3}"/>
    <cellStyle name="Style 27 3" xfId="9046" xr:uid="{4A89AFD5-C445-41D2-B85A-5CBDF26F6FD5}"/>
    <cellStyle name="Style 27 3 2" xfId="14629" xr:uid="{751CDDA9-0328-4FD0-8AFB-6A074D7F0FBB}"/>
    <cellStyle name="Style 27 3 3" xfId="18093" xr:uid="{666B3E44-30FE-41CE-82ED-E6D574851BB7}"/>
    <cellStyle name="Style 27 4" xfId="9076" xr:uid="{5592AEDE-3863-4D49-BD5A-68C92883D2CC}"/>
    <cellStyle name="Style 27 4 2" xfId="14645" xr:uid="{E5C8182D-E275-4D1D-8C09-DFDB970E2777}"/>
    <cellStyle name="Style 27 4 3" xfId="18122" xr:uid="{370EAB2A-400B-4EC9-9046-70C2945F6A25}"/>
    <cellStyle name="Style 27 5" xfId="9096" xr:uid="{EBEFD370-1D35-4237-991B-596FCE08A234}"/>
    <cellStyle name="Style 27 5 2" xfId="14661" xr:uid="{C96A3AAF-EBB9-4C22-9DE0-D99234A4968D}"/>
    <cellStyle name="Style 27 5 3" xfId="18142" xr:uid="{E55FE19E-16A4-46B8-85AC-EFAC9894FBAA}"/>
    <cellStyle name="Style 27 6" xfId="12425" xr:uid="{51B373FB-0BBC-4DC3-AB00-7D2ABA0048DF}"/>
    <cellStyle name="Style 27 6 2" xfId="21472" xr:uid="{C30188B0-40D8-4248-9CF6-28D0D0E54E96}"/>
    <cellStyle name="Style 27 7" xfId="12494" xr:uid="{C267CFA2-CEED-496A-91C6-4B58735BFC04}"/>
    <cellStyle name="Style 27 7 2" xfId="21541" xr:uid="{E48E8015-726A-471A-91C6-168624668869}"/>
    <cellStyle name="Style 27 8" xfId="18003" xr:uid="{C8845BC3-9B83-4D00-ABFF-57429364B6F3}"/>
    <cellStyle name="Style 28" xfId="8661" xr:uid="{3C77EEF6-E57C-4812-9B3D-B200003F90EC}"/>
    <cellStyle name="Style 28 2" xfId="9017" xr:uid="{CF604559-2995-4329-A2CD-A97CA85F80E3}"/>
    <cellStyle name="Style 28 2 2" xfId="14613" xr:uid="{C6A27D4C-0F19-4889-812C-195AAA33C2B4}"/>
    <cellStyle name="Style 28 2 3" xfId="18065" xr:uid="{A02999CF-2250-42F3-A929-61857B66B6EF}"/>
    <cellStyle name="Style 28 2 4" xfId="23529" xr:uid="{608A4E21-655D-41CA-ADF8-9D4C104AE76C}"/>
    <cellStyle name="Style 28 3" xfId="9047" xr:uid="{00354328-EC47-4E5E-AFA4-8FF9AA8149AE}"/>
    <cellStyle name="Style 28 3 2" xfId="14630" xr:uid="{B196EEB6-D81D-4740-B0FA-4114D87D920F}"/>
    <cellStyle name="Style 28 3 3" xfId="18094" xr:uid="{39C8C861-BF4C-4959-B8A9-51D4985378B3}"/>
    <cellStyle name="Style 28 4" xfId="9077" xr:uid="{C82B3C63-31ED-4440-A93B-1E14847EF4A2}"/>
    <cellStyle name="Style 28 4 2" xfId="14646" xr:uid="{A81D7BBE-3DF3-45B9-B2FD-F917AF6AC49E}"/>
    <cellStyle name="Style 28 4 3" xfId="18123" xr:uid="{A18BB150-50F8-49BC-8BB5-CAD47B181BF6}"/>
    <cellStyle name="Style 28 5" xfId="9097" xr:uid="{02BF152D-0B73-4420-B27E-225C5CB3E837}"/>
    <cellStyle name="Style 28 5 2" xfId="14662" xr:uid="{AAC61969-8B22-4F7E-BC3F-6AE1D0C59086}"/>
    <cellStyle name="Style 28 5 3" xfId="18143" xr:uid="{222CF7A6-22FE-445A-A200-2795BED6C950}"/>
    <cellStyle name="Style 28 6" xfId="12426" xr:uid="{CB81A96F-96FD-484F-ABDF-B90968A42DE8}"/>
    <cellStyle name="Style 28 6 2" xfId="21473" xr:uid="{783F188A-9963-4143-9972-763E3A2F0A16}"/>
    <cellStyle name="Style 28 7" xfId="12495" xr:uid="{FCCB3603-F1A2-4D9C-A5F0-48104A9D1362}"/>
    <cellStyle name="Style 28 7 2" xfId="21542" xr:uid="{71216396-DB6D-4D05-97A6-18D1CA3491B6}"/>
    <cellStyle name="Style 28 8" xfId="18004" xr:uid="{3A412729-9B0C-436F-9F7A-48F0D180B7D5}"/>
    <cellStyle name="STYLE1" xfId="2170" xr:uid="{CDDC0FC4-2B3B-4AC4-985D-B9334596890A}"/>
    <cellStyle name="STYLE1 2" xfId="8662" xr:uid="{604C9673-6B14-45C5-A52C-2874B5AAEFD8}"/>
    <cellStyle name="style1a" xfId="2171" xr:uid="{954E0282-1B17-4DDE-9183-96928EC4580D}"/>
    <cellStyle name="Style2" xfId="255" xr:uid="{C62E1137-374D-4688-9D92-97F4B5D9AB45}"/>
    <cellStyle name="Style2 2" xfId="2172" xr:uid="{53FA72EF-16B8-4B38-A1B0-5E7702CE6E9E}"/>
    <cellStyle name="Style2 2 2" xfId="3956" xr:uid="{40A54A32-010F-4B9D-8C85-422FD7CFAA01}"/>
    <cellStyle name="Style2 3" xfId="3689" xr:uid="{0642B7E2-FA6A-4616-B7CD-A42D5B2758C0}"/>
    <cellStyle name="Style2_7. Ass" xfId="2173" xr:uid="{13A81787-3357-40AC-8208-7D96EA7593A5}"/>
    <cellStyle name="Style3" xfId="256" xr:uid="{BBB90EE0-45E9-4460-BB7A-153EF008DF6B}"/>
    <cellStyle name="Style3 2" xfId="2174" xr:uid="{647D5741-5300-4EE0-88BA-09DD224A10BB}"/>
    <cellStyle name="Style3 2 2" xfId="3957" xr:uid="{DD1255AC-7C40-42DB-A69C-32C3945EED5D}"/>
    <cellStyle name="Style3 3" xfId="3690" xr:uid="{7B970EB2-160B-4234-8C63-172F3B2235B0}"/>
    <cellStyle name="Style3_7. Ass" xfId="2175" xr:uid="{1172D99F-B4E4-443B-8D1D-CD97654D4EDC}"/>
    <cellStyle name="Style4" xfId="257" xr:uid="{46DFCD1A-708D-48A8-B140-677E93E2E88A}"/>
    <cellStyle name="Style4 2" xfId="258" xr:uid="{FB3D8B21-908F-4A21-B5EF-A561B892EEFE}"/>
    <cellStyle name="STYLE4 2 2" xfId="8663" xr:uid="{16917D5D-9F52-45B0-9B69-3F02595DBB21}"/>
    <cellStyle name="Style4_29(d) - Gas extensions -tariffs" xfId="259" xr:uid="{7A22419A-ED70-4060-90CE-63B576D9F331}"/>
    <cellStyle name="Style5" xfId="260" xr:uid="{234F9E5C-54F4-4920-9C2F-A91509FB91F6}"/>
    <cellStyle name="Style5 2" xfId="261" xr:uid="{91259358-B19E-405C-8737-3D593B881B91}"/>
    <cellStyle name="Style5_29(d) - Gas extensions -tariffs" xfId="262" xr:uid="{5CF26DC2-8F06-4AAD-90F9-3553CC71CCEF}"/>
    <cellStyle name="STYLE6" xfId="2176" xr:uid="{56A3B710-2E67-44A2-812A-ECCA192F7780}"/>
    <cellStyle name="STYLE7" xfId="2177" xr:uid="{933110B1-C869-4363-B8EC-5E88CB57F87E}"/>
    <cellStyle name="style9" xfId="2178" xr:uid="{C1AA8E2B-BC07-487E-B30F-4EF8254FDF8E}"/>
    <cellStyle name="style9 2" xfId="2179" xr:uid="{62C020A3-97C8-4794-BF98-71D4CEEE2E85}"/>
    <cellStyle name="style9 2 2" xfId="2683" xr:uid="{167DE3EE-A07B-427D-8521-766417A048EB}"/>
    <cellStyle name="style9 2 3" xfId="2976" xr:uid="{2087B2D5-F4B8-47ED-997F-8740B8330E41}"/>
    <cellStyle name="style9 3" xfId="2684" xr:uid="{77E2E9FA-B38A-49AF-802B-0F0819DF0B22}"/>
    <cellStyle name="style9 4" xfId="2975" xr:uid="{C92E5C3D-4B4E-44CF-8DA8-230F7050A651}"/>
    <cellStyle name="style9_6. Ass-Fin" xfId="2180" xr:uid="{EBA75F5D-F36C-40B4-BC24-0C5478FB3385}"/>
    <cellStyle name="Sub Total." xfId="2181" xr:uid="{7CD30CEB-F083-41EE-B197-83C642202514}"/>
    <cellStyle name="Sub totals" xfId="2182" xr:uid="{FAB716E1-B2A8-400E-AACB-978448759EDB}"/>
    <cellStyle name="Sub totals 2" xfId="2183" xr:uid="{CD6A2BF7-63CD-4C7D-B585-0D5D9E6A61A2}"/>
    <cellStyle name="Sub totals 2 2" xfId="2853" xr:uid="{A24E91D3-CED7-4DF7-B4AC-D36C65661F59}"/>
    <cellStyle name="Sub totals 2 3" xfId="2720" xr:uid="{9F2D6B2B-4B01-49D6-92F4-501966BA41F8}"/>
    <cellStyle name="Sub totals 3" xfId="2184" xr:uid="{84131924-F27D-4782-A0DE-975FBB1B4629}"/>
    <cellStyle name="Sub totals 3 2" xfId="2854" xr:uid="{EBCB5B62-4EC1-4E51-B546-E8A549379A52}"/>
    <cellStyle name="Sub totals 3 3" xfId="2719" xr:uid="{5E8318BA-C610-4D6E-B6EE-5F67EAA67A01}"/>
    <cellStyle name="Sub totals 4" xfId="2852" xr:uid="{E897AC00-C68F-4959-AE1E-B5CB5E02AA07}"/>
    <cellStyle name="Sub totals 5" xfId="2721" xr:uid="{EE15B8A1-AB85-420E-934C-224C6F385AEB}"/>
    <cellStyle name="Sub totals_6. Ass-Fin" xfId="2185" xr:uid="{5F4000F9-4CA2-41A3-B990-947EE3199BB5}"/>
    <cellStyle name="Subheading" xfId="2186" xr:uid="{CE54B29F-D8CC-4CE0-B3D6-FCF7C06F28D3}"/>
    <cellStyle name="subt1" xfId="2187" xr:uid="{88F26C93-B069-4D29-8C85-40C78164E2A0}"/>
    <cellStyle name="Subtotal" xfId="2188" xr:uid="{1A7EEC16-CBBB-4F70-9252-2098DE576A72}"/>
    <cellStyle name="swiss" xfId="8664" xr:uid="{22187B8C-EF6C-4F4F-9E2C-FABB3BBADC27}"/>
    <cellStyle name="swiss input" xfId="8665" xr:uid="{034B8105-F56B-4C1B-931F-0AC491FBCDE8}"/>
    <cellStyle name="swiss input1" xfId="8666" xr:uid="{0535247F-40F4-4C9B-BA1D-EF668EA23637}"/>
    <cellStyle name="swiss input2" xfId="8667" xr:uid="{5F0E214B-E3D4-4CED-A947-CB5A9019AAB6}"/>
    <cellStyle name="swiss spec" xfId="8668" xr:uid="{A8074262-E7BF-49E5-920E-CCE4D2A1B939}"/>
    <cellStyle name="Table Col Head" xfId="8669" xr:uid="{795EDF78-D87C-40ED-A03F-0B97CAA8CE7B}"/>
    <cellStyle name="Table Head" xfId="2189" xr:uid="{0AF3B5BB-77E6-4F8A-AA62-B2ADB82F8BDD}"/>
    <cellStyle name="Table Head Aligned" xfId="2190" xr:uid="{6817ADB2-1CD1-4746-8EE5-D853C643F029}"/>
    <cellStyle name="Table Head Aligned 2" xfId="2191" xr:uid="{B1C43EBF-6833-4D88-996E-1F00712F408D}"/>
    <cellStyle name="Table Head Aligned 2 2" xfId="2192" xr:uid="{182B9C6E-3934-40AC-B7EC-F810DC67FA8C}"/>
    <cellStyle name="Table Head Aligned 2 2 2" xfId="2193" xr:uid="{74E74571-180F-443B-9550-73AE61EBBBE6}"/>
    <cellStyle name="Table Head Aligned 2 2 2 2" xfId="2861" xr:uid="{5E3B009A-DF79-4822-899A-B24D80BB9471}"/>
    <cellStyle name="Table Head Aligned 2 2 2 3" xfId="2582" xr:uid="{1180AB96-B21B-4025-8B4C-C33CE5AFB553}"/>
    <cellStyle name="Table Head Aligned 2 2 3" xfId="2860" xr:uid="{EBFF0A37-6CA6-4870-9842-5529DCC2AE5A}"/>
    <cellStyle name="Table Head Aligned 2 2 4" xfId="2583" xr:uid="{D80B1D00-8C6E-4C2D-BFC4-C4062A6337B4}"/>
    <cellStyle name="Table Head Aligned 2 3" xfId="2194" xr:uid="{2457CA6D-9301-4F76-B087-E1410E544E9C}"/>
    <cellStyle name="Table Head Aligned 2 3 2" xfId="2195" xr:uid="{BBA09665-C93E-4F03-A507-DDC31CE76601}"/>
    <cellStyle name="Table Head Aligned 2 3 2 2" xfId="2863" xr:uid="{41BDF231-AEC6-43B9-A141-FE9EFF03B3AE}"/>
    <cellStyle name="Table Head Aligned 2 3 2 3" xfId="2580" xr:uid="{FEF63009-229E-470E-805C-2687F77C74F4}"/>
    <cellStyle name="Table Head Aligned 2 3 3" xfId="2862" xr:uid="{458BDEFE-B852-41D9-A68C-617B6B8B976F}"/>
    <cellStyle name="Table Head Aligned 2 3 4" xfId="2581" xr:uid="{5DE87809-AB92-48D3-AF9C-B1C81A0DC9BC}"/>
    <cellStyle name="Table Head Aligned 2 4" xfId="2196" xr:uid="{2BF0E588-C9C8-42DD-B5DA-881707F39E69}"/>
    <cellStyle name="Table Head Aligned 2 4 2" xfId="2864" xr:uid="{64D83678-336E-45A7-8568-A338BE85F1ED}"/>
    <cellStyle name="Table Head Aligned 2 4 3" xfId="2579" xr:uid="{D06119EE-9B31-49FB-B349-81999DE1ECA8}"/>
    <cellStyle name="Table Head Aligned 2 5" xfId="2859" xr:uid="{E7721609-FDAE-4BA5-B696-231D71291667}"/>
    <cellStyle name="Table Head Aligned 2 6" xfId="2584" xr:uid="{85909B77-B2C5-4801-81AA-AF6F3D2BFB7A}"/>
    <cellStyle name="Table Head Aligned 3" xfId="2197" xr:uid="{DF7B6DEF-FA4A-4ED8-8C76-D502D90BBC3E}"/>
    <cellStyle name="Table Head Aligned 3 2" xfId="2865" xr:uid="{9493912C-9B31-464D-B2F0-EA2837CF93FF}"/>
    <cellStyle name="Table Head Aligned 3 3" xfId="2578" xr:uid="{F5D2CA36-3DF3-4BD2-83F8-BCB6A31898D3}"/>
    <cellStyle name="Table Head Aligned 4" xfId="2858" xr:uid="{CD493E74-659A-4063-957D-DCCF6F77B5DA}"/>
    <cellStyle name="Table Head Aligned 5" xfId="2585" xr:uid="{1DDD5023-F035-4941-AAE6-9739BD69A9B5}"/>
    <cellStyle name="Table Head Blue" xfId="2198" xr:uid="{BB6E2363-65AE-46C8-B895-ABAC084BF100}"/>
    <cellStyle name="Table Head Green" xfId="263" xr:uid="{08C52C30-7E7D-40A7-8DFC-D7F92A6D1245}"/>
    <cellStyle name="Table Head Green 2" xfId="2199" xr:uid="{7CFF816F-C715-44EC-A93A-C8A6898CC9CC}"/>
    <cellStyle name="Table Head Green 2 2" xfId="2200" xr:uid="{78126425-463F-4B17-8DB0-D2F8AC814747}"/>
    <cellStyle name="Table Head Green 2 2 2" xfId="2201" xr:uid="{BCFAC503-7E1F-425A-ABF7-24209FB7CAB5}"/>
    <cellStyle name="Table Head Green 2 2 2 2" xfId="2868" xr:uid="{B52F7727-8226-4396-A997-A705247B1BC9}"/>
    <cellStyle name="Table Head Green 2 2 2 2 2" xfId="18904" xr:uid="{C4B69AE0-7AD8-4924-B1A1-D4B89F0D70F2}"/>
    <cellStyle name="Table Head Green 2 2 2 2 3" xfId="9858" xr:uid="{07D179E0-3116-46F2-BAEB-C81D8F355A69}"/>
    <cellStyle name="Table Head Green 2 2 2 3" xfId="2575" xr:uid="{965B1650-4BA2-43FF-A8E4-CA9806ACA945}"/>
    <cellStyle name="Table Head Green 2 2 2 3 2" xfId="15420" xr:uid="{3384779E-8B2E-4558-8AB5-6BC810FA6EDB}"/>
    <cellStyle name="Table Head Green 2 2 2 4" xfId="3996" xr:uid="{8A167773-8734-4087-9077-475A571F0C4D}"/>
    <cellStyle name="Table Head Green 2 2 3" xfId="2867" xr:uid="{6F879DF9-1EDC-4AD2-9DC8-469B4EF1F955}"/>
    <cellStyle name="Table Head Green 2 2 3 2" xfId="18314" xr:uid="{BDC23C4F-5C3D-4BD8-A1B3-59C0839477BA}"/>
    <cellStyle name="Table Head Green 2 2 3 3" xfId="9268" xr:uid="{3FCC9306-A048-4057-9B87-B96F41C0D256}"/>
    <cellStyle name="Table Head Green 2 2 4" xfId="2576" xr:uid="{DB108F98-73A8-4770-8F98-C0F9D4ACAAF5}"/>
    <cellStyle name="Table Head Green 2 2 4 2" xfId="14837" xr:uid="{43A82637-817E-499A-801E-49CFC36BD387}"/>
    <cellStyle name="Table Head Green 2 2 5" xfId="3075" xr:uid="{CD7110A4-DC58-491C-A801-16F1D3E1D1C6}"/>
    <cellStyle name="Table Head Green 2 3" xfId="2202" xr:uid="{38A2234F-A017-4948-8CC6-9CFF06FD21C9}"/>
    <cellStyle name="Table Head Green 2 3 2" xfId="2203" xr:uid="{3FCAB83B-F7E7-4294-BF4B-E837B48B38AC}"/>
    <cellStyle name="Table Head Green 2 3 2 2" xfId="2870" xr:uid="{27C353A9-F41D-41D0-8432-899776C4B899}"/>
    <cellStyle name="Table Head Green 2 3 2 2 2" xfId="18816" xr:uid="{AB456EA2-E771-4524-AA3F-68502AA1407C}"/>
    <cellStyle name="Table Head Green 2 3 2 3" xfId="2573" xr:uid="{2BDA78E3-6223-4416-919E-B05AB7659D35}"/>
    <cellStyle name="Table Head Green 2 3 2 4" xfId="9770" xr:uid="{7D897099-DA51-4828-9D10-08436FCCFD5A}"/>
    <cellStyle name="Table Head Green 2 3 3" xfId="2869" xr:uid="{DFEF68C9-0CF1-4F02-802D-8B34A781DA6E}"/>
    <cellStyle name="Table Head Green 2 3 3 2" xfId="15336" xr:uid="{82835E75-20EE-4423-B18F-4865B570B3FB}"/>
    <cellStyle name="Table Head Green 2 3 4" xfId="2574" xr:uid="{37BBE6C4-D2FC-4F1D-AF17-4D1FED2509A5}"/>
    <cellStyle name="Table Head Green 2 3 5" xfId="3728" xr:uid="{B50CC55F-9C59-43A7-B71F-A6B9F384210B}"/>
    <cellStyle name="Table Head Green 2 4" xfId="2204" xr:uid="{430BF44A-2DA5-4187-9E13-C65794326B78}"/>
    <cellStyle name="Table Head Green 2 4 2" xfId="2871" xr:uid="{9E9574CE-389B-40D1-A788-EFDC598EAB87}"/>
    <cellStyle name="Table Head Green 2 4 2 2" xfId="18168" xr:uid="{B5484BCB-1F54-4148-B0A0-BB4ACC5E5AD7}"/>
    <cellStyle name="Table Head Green 2 4 3" xfId="2572" xr:uid="{7BC9A3E6-762C-4E86-83DC-3E0581AD0BC7}"/>
    <cellStyle name="Table Head Green 2 4 4" xfId="9122" xr:uid="{B2133E14-7D6F-434D-867B-C983EA8F0ECD}"/>
    <cellStyle name="Table Head Green 2 5" xfId="2866" xr:uid="{1B61F848-E73D-4EDE-BD1A-2D25BCA59B89}"/>
    <cellStyle name="Table Head Green 2 5 2" xfId="14691" xr:uid="{6D5E77E0-A199-4853-911D-F4C29D0F7F5D}"/>
    <cellStyle name="Table Head Green 2 6" xfId="2577" xr:uid="{A30BCD2F-B5C7-4DB7-A47B-F13A92FA19A9}"/>
    <cellStyle name="Table Head Green 2 6 2" xfId="21563" xr:uid="{864D21B7-211E-480D-B9A1-78DFB9D9B921}"/>
    <cellStyle name="Table Head Green 2 7" xfId="23787" xr:uid="{D5FC4851-4040-478B-94D2-670B47DDBE37}"/>
    <cellStyle name="Table Head Green 2 8" xfId="3047" xr:uid="{76898DD7-045E-4C81-ABFF-D305EA9BA3E1}"/>
    <cellStyle name="Table Head Green 3" xfId="2205" xr:uid="{55C31C9E-923D-4BAD-B218-A93358B3499B}"/>
    <cellStyle name="Table Head Green 3 2" xfId="2872" xr:uid="{79D6EEE4-3483-4B01-8567-56BD6F81BA1A}"/>
    <cellStyle name="Table Head Green 3 2 2" xfId="9835" xr:uid="{124E66DA-5DB5-4013-9C7D-D434DE7645FA}"/>
    <cellStyle name="Table Head Green 3 2 2 2" xfId="18881" xr:uid="{BFB3DE19-A866-4D93-B581-DE411C6C1FF4}"/>
    <cellStyle name="Table Head Green 3 2 3" xfId="15397" xr:uid="{FEA7A48B-8B25-4ADD-A51E-6FBBA67BC693}"/>
    <cellStyle name="Table Head Green 3 2 4" xfId="3958" xr:uid="{47579A6F-25AB-4631-8260-DD263D99C573}"/>
    <cellStyle name="Table Head Green 3 3" xfId="2571" xr:uid="{0DE58758-4E7B-4F15-AF24-1C806E947AFF}"/>
    <cellStyle name="Table Head Green 3 3 2" xfId="18315" xr:uid="{E24CD9B3-F588-4740-8824-899FE7C6503F}"/>
    <cellStyle name="Table Head Green 3 3 3" xfId="9269" xr:uid="{7588F3F9-408E-4E8A-A304-0626F1F215D4}"/>
    <cellStyle name="Table Head Green 3 4" xfId="14838" xr:uid="{25796D2E-239B-4AE4-8DA0-76F032C10D3D}"/>
    <cellStyle name="Table Head Green 3 5" xfId="3076" xr:uid="{D2F8BC77-8DF1-40DB-AD70-56794827628D}"/>
    <cellStyle name="Table Head Green 4" xfId="2525" xr:uid="{71D31CE5-BA5E-48D9-9FCB-D3DE20889863}"/>
    <cellStyle name="Table Head Green 4 2" xfId="9747" xr:uid="{7B4B1707-26AF-4449-B5EA-E8D2B374D2BE}"/>
    <cellStyle name="Table Head Green 4 2 2" xfId="18793" xr:uid="{AA6B4CB3-CF36-4427-B259-6FDBAE775582}"/>
    <cellStyle name="Table Head Green 4 3" xfId="14614" xr:uid="{B8602EC2-5F73-43DD-85C0-9A106F0E3092}"/>
    <cellStyle name="Table Head Green 4 4" xfId="15313" xr:uid="{7886C295-A1B7-4479-A6A6-4358B221446C}"/>
    <cellStyle name="Table Head Green 4 5" xfId="23673" xr:uid="{7F67368E-626C-4CA3-88AD-C0047CD81E9D}"/>
    <cellStyle name="Table Head Green 4 6" xfId="3691" xr:uid="{2BDB90B7-62D8-49B2-9D42-A6050E3989B4}"/>
    <cellStyle name="Table Head Green 5" xfId="2874" xr:uid="{23C8E6A2-E3CF-4CB7-A4BF-1F993600E35D}"/>
    <cellStyle name="Table Head Green 5 2" xfId="18124" xr:uid="{D149E0BF-EEB1-4EF2-9763-CC504BF45F4D}"/>
    <cellStyle name="Table Head Green 5 3" xfId="9078" xr:uid="{36EB71CB-1605-4BAA-8BE2-12775D53522D}"/>
    <cellStyle name="Table Head Green 6" xfId="14668" xr:uid="{1579F55F-D56F-4644-8578-77BFA3E7AC3E}"/>
    <cellStyle name="Table Head Green 7" xfId="21544" xr:uid="{40DE9D2A-FEC1-4A9A-B2AD-B5908946E978}"/>
    <cellStyle name="Table Head Green 8" xfId="23788" xr:uid="{7AECD8E5-BC69-42AE-BFB5-186D0CF44071}"/>
    <cellStyle name="Table Head Green 9" xfId="3037" xr:uid="{EC062D4C-F279-4557-B024-2F3D3A8C1089}"/>
    <cellStyle name="Table Head_7. Ass" xfId="2206" xr:uid="{64FA5E3A-8F6A-4CF7-8190-FA8E94D569F8}"/>
    <cellStyle name="Table Heading" xfId="2207" xr:uid="{C4CD859A-78AD-41B1-9C8A-A73D5E19FC47}"/>
    <cellStyle name="Table Source" xfId="264" xr:uid="{F5998EE7-AE59-4C79-82A3-1656250DDB7E}"/>
    <cellStyle name="Table Source 2" xfId="3959" xr:uid="{F6701926-F9D3-4DCE-96C2-9999F6C033BC}"/>
    <cellStyle name="Table Source 3" xfId="3692" xr:uid="{340437EC-5794-4EDA-8F20-79357418F5EC}"/>
    <cellStyle name="Table Sub Head" xfId="8670" xr:uid="{886D4721-7DAF-415C-BE81-2BF526D6BE23}"/>
    <cellStyle name="Table Text" xfId="2208" xr:uid="{FE836448-5858-4E6E-8094-C1FD279D7BE4}"/>
    <cellStyle name="Table Title" xfId="2209" xr:uid="{1DF4CA82-DB66-474F-9DF0-2F2EEB03AE64}"/>
    <cellStyle name="Table Title 2" xfId="8671" xr:uid="{653CF58B-4468-4B1F-B1D8-8842F50F5376}"/>
    <cellStyle name="Table Units" xfId="265" xr:uid="{E6B7AEB4-ED93-446E-8A9C-2AA9AD425DF4}"/>
    <cellStyle name="Table Units 2" xfId="3077" xr:uid="{097DBA3A-3AD4-46E5-A679-556ED3FC206F}"/>
    <cellStyle name="Table Units 2 2" xfId="3960" xr:uid="{BB3EE044-4C55-4220-8FC4-746FFC3E1865}"/>
    <cellStyle name="Table Units 3" xfId="3693" xr:uid="{02E81D9D-94A1-45EC-9758-489CC6B2C182}"/>
    <cellStyle name="Table Units 4" xfId="23789" xr:uid="{89B59C7D-D3FB-4A89-9199-4F7FEB60D376}"/>
    <cellStyle name="Table Units 5" xfId="3038" xr:uid="{C3B3A8AA-4B7E-4DFC-BA79-F7E20336613A}"/>
    <cellStyle name="Table_Heading" xfId="2263" xr:uid="{8E9DBB2C-EFCE-499D-8A28-D37EA4FCBA75}"/>
    <cellStyle name="TableLvl2" xfId="38" xr:uid="{020D9CCC-07F2-4E58-ACB3-6B331E64292A}"/>
    <cellStyle name="TableLvl3" xfId="39" xr:uid="{9F8A79CE-A6FC-412F-B403-6DA997849787}"/>
    <cellStyle name="Text" xfId="266" xr:uid="{1D673698-391F-4D1A-9994-0592B0689D81}"/>
    <cellStyle name="Text 1" xfId="2210" xr:uid="{5ED4880C-F11C-4E1B-9FF4-F2EA9C82BC07}"/>
    <cellStyle name="Text 2" xfId="267" xr:uid="{7283A1EB-E263-4690-9AD0-51B94F973871}"/>
    <cellStyle name="Text 2 2" xfId="3961" xr:uid="{CC3F69FA-28F0-4C1C-94A5-5A228377812D}"/>
    <cellStyle name="Text 2 3" xfId="3694" xr:uid="{9FF36922-3431-4328-8E0A-37451D79F6A0}"/>
    <cellStyle name="Text 3" xfId="268" xr:uid="{4AE51993-D3E9-4912-9874-9D24BE7C7783}"/>
    <cellStyle name="Text Head 1" xfId="269" xr:uid="{A1EDB929-CF11-4163-9702-102D2C98934B}"/>
    <cellStyle name="Text Head 1 2" xfId="3962" xr:uid="{6E104AB8-29D3-464E-A47E-080CF9482F7D}"/>
    <cellStyle name="Text Head 1 3" xfId="3695" xr:uid="{6EB2E357-0FF2-4C8D-AECF-7B14E1DFF672}"/>
    <cellStyle name="Text Head 1 4" xfId="3039" xr:uid="{D2B2DFC9-C935-4673-B9A4-624404E26460}"/>
    <cellStyle name="Text Head 2" xfId="270" xr:uid="{F19451B4-A51B-4CE1-8036-A7BEB225C27A}"/>
    <cellStyle name="Text Head 2 2" xfId="3963" xr:uid="{7D301807-7C81-4176-A89F-4D7464DCFFBF}"/>
    <cellStyle name="Text Head 2 3" xfId="3696" xr:uid="{BEA705E1-C3E3-4A1C-BB4A-7E38DAFAAA18}"/>
    <cellStyle name="Text Head 2 4" xfId="3040" xr:uid="{BCA16587-E681-49D4-B755-7C93C3BDAE49}"/>
    <cellStyle name="Text Indent 1" xfId="2211" xr:uid="{DAEA99B7-E3DC-4082-950F-5E83D651E88F}"/>
    <cellStyle name="Text Indent 2" xfId="271" xr:uid="{9B2F713B-F67F-43BC-8FA6-C12413B38332}"/>
    <cellStyle name="Text Indent 2 2" xfId="3964" xr:uid="{6759EEA8-CE16-4481-BD67-40A2E5173E2A}"/>
    <cellStyle name="Text Indent 2 3" xfId="3697" xr:uid="{87A0B84D-DB05-427B-978F-36A16D85FA46}"/>
    <cellStyle name="Text Indent A" xfId="2212" xr:uid="{9C4F7E0F-FBB3-4EE1-8E6D-38F0983BE3F5}"/>
    <cellStyle name="Text Indent A 10" xfId="8672" xr:uid="{7EA73AFC-1DC4-4920-81C5-32DB34335A1D}"/>
    <cellStyle name="Text Indent A 10 2" xfId="8673" xr:uid="{3943904F-7C07-459D-9477-D53EC828A0B5}"/>
    <cellStyle name="Text Indent A 10 2 2" xfId="8674" xr:uid="{10723FE4-1397-4062-A98D-10E63E8ECA26}"/>
    <cellStyle name="Text Indent A 2" xfId="8675" xr:uid="{B2568C40-B9EC-43CC-B5C7-2F62F2CA60B0}"/>
    <cellStyle name="Text Indent A 2 2" xfId="8676" xr:uid="{ADFF199E-EE7C-4C58-A12C-02773505F0A5}"/>
    <cellStyle name="Text Indent A 3" xfId="8677" xr:uid="{62993DFA-64EB-440B-B7DA-C0F0E4B5597C}"/>
    <cellStyle name="Text Indent A 3 2" xfId="8678" xr:uid="{6271BF4C-11BE-4F99-A950-69B5DF864BE8}"/>
    <cellStyle name="Text Indent A 4" xfId="8679" xr:uid="{F94BE960-5292-45E9-8CD9-9A7874765424}"/>
    <cellStyle name="Text Indent A 4 2" xfId="8680" xr:uid="{5B62E311-5FBD-473C-AF9A-CAF43F3F9C7C}"/>
    <cellStyle name="Text Indent A 5" xfId="8681" xr:uid="{5F50902D-3DC6-4E78-8056-CB348EA063F8}"/>
    <cellStyle name="Text Indent A 5 2" xfId="8682" xr:uid="{46DCA423-21F2-4E2D-B001-AAA9CCB09BE7}"/>
    <cellStyle name="Text Indent A 6" xfId="8683" xr:uid="{4782FC3C-C02C-4BBF-94FB-7B7982155D43}"/>
    <cellStyle name="Text Indent A 6 2" xfId="8684" xr:uid="{280873C7-6790-484E-88D3-C3C1F482283E}"/>
    <cellStyle name="Text Indent A 7" xfId="8685" xr:uid="{25E6A3E8-F981-4008-BDFB-DCC05867BF51}"/>
    <cellStyle name="Text Indent A 7 2" xfId="8686" xr:uid="{64DC8E6F-472C-43CA-814D-851884D2B1E0}"/>
    <cellStyle name="Text Indent A 8" xfId="8687" xr:uid="{D7F46E7A-03F3-45BD-8138-1E8B3210948B}"/>
    <cellStyle name="Text Indent A 8 2" xfId="8688" xr:uid="{09AFD07A-B5CF-4688-A4EE-5FF0CC2D3DFB}"/>
    <cellStyle name="Text Indent A 9" xfId="8689" xr:uid="{AF27C78B-4371-4B8D-886B-AA87C90433A9}"/>
    <cellStyle name="Text Indent A 9 2" xfId="8690" xr:uid="{69D63668-9EFA-4C51-95F0-2FE55F264647}"/>
    <cellStyle name="Text Indent B" xfId="2213" xr:uid="{52F9ACA8-35AA-4A72-8916-5BAA30D9F292}"/>
    <cellStyle name="Text Indent B 10" xfId="8692" xr:uid="{C780178C-C282-44AD-B52F-B38AA2B564F5}"/>
    <cellStyle name="Text Indent B 10 2" xfId="8693" xr:uid="{5CF4102A-8452-4106-BEEA-5AA0CF78ED3A}"/>
    <cellStyle name="Text Indent B 10 2 2" xfId="8694" xr:uid="{1349BE9D-A9A4-4ECE-9248-8D8DFE67C2C5}"/>
    <cellStyle name="Text Indent B 11" xfId="8691" xr:uid="{352AA518-D51A-491C-A726-F1D772B560F4}"/>
    <cellStyle name="Text Indent B 2" xfId="8695" xr:uid="{4C95C2DA-DD6B-44C1-9F65-7DF1C5166662}"/>
    <cellStyle name="Text Indent B 2 2" xfId="8696" xr:uid="{40A985C2-0AD8-4B21-916C-FB726F9BD7CE}"/>
    <cellStyle name="Text Indent B 2 3" xfId="8697" xr:uid="{46792588-CD3D-433B-9B88-7CA8D703DD28}"/>
    <cellStyle name="Text Indent B 3" xfId="8698" xr:uid="{8341A43D-BC39-4BE6-A2FE-E20A0067E75A}"/>
    <cellStyle name="Text Indent B 3 2" xfId="8699" xr:uid="{C8C99814-E583-467D-80CD-A208E0D4D857}"/>
    <cellStyle name="Text Indent B 3 3" xfId="8700" xr:uid="{86D33993-23D8-4811-91EB-CBA9A9BFAC27}"/>
    <cellStyle name="Text Indent B 4" xfId="8701" xr:uid="{D86C4178-6418-4911-84D9-5FB6F4611846}"/>
    <cellStyle name="Text Indent B 4 2" xfId="8702" xr:uid="{BAF018DA-9FA8-40F6-BE09-1BA9A503A845}"/>
    <cellStyle name="Text Indent B 4 3" xfId="8703" xr:uid="{0127E857-58DE-406D-A4C7-41D9AB603BF9}"/>
    <cellStyle name="Text Indent B 5" xfId="8704" xr:uid="{9416C196-0FD2-4D43-90D3-B31EBBD35BF5}"/>
    <cellStyle name="Text Indent B 5 2" xfId="8705" xr:uid="{0067EB78-CA5E-42C7-B64E-90DAB5CD5BBF}"/>
    <cellStyle name="Text Indent B 5 3" xfId="8706" xr:uid="{49A16B64-0CB4-4D8C-A3C8-77BD9F9B8FBE}"/>
    <cellStyle name="Text Indent B 6" xfId="8707" xr:uid="{80107DB1-6153-447C-B9C9-216BE1F20B0B}"/>
    <cellStyle name="Text Indent B 6 2" xfId="8708" xr:uid="{799E9997-3C49-47F8-B9C4-2BAD1AE0A88E}"/>
    <cellStyle name="Text Indent B 6 3" xfId="8709" xr:uid="{74636DD7-315B-4B74-9A88-35FE9C5D08A6}"/>
    <cellStyle name="Text Indent B 7" xfId="8710" xr:uid="{11C5FDB9-7F4F-4E0C-A446-556517B086B8}"/>
    <cellStyle name="Text Indent B 7 2" xfId="8711" xr:uid="{5FE3C735-CE42-47BF-A83E-2F30F00E3047}"/>
    <cellStyle name="Text Indent B 7 3" xfId="8712" xr:uid="{C7F9A2B0-A3E2-4EC6-B891-36D4A891424C}"/>
    <cellStyle name="Text Indent B 8" xfId="8713" xr:uid="{0499FB7A-9C12-4ADB-AB82-BCF39B11DD05}"/>
    <cellStyle name="Text Indent B 8 2" xfId="8714" xr:uid="{7D63BFC4-2B7E-47F0-9450-8D40827E71AB}"/>
    <cellStyle name="Text Indent B 8 3" xfId="8715" xr:uid="{8D2EA561-DFF5-4882-9B8A-060BA0C72D93}"/>
    <cellStyle name="Text Indent B 9" xfId="8716" xr:uid="{CCF48318-9A7F-44CA-A31C-8949E3FA54A5}"/>
    <cellStyle name="Text Indent B 9 2" xfId="8717" xr:uid="{C1F2768E-7AA8-4166-95B5-8427CFDF423D}"/>
    <cellStyle name="Text Indent B 9 3" xfId="8718" xr:uid="{A44C2526-F182-4639-B716-17AD157CA384}"/>
    <cellStyle name="Text Indent C" xfId="2214" xr:uid="{854D3D2E-C244-487B-96FE-5DC8AE44ED98}"/>
    <cellStyle name="Text Indent C 10" xfId="8720" xr:uid="{0E1D02F8-00EA-45BF-96AA-F28D67604AAD}"/>
    <cellStyle name="Text Indent C 10 2" xfId="8721" xr:uid="{7D737F07-7756-4279-B1EE-D2D10169C771}"/>
    <cellStyle name="Text Indent C 10 2 2" xfId="8722" xr:uid="{E78B6F92-A52F-4E22-B0BC-BC5F2A4F3FFD}"/>
    <cellStyle name="Text Indent C 11" xfId="8719" xr:uid="{EC84D014-38EB-411B-8EDD-1A3BE13666F9}"/>
    <cellStyle name="Text Indent C 2" xfId="8723" xr:uid="{3FF7E735-18D8-4A81-9702-4BCF9291B813}"/>
    <cellStyle name="Text Indent C 2 2" xfId="8724" xr:uid="{4B5C15E4-D40D-457A-B4A8-52B31566C0F4}"/>
    <cellStyle name="Text Indent C 2 3" xfId="8725" xr:uid="{1BA09BB1-3A9A-44B9-9A5D-467AACF25C01}"/>
    <cellStyle name="Text Indent C 3" xfId="8726" xr:uid="{DC86CD24-C22C-4904-AD50-C207F35A78DB}"/>
    <cellStyle name="Text Indent C 3 2" xfId="8727" xr:uid="{A3232D24-D078-4BC5-ABFB-A1CCF9B4C6DF}"/>
    <cellStyle name="Text Indent C 3 3" xfId="8728" xr:uid="{AB98A3F2-77CD-43C0-BC3B-943FD3B52E78}"/>
    <cellStyle name="Text Indent C 4" xfId="8729" xr:uid="{B690D829-0B4A-4027-9776-8928209B3ED1}"/>
    <cellStyle name="Text Indent C 4 2" xfId="8730" xr:uid="{1C5B7137-B648-4152-B6C7-35ED82E5DF04}"/>
    <cellStyle name="Text Indent C 4 3" xfId="8731" xr:uid="{5FA19BDD-8D7E-40E1-BF72-230301D330A8}"/>
    <cellStyle name="Text Indent C 5" xfId="8732" xr:uid="{CDB46639-11D0-41F6-87B5-14673E5F0E55}"/>
    <cellStyle name="Text Indent C 5 2" xfId="8733" xr:uid="{AFF22675-9DF7-4E55-9CAD-E70C3DDE7999}"/>
    <cellStyle name="Text Indent C 5 3" xfId="8734" xr:uid="{72AFBA55-1083-465F-A4EA-A681CECF2EF0}"/>
    <cellStyle name="Text Indent C 6" xfId="8735" xr:uid="{9852F109-4CA3-4399-A8EC-2B4F4AF01989}"/>
    <cellStyle name="Text Indent C 6 2" xfId="8736" xr:uid="{B2478EF2-4BCE-4DC0-8CB0-0C6B7C45BA82}"/>
    <cellStyle name="Text Indent C 6 3" xfId="8737" xr:uid="{452BC985-8178-4670-9E56-02821A78010C}"/>
    <cellStyle name="Text Indent C 7" xfId="8738" xr:uid="{EF85D3F7-7EEE-4DA0-A285-D16C5A7A9DD9}"/>
    <cellStyle name="Text Indent C 7 2" xfId="8739" xr:uid="{42FE2263-BE0D-42F7-99AB-C5CAC9B61F60}"/>
    <cellStyle name="Text Indent C 7 3" xfId="8740" xr:uid="{AECDD6B9-FB7A-448E-8B1B-C41479325402}"/>
    <cellStyle name="Text Indent C 8" xfId="8741" xr:uid="{70921F34-D578-430D-9019-79CE59207E41}"/>
    <cellStyle name="Text Indent C 8 2" xfId="8742" xr:uid="{EC9AEF65-EEEC-4347-9709-3E7147BA808E}"/>
    <cellStyle name="Text Indent C 8 3" xfId="8743" xr:uid="{671A8B97-B554-43FB-9537-10A94B6EC561}"/>
    <cellStyle name="Text Indent C 9" xfId="8744" xr:uid="{86D7FE17-C7ED-41AB-8480-4A69348BA93A}"/>
    <cellStyle name="Text Indent C 9 2" xfId="8745" xr:uid="{EBD995AD-F4F8-4687-BC65-99B15075BAB3}"/>
    <cellStyle name="Text Indent C 9 3" xfId="8746" xr:uid="{02D7E6D8-6FBD-4C98-960C-B5CCE0CD5704}"/>
    <cellStyle name="Text Right" xfId="8747" xr:uid="{5C38E0A7-8B86-4AB5-8254-56541AFB1AC3}"/>
    <cellStyle name="Theirs" xfId="272" xr:uid="{DD151939-D086-4F4D-95CB-1AB1367E5B93}"/>
    <cellStyle name="Thousands" xfId="2215" xr:uid="{C55F2EF4-9C62-4456-BF63-5CC4035A7105}"/>
    <cellStyle name="Thousands 2" xfId="2216" xr:uid="{A73B84D7-E938-488D-9248-6203CFEBD914}"/>
    <cellStyle name="Title" xfId="6" builtinId="15"/>
    <cellStyle name="Title 1" xfId="8748" xr:uid="{36DD6730-11E0-4173-A885-111E321A60EA}"/>
    <cellStyle name="Title 1 2" xfId="8749" xr:uid="{4DD8D2EE-EFF3-4542-93E7-08DCD516649B}"/>
    <cellStyle name="Title 1_Corporate Allocators" xfId="8750" xr:uid="{8E18E16B-D31F-4CC4-BBB2-F35D18AD8470}"/>
    <cellStyle name="Title 10" xfId="8751" xr:uid="{70581BDB-D54C-44E3-9041-63EFCC0F2B88}"/>
    <cellStyle name="Title 11" xfId="8752" xr:uid="{F6AF73C7-8D73-47CF-B5D8-FBB214280166}"/>
    <cellStyle name="Title 12" xfId="8753" xr:uid="{A50E0F76-350C-4BB7-9BB8-3381A6AEEFCF}"/>
    <cellStyle name="Title 13" xfId="8754" xr:uid="{5CC5EB16-2185-4FA7-AF96-6FED2337BC7F}"/>
    <cellStyle name="Title 2" xfId="273" xr:uid="{23C0B578-88F6-4150-8F2C-4954C9EED459}"/>
    <cellStyle name="Title 2 2" xfId="3965" xr:uid="{328E0AA2-AEAF-4D36-8604-2E9573F3821E}"/>
    <cellStyle name="Title 2 2 2" xfId="8756" xr:uid="{F2209D6A-4331-44CD-8CBC-C49C67BF3F69}"/>
    <cellStyle name="Title 2 3" xfId="3698" xr:uid="{B63EDB86-A913-4F19-BACC-9DFB58F5B28D}"/>
    <cellStyle name="Title 2 3 2" xfId="14540" xr:uid="{8F2F7E85-1ED0-49EB-99A5-F4EDFC984F1B}"/>
    <cellStyle name="Title 2 4" xfId="8755" xr:uid="{9320C799-565C-44FD-BA0B-32A00BBE06CD}"/>
    <cellStyle name="Title 2 5" xfId="3041" xr:uid="{8DCA058B-F881-49BE-8E49-880D087F8899}"/>
    <cellStyle name="Title 2 6" xfId="2217" xr:uid="{71054D68-5EFC-4029-99B6-9EABEE090763}"/>
    <cellStyle name="Title 2_Corporate Allocators" xfId="8757" xr:uid="{0424D0B0-9F85-4025-B85E-5344AEA2B725}"/>
    <cellStyle name="Title 3" xfId="2218" xr:uid="{19E38594-AC0A-409D-8B97-42DF7AA8DBEC}"/>
    <cellStyle name="Title 3 2" xfId="8758" xr:uid="{0E25DE57-B330-40A9-9E6C-B54C85974AC0}"/>
    <cellStyle name="Title 3_Corporate Allocators" xfId="8759" xr:uid="{2882A61D-FF62-494B-9E8E-91D7C766EAC9}"/>
    <cellStyle name="Title 4" xfId="8760" xr:uid="{F8799BDC-68E4-4464-935C-F84FFDB546BB}"/>
    <cellStyle name="Title 5" xfId="8761" xr:uid="{8D14F99B-EBED-4BCF-B793-302D58D4B4A7}"/>
    <cellStyle name="Title 6" xfId="8762" xr:uid="{F5B04F74-8D8F-483D-B623-2B4518D2C210}"/>
    <cellStyle name="Title 7" xfId="8763" xr:uid="{703BC58D-6C28-4533-92BE-9B6555575A3D}"/>
    <cellStyle name="Title 8" xfId="8764" xr:uid="{5C192C1C-1253-49B2-B133-F892D893BC49}"/>
    <cellStyle name="Title 9" xfId="8765" xr:uid="{440F16BC-A321-4750-95DD-1B564B258F00}"/>
    <cellStyle name="TOC 1" xfId="274" xr:uid="{7AFBEEA7-64B7-4D13-8E1F-B368C9C3E812}"/>
    <cellStyle name="TOC 1 2" xfId="3966" xr:uid="{1F55E977-B4ED-4593-B152-660D17250613}"/>
    <cellStyle name="TOC 1 3" xfId="3699" xr:uid="{01E77DC5-A008-4655-9C35-B7FB4D272169}"/>
    <cellStyle name="TOC 1 4" xfId="3042" xr:uid="{37F39717-A151-48DE-8996-A584292738BE}"/>
    <cellStyle name="TOC 1 5" xfId="2219" xr:uid="{2673E242-BA25-407B-9454-1F242D796359}"/>
    <cellStyle name="TOC 2" xfId="275" xr:uid="{43149C33-6F63-456F-8604-BE55288E0512}"/>
    <cellStyle name="TOC 2 2" xfId="2220" xr:uid="{C75AFF37-54D4-49CE-A19C-C22B65819FB2}"/>
    <cellStyle name="TOC 2 2 2" xfId="3967" xr:uid="{680C6EA2-00C6-4662-BE2E-95F260949643}"/>
    <cellStyle name="TOC 2 3" xfId="3700" xr:uid="{D9E72501-1C4C-4141-9A93-B3228D71617F}"/>
    <cellStyle name="TOC 3" xfId="276" xr:uid="{882980B8-2F95-40B4-AE33-A67857A924A7}"/>
    <cellStyle name="TOC 3 2" xfId="3968" xr:uid="{41DEBF45-5935-42A4-A339-EBFC88404515}"/>
    <cellStyle name="TOC 3 3" xfId="3701" xr:uid="{3711876D-B543-4BF8-914F-636262811DA1}"/>
    <cellStyle name="TOC 3 4" xfId="3043" xr:uid="{30BE5EA2-9703-4E91-A75E-06BD5B530028}"/>
    <cellStyle name="TOC 3 5" xfId="2221" xr:uid="{90A0274D-D15E-4071-95E8-073C482DA767}"/>
    <cellStyle name="TOC 4" xfId="2222" xr:uid="{88FFE43E-AE9A-40A5-AD3C-6174DB093DB2}"/>
    <cellStyle name="TOGGLEOFF" xfId="8766" xr:uid="{8351E9B7-DAA2-4E0A-85DF-A1A601FCA1A9}"/>
    <cellStyle name="TOGGLEON" xfId="8767" xr:uid="{A046ED18-96A2-4601-B681-909D16362C2E}"/>
    <cellStyle name="Total 1" xfId="2223" xr:uid="{21D60EE4-63C4-4BC7-918A-A2F7410CFB5C}"/>
    <cellStyle name="Total 1 2" xfId="2224" xr:uid="{042097E9-EBF8-4DE6-8B86-99F42C9044BD}"/>
    <cellStyle name="Total 1 2 2" xfId="2910" xr:uid="{B99053B6-C321-4951-A707-C761B1F8FE28}"/>
    <cellStyle name="Total 1 2 2 2" xfId="21474" xr:uid="{F0C458B4-562F-418D-A960-A0CB9F9E2475}"/>
    <cellStyle name="Total 1 2 3" xfId="2904" xr:uid="{05C12874-10CB-4F5E-AA2A-A81FC0784326}"/>
    <cellStyle name="Total 1 2 3 2" xfId="23674" xr:uid="{360D9B76-8072-4880-BF7B-4D62C103B2F0}"/>
    <cellStyle name="Total 1 2 4" xfId="12427" xr:uid="{6FEBD892-D192-4C5F-A99A-F153FEBDA29F}"/>
    <cellStyle name="Total 1 3" xfId="2911" xr:uid="{DB721BDB-809B-45E2-A6E2-2540B6A45F71}"/>
    <cellStyle name="Total 1 3 2" xfId="14541" xr:uid="{E2CBE3D1-C4DE-42CB-90A5-EBD7DA6BCB39}"/>
    <cellStyle name="Total 1 4" xfId="2840" xr:uid="{D951847E-DA5E-4AF2-95D4-258CBC17CFB5}"/>
    <cellStyle name="Total 1 4 2" xfId="18005" xr:uid="{8B0497BD-D6E4-466E-99FD-C45189673172}"/>
    <cellStyle name="Total 1 5" xfId="23476" xr:uid="{74D35B8C-59A3-4E41-93DC-C67D6229E9AC}"/>
    <cellStyle name="Total 1 6" xfId="8768" xr:uid="{D866470E-AC69-44ED-9C31-A878805BD8E0}"/>
    <cellStyle name="Total 10" xfId="8769" xr:uid="{A350662B-99DA-4179-B9F3-E2E16808555A}"/>
    <cellStyle name="Total 10 2" xfId="9048" xr:uid="{23A75D24-F93E-4CA1-BC29-01D97140AE69}"/>
    <cellStyle name="Total 10 2 2" xfId="18095" xr:uid="{FAC5E5CB-FDBC-4049-84BA-4451161277A9}"/>
    <cellStyle name="Total 10 2 3" xfId="23675" xr:uid="{511CB99A-F086-4A78-B3D6-8005F50DCF26}"/>
    <cellStyle name="Total 10 3" xfId="12428" xr:uid="{250F579E-8EE8-47E3-AE4F-A7EC615B3569}"/>
    <cellStyle name="Total 10 3 2" xfId="21475" xr:uid="{0E13A8F6-DCA0-4BEB-B74A-575F76C010F3}"/>
    <cellStyle name="Total 10 4" xfId="14542" xr:uid="{EF368299-9198-41D9-82E7-6B76324914EC}"/>
    <cellStyle name="Total 10 5" xfId="18006" xr:uid="{FFA6B286-DFE6-4AD9-BA2C-1D9D40C55876}"/>
    <cellStyle name="Total 10 6" xfId="23477" xr:uid="{EE363FBC-61D5-4B6D-BAF2-66202FA52245}"/>
    <cellStyle name="Total 11" xfId="8770" xr:uid="{242BF153-34E2-4A30-B0FB-980F87F586EB}"/>
    <cellStyle name="Total 11 2" xfId="9049" xr:uid="{7C1EA445-384F-4061-B0D7-BD68CDDC8382}"/>
    <cellStyle name="Total 11 2 2" xfId="18096" xr:uid="{B70574E4-5641-4A6B-9C53-B73803576693}"/>
    <cellStyle name="Total 11 2 3" xfId="23676" xr:uid="{45713894-1A77-47C4-9517-77C5990C36A7}"/>
    <cellStyle name="Total 11 3" xfId="12429" xr:uid="{2E7A54F1-594D-4488-8F93-114CE14CFFA9}"/>
    <cellStyle name="Total 11 3 2" xfId="21476" xr:uid="{7EE3BA76-9211-4E5A-B35D-1D87F7C9F7B5}"/>
    <cellStyle name="Total 11 4" xfId="14543" xr:uid="{7620F106-989A-4624-BEBA-3CFBEB6F39DC}"/>
    <cellStyle name="Total 11 5" xfId="18007" xr:uid="{6C279482-BB08-40B4-AA1D-0A76C5B6B413}"/>
    <cellStyle name="Total 11 6" xfId="23478" xr:uid="{A95A6555-5BD1-4D73-9ED5-3D5C14C609AE}"/>
    <cellStyle name="Total 12" xfId="8771" xr:uid="{97709005-5CA9-4B06-B0FB-DDCAB8BF4720}"/>
    <cellStyle name="Total 12 2" xfId="12430" xr:uid="{C9AC497A-5B83-4EFD-91F2-1A1CD38EDC3D}"/>
    <cellStyle name="Total 12 2 2" xfId="21477" xr:uid="{720C8225-F9C7-4CCF-81BF-54C19E5F51DE}"/>
    <cellStyle name="Total 12 2 3" xfId="23677" xr:uid="{57AD55B5-B919-4C49-949C-0067D2DBE7C4}"/>
    <cellStyle name="Total 12 3" xfId="14544" xr:uid="{8082561D-7227-4FA1-AB94-2646DF2D9B70}"/>
    <cellStyle name="Total 12 4" xfId="18008" xr:uid="{1444580C-766F-46FD-AC28-D99528C19D93}"/>
    <cellStyle name="Total 12 5" xfId="23479" xr:uid="{1D2FA65E-D374-46FA-9EB5-44F9D1A1D968}"/>
    <cellStyle name="Total 2" xfId="277" xr:uid="{7BDFF5C8-2842-4365-BA29-61DF5A76E1B5}"/>
    <cellStyle name="Total 2 10" xfId="2448" xr:uid="{57198F63-7DCC-4F2E-8DF6-6E5CCF57B494}"/>
    <cellStyle name="Total 2 10 10" xfId="13228" xr:uid="{AF61C386-5E10-41F3-ABC9-7919945DED4D}"/>
    <cellStyle name="Total 2 10 11" xfId="13862" xr:uid="{38E70C2C-39BD-45A4-B3F0-8A150449158E}"/>
    <cellStyle name="Total 2 10 12" xfId="14839" xr:uid="{39B54C7A-6ADC-4E94-B4D9-71320A7B8CA8}"/>
    <cellStyle name="Total 2 10 13" xfId="21707" xr:uid="{64C23287-6A15-40AA-9CDD-5B9A0EECE174}"/>
    <cellStyle name="Total 2 10 2" xfId="2881" xr:uid="{EE78C822-C61B-4FD6-B799-0D4E1DCA164F}"/>
    <cellStyle name="Total 2 10 2 10" xfId="15265" xr:uid="{EC66AA2C-4CA4-4D2D-A01F-A3C12F579418}"/>
    <cellStyle name="Total 2 10 2 11" xfId="22133" xr:uid="{0F7BE6AA-E264-4266-A26A-78506EA0D704}"/>
    <cellStyle name="Total 2 10 2 12" xfId="3474" xr:uid="{7861C521-5BCD-4C9B-87CD-9F037FCF8266}"/>
    <cellStyle name="Total 2 10 2 2" xfId="4708" xr:uid="{AE7993F4-D2A5-467F-9F8A-A77F20CD23BF}"/>
    <cellStyle name="Total 2 10 2 2 2" xfId="10565" xr:uid="{653B64CB-29BE-4A08-9A73-2FC91433F98B}"/>
    <cellStyle name="Total 2 10 2 2 2 2" xfId="19611" xr:uid="{EE0B8AA5-68D1-43AF-A89D-8F5F50CB52D5}"/>
    <cellStyle name="Total 2 10 2 2 3" xfId="16125" xr:uid="{25E31C7A-3DB2-4188-8CBC-38AADC043A09}"/>
    <cellStyle name="Total 2 10 2 2 4" xfId="22789" xr:uid="{1D2F0738-7FD5-41FF-9D5E-0D043F6EC5E7}"/>
    <cellStyle name="Total 2 10 2 3" xfId="5209" xr:uid="{D31BB558-A5A7-4E97-BFCF-49DC31E78EC2}"/>
    <cellStyle name="Total 2 10 2 3 2" xfId="11062" xr:uid="{F17E8C28-88DE-414E-A74E-D5CCD085DA29}"/>
    <cellStyle name="Total 2 10 2 3 2 2" xfId="20108" xr:uid="{2CAEF445-4380-41C6-B91C-03557EC52309}"/>
    <cellStyle name="Total 2 10 2 3 3" xfId="16622" xr:uid="{087287E4-20CE-4BE4-B3BD-E94E9C80DF32}"/>
    <cellStyle name="Total 2 10 2 3 4" xfId="23284" xr:uid="{7C758A1F-3BE9-4E9B-BC4B-EC2F76C07E9E}"/>
    <cellStyle name="Total 2 10 2 4" xfId="5824" xr:uid="{AA244252-39F8-43D9-B867-D05EF90050E3}"/>
    <cellStyle name="Total 2 10 2 4 2" xfId="11677" xr:uid="{ACA81E6C-9EEC-40A6-B1A3-FE240A1D4615}"/>
    <cellStyle name="Total 2 10 2 4 2 2" xfId="20723" xr:uid="{AB72EF2C-CEDC-497D-A26A-E81515D842DB}"/>
    <cellStyle name="Total 2 10 2 4 3" xfId="17237" xr:uid="{50F21429-4600-49E3-826A-1C07E236DD68}"/>
    <cellStyle name="Total 2 10 2 5" xfId="6435" xr:uid="{CEF459C6-A844-49C0-843B-BB5C93EED9B4}"/>
    <cellStyle name="Total 2 10 2 5 2" xfId="12282" xr:uid="{B6AD3FB0-7DB4-4FC2-B9D9-98401A653293}"/>
    <cellStyle name="Total 2 10 2 5 2 2" xfId="21328" xr:uid="{E727CC68-84AB-411C-8F3F-CBA5BA4C16A3}"/>
    <cellStyle name="Total 2 10 2 5 3" xfId="17848" xr:uid="{F4FD753C-12DC-4C5D-AE12-55CC2F5F9F0A}"/>
    <cellStyle name="Total 2 10 2 6" xfId="9696" xr:uid="{46F7A9D2-6D0E-4910-A800-6975D1AA8D3A}"/>
    <cellStyle name="Total 2 10 2 6 2" xfId="18742" xr:uid="{6D18D807-AE05-49D0-A242-7AE073252B0F}"/>
    <cellStyle name="Total 2 10 2 7" xfId="13094" xr:uid="{EEB4D522-58C1-4544-8B17-CEEB80E92AE5}"/>
    <cellStyle name="Total 2 10 2 8" xfId="13650" xr:uid="{3C8307BE-B96B-45FF-B436-870F80466130}"/>
    <cellStyle name="Total 2 10 2 9" xfId="14290" xr:uid="{F347E3C7-0145-4BA9-9348-77EA8A5523AD}"/>
    <cellStyle name="Total 2 10 3" xfId="3272" xr:uid="{CA5C7B20-94A8-4A21-BB41-731D6D10DA9B}"/>
    <cellStyle name="Total 2 10 3 10" xfId="15052" xr:uid="{EB14E894-AE87-46EE-9C4B-727BCF4F67A5}"/>
    <cellStyle name="Total 2 10 3 11" xfId="21922" xr:uid="{C638C13C-EE5B-4446-A3E4-A03830380ED0}"/>
    <cellStyle name="Total 2 10 3 2" xfId="4495" xr:uid="{F805E216-B1CA-47C7-9ECF-6A9D978550AE}"/>
    <cellStyle name="Total 2 10 3 2 2" xfId="10352" xr:uid="{2BA70F40-A895-45C5-A55D-547C8C545E50}"/>
    <cellStyle name="Total 2 10 3 2 2 2" xfId="19398" xr:uid="{2A15FD18-02D5-420A-85F2-F0C1EEF5AA5E}"/>
    <cellStyle name="Total 2 10 3 2 3" xfId="15912" xr:uid="{EC425B5D-BE96-4EFE-A812-25C54C4CC4DD}"/>
    <cellStyle name="Total 2 10 3 2 4" xfId="22578" xr:uid="{1C1A95D9-36E6-4F76-B379-289DEE8A7EC8}"/>
    <cellStyle name="Total 2 10 3 3" xfId="4996" xr:uid="{37F99C6F-922A-421E-A9FB-48B83CA42777}"/>
    <cellStyle name="Total 2 10 3 3 2" xfId="10849" xr:uid="{E56E3DE7-5CDA-4B79-B5D5-968079AEE370}"/>
    <cellStyle name="Total 2 10 3 3 2 2" xfId="19895" xr:uid="{29FC3F8F-3974-47A8-9A5E-852551DA9DF0}"/>
    <cellStyle name="Total 2 10 3 3 3" xfId="16409" xr:uid="{455C2B67-995A-4688-AE03-E717E158F696}"/>
    <cellStyle name="Total 2 10 3 3 4" xfId="23073" xr:uid="{89530B04-D6B6-447F-9339-9C9026A723F2}"/>
    <cellStyle name="Total 2 10 3 4" xfId="5611" xr:uid="{21ADDE82-0591-425B-BE24-02A3C9DCAD7F}"/>
    <cellStyle name="Total 2 10 3 4 2" xfId="11464" xr:uid="{9AAB9293-8404-4398-9E82-B24D97AAAD11}"/>
    <cellStyle name="Total 2 10 3 4 2 2" xfId="20510" xr:uid="{82B5EC5C-20CA-4FD4-BEB0-553E75E8D275}"/>
    <cellStyle name="Total 2 10 3 4 3" xfId="17024" xr:uid="{697EEBCF-527E-4759-AE6A-AB5B72B782E9}"/>
    <cellStyle name="Total 2 10 3 5" xfId="6222" xr:uid="{1252B146-3347-4454-83DC-7A272075B905}"/>
    <cellStyle name="Total 2 10 3 5 2" xfId="12069" xr:uid="{D0CEC165-3E54-467E-9572-33E1B5A126F3}"/>
    <cellStyle name="Total 2 10 3 5 2 2" xfId="21115" xr:uid="{D3E1C8F7-AF78-4644-9A23-01774A18F21A}"/>
    <cellStyle name="Total 2 10 3 5 3" xfId="17635" xr:uid="{93D8EE3B-EDE1-4F20-93B4-C3108391D879}"/>
    <cellStyle name="Total 2 10 3 6" xfId="9483" xr:uid="{41AC54A7-2C32-41D3-9821-076D39D62095}"/>
    <cellStyle name="Total 2 10 3 6 2" xfId="18529" xr:uid="{FD71AC48-1106-4D46-9B97-FF0F095AEA3F}"/>
    <cellStyle name="Total 2 10 3 7" xfId="12881" xr:uid="{A5889D3F-D081-4B7F-8AC1-9202E3A06A30}"/>
    <cellStyle name="Total 2 10 3 8" xfId="13439" xr:uid="{437762D5-04D9-4480-BBC9-B11D12A03CF0}"/>
    <cellStyle name="Total 2 10 3 9" xfId="14077" xr:uid="{6E707419-626D-4A57-BC77-E13DF60EC8EC}"/>
    <cellStyle name="Total 2 10 4" xfId="3969" xr:uid="{4DF1BE6C-03A1-4D10-A07F-6DC09D3CF1C4}"/>
    <cellStyle name="Total 2 10 4 2" xfId="9836" xr:uid="{CD4EA55F-B4A3-4080-8E53-04E1664D2D03}"/>
    <cellStyle name="Total 2 10 4 2 2" xfId="18882" xr:uid="{680F1329-2C9A-44EC-9E1A-ABE89AE97813}"/>
    <cellStyle name="Total 2 10 4 3" xfId="15398" xr:uid="{32F19949-ED78-4CAD-BAEE-1D6A06AA0AB1}"/>
    <cellStyle name="Total 2 10 4 4" xfId="22858" xr:uid="{E7407B2E-9488-411D-B9EC-DA14ED445B41}"/>
    <cellStyle name="Total 2 10 5" xfId="4781" xr:uid="{1C096F81-5814-4C8E-8C70-157A7EE5E1A0}"/>
    <cellStyle name="Total 2 10 5 2" xfId="10638" xr:uid="{533D599B-C4B8-428E-A445-6E86AB5F555C}"/>
    <cellStyle name="Total 2 10 5 2 2" xfId="19684" xr:uid="{01E48F4D-94FE-4449-8C03-00451992DF7D}"/>
    <cellStyle name="Total 2 10 5 3" xfId="16198" xr:uid="{56685033-AF92-4BDF-8C55-2BB402B086E0}"/>
    <cellStyle name="Total 2 10 6" xfId="5396" xr:uid="{52E52ED7-B106-43C0-BA28-0A4D13E20DB6}"/>
    <cellStyle name="Total 2 10 6 2" xfId="11249" xr:uid="{3815B39C-B3AD-40C3-AFB3-07CEC3BFE663}"/>
    <cellStyle name="Total 2 10 6 2 2" xfId="20295" xr:uid="{E1D4F33D-222C-40F2-BBD7-424DE97A0C71}"/>
    <cellStyle name="Total 2 10 6 3" xfId="16809" xr:uid="{00102294-7145-49F5-ABDC-253F6F180105}"/>
    <cellStyle name="Total 2 10 7" xfId="6007" xr:uid="{DA561ABD-A0F4-4506-A4B9-90266E44EF8F}"/>
    <cellStyle name="Total 2 10 7 2" xfId="11858" xr:uid="{0B522C9F-EB9D-47FF-A91F-5ED1BCA23A8A}"/>
    <cellStyle name="Total 2 10 7 2 2" xfId="20904" xr:uid="{BFEA0A7E-1686-4E43-85FC-115B1FFDC648}"/>
    <cellStyle name="Total 2 10 7 3" xfId="17420" xr:uid="{8F626E1C-56FE-48C2-912C-424A32E93461}"/>
    <cellStyle name="Total 2 10 8" xfId="9270" xr:uid="{E1AF7B6A-13B7-4980-BF10-CA54CBFA6A58}"/>
    <cellStyle name="Total 2 10 8 2" xfId="18316" xr:uid="{A1DEFC75-F7E1-42D0-965F-5803E47603D8}"/>
    <cellStyle name="Total 2 10 9" xfId="12666" xr:uid="{B39415C7-4D2C-4829-B380-0F8070BF914C}"/>
    <cellStyle name="Total 2 11" xfId="2887" xr:uid="{A5A022C7-8107-4F82-85F7-1BBFC98FF770}"/>
    <cellStyle name="Total 2 11 10" xfId="13863" xr:uid="{822AD1E8-0617-4E9C-846E-E91DEBD2366E}"/>
    <cellStyle name="Total 2 11 11" xfId="14840" xr:uid="{AA52ADDF-DD29-47CC-A72E-C6F7B78A667F}"/>
    <cellStyle name="Total 2 11 12" xfId="21708" xr:uid="{F66CA518-442E-4B2F-B4DC-9476C0D9B5B7}"/>
    <cellStyle name="Total 2 11 13" xfId="3078" xr:uid="{19EE8BD8-7AC2-41D0-B13E-63632E3C0677}"/>
    <cellStyle name="Total 2 11 2" xfId="3475" xr:uid="{8A7CE080-CE22-43F7-9DBE-0F2575A42609}"/>
    <cellStyle name="Total 2 11 2 10" xfId="15266" xr:uid="{2B702EA7-D58C-4697-8D26-BAB4FFE2FB29}"/>
    <cellStyle name="Total 2 11 2 11" xfId="22134" xr:uid="{525DD830-C8B8-4D49-AA63-FA8730DC0BC4}"/>
    <cellStyle name="Total 2 11 2 2" xfId="4709" xr:uid="{D1AEF8FE-8998-48EE-8D3A-C2C02CB665C6}"/>
    <cellStyle name="Total 2 11 2 2 2" xfId="10566" xr:uid="{2A6E6E7D-2481-4E6F-B7B1-E52FBC3E0868}"/>
    <cellStyle name="Total 2 11 2 2 2 2" xfId="19612" xr:uid="{D4956652-CBD2-4CB5-B549-A2B46F8DE4CD}"/>
    <cellStyle name="Total 2 11 2 2 3" xfId="16126" xr:uid="{34B46D83-D701-472D-AB95-0AAB5D22AADA}"/>
    <cellStyle name="Total 2 11 2 2 4" xfId="22790" xr:uid="{EEFBEF91-2BB6-44B0-9D2B-503E5B25D8B6}"/>
    <cellStyle name="Total 2 11 2 3" xfId="5210" xr:uid="{9612EEE2-DB94-4756-A793-E268A6359A96}"/>
    <cellStyle name="Total 2 11 2 3 2" xfId="11063" xr:uid="{1DBC2FF2-4A7B-4532-BFFC-8502932BF1BF}"/>
    <cellStyle name="Total 2 11 2 3 2 2" xfId="20109" xr:uid="{0FC68AF4-9592-4F5A-9277-A9F99BBCFED2}"/>
    <cellStyle name="Total 2 11 2 3 3" xfId="16623" xr:uid="{B4CC1AD4-C07B-49E7-99A5-FE0FE6614273}"/>
    <cellStyle name="Total 2 11 2 3 4" xfId="23285" xr:uid="{8B79B340-F19A-404E-BA3D-8D4AE4B8522B}"/>
    <cellStyle name="Total 2 11 2 4" xfId="5825" xr:uid="{319302A1-AD04-4046-98AE-455A8E7CF6B1}"/>
    <cellStyle name="Total 2 11 2 4 2" xfId="11678" xr:uid="{30B12902-C8BD-4807-9987-B0098925ED21}"/>
    <cellStyle name="Total 2 11 2 4 2 2" xfId="20724" xr:uid="{BC3A5546-ACB6-4C9E-B8DA-DFE0950DDAEC}"/>
    <cellStyle name="Total 2 11 2 4 3" xfId="17238" xr:uid="{99B78392-9BD0-4A33-8EB2-A9E53B8386A3}"/>
    <cellStyle name="Total 2 11 2 5" xfId="6436" xr:uid="{C8026A7A-CF71-4EB6-A2D5-027051F30ECB}"/>
    <cellStyle name="Total 2 11 2 5 2" xfId="12283" xr:uid="{4BBE98D7-E008-45A8-B387-6E628B8C704E}"/>
    <cellStyle name="Total 2 11 2 5 2 2" xfId="21329" xr:uid="{7E64EE74-AB10-46F2-B293-34B2ED542477}"/>
    <cellStyle name="Total 2 11 2 5 3" xfId="17849" xr:uid="{1D354A75-33C7-43DE-8790-192E715390FC}"/>
    <cellStyle name="Total 2 11 2 6" xfId="9697" xr:uid="{C5E73356-29CD-4BF5-9A24-7337BBDD4E50}"/>
    <cellStyle name="Total 2 11 2 6 2" xfId="18743" xr:uid="{C6649280-AE44-4615-8066-040E2545FF52}"/>
    <cellStyle name="Total 2 11 2 7" xfId="13095" xr:uid="{49ABF11B-C672-4F03-B836-EF4F6EE115EE}"/>
    <cellStyle name="Total 2 11 2 8" xfId="13651" xr:uid="{3FF3F0F2-DE0E-4F7D-AC20-DE0BF41A3EAD}"/>
    <cellStyle name="Total 2 11 2 9" xfId="14291" xr:uid="{61C2570D-A820-40F0-BA97-CA148F553CA0}"/>
    <cellStyle name="Total 2 11 3" xfId="3273" xr:uid="{B1AABE63-E17B-4CD6-8F15-5592D3959325}"/>
    <cellStyle name="Total 2 11 3 10" xfId="15053" xr:uid="{4B10C19D-D663-4663-B454-1CAFEE8D6205}"/>
    <cellStyle name="Total 2 11 3 11" xfId="21923" xr:uid="{A82E593A-D45B-4712-9732-ACF9E7A30552}"/>
    <cellStyle name="Total 2 11 3 2" xfId="4496" xr:uid="{978871BF-6EA2-4739-A7AF-0D2CD395EA1C}"/>
    <cellStyle name="Total 2 11 3 2 2" xfId="10353" xr:uid="{6CDB0A26-248E-48D1-AD14-9F907652E924}"/>
    <cellStyle name="Total 2 11 3 2 2 2" xfId="19399" xr:uid="{B913018C-F77D-4465-B070-449B627F0369}"/>
    <cellStyle name="Total 2 11 3 2 3" xfId="15913" xr:uid="{F487BBF5-2B40-43D7-A982-3D9B1173C359}"/>
    <cellStyle name="Total 2 11 3 2 4" xfId="22579" xr:uid="{8DFBD06D-A082-431C-B005-635A8F7EC315}"/>
    <cellStyle name="Total 2 11 3 3" xfId="4997" xr:uid="{733CA31C-AF27-4423-95C9-9AE8BC65A7FF}"/>
    <cellStyle name="Total 2 11 3 3 2" xfId="10850" xr:uid="{AB4459B1-2A5B-429C-B850-DBCC428696E5}"/>
    <cellStyle name="Total 2 11 3 3 2 2" xfId="19896" xr:uid="{200B11EB-010F-4952-A367-BA38BA429025}"/>
    <cellStyle name="Total 2 11 3 3 3" xfId="16410" xr:uid="{C4233FE0-CAD3-46B9-8FFA-EAA715F73401}"/>
    <cellStyle name="Total 2 11 3 3 4" xfId="23074" xr:uid="{64C85007-7FCD-4894-B3CB-27A213549566}"/>
    <cellStyle name="Total 2 11 3 4" xfId="5612" xr:uid="{2117F430-E8EB-48D3-A012-04686255A675}"/>
    <cellStyle name="Total 2 11 3 4 2" xfId="11465" xr:uid="{29B5F78E-5595-4840-B24A-5FC139574D1A}"/>
    <cellStyle name="Total 2 11 3 4 2 2" xfId="20511" xr:uid="{1AAD22E2-5296-4E2D-BD93-D5119AE89952}"/>
    <cellStyle name="Total 2 11 3 4 3" xfId="17025" xr:uid="{16AD6B2E-4B6D-4152-A564-B697D8A48AA9}"/>
    <cellStyle name="Total 2 11 3 5" xfId="6223" xr:uid="{B6F32891-2C19-4AE4-9474-21289F75EF4A}"/>
    <cellStyle name="Total 2 11 3 5 2" xfId="12070" xr:uid="{911F993A-32CE-4CD7-A03F-63338B70CB1C}"/>
    <cellStyle name="Total 2 11 3 5 2 2" xfId="21116" xr:uid="{0852BBC8-2125-4EEE-8215-2598F6828C67}"/>
    <cellStyle name="Total 2 11 3 5 3" xfId="17636" xr:uid="{37C27655-D1A0-48C0-A12A-17C6F086B3CD}"/>
    <cellStyle name="Total 2 11 3 6" xfId="9484" xr:uid="{95B90B68-8DDE-4B56-B1BC-458AF438191D}"/>
    <cellStyle name="Total 2 11 3 6 2" xfId="18530" xr:uid="{B3E2E2DE-69D2-47F1-907F-0787B83B5DFC}"/>
    <cellStyle name="Total 2 11 3 7" xfId="12882" xr:uid="{EF4E5ECF-459A-4A2E-A605-904AB528C619}"/>
    <cellStyle name="Total 2 11 3 8" xfId="13440" xr:uid="{5208D9F2-FA90-4125-9FFA-BFB4FC925373}"/>
    <cellStyle name="Total 2 11 3 9" xfId="14078" xr:uid="{615D7DC8-ED97-4534-BED2-6C890A3B64EA}"/>
    <cellStyle name="Total 2 11 4" xfId="4782" xr:uid="{160B07AB-4546-4856-854E-42AC9443D57D}"/>
    <cellStyle name="Total 2 11 4 2" xfId="10639" xr:uid="{76CBE915-38D5-4618-901A-97957D87F345}"/>
    <cellStyle name="Total 2 11 4 2 2" xfId="19685" xr:uid="{FDC23A2F-D695-4A38-9298-0D402999DC83}"/>
    <cellStyle name="Total 2 11 4 3" xfId="16199" xr:uid="{8C8E14DA-F830-4BB7-8E4C-7E3EE6C7CCE9}"/>
    <cellStyle name="Total 2 11 4 4" xfId="22859" xr:uid="{83FAF12C-6352-47C2-B5DB-CD3B182904C6}"/>
    <cellStyle name="Total 2 11 5" xfId="5397" xr:uid="{03A95D6F-D4A3-4468-9A29-D4986F35D7B9}"/>
    <cellStyle name="Total 2 11 5 2" xfId="11250" xr:uid="{4CB1C77A-E48A-42A6-B1D3-84528A0F0217}"/>
    <cellStyle name="Total 2 11 5 2 2" xfId="20296" xr:uid="{7782315F-6090-42EE-A2B8-BD95DA57B18A}"/>
    <cellStyle name="Total 2 11 5 3" xfId="16810" xr:uid="{9FAB546E-528D-4318-804F-B1C2420F0D02}"/>
    <cellStyle name="Total 2 11 6" xfId="6008" xr:uid="{09B054AC-AE00-4FCF-BF7B-5033F0DBCA78}"/>
    <cellStyle name="Total 2 11 6 2" xfId="11859" xr:uid="{91CFEC2E-5779-45B9-A8A4-F5116A5AD7B2}"/>
    <cellStyle name="Total 2 11 6 2 2" xfId="20905" xr:uid="{5C85A808-4E07-4394-B148-08B7569A51C5}"/>
    <cellStyle name="Total 2 11 6 3" xfId="17421" xr:uid="{1FB0E90D-80E5-4D8A-8C10-7643E455C536}"/>
    <cellStyle name="Total 2 11 7" xfId="9271" xr:uid="{B2274D99-8978-42EA-8462-F1D61FBB727A}"/>
    <cellStyle name="Total 2 11 7 2" xfId="18317" xr:uid="{4DDD887E-A36F-4A5C-9F55-5CC436892486}"/>
    <cellStyle name="Total 2 11 8" xfId="12667" xr:uid="{CB915F9E-1495-4CDF-BED4-3FAB08B657C6}"/>
    <cellStyle name="Total 2 11 9" xfId="13229" xr:uid="{0B73B5A4-7339-45A2-B8AB-D06DD79D75C0}"/>
    <cellStyle name="Total 2 12" xfId="2528" xr:uid="{065B2E6A-EDCA-4F85-9747-F9C3BDAE41FD}"/>
    <cellStyle name="Total 2 12 10" xfId="15099" xr:uid="{C013BA6F-F3F6-4F08-9371-89B2D1C67739}"/>
    <cellStyle name="Total 2 12 11" xfId="21968" xr:uid="{E2386D92-7377-45AF-ABAC-4CD7F30C96B8}"/>
    <cellStyle name="Total 2 12 12" xfId="3319" xr:uid="{D8BE9CA4-8009-4A12-ACFE-3BBA265CF9A9}"/>
    <cellStyle name="Total 2 12 2" xfId="4542" xr:uid="{034D369A-BD43-458D-B453-D5AEB9E89200}"/>
    <cellStyle name="Total 2 12 2 2" xfId="10399" xr:uid="{1182C9CC-61BA-4E42-B667-827BFF3198E2}"/>
    <cellStyle name="Total 2 12 2 2 2" xfId="19445" xr:uid="{9E6EC823-6BB0-4B85-B71C-4BE785497400}"/>
    <cellStyle name="Total 2 12 2 3" xfId="15959" xr:uid="{80B0A55C-0DCB-4F30-B578-04B96123C1F1}"/>
    <cellStyle name="Total 2 12 2 4" xfId="22624" xr:uid="{DF38B6B1-427E-4E5B-BA43-395981F1C61B}"/>
    <cellStyle name="Total 2 12 3" xfId="5043" xr:uid="{E306C676-E8F4-4EAA-AD38-D2B7B7C19661}"/>
    <cellStyle name="Total 2 12 3 2" xfId="10896" xr:uid="{C4017D95-1566-4C38-B60E-ECAB093BA78B}"/>
    <cellStyle name="Total 2 12 3 2 2" xfId="19942" xr:uid="{0B28695E-0319-481A-B02F-3A62DD568D93}"/>
    <cellStyle name="Total 2 12 3 3" xfId="16456" xr:uid="{25168D40-4448-4A66-96EC-9E773E823652}"/>
    <cellStyle name="Total 2 12 3 4" xfId="23119" xr:uid="{94367DAC-3762-4A5B-9C76-CDD76330EAF2}"/>
    <cellStyle name="Total 2 12 4" xfId="5658" xr:uid="{1351CCD4-99A7-422F-BBC6-867D4CC6AD31}"/>
    <cellStyle name="Total 2 12 4 2" xfId="11511" xr:uid="{486F95B4-BCA3-4664-82B0-07197BD4D002}"/>
    <cellStyle name="Total 2 12 4 2 2" xfId="20557" xr:uid="{3B1F44E6-8989-4E79-8E52-CC1F4F17EF64}"/>
    <cellStyle name="Total 2 12 4 3" xfId="17071" xr:uid="{302B4D2B-625C-4FA7-AFBB-E166CE6BDBD7}"/>
    <cellStyle name="Total 2 12 5" xfId="6269" xr:uid="{0ABE11B2-DBAF-48BF-B0F9-F52454626706}"/>
    <cellStyle name="Total 2 12 5 2" xfId="12116" xr:uid="{AA2AC4A4-D3A2-4D18-A7CD-37C8A1D95A71}"/>
    <cellStyle name="Total 2 12 5 2 2" xfId="21162" xr:uid="{FFE2DA3B-253E-42A3-BE7F-AA099721798A}"/>
    <cellStyle name="Total 2 12 5 3" xfId="17682" xr:uid="{6F263C4A-BD67-44C5-9C4E-1DAED86B6415}"/>
    <cellStyle name="Total 2 12 6" xfId="9530" xr:uid="{54E2F530-C2FD-443C-9F0B-EE2B82CE557B}"/>
    <cellStyle name="Total 2 12 6 2" xfId="18576" xr:uid="{F21367AD-57C5-4217-A2C7-8E5BA644B80B}"/>
    <cellStyle name="Total 2 12 7" xfId="12928" xr:uid="{494D45C2-C77F-4574-9021-5F289227F1E6}"/>
    <cellStyle name="Total 2 12 8" xfId="13485" xr:uid="{126BAF96-1CE1-4CBC-A6BF-82C4160EF6A2}"/>
    <cellStyle name="Total 2 12 9" xfId="14124" xr:uid="{64E2201C-90D8-460F-87EE-16ABBBED81C5}"/>
    <cellStyle name="Total 2 13" xfId="3106" xr:uid="{7924E059-E2A5-4C77-8C8D-37BC1D8FFD15}"/>
    <cellStyle name="Total 2 13 10" xfId="14887" xr:uid="{E808051B-5312-43E1-B026-405A23D5D70F}"/>
    <cellStyle name="Total 2 13 11" xfId="21754" xr:uid="{11878328-DF59-44CF-82DD-364B02A63AE4}"/>
    <cellStyle name="Total 2 13 2" xfId="4327" xr:uid="{B42B1A8B-6903-480F-98BA-6415CFD89B2D}"/>
    <cellStyle name="Total 2 13 2 2" xfId="10184" xr:uid="{3202FC3F-38B5-40F7-AFEB-4798D7BB64C0}"/>
    <cellStyle name="Total 2 13 2 2 2" xfId="19230" xr:uid="{2800F1B6-1432-4A1E-99AE-2BA9B59CE0EA}"/>
    <cellStyle name="Total 2 13 2 3" xfId="15744" xr:uid="{AF2D1F51-411F-4A6C-A0AD-08392532741D}"/>
    <cellStyle name="Total 2 13 2 4" xfId="22410" xr:uid="{05653DD0-A02D-4993-ADC6-4BF26CB39BA2}"/>
    <cellStyle name="Total 2 13 3" xfId="4828" xr:uid="{99AF259C-F553-46DE-B669-1015547B59B2}"/>
    <cellStyle name="Total 2 13 3 2" xfId="10684" xr:uid="{13A03F37-42E8-4F34-AD44-2A1EE8BC97C0}"/>
    <cellStyle name="Total 2 13 3 2 2" xfId="19730" xr:uid="{CA8C251A-8116-4FE1-B99B-0E5DAB79FA5C}"/>
    <cellStyle name="Total 2 13 3 3" xfId="16244" xr:uid="{F5027149-D818-4BB5-A95D-346FA636E184}"/>
    <cellStyle name="Total 2 13 3 4" xfId="22905" xr:uid="{043CA0AB-359F-42F0-B879-61398594CAAF}"/>
    <cellStyle name="Total 2 13 4" xfId="5443" xr:uid="{2D7450B0-9B96-4875-8C45-E17873B75AAE}"/>
    <cellStyle name="Total 2 13 4 2" xfId="11296" xr:uid="{AD22E1A1-5215-4500-8776-1B9F59C8EF20}"/>
    <cellStyle name="Total 2 13 4 2 2" xfId="20342" xr:uid="{0727931C-D69E-4F9B-ACBF-37B98445B9F4}"/>
    <cellStyle name="Total 2 13 4 3" xfId="16856" xr:uid="{A1ED9E5C-22DE-4F1C-8AB0-1BA3D20C92DE}"/>
    <cellStyle name="Total 2 13 5" xfId="6054" xr:uid="{5673206C-0D2D-42DE-B581-2D6AD4B1072A}"/>
    <cellStyle name="Total 2 13 5 2" xfId="11904" xr:uid="{01F09BAE-B52E-4C97-8C18-AC6A0532A28B}"/>
    <cellStyle name="Total 2 13 5 2 2" xfId="20950" xr:uid="{1C7EB414-0C47-42C6-B46F-94F0120E2006}"/>
    <cellStyle name="Total 2 13 5 3" xfId="17467" xr:uid="{93834159-2810-4681-B3D3-F8EDEE87D836}"/>
    <cellStyle name="Total 2 13 6" xfId="9318" xr:uid="{083DF09B-4BBC-471F-B87A-C5373301332F}"/>
    <cellStyle name="Total 2 13 6 2" xfId="18364" xr:uid="{A45BF960-248A-4263-A7FB-B3691212A34A}"/>
    <cellStyle name="Total 2 13 7" xfId="12713" xr:uid="{8150B779-CF60-440E-81CC-12FD6C201CB6}"/>
    <cellStyle name="Total 2 13 8" xfId="13274" xr:uid="{E3C6BDAD-3BAE-42B9-B9F2-C9F417824D91}"/>
    <cellStyle name="Total 2 13 9" xfId="13909" xr:uid="{B3BB604E-B153-4530-89E0-7C416DAAC876}"/>
    <cellStyle name="Total 2 14" xfId="3702" xr:uid="{D52A1F9A-CAC7-40B7-A9FB-81BF8E73A6C2}"/>
    <cellStyle name="Total 2 14 2" xfId="9748" xr:uid="{CCC7864F-5ACB-45E6-A47B-961A333703F0}"/>
    <cellStyle name="Total 2 14 2 2" xfId="18794" xr:uid="{F4AFACA4-8CD1-4051-8DD6-330191FDA037}"/>
    <cellStyle name="Total 2 14 3" xfId="14545" xr:uid="{D331B73C-32A0-4BD0-96C8-72418AA1B9E8}"/>
    <cellStyle name="Total 2 14 4" xfId="15314" xr:uid="{8221D9C0-8E5C-4AF9-9DBA-74A320FB3334}"/>
    <cellStyle name="Total 2 14 5" xfId="22290" xr:uid="{99EE7AFC-B3D8-4320-909E-341A3492A6FD}"/>
    <cellStyle name="Total 2 15" xfId="4186" xr:uid="{847B8260-5BD6-426E-BC4C-3AA436D41D98}"/>
    <cellStyle name="Total 2 15 2" xfId="10043" xr:uid="{06F88401-4A4E-4565-9FF6-AA45A532F1C0}"/>
    <cellStyle name="Total 2 15 2 2" xfId="19089" xr:uid="{0F2676FA-6656-4194-83F2-22CDB8E62130}"/>
    <cellStyle name="Total 2 15 3" xfId="15603" xr:uid="{C7911C3C-FB61-498E-B48E-FD3B01114CCA}"/>
    <cellStyle name="Total 2 15 4" xfId="22285" xr:uid="{A495AD40-B369-4701-93B4-CC8329B38C44}"/>
    <cellStyle name="Total 2 16" xfId="4161" xr:uid="{C19B7CEA-E686-4F65-910E-7151E5DDB7D7}"/>
    <cellStyle name="Total 2 16 2" xfId="10018" xr:uid="{FE5FCA29-F03C-469E-AD5C-76933176328B}"/>
    <cellStyle name="Total 2 16 2 2" xfId="19064" xr:uid="{C39CC2FB-6275-4138-85EF-30CDDFB27D3C}"/>
    <cellStyle name="Total 2 16 3" xfId="15578" xr:uid="{60504372-4FB8-43B1-9CD4-F2B4E47D0497}"/>
    <cellStyle name="Total 2 16 4" xfId="23480" xr:uid="{0BFC4962-47DA-4614-8139-A7C3FE88ACDE}"/>
    <cellStyle name="Total 2 17" xfId="8772" xr:uid="{41F8A1A0-B7A1-4894-9393-6A687C00A690}"/>
    <cellStyle name="Total 2 17 2" xfId="18009" xr:uid="{C8540870-8CBF-4BBE-8DE8-C153F3FEEA2F}"/>
    <cellStyle name="Total 2 17 3" xfId="23678" xr:uid="{0D9EEB49-BEA6-4359-922B-7BC3E258BFA1}"/>
    <cellStyle name="Total 2 18" xfId="9050" xr:uid="{4BADDF04-5B77-43B1-8078-FFBB62E17826}"/>
    <cellStyle name="Total 2 18 2" xfId="18097" xr:uid="{DBC40275-BC87-4921-85FA-207D73F68D2D}"/>
    <cellStyle name="Total 2 19" xfId="12431" xr:uid="{5C1AB540-7D7E-4828-BC7F-C6FCB8302642}"/>
    <cellStyle name="Total 2 19 2" xfId="21478" xr:uid="{2C6931DC-B02B-417D-92BE-4CF399D25FF8}"/>
    <cellStyle name="Total 2 2" xfId="563" xr:uid="{F6DC476B-648F-4227-AF75-8EBF598FE3E1}"/>
    <cellStyle name="Total 2 2 10" xfId="4159" xr:uid="{7B49A607-DF9F-4DD4-BB01-0CD182395983}"/>
    <cellStyle name="Total 2 2 10 2" xfId="10016" xr:uid="{44B3C8C6-F44E-451E-81A8-EBACBC656837}"/>
    <cellStyle name="Total 2 2 10 2 2" xfId="19062" xr:uid="{A1685D6B-B7A1-4625-9FE6-41A152745005}"/>
    <cellStyle name="Total 2 2 10 3" xfId="15576" xr:uid="{8705690C-EC0F-4BD1-AD75-E2C8A62892DD}"/>
    <cellStyle name="Total 2 2 10 4" xfId="23481" xr:uid="{D31BFC4B-8166-404C-A875-57C8FC674371}"/>
    <cellStyle name="Total 2 2 11" xfId="4301" xr:uid="{02DCDA26-AABB-4A07-BFA9-32C5121D7B23}"/>
    <cellStyle name="Total 2 2 11 2" xfId="10158" xr:uid="{D92B9512-4B72-4352-A3A3-6BA414C63B4C}"/>
    <cellStyle name="Total 2 2 11 2 2" xfId="19204" xr:uid="{C94AAB12-2A36-486B-9F0C-F4B7B02AA740}"/>
    <cellStyle name="Total 2 2 11 3" xfId="15718" xr:uid="{80DBAE84-1797-478A-AC35-4D1AEF3F0ACA}"/>
    <cellStyle name="Total 2 2 11 4" xfId="23565" xr:uid="{0ECB64D6-603D-4704-BC37-460D373832F0}"/>
    <cellStyle name="Total 2 2 12" xfId="4190" xr:uid="{312D4A93-00D6-42FD-8BA1-CA1D33CE5193}"/>
    <cellStyle name="Total 2 2 12 2" xfId="10047" xr:uid="{392085C4-B59E-44FF-9FC7-CBE35FC232B5}"/>
    <cellStyle name="Total 2 2 12 2 2" xfId="19093" xr:uid="{0D93C895-C108-40BA-9B53-15B13CB44FB6}"/>
    <cellStyle name="Total 2 2 12 3" xfId="15607" xr:uid="{866D4111-5F3A-45B4-B053-581262232BA0}"/>
    <cellStyle name="Total 2 2 13" xfId="8773" xr:uid="{92B01DC2-48C1-444E-8048-822F89F27C9F}"/>
    <cellStyle name="Total 2 2 13 2" xfId="18010" xr:uid="{2E500694-570D-4191-BF86-96531D435939}"/>
    <cellStyle name="Total 2 2 14" xfId="9103" xr:uid="{B6621C11-A9D7-4534-87AE-B6BCFFE4BE12}"/>
    <cellStyle name="Total 2 2 14 2" xfId="18149" xr:uid="{03CC81E0-4953-4637-B519-9D6012987BB8}"/>
    <cellStyle name="Total 2 2 15" xfId="12432" xr:uid="{14D30928-C8F8-4251-AE52-072B99D91657}"/>
    <cellStyle name="Total 2 2 15 2" xfId="21479" xr:uid="{F80DA323-90AE-47E3-BB37-6D2001C44F67}"/>
    <cellStyle name="Total 2 2 16" xfId="12503" xr:uid="{7754DA39-2BBB-461B-9A4A-C4D8A827628C}"/>
    <cellStyle name="Total 2 2 17" xfId="13697" xr:uid="{3E34BC61-5D0C-40BC-A982-2FB124397EA8}"/>
    <cellStyle name="Total 2 2 18" xfId="14672" xr:uid="{54BCA5DC-B8C8-4555-99C0-20BC2989A50D}"/>
    <cellStyle name="Total 2 2 19" xfId="21547" xr:uid="{6C0CEF82-BBBF-4EDB-8664-B8EC972E2F4A}"/>
    <cellStyle name="Total 2 2 2" xfId="2449" xr:uid="{EB4AEE6F-4B04-4609-A492-5ABC6F1C2E6E}"/>
    <cellStyle name="Total 2 2 2 10" xfId="5901" xr:uid="{6BC48E10-08BF-42A0-AA9E-BB2AA38CEE90}"/>
    <cellStyle name="Total 2 2 2 10 2" xfId="11754" xr:uid="{9EB68BC7-BA9E-42D1-8926-5899B56C74B3}"/>
    <cellStyle name="Total 2 2 2 10 2 2" xfId="20800" xr:uid="{3186A2EE-7D35-414E-B119-B2576E98C950}"/>
    <cellStyle name="Total 2 2 2 10 3" xfId="17314" xr:uid="{943DE62F-BC6D-47F8-B155-960055CC9F03}"/>
    <cellStyle name="Total 2 2 2 11" xfId="9164" xr:uid="{A0F1F65E-F5FA-45A5-A810-C5411CAC2A0E}"/>
    <cellStyle name="Total 2 2 2 11 2" xfId="18210" xr:uid="{19CB7A0B-2E66-4D7C-810F-9249A953FF03}"/>
    <cellStyle name="Total 2 2 2 12" xfId="12562" xr:uid="{F6A88058-FAC7-47D8-B329-B9302D6929DD}"/>
    <cellStyle name="Total 2 2 2 13" xfId="13756" xr:uid="{AA9D4D31-C504-47C0-A450-732F10D4A4E5}"/>
    <cellStyle name="Total 2 2 2 14" xfId="14733" xr:uid="{87AB5763-9812-48AE-A03F-CA5A16B17BC3}"/>
    <cellStyle name="Total 2 2 2 15" xfId="21603" xr:uid="{37E58E60-BD45-42EC-A60D-7638828D6C2F}"/>
    <cellStyle name="Total 2 2 2 16" xfId="23790" xr:uid="{68DED045-32E6-4F57-ACA2-B72A0F459131}"/>
    <cellStyle name="Total 2 2 2 2" xfId="2450" xr:uid="{9FBFB4FC-2930-4631-B7A1-802EB569FAF1}"/>
    <cellStyle name="Total 2 2 2 2 10" xfId="13230" xr:uid="{1F65F6A2-3D5B-483F-A3E6-B919945F93E5}"/>
    <cellStyle name="Total 2 2 2 2 11" xfId="13864" xr:uid="{30C5C1C4-7A8B-4B50-A029-FDFAAE836D62}"/>
    <cellStyle name="Total 2 2 2 2 12" xfId="14841" xr:uid="{666A78F0-9687-49C9-B0D2-7D7FC36E8AF8}"/>
    <cellStyle name="Total 2 2 2 2 13" xfId="21709" xr:uid="{F5E5691B-FBB7-43B4-B27C-251F20A98D8E}"/>
    <cellStyle name="Total 2 2 2 2 2" xfId="2879" xr:uid="{D378E571-F6DC-42CA-BC16-B70C78D9A3B9}"/>
    <cellStyle name="Total 2 2 2 2 2 10" xfId="15267" xr:uid="{EA20F779-E09E-456E-BEBC-DEDD75C88BE5}"/>
    <cellStyle name="Total 2 2 2 2 2 11" xfId="22135" xr:uid="{10A5DB6F-921A-4C98-92A6-E529BBBE5181}"/>
    <cellStyle name="Total 2 2 2 2 2 12" xfId="3476" xr:uid="{F04B8871-BDE2-4B1A-A513-FFAC5C680514}"/>
    <cellStyle name="Total 2 2 2 2 2 2" xfId="4710" xr:uid="{7222412C-0A07-46CF-8521-946DD833CB9B}"/>
    <cellStyle name="Total 2 2 2 2 2 2 2" xfId="10567" xr:uid="{DDD85C9D-BF9B-402B-AA12-2261072FDCC0}"/>
    <cellStyle name="Total 2 2 2 2 2 2 2 2" xfId="19613" xr:uid="{02157671-D296-45CE-8698-34FD80B2E99F}"/>
    <cellStyle name="Total 2 2 2 2 2 2 3" xfId="16127" xr:uid="{95BA197B-5E8A-4CC4-ADFB-05EEB113BE96}"/>
    <cellStyle name="Total 2 2 2 2 2 2 4" xfId="22791" xr:uid="{67421245-40C6-42B0-8376-EE8E15FB3819}"/>
    <cellStyle name="Total 2 2 2 2 2 3" xfId="5211" xr:uid="{0DB11F08-79D2-4EB4-8749-22D203842362}"/>
    <cellStyle name="Total 2 2 2 2 2 3 2" xfId="11064" xr:uid="{C66EB515-B027-47C2-BA8D-EBE6FCC760C0}"/>
    <cellStyle name="Total 2 2 2 2 2 3 2 2" xfId="20110" xr:uid="{0C1C2E7F-459F-4BD5-B948-B451296FE08D}"/>
    <cellStyle name="Total 2 2 2 2 2 3 3" xfId="16624" xr:uid="{5E7E1724-AC32-4514-A969-5696E74AEC0B}"/>
    <cellStyle name="Total 2 2 2 2 2 3 4" xfId="23286" xr:uid="{B70A8B67-EE16-4219-921F-6C8DC4AC1759}"/>
    <cellStyle name="Total 2 2 2 2 2 4" xfId="5826" xr:uid="{CCC4ECB1-8C6F-440C-8BA8-89BA1308C5E5}"/>
    <cellStyle name="Total 2 2 2 2 2 4 2" xfId="11679" xr:uid="{CFD8C7A6-A567-41BF-8382-95D1CADF2250}"/>
    <cellStyle name="Total 2 2 2 2 2 4 2 2" xfId="20725" xr:uid="{5075DDD8-95AE-45C0-B611-CC5540B07094}"/>
    <cellStyle name="Total 2 2 2 2 2 4 3" xfId="17239" xr:uid="{60536D7D-C4D4-4E49-96EA-4E2D59886F3D}"/>
    <cellStyle name="Total 2 2 2 2 2 5" xfId="6437" xr:uid="{8F153707-D672-4899-91B1-5F7CEF120464}"/>
    <cellStyle name="Total 2 2 2 2 2 5 2" xfId="12284" xr:uid="{B5BF6037-37AA-4FF5-A10B-62CEADEDD869}"/>
    <cellStyle name="Total 2 2 2 2 2 5 2 2" xfId="21330" xr:uid="{E18A85C3-96BD-4359-9AF1-E5C8B68CC279}"/>
    <cellStyle name="Total 2 2 2 2 2 5 3" xfId="17850" xr:uid="{6E74C169-EEDB-4C6B-8830-F62CD719BB29}"/>
    <cellStyle name="Total 2 2 2 2 2 6" xfId="9698" xr:uid="{71DDBAEF-8835-4A53-A981-E5177DDE2E5C}"/>
    <cellStyle name="Total 2 2 2 2 2 6 2" xfId="18744" xr:uid="{73B5BF6E-2642-4934-9B9B-B5039B349431}"/>
    <cellStyle name="Total 2 2 2 2 2 7" xfId="13096" xr:uid="{0550645D-F78E-46C3-860E-7F205EB0B15C}"/>
    <cellStyle name="Total 2 2 2 2 2 8" xfId="13652" xr:uid="{928F1854-5485-42D0-9931-5BC1C6A9739D}"/>
    <cellStyle name="Total 2 2 2 2 2 9" xfId="14292" xr:uid="{6114074E-678E-4A81-874C-B33453A10AB9}"/>
    <cellStyle name="Total 2 2 2 2 3" xfId="3274" xr:uid="{8B739EB2-79D3-4862-BD28-62463D137753}"/>
    <cellStyle name="Total 2 2 2 2 3 10" xfId="15054" xr:uid="{4BDBC145-89C7-47A2-B657-12789BA75400}"/>
    <cellStyle name="Total 2 2 2 2 3 11" xfId="21924" xr:uid="{F3968936-5DB5-4A21-95E2-C30C4C7CB768}"/>
    <cellStyle name="Total 2 2 2 2 3 2" xfId="4497" xr:uid="{466EEEAB-7B1E-45CA-8DBB-AAC097365DBB}"/>
    <cellStyle name="Total 2 2 2 2 3 2 2" xfId="10354" xr:uid="{386EB8B0-56E9-4F47-8EBB-3FF56A0B31E8}"/>
    <cellStyle name="Total 2 2 2 2 3 2 2 2" xfId="19400" xr:uid="{6029B3A8-C54C-45A4-8FE5-EEE7D9BCD005}"/>
    <cellStyle name="Total 2 2 2 2 3 2 3" xfId="15914" xr:uid="{8F2406D9-19D4-4889-B7D4-F98C07E3F9F0}"/>
    <cellStyle name="Total 2 2 2 2 3 2 4" xfId="22580" xr:uid="{E33B5AF7-6167-45EF-91E1-111D8ED6492F}"/>
    <cellStyle name="Total 2 2 2 2 3 3" xfId="4998" xr:uid="{CA19EE39-92B3-4FF6-B070-17CE81870F5A}"/>
    <cellStyle name="Total 2 2 2 2 3 3 2" xfId="10851" xr:uid="{C4AB8A3E-4542-4F62-BF3C-C875CA26C2FD}"/>
    <cellStyle name="Total 2 2 2 2 3 3 2 2" xfId="19897" xr:uid="{E1CD674F-1E7D-409A-8811-50CA956E8662}"/>
    <cellStyle name="Total 2 2 2 2 3 3 3" xfId="16411" xr:uid="{1695DC07-84A5-41DC-8666-20C3DF8635D7}"/>
    <cellStyle name="Total 2 2 2 2 3 3 4" xfId="23075" xr:uid="{5F073180-8531-4FBC-957C-CDB36345FF08}"/>
    <cellStyle name="Total 2 2 2 2 3 4" xfId="5613" xr:uid="{EF04C0B1-3B2C-4F64-A5ED-EC980912F7B2}"/>
    <cellStyle name="Total 2 2 2 2 3 4 2" xfId="11466" xr:uid="{CD542833-08FB-44A3-BEBB-267569DB6EB5}"/>
    <cellStyle name="Total 2 2 2 2 3 4 2 2" xfId="20512" xr:uid="{C62CAC4E-0006-4AE9-8156-224A630709EA}"/>
    <cellStyle name="Total 2 2 2 2 3 4 3" xfId="17026" xr:uid="{B0783A31-D650-494D-9AEE-88E41E4A3EDD}"/>
    <cellStyle name="Total 2 2 2 2 3 5" xfId="6224" xr:uid="{72801B90-F086-4AE6-B7FC-05B786433B63}"/>
    <cellStyle name="Total 2 2 2 2 3 5 2" xfId="12071" xr:uid="{E410C033-9A6C-4E82-9989-1CA29E605729}"/>
    <cellStyle name="Total 2 2 2 2 3 5 2 2" xfId="21117" xr:uid="{E2D29A05-F452-4F1B-BE3E-8EE09E989849}"/>
    <cellStyle name="Total 2 2 2 2 3 5 3" xfId="17637" xr:uid="{3F44F915-1983-437C-90EB-1E63E6671B76}"/>
    <cellStyle name="Total 2 2 2 2 3 6" xfId="9485" xr:uid="{DBC57498-DA8D-4164-BC11-D0A21F2D16E7}"/>
    <cellStyle name="Total 2 2 2 2 3 6 2" xfId="18531" xr:uid="{5A6E227B-774D-41BF-ABF8-7D33D8407DD6}"/>
    <cellStyle name="Total 2 2 2 2 3 7" xfId="12883" xr:uid="{F9E371B2-4E2C-41D2-9834-7050BA08E5C6}"/>
    <cellStyle name="Total 2 2 2 2 3 8" xfId="13441" xr:uid="{89D578B7-25F1-49CA-B4A9-C1A2D278B549}"/>
    <cellStyle name="Total 2 2 2 2 3 9" xfId="14079" xr:uid="{0973CEDC-DDC5-4F0F-A5F3-8729836E06EA}"/>
    <cellStyle name="Total 2 2 2 2 4" xfId="4037" xr:uid="{3A48A5FB-F579-41A1-A33E-FA418C70ACFD}"/>
    <cellStyle name="Total 2 2 2 2 4 2" xfId="9899" xr:uid="{D461CC00-E26F-4BED-80EC-26CD49C44821}"/>
    <cellStyle name="Total 2 2 2 2 4 2 2" xfId="18945" xr:uid="{86B8CEA2-AF19-43D2-B1E2-48F1B4CBDA70}"/>
    <cellStyle name="Total 2 2 2 2 4 3" xfId="15461" xr:uid="{FB26C850-DFBB-488D-AFBF-1D71FFB0737A}"/>
    <cellStyle name="Total 2 2 2 2 4 4" xfId="22860" xr:uid="{4865B3C5-CFB8-405B-A225-98E875490349}"/>
    <cellStyle name="Total 2 2 2 2 5" xfId="4783" xr:uid="{E50CAACD-A7E1-4D96-82FA-3D9250C6898E}"/>
    <cellStyle name="Total 2 2 2 2 5 2" xfId="10640" xr:uid="{3C1251BA-E976-45BA-9D04-679B1D1DB2D7}"/>
    <cellStyle name="Total 2 2 2 2 5 2 2" xfId="19686" xr:uid="{9EA34B45-836A-4E71-B70D-7009D9C58BB8}"/>
    <cellStyle name="Total 2 2 2 2 5 3" xfId="16200" xr:uid="{90513005-9B22-42F1-AD10-004CFD0E1A79}"/>
    <cellStyle name="Total 2 2 2 2 6" xfId="5398" xr:uid="{754CD0DC-4E89-4330-9F94-52D242C265F5}"/>
    <cellStyle name="Total 2 2 2 2 6 2" xfId="11251" xr:uid="{B62EDE4C-2419-412B-BD70-9094663A69E2}"/>
    <cellStyle name="Total 2 2 2 2 6 2 2" xfId="20297" xr:uid="{6A831664-CA6B-4A40-B253-E71BD90EFB11}"/>
    <cellStyle name="Total 2 2 2 2 6 3" xfId="16811" xr:uid="{6A71A8B4-5E4B-49A1-8C41-CC9F81F18424}"/>
    <cellStyle name="Total 2 2 2 2 7" xfId="6009" xr:uid="{0FD27617-A3D8-434C-A66D-D028C2789AF9}"/>
    <cellStyle name="Total 2 2 2 2 7 2" xfId="11860" xr:uid="{69E61278-3BC3-45DA-B7E5-C33A9CDFAE7D}"/>
    <cellStyle name="Total 2 2 2 2 7 2 2" xfId="20906" xr:uid="{1783FEB2-E0AD-404B-BFE0-B6A9F35F617E}"/>
    <cellStyle name="Total 2 2 2 2 7 3" xfId="17422" xr:uid="{06ACB91E-7BC5-4FE6-B54F-15B70ED977C6}"/>
    <cellStyle name="Total 2 2 2 2 8" xfId="9272" xr:uid="{0688EB97-3C0D-4983-B07F-360DB98FDAFA}"/>
    <cellStyle name="Total 2 2 2 2 8 2" xfId="18318" xr:uid="{600B7891-DB38-40AE-8274-F9E2D6A9F039}"/>
    <cellStyle name="Total 2 2 2 2 9" xfId="12668" xr:uid="{06542A7B-C6C3-4344-9F39-4FF0ED3483B1}"/>
    <cellStyle name="Total 2 2 2 3" xfId="2880" xr:uid="{8EB01A99-430E-4ABA-9A87-1D23F48F1109}"/>
    <cellStyle name="Total 2 2 2 3 10" xfId="13865" xr:uid="{4485901D-8EB9-4F5D-94E5-98690456490B}"/>
    <cellStyle name="Total 2 2 2 3 11" xfId="14842" xr:uid="{D0965BBD-9AC6-43E1-8AE3-A51F79E9B6BA}"/>
    <cellStyle name="Total 2 2 2 3 12" xfId="21710" xr:uid="{39E8DB4F-1DE3-4D0A-8C91-9A93B333D001}"/>
    <cellStyle name="Total 2 2 2 3 13" xfId="3079" xr:uid="{593DE03A-0D04-426B-94B2-3BF60FF8B343}"/>
    <cellStyle name="Total 2 2 2 3 2" xfId="3477" xr:uid="{F53F7139-991D-487C-8E8A-891907FA1907}"/>
    <cellStyle name="Total 2 2 2 3 2 10" xfId="15268" xr:uid="{657C94D4-10A4-4A73-AED6-8C4175A54C55}"/>
    <cellStyle name="Total 2 2 2 3 2 11" xfId="22136" xr:uid="{77FA16AC-0AEE-4975-A7A0-3F4285E847C2}"/>
    <cellStyle name="Total 2 2 2 3 2 2" xfId="4711" xr:uid="{75DC18B3-8E69-4C52-B461-44789F068536}"/>
    <cellStyle name="Total 2 2 2 3 2 2 2" xfId="10568" xr:uid="{F1ED3B6C-E4D5-4277-99F8-226320743F61}"/>
    <cellStyle name="Total 2 2 2 3 2 2 2 2" xfId="19614" xr:uid="{2072987A-E7EC-45B8-BD8D-42290C71FD05}"/>
    <cellStyle name="Total 2 2 2 3 2 2 3" xfId="16128" xr:uid="{56F00AEB-A480-4191-8073-3F8A92AC1D5C}"/>
    <cellStyle name="Total 2 2 2 3 2 2 4" xfId="22792" xr:uid="{79AB829C-7F8F-4E44-AD4C-E9E20466B637}"/>
    <cellStyle name="Total 2 2 2 3 2 3" xfId="5212" xr:uid="{F5B5FF64-880E-4BF9-849B-48F11AF1C98D}"/>
    <cellStyle name="Total 2 2 2 3 2 3 2" xfId="11065" xr:uid="{10D0D35F-468B-4A21-A525-198289FC42F7}"/>
    <cellStyle name="Total 2 2 2 3 2 3 2 2" xfId="20111" xr:uid="{47654BC7-34A2-4A91-AFD8-9BAF308B0C96}"/>
    <cellStyle name="Total 2 2 2 3 2 3 3" xfId="16625" xr:uid="{D212A613-F30B-4E42-AAD2-5EA913050F66}"/>
    <cellStyle name="Total 2 2 2 3 2 3 4" xfId="23287" xr:uid="{DA03B75F-ABCD-46D0-95A2-06DAB42A12F9}"/>
    <cellStyle name="Total 2 2 2 3 2 4" xfId="5827" xr:uid="{B36F2079-24BE-4070-AF6B-478D67359C70}"/>
    <cellStyle name="Total 2 2 2 3 2 4 2" xfId="11680" xr:uid="{AF57BFFA-B342-4031-ACA0-7355271DE7AE}"/>
    <cellStyle name="Total 2 2 2 3 2 4 2 2" xfId="20726" xr:uid="{D593A09B-D648-44D9-87E8-6AAFAC91C555}"/>
    <cellStyle name="Total 2 2 2 3 2 4 3" xfId="17240" xr:uid="{1B4F29FE-A88C-4008-A156-C93E81F8C390}"/>
    <cellStyle name="Total 2 2 2 3 2 5" xfId="6438" xr:uid="{3AD731CC-C2DF-4205-8341-738309C38DE6}"/>
    <cellStyle name="Total 2 2 2 3 2 5 2" xfId="12285" xr:uid="{059BCEAF-0503-4337-A476-85646C599B48}"/>
    <cellStyle name="Total 2 2 2 3 2 5 2 2" xfId="21331" xr:uid="{645F1E3B-88D6-4C55-B846-F9F18578B4D7}"/>
    <cellStyle name="Total 2 2 2 3 2 5 3" xfId="17851" xr:uid="{5095750B-DA34-4833-8F0A-3678F8AF723A}"/>
    <cellStyle name="Total 2 2 2 3 2 6" xfId="9699" xr:uid="{298D4330-5F45-404B-AB85-7F307B7EF89F}"/>
    <cellStyle name="Total 2 2 2 3 2 6 2" xfId="18745" xr:uid="{A76FC1F9-982C-43EE-86E8-7E7D77DC8FC5}"/>
    <cellStyle name="Total 2 2 2 3 2 7" xfId="13097" xr:uid="{8E79546D-34D7-4C99-80AF-0ECA63B2ED32}"/>
    <cellStyle name="Total 2 2 2 3 2 8" xfId="13653" xr:uid="{FC157272-43DD-4F2A-8F9F-814420A4E019}"/>
    <cellStyle name="Total 2 2 2 3 2 9" xfId="14293" xr:uid="{D3CBBCC7-0679-4F0B-9D8A-ADAB4FE33ECA}"/>
    <cellStyle name="Total 2 2 2 3 3" xfId="3275" xr:uid="{AC7F617E-CABF-46BD-80B0-C4596D6F8659}"/>
    <cellStyle name="Total 2 2 2 3 3 10" xfId="15055" xr:uid="{1A749D31-5FAD-400B-B38E-8C2459ECCF25}"/>
    <cellStyle name="Total 2 2 2 3 3 11" xfId="21925" xr:uid="{A4BBED61-7396-4359-AC76-E5A0A2DFE4E1}"/>
    <cellStyle name="Total 2 2 2 3 3 2" xfId="4498" xr:uid="{68E567BB-A8F5-4291-B0D3-487C497E21AD}"/>
    <cellStyle name="Total 2 2 2 3 3 2 2" xfId="10355" xr:uid="{81352A4F-841A-4801-AE20-F10CA5C33E7A}"/>
    <cellStyle name="Total 2 2 2 3 3 2 2 2" xfId="19401" xr:uid="{E48987A3-FD62-46E4-AFFF-62C1828D6A6C}"/>
    <cellStyle name="Total 2 2 2 3 3 2 3" xfId="15915" xr:uid="{E8E0C63F-7CF4-46F0-B7A3-4C4121391B5D}"/>
    <cellStyle name="Total 2 2 2 3 3 2 4" xfId="22581" xr:uid="{7EB09964-9BCE-4206-BA87-8AFB003624A3}"/>
    <cellStyle name="Total 2 2 2 3 3 3" xfId="4999" xr:uid="{B74B43DC-71BF-4CBD-A215-34D681C7C76A}"/>
    <cellStyle name="Total 2 2 2 3 3 3 2" xfId="10852" xr:uid="{8742D795-8F5A-4B6E-AA80-74A21B74C5AE}"/>
    <cellStyle name="Total 2 2 2 3 3 3 2 2" xfId="19898" xr:uid="{8C69A3D0-4CD7-4DF6-81AB-6C4439060823}"/>
    <cellStyle name="Total 2 2 2 3 3 3 3" xfId="16412" xr:uid="{109015D6-E511-4863-9748-D817178F7BF8}"/>
    <cellStyle name="Total 2 2 2 3 3 3 4" xfId="23076" xr:uid="{8BC3CD0E-AC87-4480-8AA3-DA4F0C6C924A}"/>
    <cellStyle name="Total 2 2 2 3 3 4" xfId="5614" xr:uid="{388B60B7-489B-46B0-A7BB-B22E17F6A363}"/>
    <cellStyle name="Total 2 2 2 3 3 4 2" xfId="11467" xr:uid="{6FF6F14D-FB45-4C6B-A7ED-805165B0E1A0}"/>
    <cellStyle name="Total 2 2 2 3 3 4 2 2" xfId="20513" xr:uid="{9E1FD957-78BD-4107-8E55-EA5C7B5F6980}"/>
    <cellStyle name="Total 2 2 2 3 3 4 3" xfId="17027" xr:uid="{53DECE82-9D19-411D-843A-1970E46FE88D}"/>
    <cellStyle name="Total 2 2 2 3 3 5" xfId="6225" xr:uid="{B0CFCD50-ED52-4B4B-9F63-42C596D564EC}"/>
    <cellStyle name="Total 2 2 2 3 3 5 2" xfId="12072" xr:uid="{F1831B14-C5EC-420A-80F7-AA989658C8B2}"/>
    <cellStyle name="Total 2 2 2 3 3 5 2 2" xfId="21118" xr:uid="{A49DF928-33D7-429D-A935-EB684DFAF4F7}"/>
    <cellStyle name="Total 2 2 2 3 3 5 3" xfId="17638" xr:uid="{5F29F096-F49D-4CA4-9093-A4BC3B68FE22}"/>
    <cellStyle name="Total 2 2 2 3 3 6" xfId="9486" xr:uid="{B9841C33-06EC-4DF6-9442-9F92023D63E1}"/>
    <cellStyle name="Total 2 2 2 3 3 6 2" xfId="18532" xr:uid="{EEDFF5D1-FA90-449D-99ED-87FF74BAB75B}"/>
    <cellStyle name="Total 2 2 2 3 3 7" xfId="12884" xr:uid="{7ED7FC27-F643-4696-A9FB-B6160D347134}"/>
    <cellStyle name="Total 2 2 2 3 3 8" xfId="13442" xr:uid="{9A3609A0-6FE8-48DA-8ED1-4CB8357EAF35}"/>
    <cellStyle name="Total 2 2 2 3 3 9" xfId="14080" xr:uid="{64D9F7BD-8C98-422B-8DF7-95E70EC4373D}"/>
    <cellStyle name="Total 2 2 2 3 4" xfId="4784" xr:uid="{39E1BE1E-1022-4261-A10F-9A80597FEA99}"/>
    <cellStyle name="Total 2 2 2 3 4 2" xfId="10641" xr:uid="{3E081141-F5EA-4882-ABFC-43B425790F4C}"/>
    <cellStyle name="Total 2 2 2 3 4 2 2" xfId="19687" xr:uid="{19A27AFC-EF7D-44ED-A18E-D94643E27890}"/>
    <cellStyle name="Total 2 2 2 3 4 3" xfId="16201" xr:uid="{9E7A4CBC-07AF-4B83-BEB0-697E8EE20E09}"/>
    <cellStyle name="Total 2 2 2 3 4 4" xfId="22861" xr:uid="{7C30AF72-3C83-4B46-9F7F-36097EA1A888}"/>
    <cellStyle name="Total 2 2 2 3 5" xfId="5399" xr:uid="{7725FA01-CD64-415C-BEF8-2E318537E81D}"/>
    <cellStyle name="Total 2 2 2 3 5 2" xfId="11252" xr:uid="{66A8DE84-0D5D-4769-BE6C-E33E85919A20}"/>
    <cellStyle name="Total 2 2 2 3 5 2 2" xfId="20298" xr:uid="{3CE0789C-CC24-4131-A617-8DD5427519F4}"/>
    <cellStyle name="Total 2 2 2 3 5 3" xfId="16812" xr:uid="{13C3A1DF-C0CE-49CD-9A75-A307866913F6}"/>
    <cellStyle name="Total 2 2 2 3 6" xfId="6010" xr:uid="{526329A1-F198-4886-84FE-9E92A65A21DD}"/>
    <cellStyle name="Total 2 2 2 3 6 2" xfId="11861" xr:uid="{93C2E5A2-768E-46AC-9234-53660390268A}"/>
    <cellStyle name="Total 2 2 2 3 6 2 2" xfId="20907" xr:uid="{7D395AAB-D2A1-4BE2-A6A9-11306F08624D}"/>
    <cellStyle name="Total 2 2 2 3 6 3" xfId="17423" xr:uid="{5F6BCAD9-1E6D-4BD4-94B6-8E1F08DEF12B}"/>
    <cellStyle name="Total 2 2 2 3 7" xfId="9273" xr:uid="{511F025B-4400-4A9D-A9DE-8A3067CFD3BC}"/>
    <cellStyle name="Total 2 2 2 3 7 2" xfId="18319" xr:uid="{9FD6A127-725D-457D-A259-9853531F417A}"/>
    <cellStyle name="Total 2 2 2 3 8" xfId="12669" xr:uid="{96B700F6-5D99-4EFF-A993-DFA5A9418C46}"/>
    <cellStyle name="Total 2 2 2 3 9" xfId="13231" xr:uid="{13C6E0FE-724E-472E-8E8E-2895101AEDF9}"/>
    <cellStyle name="Total 2 2 2 4" xfId="3380" xr:uid="{A813DE75-F171-4D76-8CF2-D12DE6B9813B}"/>
    <cellStyle name="Total 2 2 2 4 10" xfId="15160" xr:uid="{31F13356-02E8-492B-91C3-0231F1218611}"/>
    <cellStyle name="Total 2 2 2 4 11" xfId="22029" xr:uid="{B0CBF3A4-FAA1-4654-8A8B-5E770A9CEE92}"/>
    <cellStyle name="Total 2 2 2 4 2" xfId="4603" xr:uid="{7498D4E6-F2C0-4918-8903-DD49CC2AC140}"/>
    <cellStyle name="Total 2 2 2 4 2 2" xfId="10460" xr:uid="{2B8A01E3-D5DC-44C2-B9C4-15D5ADEA72CA}"/>
    <cellStyle name="Total 2 2 2 4 2 2 2" xfId="19506" xr:uid="{88826D38-43C8-41A4-850E-BECA0FE2AAF8}"/>
    <cellStyle name="Total 2 2 2 4 2 3" xfId="16020" xr:uid="{52CAE976-3452-4A02-8AC3-3E07FABD1B4C}"/>
    <cellStyle name="Total 2 2 2 4 2 4" xfId="22685" xr:uid="{E3A71544-6295-4665-A18F-B55557DD3CFB}"/>
    <cellStyle name="Total 2 2 2 4 3" xfId="5104" xr:uid="{E8C932AF-D87B-4B30-A6FB-4B7CDBD59D34}"/>
    <cellStyle name="Total 2 2 2 4 3 2" xfId="10957" xr:uid="{4F7BC8A3-E60A-4A7B-A14E-1B6AB1B26FEC}"/>
    <cellStyle name="Total 2 2 2 4 3 2 2" xfId="20003" xr:uid="{00183ED7-8387-49DC-A2C7-215E4A22363D}"/>
    <cellStyle name="Total 2 2 2 4 3 3" xfId="16517" xr:uid="{8693F3F9-EE23-4531-8BC9-7FDD420262E0}"/>
    <cellStyle name="Total 2 2 2 4 3 4" xfId="23180" xr:uid="{409723E1-3A40-48A1-A721-3ABD71837FE8}"/>
    <cellStyle name="Total 2 2 2 4 4" xfId="5719" xr:uid="{76F3D041-068A-4DE7-9CAE-68D856550356}"/>
    <cellStyle name="Total 2 2 2 4 4 2" xfId="11572" xr:uid="{460EB5AF-D0A5-47C4-AA7E-305AE4EBAD9B}"/>
    <cellStyle name="Total 2 2 2 4 4 2 2" xfId="20618" xr:uid="{D5EC541F-1E73-4591-ADCC-47D1471EB012}"/>
    <cellStyle name="Total 2 2 2 4 4 3" xfId="17132" xr:uid="{63319F58-C537-4633-9461-8BE9F4120D73}"/>
    <cellStyle name="Total 2 2 2 4 5" xfId="6330" xr:uid="{1227B04B-018F-4761-9B4F-CD6F06AA8FB2}"/>
    <cellStyle name="Total 2 2 2 4 5 2" xfId="12177" xr:uid="{121C5759-5FFE-4925-A909-28146748522E}"/>
    <cellStyle name="Total 2 2 2 4 5 2 2" xfId="21223" xr:uid="{FBA1C29A-1728-4591-B19A-115B6DDD13EB}"/>
    <cellStyle name="Total 2 2 2 4 5 3" xfId="17743" xr:uid="{8FDB77C3-2C96-48D7-AC24-1EB087AC96B8}"/>
    <cellStyle name="Total 2 2 2 4 6" xfId="9591" xr:uid="{282A5C21-56D9-4133-91C9-2E73C9BD1654}"/>
    <cellStyle name="Total 2 2 2 4 6 2" xfId="18637" xr:uid="{FDC8EE02-71BC-4481-B46D-36F610B7D5F5}"/>
    <cellStyle name="Total 2 2 2 4 7" xfId="12989" xr:uid="{8460B788-9FDE-445B-B28F-19492707187E}"/>
    <cellStyle name="Total 2 2 2 4 8" xfId="13546" xr:uid="{3292DD47-3D04-43EA-823C-ECA7982E9853}"/>
    <cellStyle name="Total 2 2 2 4 9" xfId="14185" xr:uid="{11FED9A5-08F3-4E64-88C8-88E3A6004E24}"/>
    <cellStyle name="Total 2 2 2 5" xfId="3168" xr:uid="{82B97771-BB65-4D51-9F82-F2DF21077533}"/>
    <cellStyle name="Total 2 2 2 5 10" xfId="14948" xr:uid="{8E27CDDB-89B6-43DB-A439-F0940F70F00C}"/>
    <cellStyle name="Total 2 2 2 5 11" xfId="21816" xr:uid="{F1B2FCA5-78BD-481F-89EF-0C70C9C19516}"/>
    <cellStyle name="Total 2 2 2 5 2" xfId="4389" xr:uid="{53E65C05-0D5F-4577-969C-E925BC09CAA1}"/>
    <cellStyle name="Total 2 2 2 5 2 2" xfId="10246" xr:uid="{D1070409-7186-4C8A-8A59-2EC938B661A0}"/>
    <cellStyle name="Total 2 2 2 5 2 2 2" xfId="19292" xr:uid="{17C8769E-3DA1-43A9-A7B9-254B9200465A}"/>
    <cellStyle name="Total 2 2 2 5 2 3" xfId="15806" xr:uid="{5DB0524A-A8C6-4D1D-AEA7-9E6D28D80C05}"/>
    <cellStyle name="Total 2 2 2 5 2 4" xfId="22472" xr:uid="{408AA3CE-0316-4844-B386-3F66D2C04C61}"/>
    <cellStyle name="Total 2 2 2 5 3" xfId="4890" xr:uid="{D0B43151-B3A1-46A1-AC27-92B995DEEEC2}"/>
    <cellStyle name="Total 2 2 2 5 3 2" xfId="10745" xr:uid="{FDCB691F-D822-446B-A535-480B8F875AC6}"/>
    <cellStyle name="Total 2 2 2 5 3 2 2" xfId="19791" xr:uid="{F26377B5-0EA8-4DC2-8A54-45D771DC53EF}"/>
    <cellStyle name="Total 2 2 2 5 3 3" xfId="16305" xr:uid="{8873EFE0-D8A9-4F0F-B775-D62C1DCE9304}"/>
    <cellStyle name="Total 2 2 2 5 3 4" xfId="22967" xr:uid="{383A3DC4-77DB-415A-ADA6-1A2A31384B10}"/>
    <cellStyle name="Total 2 2 2 5 4" xfId="5505" xr:uid="{8A965372-253E-400D-824F-471E8DD01107}"/>
    <cellStyle name="Total 2 2 2 5 4 2" xfId="11358" xr:uid="{95D52119-90EE-46A9-930A-600BCBE09F5C}"/>
    <cellStyle name="Total 2 2 2 5 4 2 2" xfId="20404" xr:uid="{47C72F3E-7C6E-419F-B621-1E57698BBDE2}"/>
    <cellStyle name="Total 2 2 2 5 4 3" xfId="16918" xr:uid="{FED91C66-3D2E-4497-9916-5A2C81994B86}"/>
    <cellStyle name="Total 2 2 2 5 5" xfId="6116" xr:uid="{2AA6494D-EED0-4DB9-8E78-15BE80994A7D}"/>
    <cellStyle name="Total 2 2 2 5 5 2" xfId="11965" xr:uid="{2016DA67-7D59-4266-91D1-3FD8C9625E45}"/>
    <cellStyle name="Total 2 2 2 5 5 2 2" xfId="21011" xr:uid="{F55D59D1-14B4-4C3E-ABF3-662E134B1868}"/>
    <cellStyle name="Total 2 2 2 5 5 3" xfId="17529" xr:uid="{A5559E72-673F-426D-84BD-B02C87E8AF44}"/>
    <cellStyle name="Total 2 2 2 5 6" xfId="9379" xr:uid="{F64013BA-477B-4235-8693-CDB9305E791E}"/>
    <cellStyle name="Total 2 2 2 5 6 2" xfId="18425" xr:uid="{E752EAB8-2DE3-4E80-8A64-E78DACB54534}"/>
    <cellStyle name="Total 2 2 2 5 7" xfId="12775" xr:uid="{DF33DF9D-0786-4593-86DF-D50C7C0AF4E5}"/>
    <cellStyle name="Total 2 2 2 5 8" xfId="13335" xr:uid="{F2EFF5B0-E76A-4D94-BA94-802EBF469B07}"/>
    <cellStyle name="Total 2 2 2 5 9" xfId="13971" xr:uid="{43FC47F1-64C3-4ACB-96FF-F7B627E20539}"/>
    <cellStyle name="Total 2 2 2 6" xfId="3769" xr:uid="{D7BA465D-C615-4082-9632-F768B7052EA8}"/>
    <cellStyle name="Total 2 2 2 6 2" xfId="9811" xr:uid="{F242BE3C-CBA0-45A6-98F8-911F6C58ED85}"/>
    <cellStyle name="Total 2 2 2 6 2 2" xfId="18857" xr:uid="{2E1DDFF2-0320-477E-A9A1-D97A8E3A1EA2}"/>
    <cellStyle name="Total 2 2 2 6 3" xfId="15377" xr:uid="{08081B6B-559E-4F9C-A225-45594DD837A4}"/>
    <cellStyle name="Total 2 2 2 6 4" xfId="22356" xr:uid="{A52747EC-E16C-45DC-8805-115F782FCED7}"/>
    <cellStyle name="Total 2 2 2 7" xfId="4253" xr:uid="{9368735B-0EA7-4E90-A777-02B2198D5CBC}"/>
    <cellStyle name="Total 2 2 2 7 2" xfId="10110" xr:uid="{7C126038-D2B7-48E0-85EC-4C2EC2230283}"/>
    <cellStyle name="Total 2 2 2 7 2 2" xfId="19156" xr:uid="{0BC2DA64-8519-480D-9135-B500F200ACDA}"/>
    <cellStyle name="Total 2 2 2 7 3" xfId="15670" xr:uid="{6AFDB590-DDAD-46F8-BF6A-D1B478E68F89}"/>
    <cellStyle name="Total 2 2 2 7 4" xfId="22248" xr:uid="{095842FB-9519-4C25-B67D-DE3E45C33558}"/>
    <cellStyle name="Total 2 2 2 8" xfId="4129" xr:uid="{EBE1CC61-2659-4CD9-A167-F7B3ACD63F33}"/>
    <cellStyle name="Total 2 2 2 8 2" xfId="9986" xr:uid="{36BFAEDA-8AD1-4650-8D4C-FC1D74F9E8C7}"/>
    <cellStyle name="Total 2 2 2 8 2 2" xfId="19032" xr:uid="{9D6DE360-6444-4623-8DF7-09FAD2E796C6}"/>
    <cellStyle name="Total 2 2 2 8 3" xfId="15546" xr:uid="{0F70ABA4-97DB-4DAB-8961-9AFCB7B24A14}"/>
    <cellStyle name="Total 2 2 2 9" xfId="5290" xr:uid="{17F5E834-C8B5-464C-B335-F703EB56FDEE}"/>
    <cellStyle name="Total 2 2 2 9 2" xfId="11143" xr:uid="{F937158E-8F5D-484D-A1C6-4D49282EC588}"/>
    <cellStyle name="Total 2 2 2 9 2 2" xfId="20189" xr:uid="{729ABBED-5109-4A47-92DE-193673A381A4}"/>
    <cellStyle name="Total 2 2 2 9 3" xfId="16703" xr:uid="{F3ED5EB5-4DCA-4C50-B377-4966820DD1AD}"/>
    <cellStyle name="Total 2 2 20" xfId="23791" xr:uid="{290BAF11-205F-497A-81F8-95E2C59C940D}"/>
    <cellStyle name="Total 2 2 21" xfId="2226" xr:uid="{16589BFA-7A25-4952-8F0E-423FEF18CB16}"/>
    <cellStyle name="Total 2 2 3" xfId="2451" xr:uid="{D08F23E5-A433-4C08-A2BF-62CF7FB694C6}"/>
    <cellStyle name="Total 2 2 3 10" xfId="5902" xr:uid="{A02C64C2-3B9E-4D3D-9D04-23CE4712D0CF}"/>
    <cellStyle name="Total 2 2 3 10 2" xfId="11755" xr:uid="{6EC580BD-0EFA-42CF-A390-116C134AE468}"/>
    <cellStyle name="Total 2 2 3 10 2 2" xfId="20801" xr:uid="{999174BC-F84F-4160-A2AC-22DF54032B37}"/>
    <cellStyle name="Total 2 2 3 10 3" xfId="17315" xr:uid="{AE6DD0A9-DEAB-44FC-B244-20C0E287E5C5}"/>
    <cellStyle name="Total 2 2 3 11" xfId="9165" xr:uid="{F5F19E6A-8A06-4575-8D5A-4989C91C297A}"/>
    <cellStyle name="Total 2 2 3 11 2" xfId="18211" xr:uid="{DE7E68DF-4B4A-4C8B-A38D-AA694D625CEE}"/>
    <cellStyle name="Total 2 2 3 12" xfId="12563" xr:uid="{8979896F-3494-4929-B03A-A5D54AABE422}"/>
    <cellStyle name="Total 2 2 3 13" xfId="13757" xr:uid="{B9EBB37B-8CC5-4CA8-A2AE-E385ED8556A9}"/>
    <cellStyle name="Total 2 2 3 14" xfId="14734" xr:uid="{379F0ACF-21C0-444C-BF34-E178BA9732A3}"/>
    <cellStyle name="Total 2 2 3 15" xfId="21604" xr:uid="{1772EB4A-D495-4494-8742-D3622875BA2C}"/>
    <cellStyle name="Total 2 2 3 16" xfId="23792" xr:uid="{8481EA0B-6047-41C5-8DCB-8DC4CD02DC47}"/>
    <cellStyle name="Total 2 2 3 2" xfId="2452" xr:uid="{5EB284F4-CD06-4C51-B7BB-0DC6A064AED8}"/>
    <cellStyle name="Total 2 2 3 2 10" xfId="13232" xr:uid="{9DD350A5-77FC-45D6-96B7-3C574647D117}"/>
    <cellStyle name="Total 2 2 3 2 11" xfId="13866" xr:uid="{6120EC57-0A99-4F57-8507-A7F194112021}"/>
    <cellStyle name="Total 2 2 3 2 12" xfId="14843" xr:uid="{1C20BCE2-0300-4A39-A5C6-228D46EAF2C8}"/>
    <cellStyle name="Total 2 2 3 2 13" xfId="21711" xr:uid="{9A1371EA-B507-43C7-86B6-C0915CD0A6F6}"/>
    <cellStyle name="Total 2 2 3 2 2" xfId="2614" xr:uid="{C4B6D37F-3B7E-4BB7-82A3-A36AB0F532E3}"/>
    <cellStyle name="Total 2 2 3 2 2 10" xfId="15269" xr:uid="{36DA429F-BE9F-49F5-8C3B-397BD383DEA9}"/>
    <cellStyle name="Total 2 2 3 2 2 11" xfId="22137" xr:uid="{FBABD547-994B-4D79-92EC-7E5075D155C8}"/>
    <cellStyle name="Total 2 2 3 2 2 12" xfId="3478" xr:uid="{46B77606-5AC2-4434-919C-940313FD75C6}"/>
    <cellStyle name="Total 2 2 3 2 2 2" xfId="4712" xr:uid="{CADE3067-F777-4FA4-B255-BD9CC6A31353}"/>
    <cellStyle name="Total 2 2 3 2 2 2 2" xfId="10569" xr:uid="{44BE0858-1E5E-49FB-8A09-96C334A8A1E5}"/>
    <cellStyle name="Total 2 2 3 2 2 2 2 2" xfId="19615" xr:uid="{9B942BC6-D98F-442F-9A20-4E9964807481}"/>
    <cellStyle name="Total 2 2 3 2 2 2 3" xfId="16129" xr:uid="{F1335AA8-0306-4FCB-869A-F42C282DCD12}"/>
    <cellStyle name="Total 2 2 3 2 2 2 4" xfId="22793" xr:uid="{3742594F-75D3-4636-A43D-BE402566AB16}"/>
    <cellStyle name="Total 2 2 3 2 2 3" xfId="5213" xr:uid="{41FF823E-F48F-44D3-B773-ABF76031F901}"/>
    <cellStyle name="Total 2 2 3 2 2 3 2" xfId="11066" xr:uid="{DB38042F-74E5-4513-A600-05C6373D6B58}"/>
    <cellStyle name="Total 2 2 3 2 2 3 2 2" xfId="20112" xr:uid="{CCFC1F5D-3016-41A9-9D46-3D2301E0737B}"/>
    <cellStyle name="Total 2 2 3 2 2 3 3" xfId="16626" xr:uid="{499BB952-B6C7-4B0F-882C-20142F7CFE83}"/>
    <cellStyle name="Total 2 2 3 2 2 3 4" xfId="23288" xr:uid="{BC247EC4-1DE1-416E-9670-D730F985FB9D}"/>
    <cellStyle name="Total 2 2 3 2 2 4" xfId="5828" xr:uid="{8FC86733-FC62-4949-ACDD-78DDC1235614}"/>
    <cellStyle name="Total 2 2 3 2 2 4 2" xfId="11681" xr:uid="{E8EAC69E-6756-4C05-A496-FD90BBB22500}"/>
    <cellStyle name="Total 2 2 3 2 2 4 2 2" xfId="20727" xr:uid="{34E56F8B-43EF-4A8E-B26D-9F82361D433D}"/>
    <cellStyle name="Total 2 2 3 2 2 4 3" xfId="17241" xr:uid="{53CC0FBB-A183-413E-BDA7-312025DA2B59}"/>
    <cellStyle name="Total 2 2 3 2 2 5" xfId="6439" xr:uid="{3A1E7E54-44F1-4A3D-8F1A-6A691D46AF22}"/>
    <cellStyle name="Total 2 2 3 2 2 5 2" xfId="12286" xr:uid="{DE12A6FF-391D-45ED-B013-BE3F733F6DAF}"/>
    <cellStyle name="Total 2 2 3 2 2 5 2 2" xfId="21332" xr:uid="{15B4D0C6-A9CB-413A-80CD-669DA67376B1}"/>
    <cellStyle name="Total 2 2 3 2 2 5 3" xfId="17852" xr:uid="{4C457012-62C0-41BB-A912-E9792A5BC4CB}"/>
    <cellStyle name="Total 2 2 3 2 2 6" xfId="9700" xr:uid="{1EC65901-68AE-44D7-B8EE-573C4E189BA3}"/>
    <cellStyle name="Total 2 2 3 2 2 6 2" xfId="18746" xr:uid="{0B37C6D1-4800-4300-BD82-C99498665409}"/>
    <cellStyle name="Total 2 2 3 2 2 7" xfId="13098" xr:uid="{DE7A5166-E8C2-498E-910C-DCF31E50E3D2}"/>
    <cellStyle name="Total 2 2 3 2 2 8" xfId="13654" xr:uid="{3B61D212-1472-4F38-B93D-A0EDA3E23FB4}"/>
    <cellStyle name="Total 2 2 3 2 2 9" xfId="14294" xr:uid="{0B3002B6-696E-4A68-87AE-2B427F8E3A7D}"/>
    <cellStyle name="Total 2 2 3 2 3" xfId="3276" xr:uid="{6926605F-2C5A-40DD-BF9A-822E1869894B}"/>
    <cellStyle name="Total 2 2 3 2 3 10" xfId="15056" xr:uid="{2BC040B5-5393-41C3-B383-F92DE2375586}"/>
    <cellStyle name="Total 2 2 3 2 3 11" xfId="21926" xr:uid="{A4A93DE0-EE3D-4301-B17E-0AEACD9DFDCA}"/>
    <cellStyle name="Total 2 2 3 2 3 2" xfId="4499" xr:uid="{9BD2A403-7112-4C50-9AF2-8D03ED52D111}"/>
    <cellStyle name="Total 2 2 3 2 3 2 2" xfId="10356" xr:uid="{62E246D6-B0DB-4C0F-8191-9C68415B8468}"/>
    <cellStyle name="Total 2 2 3 2 3 2 2 2" xfId="19402" xr:uid="{547D3F56-DC3E-45C7-8A36-D32F2C3F2364}"/>
    <cellStyle name="Total 2 2 3 2 3 2 3" xfId="15916" xr:uid="{DE6A2296-ABB5-4ECE-8EB5-DF05B55B048C}"/>
    <cellStyle name="Total 2 2 3 2 3 2 4" xfId="22582" xr:uid="{09E4509E-9570-4E22-8886-E7776C049E4B}"/>
    <cellStyle name="Total 2 2 3 2 3 3" xfId="5000" xr:uid="{6297A24B-BA5B-4632-9686-5D86C94DB225}"/>
    <cellStyle name="Total 2 2 3 2 3 3 2" xfId="10853" xr:uid="{7BEB5F09-6EA0-477D-938D-356D09BB39A7}"/>
    <cellStyle name="Total 2 2 3 2 3 3 2 2" xfId="19899" xr:uid="{E8D611B1-9623-43B2-9626-E6A7CA3BEB63}"/>
    <cellStyle name="Total 2 2 3 2 3 3 3" xfId="16413" xr:uid="{F5E2321D-599B-45E5-9F0A-8AE33D7AE237}"/>
    <cellStyle name="Total 2 2 3 2 3 3 4" xfId="23077" xr:uid="{0D5179C6-3CE8-4DB2-A25C-279BD798192D}"/>
    <cellStyle name="Total 2 2 3 2 3 4" xfId="5615" xr:uid="{A9BC9A29-1920-4010-A33C-51374F129DC0}"/>
    <cellStyle name="Total 2 2 3 2 3 4 2" xfId="11468" xr:uid="{51075103-B4A6-4F10-A8B6-C1BEA56EEF51}"/>
    <cellStyle name="Total 2 2 3 2 3 4 2 2" xfId="20514" xr:uid="{AFC07BDE-AFAA-44AB-8F9A-8653D23E6CDE}"/>
    <cellStyle name="Total 2 2 3 2 3 4 3" xfId="17028" xr:uid="{331AC828-BEF9-43D6-8DD2-32975B2F983A}"/>
    <cellStyle name="Total 2 2 3 2 3 5" xfId="6226" xr:uid="{5A2050CF-D1C0-4796-B89D-DDBE2C70657D}"/>
    <cellStyle name="Total 2 2 3 2 3 5 2" xfId="12073" xr:uid="{610921C0-A063-4C33-991E-AED5C04920A5}"/>
    <cellStyle name="Total 2 2 3 2 3 5 2 2" xfId="21119" xr:uid="{2C818934-A3E6-4765-89F1-823E00E55A3C}"/>
    <cellStyle name="Total 2 2 3 2 3 5 3" xfId="17639" xr:uid="{01B808DD-7246-40DB-A1D2-B1E79BEF39E4}"/>
    <cellStyle name="Total 2 2 3 2 3 6" xfId="9487" xr:uid="{08364EB6-5BA2-44D2-8600-49831EC80FA2}"/>
    <cellStyle name="Total 2 2 3 2 3 6 2" xfId="18533" xr:uid="{D6111C77-984D-4EB2-9DE1-919532201278}"/>
    <cellStyle name="Total 2 2 3 2 3 7" xfId="12885" xr:uid="{D1F84198-2C14-49E1-B769-C95017263291}"/>
    <cellStyle name="Total 2 2 3 2 3 8" xfId="13443" xr:uid="{9B4FF836-9AF1-429F-A13A-1A00665CC229}"/>
    <cellStyle name="Total 2 2 3 2 3 9" xfId="14081" xr:uid="{74DD583B-6245-4171-B0FC-BC35A6CF1CA2}"/>
    <cellStyle name="Total 2 2 3 2 4" xfId="4038" xr:uid="{4ED1ECE4-BBB7-4B8A-BAFF-6A59A231552E}"/>
    <cellStyle name="Total 2 2 3 2 4 2" xfId="9900" xr:uid="{B55545E8-A4FC-4BDF-933D-713D623B7C77}"/>
    <cellStyle name="Total 2 2 3 2 4 2 2" xfId="18946" xr:uid="{9D3CBC28-64AA-45B4-9DA4-3E52F5B434DE}"/>
    <cellStyle name="Total 2 2 3 2 4 3" xfId="15462" xr:uid="{5BC11AE6-47E1-4F20-AD7F-99C1A2F4066E}"/>
    <cellStyle name="Total 2 2 3 2 4 4" xfId="22862" xr:uid="{EB9C00DA-CD8C-4039-9740-DC3B72E6077A}"/>
    <cellStyle name="Total 2 2 3 2 5" xfId="4785" xr:uid="{8E28A127-0934-4DDD-9736-DAAF6BEA8AEC}"/>
    <cellStyle name="Total 2 2 3 2 5 2" xfId="10642" xr:uid="{49F058D6-54AE-4840-B4D5-4D3C94B8B9D7}"/>
    <cellStyle name="Total 2 2 3 2 5 2 2" xfId="19688" xr:uid="{78E60066-0C8A-47C4-A25E-9BAEECED2DF1}"/>
    <cellStyle name="Total 2 2 3 2 5 3" xfId="16202" xr:uid="{1E4DA872-C4BE-4F76-971B-049122E26334}"/>
    <cellStyle name="Total 2 2 3 2 6" xfId="5400" xr:uid="{225226E3-EE4A-4077-9DDA-0386FF3D523A}"/>
    <cellStyle name="Total 2 2 3 2 6 2" xfId="11253" xr:uid="{F102409E-A2AE-4C57-AF2B-A51CE088B884}"/>
    <cellStyle name="Total 2 2 3 2 6 2 2" xfId="20299" xr:uid="{E9396D97-6988-46AC-818F-1379AC10B6EA}"/>
    <cellStyle name="Total 2 2 3 2 6 3" xfId="16813" xr:uid="{CBCEBC7F-B6B2-4CD0-A574-E73491D176E7}"/>
    <cellStyle name="Total 2 2 3 2 7" xfId="6011" xr:uid="{4900A386-ABE1-4B72-B5B2-EDBBA7B4F63B}"/>
    <cellStyle name="Total 2 2 3 2 7 2" xfId="11862" xr:uid="{960DE773-0A1F-4EB7-B68F-6ECFAB0E3DFB}"/>
    <cellStyle name="Total 2 2 3 2 7 2 2" xfId="20908" xr:uid="{11BFDEA4-E63B-4EB3-9D52-8A8C694A6E6F}"/>
    <cellStyle name="Total 2 2 3 2 7 3" xfId="17424" xr:uid="{5DBA81BE-EC64-4DD6-BCAF-E6EC0413F8D3}"/>
    <cellStyle name="Total 2 2 3 2 8" xfId="9274" xr:uid="{A5196728-7291-46C3-B820-3E7E456F6B68}"/>
    <cellStyle name="Total 2 2 3 2 8 2" xfId="18320" xr:uid="{0FE7AD95-32B3-43E6-BC6E-FB8776553E9F}"/>
    <cellStyle name="Total 2 2 3 2 9" xfId="12670" xr:uid="{B4C65F92-7065-495F-BBDF-9BE06102AC7A}"/>
    <cellStyle name="Total 2 2 3 3" xfId="2878" xr:uid="{EC63B4CB-7369-4571-A1CC-07CD4649B0AD}"/>
    <cellStyle name="Total 2 2 3 3 10" xfId="13867" xr:uid="{A2B62016-F1EA-4E0A-84C0-2C6503C11123}"/>
    <cellStyle name="Total 2 2 3 3 11" xfId="14844" xr:uid="{D365046E-8077-4304-ADB2-1D659D3D8A79}"/>
    <cellStyle name="Total 2 2 3 3 12" xfId="21712" xr:uid="{59EA09E8-DB69-4E80-9A3A-EEB1D3E8A0DD}"/>
    <cellStyle name="Total 2 2 3 3 13" xfId="3080" xr:uid="{57640276-3DF3-413A-96EB-40A8232989CB}"/>
    <cellStyle name="Total 2 2 3 3 2" xfId="3479" xr:uid="{4A8C98B3-401A-4724-8A44-8CB57FE98065}"/>
    <cellStyle name="Total 2 2 3 3 2 10" xfId="15270" xr:uid="{76C01571-3F81-41CB-BDF3-CFFC264B9B8A}"/>
    <cellStyle name="Total 2 2 3 3 2 11" xfId="22138" xr:uid="{ECA0B1DC-6FD2-4225-AFCB-EBD03AE60B89}"/>
    <cellStyle name="Total 2 2 3 3 2 2" xfId="4713" xr:uid="{05F3121D-E29B-4FE7-A7F0-0CCAC8F50152}"/>
    <cellStyle name="Total 2 2 3 3 2 2 2" xfId="10570" xr:uid="{10C5812E-F14C-49B2-A43F-F5704D0053DD}"/>
    <cellStyle name="Total 2 2 3 3 2 2 2 2" xfId="19616" xr:uid="{70844795-876C-4D7E-8DD3-B0882821E249}"/>
    <cellStyle name="Total 2 2 3 3 2 2 3" xfId="16130" xr:uid="{449DA026-9BD9-4351-9C18-D7B5FCF742E0}"/>
    <cellStyle name="Total 2 2 3 3 2 2 4" xfId="22794" xr:uid="{E25F8416-B4AD-4A5E-99B6-6B302B7F63CD}"/>
    <cellStyle name="Total 2 2 3 3 2 3" xfId="5214" xr:uid="{4AC13698-A6ED-4C60-8073-CE8BF87A7FAF}"/>
    <cellStyle name="Total 2 2 3 3 2 3 2" xfId="11067" xr:uid="{16BBB071-8D68-476B-BDF9-979E6BE5402C}"/>
    <cellStyle name="Total 2 2 3 3 2 3 2 2" xfId="20113" xr:uid="{6B6CAF12-3E21-4340-9E49-7224D163C1D9}"/>
    <cellStyle name="Total 2 2 3 3 2 3 3" xfId="16627" xr:uid="{972B5E1C-E531-49D4-A6D8-457EEDC517F6}"/>
    <cellStyle name="Total 2 2 3 3 2 3 4" xfId="23289" xr:uid="{09265CDA-EE39-4F0F-92EE-F6A18AF35A14}"/>
    <cellStyle name="Total 2 2 3 3 2 4" xfId="5829" xr:uid="{5CDD0A8D-28FC-4B36-90F6-A18BD5BDC8B4}"/>
    <cellStyle name="Total 2 2 3 3 2 4 2" xfId="11682" xr:uid="{BF93AA11-6603-4E5D-B29A-DED986829B2A}"/>
    <cellStyle name="Total 2 2 3 3 2 4 2 2" xfId="20728" xr:uid="{86A39A2B-C5E0-4938-8D4B-EFAE768EB416}"/>
    <cellStyle name="Total 2 2 3 3 2 4 3" xfId="17242" xr:uid="{8821AA52-EF02-4737-938E-B8F1F0269F65}"/>
    <cellStyle name="Total 2 2 3 3 2 5" xfId="6440" xr:uid="{5A9ED816-8FE5-46B0-B757-642E155D0B46}"/>
    <cellStyle name="Total 2 2 3 3 2 5 2" xfId="12287" xr:uid="{AFCCE6A5-3023-4C06-8852-3CA11B2FF32F}"/>
    <cellStyle name="Total 2 2 3 3 2 5 2 2" xfId="21333" xr:uid="{F1B9A7B5-DCF6-4BEB-8EB7-C77D0B0D1B8A}"/>
    <cellStyle name="Total 2 2 3 3 2 5 3" xfId="17853" xr:uid="{5DA4FC91-92B7-4807-A83D-433638FED720}"/>
    <cellStyle name="Total 2 2 3 3 2 6" xfId="9701" xr:uid="{DFE4F956-9D9C-4E2E-96B6-5D31A80262BC}"/>
    <cellStyle name="Total 2 2 3 3 2 6 2" xfId="18747" xr:uid="{AB5C87FC-5DB2-4552-AB27-453FF1CE3A6B}"/>
    <cellStyle name="Total 2 2 3 3 2 7" xfId="13099" xr:uid="{E23DE20B-6C3A-4C57-B8AE-5D177926DBF6}"/>
    <cellStyle name="Total 2 2 3 3 2 8" xfId="13655" xr:uid="{8BABA401-1CD7-48A1-815A-10ACC889C54A}"/>
    <cellStyle name="Total 2 2 3 3 2 9" xfId="14295" xr:uid="{96E152C6-A2D8-447C-854E-9A098FB37501}"/>
    <cellStyle name="Total 2 2 3 3 3" xfId="3277" xr:uid="{7FDAC136-AE96-4338-8B83-82D58E12FC70}"/>
    <cellStyle name="Total 2 2 3 3 3 10" xfId="15057" xr:uid="{2608E547-9DD6-4373-844D-2F5DD2747EF5}"/>
    <cellStyle name="Total 2 2 3 3 3 11" xfId="21927" xr:uid="{B8271683-9F11-4481-98F8-ECB5821B037C}"/>
    <cellStyle name="Total 2 2 3 3 3 2" xfId="4500" xr:uid="{6E7FD338-D21F-4264-B67B-DD0308A048DC}"/>
    <cellStyle name="Total 2 2 3 3 3 2 2" xfId="10357" xr:uid="{90F13389-0B41-401B-A24F-EE955C51E623}"/>
    <cellStyle name="Total 2 2 3 3 3 2 2 2" xfId="19403" xr:uid="{772D6613-4074-4DE2-BAD8-3FAB0CBB072B}"/>
    <cellStyle name="Total 2 2 3 3 3 2 3" xfId="15917" xr:uid="{C7ECC51C-883E-4F9D-8E13-3F534B856FB8}"/>
    <cellStyle name="Total 2 2 3 3 3 2 4" xfId="22583" xr:uid="{1A3A6491-9E17-46EA-AAA7-A37A1CBC18D4}"/>
    <cellStyle name="Total 2 2 3 3 3 3" xfId="5001" xr:uid="{E8507F6E-7C6B-4517-B13E-1B32EB402BF0}"/>
    <cellStyle name="Total 2 2 3 3 3 3 2" xfId="10854" xr:uid="{24724BF1-C347-4C1E-8394-BCFDC8D4A4FB}"/>
    <cellStyle name="Total 2 2 3 3 3 3 2 2" xfId="19900" xr:uid="{00C2E030-E42F-4C2B-99C1-9F0380626151}"/>
    <cellStyle name="Total 2 2 3 3 3 3 3" xfId="16414" xr:uid="{9C6629AD-3900-4A08-A014-8EE5ED2F7A59}"/>
    <cellStyle name="Total 2 2 3 3 3 3 4" xfId="23078" xr:uid="{B1E4D208-0067-4094-8716-44CC73BEFDC1}"/>
    <cellStyle name="Total 2 2 3 3 3 4" xfId="5616" xr:uid="{445EB2A4-F66D-4773-8E9F-82158E32D3FD}"/>
    <cellStyle name="Total 2 2 3 3 3 4 2" xfId="11469" xr:uid="{12B7AFFC-A20E-447B-BAA7-1B2BD2ADF382}"/>
    <cellStyle name="Total 2 2 3 3 3 4 2 2" xfId="20515" xr:uid="{A7A7DD5C-0598-45A3-A30E-421E4E783131}"/>
    <cellStyle name="Total 2 2 3 3 3 4 3" xfId="17029" xr:uid="{C17C1680-6957-490B-AC76-8073DA8D8A43}"/>
    <cellStyle name="Total 2 2 3 3 3 5" xfId="6227" xr:uid="{A7591FAC-4690-4342-9817-604D0120D69B}"/>
    <cellStyle name="Total 2 2 3 3 3 5 2" xfId="12074" xr:uid="{4345464B-24BB-4C85-87CA-C257F7B60B1D}"/>
    <cellStyle name="Total 2 2 3 3 3 5 2 2" xfId="21120" xr:uid="{3C7A1E6C-3597-4CB3-A505-CE52DA74BE6B}"/>
    <cellStyle name="Total 2 2 3 3 3 5 3" xfId="17640" xr:uid="{B929EB3B-7255-43CB-9D12-3D89615A6B5E}"/>
    <cellStyle name="Total 2 2 3 3 3 6" xfId="9488" xr:uid="{7372A2D8-4921-4FFC-8276-A0DA537A84FF}"/>
    <cellStyle name="Total 2 2 3 3 3 6 2" xfId="18534" xr:uid="{EE85AAA0-284B-4D2B-8D48-C239BF5D7719}"/>
    <cellStyle name="Total 2 2 3 3 3 7" xfId="12886" xr:uid="{679817A1-2E36-4BB9-8E05-7DAE26A9D6AD}"/>
    <cellStyle name="Total 2 2 3 3 3 8" xfId="13444" xr:uid="{D56B34F1-C487-4685-B435-10C2F756C72F}"/>
    <cellStyle name="Total 2 2 3 3 3 9" xfId="14082" xr:uid="{56948238-5335-41BC-A52F-C6DB9E7A784B}"/>
    <cellStyle name="Total 2 2 3 3 4" xfId="4786" xr:uid="{CAA5D894-4A5E-43E6-9635-6D84AB7D3017}"/>
    <cellStyle name="Total 2 2 3 3 4 2" xfId="10643" xr:uid="{96B332AD-414C-4214-9995-3A8CB14C34D4}"/>
    <cellStyle name="Total 2 2 3 3 4 2 2" xfId="19689" xr:uid="{2CD3D27B-4CE5-4F35-93C9-968911BCA1FE}"/>
    <cellStyle name="Total 2 2 3 3 4 3" xfId="16203" xr:uid="{F9A30D7F-73F8-4BCB-AB92-A3A41F92B7D3}"/>
    <cellStyle name="Total 2 2 3 3 4 4" xfId="22863" xr:uid="{894890C2-CF59-4B4F-B904-2EFA422FE166}"/>
    <cellStyle name="Total 2 2 3 3 5" xfId="5401" xr:uid="{7E59E1AA-DB50-4D9F-BEDC-82C4245157C3}"/>
    <cellStyle name="Total 2 2 3 3 5 2" xfId="11254" xr:uid="{BDA021C1-62F9-4EF7-835A-1F4B515AF8F1}"/>
    <cellStyle name="Total 2 2 3 3 5 2 2" xfId="20300" xr:uid="{17384512-3930-4CD9-9B2F-4529F0111512}"/>
    <cellStyle name="Total 2 2 3 3 5 3" xfId="16814" xr:uid="{F671B9B0-8DE7-4A31-9C59-F58B774B4C67}"/>
    <cellStyle name="Total 2 2 3 3 6" xfId="6012" xr:uid="{F4EBF163-D97E-4406-B1A8-FE675F9E97F4}"/>
    <cellStyle name="Total 2 2 3 3 6 2" xfId="11863" xr:uid="{25798E05-9CAD-42C8-9AFA-B74EB3D91F08}"/>
    <cellStyle name="Total 2 2 3 3 6 2 2" xfId="20909" xr:uid="{259D7C3D-51B6-4EBA-9EC4-889D71E257D1}"/>
    <cellStyle name="Total 2 2 3 3 6 3" xfId="17425" xr:uid="{1E2A851E-2246-493D-9608-39C9E38E0198}"/>
    <cellStyle name="Total 2 2 3 3 7" xfId="9275" xr:uid="{0486A0AE-8201-426D-90B5-87BBEF4D1D6F}"/>
    <cellStyle name="Total 2 2 3 3 7 2" xfId="18321" xr:uid="{EC06CDEA-FBA1-4D74-A5D4-4A5A6381BA9F}"/>
    <cellStyle name="Total 2 2 3 3 8" xfId="12671" xr:uid="{A02BA30A-B24D-421B-9A24-AC2CE79F522B}"/>
    <cellStyle name="Total 2 2 3 3 9" xfId="13233" xr:uid="{BDDEEBEB-0C1E-497F-9E06-711888DE1CB8}"/>
    <cellStyle name="Total 2 2 3 4" xfId="3381" xr:uid="{16D8A22A-A9DE-42B8-9A72-0B459D69C5F8}"/>
    <cellStyle name="Total 2 2 3 4 10" xfId="15161" xr:uid="{530443D7-F5B0-4B5A-978E-99905795D306}"/>
    <cellStyle name="Total 2 2 3 4 11" xfId="22030" xr:uid="{038239F7-4BD7-412B-A1DE-1256ED9263B9}"/>
    <cellStyle name="Total 2 2 3 4 2" xfId="4604" xr:uid="{FF235175-B51E-4CAB-A9FB-402B2473DF1C}"/>
    <cellStyle name="Total 2 2 3 4 2 2" xfId="10461" xr:uid="{E2B20FE3-F20D-4E48-A4A0-A79700041E1E}"/>
    <cellStyle name="Total 2 2 3 4 2 2 2" xfId="19507" xr:uid="{4C49C9BB-986B-4599-841D-310370D338D5}"/>
    <cellStyle name="Total 2 2 3 4 2 3" xfId="16021" xr:uid="{6AA7F037-A648-4AF8-B150-AFD0C5D79BBF}"/>
    <cellStyle name="Total 2 2 3 4 2 4" xfId="22686" xr:uid="{DE9CA836-6113-4359-870A-A015EFDECB07}"/>
    <cellStyle name="Total 2 2 3 4 3" xfId="5105" xr:uid="{5510E8A1-3C54-4FBD-8189-382206F097AC}"/>
    <cellStyle name="Total 2 2 3 4 3 2" xfId="10958" xr:uid="{55037A56-652A-4B0F-AA1C-C0F69A209A17}"/>
    <cellStyle name="Total 2 2 3 4 3 2 2" xfId="20004" xr:uid="{51D27157-8008-45A3-B86C-EB6EE12914E3}"/>
    <cellStyle name="Total 2 2 3 4 3 3" xfId="16518" xr:uid="{B444640D-9858-4CF6-BD0E-E498AA4DD20C}"/>
    <cellStyle name="Total 2 2 3 4 3 4" xfId="23181" xr:uid="{BCC10D43-359E-4FEA-A8CB-C2D2E56DD366}"/>
    <cellStyle name="Total 2 2 3 4 4" xfId="5720" xr:uid="{1D94563E-5289-4E4A-B953-75B9B93FA116}"/>
    <cellStyle name="Total 2 2 3 4 4 2" xfId="11573" xr:uid="{2EFA01A7-E2C8-42E9-A409-66BBC98F0BC1}"/>
    <cellStyle name="Total 2 2 3 4 4 2 2" xfId="20619" xr:uid="{A7F86DA1-076B-44A7-B80F-76936DA13D80}"/>
    <cellStyle name="Total 2 2 3 4 4 3" xfId="17133" xr:uid="{E01A6D45-962A-4E68-984F-F2B23C2FF640}"/>
    <cellStyle name="Total 2 2 3 4 5" xfId="6331" xr:uid="{E8A6C376-B332-4FE5-A6E6-5232261A0C3A}"/>
    <cellStyle name="Total 2 2 3 4 5 2" xfId="12178" xr:uid="{E769A2DA-3828-4ECA-BB7D-87DC744123BF}"/>
    <cellStyle name="Total 2 2 3 4 5 2 2" xfId="21224" xr:uid="{0A64F2B3-EAD0-45B5-A393-9E7325148835}"/>
    <cellStyle name="Total 2 2 3 4 5 3" xfId="17744" xr:uid="{8A90DB88-A4E4-443E-9FA3-3D726E4C7365}"/>
    <cellStyle name="Total 2 2 3 4 6" xfId="9592" xr:uid="{EB36147B-FC55-4B74-9C70-E4F013951021}"/>
    <cellStyle name="Total 2 2 3 4 6 2" xfId="18638" xr:uid="{2D6B8857-1DFF-4F6E-B65C-7F1A88B67D03}"/>
    <cellStyle name="Total 2 2 3 4 7" xfId="12990" xr:uid="{FC2B0DC0-CFC4-497B-9FE4-B6382D70D50E}"/>
    <cellStyle name="Total 2 2 3 4 8" xfId="13547" xr:uid="{0DC45DE7-DF1D-4AC7-A99E-DCBBA4DEC370}"/>
    <cellStyle name="Total 2 2 3 4 9" xfId="14186" xr:uid="{F8C44774-1A25-462F-BF1D-2C43CFC74ACD}"/>
    <cellStyle name="Total 2 2 3 5" xfId="3169" xr:uid="{111187BD-2DA2-43A2-92F9-9B76D36BE2C6}"/>
    <cellStyle name="Total 2 2 3 5 10" xfId="14949" xr:uid="{E37DA392-0C75-4896-A465-5BE0BBFC9599}"/>
    <cellStyle name="Total 2 2 3 5 11" xfId="21817" xr:uid="{CEB11EB8-376D-4D3D-9C12-D0368B744ED4}"/>
    <cellStyle name="Total 2 2 3 5 2" xfId="4390" xr:uid="{C42A4344-7258-4BFF-94F4-0D628DFCB733}"/>
    <cellStyle name="Total 2 2 3 5 2 2" xfId="10247" xr:uid="{1C384C46-2141-471D-846C-37FFB73FC741}"/>
    <cellStyle name="Total 2 2 3 5 2 2 2" xfId="19293" xr:uid="{7D5F1B0A-CDD8-489E-8744-C5CCC440CE1D}"/>
    <cellStyle name="Total 2 2 3 5 2 3" xfId="15807" xr:uid="{C2A91742-55B5-4449-B729-1B263A0877A2}"/>
    <cellStyle name="Total 2 2 3 5 2 4" xfId="22473" xr:uid="{99DEBB54-F889-49A3-9811-BCF9253C701F}"/>
    <cellStyle name="Total 2 2 3 5 3" xfId="4891" xr:uid="{0CDBACB7-182C-461E-9E3E-B2FA8B4C3718}"/>
    <cellStyle name="Total 2 2 3 5 3 2" xfId="10746" xr:uid="{6311E043-45AB-4C99-816A-C121E4FE9F7E}"/>
    <cellStyle name="Total 2 2 3 5 3 2 2" xfId="19792" xr:uid="{081868A2-BF93-4A71-937E-4ACDEA241105}"/>
    <cellStyle name="Total 2 2 3 5 3 3" xfId="16306" xr:uid="{64B79A7A-1CCE-4952-9C64-96051CB65097}"/>
    <cellStyle name="Total 2 2 3 5 3 4" xfId="22968" xr:uid="{21F4531B-1A6C-4059-86F3-33C7819D254B}"/>
    <cellStyle name="Total 2 2 3 5 4" xfId="5506" xr:uid="{BFE59C6E-B5DD-4F97-AAB4-E0E31C7036D7}"/>
    <cellStyle name="Total 2 2 3 5 4 2" xfId="11359" xr:uid="{820A84BD-63E7-4993-96C1-B0D59CC7883D}"/>
    <cellStyle name="Total 2 2 3 5 4 2 2" xfId="20405" xr:uid="{BC199232-3A7D-492B-9AC5-D8D10E778835}"/>
    <cellStyle name="Total 2 2 3 5 4 3" xfId="16919" xr:uid="{6AE980B8-CEC1-4A5F-AF14-21E15EA4E1E6}"/>
    <cellStyle name="Total 2 2 3 5 5" xfId="6117" xr:uid="{B8E5ACA8-A48A-4D5F-BB5A-0DBF3B174821}"/>
    <cellStyle name="Total 2 2 3 5 5 2" xfId="11966" xr:uid="{235F6786-EF87-499B-81AE-8CFF82664D0B}"/>
    <cellStyle name="Total 2 2 3 5 5 2 2" xfId="21012" xr:uid="{293A5899-03C7-4773-A6FD-0A516DCBF605}"/>
    <cellStyle name="Total 2 2 3 5 5 3" xfId="17530" xr:uid="{80EE6680-B2F3-4A61-9DDA-A74065989B56}"/>
    <cellStyle name="Total 2 2 3 5 6" xfId="9380" xr:uid="{518F4684-A95C-4366-8B6B-17671B238641}"/>
    <cellStyle name="Total 2 2 3 5 6 2" xfId="18426" xr:uid="{B6167DBD-0D82-4D13-980C-16C1E78DEA08}"/>
    <cellStyle name="Total 2 2 3 5 7" xfId="12776" xr:uid="{CE76DFED-17F3-4A84-A26C-580C4D2017B2}"/>
    <cellStyle name="Total 2 2 3 5 8" xfId="13336" xr:uid="{E415255A-7342-43C4-A931-8D48C9C1FBAD}"/>
    <cellStyle name="Total 2 2 3 5 9" xfId="13972" xr:uid="{39EAA0BF-8265-4C3B-92D2-105C09D60C9B}"/>
    <cellStyle name="Total 2 2 3 6" xfId="3770" xr:uid="{3F2B2261-A287-444C-8CE7-359622B0E00B}"/>
    <cellStyle name="Total 2 2 3 6 2" xfId="9812" xr:uid="{10BFB954-A821-4F13-B7EB-2D1CEFE14AC1}"/>
    <cellStyle name="Total 2 2 3 6 2 2" xfId="18858" xr:uid="{1BA1E2D4-318D-42F0-BB6C-465A20B2BFF9}"/>
    <cellStyle name="Total 2 2 3 6 3" xfId="15378" xr:uid="{F7A1815F-6596-4D1E-874F-2CA3C608514B}"/>
    <cellStyle name="Total 2 2 3 6 4" xfId="22357" xr:uid="{9A11C548-EB82-45C6-BA07-38F421F92B8B}"/>
    <cellStyle name="Total 2 2 3 7" xfId="4254" xr:uid="{98CADC80-046D-4AE6-98C5-ED128CD9892A}"/>
    <cellStyle name="Total 2 2 3 7 2" xfId="10111" xr:uid="{551A372B-77CF-4A53-9032-5BA55CB2F3D6}"/>
    <cellStyle name="Total 2 2 3 7 2 2" xfId="19157" xr:uid="{46D498F3-F3E2-44D4-92C6-FDA30F55B2A6}"/>
    <cellStyle name="Total 2 2 3 7 3" xfId="15671" xr:uid="{858A9D11-A530-44AC-94FD-D4E7E0972593}"/>
    <cellStyle name="Total 2 2 3 7 4" xfId="22247" xr:uid="{D1075C12-0A2F-422B-BB9D-45B2437FDE80}"/>
    <cellStyle name="Total 2 2 3 8" xfId="4128" xr:uid="{6FE03C46-37A9-4B37-AFCE-D56930123165}"/>
    <cellStyle name="Total 2 2 3 8 2" xfId="9985" xr:uid="{19A2A828-0700-4C52-BB18-5654596F2E16}"/>
    <cellStyle name="Total 2 2 3 8 2 2" xfId="19031" xr:uid="{E41A2C0F-3CA3-48AD-AB29-879801D63AEA}"/>
    <cellStyle name="Total 2 2 3 8 3" xfId="15545" xr:uid="{3CE235FE-0D74-4050-BC9A-51FDCB40EE08}"/>
    <cellStyle name="Total 2 2 3 9" xfId="5291" xr:uid="{2FF22ECE-998A-4541-A1CC-44AA0DF424C1}"/>
    <cellStyle name="Total 2 2 3 9 2" xfId="11144" xr:uid="{F3275109-394D-43E2-AD91-C0AE1E0071E7}"/>
    <cellStyle name="Total 2 2 3 9 2 2" xfId="20190" xr:uid="{8378CAC4-61AF-48F2-BA0C-EE4B7DD2C1D1}"/>
    <cellStyle name="Total 2 2 3 9 3" xfId="16704" xr:uid="{C61065BB-9B8C-4EF7-A2D1-A31204139078}"/>
    <cellStyle name="Total 2 2 4" xfId="2453" xr:uid="{6E24CEAF-0803-43D8-8BD0-5F6C1AE57B32}"/>
    <cellStyle name="Total 2 2 4 10" xfId="13234" xr:uid="{8C50F89D-C15F-4F41-9756-69F4CE16EA10}"/>
    <cellStyle name="Total 2 2 4 11" xfId="13868" xr:uid="{665BA1B7-CA10-4EB5-95E4-7AFE5F8D37FB}"/>
    <cellStyle name="Total 2 2 4 12" xfId="14845" xr:uid="{46529F3F-B27C-42A1-B879-1D931CFB2EC0}"/>
    <cellStyle name="Total 2 2 4 13" xfId="21713" xr:uid="{F79FC1A8-01C7-4E38-870E-28F50D8CC718}"/>
    <cellStyle name="Total 2 2 4 2" xfId="2519" xr:uid="{E8027D9B-84EC-41C8-9F0A-102C2AB65E6B}"/>
    <cellStyle name="Total 2 2 4 2 10" xfId="15271" xr:uid="{81F15A99-F508-40CD-9426-01A5DC198052}"/>
    <cellStyle name="Total 2 2 4 2 11" xfId="22139" xr:uid="{18542588-2F45-4E71-A9B7-1B5FF2DFCC03}"/>
    <cellStyle name="Total 2 2 4 2 12" xfId="3480" xr:uid="{06BBD26F-91A6-409C-8F72-85A5E556A42E}"/>
    <cellStyle name="Total 2 2 4 2 2" xfId="4714" xr:uid="{2950FF16-E997-460E-B783-0C994E522B01}"/>
    <cellStyle name="Total 2 2 4 2 2 2" xfId="10571" xr:uid="{8BB9F58E-7F47-4B27-8EDD-11D17ADC7722}"/>
    <cellStyle name="Total 2 2 4 2 2 2 2" xfId="19617" xr:uid="{E8713AD4-C72D-424F-B0B5-5ADFA3DC8C02}"/>
    <cellStyle name="Total 2 2 4 2 2 3" xfId="16131" xr:uid="{3BAFC445-625C-4C70-B04C-55CFD0598DC7}"/>
    <cellStyle name="Total 2 2 4 2 2 4" xfId="22795" xr:uid="{73FD2F0C-68EC-4636-A037-3F49BE1BCCD4}"/>
    <cellStyle name="Total 2 2 4 2 3" xfId="5215" xr:uid="{06C62C0A-5CBC-4CEB-B80B-B022B3A8FF68}"/>
    <cellStyle name="Total 2 2 4 2 3 2" xfId="11068" xr:uid="{413E8D29-03D9-4320-BFD9-9E21F53E7A65}"/>
    <cellStyle name="Total 2 2 4 2 3 2 2" xfId="20114" xr:uid="{BC8AF389-065C-4C6F-8AF1-F8944BF718E7}"/>
    <cellStyle name="Total 2 2 4 2 3 3" xfId="16628" xr:uid="{E09A8CD9-40B3-4DA1-9B03-ACAC4D7EBEAA}"/>
    <cellStyle name="Total 2 2 4 2 3 4" xfId="23290" xr:uid="{C3FE99C4-F288-4A19-A817-96E48CE44FF9}"/>
    <cellStyle name="Total 2 2 4 2 4" xfId="5830" xr:uid="{909FE553-CADB-48F1-9B57-1C1EFB46E1AD}"/>
    <cellStyle name="Total 2 2 4 2 4 2" xfId="11683" xr:uid="{74193230-0702-4280-9B32-7323C48BCB11}"/>
    <cellStyle name="Total 2 2 4 2 4 2 2" xfId="20729" xr:uid="{E6D51123-6B66-4898-BD62-9CE856601433}"/>
    <cellStyle name="Total 2 2 4 2 4 3" xfId="17243" xr:uid="{1EF38D09-6415-41EE-BF5C-78F333C9C16B}"/>
    <cellStyle name="Total 2 2 4 2 5" xfId="6441" xr:uid="{3859FDA0-C935-4EEC-9817-400392703CB9}"/>
    <cellStyle name="Total 2 2 4 2 5 2" xfId="12288" xr:uid="{0409BF5E-BF72-4844-9457-1D1675E581E6}"/>
    <cellStyle name="Total 2 2 4 2 5 2 2" xfId="21334" xr:uid="{B925BBD7-B76B-4E84-A612-8B47611578A3}"/>
    <cellStyle name="Total 2 2 4 2 5 3" xfId="17854" xr:uid="{3825DB40-791B-45A4-9276-62BEF1D4A0F1}"/>
    <cellStyle name="Total 2 2 4 2 6" xfId="9702" xr:uid="{1B38D332-FEF7-479E-ABFD-61D0C67B415D}"/>
    <cellStyle name="Total 2 2 4 2 6 2" xfId="18748" xr:uid="{CE2F2A7E-6E31-4595-9164-B9ABFEF21981}"/>
    <cellStyle name="Total 2 2 4 2 7" xfId="13100" xr:uid="{165ED4E2-466D-4195-82AC-9EDFC5BC9891}"/>
    <cellStyle name="Total 2 2 4 2 8" xfId="13656" xr:uid="{6B6F7CF5-C7FA-4D14-B5C0-361562C7B0FC}"/>
    <cellStyle name="Total 2 2 4 2 9" xfId="14296" xr:uid="{655CA4FF-5C45-4346-992E-C2B5570F269D}"/>
    <cellStyle name="Total 2 2 4 3" xfId="3278" xr:uid="{CE26A779-6499-44B4-80B4-9A98FE94FA14}"/>
    <cellStyle name="Total 2 2 4 3 10" xfId="15058" xr:uid="{422B407D-75F2-474C-A1DF-244F5571420B}"/>
    <cellStyle name="Total 2 2 4 3 11" xfId="21928" xr:uid="{9218709C-5E71-4C62-8271-8608705B2A0C}"/>
    <cellStyle name="Total 2 2 4 3 2" xfId="4501" xr:uid="{23A9D6AB-3593-40E1-B98E-0297112795DC}"/>
    <cellStyle name="Total 2 2 4 3 2 2" xfId="10358" xr:uid="{09167668-3636-46AB-8089-AB571DC8317D}"/>
    <cellStyle name="Total 2 2 4 3 2 2 2" xfId="19404" xr:uid="{2AFA6D7B-66EE-47E5-AE47-AE84BE3A6F74}"/>
    <cellStyle name="Total 2 2 4 3 2 3" xfId="15918" xr:uid="{F2072871-8B00-466A-B4DF-20617571CECB}"/>
    <cellStyle name="Total 2 2 4 3 2 4" xfId="22584" xr:uid="{3C1D7C73-E260-4FF2-AFCB-4F483201E3C2}"/>
    <cellStyle name="Total 2 2 4 3 3" xfId="5002" xr:uid="{844D04A4-72B2-4BD6-9729-68D693D0949C}"/>
    <cellStyle name="Total 2 2 4 3 3 2" xfId="10855" xr:uid="{E323F2CB-BD44-4A30-AEFF-133BBB29CB7C}"/>
    <cellStyle name="Total 2 2 4 3 3 2 2" xfId="19901" xr:uid="{5EE5C93E-AC40-4239-B1F9-600AB14AF43E}"/>
    <cellStyle name="Total 2 2 4 3 3 3" xfId="16415" xr:uid="{D3CCD43E-35D7-453F-83BB-8774D27E35ED}"/>
    <cellStyle name="Total 2 2 4 3 3 4" xfId="23079" xr:uid="{5B6E7E44-4DC4-4186-A9FE-495BEAE43DE1}"/>
    <cellStyle name="Total 2 2 4 3 4" xfId="5617" xr:uid="{78DEFB18-E735-4BE7-921A-BF83B5FC5E81}"/>
    <cellStyle name="Total 2 2 4 3 4 2" xfId="11470" xr:uid="{340F1D84-F015-452E-A504-70C436000D06}"/>
    <cellStyle name="Total 2 2 4 3 4 2 2" xfId="20516" xr:uid="{D9D667A9-6CCB-4E76-85B0-C3353D123CF4}"/>
    <cellStyle name="Total 2 2 4 3 4 3" xfId="17030" xr:uid="{03178C51-24C4-4C11-9881-05AEA9BDFA4F}"/>
    <cellStyle name="Total 2 2 4 3 5" xfId="6228" xr:uid="{76F27573-ECFB-4F2F-9444-4B66714D23D4}"/>
    <cellStyle name="Total 2 2 4 3 5 2" xfId="12075" xr:uid="{2B8B034D-3AA1-4D26-A48C-3AEB7675F263}"/>
    <cellStyle name="Total 2 2 4 3 5 2 2" xfId="21121" xr:uid="{414D6898-38AF-4254-B7DE-6F417B87F797}"/>
    <cellStyle name="Total 2 2 4 3 5 3" xfId="17641" xr:uid="{35969FBC-22A4-4AA7-B565-BB8CB0811959}"/>
    <cellStyle name="Total 2 2 4 3 6" xfId="9489" xr:uid="{CCD12F32-4C82-40E3-A029-8506DCB05D84}"/>
    <cellStyle name="Total 2 2 4 3 6 2" xfId="18535" xr:uid="{0BFFC72C-C984-4237-876E-521B6E9D668B}"/>
    <cellStyle name="Total 2 2 4 3 7" xfId="12887" xr:uid="{3EBEAFDF-638B-497D-9F6D-8FBAA4FA5165}"/>
    <cellStyle name="Total 2 2 4 3 8" xfId="13445" xr:uid="{D32C34DF-CA1D-41D9-9483-1684E424E4FA}"/>
    <cellStyle name="Total 2 2 4 3 9" xfId="14083" xr:uid="{C46A86F2-FDDA-4FD6-AC15-8AF16E58037D}"/>
    <cellStyle name="Total 2 2 4 4" xfId="3976" xr:uid="{8A52424D-8A4C-4EA4-95CD-4868337293FC}"/>
    <cellStyle name="Total 2 2 4 4 2" xfId="9838" xr:uid="{C1764258-134E-459E-8F23-2EAA42919E13}"/>
    <cellStyle name="Total 2 2 4 4 2 2" xfId="18884" xr:uid="{15694614-F6AC-4C8C-9B42-F3A34E830635}"/>
    <cellStyle name="Total 2 2 4 4 3" xfId="15400" xr:uid="{E36984D7-BDD7-4D30-8E7D-22C9DE7A7690}"/>
    <cellStyle name="Total 2 2 4 4 4" xfId="22864" xr:uid="{D2B1A86B-9023-47E5-A6F6-1EAD24E68F85}"/>
    <cellStyle name="Total 2 2 4 5" xfId="4787" xr:uid="{AFFA5C39-CF46-423C-B85D-8D055373EE7F}"/>
    <cellStyle name="Total 2 2 4 5 2" xfId="10644" xr:uid="{2D288A42-BA7D-499B-9466-2EC6E08DDFBC}"/>
    <cellStyle name="Total 2 2 4 5 2 2" xfId="19690" xr:uid="{D487AD5E-2624-485D-9E36-1959E38F71C1}"/>
    <cellStyle name="Total 2 2 4 5 3" xfId="16204" xr:uid="{34509A3B-80D7-4E2C-AED5-4FCA6A16192B}"/>
    <cellStyle name="Total 2 2 4 6" xfId="5402" xr:uid="{505D5F0C-FCF2-4553-A259-0C6FE107C650}"/>
    <cellStyle name="Total 2 2 4 6 2" xfId="11255" xr:uid="{88C41196-D009-4162-B180-3A8A619D0806}"/>
    <cellStyle name="Total 2 2 4 6 2 2" xfId="20301" xr:uid="{5C9D19E3-1B77-4DCF-A5CA-2022C16A4282}"/>
    <cellStyle name="Total 2 2 4 6 3" xfId="16815" xr:uid="{50E0914E-238A-46A3-A3FF-820DA4E58E30}"/>
    <cellStyle name="Total 2 2 4 7" xfId="6013" xr:uid="{A678B82A-78B5-4E66-82E9-63FEFE5275A3}"/>
    <cellStyle name="Total 2 2 4 7 2" xfId="11864" xr:uid="{E76D0A64-6B2E-4515-816B-2FF53205B922}"/>
    <cellStyle name="Total 2 2 4 7 2 2" xfId="20910" xr:uid="{0A0B9B33-9C1A-441A-AFAD-E70D05F0F8AD}"/>
    <cellStyle name="Total 2 2 4 7 3" xfId="17426" xr:uid="{93A7E371-4BA4-415E-925D-0A50EAC93A4C}"/>
    <cellStyle name="Total 2 2 4 8" xfId="9276" xr:uid="{25D6F702-7C47-40E6-AD65-FEFA775BF6E7}"/>
    <cellStyle name="Total 2 2 4 8 2" xfId="18322" xr:uid="{509F14BE-4470-4F99-9C63-E991A0A23E44}"/>
    <cellStyle name="Total 2 2 4 9" xfId="12672" xr:uid="{C26F33CB-CC35-483C-A705-2E2FE1CBB7C0}"/>
    <cellStyle name="Total 2 2 5" xfId="2888" xr:uid="{875F225D-C78E-4FEA-911F-85B807C04A3A}"/>
    <cellStyle name="Total 2 2 5 10" xfId="13869" xr:uid="{55B26808-BC06-4EA8-BCF9-0A1F286D5B60}"/>
    <cellStyle name="Total 2 2 5 11" xfId="14846" xr:uid="{E9A32C9C-CB73-4CCA-9C6F-5F14C6343DF8}"/>
    <cellStyle name="Total 2 2 5 12" xfId="21714" xr:uid="{F6639DED-139F-41CF-BE3C-53D8DFF2B894}"/>
    <cellStyle name="Total 2 2 5 13" xfId="3081" xr:uid="{5607DA4C-1BCB-4D1C-AABA-1C5AE2D06BD4}"/>
    <cellStyle name="Total 2 2 5 2" xfId="3481" xr:uid="{1B98DDD6-BC96-4102-BD94-64BDE8867D1C}"/>
    <cellStyle name="Total 2 2 5 2 10" xfId="15272" xr:uid="{68426A85-414E-4B2E-B4CC-960ECC37C6D6}"/>
    <cellStyle name="Total 2 2 5 2 11" xfId="22140" xr:uid="{4DC3EF24-164B-43F7-A002-92B0703CB0CD}"/>
    <cellStyle name="Total 2 2 5 2 2" xfId="4715" xr:uid="{398E601A-1D7A-4C0B-B280-BE55F518E33C}"/>
    <cellStyle name="Total 2 2 5 2 2 2" xfId="10572" xr:uid="{A9056C76-FB07-4DD5-A123-56068FCD4200}"/>
    <cellStyle name="Total 2 2 5 2 2 2 2" xfId="19618" xr:uid="{1B973FA2-FC77-4F92-B5FB-59324A173287}"/>
    <cellStyle name="Total 2 2 5 2 2 3" xfId="16132" xr:uid="{C977CA37-6F2C-4DEE-AC8F-C00298537337}"/>
    <cellStyle name="Total 2 2 5 2 2 4" xfId="22796" xr:uid="{BEB46043-154C-4D7F-B8D9-DB3FC0CCF90D}"/>
    <cellStyle name="Total 2 2 5 2 3" xfId="5216" xr:uid="{6DDD3EB9-6E8A-4BE4-A423-3942EF52F481}"/>
    <cellStyle name="Total 2 2 5 2 3 2" xfId="11069" xr:uid="{45ED80F6-9690-4181-913A-1B613CBB79AE}"/>
    <cellStyle name="Total 2 2 5 2 3 2 2" xfId="20115" xr:uid="{F0422362-F9C9-471A-B5BD-438B8C367EA6}"/>
    <cellStyle name="Total 2 2 5 2 3 3" xfId="16629" xr:uid="{BEE31F41-99C3-41C0-927D-536A7F3B8901}"/>
    <cellStyle name="Total 2 2 5 2 3 4" xfId="23291" xr:uid="{D09DFD37-A4DF-4D32-8ED1-8C7C1933C8CB}"/>
    <cellStyle name="Total 2 2 5 2 4" xfId="5831" xr:uid="{E0A1B931-A508-4659-A3C3-09B5B0AD398F}"/>
    <cellStyle name="Total 2 2 5 2 4 2" xfId="11684" xr:uid="{AF4751A3-4AD7-41B4-A5D0-FDDA7576CC5D}"/>
    <cellStyle name="Total 2 2 5 2 4 2 2" xfId="20730" xr:uid="{98FCAE67-3040-49CA-9388-2E30FF2C2CA8}"/>
    <cellStyle name="Total 2 2 5 2 4 3" xfId="17244" xr:uid="{2E2C6CDB-A9A4-4A07-936A-346A14511CEE}"/>
    <cellStyle name="Total 2 2 5 2 5" xfId="6442" xr:uid="{00DA448A-3EF6-4B15-9B49-700455CDBC2A}"/>
    <cellStyle name="Total 2 2 5 2 5 2" xfId="12289" xr:uid="{E7699987-B654-4612-931F-B6AB5355D68F}"/>
    <cellStyle name="Total 2 2 5 2 5 2 2" xfId="21335" xr:uid="{3D27EF3D-F05A-450A-A2A6-714F4184CF0C}"/>
    <cellStyle name="Total 2 2 5 2 5 3" xfId="17855" xr:uid="{2ACF18B1-8905-4366-AC77-5BAC8CFA0F3D}"/>
    <cellStyle name="Total 2 2 5 2 6" xfId="9703" xr:uid="{4303B459-FAF4-4E81-9258-E6B6CBEB8141}"/>
    <cellStyle name="Total 2 2 5 2 6 2" xfId="18749" xr:uid="{330D8AE2-930C-4205-8725-2994BA6F5A7A}"/>
    <cellStyle name="Total 2 2 5 2 7" xfId="13101" xr:uid="{8FB49E1E-44E1-4EED-B733-E6F6147C2100}"/>
    <cellStyle name="Total 2 2 5 2 8" xfId="13657" xr:uid="{8CAC5778-42FB-4E4B-AA41-8F8DDC6A1625}"/>
    <cellStyle name="Total 2 2 5 2 9" xfId="14297" xr:uid="{E298D886-1CC7-4141-A68D-55616220AFB2}"/>
    <cellStyle name="Total 2 2 5 3" xfId="3279" xr:uid="{736AA4C8-B054-4F5E-A5AA-2EA89FF518B5}"/>
    <cellStyle name="Total 2 2 5 3 10" xfId="15059" xr:uid="{21F05AD9-7ECD-4449-85B6-A9DB4634112C}"/>
    <cellStyle name="Total 2 2 5 3 11" xfId="21929" xr:uid="{0DFB210D-300C-4309-A960-9F23C2A8130F}"/>
    <cellStyle name="Total 2 2 5 3 2" xfId="4502" xr:uid="{7A6F87D6-9B28-4997-8125-565F9814B7A8}"/>
    <cellStyle name="Total 2 2 5 3 2 2" xfId="10359" xr:uid="{8FB359BA-C195-4D7B-A802-4D0A0F15B559}"/>
    <cellStyle name="Total 2 2 5 3 2 2 2" xfId="19405" xr:uid="{1870B2F3-257A-49B7-B10F-82BA6E4441C4}"/>
    <cellStyle name="Total 2 2 5 3 2 3" xfId="15919" xr:uid="{319D4462-DAC1-4F43-B96E-260D7AFF78D8}"/>
    <cellStyle name="Total 2 2 5 3 2 4" xfId="22585" xr:uid="{997005DB-7AC9-4E42-92AC-741A38141C31}"/>
    <cellStyle name="Total 2 2 5 3 3" xfId="5003" xr:uid="{C0A2DDEA-CEB5-44F5-B4F0-57F52EB3F67C}"/>
    <cellStyle name="Total 2 2 5 3 3 2" xfId="10856" xr:uid="{3B7AA49C-F4A2-4D19-8241-2768DCD08B86}"/>
    <cellStyle name="Total 2 2 5 3 3 2 2" xfId="19902" xr:uid="{3BC64723-157B-4CC6-BF17-D3D92D5C4A97}"/>
    <cellStyle name="Total 2 2 5 3 3 3" xfId="16416" xr:uid="{3F2E9489-4EE5-46E7-985D-52FD6105FA92}"/>
    <cellStyle name="Total 2 2 5 3 3 4" xfId="23080" xr:uid="{08561DB9-6968-4A79-AF60-B347702FDB22}"/>
    <cellStyle name="Total 2 2 5 3 4" xfId="5618" xr:uid="{F9CC5398-5EFD-4DCC-8A2E-8C79E97BBF1B}"/>
    <cellStyle name="Total 2 2 5 3 4 2" xfId="11471" xr:uid="{EB3B67DA-EFCC-4A5C-8B8F-A3410F7A5D94}"/>
    <cellStyle name="Total 2 2 5 3 4 2 2" xfId="20517" xr:uid="{D736FB4D-31A5-4FEB-BCF9-938116AE7CB0}"/>
    <cellStyle name="Total 2 2 5 3 4 3" xfId="17031" xr:uid="{BDB1ADE9-4838-4CAC-8EBF-8B4C3701BDB4}"/>
    <cellStyle name="Total 2 2 5 3 5" xfId="6229" xr:uid="{9DBA3AF6-605A-4118-AD50-0802AFABE585}"/>
    <cellStyle name="Total 2 2 5 3 5 2" xfId="12076" xr:uid="{47C9095B-AF86-4409-87BE-7146A0B8819C}"/>
    <cellStyle name="Total 2 2 5 3 5 2 2" xfId="21122" xr:uid="{85945CD3-BB4A-4B9B-BFE6-0B1B803CB1AE}"/>
    <cellStyle name="Total 2 2 5 3 5 3" xfId="17642" xr:uid="{35A247FD-F2D6-48DD-8FBA-95B465CE67EA}"/>
    <cellStyle name="Total 2 2 5 3 6" xfId="9490" xr:uid="{EAB8950E-6570-4A9C-A88A-8194D2C7B185}"/>
    <cellStyle name="Total 2 2 5 3 6 2" xfId="18536" xr:uid="{3CA3A0B6-827D-46EB-8D82-25DD33BDB97E}"/>
    <cellStyle name="Total 2 2 5 3 7" xfId="12888" xr:uid="{0603E2C6-25CA-4615-9363-C7FD6EA27FCA}"/>
    <cellStyle name="Total 2 2 5 3 8" xfId="13446" xr:uid="{871137DA-2021-49C1-9394-7D5B34BEC94D}"/>
    <cellStyle name="Total 2 2 5 3 9" xfId="14084" xr:uid="{89F1D946-98A3-498A-BDB9-D47B66DB9A04}"/>
    <cellStyle name="Total 2 2 5 4" xfId="4788" xr:uid="{A281EADA-0F69-45C5-9A2D-025DA250796A}"/>
    <cellStyle name="Total 2 2 5 4 2" xfId="10645" xr:uid="{172C7193-D8E6-4488-8682-2DA145FE1352}"/>
    <cellStyle name="Total 2 2 5 4 2 2" xfId="19691" xr:uid="{04110350-7932-4082-ACDD-163E72D76806}"/>
    <cellStyle name="Total 2 2 5 4 3" xfId="16205" xr:uid="{87E04FDD-61A4-46A6-B554-243045F5D9E0}"/>
    <cellStyle name="Total 2 2 5 4 4" xfId="22865" xr:uid="{286654FC-2319-4662-950C-0970C69720EE}"/>
    <cellStyle name="Total 2 2 5 5" xfId="5403" xr:uid="{A52B0A9D-968F-4206-963A-F15476E35DEE}"/>
    <cellStyle name="Total 2 2 5 5 2" xfId="11256" xr:uid="{9BEBA6B5-4A7E-4E82-863F-27A3849C0010}"/>
    <cellStyle name="Total 2 2 5 5 2 2" xfId="20302" xr:uid="{BFC5D7C6-FBFE-4C41-A6B6-95C500B93555}"/>
    <cellStyle name="Total 2 2 5 5 3" xfId="16816" xr:uid="{F62C6D50-D6A9-4601-8CC7-1C12B314F7C1}"/>
    <cellStyle name="Total 2 2 5 6" xfId="6014" xr:uid="{EE36F7B6-A1E1-43FA-9DA4-DEBD24FD9276}"/>
    <cellStyle name="Total 2 2 5 6 2" xfId="11865" xr:uid="{EBC7445F-703B-44CB-8470-B8E66308752B}"/>
    <cellStyle name="Total 2 2 5 6 2 2" xfId="20911" xr:uid="{13CE75AE-2C73-4E0C-A2C3-5E5A3F294BDB}"/>
    <cellStyle name="Total 2 2 5 6 3" xfId="17427" xr:uid="{0CE5FA83-1E66-4D56-93C3-CE28BF1D9B98}"/>
    <cellStyle name="Total 2 2 5 7" xfId="9277" xr:uid="{489E2613-3B56-4873-A315-1912F4A76C2F}"/>
    <cellStyle name="Total 2 2 5 7 2" xfId="18323" xr:uid="{5AE3E566-60BA-4EA6-9D62-927E47610E13}"/>
    <cellStyle name="Total 2 2 5 8" xfId="12673" xr:uid="{A165C634-FB24-4EB0-BD39-3E59D8D62A29}"/>
    <cellStyle name="Total 2 2 5 9" xfId="13235" xr:uid="{632F7658-46E1-4973-801F-D2A940A36182}"/>
    <cellStyle name="Total 2 2 6" xfId="2700" xr:uid="{ABBB4506-E31C-4A76-A35E-058C981E7298}"/>
    <cellStyle name="Total 2 2 6 10" xfId="15101" xr:uid="{EE7A218B-D5B9-4869-AEF9-19FEF5714075}"/>
    <cellStyle name="Total 2 2 6 11" xfId="21970" xr:uid="{CA40B264-51BA-4F9C-98F1-FF46E67131AF}"/>
    <cellStyle name="Total 2 2 6 12" xfId="3321" xr:uid="{D0355B04-4B53-4676-8862-7038825FC516}"/>
    <cellStyle name="Total 2 2 6 2" xfId="4544" xr:uid="{E18A683F-64C6-40D1-8289-B1761640BB81}"/>
    <cellStyle name="Total 2 2 6 2 2" xfId="10401" xr:uid="{6E9F87B4-3771-452B-97BA-4B454B126FFF}"/>
    <cellStyle name="Total 2 2 6 2 2 2" xfId="19447" xr:uid="{0B64647D-7D58-4EF3-9B53-16679258144D}"/>
    <cellStyle name="Total 2 2 6 2 3" xfId="15961" xr:uid="{54C6C8FD-11ED-4432-8FF0-B745D67583C0}"/>
    <cellStyle name="Total 2 2 6 2 4" xfId="22626" xr:uid="{4382433B-E69C-4C55-84A4-5721A5E1E945}"/>
    <cellStyle name="Total 2 2 6 3" xfId="5045" xr:uid="{960E1DC2-7DF6-4AF4-8B2E-2DA073AA25D0}"/>
    <cellStyle name="Total 2 2 6 3 2" xfId="10898" xr:uid="{2F5A72C9-166C-48A8-976D-A73001774B8C}"/>
    <cellStyle name="Total 2 2 6 3 2 2" xfId="19944" xr:uid="{9B275F28-7F70-4E2D-93AE-F1B5262D2957}"/>
    <cellStyle name="Total 2 2 6 3 3" xfId="16458" xr:uid="{FACF72CD-8236-409A-925E-BCA01DDDD230}"/>
    <cellStyle name="Total 2 2 6 3 4" xfId="23121" xr:uid="{A637318B-A3EF-4798-A365-B06481A2EBB8}"/>
    <cellStyle name="Total 2 2 6 4" xfId="5660" xr:uid="{82397A55-7351-433E-9AA8-1B3D2F2163EA}"/>
    <cellStyle name="Total 2 2 6 4 2" xfId="11513" xr:uid="{B2C9A2BF-AE00-4D55-A03D-B43C0A821BB1}"/>
    <cellStyle name="Total 2 2 6 4 2 2" xfId="20559" xr:uid="{F72C9549-B40D-4DAB-825B-240660442FE7}"/>
    <cellStyle name="Total 2 2 6 4 3" xfId="17073" xr:uid="{0E91B044-492D-4180-ACA4-EF8679372469}"/>
    <cellStyle name="Total 2 2 6 5" xfId="6271" xr:uid="{721A9CDF-D5B5-490A-BBEE-E7B482258C42}"/>
    <cellStyle name="Total 2 2 6 5 2" xfId="12118" xr:uid="{70B76867-85C5-474D-8565-A38AE8BCB726}"/>
    <cellStyle name="Total 2 2 6 5 2 2" xfId="21164" xr:uid="{EF4EA03A-036C-4F15-81E0-7083D36532C5}"/>
    <cellStyle name="Total 2 2 6 5 3" xfId="17684" xr:uid="{2253F310-D23E-4B29-B025-04C2FFA18AE2}"/>
    <cellStyle name="Total 2 2 6 6" xfId="9532" xr:uid="{98B15C65-5662-4FE7-B922-0975629C98EA}"/>
    <cellStyle name="Total 2 2 6 6 2" xfId="18578" xr:uid="{0DB5A56A-AE51-4932-A68B-BD9E19595475}"/>
    <cellStyle name="Total 2 2 6 7" xfId="12930" xr:uid="{5E1464F9-B835-4446-8394-0F0E0415F7DE}"/>
    <cellStyle name="Total 2 2 6 8" xfId="13487" xr:uid="{1C2FD548-28C9-483C-BBAD-19CC8E5F3C16}"/>
    <cellStyle name="Total 2 2 6 9" xfId="14126" xr:uid="{5EBF2D45-F1E8-444B-85D0-064454DBD739}"/>
    <cellStyle name="Total 2 2 7" xfId="3108" xr:uid="{383F71EA-C312-4894-81F9-F92F2A739866}"/>
    <cellStyle name="Total 2 2 7 10" xfId="14889" xr:uid="{2AB5BEC9-A31D-4C01-9AA3-6C32B2DAD5FA}"/>
    <cellStyle name="Total 2 2 7 11" xfId="21756" xr:uid="{E08DC5DC-3E5E-4128-B13E-D09777A43B76}"/>
    <cellStyle name="Total 2 2 7 2" xfId="4329" xr:uid="{16569E60-124F-4EAF-A553-0A40DC793B03}"/>
    <cellStyle name="Total 2 2 7 2 2" xfId="10186" xr:uid="{B08A6164-93F9-4EA5-91DC-D08332D0B1B8}"/>
    <cellStyle name="Total 2 2 7 2 2 2" xfId="19232" xr:uid="{C24B02ED-47F1-44B0-855E-9C75291A909F}"/>
    <cellStyle name="Total 2 2 7 2 3" xfId="15746" xr:uid="{15DEE70E-DE2D-42E1-8F95-BB8BA35AD315}"/>
    <cellStyle name="Total 2 2 7 2 4" xfId="22412" xr:uid="{88212E48-D1BE-4351-97B8-7ECC85AD6C63}"/>
    <cellStyle name="Total 2 2 7 3" xfId="4830" xr:uid="{68FE3B92-5F2D-4ADF-9D19-237E1C54EA49}"/>
    <cellStyle name="Total 2 2 7 3 2" xfId="10686" xr:uid="{2B5DFC32-37DE-4D02-8211-ABEE968126B5}"/>
    <cellStyle name="Total 2 2 7 3 2 2" xfId="19732" xr:uid="{69B0FC6C-A6F1-4D31-AD9B-286CE06D472B}"/>
    <cellStyle name="Total 2 2 7 3 3" xfId="16246" xr:uid="{5D7A23E8-E8E1-4ADD-96B1-570FC10F1126}"/>
    <cellStyle name="Total 2 2 7 3 4" xfId="22907" xr:uid="{BD78E227-357E-4721-9D4E-2CD5BB322434}"/>
    <cellStyle name="Total 2 2 7 4" xfId="5445" xr:uid="{D8B0F8EA-02EC-452E-93CF-482A56D6CB3F}"/>
    <cellStyle name="Total 2 2 7 4 2" xfId="11298" xr:uid="{17DA815B-4CD6-4C37-8789-953A2A940D48}"/>
    <cellStyle name="Total 2 2 7 4 2 2" xfId="20344" xr:uid="{A208DB6C-87FC-4178-8EBB-6D74C38983EA}"/>
    <cellStyle name="Total 2 2 7 4 3" xfId="16858" xr:uid="{B123C51A-8EEC-4F4A-9674-DEC58AE4972F}"/>
    <cellStyle name="Total 2 2 7 5" xfId="6056" xr:uid="{7EBEB724-3473-41D3-B992-8E04A425F5DE}"/>
    <cellStyle name="Total 2 2 7 5 2" xfId="11906" xr:uid="{2D4A4EEB-27E4-47D6-91B5-E54E164FA066}"/>
    <cellStyle name="Total 2 2 7 5 2 2" xfId="20952" xr:uid="{8EF7EB38-7C0A-41F5-A3C8-1F03F23AA975}"/>
    <cellStyle name="Total 2 2 7 5 3" xfId="17469" xr:uid="{4EFE0B26-DAF8-4CAE-B039-E899C23506A9}"/>
    <cellStyle name="Total 2 2 7 6" xfId="9320" xr:uid="{4D355C59-4C23-4D48-A7C4-1270CFAD719A}"/>
    <cellStyle name="Total 2 2 7 6 2" xfId="18366" xr:uid="{8A5CECBC-EB30-4F63-8687-F4E36853F485}"/>
    <cellStyle name="Total 2 2 7 7" xfId="12715" xr:uid="{8700F679-728A-4476-B7CF-A91A444B6B56}"/>
    <cellStyle name="Total 2 2 7 8" xfId="13276" xr:uid="{B27BFD7E-7835-4C48-A142-A33D8F4AA6B4}"/>
    <cellStyle name="Total 2 2 7 9" xfId="13911" xr:uid="{0946E86D-3C78-432E-9037-9F3B9F17CFD4}"/>
    <cellStyle name="Total 2 2 8" xfId="3708" xr:uid="{4D04E001-AC20-4D89-8EEB-018E9C7E238B}"/>
    <cellStyle name="Total 2 2 8 2" xfId="9750" xr:uid="{B33F8705-6333-48AA-817A-A7491FAECFC0}"/>
    <cellStyle name="Total 2 2 8 2 2" xfId="18796" xr:uid="{5BDFE159-7B2C-43CD-8837-4E027F2A61C8}"/>
    <cellStyle name="Total 2 2 8 3" xfId="14546" xr:uid="{FAD3D92A-5E0F-4A9A-B2D4-D834F280A2D5}"/>
    <cellStyle name="Total 2 2 8 4" xfId="15316" xr:uid="{1370DBA1-AC01-4F29-AEBC-D91323EB96EE}"/>
    <cellStyle name="Total 2 2 8 5" xfId="22295" xr:uid="{1D3F367A-5AB7-466D-BE75-88016A59CF16}"/>
    <cellStyle name="Total 2 2 9" xfId="4192" xr:uid="{566B189F-063F-4B1F-9FD9-FCC6CBA118ED}"/>
    <cellStyle name="Total 2 2 9 2" xfId="10049" xr:uid="{16477F8D-4C20-4C74-BB14-0E5393383101}"/>
    <cellStyle name="Total 2 2 9 2 2" xfId="19095" xr:uid="{B7B43A4C-BF7B-4FFA-8B63-DFA443706368}"/>
    <cellStyle name="Total 2 2 9 3" xfId="15609" xr:uid="{29D9DD93-2750-47FC-A5F9-7393D27120E9}"/>
    <cellStyle name="Total 2 2 9 4" xfId="22283" xr:uid="{29DD0D48-B854-4D20-B36E-3FAF77FA40B6}"/>
    <cellStyle name="Total 2 20" xfId="12501" xr:uid="{709CC461-E2D3-49B5-8228-E1F3C2105B1C}"/>
    <cellStyle name="Total 2 21" xfId="13695" xr:uid="{AF2E832C-9EC2-492D-9BD7-1DD7A3BBB6FF}"/>
    <cellStyle name="Total 2 22" xfId="14669" xr:uid="{AB122F96-9FC8-4C1F-9C62-181A28F8BB67}"/>
    <cellStyle name="Total 2 23" xfId="23793" xr:uid="{8ECE7164-7A19-48D8-BDD5-ECEEE3A5950D}"/>
    <cellStyle name="Total 2 24" xfId="2225" xr:uid="{461478E4-F4BD-49E1-83AE-6810E418CCE6}"/>
    <cellStyle name="Total 2 3" xfId="564" xr:uid="{D94AB92B-B5CF-4FAF-876D-A1CE6B095F1B}"/>
    <cellStyle name="Total 2 3 10" xfId="4149" xr:uid="{4EF88A8A-CBCC-4B50-BEB8-8075925773C0}"/>
    <cellStyle name="Total 2 3 10 2" xfId="10006" xr:uid="{4F2936B7-264A-41F5-803C-6E1789339113}"/>
    <cellStyle name="Total 2 3 10 2 2" xfId="19052" xr:uid="{9E174D75-C62D-4AF2-893B-29EFBEAEA62B}"/>
    <cellStyle name="Total 2 3 10 3" xfId="15566" xr:uid="{41CBCE0A-427B-44D5-B4D1-ECDF9280A3DA}"/>
    <cellStyle name="Total 2 3 11" xfId="4320" xr:uid="{EE2236D0-062F-415E-894A-93A1311F0986}"/>
    <cellStyle name="Total 2 3 11 2" xfId="10177" xr:uid="{0E7E3702-2FD9-4248-A332-88B5B388A45A}"/>
    <cellStyle name="Total 2 3 11 2 2" xfId="19223" xr:uid="{EE383F31-D7EA-4594-82A2-FDC2D8FF150B}"/>
    <cellStyle name="Total 2 3 11 3" xfId="15737" xr:uid="{29B92A52-3C71-4306-BFA7-ADE34C2B3A78}"/>
    <cellStyle name="Total 2 3 12" xfId="4165" xr:uid="{5DEB8724-52D9-4324-B241-0E71919CB207}"/>
    <cellStyle name="Total 2 3 12 2" xfId="10022" xr:uid="{73180B51-ED5D-403B-B2E0-3E5C3EBA5009}"/>
    <cellStyle name="Total 2 3 12 2 2" xfId="19068" xr:uid="{2E52AB95-BF7D-4D07-8459-6BA20C8E3D8A}"/>
    <cellStyle name="Total 2 3 12 3" xfId="15582" xr:uid="{0A023778-CAD8-4846-98E0-7EC5CEB0F556}"/>
    <cellStyle name="Total 2 3 13" xfId="9123" xr:uid="{A1E54F9A-1446-4656-B641-1F1829F543D9}"/>
    <cellStyle name="Total 2 3 13 2" xfId="18169" xr:uid="{CDB452F9-0340-402E-BCF8-C0C1D8BCFE2D}"/>
    <cellStyle name="Total 2 3 14" xfId="12522" xr:uid="{BA5B985D-3D4C-40C4-B18D-2C98BB081E93}"/>
    <cellStyle name="Total 2 3 15" xfId="13716" xr:uid="{6119DD2E-CD97-43E3-A202-08F28FF68051}"/>
    <cellStyle name="Total 2 3 16" xfId="14692" xr:uid="{AAD06669-06CE-4A26-963B-38D2836CB768}"/>
    <cellStyle name="Total 2 3 17" xfId="21564" xr:uid="{08BCA924-A471-4831-960B-A31C11F101E1}"/>
    <cellStyle name="Total 2 3 18" xfId="23794" xr:uid="{DC8D3F4A-6C15-4090-B173-4E63CE0EF0AD}"/>
    <cellStyle name="Total 2 3 19" xfId="2227" xr:uid="{DA6F9165-D7D9-498F-AD12-D237EAD2BA4A}"/>
    <cellStyle name="Total 2 3 2" xfId="2454" xr:uid="{800DD554-C6D9-4EBE-A0EA-C20E89AC866A}"/>
    <cellStyle name="Total 2 3 2 10" xfId="5903" xr:uid="{3CA33CC9-E858-4572-9E6B-870FC011C41D}"/>
    <cellStyle name="Total 2 3 2 10 2" xfId="11756" xr:uid="{7CAEC037-3C99-449B-BEC1-8F6606813525}"/>
    <cellStyle name="Total 2 3 2 10 2 2" xfId="20802" xr:uid="{5EEAA6F0-3A65-40E9-BD52-3CD94FA47326}"/>
    <cellStyle name="Total 2 3 2 10 3" xfId="17316" xr:uid="{BC2D8A7D-A180-4782-B5A6-A7E5294C505D}"/>
    <cellStyle name="Total 2 3 2 11" xfId="9166" xr:uid="{7067D367-FE5C-4957-A689-ECD523479D1A}"/>
    <cellStyle name="Total 2 3 2 11 2" xfId="18212" xr:uid="{D7EF7221-C34B-4ADA-8BD1-F3F86980031C}"/>
    <cellStyle name="Total 2 3 2 12" xfId="12564" xr:uid="{8BC1E0FC-E0EB-49C7-A5F1-781307C96A6D}"/>
    <cellStyle name="Total 2 3 2 13" xfId="13758" xr:uid="{317DC7A9-9619-4BE7-9B0F-888F459C1DC4}"/>
    <cellStyle name="Total 2 3 2 14" xfId="14735" xr:uid="{CA674FA8-43D3-4CA1-BF57-55B5DA6D7DE1}"/>
    <cellStyle name="Total 2 3 2 15" xfId="21605" xr:uid="{5C0F3B5D-2ECA-4749-A0C4-4BC4C655B5E9}"/>
    <cellStyle name="Total 2 3 2 16" xfId="23795" xr:uid="{847336A9-E6B5-444D-B80D-FBBD0F706A4F}"/>
    <cellStyle name="Total 2 3 2 2" xfId="2455" xr:uid="{9645EA0B-1627-4DF6-AF7B-E7B2F39864DF}"/>
    <cellStyle name="Total 2 3 2 2 10" xfId="13236" xr:uid="{D6A6A6D2-85D2-4C91-8B6A-27EC35283892}"/>
    <cellStyle name="Total 2 3 2 2 11" xfId="13870" xr:uid="{E346DDA6-93F2-459C-9F06-91733AA2AB9F}"/>
    <cellStyle name="Total 2 3 2 2 12" xfId="14847" xr:uid="{B2F7D49C-C469-4D5A-8BA0-ABAFC67DE783}"/>
    <cellStyle name="Total 2 3 2 2 13" xfId="21715" xr:uid="{C116383E-E5D5-4535-93D2-327319828B30}"/>
    <cellStyle name="Total 2 3 2 2 2" xfId="2612" xr:uid="{E433005D-D2EC-4456-93D8-1013652E59CE}"/>
    <cellStyle name="Total 2 3 2 2 2 10" xfId="15273" xr:uid="{402C2C3E-7355-4ABA-B685-06628C068685}"/>
    <cellStyle name="Total 2 3 2 2 2 11" xfId="22141" xr:uid="{EA912257-005F-4CCD-8E7F-B57368E90F5F}"/>
    <cellStyle name="Total 2 3 2 2 2 12" xfId="3482" xr:uid="{CEA1153C-9750-4876-878A-243285541470}"/>
    <cellStyle name="Total 2 3 2 2 2 2" xfId="4716" xr:uid="{382A5F31-4EEC-4540-B73A-33BBC1DCEA47}"/>
    <cellStyle name="Total 2 3 2 2 2 2 2" xfId="10573" xr:uid="{5C66ECDA-884A-4274-850E-1891B112DF6D}"/>
    <cellStyle name="Total 2 3 2 2 2 2 2 2" xfId="19619" xr:uid="{CC29E06A-6B15-4D1D-83DE-F353592D93FD}"/>
    <cellStyle name="Total 2 3 2 2 2 2 3" xfId="16133" xr:uid="{31B31D8F-94EC-4276-868E-FFFC2CEDD922}"/>
    <cellStyle name="Total 2 3 2 2 2 2 4" xfId="22797" xr:uid="{F070A363-B446-4097-B2BE-6CEA9E86387F}"/>
    <cellStyle name="Total 2 3 2 2 2 3" xfId="5217" xr:uid="{DF6002A4-1127-4906-828E-D37911C28019}"/>
    <cellStyle name="Total 2 3 2 2 2 3 2" xfId="11070" xr:uid="{DDDD21F3-60EA-4CC9-90CB-B4FB2500C309}"/>
    <cellStyle name="Total 2 3 2 2 2 3 2 2" xfId="20116" xr:uid="{DD9C6492-AE8B-46B9-ACA5-415D6E6E9EFF}"/>
    <cellStyle name="Total 2 3 2 2 2 3 3" xfId="16630" xr:uid="{A4DA7D1B-C721-42FE-A89A-2DD7AC17730C}"/>
    <cellStyle name="Total 2 3 2 2 2 3 4" xfId="23292" xr:uid="{4A61B199-B429-453A-9572-CB747A170EA8}"/>
    <cellStyle name="Total 2 3 2 2 2 4" xfId="5832" xr:uid="{9AE649D1-0ACD-480A-9B22-925A2BA841BF}"/>
    <cellStyle name="Total 2 3 2 2 2 4 2" xfId="11685" xr:uid="{C947063D-FB37-441D-AED3-64554CCEA51C}"/>
    <cellStyle name="Total 2 3 2 2 2 4 2 2" xfId="20731" xr:uid="{3FA28E9A-9255-447E-8133-B0C16F899C0A}"/>
    <cellStyle name="Total 2 3 2 2 2 4 3" xfId="17245" xr:uid="{8F6555A1-AF4D-416C-BE87-AE8F56D45B34}"/>
    <cellStyle name="Total 2 3 2 2 2 5" xfId="6443" xr:uid="{3638B59E-B53C-4FDC-BE62-CE7FA2D13291}"/>
    <cellStyle name="Total 2 3 2 2 2 5 2" xfId="12290" xr:uid="{852A958F-4363-439C-A71F-AA366D23FABE}"/>
    <cellStyle name="Total 2 3 2 2 2 5 2 2" xfId="21336" xr:uid="{72B3946A-C7B4-41A2-B1E8-B109BC1239C0}"/>
    <cellStyle name="Total 2 3 2 2 2 5 3" xfId="17856" xr:uid="{581D5E59-F5E5-49B0-B48B-207CF885A41B}"/>
    <cellStyle name="Total 2 3 2 2 2 6" xfId="9704" xr:uid="{5756B868-7778-4E63-8744-E76FC0912BFD}"/>
    <cellStyle name="Total 2 3 2 2 2 6 2" xfId="18750" xr:uid="{F7CC989C-0709-4933-8473-44313055F34F}"/>
    <cellStyle name="Total 2 3 2 2 2 7" xfId="13102" xr:uid="{CF9E6FAA-228E-4D1B-8C40-1EC57FCBD66C}"/>
    <cellStyle name="Total 2 3 2 2 2 8" xfId="13658" xr:uid="{1BCED3FA-F592-49DE-820F-CD092F9E6D3F}"/>
    <cellStyle name="Total 2 3 2 2 2 9" xfId="14298" xr:uid="{6F390AD2-D181-41A8-8CA1-BB9300E9B89B}"/>
    <cellStyle name="Total 2 3 2 2 3" xfId="3280" xr:uid="{22046F88-93C3-4528-87F0-03CCF1A05F0B}"/>
    <cellStyle name="Total 2 3 2 2 3 10" xfId="15060" xr:uid="{7A555245-82E1-433F-A555-2CE58A31A109}"/>
    <cellStyle name="Total 2 3 2 2 3 11" xfId="21930" xr:uid="{42DDE6B9-0956-4CA3-BD15-F836C5038E2D}"/>
    <cellStyle name="Total 2 3 2 2 3 2" xfId="4503" xr:uid="{658C2C7A-8474-450A-BA6D-EB4C95BCE5CF}"/>
    <cellStyle name="Total 2 3 2 2 3 2 2" xfId="10360" xr:uid="{B04B9F72-A908-4496-A41D-FCB0BC05258D}"/>
    <cellStyle name="Total 2 3 2 2 3 2 2 2" xfId="19406" xr:uid="{C5B8465D-5A51-4B5E-8966-071291BDC015}"/>
    <cellStyle name="Total 2 3 2 2 3 2 3" xfId="15920" xr:uid="{EFD637BF-E56C-4305-8911-216AF297CBC9}"/>
    <cellStyle name="Total 2 3 2 2 3 2 4" xfId="22586" xr:uid="{28DE6E8D-FC51-4ADC-8A01-EFD18C811863}"/>
    <cellStyle name="Total 2 3 2 2 3 3" xfId="5004" xr:uid="{940514B4-8202-495D-9000-A7CDAA925AFA}"/>
    <cellStyle name="Total 2 3 2 2 3 3 2" xfId="10857" xr:uid="{5A9A701A-32A3-4165-A5D7-1627B259CAC1}"/>
    <cellStyle name="Total 2 3 2 2 3 3 2 2" xfId="19903" xr:uid="{10EFBE9C-D852-4083-BCC6-D68A8943DD27}"/>
    <cellStyle name="Total 2 3 2 2 3 3 3" xfId="16417" xr:uid="{908F2757-6B42-47DB-8A50-91146089ED62}"/>
    <cellStyle name="Total 2 3 2 2 3 3 4" xfId="23081" xr:uid="{E865D083-5EF3-4B9D-9650-3593CF893991}"/>
    <cellStyle name="Total 2 3 2 2 3 4" xfId="5619" xr:uid="{B4D03DD5-2F10-46E5-A6D6-83848EF09C3E}"/>
    <cellStyle name="Total 2 3 2 2 3 4 2" xfId="11472" xr:uid="{7134C632-5508-4BC6-908C-2F316599BCB0}"/>
    <cellStyle name="Total 2 3 2 2 3 4 2 2" xfId="20518" xr:uid="{39AFD528-A129-442E-82B0-F24E4288342F}"/>
    <cellStyle name="Total 2 3 2 2 3 4 3" xfId="17032" xr:uid="{449B57B8-1F4B-4842-99F3-3207BA5B54B9}"/>
    <cellStyle name="Total 2 3 2 2 3 5" xfId="6230" xr:uid="{A95C0D61-440F-4BCA-B0A9-5556C92A0F58}"/>
    <cellStyle name="Total 2 3 2 2 3 5 2" xfId="12077" xr:uid="{7CF9CD15-3D93-4EA6-98DB-1A13A61CC0BB}"/>
    <cellStyle name="Total 2 3 2 2 3 5 2 2" xfId="21123" xr:uid="{AF39D241-744C-4D11-9749-0C95E1F8ECAE}"/>
    <cellStyle name="Total 2 3 2 2 3 5 3" xfId="17643" xr:uid="{9CBFA7E4-99EF-4AD6-A8CA-2AEFCA2EC709}"/>
    <cellStyle name="Total 2 3 2 2 3 6" xfId="9491" xr:uid="{58182E98-3F91-4C22-AE6C-984A5CB922CE}"/>
    <cellStyle name="Total 2 3 2 2 3 6 2" xfId="18537" xr:uid="{42D4B072-2871-4927-9348-0289B623CAF1}"/>
    <cellStyle name="Total 2 3 2 2 3 7" xfId="12889" xr:uid="{9CB204C4-4954-4C18-8D87-F1B829F68808}"/>
    <cellStyle name="Total 2 3 2 2 3 8" xfId="13447" xr:uid="{6E838D98-4931-462F-B4A8-57BF90C6A0CF}"/>
    <cellStyle name="Total 2 3 2 2 3 9" xfId="14085" xr:uid="{12B44963-EDA2-4C67-BA0C-032C293754A6}"/>
    <cellStyle name="Total 2 3 2 2 4" xfId="4039" xr:uid="{89B4A5BF-8693-46A7-A2B6-0D253EB96875}"/>
    <cellStyle name="Total 2 3 2 2 4 2" xfId="9901" xr:uid="{8D52BA2C-EE48-4905-A1A1-AA029F386C23}"/>
    <cellStyle name="Total 2 3 2 2 4 2 2" xfId="18947" xr:uid="{04EEAF10-4D2B-4763-BEDE-8EC085EFF6E7}"/>
    <cellStyle name="Total 2 3 2 2 4 3" xfId="15463" xr:uid="{6D0DDA35-15FC-44BD-B85A-E3FEED921DB8}"/>
    <cellStyle name="Total 2 3 2 2 4 4" xfId="22866" xr:uid="{D4259C12-689F-4B8A-852A-5F4B6B46940C}"/>
    <cellStyle name="Total 2 3 2 2 5" xfId="4789" xr:uid="{1D987FF1-7086-4496-9C5F-A5CB40F2A008}"/>
    <cellStyle name="Total 2 3 2 2 5 2" xfId="10646" xr:uid="{ABEDE50F-35B8-455C-9817-B21ED356641A}"/>
    <cellStyle name="Total 2 3 2 2 5 2 2" xfId="19692" xr:uid="{D016AE1F-5B22-4A69-92FA-37C9F196F9F5}"/>
    <cellStyle name="Total 2 3 2 2 5 3" xfId="16206" xr:uid="{E54F76FF-009B-4B35-99AB-E776C0607C0A}"/>
    <cellStyle name="Total 2 3 2 2 6" xfId="5404" xr:uid="{0B873864-94F4-46F4-9975-D1E11EC4E424}"/>
    <cellStyle name="Total 2 3 2 2 6 2" xfId="11257" xr:uid="{10EB5ED4-0FA7-4AE1-935E-B6415E2EEAA3}"/>
    <cellStyle name="Total 2 3 2 2 6 2 2" xfId="20303" xr:uid="{E57E66DF-B01B-4FFB-B54E-B740DAFA220B}"/>
    <cellStyle name="Total 2 3 2 2 6 3" xfId="16817" xr:uid="{CECC2B34-837C-4C60-AF1E-A5A8A225FDC3}"/>
    <cellStyle name="Total 2 3 2 2 7" xfId="6015" xr:uid="{15451648-A908-4A5F-AA84-8BF239AE5E71}"/>
    <cellStyle name="Total 2 3 2 2 7 2" xfId="11866" xr:uid="{176E33B5-63AB-499D-9559-4B4EC09AD063}"/>
    <cellStyle name="Total 2 3 2 2 7 2 2" xfId="20912" xr:uid="{A7FB1342-D540-4195-B633-843AECD667EE}"/>
    <cellStyle name="Total 2 3 2 2 7 3" xfId="17428" xr:uid="{26CAC091-3BFB-492C-BF46-8CEF5502FBB4}"/>
    <cellStyle name="Total 2 3 2 2 8" xfId="9278" xr:uid="{AD4BB358-14EF-4DAF-8C94-91E47291858D}"/>
    <cellStyle name="Total 2 3 2 2 8 2" xfId="18324" xr:uid="{B3238FD3-A36B-4615-B6D7-6712899058BC}"/>
    <cellStyle name="Total 2 3 2 2 9" xfId="12674" xr:uid="{A45BD670-5643-4AB4-A209-31C4966FAC69}"/>
    <cellStyle name="Total 2 3 2 3" xfId="2613" xr:uid="{5571A863-1CC2-4847-A751-2004B0829F64}"/>
    <cellStyle name="Total 2 3 2 3 10" xfId="13871" xr:uid="{23D72F7F-7722-4E28-86B3-E60A484E3E08}"/>
    <cellStyle name="Total 2 3 2 3 11" xfId="14848" xr:uid="{B120A21C-674E-414B-87CC-80677F0552E4}"/>
    <cellStyle name="Total 2 3 2 3 12" xfId="21716" xr:uid="{38A5CC81-17A1-4410-9221-7969A18B0DBB}"/>
    <cellStyle name="Total 2 3 2 3 13" xfId="3082" xr:uid="{47D81725-F0E9-4F84-9F29-AB8EEAA76253}"/>
    <cellStyle name="Total 2 3 2 3 2" xfId="3483" xr:uid="{5F5DE09E-EF11-4770-84B6-82D5A28599B4}"/>
    <cellStyle name="Total 2 3 2 3 2 10" xfId="15274" xr:uid="{44102915-2FD9-45C7-A2BA-F15D50F9F7FD}"/>
    <cellStyle name="Total 2 3 2 3 2 11" xfId="22142" xr:uid="{E1F4E98B-6372-4630-A9BE-916B7530649E}"/>
    <cellStyle name="Total 2 3 2 3 2 2" xfId="4717" xr:uid="{7051B439-DF3E-414B-B8D7-95EE544EC809}"/>
    <cellStyle name="Total 2 3 2 3 2 2 2" xfId="10574" xr:uid="{69C985E7-60CD-4F81-B62A-24C695A203A1}"/>
    <cellStyle name="Total 2 3 2 3 2 2 2 2" xfId="19620" xr:uid="{3DBD6F54-DBCA-4A3C-BA78-E54C08CA0138}"/>
    <cellStyle name="Total 2 3 2 3 2 2 3" xfId="16134" xr:uid="{D4E4CAF7-166F-4577-AA0C-FE241E666864}"/>
    <cellStyle name="Total 2 3 2 3 2 2 4" xfId="22798" xr:uid="{CC086D00-326F-442F-AA12-0BAF7E98171C}"/>
    <cellStyle name="Total 2 3 2 3 2 3" xfId="5218" xr:uid="{C8CDE45B-ED56-4095-9755-FE9EB2AC9BC2}"/>
    <cellStyle name="Total 2 3 2 3 2 3 2" xfId="11071" xr:uid="{705B4E01-2493-4C80-B1C3-28D11E2F2A71}"/>
    <cellStyle name="Total 2 3 2 3 2 3 2 2" xfId="20117" xr:uid="{456A5D03-4894-4659-83C7-41C62C95AFBA}"/>
    <cellStyle name="Total 2 3 2 3 2 3 3" xfId="16631" xr:uid="{7F2EDE44-79E7-4293-BE80-4CB2A23F76BB}"/>
    <cellStyle name="Total 2 3 2 3 2 3 4" xfId="23293" xr:uid="{1406F12F-765D-409A-B7EE-71E008391087}"/>
    <cellStyle name="Total 2 3 2 3 2 4" xfId="5833" xr:uid="{FC0D7C3E-6B8C-4403-AFD7-68438B3CB7E1}"/>
    <cellStyle name="Total 2 3 2 3 2 4 2" xfId="11686" xr:uid="{7D3FEAD6-FCB2-465C-872C-A228FB1675B2}"/>
    <cellStyle name="Total 2 3 2 3 2 4 2 2" xfId="20732" xr:uid="{EE750C78-F60D-4D4A-B17C-923C3B545B4C}"/>
    <cellStyle name="Total 2 3 2 3 2 4 3" xfId="17246" xr:uid="{E3DE89D3-BE77-4C45-A4C8-ECEE968A697D}"/>
    <cellStyle name="Total 2 3 2 3 2 5" xfId="6444" xr:uid="{243E4F01-4D77-46BE-A4BF-871EB1C2EE28}"/>
    <cellStyle name="Total 2 3 2 3 2 5 2" xfId="12291" xr:uid="{0070866F-22A3-4797-BBC1-20382CD86623}"/>
    <cellStyle name="Total 2 3 2 3 2 5 2 2" xfId="21337" xr:uid="{17C50372-35BA-44FC-9747-21064FFA945F}"/>
    <cellStyle name="Total 2 3 2 3 2 5 3" xfId="17857" xr:uid="{DA8D50FA-E619-4F60-9100-2587DF8C375E}"/>
    <cellStyle name="Total 2 3 2 3 2 6" xfId="9705" xr:uid="{21A671F4-0BE9-4D0E-9E39-C957402728A4}"/>
    <cellStyle name="Total 2 3 2 3 2 6 2" xfId="18751" xr:uid="{B0D98B06-5A22-4D23-87A1-FFCB3E12C8EF}"/>
    <cellStyle name="Total 2 3 2 3 2 7" xfId="13103" xr:uid="{1D33A18A-6D93-4199-9339-249541771C5B}"/>
    <cellStyle name="Total 2 3 2 3 2 8" xfId="13659" xr:uid="{63C9BC7E-CE36-4DA2-99BA-A490A973FE5D}"/>
    <cellStyle name="Total 2 3 2 3 2 9" xfId="14299" xr:uid="{8C4DFD34-D973-48FB-B7C3-A6B8A2FF5DD0}"/>
    <cellStyle name="Total 2 3 2 3 3" xfId="3281" xr:uid="{BDD4DD75-BD46-499C-87CA-B4F52FECDFB9}"/>
    <cellStyle name="Total 2 3 2 3 3 10" xfId="15061" xr:uid="{E21CD504-7F6B-4704-8F61-74F774147816}"/>
    <cellStyle name="Total 2 3 2 3 3 11" xfId="21931" xr:uid="{FD8B1DE6-8B67-4F37-AABA-A0944F8BADCA}"/>
    <cellStyle name="Total 2 3 2 3 3 2" xfId="4504" xr:uid="{662FB7E5-FE23-4C5D-9D50-E6FAE2E860C9}"/>
    <cellStyle name="Total 2 3 2 3 3 2 2" xfId="10361" xr:uid="{A8FB4FF6-16D2-4AAF-8EBA-16EE5EB08E4B}"/>
    <cellStyle name="Total 2 3 2 3 3 2 2 2" xfId="19407" xr:uid="{7DB4C4F7-5FEE-44D8-BF4C-BD69F2DF147E}"/>
    <cellStyle name="Total 2 3 2 3 3 2 3" xfId="15921" xr:uid="{7308999B-0949-4543-A342-CB63EE26C993}"/>
    <cellStyle name="Total 2 3 2 3 3 2 4" xfId="22587" xr:uid="{E1ED002E-9F8E-492B-981C-47A3819E5219}"/>
    <cellStyle name="Total 2 3 2 3 3 3" xfId="5005" xr:uid="{5D54557F-2A88-424F-AD42-3AB81DEC5B92}"/>
    <cellStyle name="Total 2 3 2 3 3 3 2" xfId="10858" xr:uid="{EA417019-6C27-4E89-8299-0789DEF2C525}"/>
    <cellStyle name="Total 2 3 2 3 3 3 2 2" xfId="19904" xr:uid="{593F901B-1885-4298-AE33-F87008B2E7A7}"/>
    <cellStyle name="Total 2 3 2 3 3 3 3" xfId="16418" xr:uid="{0D7E5F53-905A-40AF-B1CB-2B7353A628FC}"/>
    <cellStyle name="Total 2 3 2 3 3 3 4" xfId="23082" xr:uid="{2866599E-0331-4810-A70A-452CD39F5001}"/>
    <cellStyle name="Total 2 3 2 3 3 4" xfId="5620" xr:uid="{2E55467A-C512-4C07-9E50-102AA2330B0E}"/>
    <cellStyle name="Total 2 3 2 3 3 4 2" xfId="11473" xr:uid="{790F78B5-19B9-43EC-B1B8-AF30848FBE84}"/>
    <cellStyle name="Total 2 3 2 3 3 4 2 2" xfId="20519" xr:uid="{42296501-56F8-43A2-A93E-58E3D5059EE7}"/>
    <cellStyle name="Total 2 3 2 3 3 4 3" xfId="17033" xr:uid="{2B347355-A236-44DA-9F4D-7948B04CD263}"/>
    <cellStyle name="Total 2 3 2 3 3 5" xfId="6231" xr:uid="{42179CFC-7F69-49B2-B13C-296E20F6E015}"/>
    <cellStyle name="Total 2 3 2 3 3 5 2" xfId="12078" xr:uid="{8005131D-C515-4330-AB01-A727B6312562}"/>
    <cellStyle name="Total 2 3 2 3 3 5 2 2" xfId="21124" xr:uid="{6D866A63-C6BD-42AF-A378-180F7B504E47}"/>
    <cellStyle name="Total 2 3 2 3 3 5 3" xfId="17644" xr:uid="{59BDE990-7FF7-438C-BF41-277DF76D728E}"/>
    <cellStyle name="Total 2 3 2 3 3 6" xfId="9492" xr:uid="{DC8E27F9-6747-44DC-9660-D1C7E9119326}"/>
    <cellStyle name="Total 2 3 2 3 3 6 2" xfId="18538" xr:uid="{692FE6F1-11E8-4AB1-8CB6-62B7391BD487}"/>
    <cellStyle name="Total 2 3 2 3 3 7" xfId="12890" xr:uid="{7D22B715-90B1-4045-AB82-72A1756F3BD7}"/>
    <cellStyle name="Total 2 3 2 3 3 8" xfId="13448" xr:uid="{219E371F-05AA-4417-9296-EC8742EFDF51}"/>
    <cellStyle name="Total 2 3 2 3 3 9" xfId="14086" xr:uid="{F063F9B2-9E33-41A7-9C3E-DEE4E5EB9FD9}"/>
    <cellStyle name="Total 2 3 2 3 4" xfId="4790" xr:uid="{514A1B1C-D6F4-481E-AA2D-486708F17D3F}"/>
    <cellStyle name="Total 2 3 2 3 4 2" xfId="10647" xr:uid="{D055874B-8D38-4300-B5C4-42F74F3662EE}"/>
    <cellStyle name="Total 2 3 2 3 4 2 2" xfId="19693" xr:uid="{E6DF11EA-3ED2-4B32-8195-83C9458FA3D6}"/>
    <cellStyle name="Total 2 3 2 3 4 3" xfId="16207" xr:uid="{F0A4942C-F42C-4DA3-93EA-078F96F6716D}"/>
    <cellStyle name="Total 2 3 2 3 4 4" xfId="22867" xr:uid="{24E223A2-8A73-4B88-9E4D-748747786A85}"/>
    <cellStyle name="Total 2 3 2 3 5" xfId="5405" xr:uid="{07CFD73D-48EC-4B4E-BFB6-047D3F797460}"/>
    <cellStyle name="Total 2 3 2 3 5 2" xfId="11258" xr:uid="{E0A59EFA-8B7C-48E8-8B4E-F0FB2589A7FD}"/>
    <cellStyle name="Total 2 3 2 3 5 2 2" xfId="20304" xr:uid="{827EDACB-D4A5-4A6C-B3BF-FB40E8B63B01}"/>
    <cellStyle name="Total 2 3 2 3 5 3" xfId="16818" xr:uid="{60771B21-DDCA-468E-9520-62B32733C577}"/>
    <cellStyle name="Total 2 3 2 3 6" xfId="6016" xr:uid="{F8A8BE27-2675-4139-813F-19324C71875E}"/>
    <cellStyle name="Total 2 3 2 3 6 2" xfId="11867" xr:uid="{97418563-B13B-4756-8785-9268B305CD98}"/>
    <cellStyle name="Total 2 3 2 3 6 2 2" xfId="20913" xr:uid="{F750BBF9-7AAF-4147-8A45-3D82B8B100A4}"/>
    <cellStyle name="Total 2 3 2 3 6 3" xfId="17429" xr:uid="{3E11D7AD-517B-4842-BAF4-B012CC3795A4}"/>
    <cellStyle name="Total 2 3 2 3 7" xfId="9279" xr:uid="{802F53F4-191E-4555-9259-BF688B4EB25A}"/>
    <cellStyle name="Total 2 3 2 3 7 2" xfId="18325" xr:uid="{2273B4D5-ABF6-4393-AC50-68ED9B84D30A}"/>
    <cellStyle name="Total 2 3 2 3 8" xfId="12675" xr:uid="{0B9940DA-E929-4361-8BF1-FBF4DBE5FBD4}"/>
    <cellStyle name="Total 2 3 2 3 9" xfId="13237" xr:uid="{66436F8B-E12A-4CEC-AF30-5EC8E88E4E69}"/>
    <cellStyle name="Total 2 3 2 4" xfId="3382" xr:uid="{CD8E9062-AA13-4250-99DB-394D2B5A8972}"/>
    <cellStyle name="Total 2 3 2 4 10" xfId="15162" xr:uid="{C1C6E2CB-51B0-4C4F-887C-DA2D1B6756AD}"/>
    <cellStyle name="Total 2 3 2 4 11" xfId="22031" xr:uid="{4C565CCC-A7F4-4EFA-8212-360845BA4D81}"/>
    <cellStyle name="Total 2 3 2 4 2" xfId="4605" xr:uid="{7921AD4A-8DDD-4139-B86C-1F46B7FE8D47}"/>
    <cellStyle name="Total 2 3 2 4 2 2" xfId="10462" xr:uid="{E92517D7-80DD-46AF-87A6-44E8F0E39BF6}"/>
    <cellStyle name="Total 2 3 2 4 2 2 2" xfId="19508" xr:uid="{4E2603DD-122E-41D6-B674-60E204DE040B}"/>
    <cellStyle name="Total 2 3 2 4 2 3" xfId="16022" xr:uid="{42E45C4A-5841-46BD-87CF-481529C5D5F5}"/>
    <cellStyle name="Total 2 3 2 4 2 4" xfId="22687" xr:uid="{99F768B4-BDE4-4056-AF36-A07BB36EEF0A}"/>
    <cellStyle name="Total 2 3 2 4 3" xfId="5106" xr:uid="{2B2422DC-33FC-4F24-8C4B-4FB0EA0CE98D}"/>
    <cellStyle name="Total 2 3 2 4 3 2" xfId="10959" xr:uid="{32D1000A-6A84-46A0-B664-F87DD32D8245}"/>
    <cellStyle name="Total 2 3 2 4 3 2 2" xfId="20005" xr:uid="{5073A023-1706-475F-B47A-41E5AD6AD429}"/>
    <cellStyle name="Total 2 3 2 4 3 3" xfId="16519" xr:uid="{9E6344C0-4D7D-4F49-B920-57B9747EF763}"/>
    <cellStyle name="Total 2 3 2 4 3 4" xfId="23182" xr:uid="{36C26546-54BB-436C-8096-EF706D9A2DF4}"/>
    <cellStyle name="Total 2 3 2 4 4" xfId="5721" xr:uid="{C81EF5C2-C859-4A93-9DAF-1DE23D7C2E21}"/>
    <cellStyle name="Total 2 3 2 4 4 2" xfId="11574" xr:uid="{1E60F4C1-6725-4C57-AD71-5A0C20BBA242}"/>
    <cellStyle name="Total 2 3 2 4 4 2 2" xfId="20620" xr:uid="{FEAA250A-5472-4F31-9750-AB36270B0F4A}"/>
    <cellStyle name="Total 2 3 2 4 4 3" xfId="17134" xr:uid="{0CAAAF34-023E-49DC-91E2-C32B1AA4419F}"/>
    <cellStyle name="Total 2 3 2 4 5" xfId="6332" xr:uid="{48B33D29-46ED-4360-8126-E7B8108999E9}"/>
    <cellStyle name="Total 2 3 2 4 5 2" xfId="12179" xr:uid="{36DFFD9F-A02F-461F-9CEB-A682551C0BBE}"/>
    <cellStyle name="Total 2 3 2 4 5 2 2" xfId="21225" xr:uid="{B13BCFC2-11C6-45E6-BCC0-BA875C645BBD}"/>
    <cellStyle name="Total 2 3 2 4 5 3" xfId="17745" xr:uid="{B27F336A-2D71-48AC-8723-35DCACE7849F}"/>
    <cellStyle name="Total 2 3 2 4 6" xfId="9593" xr:uid="{B1606F49-B2F0-4029-8C24-08076F5296F7}"/>
    <cellStyle name="Total 2 3 2 4 6 2" xfId="18639" xr:uid="{049F864C-1418-4DBB-B193-EA6EC39EDB5A}"/>
    <cellStyle name="Total 2 3 2 4 7" xfId="12991" xr:uid="{1BA21A2D-D9BE-4EEF-BC00-3F091922D4BC}"/>
    <cellStyle name="Total 2 3 2 4 8" xfId="13548" xr:uid="{6421FC8A-C406-4306-A29A-502214F77174}"/>
    <cellStyle name="Total 2 3 2 4 9" xfId="14187" xr:uid="{142FE13E-20FF-4E77-92F7-156C2AF3D9F0}"/>
    <cellStyle name="Total 2 3 2 5" xfId="3170" xr:uid="{686EB600-D045-483D-968C-1598FBACB555}"/>
    <cellStyle name="Total 2 3 2 5 10" xfId="14950" xr:uid="{DBBEA96B-7FEE-43D1-BF20-37B6E30BD458}"/>
    <cellStyle name="Total 2 3 2 5 11" xfId="21818" xr:uid="{3BFD5E14-C97B-4FF3-A41C-ECBFC72CDACE}"/>
    <cellStyle name="Total 2 3 2 5 2" xfId="4391" xr:uid="{DCD2CD17-718E-4224-9BE6-A1A2F231EBDB}"/>
    <cellStyle name="Total 2 3 2 5 2 2" xfId="10248" xr:uid="{E6F7EF4E-D763-4DBC-8BFC-8DD7AE256D3D}"/>
    <cellStyle name="Total 2 3 2 5 2 2 2" xfId="19294" xr:uid="{91A369F0-2D7E-4FDE-9C38-5C797E4492DA}"/>
    <cellStyle name="Total 2 3 2 5 2 3" xfId="15808" xr:uid="{588A97A0-536D-4F1F-8F45-F8DF373A8BC7}"/>
    <cellStyle name="Total 2 3 2 5 2 4" xfId="22474" xr:uid="{EAADDC05-99AC-4102-8CAB-0D952D05CC65}"/>
    <cellStyle name="Total 2 3 2 5 3" xfId="4892" xr:uid="{7957EA15-0177-4DD8-B469-8BA973B038B6}"/>
    <cellStyle name="Total 2 3 2 5 3 2" xfId="10747" xr:uid="{7FCA0035-5180-4650-B01C-38401062F55E}"/>
    <cellStyle name="Total 2 3 2 5 3 2 2" xfId="19793" xr:uid="{81CFE520-983C-4C8D-A971-3577FFB1D573}"/>
    <cellStyle name="Total 2 3 2 5 3 3" xfId="16307" xr:uid="{4EF6B28A-49D5-4A0E-A75A-67CF76C827C0}"/>
    <cellStyle name="Total 2 3 2 5 3 4" xfId="22969" xr:uid="{336BF339-0565-4606-AAEB-C29FBFE594EE}"/>
    <cellStyle name="Total 2 3 2 5 4" xfId="5507" xr:uid="{C6143E7E-D72A-4AC3-99BC-A19A5E0E9FE1}"/>
    <cellStyle name="Total 2 3 2 5 4 2" xfId="11360" xr:uid="{9622AFDE-3F29-4D42-A7BC-A7533D393E4C}"/>
    <cellStyle name="Total 2 3 2 5 4 2 2" xfId="20406" xr:uid="{183CEE47-2763-413F-A585-72B5A536F570}"/>
    <cellStyle name="Total 2 3 2 5 4 3" xfId="16920" xr:uid="{D6A7731B-C34C-4361-BE58-D2B0EA3003B5}"/>
    <cellStyle name="Total 2 3 2 5 5" xfId="6118" xr:uid="{762089F5-95F5-4D98-AA4A-67B7BF45F3E7}"/>
    <cellStyle name="Total 2 3 2 5 5 2" xfId="11967" xr:uid="{09710C28-379A-455B-B7DF-D28B2CDA6EDA}"/>
    <cellStyle name="Total 2 3 2 5 5 2 2" xfId="21013" xr:uid="{A85510E6-1873-4216-AF83-4634686560F4}"/>
    <cellStyle name="Total 2 3 2 5 5 3" xfId="17531" xr:uid="{4C1F4C2D-E8FD-45EE-88B2-59C46533D0ED}"/>
    <cellStyle name="Total 2 3 2 5 6" xfId="9381" xr:uid="{D46981C7-89DB-400A-AD7C-43E196686E39}"/>
    <cellStyle name="Total 2 3 2 5 6 2" xfId="18427" xr:uid="{1B20B100-4E38-4188-B248-284F5C9EF01D}"/>
    <cellStyle name="Total 2 3 2 5 7" xfId="12777" xr:uid="{DEBF9A8F-EC8D-4630-AA6C-3846688A1BE3}"/>
    <cellStyle name="Total 2 3 2 5 8" xfId="13337" xr:uid="{21AA191A-A086-46B3-9361-118377725F36}"/>
    <cellStyle name="Total 2 3 2 5 9" xfId="13973" xr:uid="{13CF00AA-1AA4-4B4F-9BE5-602C40198399}"/>
    <cellStyle name="Total 2 3 2 6" xfId="3771" xr:uid="{08A3464E-716B-48F2-8687-8EC57D0F8F39}"/>
    <cellStyle name="Total 2 3 2 6 2" xfId="9813" xr:uid="{11CC2D99-96A1-463E-9EBA-48B552A75716}"/>
    <cellStyle name="Total 2 3 2 6 2 2" xfId="18859" xr:uid="{12D270C8-5F8C-4B77-B1F7-617ADB1C95B2}"/>
    <cellStyle name="Total 2 3 2 6 3" xfId="15379" xr:uid="{DB42D18E-3D1D-433B-9D7E-0216408C959D}"/>
    <cellStyle name="Total 2 3 2 6 4" xfId="22358" xr:uid="{66B3C1F7-8DDF-4F50-B896-4E53C22BB8BB}"/>
    <cellStyle name="Total 2 3 2 7" xfId="4255" xr:uid="{603A8AAF-E584-4D47-88CE-E73E02BCF897}"/>
    <cellStyle name="Total 2 3 2 7 2" xfId="10112" xr:uid="{AFD5913B-E181-48B3-B802-1CDCD30FB489}"/>
    <cellStyle name="Total 2 3 2 7 2 2" xfId="19158" xr:uid="{62339204-D0D1-41B5-8EE0-938E176FCD1A}"/>
    <cellStyle name="Total 2 3 2 7 3" xfId="15672" xr:uid="{DE463754-4587-4EB1-BF2A-AC212A5C2458}"/>
    <cellStyle name="Total 2 3 2 7 4" xfId="22246" xr:uid="{BA459016-6CFB-4ED3-A975-92C8F385A247}"/>
    <cellStyle name="Total 2 3 2 8" xfId="4127" xr:uid="{E0F62E0B-E8D5-4C7C-A218-61BCDE954A33}"/>
    <cellStyle name="Total 2 3 2 8 2" xfId="9984" xr:uid="{A64E5E9C-6D87-4031-88EC-6B6E69D81ED2}"/>
    <cellStyle name="Total 2 3 2 8 2 2" xfId="19030" xr:uid="{482E27F4-F178-43C9-9B80-8DE4B7410C54}"/>
    <cellStyle name="Total 2 3 2 8 3" xfId="15544" xr:uid="{A783FCE7-FAC3-4926-9498-B23F9F8C6C75}"/>
    <cellStyle name="Total 2 3 2 9" xfId="5292" xr:uid="{38A328D7-BC14-4820-A628-710A6CD67D9C}"/>
    <cellStyle name="Total 2 3 2 9 2" xfId="11145" xr:uid="{1AB6BC08-C9A9-4FC5-93E4-0D86FACE0986}"/>
    <cellStyle name="Total 2 3 2 9 2 2" xfId="20191" xr:uid="{F7C4B583-8E8C-4ECB-8D55-8D4127220D6C}"/>
    <cellStyle name="Total 2 3 2 9 3" xfId="16705" xr:uid="{F64D2BA9-50C7-42D3-AB2A-DA0847FAF43F}"/>
    <cellStyle name="Total 2 3 3" xfId="2456" xr:uid="{46E9EEF1-A149-4756-844A-D57BFDBE5635}"/>
    <cellStyle name="Total 2 3 3 10" xfId="5904" xr:uid="{EA8FC8C8-833C-4A01-9038-040530543B8B}"/>
    <cellStyle name="Total 2 3 3 10 2" xfId="11757" xr:uid="{B6417E73-8525-48FD-B6F7-73D533FF6C9B}"/>
    <cellStyle name="Total 2 3 3 10 2 2" xfId="20803" xr:uid="{91ECB94D-DD16-4292-8348-CDD06B828608}"/>
    <cellStyle name="Total 2 3 3 10 3" xfId="17317" xr:uid="{E5BC3544-5478-48BD-A0FB-114A83AD3769}"/>
    <cellStyle name="Total 2 3 3 11" xfId="9167" xr:uid="{039E161B-FBA2-4858-91C4-B91C418B6B09}"/>
    <cellStyle name="Total 2 3 3 11 2" xfId="18213" xr:uid="{F502C4E9-E57F-45ED-A6EA-CDA9D88E436E}"/>
    <cellStyle name="Total 2 3 3 12" xfId="12565" xr:uid="{EFBDAAD6-739C-4330-9368-7E0C3D4120FA}"/>
    <cellStyle name="Total 2 3 3 13" xfId="13759" xr:uid="{5F87BEA9-3E2B-45E2-84F6-7404672E8408}"/>
    <cellStyle name="Total 2 3 3 14" xfId="14736" xr:uid="{68F9937F-1DBF-43FA-B9D3-8FCCB1D0FCA2}"/>
    <cellStyle name="Total 2 3 3 15" xfId="21606" xr:uid="{85A044D1-02B2-43B0-9438-51AC0CE802EF}"/>
    <cellStyle name="Total 2 3 3 16" xfId="23796" xr:uid="{53384E30-26D7-4355-BFBC-41FB1C475F0C}"/>
    <cellStyle name="Total 2 3 3 2" xfId="2457" xr:uid="{2AB5444B-1CE8-4E70-BDB2-436F6E2D6E36}"/>
    <cellStyle name="Total 2 3 3 2 10" xfId="13238" xr:uid="{1997DDB1-0397-4825-AFD7-686250FDB478}"/>
    <cellStyle name="Total 2 3 3 2 11" xfId="13872" xr:uid="{04B783E6-D03E-4943-9412-0ABC9E34E038}"/>
    <cellStyle name="Total 2 3 3 2 12" xfId="14849" xr:uid="{5523467B-77D2-4B1B-99A4-89CCF85695A2}"/>
    <cellStyle name="Total 2 3 3 2 13" xfId="21717" xr:uid="{BD00B0BA-7E9D-432E-B9EE-D33DED7CAC13}"/>
    <cellStyle name="Total 2 3 3 2 2" xfId="2610" xr:uid="{3A23D6A5-18B4-4B4D-8D4C-3B44781D0461}"/>
    <cellStyle name="Total 2 3 3 2 2 10" xfId="15275" xr:uid="{E5154D0B-C05B-40A1-BFDC-74941DACB848}"/>
    <cellStyle name="Total 2 3 3 2 2 11" xfId="22143" xr:uid="{35D767E2-2F67-40C8-9508-21BAC936FA7C}"/>
    <cellStyle name="Total 2 3 3 2 2 12" xfId="3484" xr:uid="{2283FB71-01E5-4CBA-9AE8-2034AEE9A622}"/>
    <cellStyle name="Total 2 3 3 2 2 2" xfId="4718" xr:uid="{546AB113-C262-49B0-8323-926C31001DD6}"/>
    <cellStyle name="Total 2 3 3 2 2 2 2" xfId="10575" xr:uid="{3730D04D-A105-45B6-AFA8-BA43D17B7FD1}"/>
    <cellStyle name="Total 2 3 3 2 2 2 2 2" xfId="19621" xr:uid="{1C09B576-7E3C-4C1C-8A72-E5E9A5F7CE57}"/>
    <cellStyle name="Total 2 3 3 2 2 2 3" xfId="16135" xr:uid="{22E27549-076D-4690-BB77-A2F6A77FE287}"/>
    <cellStyle name="Total 2 3 3 2 2 2 4" xfId="22799" xr:uid="{6711ABA5-3028-420F-804A-7AA774E09204}"/>
    <cellStyle name="Total 2 3 3 2 2 3" xfId="5219" xr:uid="{D535F7B4-7E71-4B29-B8DD-C53B6BA7D3FF}"/>
    <cellStyle name="Total 2 3 3 2 2 3 2" xfId="11072" xr:uid="{293A1ACE-2664-4F0F-886F-ECD3F467BD77}"/>
    <cellStyle name="Total 2 3 3 2 2 3 2 2" xfId="20118" xr:uid="{902828D0-DFCF-4035-B17F-ABDC230724AB}"/>
    <cellStyle name="Total 2 3 3 2 2 3 3" xfId="16632" xr:uid="{2FD55323-FD87-4552-B475-C66B3D470659}"/>
    <cellStyle name="Total 2 3 3 2 2 3 4" xfId="23294" xr:uid="{5EB9F68E-2318-4645-836D-910D5AA245DA}"/>
    <cellStyle name="Total 2 3 3 2 2 4" xfId="5834" xr:uid="{733783A6-FF0E-4024-A346-A5E33DAFCEE8}"/>
    <cellStyle name="Total 2 3 3 2 2 4 2" xfId="11687" xr:uid="{027C767B-C056-4A58-8E39-42CA99CF9A3F}"/>
    <cellStyle name="Total 2 3 3 2 2 4 2 2" xfId="20733" xr:uid="{550E7FB6-578E-4B2E-A7EF-24690AAAD023}"/>
    <cellStyle name="Total 2 3 3 2 2 4 3" xfId="17247" xr:uid="{434C14DD-370D-4BE3-AF81-5C1AE28693FC}"/>
    <cellStyle name="Total 2 3 3 2 2 5" xfId="6445" xr:uid="{DE314A76-8654-40E6-9B0F-D55805E61D58}"/>
    <cellStyle name="Total 2 3 3 2 2 5 2" xfId="12292" xr:uid="{F937F7EE-5ED6-4246-919C-11BFC03433A5}"/>
    <cellStyle name="Total 2 3 3 2 2 5 2 2" xfId="21338" xr:uid="{B34B7CEA-AC9F-47A1-8C35-66241F543DD9}"/>
    <cellStyle name="Total 2 3 3 2 2 5 3" xfId="17858" xr:uid="{9BD88888-57AF-44CC-B615-D2133E0A48C8}"/>
    <cellStyle name="Total 2 3 3 2 2 6" xfId="9706" xr:uid="{C548BC8E-5191-4398-BB4F-3BC5A34AF888}"/>
    <cellStyle name="Total 2 3 3 2 2 6 2" xfId="18752" xr:uid="{5EB051E1-F892-4477-9565-3F22721E7B89}"/>
    <cellStyle name="Total 2 3 3 2 2 7" xfId="13104" xr:uid="{93B2C225-3E21-4F13-B16D-0E946149FDBF}"/>
    <cellStyle name="Total 2 3 3 2 2 8" xfId="13660" xr:uid="{27711E98-F64A-4E58-BC2F-728055209877}"/>
    <cellStyle name="Total 2 3 3 2 2 9" xfId="14300" xr:uid="{57BAE9C2-0A9A-4877-BDB0-15BB08F2A92E}"/>
    <cellStyle name="Total 2 3 3 2 3" xfId="3282" xr:uid="{C09744E3-AD0B-4428-A989-616F232E505A}"/>
    <cellStyle name="Total 2 3 3 2 3 10" xfId="15062" xr:uid="{CCE2FA56-3C68-4DF2-A23C-28D3A8F6CF0D}"/>
    <cellStyle name="Total 2 3 3 2 3 11" xfId="21932" xr:uid="{E71C7A46-8FA3-47A2-AC28-5105B6567B0D}"/>
    <cellStyle name="Total 2 3 3 2 3 2" xfId="4505" xr:uid="{D49856FF-544B-48D1-BB5E-8D55E79EECD1}"/>
    <cellStyle name="Total 2 3 3 2 3 2 2" xfId="10362" xr:uid="{7D771A4C-019B-4363-AFCC-5BCAE9058555}"/>
    <cellStyle name="Total 2 3 3 2 3 2 2 2" xfId="19408" xr:uid="{A053F783-D75A-4B92-9497-55471F50CA17}"/>
    <cellStyle name="Total 2 3 3 2 3 2 3" xfId="15922" xr:uid="{08130A09-2FD4-4090-93EF-71C2F3494ADF}"/>
    <cellStyle name="Total 2 3 3 2 3 2 4" xfId="22588" xr:uid="{6A27E5C0-9B7F-4448-80A4-CA2B22F4A52C}"/>
    <cellStyle name="Total 2 3 3 2 3 3" xfId="5006" xr:uid="{0163F1D1-4D7D-4353-8B11-71B551F2A773}"/>
    <cellStyle name="Total 2 3 3 2 3 3 2" xfId="10859" xr:uid="{B640545D-9B57-4B11-B357-66DE107C1D48}"/>
    <cellStyle name="Total 2 3 3 2 3 3 2 2" xfId="19905" xr:uid="{E5A96FFC-7C8B-477E-9770-69C3F293B5A4}"/>
    <cellStyle name="Total 2 3 3 2 3 3 3" xfId="16419" xr:uid="{0F5861BA-BC3D-455F-B47D-F835DE32E2F8}"/>
    <cellStyle name="Total 2 3 3 2 3 3 4" xfId="23083" xr:uid="{77316413-664A-4BD8-98CD-AD7412672AF5}"/>
    <cellStyle name="Total 2 3 3 2 3 4" xfId="5621" xr:uid="{D8026732-E501-4CC9-A925-053D4C7FFE6E}"/>
    <cellStyle name="Total 2 3 3 2 3 4 2" xfId="11474" xr:uid="{51FCCB82-353D-43BA-A413-5B2BB4F3C269}"/>
    <cellStyle name="Total 2 3 3 2 3 4 2 2" xfId="20520" xr:uid="{69B58D11-D80B-4CD2-8A2C-09E6C2DE28B8}"/>
    <cellStyle name="Total 2 3 3 2 3 4 3" xfId="17034" xr:uid="{2CC5D847-A7E9-4096-8D97-BA2DEC19E2AB}"/>
    <cellStyle name="Total 2 3 3 2 3 5" xfId="6232" xr:uid="{6213AD80-7B4A-4733-B1C1-B5F594A19CA1}"/>
    <cellStyle name="Total 2 3 3 2 3 5 2" xfId="12079" xr:uid="{113DE7EA-3DD4-4432-9019-30EBDD7D46C7}"/>
    <cellStyle name="Total 2 3 3 2 3 5 2 2" xfId="21125" xr:uid="{887C26EE-966D-456F-9306-EE0DC15C76D7}"/>
    <cellStyle name="Total 2 3 3 2 3 5 3" xfId="17645" xr:uid="{E5683755-D37B-4F52-8FEA-8298FAEA6D5A}"/>
    <cellStyle name="Total 2 3 3 2 3 6" xfId="9493" xr:uid="{F0FF6E54-3F85-4FB0-9365-17C4385D4D2B}"/>
    <cellStyle name="Total 2 3 3 2 3 6 2" xfId="18539" xr:uid="{72C5503F-B691-4FBF-8692-68008F3FA618}"/>
    <cellStyle name="Total 2 3 3 2 3 7" xfId="12891" xr:uid="{469C287D-A2E9-412F-80F9-5A8964BA98DD}"/>
    <cellStyle name="Total 2 3 3 2 3 8" xfId="13449" xr:uid="{14958172-2D3D-45EA-B2B0-59D291C22F4F}"/>
    <cellStyle name="Total 2 3 3 2 3 9" xfId="14087" xr:uid="{BC551C3D-51AD-45EA-80AE-CFA261D6BB68}"/>
    <cellStyle name="Total 2 3 3 2 4" xfId="4040" xr:uid="{6D984586-F4A5-461A-AD39-22F262EAEA62}"/>
    <cellStyle name="Total 2 3 3 2 4 2" xfId="9902" xr:uid="{11DBFB2F-99C9-43C2-A554-FEB27DAF13BA}"/>
    <cellStyle name="Total 2 3 3 2 4 2 2" xfId="18948" xr:uid="{1AA0179A-1775-4E75-9737-176745E1330D}"/>
    <cellStyle name="Total 2 3 3 2 4 3" xfId="15464" xr:uid="{FA123DEB-8C97-4BBC-9B40-74C49139C6A3}"/>
    <cellStyle name="Total 2 3 3 2 4 4" xfId="22868" xr:uid="{F3E902FC-B72A-4E9E-95D7-BBC0A4A3DF56}"/>
    <cellStyle name="Total 2 3 3 2 5" xfId="4791" xr:uid="{CE4E57E3-3BF8-48F3-992E-1AD65E4F47E9}"/>
    <cellStyle name="Total 2 3 3 2 5 2" xfId="10648" xr:uid="{309F7674-472A-497B-9ACD-6EABF4E80D62}"/>
    <cellStyle name="Total 2 3 3 2 5 2 2" xfId="19694" xr:uid="{D8AD5B37-70E5-437F-B598-1535BFB274D6}"/>
    <cellStyle name="Total 2 3 3 2 5 3" xfId="16208" xr:uid="{C2F43CF8-F680-4531-9EBD-F5BCC301982A}"/>
    <cellStyle name="Total 2 3 3 2 6" xfId="5406" xr:uid="{B380E74C-6665-40B3-AB0E-6D2F2B646BAD}"/>
    <cellStyle name="Total 2 3 3 2 6 2" xfId="11259" xr:uid="{3D8E5374-6AE0-4BAF-8B30-6DBED207A289}"/>
    <cellStyle name="Total 2 3 3 2 6 2 2" xfId="20305" xr:uid="{3C680BB9-E9BB-4F11-9CF4-8E39BAB49935}"/>
    <cellStyle name="Total 2 3 3 2 6 3" xfId="16819" xr:uid="{3D0604E3-5AFA-435D-B9D9-2CCE41C05FF2}"/>
    <cellStyle name="Total 2 3 3 2 7" xfId="6017" xr:uid="{48D41DF5-3B2E-4A0D-804F-B92DB7909825}"/>
    <cellStyle name="Total 2 3 3 2 7 2" xfId="11868" xr:uid="{F4C6963A-A488-4D44-ABF9-A5C6CAC55DFB}"/>
    <cellStyle name="Total 2 3 3 2 7 2 2" xfId="20914" xr:uid="{0DD0E5A0-2C1E-448E-952F-6358B2015479}"/>
    <cellStyle name="Total 2 3 3 2 7 3" xfId="17430" xr:uid="{EE8C12FF-9E2C-48BE-A171-A9B66B274D80}"/>
    <cellStyle name="Total 2 3 3 2 8" xfId="9280" xr:uid="{CD38BE0C-2FE4-4F6E-960A-9706A6018AA7}"/>
    <cellStyle name="Total 2 3 3 2 8 2" xfId="18326" xr:uid="{B7F22A8A-ABCC-45B8-BCBF-E42C74FE61E9}"/>
    <cellStyle name="Total 2 3 3 2 9" xfId="12676" xr:uid="{15D5F8EA-DC63-4E2F-9951-C728A3804608}"/>
    <cellStyle name="Total 2 3 3 3" xfId="2611" xr:uid="{03BCE7F1-72C5-47D9-8ADC-4A19EBB44BDE}"/>
    <cellStyle name="Total 2 3 3 3 10" xfId="13873" xr:uid="{938AB1E0-1AEE-4E35-BD36-E90046A87811}"/>
    <cellStyle name="Total 2 3 3 3 11" xfId="14850" xr:uid="{B78E6412-6976-4465-A3EC-F72D033F89A4}"/>
    <cellStyle name="Total 2 3 3 3 12" xfId="21718" xr:uid="{4B36E535-E1EB-418B-BB06-9EDD9973A911}"/>
    <cellStyle name="Total 2 3 3 3 13" xfId="3083" xr:uid="{B4122F54-DAA6-44DF-AB00-41BEC5D04F2B}"/>
    <cellStyle name="Total 2 3 3 3 2" xfId="3485" xr:uid="{5D9A59D3-6DC5-48DC-95ED-B46EA55CA699}"/>
    <cellStyle name="Total 2 3 3 3 2 10" xfId="15276" xr:uid="{521F58CB-78E1-45A0-A687-3B778F8AD328}"/>
    <cellStyle name="Total 2 3 3 3 2 11" xfId="22144" xr:uid="{150AB057-F77F-458F-A054-521813EA4AEB}"/>
    <cellStyle name="Total 2 3 3 3 2 2" xfId="4719" xr:uid="{9B1BE822-D889-45EA-80F4-706B6F62BF1E}"/>
    <cellStyle name="Total 2 3 3 3 2 2 2" xfId="10576" xr:uid="{1EFD0BD2-2787-4066-9CB2-72BD2D85A79F}"/>
    <cellStyle name="Total 2 3 3 3 2 2 2 2" xfId="19622" xr:uid="{7A815E78-ED78-4546-BD9F-343375040A83}"/>
    <cellStyle name="Total 2 3 3 3 2 2 3" xfId="16136" xr:uid="{AA264165-112A-49B6-9A77-0684270B131A}"/>
    <cellStyle name="Total 2 3 3 3 2 2 4" xfId="22800" xr:uid="{CEC397B7-2442-49F5-A5D5-813C2BB90080}"/>
    <cellStyle name="Total 2 3 3 3 2 3" xfId="5220" xr:uid="{F3F54F6E-6E53-4B73-A57B-0B91CB62A75A}"/>
    <cellStyle name="Total 2 3 3 3 2 3 2" xfId="11073" xr:uid="{F6FDE352-05FD-4484-8DA4-17ECE9C31B80}"/>
    <cellStyle name="Total 2 3 3 3 2 3 2 2" xfId="20119" xr:uid="{C38EB931-FC29-4583-ADF2-9686F4AC061F}"/>
    <cellStyle name="Total 2 3 3 3 2 3 3" xfId="16633" xr:uid="{0432CD75-D30D-40CA-AD49-5ECF89C8DDC3}"/>
    <cellStyle name="Total 2 3 3 3 2 3 4" xfId="23295" xr:uid="{04CD3559-4CA2-48CC-BAD4-79D1A663F523}"/>
    <cellStyle name="Total 2 3 3 3 2 4" xfId="5835" xr:uid="{E923EAB5-53EF-4BB9-A62B-0E8BD5974F01}"/>
    <cellStyle name="Total 2 3 3 3 2 4 2" xfId="11688" xr:uid="{7263F3DC-C3D0-4E88-A2B0-C2B79BD72EFF}"/>
    <cellStyle name="Total 2 3 3 3 2 4 2 2" xfId="20734" xr:uid="{6D191C28-AF2D-4BDA-A820-A5D269243D67}"/>
    <cellStyle name="Total 2 3 3 3 2 4 3" xfId="17248" xr:uid="{680190BE-8719-43E6-AF19-5013541E8E4B}"/>
    <cellStyle name="Total 2 3 3 3 2 5" xfId="6446" xr:uid="{7C4F1C12-8D13-471B-A14B-9AD63DFDED08}"/>
    <cellStyle name="Total 2 3 3 3 2 5 2" xfId="12293" xr:uid="{77D9B77B-AAF1-4292-AD90-A8937A57A51D}"/>
    <cellStyle name="Total 2 3 3 3 2 5 2 2" xfId="21339" xr:uid="{AA7BD960-0B30-4E77-A401-0AF7D43B3D17}"/>
    <cellStyle name="Total 2 3 3 3 2 5 3" xfId="17859" xr:uid="{378B72A8-C85E-4E56-A9BB-EC4DAAAF16E4}"/>
    <cellStyle name="Total 2 3 3 3 2 6" xfId="9707" xr:uid="{74605E62-701F-40A2-9F26-48E69514234E}"/>
    <cellStyle name="Total 2 3 3 3 2 6 2" xfId="18753" xr:uid="{84D06F40-BE70-45D2-8165-5F38D53FB838}"/>
    <cellStyle name="Total 2 3 3 3 2 7" xfId="13105" xr:uid="{F7B1EF97-4B9B-4787-A9BA-6BA12E3CF7C9}"/>
    <cellStyle name="Total 2 3 3 3 2 8" xfId="13661" xr:uid="{2621C355-6C9C-494E-9F5A-384AB7D857DD}"/>
    <cellStyle name="Total 2 3 3 3 2 9" xfId="14301" xr:uid="{C0DDC62B-ED45-465D-9438-D1F37B002664}"/>
    <cellStyle name="Total 2 3 3 3 3" xfId="3283" xr:uid="{DC37C42E-395D-40F1-A912-3416C4636480}"/>
    <cellStyle name="Total 2 3 3 3 3 10" xfId="15063" xr:uid="{1CF663F6-6441-4330-A5D3-BB5E69FC3B76}"/>
    <cellStyle name="Total 2 3 3 3 3 11" xfId="21933" xr:uid="{D32DD59E-5B02-48D0-8E95-402061AE4A0A}"/>
    <cellStyle name="Total 2 3 3 3 3 2" xfId="4506" xr:uid="{7D720D4F-7049-4DEF-B8B3-D6F6885A678B}"/>
    <cellStyle name="Total 2 3 3 3 3 2 2" xfId="10363" xr:uid="{D0C87F7A-2E15-44AA-B46D-054D75C2A5C6}"/>
    <cellStyle name="Total 2 3 3 3 3 2 2 2" xfId="19409" xr:uid="{E7E7F261-3586-4FC3-B275-6ECDAD5D10A3}"/>
    <cellStyle name="Total 2 3 3 3 3 2 3" xfId="15923" xr:uid="{7A97CAE7-E171-47B2-BE05-9FC7870AA718}"/>
    <cellStyle name="Total 2 3 3 3 3 2 4" xfId="22589" xr:uid="{9B85035A-26D9-40F3-B982-F662C209B550}"/>
    <cellStyle name="Total 2 3 3 3 3 3" xfId="5007" xr:uid="{163547AE-F045-488B-9DF4-529459AEE394}"/>
    <cellStyle name="Total 2 3 3 3 3 3 2" xfId="10860" xr:uid="{9DBB3CB6-2F65-4129-8689-CD60EF463EB4}"/>
    <cellStyle name="Total 2 3 3 3 3 3 2 2" xfId="19906" xr:uid="{B6BBC6B0-7985-4C0D-8FC1-71445C4024A2}"/>
    <cellStyle name="Total 2 3 3 3 3 3 3" xfId="16420" xr:uid="{6098BAF2-B335-492A-BBF6-DE64F02B90E1}"/>
    <cellStyle name="Total 2 3 3 3 3 3 4" xfId="23084" xr:uid="{2EBBA37F-144E-43E4-9861-A818CE19A778}"/>
    <cellStyle name="Total 2 3 3 3 3 4" xfId="5622" xr:uid="{28050FA9-9E97-4879-9F2D-F22F9191ECB1}"/>
    <cellStyle name="Total 2 3 3 3 3 4 2" xfId="11475" xr:uid="{FA9FDD85-CA8B-4ED6-81F7-FAC533ECFC2D}"/>
    <cellStyle name="Total 2 3 3 3 3 4 2 2" xfId="20521" xr:uid="{F2BD2EFF-D820-40EF-B8DA-FA655D1316FF}"/>
    <cellStyle name="Total 2 3 3 3 3 4 3" xfId="17035" xr:uid="{DF8A7C4B-96A9-42E7-9379-F55AE483D802}"/>
    <cellStyle name="Total 2 3 3 3 3 5" xfId="6233" xr:uid="{46933C14-DDC9-4843-8226-9AFD6BC8268F}"/>
    <cellStyle name="Total 2 3 3 3 3 5 2" xfId="12080" xr:uid="{26E31E9E-F57A-49BF-9DCF-FAF5923DA0CB}"/>
    <cellStyle name="Total 2 3 3 3 3 5 2 2" xfId="21126" xr:uid="{C4B1ABFE-56AE-4C82-AD26-56A0B7B5D819}"/>
    <cellStyle name="Total 2 3 3 3 3 5 3" xfId="17646" xr:uid="{EFFCD2B3-1C5B-4D92-9E25-C0A039CE15CC}"/>
    <cellStyle name="Total 2 3 3 3 3 6" xfId="9494" xr:uid="{1BA4EF5A-731C-4181-A3F6-45A892D1DA0C}"/>
    <cellStyle name="Total 2 3 3 3 3 6 2" xfId="18540" xr:uid="{F6F8F8A2-116D-4161-9B86-56CC8F7B9DA4}"/>
    <cellStyle name="Total 2 3 3 3 3 7" xfId="12892" xr:uid="{470F4264-35A5-4B28-A31E-25603EDBFCF1}"/>
    <cellStyle name="Total 2 3 3 3 3 8" xfId="13450" xr:uid="{2D7B34F9-3ED2-4C30-A27B-2D7D5CFF5240}"/>
    <cellStyle name="Total 2 3 3 3 3 9" xfId="14088" xr:uid="{56157FA7-F180-4E09-9549-469501ABAE1C}"/>
    <cellStyle name="Total 2 3 3 3 4" xfId="4792" xr:uid="{FA9EA60F-F561-43A6-AD84-201E55A8A199}"/>
    <cellStyle name="Total 2 3 3 3 4 2" xfId="10649" xr:uid="{34073C54-A34C-45B6-9A0A-C305A5CFC257}"/>
    <cellStyle name="Total 2 3 3 3 4 2 2" xfId="19695" xr:uid="{968BEE49-AE1F-403E-BEC7-B20E9097659B}"/>
    <cellStyle name="Total 2 3 3 3 4 3" xfId="16209" xr:uid="{72180E01-A198-49DC-B3A7-27C6004A646D}"/>
    <cellStyle name="Total 2 3 3 3 4 4" xfId="22869" xr:uid="{D0BB8273-62FC-45D2-8664-7456F8DA8D82}"/>
    <cellStyle name="Total 2 3 3 3 5" xfId="5407" xr:uid="{417FF82D-2444-4BD4-84A0-E8AC5BD5EC7E}"/>
    <cellStyle name="Total 2 3 3 3 5 2" xfId="11260" xr:uid="{B91D14A3-A750-45AF-AB3F-85E67B3B8227}"/>
    <cellStyle name="Total 2 3 3 3 5 2 2" xfId="20306" xr:uid="{386CBD88-546A-4EB8-BF8E-70E38B468449}"/>
    <cellStyle name="Total 2 3 3 3 5 3" xfId="16820" xr:uid="{0519AF7B-33E9-4D25-88A5-C365FC0ADB41}"/>
    <cellStyle name="Total 2 3 3 3 6" xfId="6018" xr:uid="{0E219E90-EB22-4D89-87A2-C4596565BF33}"/>
    <cellStyle name="Total 2 3 3 3 6 2" xfId="11869" xr:uid="{C24A3D24-22FD-4AC6-8A1B-4CCD7288D75E}"/>
    <cellStyle name="Total 2 3 3 3 6 2 2" xfId="20915" xr:uid="{5793BE80-5508-4BD0-92A4-46D03D21EEF1}"/>
    <cellStyle name="Total 2 3 3 3 6 3" xfId="17431" xr:uid="{E64F1ACE-F033-49EB-9F19-3FD74EC10A27}"/>
    <cellStyle name="Total 2 3 3 3 7" xfId="9281" xr:uid="{0B68A3C4-7B78-4902-ACAC-DD22F087768D}"/>
    <cellStyle name="Total 2 3 3 3 7 2" xfId="18327" xr:uid="{EAD607FD-2267-4C8B-BAF0-A573EF26885E}"/>
    <cellStyle name="Total 2 3 3 3 8" xfId="12677" xr:uid="{6A66CC29-8B58-4135-B16F-BF6C552628C0}"/>
    <cellStyle name="Total 2 3 3 3 9" xfId="13239" xr:uid="{FB6F97D6-0832-4D2B-A9A5-3865C8599736}"/>
    <cellStyle name="Total 2 3 3 4" xfId="3383" xr:uid="{9E2D9729-1E1D-4509-8F9B-3E2CA97FDB07}"/>
    <cellStyle name="Total 2 3 3 4 10" xfId="15163" xr:uid="{EF623B54-4D27-45D1-9875-17B273FC4A45}"/>
    <cellStyle name="Total 2 3 3 4 11" xfId="22032" xr:uid="{0D7D766C-1073-4E7E-AF74-276D01363134}"/>
    <cellStyle name="Total 2 3 3 4 2" xfId="4606" xr:uid="{3DBB95B7-F626-432B-8AC8-1A44B8E00CFC}"/>
    <cellStyle name="Total 2 3 3 4 2 2" xfId="10463" xr:uid="{F0C78143-CFDB-4A04-A1F8-C74B878D90BE}"/>
    <cellStyle name="Total 2 3 3 4 2 2 2" xfId="19509" xr:uid="{A652AD8E-23C1-4EE3-8F56-6D6C11CAFF0D}"/>
    <cellStyle name="Total 2 3 3 4 2 3" xfId="16023" xr:uid="{AE08247D-5744-4FAE-8CF3-2D29C16A34D1}"/>
    <cellStyle name="Total 2 3 3 4 2 4" xfId="22688" xr:uid="{DD2A127E-EDAE-4797-A2A5-F998AFF626F2}"/>
    <cellStyle name="Total 2 3 3 4 3" xfId="5107" xr:uid="{2F59F7C4-FE6E-471B-8168-4E107DF2AF78}"/>
    <cellStyle name="Total 2 3 3 4 3 2" xfId="10960" xr:uid="{2B5C1383-095E-4C14-8009-8B1AA5FDCC6A}"/>
    <cellStyle name="Total 2 3 3 4 3 2 2" xfId="20006" xr:uid="{BBD00EF1-EC86-4208-AD34-3B31178DF69F}"/>
    <cellStyle name="Total 2 3 3 4 3 3" xfId="16520" xr:uid="{B9BC7925-2DB1-462F-AEA2-EFBDFD8BCA8C}"/>
    <cellStyle name="Total 2 3 3 4 3 4" xfId="23183" xr:uid="{9E175FEC-4528-42CF-85AC-C7817925AA9A}"/>
    <cellStyle name="Total 2 3 3 4 4" xfId="5722" xr:uid="{AEBDC7E5-F991-46AC-B6AE-2CB7EFD3FC15}"/>
    <cellStyle name="Total 2 3 3 4 4 2" xfId="11575" xr:uid="{13E3E679-6E8F-4F1D-B636-C1319BCCEA09}"/>
    <cellStyle name="Total 2 3 3 4 4 2 2" xfId="20621" xr:uid="{013ED895-EEBF-453E-8C9B-581969D1E828}"/>
    <cellStyle name="Total 2 3 3 4 4 3" xfId="17135" xr:uid="{C079F4F2-5EA3-4EAD-AC12-A269D6F5472C}"/>
    <cellStyle name="Total 2 3 3 4 5" xfId="6333" xr:uid="{79173B48-45F1-4976-BF60-457A8184DF2C}"/>
    <cellStyle name="Total 2 3 3 4 5 2" xfId="12180" xr:uid="{51908B00-2255-4EBB-BA2B-0265755C47A1}"/>
    <cellStyle name="Total 2 3 3 4 5 2 2" xfId="21226" xr:uid="{2D416280-A25F-43A0-8934-E3057498E153}"/>
    <cellStyle name="Total 2 3 3 4 5 3" xfId="17746" xr:uid="{BC5ED64A-882A-4380-8E4E-8FC95B2E413F}"/>
    <cellStyle name="Total 2 3 3 4 6" xfId="9594" xr:uid="{4CF2197D-BB2F-4D55-A3A0-1FAE2C3B2AAB}"/>
    <cellStyle name="Total 2 3 3 4 6 2" xfId="18640" xr:uid="{FA123472-32CF-4B99-8454-7007976DC8AB}"/>
    <cellStyle name="Total 2 3 3 4 7" xfId="12992" xr:uid="{3C99FFA8-6659-442C-B2A1-63E3307583A5}"/>
    <cellStyle name="Total 2 3 3 4 8" xfId="13549" xr:uid="{FB4DB9A6-33BA-4927-8863-FDBC15858CEA}"/>
    <cellStyle name="Total 2 3 3 4 9" xfId="14188" xr:uid="{3527B0F4-4069-45D5-A856-934916DF91C3}"/>
    <cellStyle name="Total 2 3 3 5" xfId="3171" xr:uid="{9D45CCC9-8EFE-4968-B0BD-2DD2EBC5CDFB}"/>
    <cellStyle name="Total 2 3 3 5 10" xfId="14951" xr:uid="{0839AF60-5B63-4985-81D0-300605A31A06}"/>
    <cellStyle name="Total 2 3 3 5 11" xfId="21819" xr:uid="{B9A8755F-6C90-49B4-A9DF-7FE851D5448C}"/>
    <cellStyle name="Total 2 3 3 5 2" xfId="4392" xr:uid="{19D1EEBF-8E53-4E5C-B703-88D0C9BE768A}"/>
    <cellStyle name="Total 2 3 3 5 2 2" xfId="10249" xr:uid="{AFCEA6F6-3B38-49BA-9A6A-FC85975614D6}"/>
    <cellStyle name="Total 2 3 3 5 2 2 2" xfId="19295" xr:uid="{127F7759-3C9E-4960-AF1C-A1828C218AE2}"/>
    <cellStyle name="Total 2 3 3 5 2 3" xfId="15809" xr:uid="{7F223BAD-A7CA-40D9-8F60-9DD502A32B34}"/>
    <cellStyle name="Total 2 3 3 5 2 4" xfId="22475" xr:uid="{EB8EF355-C390-4C10-AE38-04CE80FEB32D}"/>
    <cellStyle name="Total 2 3 3 5 3" xfId="4893" xr:uid="{EB7A0D7D-0901-4C74-9AD3-56CC10DE4219}"/>
    <cellStyle name="Total 2 3 3 5 3 2" xfId="10748" xr:uid="{BF00945A-27FE-467C-A59F-DC5DF99B5D77}"/>
    <cellStyle name="Total 2 3 3 5 3 2 2" xfId="19794" xr:uid="{F918DD0F-535F-48E6-915F-91BE14BF2921}"/>
    <cellStyle name="Total 2 3 3 5 3 3" xfId="16308" xr:uid="{FAFA602F-CE71-4430-ADA3-D72F7D60F56B}"/>
    <cellStyle name="Total 2 3 3 5 3 4" xfId="22970" xr:uid="{13F1CEA3-0C00-4FB0-9EF5-B573362D7EF5}"/>
    <cellStyle name="Total 2 3 3 5 4" xfId="5508" xr:uid="{EDD712C2-9706-422B-8716-DA7936CB1D34}"/>
    <cellStyle name="Total 2 3 3 5 4 2" xfId="11361" xr:uid="{0B94B684-C259-4685-A6FA-C46BDDCB5AE0}"/>
    <cellStyle name="Total 2 3 3 5 4 2 2" xfId="20407" xr:uid="{4B2BB2E3-561D-4FDE-8192-9D0E87F569ED}"/>
    <cellStyle name="Total 2 3 3 5 4 3" xfId="16921" xr:uid="{9D3F5A5B-A62C-452F-BF6A-989B9C1B1A46}"/>
    <cellStyle name="Total 2 3 3 5 5" xfId="6119" xr:uid="{76C32CD8-6F38-4763-974F-EB1742DB0EFC}"/>
    <cellStyle name="Total 2 3 3 5 5 2" xfId="11968" xr:uid="{BAD88BF2-7F3A-4269-88EA-B4F49AA31F54}"/>
    <cellStyle name="Total 2 3 3 5 5 2 2" xfId="21014" xr:uid="{A02C9F63-69DD-4904-9021-176FB58F758C}"/>
    <cellStyle name="Total 2 3 3 5 5 3" xfId="17532" xr:uid="{5F2BB4C6-591E-4F54-ABB9-553F6366421A}"/>
    <cellStyle name="Total 2 3 3 5 6" xfId="9382" xr:uid="{8FF843DE-D127-432F-A8A1-004DB63E3AC2}"/>
    <cellStyle name="Total 2 3 3 5 6 2" xfId="18428" xr:uid="{27D63D94-9574-48D5-B015-761181E9C417}"/>
    <cellStyle name="Total 2 3 3 5 7" xfId="12778" xr:uid="{997AD860-7474-4C11-8DEC-B4028C216D7B}"/>
    <cellStyle name="Total 2 3 3 5 8" xfId="13338" xr:uid="{92B56724-EB2C-4552-AF61-DCD251E9D6D6}"/>
    <cellStyle name="Total 2 3 3 5 9" xfId="13974" xr:uid="{4ECBDCD9-9ECA-47C8-A1B1-12F39C756769}"/>
    <cellStyle name="Total 2 3 3 6" xfId="3772" xr:uid="{910CBD59-D671-4997-9761-BA8B3894F5FF}"/>
    <cellStyle name="Total 2 3 3 6 2" xfId="9814" xr:uid="{83457B3D-2528-4997-B08E-F82B0BCD2885}"/>
    <cellStyle name="Total 2 3 3 6 2 2" xfId="18860" xr:uid="{60DD2152-C7BA-49C2-AF76-2657D3E0BBEB}"/>
    <cellStyle name="Total 2 3 3 6 3" xfId="15380" xr:uid="{80C06EFF-A0D4-412D-92AF-B71FC000BE58}"/>
    <cellStyle name="Total 2 3 3 6 4" xfId="22359" xr:uid="{4154332D-692F-48C7-BC6C-0639880BB3B5}"/>
    <cellStyle name="Total 2 3 3 7" xfId="4256" xr:uid="{60DF1C3A-B082-4609-B546-0F5C780D9B93}"/>
    <cellStyle name="Total 2 3 3 7 2" xfId="10113" xr:uid="{94B04C60-7229-47FF-B3D7-75FB7D4DCB4F}"/>
    <cellStyle name="Total 2 3 3 7 2 2" xfId="19159" xr:uid="{A75F810C-2A40-4578-8D51-1F3BDF215FFD}"/>
    <cellStyle name="Total 2 3 3 7 3" xfId="15673" xr:uid="{09CD2961-7605-4AB7-BA10-2EE3E8B3BE57}"/>
    <cellStyle name="Total 2 3 3 7 4" xfId="22245" xr:uid="{C5A38DF5-6A62-4A8D-A7D2-2859D49B6378}"/>
    <cellStyle name="Total 2 3 3 8" xfId="4126" xr:uid="{89168279-7D84-4A72-AB41-C9C2CB21AEBC}"/>
    <cellStyle name="Total 2 3 3 8 2" xfId="9983" xr:uid="{B4E71085-728E-48C3-BB80-49F3F6CA1695}"/>
    <cellStyle name="Total 2 3 3 8 2 2" xfId="19029" xr:uid="{A258FD98-32D7-4F12-8B09-FFE157CD2879}"/>
    <cellStyle name="Total 2 3 3 8 3" xfId="15543" xr:uid="{A80F799C-6A0A-4490-8C3A-616DC6ADB0C7}"/>
    <cellStyle name="Total 2 3 3 9" xfId="5293" xr:uid="{FA57454E-A6C8-4F50-8F1C-78FD8FD2FE5F}"/>
    <cellStyle name="Total 2 3 3 9 2" xfId="11146" xr:uid="{22249C63-EC10-4B1B-A43A-EF4BEC80C9D1}"/>
    <cellStyle name="Total 2 3 3 9 2 2" xfId="20192" xr:uid="{17C904F9-F674-48C2-AB32-D4325D83254D}"/>
    <cellStyle name="Total 2 3 3 9 3" xfId="16706" xr:uid="{ED1377DB-C667-4A73-886E-C2738DC09A5F}"/>
    <cellStyle name="Total 2 3 4" xfId="2458" xr:uid="{088CEF11-8EF2-42D9-9F96-17F37E1BDC8D}"/>
    <cellStyle name="Total 2 3 4 10" xfId="13240" xr:uid="{D5F6C98F-6D3B-4F12-A07D-D77CFA9BA234}"/>
    <cellStyle name="Total 2 3 4 11" xfId="13874" xr:uid="{01F6EF20-8B36-46EB-9A88-164357B9106B}"/>
    <cellStyle name="Total 2 3 4 12" xfId="14851" xr:uid="{862DE0B0-8AAD-4A8B-A53E-882C99A981AB}"/>
    <cellStyle name="Total 2 3 4 13" xfId="21719" xr:uid="{53AC55E3-4173-47DF-9DF3-1FF4FC020478}"/>
    <cellStyle name="Total 2 3 4 2" xfId="2609" xr:uid="{51F674A6-77F0-41D0-AFF5-1535D4EBDE49}"/>
    <cellStyle name="Total 2 3 4 2 10" xfId="15277" xr:uid="{946F2911-8D0D-48B9-A265-8B7ECA352BAC}"/>
    <cellStyle name="Total 2 3 4 2 11" xfId="22145" xr:uid="{3657FC29-5650-4EF9-A08C-55EEC150AE4C}"/>
    <cellStyle name="Total 2 3 4 2 12" xfId="3486" xr:uid="{00D913C1-D622-4C14-874D-A7DFA7741026}"/>
    <cellStyle name="Total 2 3 4 2 2" xfId="4720" xr:uid="{76423884-9EBA-4B6F-BDE4-0572B0AC19F0}"/>
    <cellStyle name="Total 2 3 4 2 2 2" xfId="10577" xr:uid="{ED97B4E8-D623-4984-9198-FA68DB0C6D5E}"/>
    <cellStyle name="Total 2 3 4 2 2 2 2" xfId="19623" xr:uid="{E9AAB9BF-7715-4D22-86E7-52DFDAA9A38C}"/>
    <cellStyle name="Total 2 3 4 2 2 3" xfId="16137" xr:uid="{32E1FB2D-F525-4797-ACF5-B794B99A91AC}"/>
    <cellStyle name="Total 2 3 4 2 2 4" xfId="22801" xr:uid="{598A51C0-A4D8-4562-9701-D4FFF845CC00}"/>
    <cellStyle name="Total 2 3 4 2 3" xfId="5221" xr:uid="{499030A1-F4F5-4934-9138-58C28856BE3D}"/>
    <cellStyle name="Total 2 3 4 2 3 2" xfId="11074" xr:uid="{4C699653-4125-4454-AFDE-E569DA46EFE4}"/>
    <cellStyle name="Total 2 3 4 2 3 2 2" xfId="20120" xr:uid="{4B7A4EF1-8F1C-4198-8927-C0F59CCCF52C}"/>
    <cellStyle name="Total 2 3 4 2 3 3" xfId="16634" xr:uid="{35CA13B1-751A-4F93-BD72-AE5E8DAB8670}"/>
    <cellStyle name="Total 2 3 4 2 3 4" xfId="23296" xr:uid="{8683D0D6-B2A6-4D2F-AB85-F421F2D97758}"/>
    <cellStyle name="Total 2 3 4 2 4" xfId="5836" xr:uid="{8D409626-56A2-4725-A928-84373688FEB7}"/>
    <cellStyle name="Total 2 3 4 2 4 2" xfId="11689" xr:uid="{5DFA03C2-D14B-427E-B68F-F73022FF927C}"/>
    <cellStyle name="Total 2 3 4 2 4 2 2" xfId="20735" xr:uid="{89BF578A-6F89-4441-A400-B4CD3658E861}"/>
    <cellStyle name="Total 2 3 4 2 4 3" xfId="17249" xr:uid="{4075B140-7883-4A6E-8AF1-CF721BD72037}"/>
    <cellStyle name="Total 2 3 4 2 5" xfId="6447" xr:uid="{CF149763-17C1-4346-8600-CD8C07D40D85}"/>
    <cellStyle name="Total 2 3 4 2 5 2" xfId="12294" xr:uid="{79C3B996-75CC-4609-9867-26DC1D1CF721}"/>
    <cellStyle name="Total 2 3 4 2 5 2 2" xfId="21340" xr:uid="{4F75C8C9-92CE-498A-A2DD-FAA6E94C7245}"/>
    <cellStyle name="Total 2 3 4 2 5 3" xfId="17860" xr:uid="{A0A2405B-F740-4CFE-B753-EC9ACDAB62AE}"/>
    <cellStyle name="Total 2 3 4 2 6" xfId="9708" xr:uid="{86EE329A-D587-4D98-85B4-0E30041B5BA3}"/>
    <cellStyle name="Total 2 3 4 2 6 2" xfId="18754" xr:uid="{894CFB11-E6D5-4CAA-BD1D-AFF8E8251F6E}"/>
    <cellStyle name="Total 2 3 4 2 7" xfId="13106" xr:uid="{3EE022F3-04F8-49D0-87EE-BBC7DE6FA2F9}"/>
    <cellStyle name="Total 2 3 4 2 8" xfId="13662" xr:uid="{EC50AD0E-D463-40DC-9F02-3DC49937C127}"/>
    <cellStyle name="Total 2 3 4 2 9" xfId="14302" xr:uid="{8240D1E8-1F8A-4734-87D2-C024B5EF4D51}"/>
    <cellStyle name="Total 2 3 4 3" xfId="3284" xr:uid="{2B906300-D366-46B1-BA23-F35B6EE9A7BD}"/>
    <cellStyle name="Total 2 3 4 3 10" xfId="15064" xr:uid="{C6BFBB1D-551C-4C6F-884B-EE7A02D0173E}"/>
    <cellStyle name="Total 2 3 4 3 11" xfId="21934" xr:uid="{2C4F3D89-FF18-4C20-8EF4-03BA9867BF70}"/>
    <cellStyle name="Total 2 3 4 3 2" xfId="4507" xr:uid="{D383EDA1-C43C-4E7B-B95F-77CE2F9E9160}"/>
    <cellStyle name="Total 2 3 4 3 2 2" xfId="10364" xr:uid="{BB2ABAC2-8EC8-4ECF-A354-4ABD6F8FB210}"/>
    <cellStyle name="Total 2 3 4 3 2 2 2" xfId="19410" xr:uid="{2112315B-1AE6-46E8-B6E5-FF3E59BC46DB}"/>
    <cellStyle name="Total 2 3 4 3 2 3" xfId="15924" xr:uid="{51B80C84-A424-4C80-99EB-41F5D8D1FE57}"/>
    <cellStyle name="Total 2 3 4 3 2 4" xfId="22590" xr:uid="{87602C24-8DEB-487D-A0A0-FD148FD6562A}"/>
    <cellStyle name="Total 2 3 4 3 3" xfId="5008" xr:uid="{515903C4-4DFE-4759-A8AE-D30165C83D00}"/>
    <cellStyle name="Total 2 3 4 3 3 2" xfId="10861" xr:uid="{C0E96BD1-6550-49E1-9F00-E34B67294F75}"/>
    <cellStyle name="Total 2 3 4 3 3 2 2" xfId="19907" xr:uid="{36D7EF97-FF9E-46AF-8735-3D23CF34383C}"/>
    <cellStyle name="Total 2 3 4 3 3 3" xfId="16421" xr:uid="{48CD87D3-0856-4A75-9E60-D0261D8E3AC9}"/>
    <cellStyle name="Total 2 3 4 3 3 4" xfId="23085" xr:uid="{13ADACEF-1034-4108-8246-62DFFFE063C9}"/>
    <cellStyle name="Total 2 3 4 3 4" xfId="5623" xr:uid="{90AB6DED-745B-43A6-AE63-BEB1B6F862A6}"/>
    <cellStyle name="Total 2 3 4 3 4 2" xfId="11476" xr:uid="{87BCF470-F2AC-4F60-9FBD-D996DF65A734}"/>
    <cellStyle name="Total 2 3 4 3 4 2 2" xfId="20522" xr:uid="{073EDC66-F984-4DEE-B636-FEEFBAD6C3A6}"/>
    <cellStyle name="Total 2 3 4 3 4 3" xfId="17036" xr:uid="{82B3DD0A-B24B-4E42-9C39-59CE3B6712B8}"/>
    <cellStyle name="Total 2 3 4 3 5" xfId="6234" xr:uid="{36FB3EB5-274E-46F0-8C65-5EAF6414E6A9}"/>
    <cellStyle name="Total 2 3 4 3 5 2" xfId="12081" xr:uid="{0D4FA027-1F0A-4051-BBC9-C216F3389958}"/>
    <cellStyle name="Total 2 3 4 3 5 2 2" xfId="21127" xr:uid="{41897C75-0100-40B7-99CD-C8365E904D66}"/>
    <cellStyle name="Total 2 3 4 3 5 3" xfId="17647" xr:uid="{E4BD57CA-191A-4039-952D-52851D42F632}"/>
    <cellStyle name="Total 2 3 4 3 6" xfId="9495" xr:uid="{0A4C5C78-1C40-4C3B-BB9E-EF69B20408C1}"/>
    <cellStyle name="Total 2 3 4 3 6 2" xfId="18541" xr:uid="{D4ADC23A-C016-40FF-ADBA-568A38889D31}"/>
    <cellStyle name="Total 2 3 4 3 7" xfId="12893" xr:uid="{8E4C46ED-FABD-4457-8481-4BEB89E85BF9}"/>
    <cellStyle name="Total 2 3 4 3 8" xfId="13451" xr:uid="{2F0CD03A-BF1D-4D07-BA50-AFC89BDB0D3D}"/>
    <cellStyle name="Total 2 3 4 3 9" xfId="14089" xr:uid="{FDDA7EF4-8AEB-4E3A-93F6-E74EECA269F3}"/>
    <cellStyle name="Total 2 3 4 4" xfId="3997" xr:uid="{5E3942CA-43BE-40EC-A734-C3F259E3930A}"/>
    <cellStyle name="Total 2 3 4 4 2" xfId="9859" xr:uid="{C817D408-A2C5-4597-A1C7-9049FA2692DB}"/>
    <cellStyle name="Total 2 3 4 4 2 2" xfId="18905" xr:uid="{B09BDD04-C71A-4233-A499-6999D81C7C3C}"/>
    <cellStyle name="Total 2 3 4 4 3" xfId="15421" xr:uid="{0C32480E-EFAD-4F8C-B381-D6E05D259D43}"/>
    <cellStyle name="Total 2 3 4 4 4" xfId="22870" xr:uid="{45BCAD56-10A1-4A70-A5E3-B309A1EEF25F}"/>
    <cellStyle name="Total 2 3 4 5" xfId="4793" xr:uid="{2D25B68C-FDAC-4272-B23F-AC6E26AEB29A}"/>
    <cellStyle name="Total 2 3 4 5 2" xfId="10650" xr:uid="{90B6EE17-1424-432A-B87C-240D9CBBDB3E}"/>
    <cellStyle name="Total 2 3 4 5 2 2" xfId="19696" xr:uid="{22A0E86F-0FE1-44CC-8CC4-F5F2F340C64D}"/>
    <cellStyle name="Total 2 3 4 5 3" xfId="16210" xr:uid="{FDAB8A0B-60CD-473A-8CC4-3D54B806A2AB}"/>
    <cellStyle name="Total 2 3 4 6" xfId="5408" xr:uid="{82A8319B-FDD7-49CD-8066-076CCA0D37BC}"/>
    <cellStyle name="Total 2 3 4 6 2" xfId="11261" xr:uid="{8B61C3A4-3479-4CB9-A848-AB3209BFDF54}"/>
    <cellStyle name="Total 2 3 4 6 2 2" xfId="20307" xr:uid="{08122BC6-5C5E-443D-8F82-8CBA0416B887}"/>
    <cellStyle name="Total 2 3 4 6 3" xfId="16821" xr:uid="{C4596357-BDE1-42D9-8D10-C59AA22A047A}"/>
    <cellStyle name="Total 2 3 4 7" xfId="6019" xr:uid="{DA682A70-7691-4230-ABB8-1968B2F6A8E6}"/>
    <cellStyle name="Total 2 3 4 7 2" xfId="11870" xr:uid="{71A8CEF4-27D2-480E-B595-97AC19F0A39B}"/>
    <cellStyle name="Total 2 3 4 7 2 2" xfId="20916" xr:uid="{B57A3E7E-2EE8-4D9E-A3DC-654D038E256E}"/>
    <cellStyle name="Total 2 3 4 7 3" xfId="17432" xr:uid="{371AA625-FE32-4EC0-A1FC-704CB6E6F3B1}"/>
    <cellStyle name="Total 2 3 4 8" xfId="9282" xr:uid="{E6933540-088A-467C-9DFE-2D80C3DDB0B2}"/>
    <cellStyle name="Total 2 3 4 8 2" xfId="18328" xr:uid="{E667BFFF-16C0-4830-9701-4D22ED4A220A}"/>
    <cellStyle name="Total 2 3 4 9" xfId="12678" xr:uid="{4AB29C30-C71B-445D-9C9F-BCC217B3FCC5}"/>
    <cellStyle name="Total 2 3 5" xfId="2889" xr:uid="{ACBF27C1-3B29-4FA7-A819-615CF5E81439}"/>
    <cellStyle name="Total 2 3 5 10" xfId="13875" xr:uid="{F8D4F7B1-D4E0-47CA-A99A-74C3E2637C5A}"/>
    <cellStyle name="Total 2 3 5 11" xfId="14852" xr:uid="{45F43467-4F63-4D1B-B8EE-4868E98E15CD}"/>
    <cellStyle name="Total 2 3 5 12" xfId="21720" xr:uid="{F61A1A9F-9336-47D4-9618-633D95FD2E6C}"/>
    <cellStyle name="Total 2 3 5 13" xfId="3084" xr:uid="{8B8C3BA8-B00B-4FA3-84F1-2AB30733094C}"/>
    <cellStyle name="Total 2 3 5 2" xfId="3487" xr:uid="{A8E54DD6-446C-4795-9F33-C45BA477B848}"/>
    <cellStyle name="Total 2 3 5 2 10" xfId="15278" xr:uid="{CC180269-F712-4135-BC77-38C2A188EF43}"/>
    <cellStyle name="Total 2 3 5 2 11" xfId="22146" xr:uid="{E37BC4AB-C3D4-4215-BF0E-FE44469DB5F6}"/>
    <cellStyle name="Total 2 3 5 2 2" xfId="4721" xr:uid="{345200C3-60CB-46C7-8480-6B79E6CFE672}"/>
    <cellStyle name="Total 2 3 5 2 2 2" xfId="10578" xr:uid="{0D0CE933-3327-4215-9156-9CD6A86CA8E9}"/>
    <cellStyle name="Total 2 3 5 2 2 2 2" xfId="19624" xr:uid="{BA127CC3-E5E9-4708-88E3-1359521BE7A6}"/>
    <cellStyle name="Total 2 3 5 2 2 3" xfId="16138" xr:uid="{B2A35C82-23DE-491A-A28E-09FA96FF7407}"/>
    <cellStyle name="Total 2 3 5 2 2 4" xfId="22802" xr:uid="{6A75ADC6-C035-433B-B8A8-016BD8F114AD}"/>
    <cellStyle name="Total 2 3 5 2 3" xfId="5222" xr:uid="{CE827BCF-013A-4F6E-806C-B74446F34D89}"/>
    <cellStyle name="Total 2 3 5 2 3 2" xfId="11075" xr:uid="{64DA741D-8C46-40AB-9FDD-F9395DFCC53C}"/>
    <cellStyle name="Total 2 3 5 2 3 2 2" xfId="20121" xr:uid="{84B62A91-60AB-4555-9620-C9EB8F67641B}"/>
    <cellStyle name="Total 2 3 5 2 3 3" xfId="16635" xr:uid="{C601664F-A3D1-496F-80DE-C66FAC507C84}"/>
    <cellStyle name="Total 2 3 5 2 3 4" xfId="23297" xr:uid="{76A1399B-5529-4671-854E-4A58DC0E7EC8}"/>
    <cellStyle name="Total 2 3 5 2 4" xfId="5837" xr:uid="{707BDBAE-2751-4714-B2F9-983215E037F8}"/>
    <cellStyle name="Total 2 3 5 2 4 2" xfId="11690" xr:uid="{818D1734-F8C9-434E-BF9E-D8A3A945163B}"/>
    <cellStyle name="Total 2 3 5 2 4 2 2" xfId="20736" xr:uid="{2831CA94-5596-4B10-8ADE-2F6842FEC765}"/>
    <cellStyle name="Total 2 3 5 2 4 3" xfId="17250" xr:uid="{948E9D97-2456-44CE-AD5D-CF775D490EF5}"/>
    <cellStyle name="Total 2 3 5 2 5" xfId="6448" xr:uid="{8971C34D-33A2-471F-9A90-704DC27E8D16}"/>
    <cellStyle name="Total 2 3 5 2 5 2" xfId="12295" xr:uid="{9AB92D3C-DF8E-4540-831B-A432F592CDA4}"/>
    <cellStyle name="Total 2 3 5 2 5 2 2" xfId="21341" xr:uid="{5AB2988D-977D-468A-B6CD-D0AC74A7EB00}"/>
    <cellStyle name="Total 2 3 5 2 5 3" xfId="17861" xr:uid="{D010112B-C526-4504-A0DD-C5A58BFDB1D5}"/>
    <cellStyle name="Total 2 3 5 2 6" xfId="9709" xr:uid="{F5A89D2A-BAD1-416F-B3EB-D8A9FA51641C}"/>
    <cellStyle name="Total 2 3 5 2 6 2" xfId="18755" xr:uid="{3A664C2C-5AE0-4961-ADF9-D68A91F33946}"/>
    <cellStyle name="Total 2 3 5 2 7" xfId="13107" xr:uid="{7A902AE8-8987-42EB-9B6F-F1CB83AD8C90}"/>
    <cellStyle name="Total 2 3 5 2 8" xfId="13663" xr:uid="{2A71DF54-53DE-46DC-892D-FA103D60CEB6}"/>
    <cellStyle name="Total 2 3 5 2 9" xfId="14303" xr:uid="{6DCA6E0B-152D-4643-8CCE-20135F3720DA}"/>
    <cellStyle name="Total 2 3 5 3" xfId="3285" xr:uid="{EE5CB1BC-0253-4B01-824E-9672CBD104B7}"/>
    <cellStyle name="Total 2 3 5 3 10" xfId="15065" xr:uid="{C484A9E7-CAA1-4817-8105-8CAAADAD5290}"/>
    <cellStyle name="Total 2 3 5 3 11" xfId="21935" xr:uid="{28258C06-7C42-431E-BEB9-290CF00E62F6}"/>
    <cellStyle name="Total 2 3 5 3 2" xfId="4508" xr:uid="{050579BE-F2D1-44BC-9882-7677A4E27FCE}"/>
    <cellStyle name="Total 2 3 5 3 2 2" xfId="10365" xr:uid="{BA1FD500-B1C9-4DAB-BE7C-C2BC9EC95E61}"/>
    <cellStyle name="Total 2 3 5 3 2 2 2" xfId="19411" xr:uid="{02AF6B4F-8E3E-441F-B9D6-85ADE2A71947}"/>
    <cellStyle name="Total 2 3 5 3 2 3" xfId="15925" xr:uid="{CA2D8EE1-B3A3-4C17-8A07-F44BD66D0164}"/>
    <cellStyle name="Total 2 3 5 3 2 4" xfId="22591" xr:uid="{E46AAB5C-4177-45FD-8C48-CC2ABB4DF11B}"/>
    <cellStyle name="Total 2 3 5 3 3" xfId="5009" xr:uid="{60D42D67-3E07-4F7A-9EBF-66CD425385A5}"/>
    <cellStyle name="Total 2 3 5 3 3 2" xfId="10862" xr:uid="{CD5D3160-5F9D-4D34-B567-5983D9575F89}"/>
    <cellStyle name="Total 2 3 5 3 3 2 2" xfId="19908" xr:uid="{04CA4713-A0BE-49CE-ACCC-C949FA7D7257}"/>
    <cellStyle name="Total 2 3 5 3 3 3" xfId="16422" xr:uid="{98313E13-CDE2-46F5-9A44-840840E18D43}"/>
    <cellStyle name="Total 2 3 5 3 3 4" xfId="23086" xr:uid="{6C1E82AD-D96E-4073-9AAF-60C51E8C2C14}"/>
    <cellStyle name="Total 2 3 5 3 4" xfId="5624" xr:uid="{B47F6332-8FEB-41D5-AEB1-97A5B3A9CC22}"/>
    <cellStyle name="Total 2 3 5 3 4 2" xfId="11477" xr:uid="{4E6E10DC-7977-4B94-9FE0-EE3DF85C8005}"/>
    <cellStyle name="Total 2 3 5 3 4 2 2" xfId="20523" xr:uid="{2A6DCD33-470A-4D53-B452-931235240CB4}"/>
    <cellStyle name="Total 2 3 5 3 4 3" xfId="17037" xr:uid="{49F6ED33-7DD1-458D-9ED3-703C2AAAD96F}"/>
    <cellStyle name="Total 2 3 5 3 5" xfId="6235" xr:uid="{CD66FBB5-0FD8-4B2C-95CB-6939015BE090}"/>
    <cellStyle name="Total 2 3 5 3 5 2" xfId="12082" xr:uid="{62341A44-2BDD-429A-8037-49B0AB5D2CBB}"/>
    <cellStyle name="Total 2 3 5 3 5 2 2" xfId="21128" xr:uid="{6E197257-369A-41C8-8F19-3368C563E6A7}"/>
    <cellStyle name="Total 2 3 5 3 5 3" xfId="17648" xr:uid="{BAB238F2-9DFA-4998-B4F8-4FA3A2868DC5}"/>
    <cellStyle name="Total 2 3 5 3 6" xfId="9496" xr:uid="{0EDECEF6-758D-4A56-B842-CC1E528398A3}"/>
    <cellStyle name="Total 2 3 5 3 6 2" xfId="18542" xr:uid="{5E1661FE-C7EE-4419-B0E8-85E266736F2B}"/>
    <cellStyle name="Total 2 3 5 3 7" xfId="12894" xr:uid="{C0EBBA1C-987C-483F-95E9-0886AE0F577B}"/>
    <cellStyle name="Total 2 3 5 3 8" xfId="13452" xr:uid="{36F38EA7-FC9B-4033-B5AF-77708C67FBBD}"/>
    <cellStyle name="Total 2 3 5 3 9" xfId="14090" xr:uid="{8A21AF44-5D84-4A33-9DEA-F35503644EDA}"/>
    <cellStyle name="Total 2 3 5 4" xfId="4794" xr:uid="{B5D57D97-ECC7-4444-9B25-91C4C14485D6}"/>
    <cellStyle name="Total 2 3 5 4 2" xfId="10651" xr:uid="{763BB8B9-D3F3-43F5-A848-71B1A3EE56E8}"/>
    <cellStyle name="Total 2 3 5 4 2 2" xfId="19697" xr:uid="{42799C3E-DDD2-4BF1-9432-6BD828926750}"/>
    <cellStyle name="Total 2 3 5 4 3" xfId="16211" xr:uid="{F895E0D1-DF42-4B70-BD4D-660331555481}"/>
    <cellStyle name="Total 2 3 5 4 4" xfId="22871" xr:uid="{E6187FE1-B7CC-458F-B3D6-A4466AB2B8C5}"/>
    <cellStyle name="Total 2 3 5 5" xfId="5409" xr:uid="{691259E6-7BD9-4A37-98CA-E716D11284A3}"/>
    <cellStyle name="Total 2 3 5 5 2" xfId="11262" xr:uid="{883BFCC6-6449-4937-937F-7BE2A60D026C}"/>
    <cellStyle name="Total 2 3 5 5 2 2" xfId="20308" xr:uid="{949D93EF-2FC5-4B51-A6FF-B7E30E3D49AD}"/>
    <cellStyle name="Total 2 3 5 5 3" xfId="16822" xr:uid="{D5E19425-34B2-494F-8550-9B454B9AA351}"/>
    <cellStyle name="Total 2 3 5 6" xfId="6020" xr:uid="{9CEE8866-680F-4A03-9406-B5168D9BAB4B}"/>
    <cellStyle name="Total 2 3 5 6 2" xfId="11871" xr:uid="{61B776D3-234E-4EFB-9787-A41D9FBB2302}"/>
    <cellStyle name="Total 2 3 5 6 2 2" xfId="20917" xr:uid="{2BA892EB-7837-45A3-B887-E58CBE4C8758}"/>
    <cellStyle name="Total 2 3 5 6 3" xfId="17433" xr:uid="{5F532082-4C9A-400C-BAC4-BCD7FE01C244}"/>
    <cellStyle name="Total 2 3 5 7" xfId="9283" xr:uid="{41546568-E9AE-4D55-889C-4B5327588FAF}"/>
    <cellStyle name="Total 2 3 5 7 2" xfId="18329" xr:uid="{F4BCA80C-C767-44AD-B3FF-CD219F6DB3CA}"/>
    <cellStyle name="Total 2 3 5 8" xfId="12679" xr:uid="{0177A4BD-94E7-4738-BD48-A9B9F7D92743}"/>
    <cellStyle name="Total 2 3 5 9" xfId="13241" xr:uid="{DC01BCEB-ED0A-4933-90D8-3968FCBF6184}"/>
    <cellStyle name="Total 2 3 6" xfId="2914" xr:uid="{0600ECAC-573B-42E3-B360-D200A2986E86}"/>
    <cellStyle name="Total 2 3 6 10" xfId="15120" xr:uid="{5E7BD389-5A0B-4583-B252-7A9A40A4AA30}"/>
    <cellStyle name="Total 2 3 6 11" xfId="21989" xr:uid="{4494B11B-2456-4209-B84C-80AF9D852AC0}"/>
    <cellStyle name="Total 2 3 6 12" xfId="3340" xr:uid="{F7759C41-2A81-4B4F-BA31-1291430E251E}"/>
    <cellStyle name="Total 2 3 6 2" xfId="4563" xr:uid="{B522F113-96FB-40A4-B5C8-1E4B5F2428B3}"/>
    <cellStyle name="Total 2 3 6 2 2" xfId="10420" xr:uid="{3F89F6C7-41AD-4F4B-8F5F-00F379769A70}"/>
    <cellStyle name="Total 2 3 6 2 2 2" xfId="19466" xr:uid="{C50636F6-0188-4E20-97D8-FB775B8090A5}"/>
    <cellStyle name="Total 2 3 6 2 3" xfId="15980" xr:uid="{935B25BA-A1F7-494E-B1E5-8DCBC332DB96}"/>
    <cellStyle name="Total 2 3 6 2 4" xfId="22645" xr:uid="{BD7183BF-E217-462E-BD17-0F5B5B3C12D7}"/>
    <cellStyle name="Total 2 3 6 3" xfId="5064" xr:uid="{2577F90C-7724-4942-A807-24B2B5D5C1CD}"/>
    <cellStyle name="Total 2 3 6 3 2" xfId="10917" xr:uid="{79F9D028-7CDC-44E8-BF97-11860DC84495}"/>
    <cellStyle name="Total 2 3 6 3 2 2" xfId="19963" xr:uid="{9861473F-8113-4935-85AC-8B068422EFFB}"/>
    <cellStyle name="Total 2 3 6 3 3" xfId="16477" xr:uid="{97EA6E22-1CEC-480E-B711-CD0464563EA3}"/>
    <cellStyle name="Total 2 3 6 3 4" xfId="23140" xr:uid="{329EA6C5-28DA-47C3-9AAC-DE253C4A5E90}"/>
    <cellStyle name="Total 2 3 6 4" xfId="5679" xr:uid="{60079FB4-4128-4EB9-84E2-4AE5A36E344A}"/>
    <cellStyle name="Total 2 3 6 4 2" xfId="11532" xr:uid="{12353419-EF8A-4AFB-BDD3-7A114A220C48}"/>
    <cellStyle name="Total 2 3 6 4 2 2" xfId="20578" xr:uid="{2CF48E28-C335-4968-8A33-322F3EC8D782}"/>
    <cellStyle name="Total 2 3 6 4 3" xfId="17092" xr:uid="{CB907E6D-C323-48D9-916E-58B5D0BC9609}"/>
    <cellStyle name="Total 2 3 6 5" xfId="6290" xr:uid="{87E54A20-A35C-4FF7-B412-5BEDE421D537}"/>
    <cellStyle name="Total 2 3 6 5 2" xfId="12137" xr:uid="{0CA70957-A179-485C-9576-1DDEB4220B59}"/>
    <cellStyle name="Total 2 3 6 5 2 2" xfId="21183" xr:uid="{A3380703-73C7-4CEE-A08F-B6257F5E71CF}"/>
    <cellStyle name="Total 2 3 6 5 3" xfId="17703" xr:uid="{07CE80C5-2DE5-4538-9286-CAE525E6003A}"/>
    <cellStyle name="Total 2 3 6 6" xfId="9551" xr:uid="{CA503AB3-DE7C-4052-A7EB-1E0A33145E91}"/>
    <cellStyle name="Total 2 3 6 6 2" xfId="18597" xr:uid="{35902014-669B-475A-8B4E-7C3B1882676F}"/>
    <cellStyle name="Total 2 3 6 7" xfId="12949" xr:uid="{4EC88776-E9B8-4A9D-AA35-D68C492ECE55}"/>
    <cellStyle name="Total 2 3 6 8" xfId="13506" xr:uid="{F28EBBF3-B3CB-4693-A1EF-F1750FCBACC2}"/>
    <cellStyle name="Total 2 3 6 9" xfId="14145" xr:uid="{90A5DD4C-1F81-4F0D-AB56-46F134BFFBBC}"/>
    <cellStyle name="Total 2 3 7" xfId="3128" xr:uid="{C2BBE5BE-7BE7-4E11-B429-1E9426E9C2A7}"/>
    <cellStyle name="Total 2 3 7 10" xfId="14908" xr:uid="{DEA4A356-0F3D-4C11-A776-3AE22E6F05E8}"/>
    <cellStyle name="Total 2 3 7 11" xfId="21776" xr:uid="{30554451-5D98-4663-BE3A-C09984F8ACB7}"/>
    <cellStyle name="Total 2 3 7 2" xfId="4349" xr:uid="{BF64DC5B-6603-4902-A025-729D9FF4E47E}"/>
    <cellStyle name="Total 2 3 7 2 2" xfId="10206" xr:uid="{0E69BA49-F52B-4C7A-B365-A38808C02467}"/>
    <cellStyle name="Total 2 3 7 2 2 2" xfId="19252" xr:uid="{13EA583F-A313-4CE3-86FA-5DE610A97288}"/>
    <cellStyle name="Total 2 3 7 2 3" xfId="15766" xr:uid="{8D6E1653-58BE-442B-A2ED-38239D50EC43}"/>
    <cellStyle name="Total 2 3 7 2 4" xfId="22432" xr:uid="{57ED603C-FB9C-4952-937F-98D737640E49}"/>
    <cellStyle name="Total 2 3 7 3" xfId="4850" xr:uid="{EF55FD36-0815-4C4D-9015-0704E3E0BE1A}"/>
    <cellStyle name="Total 2 3 7 3 2" xfId="10705" xr:uid="{AFFA68A2-44CD-4D4E-A5A9-CC9ED7058532}"/>
    <cellStyle name="Total 2 3 7 3 2 2" xfId="19751" xr:uid="{9EF90D9D-4806-4C44-9143-4674D8BD9807}"/>
    <cellStyle name="Total 2 3 7 3 3" xfId="16265" xr:uid="{DA08C1D5-B8DA-4A13-98EC-5E02FDAE1799}"/>
    <cellStyle name="Total 2 3 7 3 4" xfId="22927" xr:uid="{3D8F91B9-EBD4-445E-B702-80DE0B5BB552}"/>
    <cellStyle name="Total 2 3 7 4" xfId="5465" xr:uid="{5D71DD7E-6593-44B7-8FEB-E5FA862E3601}"/>
    <cellStyle name="Total 2 3 7 4 2" xfId="11318" xr:uid="{8DB2EAD5-7C93-4DBD-BDEA-8E8F6F1C2930}"/>
    <cellStyle name="Total 2 3 7 4 2 2" xfId="20364" xr:uid="{B5AE8E3E-974A-47C5-816F-2CB7B9A07A8E}"/>
    <cellStyle name="Total 2 3 7 4 3" xfId="16878" xr:uid="{49687B37-3C03-4657-BE01-6753385A2833}"/>
    <cellStyle name="Total 2 3 7 5" xfId="6076" xr:uid="{5BCAF97B-E207-4DCC-8A14-04018896BBB3}"/>
    <cellStyle name="Total 2 3 7 5 2" xfId="11925" xr:uid="{A38F9FA5-252A-4ADD-A2B3-4A06B92DD3FE}"/>
    <cellStyle name="Total 2 3 7 5 2 2" xfId="20971" xr:uid="{6EC8928E-F272-49C7-9FDC-C8C61B5E5315}"/>
    <cellStyle name="Total 2 3 7 5 3" xfId="17489" xr:uid="{1B9BD22A-67D1-4BB8-8FFA-2DDC829A2B9B}"/>
    <cellStyle name="Total 2 3 7 6" xfId="9339" xr:uid="{5BB1AC8D-17ED-4B9C-8931-BCE6E526F0E7}"/>
    <cellStyle name="Total 2 3 7 6 2" xfId="18385" xr:uid="{196FFC5B-0BF6-4AAD-9867-DCFD8CAAA764}"/>
    <cellStyle name="Total 2 3 7 7" xfId="12735" xr:uid="{582BE8E0-4210-4680-AEF5-D129D2963198}"/>
    <cellStyle name="Total 2 3 7 8" xfId="13295" xr:uid="{DD2EAFD1-ACC1-483D-BA2E-C07B8A6BD4FC}"/>
    <cellStyle name="Total 2 3 7 9" xfId="13931" xr:uid="{F502903F-8F18-4FAF-9E2F-14A533A8C985}"/>
    <cellStyle name="Total 2 3 8" xfId="3729" xr:uid="{9AA5C98F-EA96-4C8E-8045-5A3A6D2DFB90}"/>
    <cellStyle name="Total 2 3 8 2" xfId="9771" xr:uid="{34BF4A03-0C80-4D83-9268-E9505C7E7ADA}"/>
    <cellStyle name="Total 2 3 8 2 2" xfId="18817" xr:uid="{A0459AF9-C813-4063-8AB8-6ED74EC52679}"/>
    <cellStyle name="Total 2 3 8 3" xfId="15337" xr:uid="{4F60A2A8-D405-403E-B880-A68AC9E3839D}"/>
    <cellStyle name="Total 2 3 8 4" xfId="22315" xr:uid="{E19A9483-8735-408E-880D-07D9D1E7CD78}"/>
    <cellStyle name="Total 2 3 9" xfId="4212" xr:uid="{90E172C8-9E63-407B-84E7-E45CB04D4E77}"/>
    <cellStyle name="Total 2 3 9 2" xfId="10069" xr:uid="{628F918C-4180-4D65-A7FF-0AE8E73C9706}"/>
    <cellStyle name="Total 2 3 9 2 2" xfId="19115" xr:uid="{F7568242-829C-4896-B2A3-50B939B2D918}"/>
    <cellStyle name="Total 2 3 9 3" xfId="15629" xr:uid="{149302FD-6EF8-437D-99BC-B0B9C127072E}"/>
    <cellStyle name="Total 2 3 9 4" xfId="22270" xr:uid="{70747170-C980-4696-8A44-EDA86B5580E1}"/>
    <cellStyle name="Total 2 4" xfId="2459" xr:uid="{C2B1F43C-FB74-4C16-9720-8A85F328133E}"/>
    <cellStyle name="Total 2 4 10" xfId="4270" xr:uid="{2F130B5F-B0A2-4981-9C4F-5292B864C366}"/>
    <cellStyle name="Total 2 4 10 2" xfId="10127" xr:uid="{C9C279AA-3D88-44BA-AA76-DF33E178F962}"/>
    <cellStyle name="Total 2 4 10 2 2" xfId="19173" xr:uid="{F5BE10BF-546F-4A37-97EA-4EEAD426EED5}"/>
    <cellStyle name="Total 2 4 10 3" xfId="15687" xr:uid="{5E5DCDDB-1C39-41CF-88E6-339354B1FBD0}"/>
    <cellStyle name="Total 2 4 11" xfId="5251" xr:uid="{F8242917-9A6E-4690-916A-6BE835A55695}"/>
    <cellStyle name="Total 2 4 11 2" xfId="11104" xr:uid="{5758C47F-738C-4D3F-A24B-23A0FC45F779}"/>
    <cellStyle name="Total 2 4 11 2 2" xfId="20150" xr:uid="{B1B02D73-2911-405B-B266-5822A7C1259D}"/>
    <cellStyle name="Total 2 4 11 3" xfId="16664" xr:uid="{7823F1BF-4E6E-4B91-BDD6-6F28358680B2}"/>
    <cellStyle name="Total 2 4 12" xfId="4164" xr:uid="{1F7005FB-6922-45E5-A266-A06EC9A041B9}"/>
    <cellStyle name="Total 2 4 12 2" xfId="10021" xr:uid="{587CE783-F2D6-4AFD-8D8C-015FC638B985}"/>
    <cellStyle name="Total 2 4 12 2 2" xfId="19067" xr:uid="{57340CD7-6700-48B5-AFA8-05A9405F7BBB}"/>
    <cellStyle name="Total 2 4 12 3" xfId="15581" xr:uid="{63917005-6E16-41B0-BB17-DE48D63C869E}"/>
    <cellStyle name="Total 2 4 13" xfId="9124" xr:uid="{965F55C2-1486-4939-B3E7-5D678A370546}"/>
    <cellStyle name="Total 2 4 13 2" xfId="18170" xr:uid="{5B7CAB8E-F6EA-43F0-9C6D-E9C8D507503E}"/>
    <cellStyle name="Total 2 4 14" xfId="12523" xr:uid="{9DC969B3-B4BE-49BF-A088-017508804BEB}"/>
    <cellStyle name="Total 2 4 15" xfId="13717" xr:uid="{874943B1-437B-4FCC-BC50-927432F7122B}"/>
    <cellStyle name="Total 2 4 16" xfId="14693" xr:uid="{1D11FCDE-A9B9-4364-B00F-D73851F16058}"/>
    <cellStyle name="Total 2 4 17" xfId="21565" xr:uid="{8D3D24FD-B74B-4490-9044-BF33096A5842}"/>
    <cellStyle name="Total 2 4 18" xfId="23797" xr:uid="{32110740-E958-41F9-A813-88BA54D3942A}"/>
    <cellStyle name="Total 2 4 2" xfId="2460" xr:uid="{C799228E-54F9-4834-8079-FDE3FB101FED}"/>
    <cellStyle name="Total 2 4 2 10" xfId="5905" xr:uid="{51ED745F-A9AE-420F-AB02-6D4B87287288}"/>
    <cellStyle name="Total 2 4 2 10 2" xfId="11758" xr:uid="{E86D55E2-EA77-45D1-9073-3277B67F7F29}"/>
    <cellStyle name="Total 2 4 2 10 2 2" xfId="20804" xr:uid="{833041AD-34DA-46BF-86DA-12AB79891B6C}"/>
    <cellStyle name="Total 2 4 2 10 3" xfId="17318" xr:uid="{B48A8B77-1D9D-4819-A21D-60BF5F0BE1B3}"/>
    <cellStyle name="Total 2 4 2 11" xfId="9168" xr:uid="{D24DBAFE-EF7B-4F3C-B4F1-015F138401DD}"/>
    <cellStyle name="Total 2 4 2 11 2" xfId="18214" xr:uid="{F3FBF4EB-4298-4B6D-9220-A4FF9CE5A428}"/>
    <cellStyle name="Total 2 4 2 12" xfId="12566" xr:uid="{6FB09D2D-554B-478A-8CDF-5A1E9F91E4E8}"/>
    <cellStyle name="Total 2 4 2 13" xfId="13760" xr:uid="{4F01EA6F-DE97-4220-852F-54DAF867C2A4}"/>
    <cellStyle name="Total 2 4 2 14" xfId="14737" xr:uid="{74D5C226-8379-42C3-9A2B-A10C01EB7DEA}"/>
    <cellStyle name="Total 2 4 2 15" xfId="21607" xr:uid="{26C48CD9-CB9A-4943-AE71-5B5332B887BA}"/>
    <cellStyle name="Total 2 4 2 16" xfId="23798" xr:uid="{B8DFD297-35AB-4EF4-AE8A-912099D4A2FB}"/>
    <cellStyle name="Total 2 4 2 2" xfId="2461" xr:uid="{38D7343C-5782-4DBC-A4EF-C50602689592}"/>
    <cellStyle name="Total 2 4 2 2 10" xfId="13242" xr:uid="{6A32F2F6-4F2E-4C0A-97D3-16D17EAC811B}"/>
    <cellStyle name="Total 2 4 2 2 11" xfId="13876" xr:uid="{103FEDEC-D647-418F-A597-441D3037069C}"/>
    <cellStyle name="Total 2 4 2 2 12" xfId="14853" xr:uid="{44C10BEE-1204-42E7-9B56-F567AE9EEC86}"/>
    <cellStyle name="Total 2 4 2 2 13" xfId="21721" xr:uid="{1C6356BF-3B0E-4F37-B418-B14E28A4213F}"/>
    <cellStyle name="Total 2 4 2 2 2" xfId="2606" xr:uid="{CB25C348-26C9-46D8-84BE-9D9D711971EB}"/>
    <cellStyle name="Total 2 4 2 2 2 10" xfId="15279" xr:uid="{EA35FA6A-E743-42F2-AC08-2E52C7DE31F6}"/>
    <cellStyle name="Total 2 4 2 2 2 11" xfId="22147" xr:uid="{56D45FF9-207F-4245-9037-BA41C143DA89}"/>
    <cellStyle name="Total 2 4 2 2 2 12" xfId="3488" xr:uid="{31996FC3-FAD0-4F9C-897E-2D099696655E}"/>
    <cellStyle name="Total 2 4 2 2 2 2" xfId="4722" xr:uid="{F0D33B6C-54A0-4564-BCDE-083D4B045F82}"/>
    <cellStyle name="Total 2 4 2 2 2 2 2" xfId="10579" xr:uid="{62D761AF-E4D9-40D8-B063-1C298379F751}"/>
    <cellStyle name="Total 2 4 2 2 2 2 2 2" xfId="19625" xr:uid="{5C672480-3A4F-44BD-803B-36D69878211F}"/>
    <cellStyle name="Total 2 4 2 2 2 2 3" xfId="16139" xr:uid="{CE1BFF76-23F2-436D-BAAD-0E7102DC5619}"/>
    <cellStyle name="Total 2 4 2 2 2 2 4" xfId="22803" xr:uid="{97842A16-AE9E-42AB-B7B2-B244740703FC}"/>
    <cellStyle name="Total 2 4 2 2 2 3" xfId="5223" xr:uid="{664DA9B5-34D0-4088-B2CC-86EEBD288085}"/>
    <cellStyle name="Total 2 4 2 2 2 3 2" xfId="11076" xr:uid="{FD2FFEC5-7458-4D27-95C2-618E73A4E2AB}"/>
    <cellStyle name="Total 2 4 2 2 2 3 2 2" xfId="20122" xr:uid="{A3C994A4-D7B9-4E42-A0BA-C4D571C580ED}"/>
    <cellStyle name="Total 2 4 2 2 2 3 3" xfId="16636" xr:uid="{6740DDC5-FA21-4414-9F30-729888FB4A87}"/>
    <cellStyle name="Total 2 4 2 2 2 3 4" xfId="23298" xr:uid="{5ABF50E3-AE1A-46BF-96D4-46DA422839F8}"/>
    <cellStyle name="Total 2 4 2 2 2 4" xfId="5838" xr:uid="{2B10A5A3-F0F3-4DD7-B670-1F9CE9F1FEEC}"/>
    <cellStyle name="Total 2 4 2 2 2 4 2" xfId="11691" xr:uid="{3D4559CE-D3E7-4F3C-A40A-4F682288DBA1}"/>
    <cellStyle name="Total 2 4 2 2 2 4 2 2" xfId="20737" xr:uid="{99B13E39-ED08-40C5-A327-E30F3A6FE40C}"/>
    <cellStyle name="Total 2 4 2 2 2 4 3" xfId="17251" xr:uid="{C1A736FA-6033-440C-9E16-66F075991B0B}"/>
    <cellStyle name="Total 2 4 2 2 2 5" xfId="6449" xr:uid="{50004065-C2D1-4997-92E4-7AFC8E26D2F0}"/>
    <cellStyle name="Total 2 4 2 2 2 5 2" xfId="12296" xr:uid="{57EBD513-96A7-43C9-B7A0-AB5FADD71D14}"/>
    <cellStyle name="Total 2 4 2 2 2 5 2 2" xfId="21342" xr:uid="{730A75D1-1F16-45BC-8033-623E7AC317B7}"/>
    <cellStyle name="Total 2 4 2 2 2 5 3" xfId="17862" xr:uid="{2F8309E6-404C-48EA-82ED-408E4AC1C3DD}"/>
    <cellStyle name="Total 2 4 2 2 2 6" xfId="9710" xr:uid="{518656FA-5B4F-4B36-B995-AD819F03DD02}"/>
    <cellStyle name="Total 2 4 2 2 2 6 2" xfId="18756" xr:uid="{ADB25ABA-1771-4B46-AFC1-230C773109F2}"/>
    <cellStyle name="Total 2 4 2 2 2 7" xfId="13108" xr:uid="{90F1F7DA-BD86-48A3-A0DE-A2760DA17E06}"/>
    <cellStyle name="Total 2 4 2 2 2 8" xfId="13664" xr:uid="{6AA19457-C5E3-40BA-959A-46C858A4BA97}"/>
    <cellStyle name="Total 2 4 2 2 2 9" xfId="14304" xr:uid="{7B5AC314-A2CD-4FD5-8CAC-35AAEC998D7A}"/>
    <cellStyle name="Total 2 4 2 2 3" xfId="3286" xr:uid="{61A6CC98-7BC3-4430-A45A-AD18EC9D29F1}"/>
    <cellStyle name="Total 2 4 2 2 3 10" xfId="15066" xr:uid="{7D88FB6A-E08C-434D-9FE1-E88C18963540}"/>
    <cellStyle name="Total 2 4 2 2 3 11" xfId="21936" xr:uid="{DF5E6F8D-2A0B-4CE6-81BA-B6EA0D731177}"/>
    <cellStyle name="Total 2 4 2 2 3 2" xfId="4509" xr:uid="{B1479F59-16D2-433C-A94E-307569AEAA6E}"/>
    <cellStyle name="Total 2 4 2 2 3 2 2" xfId="10366" xr:uid="{C3CC524C-ACD1-4EC7-96C8-E8BD09C8A55C}"/>
    <cellStyle name="Total 2 4 2 2 3 2 2 2" xfId="19412" xr:uid="{0C22C589-0A77-4185-A157-B7A199DB8AFB}"/>
    <cellStyle name="Total 2 4 2 2 3 2 3" xfId="15926" xr:uid="{4B6D8099-EDA4-48E7-868A-2C522F7A330C}"/>
    <cellStyle name="Total 2 4 2 2 3 2 4" xfId="22592" xr:uid="{A79DC839-2D72-41C8-90CE-4C0B1A535B9E}"/>
    <cellStyle name="Total 2 4 2 2 3 3" xfId="5010" xr:uid="{1886B498-A2BE-4C67-8E49-CBF78F2A7209}"/>
    <cellStyle name="Total 2 4 2 2 3 3 2" xfId="10863" xr:uid="{E1629B5E-246A-4C3B-BB81-690BEEF56A0D}"/>
    <cellStyle name="Total 2 4 2 2 3 3 2 2" xfId="19909" xr:uid="{0BD9C6B5-7AA8-4CD1-AA84-58F7EF6FEF83}"/>
    <cellStyle name="Total 2 4 2 2 3 3 3" xfId="16423" xr:uid="{418DA2A4-1946-4074-8563-7E74D1202F9C}"/>
    <cellStyle name="Total 2 4 2 2 3 3 4" xfId="23087" xr:uid="{DD64ACB3-819C-4BE1-9789-67B561F5D3A9}"/>
    <cellStyle name="Total 2 4 2 2 3 4" xfId="5625" xr:uid="{1A6CBE49-06E1-4F31-9926-57FEC2A3961C}"/>
    <cellStyle name="Total 2 4 2 2 3 4 2" xfId="11478" xr:uid="{EB52D21E-D37C-4C0A-A93B-B9A0D5B1CAAD}"/>
    <cellStyle name="Total 2 4 2 2 3 4 2 2" xfId="20524" xr:uid="{94267F21-4082-4C01-AC03-BACC164EE4B6}"/>
    <cellStyle name="Total 2 4 2 2 3 4 3" xfId="17038" xr:uid="{EF4FFB76-A333-44D7-AFB1-B9A56B8242B2}"/>
    <cellStyle name="Total 2 4 2 2 3 5" xfId="6236" xr:uid="{68CC9FC4-B565-45F7-BF0D-213707E5C1F6}"/>
    <cellStyle name="Total 2 4 2 2 3 5 2" xfId="12083" xr:uid="{43796922-06AF-4FCB-B586-EA6CDEAA9ED3}"/>
    <cellStyle name="Total 2 4 2 2 3 5 2 2" xfId="21129" xr:uid="{9E43AB96-060B-49D7-B2F8-38F3BF96B6C7}"/>
    <cellStyle name="Total 2 4 2 2 3 5 3" xfId="17649" xr:uid="{E8C28EEB-B58E-463A-8E6B-E79A3C9E35C9}"/>
    <cellStyle name="Total 2 4 2 2 3 6" xfId="9497" xr:uid="{045143D7-4E38-48AD-BC1F-11EFD8EE3986}"/>
    <cellStyle name="Total 2 4 2 2 3 6 2" xfId="18543" xr:uid="{F052042B-79A4-4E17-872A-FCEDB4FC428D}"/>
    <cellStyle name="Total 2 4 2 2 3 7" xfId="12895" xr:uid="{9B766109-A079-4F76-B0A2-B947DAF6F97E}"/>
    <cellStyle name="Total 2 4 2 2 3 8" xfId="13453" xr:uid="{48CAFE18-1A2A-45C1-9A7E-B364A93CAA94}"/>
    <cellStyle name="Total 2 4 2 2 3 9" xfId="14091" xr:uid="{708FD96B-3C60-4E2A-A423-CC25B0C6C18E}"/>
    <cellStyle name="Total 2 4 2 2 4" xfId="4041" xr:uid="{AF6B8003-2B58-44CF-B8EA-D2669146EE27}"/>
    <cellStyle name="Total 2 4 2 2 4 2" xfId="9903" xr:uid="{CC67D0D2-F256-4A5F-8481-4D335A4459B6}"/>
    <cellStyle name="Total 2 4 2 2 4 2 2" xfId="18949" xr:uid="{FB11899D-73B7-4633-AE46-F47FF182A178}"/>
    <cellStyle name="Total 2 4 2 2 4 3" xfId="15465" xr:uid="{8556F4A4-4E96-4660-8FCA-8ABA3250B31E}"/>
    <cellStyle name="Total 2 4 2 2 4 4" xfId="22872" xr:uid="{CB7AFA3A-C893-4286-9042-9471C1F4C63C}"/>
    <cellStyle name="Total 2 4 2 2 5" xfId="4795" xr:uid="{F3DB68B1-0177-421F-925B-CB32A7F3BEFD}"/>
    <cellStyle name="Total 2 4 2 2 5 2" xfId="10652" xr:uid="{289495CC-E9EE-463A-91CC-6DE741771C2A}"/>
    <cellStyle name="Total 2 4 2 2 5 2 2" xfId="19698" xr:uid="{B89936AE-37E9-4429-8551-AA53E31FECDE}"/>
    <cellStyle name="Total 2 4 2 2 5 3" xfId="16212" xr:uid="{B6FBBA2C-7FB6-4538-B8AA-26AEF67F9B44}"/>
    <cellStyle name="Total 2 4 2 2 6" xfId="5410" xr:uid="{5AE77564-50C5-42CD-B47B-16DE95926279}"/>
    <cellStyle name="Total 2 4 2 2 6 2" xfId="11263" xr:uid="{7C45480A-3461-43F1-A2AE-23E7A7DAB4DA}"/>
    <cellStyle name="Total 2 4 2 2 6 2 2" xfId="20309" xr:uid="{A712F4E6-8EC9-49F4-B9EE-9AA0948685B8}"/>
    <cellStyle name="Total 2 4 2 2 6 3" xfId="16823" xr:uid="{CA585843-CFD6-4A10-8403-FF6098E5DD89}"/>
    <cellStyle name="Total 2 4 2 2 7" xfId="6021" xr:uid="{C1942BBE-8A07-45F1-A478-4D22D230DE66}"/>
    <cellStyle name="Total 2 4 2 2 7 2" xfId="11872" xr:uid="{D3ECB6E7-52D5-47BB-BD5F-EA650EC55B0F}"/>
    <cellStyle name="Total 2 4 2 2 7 2 2" xfId="20918" xr:uid="{3222D734-7C63-4904-B258-AAE73193E158}"/>
    <cellStyle name="Total 2 4 2 2 7 3" xfId="17434" xr:uid="{A950B1CD-D43A-4582-9C5A-56AC3154A5F2}"/>
    <cellStyle name="Total 2 4 2 2 8" xfId="9284" xr:uid="{1F3C682F-3A36-416C-BFE9-4A3C2F1E9D05}"/>
    <cellStyle name="Total 2 4 2 2 8 2" xfId="18330" xr:uid="{BA32EF9C-7130-4218-8475-530C4B4895C7}"/>
    <cellStyle name="Total 2 4 2 2 9" xfId="12680" xr:uid="{C4078006-3D45-48AA-9D9D-0C475C2B34BB}"/>
    <cellStyle name="Total 2 4 2 3" xfId="2607" xr:uid="{0EAD0176-50B1-4F6A-8246-9C354F1F2648}"/>
    <cellStyle name="Total 2 4 2 3 10" xfId="13877" xr:uid="{BAFEC8CF-CAB2-45BC-93B8-E9755FED5EC6}"/>
    <cellStyle name="Total 2 4 2 3 11" xfId="14854" xr:uid="{B5AE7FE2-B234-4FCB-890B-02911EAC3F20}"/>
    <cellStyle name="Total 2 4 2 3 12" xfId="21722" xr:uid="{62C33815-6F65-4660-A879-CBAEAA83CE3B}"/>
    <cellStyle name="Total 2 4 2 3 13" xfId="3085" xr:uid="{68C10329-FA87-4863-87AE-D07DA19B2DD5}"/>
    <cellStyle name="Total 2 4 2 3 2" xfId="3489" xr:uid="{EA7E5FEA-3910-4FA4-A7EA-2B0A23A3478E}"/>
    <cellStyle name="Total 2 4 2 3 2 10" xfId="15280" xr:uid="{E265C3B0-93CE-46B6-B73B-AE585959A851}"/>
    <cellStyle name="Total 2 4 2 3 2 11" xfId="22148" xr:uid="{BAB65649-520A-453B-8F3B-931DCABCC6AF}"/>
    <cellStyle name="Total 2 4 2 3 2 2" xfId="4723" xr:uid="{1A87FDAC-BE0D-47BB-B524-9DC9276AB15E}"/>
    <cellStyle name="Total 2 4 2 3 2 2 2" xfId="10580" xr:uid="{8BCDC068-0720-4412-AF65-838C34DA6CE4}"/>
    <cellStyle name="Total 2 4 2 3 2 2 2 2" xfId="19626" xr:uid="{6643D673-12F4-4213-BF2B-91A65FAAF214}"/>
    <cellStyle name="Total 2 4 2 3 2 2 3" xfId="16140" xr:uid="{35252812-7696-48E1-A0CD-5953BAA18DC5}"/>
    <cellStyle name="Total 2 4 2 3 2 2 4" xfId="22804" xr:uid="{DBADB5A6-C185-45BB-8EFA-134B65CE7D93}"/>
    <cellStyle name="Total 2 4 2 3 2 3" xfId="5224" xr:uid="{22832B8D-1B00-4C00-BA1F-3FBE7F625892}"/>
    <cellStyle name="Total 2 4 2 3 2 3 2" xfId="11077" xr:uid="{019C32B5-7D2D-495C-B9EA-CCC83B7C0A0F}"/>
    <cellStyle name="Total 2 4 2 3 2 3 2 2" xfId="20123" xr:uid="{9D7B3338-5C74-441A-BDB8-CC6B5DD2C4A0}"/>
    <cellStyle name="Total 2 4 2 3 2 3 3" xfId="16637" xr:uid="{49C35D1D-DC5F-4264-9371-5C109066241C}"/>
    <cellStyle name="Total 2 4 2 3 2 3 4" xfId="23299" xr:uid="{A085A59F-5AD5-4429-AD1C-1A4EE47EA9E8}"/>
    <cellStyle name="Total 2 4 2 3 2 4" xfId="5839" xr:uid="{6FA2F06E-2F5C-4D4A-9296-7FC6DE85B91D}"/>
    <cellStyle name="Total 2 4 2 3 2 4 2" xfId="11692" xr:uid="{F102B064-E68B-4E0E-B28C-6AD4A44F16E5}"/>
    <cellStyle name="Total 2 4 2 3 2 4 2 2" xfId="20738" xr:uid="{ECF56E0F-8B59-4CA2-AC12-84F4FDC219E2}"/>
    <cellStyle name="Total 2 4 2 3 2 4 3" xfId="17252" xr:uid="{5E3BAE5E-0A4A-4A68-A2E1-56A8BB50F5F8}"/>
    <cellStyle name="Total 2 4 2 3 2 5" xfId="6450" xr:uid="{B5C42C50-2DBB-4B98-8CEF-8A5ECDCF29B5}"/>
    <cellStyle name="Total 2 4 2 3 2 5 2" xfId="12297" xr:uid="{3310769F-FF30-40DE-8D75-CD805B880BC1}"/>
    <cellStyle name="Total 2 4 2 3 2 5 2 2" xfId="21343" xr:uid="{C0FC74DE-DEE2-4759-AB1E-E64579EAA892}"/>
    <cellStyle name="Total 2 4 2 3 2 5 3" xfId="17863" xr:uid="{23CEAAF9-8E21-459E-B05E-B3682607E57A}"/>
    <cellStyle name="Total 2 4 2 3 2 6" xfId="9711" xr:uid="{41D690BB-8416-4B2A-BAA3-F43D7D9D6E65}"/>
    <cellStyle name="Total 2 4 2 3 2 6 2" xfId="18757" xr:uid="{A92C30A8-6472-4E28-96EB-9A4E63CFCEA2}"/>
    <cellStyle name="Total 2 4 2 3 2 7" xfId="13109" xr:uid="{2DFCBA96-8127-45CB-8188-AD9BACB59AA1}"/>
    <cellStyle name="Total 2 4 2 3 2 8" xfId="13665" xr:uid="{913B9C9E-1095-400F-8362-C9AB004B6EE4}"/>
    <cellStyle name="Total 2 4 2 3 2 9" xfId="14305" xr:uid="{A61109C7-D404-41CD-A081-4B27FEBA292C}"/>
    <cellStyle name="Total 2 4 2 3 3" xfId="3287" xr:uid="{2924702B-DE1D-4BD7-BE54-A744521A9CAC}"/>
    <cellStyle name="Total 2 4 2 3 3 10" xfId="15067" xr:uid="{113B34ED-2FD1-4B3E-8C77-56B1368030C3}"/>
    <cellStyle name="Total 2 4 2 3 3 11" xfId="21937" xr:uid="{A5F23DA2-1035-4CA0-A418-5A0D76E08FA1}"/>
    <cellStyle name="Total 2 4 2 3 3 2" xfId="4510" xr:uid="{74858A8D-8E83-40D7-B9C3-B4050CAC3229}"/>
    <cellStyle name="Total 2 4 2 3 3 2 2" xfId="10367" xr:uid="{EB5CFA4E-1CF5-44AC-968A-76E80DC42529}"/>
    <cellStyle name="Total 2 4 2 3 3 2 2 2" xfId="19413" xr:uid="{1F188D54-6814-4AEB-83E2-6E59409F317F}"/>
    <cellStyle name="Total 2 4 2 3 3 2 3" xfId="15927" xr:uid="{59F6C87F-C302-4EFE-BC7F-F66ACACD1E96}"/>
    <cellStyle name="Total 2 4 2 3 3 2 4" xfId="22593" xr:uid="{DCAAF61B-D65B-45C7-951C-1159013F598A}"/>
    <cellStyle name="Total 2 4 2 3 3 3" xfId="5011" xr:uid="{3498CF63-6FB8-4C2A-A393-305C4EB558D6}"/>
    <cellStyle name="Total 2 4 2 3 3 3 2" xfId="10864" xr:uid="{7E5D82AB-A0F4-406B-B82A-196593A26C4E}"/>
    <cellStyle name="Total 2 4 2 3 3 3 2 2" xfId="19910" xr:uid="{7DEA4CDC-20FC-4673-957D-84555158E2AC}"/>
    <cellStyle name="Total 2 4 2 3 3 3 3" xfId="16424" xr:uid="{0038E522-E2B2-42E9-AD08-4AFA69D41328}"/>
    <cellStyle name="Total 2 4 2 3 3 3 4" xfId="23088" xr:uid="{3A8D83CA-DF10-4D2D-A554-AE4A6E241CD5}"/>
    <cellStyle name="Total 2 4 2 3 3 4" xfId="5626" xr:uid="{F2A893CE-A993-4ACC-B73E-0A56B0C19A03}"/>
    <cellStyle name="Total 2 4 2 3 3 4 2" xfId="11479" xr:uid="{5D4116B5-072E-4E00-8562-5D41B5CE841F}"/>
    <cellStyle name="Total 2 4 2 3 3 4 2 2" xfId="20525" xr:uid="{CF7F726F-5797-4EF9-B94C-7655FB0119EA}"/>
    <cellStyle name="Total 2 4 2 3 3 4 3" xfId="17039" xr:uid="{72A87668-E2F0-4A37-8DA1-28409CDEB614}"/>
    <cellStyle name="Total 2 4 2 3 3 5" xfId="6237" xr:uid="{78E284AC-7679-4CC3-B386-1D91E8CF0B5C}"/>
    <cellStyle name="Total 2 4 2 3 3 5 2" xfId="12084" xr:uid="{4581A1D9-4961-455C-9DFF-9DCF7F4EE5C9}"/>
    <cellStyle name="Total 2 4 2 3 3 5 2 2" xfId="21130" xr:uid="{8706698E-5F2D-45E4-A84B-48462285F49B}"/>
    <cellStyle name="Total 2 4 2 3 3 5 3" xfId="17650" xr:uid="{D2CF52E7-160D-400E-8FD8-6FAAAEF8EA9D}"/>
    <cellStyle name="Total 2 4 2 3 3 6" xfId="9498" xr:uid="{EA40525D-9B04-4AB2-9E0B-61A19063A2B2}"/>
    <cellStyle name="Total 2 4 2 3 3 6 2" xfId="18544" xr:uid="{8F1666CB-0DF6-4461-8C96-C7DB7690963D}"/>
    <cellStyle name="Total 2 4 2 3 3 7" xfId="12896" xr:uid="{1D29AB4C-6471-4300-B268-1FB01F09BCFA}"/>
    <cellStyle name="Total 2 4 2 3 3 8" xfId="13454" xr:uid="{3D6BE75F-F622-4E0E-88DC-DD3310DEB2CD}"/>
    <cellStyle name="Total 2 4 2 3 3 9" xfId="14092" xr:uid="{2F9AFCFF-5E65-4156-9FD3-C75E1F81FDC6}"/>
    <cellStyle name="Total 2 4 2 3 4" xfId="4796" xr:uid="{97CE91A1-04ED-4862-A6DA-4AF2C70A9E09}"/>
    <cellStyle name="Total 2 4 2 3 4 2" xfId="10653" xr:uid="{940F45C3-B144-4B13-98E4-5EEEC271C147}"/>
    <cellStyle name="Total 2 4 2 3 4 2 2" xfId="19699" xr:uid="{8805A88E-9051-4949-913A-4CC5E6CB8422}"/>
    <cellStyle name="Total 2 4 2 3 4 3" xfId="16213" xr:uid="{EAC6B7A6-BDEE-49E3-9EC3-E77F10CD2CE7}"/>
    <cellStyle name="Total 2 4 2 3 4 4" xfId="22873" xr:uid="{9139015B-3D7F-402D-85F9-902D539CAC9F}"/>
    <cellStyle name="Total 2 4 2 3 5" xfId="5411" xr:uid="{48EFE4FA-A322-431C-BAEE-EF11A77FE243}"/>
    <cellStyle name="Total 2 4 2 3 5 2" xfId="11264" xr:uid="{F5633B9A-777E-4806-A6AC-52CE06C19967}"/>
    <cellStyle name="Total 2 4 2 3 5 2 2" xfId="20310" xr:uid="{D960432B-9D77-439E-8687-5C6F8DBBB4A9}"/>
    <cellStyle name="Total 2 4 2 3 5 3" xfId="16824" xr:uid="{D52A17D2-FDF4-412A-97FC-E2A43B57CB24}"/>
    <cellStyle name="Total 2 4 2 3 6" xfId="6022" xr:uid="{008D46CA-38E4-42AA-9BCF-7A52706A37C2}"/>
    <cellStyle name="Total 2 4 2 3 6 2" xfId="11873" xr:uid="{B1E7B2AB-AB19-4645-99A4-917F2E8EC1BB}"/>
    <cellStyle name="Total 2 4 2 3 6 2 2" xfId="20919" xr:uid="{EDD4639D-D63C-47BF-9095-28FCCA2BA098}"/>
    <cellStyle name="Total 2 4 2 3 6 3" xfId="17435" xr:uid="{DDB511FA-17D6-4126-AF01-9EBF6AF41A74}"/>
    <cellStyle name="Total 2 4 2 3 7" xfId="9285" xr:uid="{001A554B-641A-47EE-8C89-765AE934CF26}"/>
    <cellStyle name="Total 2 4 2 3 7 2" xfId="18331" xr:uid="{1119EEDF-7316-43FF-B11C-004B10E03619}"/>
    <cellStyle name="Total 2 4 2 3 8" xfId="12681" xr:uid="{1FE096AB-C6EC-429C-8CEF-686355246008}"/>
    <cellStyle name="Total 2 4 2 3 9" xfId="13243" xr:uid="{B41DD8A8-EB81-4ADF-9E25-34DF0DDE53CC}"/>
    <cellStyle name="Total 2 4 2 4" xfId="3384" xr:uid="{B153FCBC-A81A-4E37-A63B-0F430D042690}"/>
    <cellStyle name="Total 2 4 2 4 10" xfId="15164" xr:uid="{E6227E12-56ED-42EC-95CA-AAB56DEBBFCF}"/>
    <cellStyle name="Total 2 4 2 4 11" xfId="22033" xr:uid="{8A12482A-D67D-4FA2-90B8-201E21CCBC31}"/>
    <cellStyle name="Total 2 4 2 4 2" xfId="4607" xr:uid="{F9496D88-AB30-4C50-8A1C-EA8B7168DD96}"/>
    <cellStyle name="Total 2 4 2 4 2 2" xfId="10464" xr:uid="{1CFEDA5C-C806-4AD8-9FEC-DC25B06D5AC0}"/>
    <cellStyle name="Total 2 4 2 4 2 2 2" xfId="19510" xr:uid="{934D7230-BEBC-4B0A-997F-76E751E4925C}"/>
    <cellStyle name="Total 2 4 2 4 2 3" xfId="16024" xr:uid="{2ACE082D-6511-4AC7-B29A-421DB4F81698}"/>
    <cellStyle name="Total 2 4 2 4 2 4" xfId="22689" xr:uid="{09192F12-86CC-44EB-865B-EE61B3A9EED0}"/>
    <cellStyle name="Total 2 4 2 4 3" xfId="5108" xr:uid="{37BF6074-20DD-461D-888C-20DFE5F4D0C0}"/>
    <cellStyle name="Total 2 4 2 4 3 2" xfId="10961" xr:uid="{DB2866FE-55F0-4F02-9975-505CF9D9C925}"/>
    <cellStyle name="Total 2 4 2 4 3 2 2" xfId="20007" xr:uid="{754BBFF1-14FC-4247-862D-34D2DBA2D54D}"/>
    <cellStyle name="Total 2 4 2 4 3 3" xfId="16521" xr:uid="{B8E587A1-4AFA-499C-8070-9C11024B8660}"/>
    <cellStyle name="Total 2 4 2 4 3 4" xfId="23184" xr:uid="{E2E16393-1FE2-4BD6-AA77-CA8D57CFEBCC}"/>
    <cellStyle name="Total 2 4 2 4 4" xfId="5723" xr:uid="{445CD45B-6433-484D-AB63-7EAA2A3EC343}"/>
    <cellStyle name="Total 2 4 2 4 4 2" xfId="11576" xr:uid="{3860881D-54B0-429E-8EB7-D0FBF3FA84D8}"/>
    <cellStyle name="Total 2 4 2 4 4 2 2" xfId="20622" xr:uid="{2ADF6E38-18F8-4E2F-A549-2DC1CB381C99}"/>
    <cellStyle name="Total 2 4 2 4 4 3" xfId="17136" xr:uid="{E50DBB6D-056C-40BF-B74A-536F305C888C}"/>
    <cellStyle name="Total 2 4 2 4 5" xfId="6334" xr:uid="{3779578A-FDA9-4FF8-AF4B-7CB98B4A02E8}"/>
    <cellStyle name="Total 2 4 2 4 5 2" xfId="12181" xr:uid="{069B3A59-4EBA-4B3A-AA91-6F32F0CA149F}"/>
    <cellStyle name="Total 2 4 2 4 5 2 2" xfId="21227" xr:uid="{A7B46074-3E6E-4B38-B80B-8BAE9475F76C}"/>
    <cellStyle name="Total 2 4 2 4 5 3" xfId="17747" xr:uid="{96BD3391-7E50-4843-A1DC-4C98E638FC22}"/>
    <cellStyle name="Total 2 4 2 4 6" xfId="9595" xr:uid="{039F9895-82C9-42EB-B9A6-EBEB090E471F}"/>
    <cellStyle name="Total 2 4 2 4 6 2" xfId="18641" xr:uid="{392F1388-C105-4384-8BDF-3C70D805BE90}"/>
    <cellStyle name="Total 2 4 2 4 7" xfId="12993" xr:uid="{3B3ED2EE-0A4B-43B6-978D-E17A83D8BED6}"/>
    <cellStyle name="Total 2 4 2 4 8" xfId="13550" xr:uid="{670DA652-0A5F-4E17-8E24-A05573E2B39B}"/>
    <cellStyle name="Total 2 4 2 4 9" xfId="14189" xr:uid="{05F6235A-3A0C-409B-AD93-327DBF385492}"/>
    <cellStyle name="Total 2 4 2 5" xfId="3172" xr:uid="{37F1B87E-2EDA-4287-8F40-E0A2DB9107E8}"/>
    <cellStyle name="Total 2 4 2 5 10" xfId="14952" xr:uid="{046C631B-6DDA-475A-BEA3-60805DF086B8}"/>
    <cellStyle name="Total 2 4 2 5 11" xfId="21820" xr:uid="{055A6641-4CAB-44FF-96BE-DD5DB94D3949}"/>
    <cellStyle name="Total 2 4 2 5 2" xfId="4393" xr:uid="{72A950A9-A358-4805-A934-7A610997B2B0}"/>
    <cellStyle name="Total 2 4 2 5 2 2" xfId="10250" xr:uid="{4ACBF161-31CF-418E-8640-E50F981228F1}"/>
    <cellStyle name="Total 2 4 2 5 2 2 2" xfId="19296" xr:uid="{2003FE20-9456-42E4-A2E8-853E1B0B565B}"/>
    <cellStyle name="Total 2 4 2 5 2 3" xfId="15810" xr:uid="{002D8D6E-27C8-4178-B807-8D0E76474928}"/>
    <cellStyle name="Total 2 4 2 5 2 4" xfId="22476" xr:uid="{7559B4EB-DFB3-4E4D-AB15-988F8425D3A3}"/>
    <cellStyle name="Total 2 4 2 5 3" xfId="4894" xr:uid="{A5BFD58F-A4FA-4583-8BC5-CA427FC9A386}"/>
    <cellStyle name="Total 2 4 2 5 3 2" xfId="10749" xr:uid="{6CB3651E-DAA5-459B-A4B2-4D189428DF33}"/>
    <cellStyle name="Total 2 4 2 5 3 2 2" xfId="19795" xr:uid="{1898CC6C-EBF6-4C4A-B81C-AFA2EA71DD7C}"/>
    <cellStyle name="Total 2 4 2 5 3 3" xfId="16309" xr:uid="{A638DE49-3166-4EFF-9B72-9C46CCFF7A1A}"/>
    <cellStyle name="Total 2 4 2 5 3 4" xfId="22971" xr:uid="{32A02309-62D3-46BD-8BA2-9FC98B495C5D}"/>
    <cellStyle name="Total 2 4 2 5 4" xfId="5509" xr:uid="{479F7AC9-3AC3-48BF-A5BD-456D7006CF85}"/>
    <cellStyle name="Total 2 4 2 5 4 2" xfId="11362" xr:uid="{BA7518AF-7BED-40BB-9C76-61C355711D85}"/>
    <cellStyle name="Total 2 4 2 5 4 2 2" xfId="20408" xr:uid="{D861CAC2-7264-4AA8-A9C4-61B33BCF21F2}"/>
    <cellStyle name="Total 2 4 2 5 4 3" xfId="16922" xr:uid="{70A6922A-099A-4871-A572-C574531588A9}"/>
    <cellStyle name="Total 2 4 2 5 5" xfId="6120" xr:uid="{FBBB7D0D-08F8-4155-8C10-CC4EFA2E4B5F}"/>
    <cellStyle name="Total 2 4 2 5 5 2" xfId="11969" xr:uid="{15344436-494A-40CF-98B1-2551C5A2FF58}"/>
    <cellStyle name="Total 2 4 2 5 5 2 2" xfId="21015" xr:uid="{7BCD74CC-6CB8-4039-A87A-A3068AB9E2FD}"/>
    <cellStyle name="Total 2 4 2 5 5 3" xfId="17533" xr:uid="{98D5DF6A-CC32-42C7-8A9F-6D454A1FD87D}"/>
    <cellStyle name="Total 2 4 2 5 6" xfId="9383" xr:uid="{AB2E5AC8-8078-459C-BF80-C735639A785F}"/>
    <cellStyle name="Total 2 4 2 5 6 2" xfId="18429" xr:uid="{71E54216-5F36-49D8-9EFB-705FAD0164EA}"/>
    <cellStyle name="Total 2 4 2 5 7" xfId="12779" xr:uid="{BBE38D9B-929E-4A48-AD3B-5628D8669840}"/>
    <cellStyle name="Total 2 4 2 5 8" xfId="13339" xr:uid="{631DAF02-B8F9-40DC-9369-B79D7956A249}"/>
    <cellStyle name="Total 2 4 2 5 9" xfId="13975" xr:uid="{11BFC09C-D321-422B-B130-86AC76ACFDB5}"/>
    <cellStyle name="Total 2 4 2 6" xfId="3773" xr:uid="{98C77E7F-6AE2-4907-9A31-B7348FF7F177}"/>
    <cellStyle name="Total 2 4 2 6 2" xfId="9815" xr:uid="{2140C62D-31D9-4906-AAE7-62281CBBDF47}"/>
    <cellStyle name="Total 2 4 2 6 2 2" xfId="18861" xr:uid="{A8DFA32B-D75D-4A98-A73D-585354C14AF1}"/>
    <cellStyle name="Total 2 4 2 6 3" xfId="15381" xr:uid="{C34AC4EF-6C43-4FE1-81E3-CB9DD1017F30}"/>
    <cellStyle name="Total 2 4 2 6 4" xfId="22360" xr:uid="{ED5F0D82-66E7-47CB-A219-4A59AC199571}"/>
    <cellStyle name="Total 2 4 2 7" xfId="4257" xr:uid="{1F21FC0B-B7A0-4581-9AA8-DE11DCCC12E0}"/>
    <cellStyle name="Total 2 4 2 7 2" xfId="10114" xr:uid="{92AA3EDC-C748-411B-8DBF-F6369FE2E7C5}"/>
    <cellStyle name="Total 2 4 2 7 2 2" xfId="19160" xr:uid="{1D5C6E47-642F-4A79-931A-21D8CA4DA4FA}"/>
    <cellStyle name="Total 2 4 2 7 3" xfId="15674" xr:uid="{D6FBF91D-A879-46B6-AC5F-BC627657CDF7}"/>
    <cellStyle name="Total 2 4 2 7 4" xfId="22244" xr:uid="{719C85B6-9F0A-4B9C-BFA5-7AFD5B6CDB0A}"/>
    <cellStyle name="Total 2 4 2 8" xfId="4125" xr:uid="{89139822-7EA8-463C-8C76-E418ECCE31B9}"/>
    <cellStyle name="Total 2 4 2 8 2" xfId="9982" xr:uid="{77AF04B3-4298-42F2-A00E-771AF284334B}"/>
    <cellStyle name="Total 2 4 2 8 2 2" xfId="19028" xr:uid="{D10F0F43-9E05-40E3-BF3C-1AE4EC64B1CA}"/>
    <cellStyle name="Total 2 4 2 8 3" xfId="15542" xr:uid="{9559A8F6-91F3-48D5-AD0A-FB41A984ABC6}"/>
    <cellStyle name="Total 2 4 2 9" xfId="5294" xr:uid="{CA533908-9A31-43FC-A398-CA05AE827322}"/>
    <cellStyle name="Total 2 4 2 9 2" xfId="11147" xr:uid="{D73B0AC4-8B01-4F43-A29C-3B9D9151FA1B}"/>
    <cellStyle name="Total 2 4 2 9 2 2" xfId="20193" xr:uid="{300ED335-D147-441B-AE06-71EF75303C7D}"/>
    <cellStyle name="Total 2 4 2 9 3" xfId="16707" xr:uid="{2DE78A56-96FD-4558-98D9-29A83A9F2747}"/>
    <cellStyle name="Total 2 4 3" xfId="2462" xr:uid="{D4647BCD-1249-40E9-9A9E-B4ABEFD8536E}"/>
    <cellStyle name="Total 2 4 3 10" xfId="5906" xr:uid="{1EB131DD-0EFE-48D7-B497-7077F66CBCFD}"/>
    <cellStyle name="Total 2 4 3 10 2" xfId="11759" xr:uid="{0FA18229-7719-4D66-B0A5-88C9419BD408}"/>
    <cellStyle name="Total 2 4 3 10 2 2" xfId="20805" xr:uid="{CA8E5886-056B-4317-A50D-A7DBA5A6D0EC}"/>
    <cellStyle name="Total 2 4 3 10 3" xfId="17319" xr:uid="{A269B83C-4131-4819-8D19-0CA263C72F78}"/>
    <cellStyle name="Total 2 4 3 11" xfId="9169" xr:uid="{FABB1391-EB40-44CF-A350-C6439CAED26D}"/>
    <cellStyle name="Total 2 4 3 11 2" xfId="18215" xr:uid="{C1DC47E0-D4ED-470D-913A-07A0C1118714}"/>
    <cellStyle name="Total 2 4 3 12" xfId="12567" xr:uid="{E057134A-050D-4243-92B1-EF8924B72A15}"/>
    <cellStyle name="Total 2 4 3 13" xfId="13761" xr:uid="{B37B52F4-185E-46F4-AA8E-AC46D65B1C54}"/>
    <cellStyle name="Total 2 4 3 14" xfId="14738" xr:uid="{C130350E-DE26-46F4-853E-30B7123277A8}"/>
    <cellStyle name="Total 2 4 3 15" xfId="21608" xr:uid="{545C3AF3-E87A-42F1-A991-E94DC62AD4EE}"/>
    <cellStyle name="Total 2 4 3 16" xfId="23799" xr:uid="{FE7719F6-5EBA-4E02-95E7-9C0CD9EB0D6C}"/>
    <cellStyle name="Total 2 4 3 2" xfId="2463" xr:uid="{9CC210AD-79AD-4DFC-BBD0-76D460238AF3}"/>
    <cellStyle name="Total 2 4 3 2 10" xfId="13244" xr:uid="{6F0F4A98-8E24-40A3-B6C1-EF23BD44CF1F}"/>
    <cellStyle name="Total 2 4 3 2 11" xfId="13878" xr:uid="{DF163D88-A732-4495-9E47-45B57356C438}"/>
    <cellStyle name="Total 2 4 3 2 12" xfId="14855" xr:uid="{C9F8C588-6434-40CF-9A63-4B6C5C0C9A43}"/>
    <cellStyle name="Total 2 4 3 2 13" xfId="21723" xr:uid="{60390B08-12AD-4056-A32E-CA40D9CD6502}"/>
    <cellStyle name="Total 2 4 3 2 2" xfId="2604" xr:uid="{8E75C04A-8D54-4F76-A5EE-DDA5C64EB583}"/>
    <cellStyle name="Total 2 4 3 2 2 10" xfId="15281" xr:uid="{BD3213DD-C0B2-4ACE-90A6-B767C4A2CF7E}"/>
    <cellStyle name="Total 2 4 3 2 2 11" xfId="22149" xr:uid="{91DB5532-FF72-4D08-9FBC-188A5A0B8AAA}"/>
    <cellStyle name="Total 2 4 3 2 2 12" xfId="3490" xr:uid="{BDBD38BA-D9B2-4FB3-A90E-C18E08AE1D77}"/>
    <cellStyle name="Total 2 4 3 2 2 2" xfId="4724" xr:uid="{95EBD46D-5774-4205-AA76-0060D1ACF962}"/>
    <cellStyle name="Total 2 4 3 2 2 2 2" xfId="10581" xr:uid="{2D99A688-B8D9-4AF8-AF30-BA826B57228F}"/>
    <cellStyle name="Total 2 4 3 2 2 2 2 2" xfId="19627" xr:uid="{FA105673-63EB-4C9F-96F0-71962D87201B}"/>
    <cellStyle name="Total 2 4 3 2 2 2 3" xfId="16141" xr:uid="{427560D2-1CEE-4D27-B6C9-F529DC6F18E3}"/>
    <cellStyle name="Total 2 4 3 2 2 2 4" xfId="22805" xr:uid="{DE6E0C51-D9A2-4C50-84F4-06EF193B1D41}"/>
    <cellStyle name="Total 2 4 3 2 2 3" xfId="5225" xr:uid="{E5238EB5-50B7-495E-9BAA-08A27B5F3F10}"/>
    <cellStyle name="Total 2 4 3 2 2 3 2" xfId="11078" xr:uid="{D773D7C1-A728-4551-B463-0CFAA26F14BC}"/>
    <cellStyle name="Total 2 4 3 2 2 3 2 2" xfId="20124" xr:uid="{3134028C-50BC-4A47-8A3E-3CCF9FAEBE32}"/>
    <cellStyle name="Total 2 4 3 2 2 3 3" xfId="16638" xr:uid="{3E07A67E-0F94-4F72-8C93-46FD73225EE6}"/>
    <cellStyle name="Total 2 4 3 2 2 3 4" xfId="23300" xr:uid="{AEDDF557-2097-4C7D-95F9-0D6B8B95AA53}"/>
    <cellStyle name="Total 2 4 3 2 2 4" xfId="5840" xr:uid="{52C35664-CBD3-4EC0-9652-6E0E336FEA71}"/>
    <cellStyle name="Total 2 4 3 2 2 4 2" xfId="11693" xr:uid="{E03DA5F2-DC3B-4121-898C-F173F04D32A7}"/>
    <cellStyle name="Total 2 4 3 2 2 4 2 2" xfId="20739" xr:uid="{4C1CCA4A-3C02-4199-96DD-A049841E6582}"/>
    <cellStyle name="Total 2 4 3 2 2 4 3" xfId="17253" xr:uid="{B7DE7945-5C54-4BE2-B336-4215F95B5192}"/>
    <cellStyle name="Total 2 4 3 2 2 5" xfId="6451" xr:uid="{D3C3830A-DA32-4B72-8E4C-A5B3192C5692}"/>
    <cellStyle name="Total 2 4 3 2 2 5 2" xfId="12298" xr:uid="{76966BDB-4DC9-453D-A884-F1EA0EF0846F}"/>
    <cellStyle name="Total 2 4 3 2 2 5 2 2" xfId="21344" xr:uid="{BCADD74C-503B-4DD5-8DF5-7815ED349DF6}"/>
    <cellStyle name="Total 2 4 3 2 2 5 3" xfId="17864" xr:uid="{E68706F9-F7D9-4D8D-B8D4-4A37FBC924D8}"/>
    <cellStyle name="Total 2 4 3 2 2 6" xfId="9712" xr:uid="{AD53FBD3-14DE-4C98-9277-9D9A34654493}"/>
    <cellStyle name="Total 2 4 3 2 2 6 2" xfId="18758" xr:uid="{B1C09443-30A2-4D94-BD5C-9E93204B2408}"/>
    <cellStyle name="Total 2 4 3 2 2 7" xfId="13110" xr:uid="{2F419B7E-1863-4071-91A2-9312A1FD1DEB}"/>
    <cellStyle name="Total 2 4 3 2 2 8" xfId="13666" xr:uid="{86A939F1-28EA-4D45-B06C-7A9B22ECF001}"/>
    <cellStyle name="Total 2 4 3 2 2 9" xfId="14306" xr:uid="{D835F976-516D-497A-A195-24B6F6AD7875}"/>
    <cellStyle name="Total 2 4 3 2 3" xfId="3288" xr:uid="{53DD1561-B79C-4BAC-A8BD-9D265E6A1F0E}"/>
    <cellStyle name="Total 2 4 3 2 3 10" xfId="15068" xr:uid="{A1C405D0-AFFF-4D6F-A823-A5F72CF1BE12}"/>
    <cellStyle name="Total 2 4 3 2 3 11" xfId="21938" xr:uid="{F5B8F64A-3790-48E8-A18E-33C39133DC9D}"/>
    <cellStyle name="Total 2 4 3 2 3 2" xfId="4511" xr:uid="{834FECBD-2D6B-456E-AD89-AA4ACC893139}"/>
    <cellStyle name="Total 2 4 3 2 3 2 2" xfId="10368" xr:uid="{BC7A1A06-0845-440B-A81F-FF589C44E285}"/>
    <cellStyle name="Total 2 4 3 2 3 2 2 2" xfId="19414" xr:uid="{4C889AD9-08EE-41DA-AC2B-87332C347F3D}"/>
    <cellStyle name="Total 2 4 3 2 3 2 3" xfId="15928" xr:uid="{C63D2274-3964-4841-B0BA-32B8C66F816B}"/>
    <cellStyle name="Total 2 4 3 2 3 2 4" xfId="22594" xr:uid="{6D4B5A97-B5DE-4554-B38D-3704A505BD8E}"/>
    <cellStyle name="Total 2 4 3 2 3 3" xfId="5012" xr:uid="{1627D9B7-BD45-4B05-8FA7-29602BC361E0}"/>
    <cellStyle name="Total 2 4 3 2 3 3 2" xfId="10865" xr:uid="{BF0E4C0E-2F05-4035-AFA7-A368382E772E}"/>
    <cellStyle name="Total 2 4 3 2 3 3 2 2" xfId="19911" xr:uid="{6A0B40F3-B350-4DB6-90D1-842EC2ED55D4}"/>
    <cellStyle name="Total 2 4 3 2 3 3 3" xfId="16425" xr:uid="{2552C517-9B4F-407D-89F0-7F0497EFD75C}"/>
    <cellStyle name="Total 2 4 3 2 3 3 4" xfId="23089" xr:uid="{52C58B74-C2A3-4512-BECE-8BD4F844AA1B}"/>
    <cellStyle name="Total 2 4 3 2 3 4" xfId="5627" xr:uid="{0C5D5707-486B-4946-994D-6477F1FEFBB2}"/>
    <cellStyle name="Total 2 4 3 2 3 4 2" xfId="11480" xr:uid="{11EF4D0D-6CE2-4CAF-93D5-03B9C4850D78}"/>
    <cellStyle name="Total 2 4 3 2 3 4 2 2" xfId="20526" xr:uid="{9A593170-F6DE-4914-BEEF-B0CFDAB8FA65}"/>
    <cellStyle name="Total 2 4 3 2 3 4 3" xfId="17040" xr:uid="{5D845341-0517-4DBC-B399-DFC160937C39}"/>
    <cellStyle name="Total 2 4 3 2 3 5" xfId="6238" xr:uid="{2512518D-23D7-4EFE-AFED-852469CE9950}"/>
    <cellStyle name="Total 2 4 3 2 3 5 2" xfId="12085" xr:uid="{ADD939BC-3A09-4501-9435-982671C67F39}"/>
    <cellStyle name="Total 2 4 3 2 3 5 2 2" xfId="21131" xr:uid="{483473F8-58FA-49AB-AEA5-E987325A966F}"/>
    <cellStyle name="Total 2 4 3 2 3 5 3" xfId="17651" xr:uid="{CBD546CF-3198-49C1-AFB3-4A360E699D06}"/>
    <cellStyle name="Total 2 4 3 2 3 6" xfId="9499" xr:uid="{E937CADF-80BC-4C5F-8F81-737AE2582232}"/>
    <cellStyle name="Total 2 4 3 2 3 6 2" xfId="18545" xr:uid="{F301954C-6C13-4713-BC13-F2DEC5F35AC2}"/>
    <cellStyle name="Total 2 4 3 2 3 7" xfId="12897" xr:uid="{24F9E6D3-01A4-4288-8580-D3E4FC83E6A0}"/>
    <cellStyle name="Total 2 4 3 2 3 8" xfId="13455" xr:uid="{07E4C739-3EF9-4D53-9B69-AA45890D84B2}"/>
    <cellStyle name="Total 2 4 3 2 3 9" xfId="14093" xr:uid="{47D5A64E-06E8-4D22-82F7-FFD40F88EC08}"/>
    <cellStyle name="Total 2 4 3 2 4" xfId="4042" xr:uid="{1F2000E3-9A6B-469E-8066-C0E632441B86}"/>
    <cellStyle name="Total 2 4 3 2 4 2" xfId="9904" xr:uid="{97E49C20-FC8A-4A22-B6D8-0CC7A1A3B911}"/>
    <cellStyle name="Total 2 4 3 2 4 2 2" xfId="18950" xr:uid="{BE4392B1-C617-4DF2-A63D-6856EB547FEE}"/>
    <cellStyle name="Total 2 4 3 2 4 3" xfId="15466" xr:uid="{3E88DCD7-6897-4606-8168-8A7D59DF38D2}"/>
    <cellStyle name="Total 2 4 3 2 4 4" xfId="22874" xr:uid="{60B6CBE1-AF97-4D5B-9CF7-3BAC78746844}"/>
    <cellStyle name="Total 2 4 3 2 5" xfId="4797" xr:uid="{48ACC7B7-0EF6-4A31-B2DD-F7DC8D445631}"/>
    <cellStyle name="Total 2 4 3 2 5 2" xfId="10654" xr:uid="{5705310C-8650-40F7-9699-4F3A4AD1AC4D}"/>
    <cellStyle name="Total 2 4 3 2 5 2 2" xfId="19700" xr:uid="{D9E3B9C4-E20C-4CD0-A873-65F28BB30CDD}"/>
    <cellStyle name="Total 2 4 3 2 5 3" xfId="16214" xr:uid="{EF2F8298-008D-4F10-AFE3-04F65DBE8732}"/>
    <cellStyle name="Total 2 4 3 2 6" xfId="5412" xr:uid="{93AF4364-33A6-4C10-ADA3-83B550FAACA4}"/>
    <cellStyle name="Total 2 4 3 2 6 2" xfId="11265" xr:uid="{0524C04D-5782-4D30-A4BF-2E816681240D}"/>
    <cellStyle name="Total 2 4 3 2 6 2 2" xfId="20311" xr:uid="{C3F33983-162C-44B4-A147-746DFE3E9E58}"/>
    <cellStyle name="Total 2 4 3 2 6 3" xfId="16825" xr:uid="{57ABE340-11F7-45DF-B531-D8D3A96E4F1B}"/>
    <cellStyle name="Total 2 4 3 2 7" xfId="6023" xr:uid="{BF8B3762-4357-4506-8345-8B048707DBAE}"/>
    <cellStyle name="Total 2 4 3 2 7 2" xfId="11874" xr:uid="{4F1B17FE-EF51-455E-9D34-3E5B17E95E44}"/>
    <cellStyle name="Total 2 4 3 2 7 2 2" xfId="20920" xr:uid="{0F78D436-E187-447B-A4B1-7FEFC9DC8DD2}"/>
    <cellStyle name="Total 2 4 3 2 7 3" xfId="17436" xr:uid="{7326274A-31CC-4D55-B7D0-655D2C1F1EF4}"/>
    <cellStyle name="Total 2 4 3 2 8" xfId="9286" xr:uid="{97EE8194-E863-453D-ACE8-049A514A6C16}"/>
    <cellStyle name="Total 2 4 3 2 8 2" xfId="18332" xr:uid="{81E7C891-A1B0-4220-A6F1-87D2A9FC1C71}"/>
    <cellStyle name="Total 2 4 3 2 9" xfId="12682" xr:uid="{8F3106A2-8432-4DDE-BBD6-3421A990EF2C}"/>
    <cellStyle name="Total 2 4 3 3" xfId="2605" xr:uid="{C7D094D3-948F-4013-AC15-BDCBB804A558}"/>
    <cellStyle name="Total 2 4 3 3 10" xfId="13879" xr:uid="{7C956478-FA80-419B-94F9-07D6CD661CF2}"/>
    <cellStyle name="Total 2 4 3 3 11" xfId="14856" xr:uid="{3279FB9F-4B97-48AC-8704-9104D069F36D}"/>
    <cellStyle name="Total 2 4 3 3 12" xfId="21724" xr:uid="{E88DBEE9-E7BF-4AAB-8709-B9A61106CD4C}"/>
    <cellStyle name="Total 2 4 3 3 13" xfId="3086" xr:uid="{1B545B7F-3B11-48D5-BE68-F0AAF4392AFB}"/>
    <cellStyle name="Total 2 4 3 3 2" xfId="3491" xr:uid="{623ACA2F-67D7-4A42-8204-592A5757C80F}"/>
    <cellStyle name="Total 2 4 3 3 2 10" xfId="15282" xr:uid="{F1FE559D-5D55-42D9-8702-A09910C460E1}"/>
    <cellStyle name="Total 2 4 3 3 2 11" xfId="22150" xr:uid="{CC812D65-8D7B-4B4E-A1CD-202423099C21}"/>
    <cellStyle name="Total 2 4 3 3 2 2" xfId="4725" xr:uid="{F10B6C56-A789-4E57-83EB-C212343BE065}"/>
    <cellStyle name="Total 2 4 3 3 2 2 2" xfId="10582" xr:uid="{A30A3935-B779-498D-AF0F-A85DBE1517C6}"/>
    <cellStyle name="Total 2 4 3 3 2 2 2 2" xfId="19628" xr:uid="{35282AA7-7B13-46C8-A888-D45F3B9312F5}"/>
    <cellStyle name="Total 2 4 3 3 2 2 3" xfId="16142" xr:uid="{68BF7AE5-AE84-4E93-A0A0-060C2B5FBFAC}"/>
    <cellStyle name="Total 2 4 3 3 2 2 4" xfId="22806" xr:uid="{803F671B-6B1A-4F53-865C-AB83A797D4B6}"/>
    <cellStyle name="Total 2 4 3 3 2 3" xfId="5226" xr:uid="{DE81A4EA-4E78-4E10-B0BA-E39E46F3FEE2}"/>
    <cellStyle name="Total 2 4 3 3 2 3 2" xfId="11079" xr:uid="{778B3658-4A08-4DA4-BC5B-03A09D094598}"/>
    <cellStyle name="Total 2 4 3 3 2 3 2 2" xfId="20125" xr:uid="{B5B2584C-5C11-42E0-93FD-3D55240389D2}"/>
    <cellStyle name="Total 2 4 3 3 2 3 3" xfId="16639" xr:uid="{4EE358A7-936C-4DAD-B62F-774BA0031420}"/>
    <cellStyle name="Total 2 4 3 3 2 3 4" xfId="23301" xr:uid="{CF3CB251-8616-438F-9476-7CC42DD9BCBC}"/>
    <cellStyle name="Total 2 4 3 3 2 4" xfId="5841" xr:uid="{7E440942-DF80-4CB8-93CD-0DEB3BF0976F}"/>
    <cellStyle name="Total 2 4 3 3 2 4 2" xfId="11694" xr:uid="{3EC7A96B-CB64-4271-BB0B-97AA840CA33A}"/>
    <cellStyle name="Total 2 4 3 3 2 4 2 2" xfId="20740" xr:uid="{9B7A3091-129D-4BA0-B781-B79DF9C87455}"/>
    <cellStyle name="Total 2 4 3 3 2 4 3" xfId="17254" xr:uid="{57348218-81D9-441E-9D17-9B4A18B4E71F}"/>
    <cellStyle name="Total 2 4 3 3 2 5" xfId="6452" xr:uid="{2B6EC400-87EA-492E-85C8-207942924255}"/>
    <cellStyle name="Total 2 4 3 3 2 5 2" xfId="12299" xr:uid="{25745D45-35AF-4B2E-8369-84DB4503265D}"/>
    <cellStyle name="Total 2 4 3 3 2 5 2 2" xfId="21345" xr:uid="{9B3FEE66-EF6C-45E0-9DD8-1EE27339EC42}"/>
    <cellStyle name="Total 2 4 3 3 2 5 3" xfId="17865" xr:uid="{1DA44883-4CFC-46D3-8591-1CD910099E53}"/>
    <cellStyle name="Total 2 4 3 3 2 6" xfId="9713" xr:uid="{CE1A2316-CE70-4872-BBEB-717DCAB6EC70}"/>
    <cellStyle name="Total 2 4 3 3 2 6 2" xfId="18759" xr:uid="{9D1A662A-0D7C-40A1-8D85-A082AC3D75E9}"/>
    <cellStyle name="Total 2 4 3 3 2 7" xfId="13111" xr:uid="{E7F719F4-3262-4980-8832-C3C4DC5ADEF6}"/>
    <cellStyle name="Total 2 4 3 3 2 8" xfId="13667" xr:uid="{B77A4D14-F8F6-43D4-9685-60B6EAA6E50C}"/>
    <cellStyle name="Total 2 4 3 3 2 9" xfId="14307" xr:uid="{EAEFEF0C-3A1D-4EE1-A149-0374A05ABF96}"/>
    <cellStyle name="Total 2 4 3 3 3" xfId="3289" xr:uid="{005D9031-500F-4884-9857-35FD3C436489}"/>
    <cellStyle name="Total 2 4 3 3 3 10" xfId="15069" xr:uid="{84CA59B0-6080-46AA-BD24-FE9124FECB10}"/>
    <cellStyle name="Total 2 4 3 3 3 11" xfId="21939" xr:uid="{09F143E6-F916-46ED-8AF1-CFD9B30C6FBE}"/>
    <cellStyle name="Total 2 4 3 3 3 2" xfId="4512" xr:uid="{C32F88D7-30EF-4F5B-8BAE-7D3A3677289D}"/>
    <cellStyle name="Total 2 4 3 3 3 2 2" xfId="10369" xr:uid="{D91CC2B0-D885-45E8-8341-659913DFA69C}"/>
    <cellStyle name="Total 2 4 3 3 3 2 2 2" xfId="19415" xr:uid="{713E649B-AB27-4185-B93B-1E2795E45BFA}"/>
    <cellStyle name="Total 2 4 3 3 3 2 3" xfId="15929" xr:uid="{9EAA67E7-4FAC-419D-B745-A4676833336F}"/>
    <cellStyle name="Total 2 4 3 3 3 2 4" xfId="22595" xr:uid="{8704F70E-E564-44D9-B4B2-65EF4839C06B}"/>
    <cellStyle name="Total 2 4 3 3 3 3" xfId="5013" xr:uid="{68C873C1-FA48-41C9-A63A-62F669F57480}"/>
    <cellStyle name="Total 2 4 3 3 3 3 2" xfId="10866" xr:uid="{FE60ACF1-20DA-48C2-920D-05633BE5F49F}"/>
    <cellStyle name="Total 2 4 3 3 3 3 2 2" xfId="19912" xr:uid="{03EF273D-C6B8-4F34-8B63-81E5C8FF2AC3}"/>
    <cellStyle name="Total 2 4 3 3 3 3 3" xfId="16426" xr:uid="{1C7ABD54-DB08-49A3-97DA-676FF664693A}"/>
    <cellStyle name="Total 2 4 3 3 3 3 4" xfId="23090" xr:uid="{B7954A4D-6525-490D-883D-244A257E5363}"/>
    <cellStyle name="Total 2 4 3 3 3 4" xfId="5628" xr:uid="{0B7337E0-CF43-40A7-8D54-B8EE817F754C}"/>
    <cellStyle name="Total 2 4 3 3 3 4 2" xfId="11481" xr:uid="{A92E0EFE-FD78-4F40-8784-B2CFF7CD14C7}"/>
    <cellStyle name="Total 2 4 3 3 3 4 2 2" xfId="20527" xr:uid="{8D54C618-D162-4008-8742-9623F13C9423}"/>
    <cellStyle name="Total 2 4 3 3 3 4 3" xfId="17041" xr:uid="{35553E89-4589-4327-9E16-EA5D471D0477}"/>
    <cellStyle name="Total 2 4 3 3 3 5" xfId="6239" xr:uid="{5413EFD3-AA69-4FAC-A894-3DA2CF370885}"/>
    <cellStyle name="Total 2 4 3 3 3 5 2" xfId="12086" xr:uid="{56A4CAEF-DEA5-407B-A91E-839C8FF0A0F0}"/>
    <cellStyle name="Total 2 4 3 3 3 5 2 2" xfId="21132" xr:uid="{EEC87C7B-A47A-42D6-B0D5-2CDB55A9DD6F}"/>
    <cellStyle name="Total 2 4 3 3 3 5 3" xfId="17652" xr:uid="{B48D372F-D926-4500-ABE5-FEE966D46B72}"/>
    <cellStyle name="Total 2 4 3 3 3 6" xfId="9500" xr:uid="{74A9AF88-10B4-4F39-B919-A0EF20BA83E3}"/>
    <cellStyle name="Total 2 4 3 3 3 6 2" xfId="18546" xr:uid="{3CC4F3D1-5737-44F5-8182-3574D386E8F9}"/>
    <cellStyle name="Total 2 4 3 3 3 7" xfId="12898" xr:uid="{E0283983-BEC9-4C4F-909D-00F6A8BD81B3}"/>
    <cellStyle name="Total 2 4 3 3 3 8" xfId="13456" xr:uid="{1EEFDE9C-2067-4615-A894-BB6B2114EA66}"/>
    <cellStyle name="Total 2 4 3 3 3 9" xfId="14094" xr:uid="{6A0BCC33-A189-42D0-A1BA-4C5353638AF2}"/>
    <cellStyle name="Total 2 4 3 3 4" xfId="4798" xr:uid="{925A98A0-C996-4A5C-A1A4-573927C513E3}"/>
    <cellStyle name="Total 2 4 3 3 4 2" xfId="10655" xr:uid="{D7C4DE17-E039-4D30-8088-B03815486730}"/>
    <cellStyle name="Total 2 4 3 3 4 2 2" xfId="19701" xr:uid="{F8B0D1AC-861B-409D-842A-71FC6FED0722}"/>
    <cellStyle name="Total 2 4 3 3 4 3" xfId="16215" xr:uid="{20EB4A37-8557-4A6F-850F-2AD2EAEE7CA3}"/>
    <cellStyle name="Total 2 4 3 3 4 4" xfId="22875" xr:uid="{8DA742C3-CCB3-40AB-AD49-BACCDB92DC35}"/>
    <cellStyle name="Total 2 4 3 3 5" xfId="5413" xr:uid="{82A1263D-E924-443D-9C9C-CEF899094157}"/>
    <cellStyle name="Total 2 4 3 3 5 2" xfId="11266" xr:uid="{4412BA34-53EC-446E-A7F3-86163D874CD3}"/>
    <cellStyle name="Total 2 4 3 3 5 2 2" xfId="20312" xr:uid="{D01BE7F0-B475-4A57-8624-FF8FBF6D0030}"/>
    <cellStyle name="Total 2 4 3 3 5 3" xfId="16826" xr:uid="{FAA19156-AEDF-4D74-8A67-81276FB67136}"/>
    <cellStyle name="Total 2 4 3 3 6" xfId="6024" xr:uid="{301F77B6-0330-433B-9AC9-96B2E704B4CB}"/>
    <cellStyle name="Total 2 4 3 3 6 2" xfId="11875" xr:uid="{1D060BE6-2566-47EE-AD28-7434FD71AAFC}"/>
    <cellStyle name="Total 2 4 3 3 6 2 2" xfId="20921" xr:uid="{187C1249-FAD5-4834-915D-1EF0D17982C0}"/>
    <cellStyle name="Total 2 4 3 3 6 3" xfId="17437" xr:uid="{A7F2CDF2-4778-4381-B840-C8FFF17A3DFB}"/>
    <cellStyle name="Total 2 4 3 3 7" xfId="9287" xr:uid="{71B5B492-2DA3-44EA-B490-5085ED66FAA8}"/>
    <cellStyle name="Total 2 4 3 3 7 2" xfId="18333" xr:uid="{71B99DE0-D651-41B6-A4DF-0A06B4EA8D2C}"/>
    <cellStyle name="Total 2 4 3 3 8" xfId="12683" xr:uid="{1CAB40EF-CCE5-434C-B8D7-E5643975AB6B}"/>
    <cellStyle name="Total 2 4 3 3 9" xfId="13245" xr:uid="{2AE7D408-3DE1-45B7-91EF-68E6F13699E4}"/>
    <cellStyle name="Total 2 4 3 4" xfId="3385" xr:uid="{1A982B7F-A079-446E-B217-6877E9A0AC9D}"/>
    <cellStyle name="Total 2 4 3 4 10" xfId="15165" xr:uid="{4D1A3E98-F311-4B79-97FC-2DB7A20723FA}"/>
    <cellStyle name="Total 2 4 3 4 11" xfId="22034" xr:uid="{F1D984AB-6437-47B0-8ED2-45E745BC4213}"/>
    <cellStyle name="Total 2 4 3 4 2" xfId="4608" xr:uid="{7143682B-D11F-40B6-8684-837F824F8C48}"/>
    <cellStyle name="Total 2 4 3 4 2 2" xfId="10465" xr:uid="{144427AD-B265-4566-9D46-40E7A8422447}"/>
    <cellStyle name="Total 2 4 3 4 2 2 2" xfId="19511" xr:uid="{8689E895-4D76-4ED7-BE43-9D7637E95379}"/>
    <cellStyle name="Total 2 4 3 4 2 3" xfId="16025" xr:uid="{5976FF5D-656E-482D-897D-20785F07A206}"/>
    <cellStyle name="Total 2 4 3 4 2 4" xfId="22690" xr:uid="{2E9BACB1-2E73-48B7-AE0F-755862A3E636}"/>
    <cellStyle name="Total 2 4 3 4 3" xfId="5109" xr:uid="{6163D6A7-BD55-468D-9CB5-C326A7B9A8D8}"/>
    <cellStyle name="Total 2 4 3 4 3 2" xfId="10962" xr:uid="{48E25B4C-AC2D-491F-97AA-9AA2B163CF87}"/>
    <cellStyle name="Total 2 4 3 4 3 2 2" xfId="20008" xr:uid="{D762F925-B276-407D-86E8-6ADAB4231B78}"/>
    <cellStyle name="Total 2 4 3 4 3 3" xfId="16522" xr:uid="{96393C71-7C4C-47DC-8631-93F2BB7AAE90}"/>
    <cellStyle name="Total 2 4 3 4 3 4" xfId="23185" xr:uid="{6F4910D2-1115-43A8-B21C-40F56DCEED68}"/>
    <cellStyle name="Total 2 4 3 4 4" xfId="5724" xr:uid="{61EF4559-0792-4D90-966F-E0C8B0633C8D}"/>
    <cellStyle name="Total 2 4 3 4 4 2" xfId="11577" xr:uid="{42E24CFF-246D-421E-8636-290782DD2F4E}"/>
    <cellStyle name="Total 2 4 3 4 4 2 2" xfId="20623" xr:uid="{63F543DB-926B-4374-A229-ECCBE1523F1D}"/>
    <cellStyle name="Total 2 4 3 4 4 3" xfId="17137" xr:uid="{88B07F34-0AE3-4CC3-BCE2-D90753822D58}"/>
    <cellStyle name="Total 2 4 3 4 5" xfId="6335" xr:uid="{F10F1CDD-BE11-4382-A60B-1B0BAC55B21E}"/>
    <cellStyle name="Total 2 4 3 4 5 2" xfId="12182" xr:uid="{706C6F7C-9F09-45B6-953A-B6BA2502399E}"/>
    <cellStyle name="Total 2 4 3 4 5 2 2" xfId="21228" xr:uid="{B348B5D0-B949-4E44-AA9A-1306D4B47C4D}"/>
    <cellStyle name="Total 2 4 3 4 5 3" xfId="17748" xr:uid="{88D3EAB0-4F67-4FC1-96F9-42B24C1C35BC}"/>
    <cellStyle name="Total 2 4 3 4 6" xfId="9596" xr:uid="{E76A7185-E130-4870-B2C3-5D086E2CAFAF}"/>
    <cellStyle name="Total 2 4 3 4 6 2" xfId="18642" xr:uid="{C26288B8-47F2-41CE-B8EC-FDCB20A9E7A5}"/>
    <cellStyle name="Total 2 4 3 4 7" xfId="12994" xr:uid="{2CCBCF95-DD09-495E-AE76-17B47B271810}"/>
    <cellStyle name="Total 2 4 3 4 8" xfId="13551" xr:uid="{20A1AA63-C83D-4A69-B992-B8F89ABF71B5}"/>
    <cellStyle name="Total 2 4 3 4 9" xfId="14190" xr:uid="{D4B47B4D-F387-4A7D-A9F6-55281FE9BA30}"/>
    <cellStyle name="Total 2 4 3 5" xfId="3173" xr:uid="{0BACBDFB-8F6E-47CD-AD34-69595F96B8DC}"/>
    <cellStyle name="Total 2 4 3 5 10" xfId="14953" xr:uid="{2D06DEF9-CAFD-4841-9F6E-9D672BECF401}"/>
    <cellStyle name="Total 2 4 3 5 11" xfId="21821" xr:uid="{5819639A-3541-40C7-98ED-F2DE18D00D00}"/>
    <cellStyle name="Total 2 4 3 5 2" xfId="4394" xr:uid="{8FE29DC6-CF1C-4985-AFEF-03C2412927D0}"/>
    <cellStyle name="Total 2 4 3 5 2 2" xfId="10251" xr:uid="{70D64DFC-8200-4164-9A89-D1046E2D8025}"/>
    <cellStyle name="Total 2 4 3 5 2 2 2" xfId="19297" xr:uid="{4B4D643C-E19C-4764-9AF4-004534E10968}"/>
    <cellStyle name="Total 2 4 3 5 2 3" xfId="15811" xr:uid="{49E83969-1726-47EA-8DA3-E4E247B84BBF}"/>
    <cellStyle name="Total 2 4 3 5 2 4" xfId="22477" xr:uid="{352829A5-2531-4E23-9DF9-4208A8B8213C}"/>
    <cellStyle name="Total 2 4 3 5 3" xfId="4895" xr:uid="{D2845DA0-6479-4C5B-B3E1-D42ECDC6D42E}"/>
    <cellStyle name="Total 2 4 3 5 3 2" xfId="10750" xr:uid="{5B18F757-8150-4EF3-957B-32DC7CF1D9FF}"/>
    <cellStyle name="Total 2 4 3 5 3 2 2" xfId="19796" xr:uid="{65942D14-94F4-40FF-BB95-BD94C2EA2B94}"/>
    <cellStyle name="Total 2 4 3 5 3 3" xfId="16310" xr:uid="{7F47CEC2-6E31-4ED4-8402-C5FCAA9B8D00}"/>
    <cellStyle name="Total 2 4 3 5 3 4" xfId="22972" xr:uid="{4317352F-1078-4ADA-B519-706CECA55AAB}"/>
    <cellStyle name="Total 2 4 3 5 4" xfId="5510" xr:uid="{C851DC70-03F6-404E-A734-DC67AACB9DB6}"/>
    <cellStyle name="Total 2 4 3 5 4 2" xfId="11363" xr:uid="{5D71A1BC-ACE5-43AC-AF33-4A9F92962E1C}"/>
    <cellStyle name="Total 2 4 3 5 4 2 2" xfId="20409" xr:uid="{C1EFD31D-1E7A-47B2-9063-953C0D5BDBEC}"/>
    <cellStyle name="Total 2 4 3 5 4 3" xfId="16923" xr:uid="{40818C45-BD4D-4B15-9509-4EEA996DD9F6}"/>
    <cellStyle name="Total 2 4 3 5 5" xfId="6121" xr:uid="{07E280DB-39D3-4862-B624-4E555E6FBD05}"/>
    <cellStyle name="Total 2 4 3 5 5 2" xfId="11970" xr:uid="{BE413427-2BF2-41F2-AD36-A3E2DA6B0073}"/>
    <cellStyle name="Total 2 4 3 5 5 2 2" xfId="21016" xr:uid="{DB71A18A-6AE4-46E7-8DEF-E215879ACE23}"/>
    <cellStyle name="Total 2 4 3 5 5 3" xfId="17534" xr:uid="{22872A44-22E2-46AE-AB53-728934FAF257}"/>
    <cellStyle name="Total 2 4 3 5 6" xfId="9384" xr:uid="{EA17CDCD-E3B4-4428-9C51-22F4D2BBE035}"/>
    <cellStyle name="Total 2 4 3 5 6 2" xfId="18430" xr:uid="{52E5A1D2-CDBA-49EF-8E01-8D5E41A30666}"/>
    <cellStyle name="Total 2 4 3 5 7" xfId="12780" xr:uid="{EB22FE8C-DA8C-41BB-A7C3-C9A6BE61EF9B}"/>
    <cellStyle name="Total 2 4 3 5 8" xfId="13340" xr:uid="{0362B7C0-3242-4045-BEB1-D651952B9E46}"/>
    <cellStyle name="Total 2 4 3 5 9" xfId="13976" xr:uid="{C55899C3-D00F-456F-8B2A-B5BCC0AB4BFA}"/>
    <cellStyle name="Total 2 4 3 6" xfId="3774" xr:uid="{49CD7BF9-718E-472F-9C21-FF9CDDA25AB5}"/>
    <cellStyle name="Total 2 4 3 6 2" xfId="9816" xr:uid="{FBA6B244-CEA2-4DB1-94B5-79C2B212B229}"/>
    <cellStyle name="Total 2 4 3 6 2 2" xfId="18862" xr:uid="{4BBEA5F1-B318-4C20-9FE7-364AE4B5BD70}"/>
    <cellStyle name="Total 2 4 3 6 3" xfId="15382" xr:uid="{42EE55CE-BF3C-47F7-AA16-A2136B30492E}"/>
    <cellStyle name="Total 2 4 3 6 4" xfId="22361" xr:uid="{6342B30F-83CF-4223-8136-37753DCA9C78}"/>
    <cellStyle name="Total 2 4 3 7" xfId="4258" xr:uid="{A6F8F2CA-39E9-4F18-9AA8-52C3BE105F08}"/>
    <cellStyle name="Total 2 4 3 7 2" xfId="10115" xr:uid="{0FD362E0-5E06-4B46-9841-1DC7F49973BB}"/>
    <cellStyle name="Total 2 4 3 7 2 2" xfId="19161" xr:uid="{ED3C8DEE-AFE4-40C2-B9C9-736744024178}"/>
    <cellStyle name="Total 2 4 3 7 3" xfId="15675" xr:uid="{0ABDFC01-E773-46C5-9511-347EF8ADF107}"/>
    <cellStyle name="Total 2 4 3 7 4" xfId="22243" xr:uid="{43887108-9ED7-4BF7-936A-B5ECBF7A222A}"/>
    <cellStyle name="Total 2 4 3 8" xfId="4124" xr:uid="{A36A7E0D-245C-4CB7-8086-019E063A4485}"/>
    <cellStyle name="Total 2 4 3 8 2" xfId="9981" xr:uid="{76AADBDF-B266-480C-9B1B-EA556957676E}"/>
    <cellStyle name="Total 2 4 3 8 2 2" xfId="19027" xr:uid="{09876CAF-5EEE-4C8C-9739-C17D86BDC96C}"/>
    <cellStyle name="Total 2 4 3 8 3" xfId="15541" xr:uid="{E01F5B11-6EFC-4E10-80CD-148C0614AABE}"/>
    <cellStyle name="Total 2 4 3 9" xfId="5295" xr:uid="{E6024E13-BF0C-4EFC-8C85-819CA134B7BB}"/>
    <cellStyle name="Total 2 4 3 9 2" xfId="11148" xr:uid="{902734B9-5B8C-4226-A604-D6B7FA033FCA}"/>
    <cellStyle name="Total 2 4 3 9 2 2" xfId="20194" xr:uid="{BB02DA1F-8D88-4984-94C4-66FBE886B4B6}"/>
    <cellStyle name="Total 2 4 3 9 3" xfId="16708" xr:uid="{D0E0B6DF-10B6-41EA-83B3-470DFCCE4048}"/>
    <cellStyle name="Total 2 4 4" xfId="2464" xr:uid="{E99DD230-57AA-4F32-B017-34CA8E8757EA}"/>
    <cellStyle name="Total 2 4 4 10" xfId="13246" xr:uid="{6C3F7FC0-9B4E-4F69-908F-49A19C710FB2}"/>
    <cellStyle name="Total 2 4 4 11" xfId="13880" xr:uid="{41680504-7DB3-4F3A-AD1C-00E50E869863}"/>
    <cellStyle name="Total 2 4 4 12" xfId="14857" xr:uid="{58286F45-576E-4741-B3E7-C36DD8B3B34E}"/>
    <cellStyle name="Total 2 4 4 13" xfId="21725" xr:uid="{BD444B14-0110-4773-92C0-9B662F3D8A24}"/>
    <cellStyle name="Total 2 4 4 2" xfId="2603" xr:uid="{DE22223C-C5DF-44CB-A5E8-2C45FE0886AB}"/>
    <cellStyle name="Total 2 4 4 2 10" xfId="15283" xr:uid="{1FA83EBB-5FF5-4CC0-B465-7B689C38AD3F}"/>
    <cellStyle name="Total 2 4 4 2 11" xfId="22151" xr:uid="{F4C9816C-1CCC-4EFD-99FF-5E3FD7325FF6}"/>
    <cellStyle name="Total 2 4 4 2 12" xfId="3492" xr:uid="{CE891D06-15CD-410F-8BED-F374894B7AEA}"/>
    <cellStyle name="Total 2 4 4 2 2" xfId="4726" xr:uid="{B1EE1FBA-6284-4FA9-86DD-1E2B6D2464CE}"/>
    <cellStyle name="Total 2 4 4 2 2 2" xfId="10583" xr:uid="{027543DC-FC5C-4383-A6AC-82B0F65C18CB}"/>
    <cellStyle name="Total 2 4 4 2 2 2 2" xfId="19629" xr:uid="{387C5939-C7B4-487A-BE7A-31E71AF76065}"/>
    <cellStyle name="Total 2 4 4 2 2 3" xfId="16143" xr:uid="{FF5F9011-68E6-464B-9FE5-59CBF01D0C5D}"/>
    <cellStyle name="Total 2 4 4 2 2 4" xfId="22807" xr:uid="{AE512BC2-3278-4407-B906-28B4A2BDC0F2}"/>
    <cellStyle name="Total 2 4 4 2 3" xfId="5227" xr:uid="{C50C7252-88A8-4A18-81C9-F0423EE2573F}"/>
    <cellStyle name="Total 2 4 4 2 3 2" xfId="11080" xr:uid="{4AE46392-37C6-47CA-A32F-4B4C5DEB1289}"/>
    <cellStyle name="Total 2 4 4 2 3 2 2" xfId="20126" xr:uid="{E6F721A4-F327-4703-A59B-9F43B2DF7473}"/>
    <cellStyle name="Total 2 4 4 2 3 3" xfId="16640" xr:uid="{DAB10C3B-A536-4759-9A1C-6E3F8A844C56}"/>
    <cellStyle name="Total 2 4 4 2 3 4" xfId="23302" xr:uid="{7A0993F3-6736-4F32-ACD3-3ABDD3E6B467}"/>
    <cellStyle name="Total 2 4 4 2 4" xfId="5842" xr:uid="{1C28B560-28DB-45BF-8255-72670252EC66}"/>
    <cellStyle name="Total 2 4 4 2 4 2" xfId="11695" xr:uid="{36CCA1D2-1720-4E97-A459-371F966B84CA}"/>
    <cellStyle name="Total 2 4 4 2 4 2 2" xfId="20741" xr:uid="{D8263113-436B-4EF5-92CD-B4B36781CA1C}"/>
    <cellStyle name="Total 2 4 4 2 4 3" xfId="17255" xr:uid="{9BFF43D8-BB5B-486A-9971-AC9DD4E0C42C}"/>
    <cellStyle name="Total 2 4 4 2 5" xfId="6453" xr:uid="{6A424B94-2006-4B6A-819E-157FFF77E048}"/>
    <cellStyle name="Total 2 4 4 2 5 2" xfId="12300" xr:uid="{5389178D-9541-4BC4-B99F-B6166507C885}"/>
    <cellStyle name="Total 2 4 4 2 5 2 2" xfId="21346" xr:uid="{426D78A1-9FEB-4F96-BF89-809FC1A66EE7}"/>
    <cellStyle name="Total 2 4 4 2 5 3" xfId="17866" xr:uid="{6F8FC270-D9EA-4D40-AA84-629BFEC9CAD9}"/>
    <cellStyle name="Total 2 4 4 2 6" xfId="9714" xr:uid="{2068DFEC-3BC3-466B-A370-62D3C1E3F4F7}"/>
    <cellStyle name="Total 2 4 4 2 6 2" xfId="18760" xr:uid="{B5DB8CDF-3CB3-4E3A-9685-A0EEE49F4EC1}"/>
    <cellStyle name="Total 2 4 4 2 7" xfId="13112" xr:uid="{21C17D19-F404-4AD5-B4D6-694D83A53CD8}"/>
    <cellStyle name="Total 2 4 4 2 8" xfId="13668" xr:uid="{B39E8F49-5B20-45CB-BC7E-E400E874924F}"/>
    <cellStyle name="Total 2 4 4 2 9" xfId="14308" xr:uid="{83A0BBCA-6936-4BAF-B45F-3AC07A82AA14}"/>
    <cellStyle name="Total 2 4 4 3" xfId="3290" xr:uid="{CB8B56B9-975F-4680-B10D-769C08BA84D3}"/>
    <cellStyle name="Total 2 4 4 3 10" xfId="15070" xr:uid="{1C26C73E-194B-4D7E-BDA7-942E8F621D13}"/>
    <cellStyle name="Total 2 4 4 3 11" xfId="21940" xr:uid="{2363E483-D21D-42A9-B66B-FA3082DC6CD6}"/>
    <cellStyle name="Total 2 4 4 3 2" xfId="4513" xr:uid="{0CA8B48F-CAD1-4AC1-944B-B091B2443B73}"/>
    <cellStyle name="Total 2 4 4 3 2 2" xfId="10370" xr:uid="{77B71965-5A7C-4C6B-9C8F-64D9FF3AB998}"/>
    <cellStyle name="Total 2 4 4 3 2 2 2" xfId="19416" xr:uid="{72919940-9D01-43F9-A614-E8C4B77D3B28}"/>
    <cellStyle name="Total 2 4 4 3 2 3" xfId="15930" xr:uid="{AD1B2FC7-9F2C-41C4-9319-C85DE069F230}"/>
    <cellStyle name="Total 2 4 4 3 2 4" xfId="22596" xr:uid="{74DF099B-DE2E-43D1-986D-620F5DE5655B}"/>
    <cellStyle name="Total 2 4 4 3 3" xfId="5014" xr:uid="{8E981623-B158-4AF6-8499-E636C196449F}"/>
    <cellStyle name="Total 2 4 4 3 3 2" xfId="10867" xr:uid="{C6918A50-16EA-4751-97BC-3B0F097B2B7B}"/>
    <cellStyle name="Total 2 4 4 3 3 2 2" xfId="19913" xr:uid="{53468B8E-6F6F-4743-A6F3-3C8E628EC72C}"/>
    <cellStyle name="Total 2 4 4 3 3 3" xfId="16427" xr:uid="{C0153451-6A54-43BA-AED9-1FFC3762B5A7}"/>
    <cellStyle name="Total 2 4 4 3 3 4" xfId="23091" xr:uid="{A22F3251-8675-4872-87E6-146BF7D22EF2}"/>
    <cellStyle name="Total 2 4 4 3 4" xfId="5629" xr:uid="{73943E56-8C37-4A95-87EA-3877E4765EDA}"/>
    <cellStyle name="Total 2 4 4 3 4 2" xfId="11482" xr:uid="{8AE87889-AFFC-4F51-8E5F-18853677BF0A}"/>
    <cellStyle name="Total 2 4 4 3 4 2 2" xfId="20528" xr:uid="{C59DB807-C78A-4952-A5E8-F1A82E4D17D0}"/>
    <cellStyle name="Total 2 4 4 3 4 3" xfId="17042" xr:uid="{006B0C3A-B451-4EDA-95DA-38218C5C4959}"/>
    <cellStyle name="Total 2 4 4 3 5" xfId="6240" xr:uid="{A3628545-178B-4F40-9529-8D0D80481B5E}"/>
    <cellStyle name="Total 2 4 4 3 5 2" xfId="12087" xr:uid="{30526B68-5EFB-472D-93AC-3DEEC04AEFD9}"/>
    <cellStyle name="Total 2 4 4 3 5 2 2" xfId="21133" xr:uid="{14E32199-36BD-41D7-9388-FF086E1CD6F7}"/>
    <cellStyle name="Total 2 4 4 3 5 3" xfId="17653" xr:uid="{2312556A-53F8-4772-BED0-7716A2586AB4}"/>
    <cellStyle name="Total 2 4 4 3 6" xfId="9501" xr:uid="{FBE20096-E0FF-4206-989F-69710DF50837}"/>
    <cellStyle name="Total 2 4 4 3 6 2" xfId="18547" xr:uid="{A9A66EFE-D09A-4AEA-AFB0-F647349E160B}"/>
    <cellStyle name="Total 2 4 4 3 7" xfId="12899" xr:uid="{40B99385-86D7-4F60-B75D-5F254E2356EA}"/>
    <cellStyle name="Total 2 4 4 3 8" xfId="13457" xr:uid="{EB498F69-5EA9-424E-BCBD-7F0AD95FEF76}"/>
    <cellStyle name="Total 2 4 4 3 9" xfId="14095" xr:uid="{E49EEC42-DFCA-4348-B27C-465340B505A2}"/>
    <cellStyle name="Total 2 4 4 4" xfId="3998" xr:uid="{90CE7979-7A4D-49CB-A140-9D81D844586F}"/>
    <cellStyle name="Total 2 4 4 4 2" xfId="9860" xr:uid="{B71BF507-3979-4C49-B049-161FDEEFD3D1}"/>
    <cellStyle name="Total 2 4 4 4 2 2" xfId="18906" xr:uid="{C4E970B7-CFDC-402E-81C1-63819D956890}"/>
    <cellStyle name="Total 2 4 4 4 3" xfId="15422" xr:uid="{A2FBC2DD-9E80-4489-A383-10E46084CF69}"/>
    <cellStyle name="Total 2 4 4 4 4" xfId="22876" xr:uid="{72F59856-37DF-4241-B751-07FC51FF1B6F}"/>
    <cellStyle name="Total 2 4 4 5" xfId="4799" xr:uid="{F603D46A-1476-49AA-9F50-63885181DAE1}"/>
    <cellStyle name="Total 2 4 4 5 2" xfId="10656" xr:uid="{DB0D4350-6829-4D64-B859-8A14943FCC80}"/>
    <cellStyle name="Total 2 4 4 5 2 2" xfId="19702" xr:uid="{29976D96-A623-4029-8344-79583BAA86DB}"/>
    <cellStyle name="Total 2 4 4 5 3" xfId="16216" xr:uid="{58ACEA9C-17E9-46C5-BCD4-1A8FAD7F01B8}"/>
    <cellStyle name="Total 2 4 4 6" xfId="5414" xr:uid="{070E623E-C4AD-4E9A-BE42-892448C25FC4}"/>
    <cellStyle name="Total 2 4 4 6 2" xfId="11267" xr:uid="{CD82D885-74C4-4A0B-99F9-032BFA46D553}"/>
    <cellStyle name="Total 2 4 4 6 2 2" xfId="20313" xr:uid="{D9ACC095-A656-47F2-99C6-E13F8D16A979}"/>
    <cellStyle name="Total 2 4 4 6 3" xfId="16827" xr:uid="{CA9A9431-EC9A-435C-8DA7-100754A1589E}"/>
    <cellStyle name="Total 2 4 4 7" xfId="6025" xr:uid="{45786000-A20A-4F25-A7AF-E4113AB7675A}"/>
    <cellStyle name="Total 2 4 4 7 2" xfId="11876" xr:uid="{E514EB1C-0165-4B78-88A6-15AB1A231A67}"/>
    <cellStyle name="Total 2 4 4 7 2 2" xfId="20922" xr:uid="{246D8840-C6E9-444A-BB35-5BE3102282BB}"/>
    <cellStyle name="Total 2 4 4 7 3" xfId="17438" xr:uid="{6204DE64-19BD-4E75-BBD7-20F8277239BB}"/>
    <cellStyle name="Total 2 4 4 8" xfId="9288" xr:uid="{FE996C92-F93E-4103-8DBF-F5CF34CEEF1A}"/>
    <cellStyle name="Total 2 4 4 8 2" xfId="18334" xr:uid="{164897D4-A92D-4480-9D86-54AE1ECFC591}"/>
    <cellStyle name="Total 2 4 4 9" xfId="12684" xr:uid="{A0C480BE-CAA7-46DB-A4AF-FAE7AF62908B}"/>
    <cellStyle name="Total 2 4 5" xfId="2608" xr:uid="{C14177DF-C6F5-4323-8668-0B25A070FD1F}"/>
    <cellStyle name="Total 2 4 5 10" xfId="13881" xr:uid="{AFAB7DE5-B7DE-495D-BC76-DA7139B2488A}"/>
    <cellStyle name="Total 2 4 5 11" xfId="14858" xr:uid="{61F50E7B-74E7-4191-B665-55FBD6733639}"/>
    <cellStyle name="Total 2 4 5 12" xfId="21726" xr:uid="{A37738E1-7487-414B-8D6F-52360D31A3D4}"/>
    <cellStyle name="Total 2 4 5 13" xfId="3087" xr:uid="{6C930772-BBC5-41C3-BEC0-EB4E4187D1A4}"/>
    <cellStyle name="Total 2 4 5 2" xfId="3493" xr:uid="{C6B655D8-C4AF-44ED-922C-885FBB4DEAF6}"/>
    <cellStyle name="Total 2 4 5 2 10" xfId="15284" xr:uid="{ABC1A9F8-6827-4369-8A05-D93FACE5290A}"/>
    <cellStyle name="Total 2 4 5 2 11" xfId="22152" xr:uid="{7BBBB40F-4031-44D1-929E-A1C7CE7F9CDA}"/>
    <cellStyle name="Total 2 4 5 2 2" xfId="4727" xr:uid="{A63D962F-F310-437C-A4B9-7528607FE11B}"/>
    <cellStyle name="Total 2 4 5 2 2 2" xfId="10584" xr:uid="{ED62FB0D-73DC-4895-AD73-8D781D0165F3}"/>
    <cellStyle name="Total 2 4 5 2 2 2 2" xfId="19630" xr:uid="{26740B66-4A17-43F2-BDF0-A3B85E09C0A6}"/>
    <cellStyle name="Total 2 4 5 2 2 3" xfId="16144" xr:uid="{298ECA3C-D1D0-4DA0-A352-A18E52081DDA}"/>
    <cellStyle name="Total 2 4 5 2 2 4" xfId="22808" xr:uid="{4C0A4134-73E7-4E13-A065-DE435BDB9EB3}"/>
    <cellStyle name="Total 2 4 5 2 3" xfId="5228" xr:uid="{39B6CB52-C214-456B-A1C4-B992835064A8}"/>
    <cellStyle name="Total 2 4 5 2 3 2" xfId="11081" xr:uid="{1A6E5F7D-7CDC-4E39-815E-311B95577BA8}"/>
    <cellStyle name="Total 2 4 5 2 3 2 2" xfId="20127" xr:uid="{9EB70433-8396-47BC-B1F8-EB23B20DA8C4}"/>
    <cellStyle name="Total 2 4 5 2 3 3" xfId="16641" xr:uid="{BDD27779-FA2A-4C00-8A21-55862F672491}"/>
    <cellStyle name="Total 2 4 5 2 3 4" xfId="23303" xr:uid="{CF672D5F-9A4F-4C25-BFA4-D680918E4FAB}"/>
    <cellStyle name="Total 2 4 5 2 4" xfId="5843" xr:uid="{CB819F4D-EFD8-47DA-9512-AB01E2E46661}"/>
    <cellStyle name="Total 2 4 5 2 4 2" xfId="11696" xr:uid="{87573082-E112-4BFA-8BB8-9F36764166B0}"/>
    <cellStyle name="Total 2 4 5 2 4 2 2" xfId="20742" xr:uid="{276D9B29-1350-461F-B468-82073F52D34F}"/>
    <cellStyle name="Total 2 4 5 2 4 3" xfId="17256" xr:uid="{869ADA98-5E81-45AF-96D5-F81D40423546}"/>
    <cellStyle name="Total 2 4 5 2 5" xfId="6454" xr:uid="{D69DD876-1557-4406-A4BB-5CF933C9C7B2}"/>
    <cellStyle name="Total 2 4 5 2 5 2" xfId="12301" xr:uid="{38805A0A-E6E0-4381-A71C-AE5D56B7D7F0}"/>
    <cellStyle name="Total 2 4 5 2 5 2 2" xfId="21347" xr:uid="{ABA9D9D1-6344-4D68-9510-2C51C6ECAF35}"/>
    <cellStyle name="Total 2 4 5 2 5 3" xfId="17867" xr:uid="{4FDE2692-2A53-4044-9014-76FBB4FC61CF}"/>
    <cellStyle name="Total 2 4 5 2 6" xfId="9715" xr:uid="{BE84E068-A824-4A5A-AD1C-696BF34A27D9}"/>
    <cellStyle name="Total 2 4 5 2 6 2" xfId="18761" xr:uid="{61D760C4-0D42-40B2-AF00-3FFB5352A289}"/>
    <cellStyle name="Total 2 4 5 2 7" xfId="13113" xr:uid="{EF725B3A-4306-4FD7-B629-69264BD6086B}"/>
    <cellStyle name="Total 2 4 5 2 8" xfId="13669" xr:uid="{8324849D-ECAF-443E-941C-633B72075537}"/>
    <cellStyle name="Total 2 4 5 2 9" xfId="14309" xr:uid="{473923B3-B0AD-41D0-B940-F021CF582809}"/>
    <cellStyle name="Total 2 4 5 3" xfId="3291" xr:uid="{D3CF1D0E-62BE-45B6-A6E3-0773494466F3}"/>
    <cellStyle name="Total 2 4 5 3 10" xfId="15071" xr:uid="{42B2F6D9-B226-450D-91CF-4D4D1AE217A3}"/>
    <cellStyle name="Total 2 4 5 3 11" xfId="21941" xr:uid="{1888F0D6-4A4D-4BD3-A880-8F1C1D0F3E06}"/>
    <cellStyle name="Total 2 4 5 3 2" xfId="4514" xr:uid="{6F77724B-20DE-4EB8-A85A-3C7B1F8C5752}"/>
    <cellStyle name="Total 2 4 5 3 2 2" xfId="10371" xr:uid="{852AE12D-6149-4A56-A19F-6100D8285040}"/>
    <cellStyle name="Total 2 4 5 3 2 2 2" xfId="19417" xr:uid="{44F8E6D4-4296-4748-BE7B-1975E7BF1E61}"/>
    <cellStyle name="Total 2 4 5 3 2 3" xfId="15931" xr:uid="{DAC81E0A-E2B8-4552-BB21-1639E2CACD98}"/>
    <cellStyle name="Total 2 4 5 3 2 4" xfId="22597" xr:uid="{2E9C79B3-4A77-4BFE-A185-79D018052E5A}"/>
    <cellStyle name="Total 2 4 5 3 3" xfId="5015" xr:uid="{008E232E-4A63-4E09-AD6B-B00CEB936B36}"/>
    <cellStyle name="Total 2 4 5 3 3 2" xfId="10868" xr:uid="{63DA56BA-1E21-4825-8DCB-61C6A5A70254}"/>
    <cellStyle name="Total 2 4 5 3 3 2 2" xfId="19914" xr:uid="{E0EAD3EC-13ED-43A7-842D-9A2217CF1545}"/>
    <cellStyle name="Total 2 4 5 3 3 3" xfId="16428" xr:uid="{BD626280-DA83-4DDF-9F55-8E537ADD8811}"/>
    <cellStyle name="Total 2 4 5 3 3 4" xfId="23092" xr:uid="{088BCEB0-C179-450D-A080-DB18C179C4D6}"/>
    <cellStyle name="Total 2 4 5 3 4" xfId="5630" xr:uid="{B702A5BB-B7AB-4257-A5DA-BB86FD40CEEC}"/>
    <cellStyle name="Total 2 4 5 3 4 2" xfId="11483" xr:uid="{F773CAA6-E4DD-40B1-B732-1F3C4398FE76}"/>
    <cellStyle name="Total 2 4 5 3 4 2 2" xfId="20529" xr:uid="{97F6133A-5B28-4179-BBD7-7105704592C0}"/>
    <cellStyle name="Total 2 4 5 3 4 3" xfId="17043" xr:uid="{169E9A17-C9B7-4A48-9EE8-402C6F788C78}"/>
    <cellStyle name="Total 2 4 5 3 5" xfId="6241" xr:uid="{65FBB717-F1D1-4673-AACC-868C9C0181F9}"/>
    <cellStyle name="Total 2 4 5 3 5 2" xfId="12088" xr:uid="{73A7D7B7-EB07-4CE3-8900-EFEB44A912E0}"/>
    <cellStyle name="Total 2 4 5 3 5 2 2" xfId="21134" xr:uid="{BC057427-2E04-4FBF-BF62-53E3568740CC}"/>
    <cellStyle name="Total 2 4 5 3 5 3" xfId="17654" xr:uid="{E6236176-B756-4867-8597-E9B95CB5E715}"/>
    <cellStyle name="Total 2 4 5 3 6" xfId="9502" xr:uid="{1FBA2BB6-1C21-4A3B-8C6E-B1487CD3698D}"/>
    <cellStyle name="Total 2 4 5 3 6 2" xfId="18548" xr:uid="{802C2727-AE44-4BE0-AD19-B6168886973F}"/>
    <cellStyle name="Total 2 4 5 3 7" xfId="12900" xr:uid="{A14E6253-E16B-4310-8072-E137114F9211}"/>
    <cellStyle name="Total 2 4 5 3 8" xfId="13458" xr:uid="{139DBE6F-B246-45AD-A2F5-1C4CE0E541A3}"/>
    <cellStyle name="Total 2 4 5 3 9" xfId="14096" xr:uid="{9BA5C5D5-C829-4488-AB51-C638922F8351}"/>
    <cellStyle name="Total 2 4 5 4" xfId="4800" xr:uid="{EC73C79F-14D6-4713-8B17-4300396980F2}"/>
    <cellStyle name="Total 2 4 5 4 2" xfId="10657" xr:uid="{2BC26029-6946-4BB3-A304-6EABAEFDE36B}"/>
    <cellStyle name="Total 2 4 5 4 2 2" xfId="19703" xr:uid="{0BBE34DB-A69D-4787-96F0-6CDCFB1BF7D4}"/>
    <cellStyle name="Total 2 4 5 4 3" xfId="16217" xr:uid="{B44E7BCD-FC79-478B-A78A-81F6E402B1DE}"/>
    <cellStyle name="Total 2 4 5 4 4" xfId="22877" xr:uid="{36919DB8-3A02-4362-8F5D-E9F6607D5C97}"/>
    <cellStyle name="Total 2 4 5 5" xfId="5415" xr:uid="{2A5BB034-0C1A-4F34-8243-F9B222463CC9}"/>
    <cellStyle name="Total 2 4 5 5 2" xfId="11268" xr:uid="{ECD96D8C-3B5E-49A0-B8E0-BCDEDADD4A5A}"/>
    <cellStyle name="Total 2 4 5 5 2 2" xfId="20314" xr:uid="{648B2E99-1DA8-420C-A5F4-CE4552E74014}"/>
    <cellStyle name="Total 2 4 5 5 3" xfId="16828" xr:uid="{75BA1577-26F2-440E-AF38-AB064ABE1990}"/>
    <cellStyle name="Total 2 4 5 6" xfId="6026" xr:uid="{088ABBC4-96DB-4EE4-9991-F92B30CFD65E}"/>
    <cellStyle name="Total 2 4 5 6 2" xfId="11877" xr:uid="{A5B87711-9C18-4415-A79B-9D896FE5B835}"/>
    <cellStyle name="Total 2 4 5 6 2 2" xfId="20923" xr:uid="{7FAB264D-CE8A-47FD-BCF5-AC2FFD1164DA}"/>
    <cellStyle name="Total 2 4 5 6 3" xfId="17439" xr:uid="{4F8BEEA0-AE86-4077-AC20-63A2D0C1CE7E}"/>
    <cellStyle name="Total 2 4 5 7" xfId="9289" xr:uid="{960C0A82-9AC5-40A9-95B4-1D9A399C5C0F}"/>
    <cellStyle name="Total 2 4 5 7 2" xfId="18335" xr:uid="{D2736814-0B3A-41E9-A870-4907C3676483}"/>
    <cellStyle name="Total 2 4 5 8" xfId="12685" xr:uid="{9E4412D9-3A03-42C0-A708-E4BC9809732C}"/>
    <cellStyle name="Total 2 4 5 9" xfId="13247" xr:uid="{B6249DC2-C8B8-4B8F-BC8E-A5E57F339706}"/>
    <cellStyle name="Total 2 4 6" xfId="3341" xr:uid="{C436B3D2-7D3C-415C-A9D4-878705C3EEC1}"/>
    <cellStyle name="Total 2 4 6 10" xfId="15121" xr:uid="{28AB7F26-A9C3-4321-8D1B-459B7966F048}"/>
    <cellStyle name="Total 2 4 6 11" xfId="21990" xr:uid="{2BF0E20C-7378-40D9-B067-8E2DD9E22EC5}"/>
    <cellStyle name="Total 2 4 6 2" xfId="4564" xr:uid="{8672A199-5272-4E04-8522-50E700268F70}"/>
    <cellStyle name="Total 2 4 6 2 2" xfId="10421" xr:uid="{9A5D7316-257F-46B5-8062-0590714D8D0B}"/>
    <cellStyle name="Total 2 4 6 2 2 2" xfId="19467" xr:uid="{44240BE4-72BA-4139-B278-D4EBF61F6BD7}"/>
    <cellStyle name="Total 2 4 6 2 3" xfId="15981" xr:uid="{4E87E60E-74A5-4B66-9E1E-830400D2E3C0}"/>
    <cellStyle name="Total 2 4 6 2 4" xfId="22646" xr:uid="{B40A5368-1460-45E3-BC57-E492F132BB58}"/>
    <cellStyle name="Total 2 4 6 3" xfId="5065" xr:uid="{7934D515-9A9D-439C-AFB4-EA53107C08DC}"/>
    <cellStyle name="Total 2 4 6 3 2" xfId="10918" xr:uid="{71B0F458-8C2A-4EE1-9516-8F456A90B016}"/>
    <cellStyle name="Total 2 4 6 3 2 2" xfId="19964" xr:uid="{E4E99599-2CA7-48C2-A4D3-DB4197DA82B5}"/>
    <cellStyle name="Total 2 4 6 3 3" xfId="16478" xr:uid="{AB0AB462-2E69-4B5C-A79B-91A591845653}"/>
    <cellStyle name="Total 2 4 6 3 4" xfId="23141" xr:uid="{E6674602-CC45-4B38-9162-DC1DF763A404}"/>
    <cellStyle name="Total 2 4 6 4" xfId="5680" xr:uid="{39F33392-E7BE-4E7F-9250-0D9E8FE99136}"/>
    <cellStyle name="Total 2 4 6 4 2" xfId="11533" xr:uid="{67686543-A8A9-4ED5-A168-C6A3C1B16FC9}"/>
    <cellStyle name="Total 2 4 6 4 2 2" xfId="20579" xr:uid="{4630A6F2-0667-41D1-AD53-7F2E4DA138EB}"/>
    <cellStyle name="Total 2 4 6 4 3" xfId="17093" xr:uid="{D6BA8667-71E9-4F0E-B25A-BF2933F51829}"/>
    <cellStyle name="Total 2 4 6 5" xfId="6291" xr:uid="{AFDC249E-D6FD-4DB5-9267-24C05A3731FF}"/>
    <cellStyle name="Total 2 4 6 5 2" xfId="12138" xr:uid="{42B25017-1768-4E72-9AEA-514A09953711}"/>
    <cellStyle name="Total 2 4 6 5 2 2" xfId="21184" xr:uid="{E2299991-0FDC-4B1C-8B80-0052718FB39E}"/>
    <cellStyle name="Total 2 4 6 5 3" xfId="17704" xr:uid="{D57FFDEF-17C9-4C51-9C1F-D535DC5D5CC7}"/>
    <cellStyle name="Total 2 4 6 6" xfId="9552" xr:uid="{446B1D36-6336-451A-B104-343AB390EF6E}"/>
    <cellStyle name="Total 2 4 6 6 2" xfId="18598" xr:uid="{9C0DCDFD-14D7-449A-A984-C4488006EB1C}"/>
    <cellStyle name="Total 2 4 6 7" xfId="12950" xr:uid="{3D39288E-6F69-45B9-BC06-F9EFF484FEC2}"/>
    <cellStyle name="Total 2 4 6 8" xfId="13507" xr:uid="{2029328E-78B2-48F3-A932-BB7C7F19BB5D}"/>
    <cellStyle name="Total 2 4 6 9" xfId="14146" xr:uid="{7964F270-A034-4F9F-9537-A235C11C965A}"/>
    <cellStyle name="Total 2 4 7" xfId="3129" xr:uid="{2CC46E0F-9C9C-4BF2-AD89-068B0DC8DE16}"/>
    <cellStyle name="Total 2 4 7 10" xfId="14909" xr:uid="{B949D455-8A09-45CC-AA2E-10D083B1BF8E}"/>
    <cellStyle name="Total 2 4 7 11" xfId="21777" xr:uid="{A3A09658-73F8-416C-9E5F-5137BC7C32AF}"/>
    <cellStyle name="Total 2 4 7 2" xfId="4350" xr:uid="{4DA93DDC-EB30-40ED-852E-3DADC356BB06}"/>
    <cellStyle name="Total 2 4 7 2 2" xfId="10207" xr:uid="{50CDDE50-4A1B-47B8-8C97-763827FB409C}"/>
    <cellStyle name="Total 2 4 7 2 2 2" xfId="19253" xr:uid="{536FB9BE-337E-4B50-8221-FEC6FCD188D2}"/>
    <cellStyle name="Total 2 4 7 2 3" xfId="15767" xr:uid="{39ACCBDD-BFE0-4538-895A-F834AEBD02BB}"/>
    <cellStyle name="Total 2 4 7 2 4" xfId="22433" xr:uid="{7C8BF412-4CC3-41DF-AAC3-2671B483EEF7}"/>
    <cellStyle name="Total 2 4 7 3" xfId="4851" xr:uid="{F2E2C394-F161-4939-8200-F0C9C5A8198E}"/>
    <cellStyle name="Total 2 4 7 3 2" xfId="10706" xr:uid="{5E559237-CBE4-45A4-8F22-F4B9BDB19CDB}"/>
    <cellStyle name="Total 2 4 7 3 2 2" xfId="19752" xr:uid="{DEF58AC3-C68A-460D-8369-1BC4597BCC23}"/>
    <cellStyle name="Total 2 4 7 3 3" xfId="16266" xr:uid="{07BF786F-E8AE-416D-8B98-AA24AA936E7A}"/>
    <cellStyle name="Total 2 4 7 3 4" xfId="22928" xr:uid="{7BE57938-EA9C-448C-A1F5-5B092702F354}"/>
    <cellStyle name="Total 2 4 7 4" xfId="5466" xr:uid="{61F1B77C-07E9-4B2B-B923-30743C880972}"/>
    <cellStyle name="Total 2 4 7 4 2" xfId="11319" xr:uid="{E08158EF-3B77-43C9-8A47-B575CE68D382}"/>
    <cellStyle name="Total 2 4 7 4 2 2" xfId="20365" xr:uid="{A7270A06-9BA8-4C80-B9C9-4253CBDA468D}"/>
    <cellStyle name="Total 2 4 7 4 3" xfId="16879" xr:uid="{C0AE6C0A-873E-42D1-9126-D305D5040376}"/>
    <cellStyle name="Total 2 4 7 5" xfId="6077" xr:uid="{63B0EB35-DCF0-4B4E-834A-E9361A047433}"/>
    <cellStyle name="Total 2 4 7 5 2" xfId="11926" xr:uid="{F5818CEA-8DE5-40EE-93D6-3DE064C84FCB}"/>
    <cellStyle name="Total 2 4 7 5 2 2" xfId="20972" xr:uid="{F0A8A7D5-DDB0-497C-B1D1-19E5C4558CF5}"/>
    <cellStyle name="Total 2 4 7 5 3" xfId="17490" xr:uid="{6FF03408-C699-4B12-AE34-C7BE4BE38756}"/>
    <cellStyle name="Total 2 4 7 6" xfId="9340" xr:uid="{A007234A-BDCC-4061-BC67-583FF0153CEC}"/>
    <cellStyle name="Total 2 4 7 6 2" xfId="18386" xr:uid="{92F990A7-01C4-4A8F-828F-BE079BCE42A5}"/>
    <cellStyle name="Total 2 4 7 7" xfId="12736" xr:uid="{C5B2560B-8AA8-4A4A-8036-03F93F13C450}"/>
    <cellStyle name="Total 2 4 7 8" xfId="13296" xr:uid="{CD0642C5-DF32-4B63-8F88-74704E9E4241}"/>
    <cellStyle name="Total 2 4 7 9" xfId="13932" xr:uid="{C1DF40FF-4C32-48E1-B578-2357DC09724D}"/>
    <cellStyle name="Total 2 4 8" xfId="3730" xr:uid="{019A6D38-88BA-4A5D-8C5F-90FB743479C6}"/>
    <cellStyle name="Total 2 4 8 2" xfId="9772" xr:uid="{C8897839-B8D5-42C7-8F50-73BEB6C9F40C}"/>
    <cellStyle name="Total 2 4 8 2 2" xfId="18818" xr:uid="{679FD176-4F3E-4FF9-80CB-4A6535D5CDD4}"/>
    <cellStyle name="Total 2 4 8 3" xfId="15338" xr:uid="{030A6394-E416-484C-8C62-BF987DCCD46D}"/>
    <cellStyle name="Total 2 4 8 4" xfId="22316" xr:uid="{00AD2E32-9DC1-424D-A3CB-3BA5DE8DAA07}"/>
    <cellStyle name="Total 2 4 9" xfId="4213" xr:uid="{D43A7DC4-1B77-4967-B012-B49776E2A8EF}"/>
    <cellStyle name="Total 2 4 9 2" xfId="10070" xr:uid="{AD5696DA-F9CC-4853-BBA8-DCB664F890A8}"/>
    <cellStyle name="Total 2 4 9 2 2" xfId="19116" xr:uid="{A1D25974-C789-4D9E-958A-217617C3D1C5}"/>
    <cellStyle name="Total 2 4 9 3" xfId="15630" xr:uid="{DBE783C6-F598-4D23-B970-B555E5655E13}"/>
    <cellStyle name="Total 2 4 9 4" xfId="22269" xr:uid="{B97539EF-6169-47CE-98A3-099C594CC9E3}"/>
    <cellStyle name="Total 2 5" xfId="2465" xr:uid="{0F4F9C73-94DA-49BE-B8ED-752585653BB0}"/>
    <cellStyle name="Total 2 5 10" xfId="4269" xr:uid="{514F6C14-3461-4ADA-A7CB-E0FF52F25CDD}"/>
    <cellStyle name="Total 2 5 10 2" xfId="10126" xr:uid="{654EF58B-1775-42E7-8E72-F250306FA847}"/>
    <cellStyle name="Total 2 5 10 2 2" xfId="19172" xr:uid="{6D82E871-15D0-4D4B-836A-5D7C75148A53}"/>
    <cellStyle name="Total 2 5 10 3" xfId="15686" xr:uid="{42163204-BBA3-4181-AC59-EFCE4B13F405}"/>
    <cellStyle name="Total 2 5 11" xfId="5252" xr:uid="{22F19B8D-AE05-4ADE-A1E6-40763D0056DB}"/>
    <cellStyle name="Total 2 5 11 2" xfId="11105" xr:uid="{5DCAEED6-D4D9-4F42-94DD-44DAE6981B0F}"/>
    <cellStyle name="Total 2 5 11 2 2" xfId="20151" xr:uid="{C802630B-9980-4A69-8ED9-C80DF277EE41}"/>
    <cellStyle name="Total 2 5 11 3" xfId="16665" xr:uid="{42A1A20F-F2B9-4DE9-95A5-2726E59FD86D}"/>
    <cellStyle name="Total 2 5 12" xfId="4163" xr:uid="{0F217EDC-076B-4524-82C7-2597A8D4132F}"/>
    <cellStyle name="Total 2 5 12 2" xfId="10020" xr:uid="{AC0AB7D2-CD63-48B8-8766-4A7B3E68D07A}"/>
    <cellStyle name="Total 2 5 12 2 2" xfId="19066" xr:uid="{950D57B7-B8A4-47C4-AAD2-E053E0DA6F23}"/>
    <cellStyle name="Total 2 5 12 3" xfId="15580" xr:uid="{F0A0C77C-CF9B-446B-835C-ED8D3EA9B284}"/>
    <cellStyle name="Total 2 5 13" xfId="9125" xr:uid="{5115D874-4647-4AF0-84E3-ABE82AAD5570}"/>
    <cellStyle name="Total 2 5 13 2" xfId="18171" xr:uid="{96EAE48F-34E6-4C32-853E-43E70407D668}"/>
    <cellStyle name="Total 2 5 14" xfId="12524" xr:uid="{5093F4AB-C5FF-4CCF-9278-FACDE9B905B7}"/>
    <cellStyle name="Total 2 5 15" xfId="13718" xr:uid="{EEF2F1B0-50F8-4284-82F4-1A48D6BBCB81}"/>
    <cellStyle name="Total 2 5 16" xfId="14694" xr:uid="{F58FF394-ED30-40B5-B3FD-BCA319FB4658}"/>
    <cellStyle name="Total 2 5 17" xfId="21566" xr:uid="{3ED603ED-7636-4F74-996A-25159D5AE482}"/>
    <cellStyle name="Total 2 5 18" xfId="23800" xr:uid="{EE4BA013-1BAC-4493-997E-5EAA6E07D2D5}"/>
    <cellStyle name="Total 2 5 2" xfId="2466" xr:uid="{1219B4CE-EC97-405D-9C03-8FD26B8100D0}"/>
    <cellStyle name="Total 2 5 2 10" xfId="5907" xr:uid="{D0722A90-DACE-471B-A50B-93C9E7AF1C05}"/>
    <cellStyle name="Total 2 5 2 10 2" xfId="11760" xr:uid="{C081C8EB-46E3-402C-8C42-C3D0D25E5384}"/>
    <cellStyle name="Total 2 5 2 10 2 2" xfId="20806" xr:uid="{88DCDA04-F3EE-418A-A600-9F701EE60EE5}"/>
    <cellStyle name="Total 2 5 2 10 3" xfId="17320" xr:uid="{E8240200-E8A5-4F5C-92B4-345FFA1688CF}"/>
    <cellStyle name="Total 2 5 2 11" xfId="9170" xr:uid="{FBC6091A-DABB-4AA2-9E3A-F0FA5F1B42FF}"/>
    <cellStyle name="Total 2 5 2 11 2" xfId="18216" xr:uid="{011E9712-4B46-4B56-8C9A-BA4E197485C5}"/>
    <cellStyle name="Total 2 5 2 12" xfId="12568" xr:uid="{A32CC5B0-2D69-446B-B56A-212BA2FD8D03}"/>
    <cellStyle name="Total 2 5 2 13" xfId="13762" xr:uid="{CC912CE9-680C-4AF9-8993-204C3BEC4F87}"/>
    <cellStyle name="Total 2 5 2 14" xfId="14739" xr:uid="{48DE0E30-5608-495F-B211-EE000D8C964F}"/>
    <cellStyle name="Total 2 5 2 15" xfId="21609" xr:uid="{B2718F0E-69DE-4BF3-8817-15B2B843C2EF}"/>
    <cellStyle name="Total 2 5 2 16" xfId="23801" xr:uid="{9DC67BAB-BA90-4F28-992F-47B5F79348D1}"/>
    <cellStyle name="Total 2 5 2 2" xfId="2467" xr:uid="{01AE177A-2550-437B-B3AB-30B64339AFA2}"/>
    <cellStyle name="Total 2 5 2 2 10" xfId="13248" xr:uid="{16261188-F3B7-4218-BD10-676A958B960D}"/>
    <cellStyle name="Total 2 5 2 2 11" xfId="13882" xr:uid="{A3680DB6-92B2-4063-9B80-85BD54E755D9}"/>
    <cellStyle name="Total 2 5 2 2 12" xfId="14859" xr:uid="{38260787-B8E8-4C3E-B4B6-9036A95D21B2}"/>
    <cellStyle name="Total 2 5 2 2 13" xfId="21727" xr:uid="{B3C50C4D-2C0C-46DE-9451-3DF26A8670D0}"/>
    <cellStyle name="Total 2 5 2 2 2" xfId="2518" xr:uid="{DA5CE89C-F733-4F3B-ADCA-6708B59AA67F}"/>
    <cellStyle name="Total 2 5 2 2 2 10" xfId="15285" xr:uid="{4C131D1F-D5D1-42C2-97AD-7316B14CDA44}"/>
    <cellStyle name="Total 2 5 2 2 2 11" xfId="22153" xr:uid="{6EE5715E-EAD9-40F5-A846-A7B65296A7DE}"/>
    <cellStyle name="Total 2 5 2 2 2 12" xfId="3494" xr:uid="{4082401F-B437-4F18-A169-0562A435F01C}"/>
    <cellStyle name="Total 2 5 2 2 2 2" xfId="4728" xr:uid="{44106793-2EBD-41A4-9116-9A3FE57AF69B}"/>
    <cellStyle name="Total 2 5 2 2 2 2 2" xfId="10585" xr:uid="{8C7317F9-AF22-4606-8E22-CFC94ABB198F}"/>
    <cellStyle name="Total 2 5 2 2 2 2 2 2" xfId="19631" xr:uid="{9C80857B-27EB-44A1-8583-38FE660A3805}"/>
    <cellStyle name="Total 2 5 2 2 2 2 3" xfId="16145" xr:uid="{2EB3FF17-D5B3-4E9A-B52C-84513AB9BDF3}"/>
    <cellStyle name="Total 2 5 2 2 2 2 4" xfId="22809" xr:uid="{14199252-0E66-4592-80B6-8456D6A90CDB}"/>
    <cellStyle name="Total 2 5 2 2 2 3" xfId="5229" xr:uid="{36ECF33F-C709-41E1-BC16-5EE386AFF004}"/>
    <cellStyle name="Total 2 5 2 2 2 3 2" xfId="11082" xr:uid="{C687163F-5A69-48FD-9633-BFD9A8C26662}"/>
    <cellStyle name="Total 2 5 2 2 2 3 2 2" xfId="20128" xr:uid="{F7BE9123-5943-417F-BEB0-80E5E884C5E8}"/>
    <cellStyle name="Total 2 5 2 2 2 3 3" xfId="16642" xr:uid="{F1081E25-83B6-4B8A-ABA0-A513D67D8126}"/>
    <cellStyle name="Total 2 5 2 2 2 3 4" xfId="23304" xr:uid="{14F0F4A3-8D0A-4234-B3DA-CC870566C666}"/>
    <cellStyle name="Total 2 5 2 2 2 4" xfId="5844" xr:uid="{9785B4C6-7761-4D0F-B523-4356BD247B81}"/>
    <cellStyle name="Total 2 5 2 2 2 4 2" xfId="11697" xr:uid="{6729927C-A318-464D-8394-BD63C44962E9}"/>
    <cellStyle name="Total 2 5 2 2 2 4 2 2" xfId="20743" xr:uid="{D174B6C0-C6F3-429D-ADD8-5E14E4A450D2}"/>
    <cellStyle name="Total 2 5 2 2 2 4 3" xfId="17257" xr:uid="{E7C4CB18-B6FF-4D9E-B335-933BC0FAE1E2}"/>
    <cellStyle name="Total 2 5 2 2 2 5" xfId="6455" xr:uid="{2D4A0A84-5158-4A0D-9E7D-45736DBE7395}"/>
    <cellStyle name="Total 2 5 2 2 2 5 2" xfId="12302" xr:uid="{6C6248A6-1E30-4EB7-A05B-7A823BC7443B}"/>
    <cellStyle name="Total 2 5 2 2 2 5 2 2" xfId="21348" xr:uid="{58D6082D-A860-4B4D-964A-FB69350E64FD}"/>
    <cellStyle name="Total 2 5 2 2 2 5 3" xfId="17868" xr:uid="{53B71106-272F-40B9-BDC3-A4B1EBB81EA3}"/>
    <cellStyle name="Total 2 5 2 2 2 6" xfId="9716" xr:uid="{3382A8F3-6A4A-41EC-B38F-D35262FC0FC3}"/>
    <cellStyle name="Total 2 5 2 2 2 6 2" xfId="18762" xr:uid="{31ADC34F-48AC-4799-8DAE-F872D96416FB}"/>
    <cellStyle name="Total 2 5 2 2 2 7" xfId="13114" xr:uid="{F88F29B8-4D61-40A2-AE51-352C3725A22E}"/>
    <cellStyle name="Total 2 5 2 2 2 8" xfId="13670" xr:uid="{2AD487D1-0F54-4AC5-B454-E2204B17C7E6}"/>
    <cellStyle name="Total 2 5 2 2 2 9" xfId="14310" xr:uid="{5E9F765B-5CDA-4DC9-9195-E3A0B26862F2}"/>
    <cellStyle name="Total 2 5 2 2 3" xfId="3292" xr:uid="{CF50F94F-ADCB-457F-A051-5268D7775890}"/>
    <cellStyle name="Total 2 5 2 2 3 10" xfId="15072" xr:uid="{A9FA8DF9-4B52-40C6-B0E9-D55B07A47CE0}"/>
    <cellStyle name="Total 2 5 2 2 3 11" xfId="21942" xr:uid="{6DEDF67A-B216-4EFE-BBE7-85FF140F9AA6}"/>
    <cellStyle name="Total 2 5 2 2 3 2" xfId="4515" xr:uid="{35C49479-C26F-4310-A284-5E3FE172959E}"/>
    <cellStyle name="Total 2 5 2 2 3 2 2" xfId="10372" xr:uid="{D084D7AE-5BE6-4D0C-A310-AF5CC07B4842}"/>
    <cellStyle name="Total 2 5 2 2 3 2 2 2" xfId="19418" xr:uid="{2D6D94E4-BFF7-4573-B79A-02B7D75B1C3E}"/>
    <cellStyle name="Total 2 5 2 2 3 2 3" xfId="15932" xr:uid="{8A8F0C98-1477-47DA-B96C-C5E3E8CF5F03}"/>
    <cellStyle name="Total 2 5 2 2 3 2 4" xfId="22598" xr:uid="{56CB0485-D227-4846-A3F8-2C03F8687A38}"/>
    <cellStyle name="Total 2 5 2 2 3 3" xfId="5016" xr:uid="{FF94B916-0313-426E-B65F-DA4519344990}"/>
    <cellStyle name="Total 2 5 2 2 3 3 2" xfId="10869" xr:uid="{A0CDE7BE-92A1-4B39-BCF8-BD8EAF29CE3C}"/>
    <cellStyle name="Total 2 5 2 2 3 3 2 2" xfId="19915" xr:uid="{8AAE412F-C72E-4E8C-8810-66FE419FB68F}"/>
    <cellStyle name="Total 2 5 2 2 3 3 3" xfId="16429" xr:uid="{2540CCDE-27FA-471B-956F-A18ACF23E88D}"/>
    <cellStyle name="Total 2 5 2 2 3 3 4" xfId="23093" xr:uid="{38FC1263-2B52-443B-9ADA-F2B66A6D3E20}"/>
    <cellStyle name="Total 2 5 2 2 3 4" xfId="5631" xr:uid="{9DFE1574-5749-4AE9-A4A4-9FA4ADB422B1}"/>
    <cellStyle name="Total 2 5 2 2 3 4 2" xfId="11484" xr:uid="{EE8FE409-4794-48C7-9389-47669838BDE0}"/>
    <cellStyle name="Total 2 5 2 2 3 4 2 2" xfId="20530" xr:uid="{FB096623-72CC-4A2C-90C1-D6037E556FCF}"/>
    <cellStyle name="Total 2 5 2 2 3 4 3" xfId="17044" xr:uid="{649C2B9A-3540-4C2B-BEFC-8CC5269E899A}"/>
    <cellStyle name="Total 2 5 2 2 3 5" xfId="6242" xr:uid="{443361B1-8C74-4381-BD08-60CE420C8020}"/>
    <cellStyle name="Total 2 5 2 2 3 5 2" xfId="12089" xr:uid="{37E06F85-E1EA-4699-B768-D75791BCACC9}"/>
    <cellStyle name="Total 2 5 2 2 3 5 2 2" xfId="21135" xr:uid="{0A137621-2CC2-4FB1-B284-F84C4E3122F4}"/>
    <cellStyle name="Total 2 5 2 2 3 5 3" xfId="17655" xr:uid="{6EFC0D65-A14C-4213-8FC3-74AA5CE9CBA6}"/>
    <cellStyle name="Total 2 5 2 2 3 6" xfId="9503" xr:uid="{3D9270C7-B88A-4537-9B84-0B16DFC83EAC}"/>
    <cellStyle name="Total 2 5 2 2 3 6 2" xfId="18549" xr:uid="{0B3EB1CC-7B58-4C7A-BE21-3E1B58FCDF0F}"/>
    <cellStyle name="Total 2 5 2 2 3 7" xfId="12901" xr:uid="{6219BD24-120A-462F-884F-296FB2234652}"/>
    <cellStyle name="Total 2 5 2 2 3 8" xfId="13459" xr:uid="{E313189E-CB8A-4163-9471-B2BC85E7A81E}"/>
    <cellStyle name="Total 2 5 2 2 3 9" xfId="14097" xr:uid="{E1D3C2F9-3304-4CF7-ACEC-9E10720E2DAC}"/>
    <cellStyle name="Total 2 5 2 2 4" xfId="4043" xr:uid="{DE5F492E-226E-4B3A-A78B-C427EE1228C9}"/>
    <cellStyle name="Total 2 5 2 2 4 2" xfId="9905" xr:uid="{973786E9-2E3A-40EE-B302-4975DB03B46C}"/>
    <cellStyle name="Total 2 5 2 2 4 2 2" xfId="18951" xr:uid="{C77BCF7A-0D90-47F6-98F1-ABB83828F6CA}"/>
    <cellStyle name="Total 2 5 2 2 4 3" xfId="15467" xr:uid="{B89BD5F1-9C3D-42F6-89F5-75FE429B2D2D}"/>
    <cellStyle name="Total 2 5 2 2 4 4" xfId="22878" xr:uid="{92FA918C-FFF8-4E43-AEC4-89F08DB7E34C}"/>
    <cellStyle name="Total 2 5 2 2 5" xfId="4801" xr:uid="{6A6AA057-9BE9-4155-AB6B-52F7CCA537D0}"/>
    <cellStyle name="Total 2 5 2 2 5 2" xfId="10658" xr:uid="{982BD134-1C03-4DF1-B40A-4FC4F9770D96}"/>
    <cellStyle name="Total 2 5 2 2 5 2 2" xfId="19704" xr:uid="{2834D534-9FA6-4250-B9E7-41F1535A4B12}"/>
    <cellStyle name="Total 2 5 2 2 5 3" xfId="16218" xr:uid="{3049ABF1-098E-4FAD-8E05-D74C02A16560}"/>
    <cellStyle name="Total 2 5 2 2 6" xfId="5416" xr:uid="{0AB9E922-492D-4357-A388-27512D073300}"/>
    <cellStyle name="Total 2 5 2 2 6 2" xfId="11269" xr:uid="{F7CA1EB0-FA9B-459B-9A85-F2C57C01A29D}"/>
    <cellStyle name="Total 2 5 2 2 6 2 2" xfId="20315" xr:uid="{E7D1CD8E-7108-481F-95A5-212136467F5B}"/>
    <cellStyle name="Total 2 5 2 2 6 3" xfId="16829" xr:uid="{CF374276-4AD7-4453-8E04-06D0D01785EB}"/>
    <cellStyle name="Total 2 5 2 2 7" xfId="6027" xr:uid="{FBC67196-7709-4A74-A070-90A3E676FB79}"/>
    <cellStyle name="Total 2 5 2 2 7 2" xfId="11878" xr:uid="{4FFE6710-6D4B-428E-8BCB-51530C154705}"/>
    <cellStyle name="Total 2 5 2 2 7 2 2" xfId="20924" xr:uid="{31B284AD-9B15-4DBC-81FD-35002B588568}"/>
    <cellStyle name="Total 2 5 2 2 7 3" xfId="17440" xr:uid="{75D252C0-06ED-4B91-9A40-F9961A59CEB6}"/>
    <cellStyle name="Total 2 5 2 2 8" xfId="9290" xr:uid="{103B5593-F479-45F6-8C2B-8E920E0ACCB4}"/>
    <cellStyle name="Total 2 5 2 2 8 2" xfId="18336" xr:uid="{54E01320-5124-400B-96F6-3604B482DD53}"/>
    <cellStyle name="Total 2 5 2 2 9" xfId="12686" xr:uid="{F86C3DF4-2D76-4AE3-8FD9-D8C4AC38FF24}"/>
    <cellStyle name="Total 2 5 2 3" xfId="2601" xr:uid="{4E7D4414-49C7-463E-B36D-0C6710B27722}"/>
    <cellStyle name="Total 2 5 2 3 10" xfId="13883" xr:uid="{7312ECBF-2C2F-440A-B7D0-0C17B8EF7A2A}"/>
    <cellStyle name="Total 2 5 2 3 11" xfId="14860" xr:uid="{22E4A30C-B1BB-475F-82D9-1329803899FB}"/>
    <cellStyle name="Total 2 5 2 3 12" xfId="21728" xr:uid="{6CF934D9-FDDC-45EA-AC4E-3C3F26F08067}"/>
    <cellStyle name="Total 2 5 2 3 13" xfId="3088" xr:uid="{F10EF141-B617-42F3-8385-FB41FE0D7A11}"/>
    <cellStyle name="Total 2 5 2 3 2" xfId="3495" xr:uid="{8B78C52C-B8DF-4661-ADFB-F5690F43F53E}"/>
    <cellStyle name="Total 2 5 2 3 2 10" xfId="15286" xr:uid="{84535E74-B974-44C1-8B03-EB94C013B0F1}"/>
    <cellStyle name="Total 2 5 2 3 2 11" xfId="22154" xr:uid="{205AA3DC-99A1-4CBC-8D52-4399A47E7EAD}"/>
    <cellStyle name="Total 2 5 2 3 2 2" xfId="4729" xr:uid="{55951B78-9D35-44BD-8D8D-C64192352AA1}"/>
    <cellStyle name="Total 2 5 2 3 2 2 2" xfId="10586" xr:uid="{92A06BF4-B872-454B-A468-DBD181A0BDC7}"/>
    <cellStyle name="Total 2 5 2 3 2 2 2 2" xfId="19632" xr:uid="{CD7C64EB-8623-4B31-850C-04C528AD1FAB}"/>
    <cellStyle name="Total 2 5 2 3 2 2 3" xfId="16146" xr:uid="{BE074F53-5C85-4292-8227-7AA6030CE89C}"/>
    <cellStyle name="Total 2 5 2 3 2 2 4" xfId="22810" xr:uid="{B491372A-3742-4A26-8762-82AC38786818}"/>
    <cellStyle name="Total 2 5 2 3 2 3" xfId="5230" xr:uid="{B9264583-64CD-43FE-8D1D-AAFB1B7A8033}"/>
    <cellStyle name="Total 2 5 2 3 2 3 2" xfId="11083" xr:uid="{FDEEDACF-4D0D-4DDD-A19D-91EE54FB9A9C}"/>
    <cellStyle name="Total 2 5 2 3 2 3 2 2" xfId="20129" xr:uid="{2958A7EA-A009-474C-A95D-2BE628086FB5}"/>
    <cellStyle name="Total 2 5 2 3 2 3 3" xfId="16643" xr:uid="{B1618BD0-4E05-41CC-8A2D-B03DCF45EB50}"/>
    <cellStyle name="Total 2 5 2 3 2 3 4" xfId="23305" xr:uid="{20B13782-8FFB-40E3-8D8D-02210DC00E72}"/>
    <cellStyle name="Total 2 5 2 3 2 4" xfId="5845" xr:uid="{3C60846B-688C-4E8D-B059-F6018679A329}"/>
    <cellStyle name="Total 2 5 2 3 2 4 2" xfId="11698" xr:uid="{DEEA9AD9-05B9-4C19-BCB8-978780E45465}"/>
    <cellStyle name="Total 2 5 2 3 2 4 2 2" xfId="20744" xr:uid="{8039AA09-36AC-42CD-94FB-0933A2D27736}"/>
    <cellStyle name="Total 2 5 2 3 2 4 3" xfId="17258" xr:uid="{BA528D36-FF27-41C7-A16D-9197B4966ECC}"/>
    <cellStyle name="Total 2 5 2 3 2 5" xfId="6456" xr:uid="{A761A4B3-AB0C-4724-A734-B992CB55D1E8}"/>
    <cellStyle name="Total 2 5 2 3 2 5 2" xfId="12303" xr:uid="{69393302-BEC5-458F-B371-BDD7555A526C}"/>
    <cellStyle name="Total 2 5 2 3 2 5 2 2" xfId="21349" xr:uid="{976491C7-ABBE-41E1-9955-8956E4EA3A92}"/>
    <cellStyle name="Total 2 5 2 3 2 5 3" xfId="17869" xr:uid="{23316F95-DFF5-4961-8F14-340322509C6B}"/>
    <cellStyle name="Total 2 5 2 3 2 6" xfId="9717" xr:uid="{1B758572-2FC9-4614-B896-45F7851C7F9E}"/>
    <cellStyle name="Total 2 5 2 3 2 6 2" xfId="18763" xr:uid="{57980F83-63D7-4741-B8D7-34273608979F}"/>
    <cellStyle name="Total 2 5 2 3 2 7" xfId="13115" xr:uid="{AA5B822A-D0B0-4CE0-B880-7974BD75FA6F}"/>
    <cellStyle name="Total 2 5 2 3 2 8" xfId="13671" xr:uid="{E824B901-09F6-4988-AD2F-AAC46B6143AE}"/>
    <cellStyle name="Total 2 5 2 3 2 9" xfId="14311" xr:uid="{71CAF479-4A92-42DF-8727-69E044A64725}"/>
    <cellStyle name="Total 2 5 2 3 3" xfId="3293" xr:uid="{B07186F7-C84F-409D-87F2-B0C5D395A7C3}"/>
    <cellStyle name="Total 2 5 2 3 3 10" xfId="15073" xr:uid="{6AEFE525-DA1C-4B3F-8CFB-E1AC55D0F87F}"/>
    <cellStyle name="Total 2 5 2 3 3 11" xfId="21943" xr:uid="{2A7E81F5-765C-45A1-A2C7-49AA7A4D0ECC}"/>
    <cellStyle name="Total 2 5 2 3 3 2" xfId="4516" xr:uid="{A806FB29-DADB-4F73-91EE-88E898E89D8A}"/>
    <cellStyle name="Total 2 5 2 3 3 2 2" xfId="10373" xr:uid="{4918751A-077C-4DC3-8F07-51D92DB1A854}"/>
    <cellStyle name="Total 2 5 2 3 3 2 2 2" xfId="19419" xr:uid="{FBA90BCE-7E35-4FD5-B8E5-44C96D675EB0}"/>
    <cellStyle name="Total 2 5 2 3 3 2 3" xfId="15933" xr:uid="{1F238806-59C1-4368-8520-ED1576A19005}"/>
    <cellStyle name="Total 2 5 2 3 3 2 4" xfId="22599" xr:uid="{9DE97345-8593-48CA-B9BB-4190BFA82E3D}"/>
    <cellStyle name="Total 2 5 2 3 3 3" xfId="5017" xr:uid="{92E4865E-F40A-4680-958A-EC71FF2D3B15}"/>
    <cellStyle name="Total 2 5 2 3 3 3 2" xfId="10870" xr:uid="{DAA25D4D-20B3-4394-8699-2B3CE56B605D}"/>
    <cellStyle name="Total 2 5 2 3 3 3 2 2" xfId="19916" xr:uid="{657163AF-D525-4AF8-AD5C-AF6A8AD62A8B}"/>
    <cellStyle name="Total 2 5 2 3 3 3 3" xfId="16430" xr:uid="{CB17445B-EAA7-4E6E-95F8-2700CA467E06}"/>
    <cellStyle name="Total 2 5 2 3 3 3 4" xfId="23094" xr:uid="{DDDDFE74-92A2-46DD-8181-62AF86021791}"/>
    <cellStyle name="Total 2 5 2 3 3 4" xfId="5632" xr:uid="{A94BC835-3854-4811-BCE1-26F296D6A6E2}"/>
    <cellStyle name="Total 2 5 2 3 3 4 2" xfId="11485" xr:uid="{570F5CB1-5C6F-473A-B7F6-E5F8FC3D7BB5}"/>
    <cellStyle name="Total 2 5 2 3 3 4 2 2" xfId="20531" xr:uid="{B75DBAD5-DF33-4BF3-9A52-BF2D2E779410}"/>
    <cellStyle name="Total 2 5 2 3 3 4 3" xfId="17045" xr:uid="{F1599709-722D-4AB1-BBF7-58E9D649B013}"/>
    <cellStyle name="Total 2 5 2 3 3 5" xfId="6243" xr:uid="{C6F16297-26E2-47B1-B478-0B80095BB4CC}"/>
    <cellStyle name="Total 2 5 2 3 3 5 2" xfId="12090" xr:uid="{18299CF5-00FA-42F5-8659-F9FADAE3CAAF}"/>
    <cellStyle name="Total 2 5 2 3 3 5 2 2" xfId="21136" xr:uid="{B326DC0E-B1C9-4C1F-A0DB-63589DAD7CDB}"/>
    <cellStyle name="Total 2 5 2 3 3 5 3" xfId="17656" xr:uid="{4A22F896-A9CC-4CED-A05E-7BE15185E216}"/>
    <cellStyle name="Total 2 5 2 3 3 6" xfId="9504" xr:uid="{033F9666-C230-42F6-B8A2-98CD05358B4A}"/>
    <cellStyle name="Total 2 5 2 3 3 6 2" xfId="18550" xr:uid="{FAB28976-A5E5-496D-B699-2AA655C78299}"/>
    <cellStyle name="Total 2 5 2 3 3 7" xfId="12902" xr:uid="{D2031222-48D7-45A8-ABD9-E421CC57E4BB}"/>
    <cellStyle name="Total 2 5 2 3 3 8" xfId="13460" xr:uid="{36594659-8B01-498B-9365-EC4FD01C0DF2}"/>
    <cellStyle name="Total 2 5 2 3 3 9" xfId="14098" xr:uid="{BD23F7CC-CA94-4E90-A2EF-DDE0E0C3C024}"/>
    <cellStyle name="Total 2 5 2 3 4" xfId="4802" xr:uid="{5913F73B-49C7-493E-A137-034DE7B81CD5}"/>
    <cellStyle name="Total 2 5 2 3 4 2" xfId="10659" xr:uid="{9C836368-26DE-41FE-B6EA-B85B2CDBBE10}"/>
    <cellStyle name="Total 2 5 2 3 4 2 2" xfId="19705" xr:uid="{94A4924C-64D3-4354-AB14-48543DCEB3F0}"/>
    <cellStyle name="Total 2 5 2 3 4 3" xfId="16219" xr:uid="{EE5F466E-78B7-4BB4-8989-464B886FFE3A}"/>
    <cellStyle name="Total 2 5 2 3 4 4" xfId="22879" xr:uid="{C5552820-F83C-4836-93C9-3792D3264510}"/>
    <cellStyle name="Total 2 5 2 3 5" xfId="5417" xr:uid="{31819C91-F9A3-44AB-8D9E-06899D27752A}"/>
    <cellStyle name="Total 2 5 2 3 5 2" xfId="11270" xr:uid="{D9CE4EAD-0C30-4836-A9F9-5D3F5B5D01E3}"/>
    <cellStyle name="Total 2 5 2 3 5 2 2" xfId="20316" xr:uid="{93E6D621-ADB7-4FBF-8036-050C40887871}"/>
    <cellStyle name="Total 2 5 2 3 5 3" xfId="16830" xr:uid="{C4B6067A-CD4C-4890-B041-E1B26E85752D}"/>
    <cellStyle name="Total 2 5 2 3 6" xfId="6028" xr:uid="{8176F620-99C0-455F-A388-09EFDEBFD77A}"/>
    <cellStyle name="Total 2 5 2 3 6 2" xfId="11879" xr:uid="{31E1CC61-5BE0-4659-B3CE-B3081DF46DC9}"/>
    <cellStyle name="Total 2 5 2 3 6 2 2" xfId="20925" xr:uid="{EC0A3740-1CF9-4E67-AB1F-5E2BB186E66C}"/>
    <cellStyle name="Total 2 5 2 3 6 3" xfId="17441" xr:uid="{3D0EA50E-D416-48C5-A13D-AA6EF2B70B75}"/>
    <cellStyle name="Total 2 5 2 3 7" xfId="9291" xr:uid="{0D624BA6-FF40-44FE-B80D-E5F1AD90F475}"/>
    <cellStyle name="Total 2 5 2 3 7 2" xfId="18337" xr:uid="{3DC1267C-F473-4605-B401-47E9499A26F9}"/>
    <cellStyle name="Total 2 5 2 3 8" xfId="12687" xr:uid="{ECE65A7B-0BD1-42FF-A5A3-BFCE79CE9D33}"/>
    <cellStyle name="Total 2 5 2 3 9" xfId="13249" xr:uid="{688A4EAA-88D3-4E14-9D97-B04E58FDF759}"/>
    <cellStyle name="Total 2 5 2 4" xfId="3386" xr:uid="{54DC4082-3F10-4776-94D8-31BC42B4031C}"/>
    <cellStyle name="Total 2 5 2 4 10" xfId="15166" xr:uid="{44D0E3FC-3615-4461-A419-A5FEB27E61BE}"/>
    <cellStyle name="Total 2 5 2 4 11" xfId="22035" xr:uid="{904FAC5B-1535-4B3E-9FD2-0CDB2B7CA9F8}"/>
    <cellStyle name="Total 2 5 2 4 2" xfId="4609" xr:uid="{A168D7AD-885D-4A7F-B333-550D524948EF}"/>
    <cellStyle name="Total 2 5 2 4 2 2" xfId="10466" xr:uid="{EBE86A8A-ABD8-49B6-8FD9-C95D8C1EAE05}"/>
    <cellStyle name="Total 2 5 2 4 2 2 2" xfId="19512" xr:uid="{276D9EBB-415B-4386-8F98-AC0DE631B6B9}"/>
    <cellStyle name="Total 2 5 2 4 2 3" xfId="16026" xr:uid="{D287BF45-EEC4-4127-88EF-4F2596A8A6D6}"/>
    <cellStyle name="Total 2 5 2 4 2 4" xfId="22691" xr:uid="{B8BA2FAA-0240-4799-8015-C1B29D65009E}"/>
    <cellStyle name="Total 2 5 2 4 3" xfId="5110" xr:uid="{58992FF7-F5B5-414A-91B1-6D41135A3263}"/>
    <cellStyle name="Total 2 5 2 4 3 2" xfId="10963" xr:uid="{FBEA4855-9EF0-4CBC-9039-E9E39FFB7B78}"/>
    <cellStyle name="Total 2 5 2 4 3 2 2" xfId="20009" xr:uid="{39461E0E-87F1-4F3C-BF8F-EB8C10266837}"/>
    <cellStyle name="Total 2 5 2 4 3 3" xfId="16523" xr:uid="{8180D63D-546F-4792-B37C-64CC6874F087}"/>
    <cellStyle name="Total 2 5 2 4 3 4" xfId="23186" xr:uid="{7AA840A4-D5DB-4425-A297-03BA6F49880E}"/>
    <cellStyle name="Total 2 5 2 4 4" xfId="5725" xr:uid="{7017E3BB-6F0E-4230-922C-4E5A170683CA}"/>
    <cellStyle name="Total 2 5 2 4 4 2" xfId="11578" xr:uid="{A53A79CE-3841-4473-9BE3-539B5250334C}"/>
    <cellStyle name="Total 2 5 2 4 4 2 2" xfId="20624" xr:uid="{05DFA104-BAB5-4A26-BCDA-419350F64865}"/>
    <cellStyle name="Total 2 5 2 4 4 3" xfId="17138" xr:uid="{9CA54582-C5D1-4585-9A48-A64352126301}"/>
    <cellStyle name="Total 2 5 2 4 5" xfId="6336" xr:uid="{AD7D2AFB-2E36-4AA3-A00A-F87EF511A403}"/>
    <cellStyle name="Total 2 5 2 4 5 2" xfId="12183" xr:uid="{3798B35B-C90B-482B-A3FD-5B666E531D4E}"/>
    <cellStyle name="Total 2 5 2 4 5 2 2" xfId="21229" xr:uid="{0B8D5BDC-631B-4FC8-AADA-D4C2EA2211BB}"/>
    <cellStyle name="Total 2 5 2 4 5 3" xfId="17749" xr:uid="{A31674FC-06B9-48C9-8DA1-E57FA267C296}"/>
    <cellStyle name="Total 2 5 2 4 6" xfId="9597" xr:uid="{0649CE92-8623-4FB9-B30D-DAE2A310E842}"/>
    <cellStyle name="Total 2 5 2 4 6 2" xfId="18643" xr:uid="{25AEF0CC-CD0B-40C6-A430-B4A657975636}"/>
    <cellStyle name="Total 2 5 2 4 7" xfId="12995" xr:uid="{1A48CE54-106D-4188-9BC0-1DE86CAF9A5F}"/>
    <cellStyle name="Total 2 5 2 4 8" xfId="13552" xr:uid="{3EDA500C-A856-40A1-BF1D-1026BF3CF4B7}"/>
    <cellStyle name="Total 2 5 2 4 9" xfId="14191" xr:uid="{0145E5BE-47ED-4D01-AE45-B85C8DC98941}"/>
    <cellStyle name="Total 2 5 2 5" xfId="3174" xr:uid="{7E9EC994-6D9D-45E0-BF2E-DD08E72F2500}"/>
    <cellStyle name="Total 2 5 2 5 10" xfId="14954" xr:uid="{A44F6EEA-7D29-418C-AFB0-7807DCB1ED0C}"/>
    <cellStyle name="Total 2 5 2 5 11" xfId="21822" xr:uid="{C097E384-D980-407C-8BD2-36BB29C3B447}"/>
    <cellStyle name="Total 2 5 2 5 2" xfId="4395" xr:uid="{9CA5B69E-200A-4EF3-A3FA-F82ECC965AE7}"/>
    <cellStyle name="Total 2 5 2 5 2 2" xfId="10252" xr:uid="{38C038C5-535F-4DA2-AD89-0C78B9CB723C}"/>
    <cellStyle name="Total 2 5 2 5 2 2 2" xfId="19298" xr:uid="{4095E334-2B59-4ACB-884F-FE9AFADAD913}"/>
    <cellStyle name="Total 2 5 2 5 2 3" xfId="15812" xr:uid="{1A030B15-212C-4B4C-9C7F-1BEB70E1A3D4}"/>
    <cellStyle name="Total 2 5 2 5 2 4" xfId="22478" xr:uid="{2FB0F81B-ECC8-4C8E-A530-55232D022D79}"/>
    <cellStyle name="Total 2 5 2 5 3" xfId="4896" xr:uid="{F15C7D90-2E19-46A3-ACF1-C07C8F04A999}"/>
    <cellStyle name="Total 2 5 2 5 3 2" xfId="10751" xr:uid="{3D202EA8-7C4B-43B5-B5D5-66D84F3C7262}"/>
    <cellStyle name="Total 2 5 2 5 3 2 2" xfId="19797" xr:uid="{D638FB78-28D9-483A-A149-C10E792EB7D2}"/>
    <cellStyle name="Total 2 5 2 5 3 3" xfId="16311" xr:uid="{4E34593A-4D9D-4063-8509-28A7DD4CC9DB}"/>
    <cellStyle name="Total 2 5 2 5 3 4" xfId="22973" xr:uid="{DE0E17C0-DF25-42C0-80CF-E01C3EEC8996}"/>
    <cellStyle name="Total 2 5 2 5 4" xfId="5511" xr:uid="{0B7D12C7-6FD3-4764-88F9-CDD67F01D7BB}"/>
    <cellStyle name="Total 2 5 2 5 4 2" xfId="11364" xr:uid="{D656C170-DA23-42A6-BF49-DE5C70B02EC1}"/>
    <cellStyle name="Total 2 5 2 5 4 2 2" xfId="20410" xr:uid="{30825AF3-70E8-4533-9250-7CA7A9C54010}"/>
    <cellStyle name="Total 2 5 2 5 4 3" xfId="16924" xr:uid="{D99E50A2-F236-483A-8404-889455F4B02F}"/>
    <cellStyle name="Total 2 5 2 5 5" xfId="6122" xr:uid="{4C66D1CC-2731-4DF1-A7E4-2EE0548F5B4A}"/>
    <cellStyle name="Total 2 5 2 5 5 2" xfId="11971" xr:uid="{96248ECC-DC07-41A6-B591-5E5E9F4EBCA2}"/>
    <cellStyle name="Total 2 5 2 5 5 2 2" xfId="21017" xr:uid="{A7B9EFD5-D2F9-4565-AE4D-B7EE40598D5B}"/>
    <cellStyle name="Total 2 5 2 5 5 3" xfId="17535" xr:uid="{5BE43081-29E8-4E8C-B592-2D0506385146}"/>
    <cellStyle name="Total 2 5 2 5 6" xfId="9385" xr:uid="{6FBF35D9-C5D4-44B6-9646-43B5D5A52A49}"/>
    <cellStyle name="Total 2 5 2 5 6 2" xfId="18431" xr:uid="{BF7E3995-1807-4C81-A6FD-4CC1CE1F19AA}"/>
    <cellStyle name="Total 2 5 2 5 7" xfId="12781" xr:uid="{710875F7-1194-4354-BA2F-D7AFAC9ACB03}"/>
    <cellStyle name="Total 2 5 2 5 8" xfId="13341" xr:uid="{4A091A7B-CAFA-4AB7-8CB1-3306EFD93A9E}"/>
    <cellStyle name="Total 2 5 2 5 9" xfId="13977" xr:uid="{F4728398-ECE5-4502-B094-939475FD2718}"/>
    <cellStyle name="Total 2 5 2 6" xfId="3775" xr:uid="{4B8D2B5E-DBD1-47E7-9F8F-A7AC3812FC9D}"/>
    <cellStyle name="Total 2 5 2 6 2" xfId="9817" xr:uid="{88193B36-0FD7-47F7-81A2-9318B46FB8C3}"/>
    <cellStyle name="Total 2 5 2 6 2 2" xfId="18863" xr:uid="{AA9BF9D6-FA3D-483E-80F9-56CAAB2177CC}"/>
    <cellStyle name="Total 2 5 2 6 3" xfId="15383" xr:uid="{191808CE-B262-4BD2-AAC7-6A908EFF6A2E}"/>
    <cellStyle name="Total 2 5 2 6 4" xfId="22362" xr:uid="{617B20EB-B2AE-4975-A93B-E2DB0ABE31C9}"/>
    <cellStyle name="Total 2 5 2 7" xfId="4259" xr:uid="{9B708746-FBAE-46B4-9E4E-3321EEEAB337}"/>
    <cellStyle name="Total 2 5 2 7 2" xfId="10116" xr:uid="{81360DEC-CCA6-4C6E-977A-539AF130E18F}"/>
    <cellStyle name="Total 2 5 2 7 2 2" xfId="19162" xr:uid="{2CBE0442-307D-4CB9-A7F3-7A26C2F9337C}"/>
    <cellStyle name="Total 2 5 2 7 3" xfId="15676" xr:uid="{165287C7-3D96-4A24-BD5E-3405DA3A79BC}"/>
    <cellStyle name="Total 2 5 2 7 4" xfId="22242" xr:uid="{DB0A409A-5056-419F-A6AB-19E86EB76BE8}"/>
    <cellStyle name="Total 2 5 2 8" xfId="4123" xr:uid="{CFF4A027-4517-4F08-8D1E-1D51A8172B55}"/>
    <cellStyle name="Total 2 5 2 8 2" xfId="9980" xr:uid="{904F4EB0-8C24-4A9F-A72F-CD374667BB4C}"/>
    <cellStyle name="Total 2 5 2 8 2 2" xfId="19026" xr:uid="{2CEC35F5-7C49-46BB-97BB-5C71264A1E0B}"/>
    <cellStyle name="Total 2 5 2 8 3" xfId="15540" xr:uid="{10A4AC1D-8996-4C65-B04D-A89C5B7C752C}"/>
    <cellStyle name="Total 2 5 2 9" xfId="5296" xr:uid="{ADCD5772-58B0-480F-9804-1101DCCA1861}"/>
    <cellStyle name="Total 2 5 2 9 2" xfId="11149" xr:uid="{E415CCC4-D1F8-40FB-B568-E5497C6BAB9E}"/>
    <cellStyle name="Total 2 5 2 9 2 2" xfId="20195" xr:uid="{BB287709-F02A-4D89-871B-B49F6C9CBA46}"/>
    <cellStyle name="Total 2 5 2 9 3" xfId="16709" xr:uid="{CFB01C9B-D65A-49D7-9A11-36D6C5CAA245}"/>
    <cellStyle name="Total 2 5 3" xfId="2468" xr:uid="{CE0FD0EF-CEB3-4D4E-BB6D-4F7C1F57872C}"/>
    <cellStyle name="Total 2 5 3 10" xfId="5908" xr:uid="{07521D30-82D7-4F45-A26A-3CD80BEEC95A}"/>
    <cellStyle name="Total 2 5 3 10 2" xfId="11761" xr:uid="{FC3902AF-2E64-4EC5-B7AA-D9F0298B8E20}"/>
    <cellStyle name="Total 2 5 3 10 2 2" xfId="20807" xr:uid="{3F8AFEED-DB21-4C05-9A2E-F02294DF3219}"/>
    <cellStyle name="Total 2 5 3 10 3" xfId="17321" xr:uid="{23136C11-B234-4C58-847A-46BA8D2591EF}"/>
    <cellStyle name="Total 2 5 3 11" xfId="9171" xr:uid="{06AFB5B5-7DD1-40F7-A79F-BE73878769D0}"/>
    <cellStyle name="Total 2 5 3 11 2" xfId="18217" xr:uid="{09BEEB70-BCCD-43A9-95A6-65498DE64020}"/>
    <cellStyle name="Total 2 5 3 12" xfId="12569" xr:uid="{6990B74A-2D3B-45A8-852B-1A5B79F5BF99}"/>
    <cellStyle name="Total 2 5 3 13" xfId="13763" xr:uid="{087C5CA5-A855-4D6C-952B-CDE79AB56D59}"/>
    <cellStyle name="Total 2 5 3 14" xfId="14740" xr:uid="{94E36FBA-47AB-45A9-B515-B0036371163C}"/>
    <cellStyle name="Total 2 5 3 15" xfId="21610" xr:uid="{EDF2A60B-71E1-4B5C-9A6D-B960126EB49B}"/>
    <cellStyle name="Total 2 5 3 16" xfId="23802" xr:uid="{29FC16C0-D2E2-4118-A256-A4C1BC4CE4AD}"/>
    <cellStyle name="Total 2 5 3 2" xfId="2469" xr:uid="{7F10D10D-B616-44EB-9411-F92AA84ECD8C}"/>
    <cellStyle name="Total 2 5 3 2 10" xfId="13250" xr:uid="{52B76F3A-A49A-4B87-90B8-F775D7464E98}"/>
    <cellStyle name="Total 2 5 3 2 11" xfId="13884" xr:uid="{B07BDFF6-3C59-4810-8E19-DE9DCEE48E4F}"/>
    <cellStyle name="Total 2 5 3 2 12" xfId="14861" xr:uid="{982D59D3-ACD4-4F1D-9E1B-CBA20D3D61B0}"/>
    <cellStyle name="Total 2 5 3 2 13" xfId="21729" xr:uid="{70CFCFD2-BE9C-4AF8-9D9D-9A377F5C92FC}"/>
    <cellStyle name="Total 2 5 3 2 2" xfId="2546" xr:uid="{DC3FFD3A-19E0-4E0F-B5D3-5156C50DE6BB}"/>
    <cellStyle name="Total 2 5 3 2 2 10" xfId="15287" xr:uid="{2D4F0E24-EC5A-4675-A366-1688F4CF94D6}"/>
    <cellStyle name="Total 2 5 3 2 2 11" xfId="22155" xr:uid="{4A37AA0B-9A78-4F02-BC60-F2FDFFA3468F}"/>
    <cellStyle name="Total 2 5 3 2 2 12" xfId="3496" xr:uid="{C9010050-4EED-4F60-988F-D434BB66AF93}"/>
    <cellStyle name="Total 2 5 3 2 2 2" xfId="4730" xr:uid="{E859B453-2542-4E3D-A069-166C8168D61F}"/>
    <cellStyle name="Total 2 5 3 2 2 2 2" xfId="10587" xr:uid="{8CFB14D1-09FB-423B-944F-BAE9281273FC}"/>
    <cellStyle name="Total 2 5 3 2 2 2 2 2" xfId="19633" xr:uid="{4862BAAC-F46E-4633-A085-D27FFFB32544}"/>
    <cellStyle name="Total 2 5 3 2 2 2 3" xfId="16147" xr:uid="{60FD454E-C870-4CCD-8529-4DFA70826BE1}"/>
    <cellStyle name="Total 2 5 3 2 2 2 4" xfId="22811" xr:uid="{F8A7B766-A7EA-425D-8C25-5744963EFCA8}"/>
    <cellStyle name="Total 2 5 3 2 2 3" xfId="5231" xr:uid="{F61093D7-8753-4A1B-AD28-CF8CE9665FCC}"/>
    <cellStyle name="Total 2 5 3 2 2 3 2" xfId="11084" xr:uid="{A67407B8-04AF-49F3-9AAD-185684CF420D}"/>
    <cellStyle name="Total 2 5 3 2 2 3 2 2" xfId="20130" xr:uid="{A89B8FBA-0503-4362-B4D6-1DD989E04E7C}"/>
    <cellStyle name="Total 2 5 3 2 2 3 3" xfId="16644" xr:uid="{A2992DF2-7DD0-4833-A83A-DA471F716C48}"/>
    <cellStyle name="Total 2 5 3 2 2 3 4" xfId="23306" xr:uid="{E02AF8B5-5202-46DF-BB42-CA0DAAE2D810}"/>
    <cellStyle name="Total 2 5 3 2 2 4" xfId="5846" xr:uid="{27204FB1-C3D0-474D-9E61-B74C5DCA1E06}"/>
    <cellStyle name="Total 2 5 3 2 2 4 2" xfId="11699" xr:uid="{CAB2843F-8605-409C-99E5-B0BB698864ED}"/>
    <cellStyle name="Total 2 5 3 2 2 4 2 2" xfId="20745" xr:uid="{906D7F3C-6BAC-4AFF-BC62-624BA3F3F848}"/>
    <cellStyle name="Total 2 5 3 2 2 4 3" xfId="17259" xr:uid="{B7CF20AA-AF06-4317-859E-376BFDB448AF}"/>
    <cellStyle name="Total 2 5 3 2 2 5" xfId="6457" xr:uid="{AE44CBC0-5F70-40E0-88BD-B5C5D62B1C3B}"/>
    <cellStyle name="Total 2 5 3 2 2 5 2" xfId="12304" xr:uid="{406B949B-F5A7-4CE2-B7EC-5BCECCCF4933}"/>
    <cellStyle name="Total 2 5 3 2 2 5 2 2" xfId="21350" xr:uid="{D9B54830-C1CD-4552-ADF1-3BB982658C00}"/>
    <cellStyle name="Total 2 5 3 2 2 5 3" xfId="17870" xr:uid="{6C12D5F0-FA7F-439C-BB02-15A14DC4E39D}"/>
    <cellStyle name="Total 2 5 3 2 2 6" xfId="9718" xr:uid="{84E5AB4D-A3F8-4E21-87A8-BD7773382C50}"/>
    <cellStyle name="Total 2 5 3 2 2 6 2" xfId="18764" xr:uid="{BC994993-B6D5-452B-980D-3C8585B01431}"/>
    <cellStyle name="Total 2 5 3 2 2 7" xfId="13116" xr:uid="{47978D98-2C2B-4997-9DAB-E7A6B1F1EA53}"/>
    <cellStyle name="Total 2 5 3 2 2 8" xfId="13672" xr:uid="{4EFEF6BA-7E0F-4594-95B4-CA08210BD85B}"/>
    <cellStyle name="Total 2 5 3 2 2 9" xfId="14312" xr:uid="{580FF497-9C7C-4F03-91D2-1F5C4A227C4F}"/>
    <cellStyle name="Total 2 5 3 2 3" xfId="3294" xr:uid="{3929FC02-DFA2-4E8A-9B7A-C205F7A6C93D}"/>
    <cellStyle name="Total 2 5 3 2 3 10" xfId="15074" xr:uid="{33394C4B-6305-4DE0-898A-38A7A003F34E}"/>
    <cellStyle name="Total 2 5 3 2 3 11" xfId="21944" xr:uid="{78F16FBD-0A89-4EE7-88A6-50F7C1443856}"/>
    <cellStyle name="Total 2 5 3 2 3 2" xfId="4517" xr:uid="{1BE9C1E8-1394-44B1-9FFA-E7578B75A9F5}"/>
    <cellStyle name="Total 2 5 3 2 3 2 2" xfId="10374" xr:uid="{2E9CDE99-54CE-4D74-9E8E-D65EB643AF1B}"/>
    <cellStyle name="Total 2 5 3 2 3 2 2 2" xfId="19420" xr:uid="{043D9829-C21C-489C-94F7-AECB60EF7638}"/>
    <cellStyle name="Total 2 5 3 2 3 2 3" xfId="15934" xr:uid="{C08F393B-838A-4865-846F-2C77463FAC9B}"/>
    <cellStyle name="Total 2 5 3 2 3 2 4" xfId="22600" xr:uid="{DB78B6D7-0AF3-4119-9BFA-0FBEC50D710A}"/>
    <cellStyle name="Total 2 5 3 2 3 3" xfId="5018" xr:uid="{A2B19981-EED7-49E7-8286-1F1DB2B4AEF2}"/>
    <cellStyle name="Total 2 5 3 2 3 3 2" xfId="10871" xr:uid="{28034897-8DA7-4318-BC14-24D8BC794B67}"/>
    <cellStyle name="Total 2 5 3 2 3 3 2 2" xfId="19917" xr:uid="{F062266E-B08C-4998-B0CC-D9D93D35A876}"/>
    <cellStyle name="Total 2 5 3 2 3 3 3" xfId="16431" xr:uid="{D68B5906-C0BE-402F-8D19-8D7D42A61742}"/>
    <cellStyle name="Total 2 5 3 2 3 3 4" xfId="23095" xr:uid="{AEEFBA51-A0A1-42FE-AC0A-C96054943F08}"/>
    <cellStyle name="Total 2 5 3 2 3 4" xfId="5633" xr:uid="{2EF8A70D-52FB-4167-ABED-942D1161185F}"/>
    <cellStyle name="Total 2 5 3 2 3 4 2" xfId="11486" xr:uid="{D953DB7A-B545-45EC-B370-9C466DF730B9}"/>
    <cellStyle name="Total 2 5 3 2 3 4 2 2" xfId="20532" xr:uid="{CB533951-E315-4F25-939F-9F6E0BF0B016}"/>
    <cellStyle name="Total 2 5 3 2 3 4 3" xfId="17046" xr:uid="{A88A0FE8-D107-4904-B2C2-EF75B75C926D}"/>
    <cellStyle name="Total 2 5 3 2 3 5" xfId="6244" xr:uid="{0278EAE7-463D-401C-9DD7-C640C8A8CE4B}"/>
    <cellStyle name="Total 2 5 3 2 3 5 2" xfId="12091" xr:uid="{8A926BA8-7527-47B9-9DE0-0F9DA7D625BC}"/>
    <cellStyle name="Total 2 5 3 2 3 5 2 2" xfId="21137" xr:uid="{9FD6C604-FB04-4461-8B3A-081D31A9B7AF}"/>
    <cellStyle name="Total 2 5 3 2 3 5 3" xfId="17657" xr:uid="{8A2259B9-A327-4B4F-B540-72B3450DD495}"/>
    <cellStyle name="Total 2 5 3 2 3 6" xfId="9505" xr:uid="{551C64CB-440F-4E25-A573-F26EF32B0FB4}"/>
    <cellStyle name="Total 2 5 3 2 3 6 2" xfId="18551" xr:uid="{F5B46A6D-4E26-4F07-984B-7A2631F035CA}"/>
    <cellStyle name="Total 2 5 3 2 3 7" xfId="12903" xr:uid="{52C260CA-72D5-4972-9600-D72DD2A222FF}"/>
    <cellStyle name="Total 2 5 3 2 3 8" xfId="13461" xr:uid="{844B1957-E5D2-4F32-BCCD-D1BF5E1B520C}"/>
    <cellStyle name="Total 2 5 3 2 3 9" xfId="14099" xr:uid="{D6EAF7F4-5699-43D6-AF21-696FA259E4A1}"/>
    <cellStyle name="Total 2 5 3 2 4" xfId="4044" xr:uid="{64346805-78C6-4147-8112-B139CDD3AC58}"/>
    <cellStyle name="Total 2 5 3 2 4 2" xfId="9906" xr:uid="{974E5F5D-0C0C-4EF8-A524-7961C461CD83}"/>
    <cellStyle name="Total 2 5 3 2 4 2 2" xfId="18952" xr:uid="{5FBE8B3D-04F8-4BC5-B8AF-F550E6A06B58}"/>
    <cellStyle name="Total 2 5 3 2 4 3" xfId="15468" xr:uid="{B82B07ED-9826-4C44-A5F9-C4B5783E5CC4}"/>
    <cellStyle name="Total 2 5 3 2 4 4" xfId="22880" xr:uid="{DA43663E-FC3E-43DA-934E-03AC2C6F7800}"/>
    <cellStyle name="Total 2 5 3 2 5" xfId="4803" xr:uid="{5FD815DC-785E-4FF5-9DC7-C5FA553582FB}"/>
    <cellStyle name="Total 2 5 3 2 5 2" xfId="10660" xr:uid="{06C16CE8-977C-4EF9-8F0D-8CC248539CE5}"/>
    <cellStyle name="Total 2 5 3 2 5 2 2" xfId="19706" xr:uid="{207C6DB5-4D84-4DEA-A823-97AB5537EBBC}"/>
    <cellStyle name="Total 2 5 3 2 5 3" xfId="16220" xr:uid="{42605B0A-9EF1-43FA-8D56-EE207FEB3D39}"/>
    <cellStyle name="Total 2 5 3 2 6" xfId="5418" xr:uid="{3A164520-87CD-4C11-8F30-040002680BA0}"/>
    <cellStyle name="Total 2 5 3 2 6 2" xfId="11271" xr:uid="{ED97035D-B866-4850-96DE-406160A7D17F}"/>
    <cellStyle name="Total 2 5 3 2 6 2 2" xfId="20317" xr:uid="{5F87C9B7-B9D9-4391-961D-D5ABCDA1DAC5}"/>
    <cellStyle name="Total 2 5 3 2 6 3" xfId="16831" xr:uid="{48400825-EE35-423A-B9D7-FF1C37C2A50B}"/>
    <cellStyle name="Total 2 5 3 2 7" xfId="6029" xr:uid="{EACEDB39-CA68-40EB-A570-6BB1175F983E}"/>
    <cellStyle name="Total 2 5 3 2 7 2" xfId="11880" xr:uid="{8C80338F-F33D-4ED1-BB29-A85FFFB64511}"/>
    <cellStyle name="Total 2 5 3 2 7 2 2" xfId="20926" xr:uid="{2CECB630-CEEA-4380-A612-3F4886FF96B9}"/>
    <cellStyle name="Total 2 5 3 2 7 3" xfId="17442" xr:uid="{FF3D31A2-CDD1-4EF1-8B81-1968B40F2277}"/>
    <cellStyle name="Total 2 5 3 2 8" xfId="9292" xr:uid="{267FB86F-6134-461D-9D04-8599F2F26EF4}"/>
    <cellStyle name="Total 2 5 3 2 8 2" xfId="18338" xr:uid="{F8866F13-0BFC-47D3-9FF7-87AB39F4A85B}"/>
    <cellStyle name="Total 2 5 3 2 9" xfId="12688" xr:uid="{BF95ED2B-4C3E-490A-929F-E43478D46854}"/>
    <cellStyle name="Total 2 5 3 3" xfId="2600" xr:uid="{9A12D54D-FDF6-4E1E-808C-EFDB9BA0C3C1}"/>
    <cellStyle name="Total 2 5 3 3 10" xfId="13885" xr:uid="{C98E38F7-E934-4713-BE90-22A924EB4C2A}"/>
    <cellStyle name="Total 2 5 3 3 11" xfId="14862" xr:uid="{EBDCB44E-479E-44B9-9896-8A4E5FB0D4D4}"/>
    <cellStyle name="Total 2 5 3 3 12" xfId="21730" xr:uid="{5D3BE578-FD36-4D18-84F1-0D780E497484}"/>
    <cellStyle name="Total 2 5 3 3 13" xfId="3089" xr:uid="{E51D99FC-0D5B-44CC-B3B5-40B8ED92A511}"/>
    <cellStyle name="Total 2 5 3 3 2" xfId="3497" xr:uid="{FD0AC1B3-93C7-4CE0-8E78-D16325D73675}"/>
    <cellStyle name="Total 2 5 3 3 2 10" xfId="15288" xr:uid="{5287C26D-2962-4E9E-97E3-36CB317F1E79}"/>
    <cellStyle name="Total 2 5 3 3 2 11" xfId="22156" xr:uid="{E1350DF0-1C85-44F7-999A-6527EC16FAA4}"/>
    <cellStyle name="Total 2 5 3 3 2 2" xfId="4731" xr:uid="{90ECD677-8E5A-4A15-A900-F1DDCD970B21}"/>
    <cellStyle name="Total 2 5 3 3 2 2 2" xfId="10588" xr:uid="{C95E3030-E335-49B8-8826-96FF8A630920}"/>
    <cellStyle name="Total 2 5 3 3 2 2 2 2" xfId="19634" xr:uid="{FF3F2943-B306-43F8-B7BF-003F52B13860}"/>
    <cellStyle name="Total 2 5 3 3 2 2 3" xfId="16148" xr:uid="{75633A04-A4C8-4D9A-AA16-FB768073C11D}"/>
    <cellStyle name="Total 2 5 3 3 2 2 4" xfId="22812" xr:uid="{E685B59B-9F4E-4DFC-8783-2FFA1558F09D}"/>
    <cellStyle name="Total 2 5 3 3 2 3" xfId="5232" xr:uid="{62DEA43F-7745-4543-BC91-3D31309B1D6C}"/>
    <cellStyle name="Total 2 5 3 3 2 3 2" xfId="11085" xr:uid="{F5CF4D49-52F9-48A9-A75F-C690B034C695}"/>
    <cellStyle name="Total 2 5 3 3 2 3 2 2" xfId="20131" xr:uid="{A8003A6B-C00C-43E9-852E-22D3F4A1FCCE}"/>
    <cellStyle name="Total 2 5 3 3 2 3 3" xfId="16645" xr:uid="{7F594EA5-E2D8-43AF-80AD-F75530E7B9D0}"/>
    <cellStyle name="Total 2 5 3 3 2 3 4" xfId="23307" xr:uid="{B5310636-9E6D-4200-B0FB-D1D223B8DDAE}"/>
    <cellStyle name="Total 2 5 3 3 2 4" xfId="5847" xr:uid="{7AA2FA4C-E373-4722-AF95-8523F3FC81F5}"/>
    <cellStyle name="Total 2 5 3 3 2 4 2" xfId="11700" xr:uid="{047DB902-F823-46E2-9E12-6CE0F2141562}"/>
    <cellStyle name="Total 2 5 3 3 2 4 2 2" xfId="20746" xr:uid="{BF41B07F-B8D9-4F40-9F14-D95D77E794E1}"/>
    <cellStyle name="Total 2 5 3 3 2 4 3" xfId="17260" xr:uid="{FDAD61D5-831A-4298-87A2-0FE54698E9C3}"/>
    <cellStyle name="Total 2 5 3 3 2 5" xfId="6458" xr:uid="{F59E96A3-DEB8-4AC5-BD94-EAE59254B2AE}"/>
    <cellStyle name="Total 2 5 3 3 2 5 2" xfId="12305" xr:uid="{A176CF0B-D809-4D9D-9168-FF001CB771EB}"/>
    <cellStyle name="Total 2 5 3 3 2 5 2 2" xfId="21351" xr:uid="{5F8DD76F-A906-4403-A84F-7D942E13B1E3}"/>
    <cellStyle name="Total 2 5 3 3 2 5 3" xfId="17871" xr:uid="{E55E2784-43A7-45DE-89D1-A634047DCD78}"/>
    <cellStyle name="Total 2 5 3 3 2 6" xfId="9719" xr:uid="{EDD54CA9-47FA-41A7-95F5-EB77B3538E6C}"/>
    <cellStyle name="Total 2 5 3 3 2 6 2" xfId="18765" xr:uid="{B373BB43-795B-46C1-8964-3F102B3C8435}"/>
    <cellStyle name="Total 2 5 3 3 2 7" xfId="13117" xr:uid="{B0A5B15F-810D-41A1-96AF-8C3CFE4E9674}"/>
    <cellStyle name="Total 2 5 3 3 2 8" xfId="13673" xr:uid="{113B559B-F49D-4B45-83DD-B9147A6A7C7C}"/>
    <cellStyle name="Total 2 5 3 3 2 9" xfId="14313" xr:uid="{A6507E12-4CE8-49B5-A4B2-496023A49617}"/>
    <cellStyle name="Total 2 5 3 3 3" xfId="3295" xr:uid="{B135DD7D-EA7D-4D06-AA49-E7CCD3848B2C}"/>
    <cellStyle name="Total 2 5 3 3 3 10" xfId="15075" xr:uid="{9BA23082-7FFF-444E-9EB9-10C72360A2DC}"/>
    <cellStyle name="Total 2 5 3 3 3 11" xfId="21945" xr:uid="{2A285261-7A4A-4858-8F22-74D0B0943AD5}"/>
    <cellStyle name="Total 2 5 3 3 3 2" xfId="4518" xr:uid="{BF55AC05-CBC4-48F3-9BF5-2345CF7557FF}"/>
    <cellStyle name="Total 2 5 3 3 3 2 2" xfId="10375" xr:uid="{6BF0E669-F6E9-4BBB-AA33-78C19B6AAE82}"/>
    <cellStyle name="Total 2 5 3 3 3 2 2 2" xfId="19421" xr:uid="{329B9E23-AB27-4428-BB3F-3672F07AEDBE}"/>
    <cellStyle name="Total 2 5 3 3 3 2 3" xfId="15935" xr:uid="{E6767114-7057-4536-BEE4-5AE51E09FCC6}"/>
    <cellStyle name="Total 2 5 3 3 3 2 4" xfId="22601" xr:uid="{0CD820E6-9D76-4D75-859C-AE0F7A2F977C}"/>
    <cellStyle name="Total 2 5 3 3 3 3" xfId="5019" xr:uid="{C37A47AE-5488-4F74-B011-5698A1265731}"/>
    <cellStyle name="Total 2 5 3 3 3 3 2" xfId="10872" xr:uid="{4B9E0E69-D0EA-4CD1-8D0C-A6463D410876}"/>
    <cellStyle name="Total 2 5 3 3 3 3 2 2" xfId="19918" xr:uid="{715A84E8-3EC7-469B-9711-EBB89EB41A27}"/>
    <cellStyle name="Total 2 5 3 3 3 3 3" xfId="16432" xr:uid="{FA2A8EC0-4769-4687-ABA6-27B9E0ECD3D4}"/>
    <cellStyle name="Total 2 5 3 3 3 3 4" xfId="23096" xr:uid="{5B5C05DE-99B9-46C5-B37B-E37CAD9EA6ED}"/>
    <cellStyle name="Total 2 5 3 3 3 4" xfId="5634" xr:uid="{2622C01E-6900-4B0F-8514-9B87B134D1D0}"/>
    <cellStyle name="Total 2 5 3 3 3 4 2" xfId="11487" xr:uid="{2AB9C96C-5A73-4E63-83DB-2D297E65C6D3}"/>
    <cellStyle name="Total 2 5 3 3 3 4 2 2" xfId="20533" xr:uid="{79C68693-A635-41BB-8B1F-15A4E1B9FEFD}"/>
    <cellStyle name="Total 2 5 3 3 3 4 3" xfId="17047" xr:uid="{D3F08351-C55F-40C9-B4CA-B23CA4832D26}"/>
    <cellStyle name="Total 2 5 3 3 3 5" xfId="6245" xr:uid="{F45821DB-6466-46D7-B9EA-260DA39488FE}"/>
    <cellStyle name="Total 2 5 3 3 3 5 2" xfId="12092" xr:uid="{BB1D6526-E805-438E-A3BC-CC51B7C002A9}"/>
    <cellStyle name="Total 2 5 3 3 3 5 2 2" xfId="21138" xr:uid="{7FACAA02-2EEC-42B6-8F8A-509C4E873711}"/>
    <cellStyle name="Total 2 5 3 3 3 5 3" xfId="17658" xr:uid="{62196269-EEE5-476D-B2EB-16496C24A473}"/>
    <cellStyle name="Total 2 5 3 3 3 6" xfId="9506" xr:uid="{7A28EED6-A556-40E2-A15E-D2618641250D}"/>
    <cellStyle name="Total 2 5 3 3 3 6 2" xfId="18552" xr:uid="{FA337412-05FD-45FA-9B15-31F102F6EF86}"/>
    <cellStyle name="Total 2 5 3 3 3 7" xfId="12904" xr:uid="{B24FEAF8-8529-44B4-9EEA-2F12B4426918}"/>
    <cellStyle name="Total 2 5 3 3 3 8" xfId="13462" xr:uid="{8C371391-D168-447C-8815-4B4D9696D127}"/>
    <cellStyle name="Total 2 5 3 3 3 9" xfId="14100" xr:uid="{0DDB5CE2-C78E-4FE5-95A4-C40A615CB66F}"/>
    <cellStyle name="Total 2 5 3 3 4" xfId="4804" xr:uid="{8F011393-C1D0-4DEF-9230-27EFBD335FF9}"/>
    <cellStyle name="Total 2 5 3 3 4 2" xfId="10661" xr:uid="{E8206878-EF9A-44DE-9486-DC32DE140B48}"/>
    <cellStyle name="Total 2 5 3 3 4 2 2" xfId="19707" xr:uid="{5EC60984-412E-44D6-8561-D446C2DEC16F}"/>
    <cellStyle name="Total 2 5 3 3 4 3" xfId="16221" xr:uid="{64F2FDEE-3BD5-49FC-BA43-5EADFB21C9AB}"/>
    <cellStyle name="Total 2 5 3 3 4 4" xfId="22881" xr:uid="{D00BE4A2-DE9F-4C25-B749-AA59110949DB}"/>
    <cellStyle name="Total 2 5 3 3 5" xfId="5419" xr:uid="{074C5D3E-8A94-4F73-B692-E6727EA84E22}"/>
    <cellStyle name="Total 2 5 3 3 5 2" xfId="11272" xr:uid="{1EDFAA3D-3C10-4B71-8E9A-52FD7DD10410}"/>
    <cellStyle name="Total 2 5 3 3 5 2 2" xfId="20318" xr:uid="{B18E7DDF-6C1F-426D-BFC3-1C0A5E8F6511}"/>
    <cellStyle name="Total 2 5 3 3 5 3" xfId="16832" xr:uid="{C8B3C0D1-759D-4D11-B801-23A5B6CCD451}"/>
    <cellStyle name="Total 2 5 3 3 6" xfId="6030" xr:uid="{3FFCC4CC-475D-4364-8DD0-FAC0FDAA8748}"/>
    <cellStyle name="Total 2 5 3 3 6 2" xfId="11881" xr:uid="{10465EF7-57CA-480F-A1D3-A7F9CF140265}"/>
    <cellStyle name="Total 2 5 3 3 6 2 2" xfId="20927" xr:uid="{00E97A2D-D7DA-410C-8FCE-D404DF09E990}"/>
    <cellStyle name="Total 2 5 3 3 6 3" xfId="17443" xr:uid="{81917D93-2E6D-4DDB-B0B9-9A44E5E36C0D}"/>
    <cellStyle name="Total 2 5 3 3 7" xfId="9293" xr:uid="{787AB9BF-9DAF-4363-BC5D-BC936014017B}"/>
    <cellStyle name="Total 2 5 3 3 7 2" xfId="18339" xr:uid="{92841FDC-121E-475E-91CA-6306BF322C46}"/>
    <cellStyle name="Total 2 5 3 3 8" xfId="12689" xr:uid="{CAAD442E-811F-4405-8D69-D358B8C6C1AD}"/>
    <cellStyle name="Total 2 5 3 3 9" xfId="13251" xr:uid="{D3B65183-DEE4-4DF6-811F-8F7EAAF24B6A}"/>
    <cellStyle name="Total 2 5 3 4" xfId="3387" xr:uid="{E33228CD-7EB4-4D4F-94E4-560C98E4339B}"/>
    <cellStyle name="Total 2 5 3 4 10" xfId="15167" xr:uid="{A0738F13-7A0A-41EC-A91A-2FCE7533A359}"/>
    <cellStyle name="Total 2 5 3 4 11" xfId="22036" xr:uid="{5796C47E-3DE3-4D9F-A8A0-3C87254D8E48}"/>
    <cellStyle name="Total 2 5 3 4 2" xfId="4610" xr:uid="{C70D6E23-3228-449B-A35E-3EAC094F3F60}"/>
    <cellStyle name="Total 2 5 3 4 2 2" xfId="10467" xr:uid="{2592F8AA-1936-4250-841F-25933E10C821}"/>
    <cellStyle name="Total 2 5 3 4 2 2 2" xfId="19513" xr:uid="{4988E669-A148-45A7-9A77-4F6710283C7B}"/>
    <cellStyle name="Total 2 5 3 4 2 3" xfId="16027" xr:uid="{E0833A16-B84C-45C5-BAC3-61120619E364}"/>
    <cellStyle name="Total 2 5 3 4 2 4" xfId="22692" xr:uid="{74D9CC6A-D89F-47B0-A65D-B8B557B57E5A}"/>
    <cellStyle name="Total 2 5 3 4 3" xfId="5111" xr:uid="{25E62D10-F980-460F-9562-F52AAE95B586}"/>
    <cellStyle name="Total 2 5 3 4 3 2" xfId="10964" xr:uid="{1496D3A0-9D73-4465-AAFC-9F255F847069}"/>
    <cellStyle name="Total 2 5 3 4 3 2 2" xfId="20010" xr:uid="{00992278-FFE1-4D5E-8167-5B5069646C89}"/>
    <cellStyle name="Total 2 5 3 4 3 3" xfId="16524" xr:uid="{4C82DAE3-4D5E-41EB-AF15-7E1D61481021}"/>
    <cellStyle name="Total 2 5 3 4 3 4" xfId="23187" xr:uid="{6352BB60-0B25-4FE6-886F-5F0CA3FEA531}"/>
    <cellStyle name="Total 2 5 3 4 4" xfId="5726" xr:uid="{AC953EEF-9458-454E-8023-2F30BBD47F74}"/>
    <cellStyle name="Total 2 5 3 4 4 2" xfId="11579" xr:uid="{D99C3DA3-898F-4672-BFC8-A91ECF7A2F68}"/>
    <cellStyle name="Total 2 5 3 4 4 2 2" xfId="20625" xr:uid="{34FE6EB6-8C43-4EAB-BE42-CD83A02E69CC}"/>
    <cellStyle name="Total 2 5 3 4 4 3" xfId="17139" xr:uid="{0AC7EF6E-22D8-47FF-A399-9C1AB71A1D56}"/>
    <cellStyle name="Total 2 5 3 4 5" xfId="6337" xr:uid="{18EF645F-BF56-4623-848A-D09AD80AB206}"/>
    <cellStyle name="Total 2 5 3 4 5 2" xfId="12184" xr:uid="{72C5888C-642A-45B8-B260-AD54E0413F2B}"/>
    <cellStyle name="Total 2 5 3 4 5 2 2" xfId="21230" xr:uid="{01CB4D26-615E-4C8F-ACC4-2B0164802CBE}"/>
    <cellStyle name="Total 2 5 3 4 5 3" xfId="17750" xr:uid="{7AB9180D-A822-4D4F-8429-4EE0D3D6D179}"/>
    <cellStyle name="Total 2 5 3 4 6" xfId="9598" xr:uid="{5A96B00E-ED67-4C9A-A788-2B87623B4B86}"/>
    <cellStyle name="Total 2 5 3 4 6 2" xfId="18644" xr:uid="{EAFEDF77-F1BF-40AC-B619-6B1DDFF75345}"/>
    <cellStyle name="Total 2 5 3 4 7" xfId="12996" xr:uid="{B8F1C589-755D-4604-AD41-1D0C73FBB85A}"/>
    <cellStyle name="Total 2 5 3 4 8" xfId="13553" xr:uid="{09D00DEF-E3E7-4C2B-A842-D8DCBAC8DB39}"/>
    <cellStyle name="Total 2 5 3 4 9" xfId="14192" xr:uid="{39CE623F-63D6-4EF2-A6D2-E89B34A3D07F}"/>
    <cellStyle name="Total 2 5 3 5" xfId="3175" xr:uid="{E0B94207-F05E-4B91-8375-8C2FF0051DEA}"/>
    <cellStyle name="Total 2 5 3 5 10" xfId="14955" xr:uid="{93657164-B639-44B7-9B24-3A5D3C842194}"/>
    <cellStyle name="Total 2 5 3 5 11" xfId="21823" xr:uid="{83C507EF-2273-4761-9F02-4A391B9B1C07}"/>
    <cellStyle name="Total 2 5 3 5 2" xfId="4396" xr:uid="{33B785E0-DC6B-4A10-8402-DA963936D76E}"/>
    <cellStyle name="Total 2 5 3 5 2 2" xfId="10253" xr:uid="{98841552-4CCF-4C5E-BE16-E2EB31B6193A}"/>
    <cellStyle name="Total 2 5 3 5 2 2 2" xfId="19299" xr:uid="{3A74E584-DDEA-409D-B988-DC8290134321}"/>
    <cellStyle name="Total 2 5 3 5 2 3" xfId="15813" xr:uid="{B62DFDC6-B4E6-41C7-87D6-28375B484FED}"/>
    <cellStyle name="Total 2 5 3 5 2 4" xfId="22479" xr:uid="{4A445576-F243-4650-B326-2DBEFEFA0687}"/>
    <cellStyle name="Total 2 5 3 5 3" xfId="4897" xr:uid="{AE0A226E-A421-4BCD-A156-87A2D16DED4F}"/>
    <cellStyle name="Total 2 5 3 5 3 2" xfId="10752" xr:uid="{5C432184-B1BA-4676-A8F8-19A84FB0BC59}"/>
    <cellStyle name="Total 2 5 3 5 3 2 2" xfId="19798" xr:uid="{EBE92336-DC93-41C8-AACF-D58B8970EA65}"/>
    <cellStyle name="Total 2 5 3 5 3 3" xfId="16312" xr:uid="{F2AD887D-4F66-419D-93C2-090353691C24}"/>
    <cellStyle name="Total 2 5 3 5 3 4" xfId="22974" xr:uid="{214C5CC3-6B8C-46F6-A7E4-447757A5C15F}"/>
    <cellStyle name="Total 2 5 3 5 4" xfId="5512" xr:uid="{BDE4FFD9-3A8C-4373-AD48-638CD57CE14A}"/>
    <cellStyle name="Total 2 5 3 5 4 2" xfId="11365" xr:uid="{E29D18CA-68BD-4D76-957C-7BD1CEC36920}"/>
    <cellStyle name="Total 2 5 3 5 4 2 2" xfId="20411" xr:uid="{35B8AE15-96B8-43CD-AE77-6CB0715AD0E6}"/>
    <cellStyle name="Total 2 5 3 5 4 3" xfId="16925" xr:uid="{681A0C6D-B96B-4E1F-88BF-C8BEA5B28554}"/>
    <cellStyle name="Total 2 5 3 5 5" xfId="6123" xr:uid="{88DC1FB6-BF1B-4E4D-96D2-DC0928F5975D}"/>
    <cellStyle name="Total 2 5 3 5 5 2" xfId="11972" xr:uid="{83421208-E3A8-479F-9C2C-4FDA4923D3CC}"/>
    <cellStyle name="Total 2 5 3 5 5 2 2" xfId="21018" xr:uid="{3EEC5454-9923-45EB-BF1C-625A48BF8FC5}"/>
    <cellStyle name="Total 2 5 3 5 5 3" xfId="17536" xr:uid="{06411B99-1079-47E0-AC52-6EF08B80C49A}"/>
    <cellStyle name="Total 2 5 3 5 6" xfId="9386" xr:uid="{0439620B-C8F4-445F-83A0-364E133F5AC8}"/>
    <cellStyle name="Total 2 5 3 5 6 2" xfId="18432" xr:uid="{51F5A8A4-4237-46B4-9122-B5D6CE9FB560}"/>
    <cellStyle name="Total 2 5 3 5 7" xfId="12782" xr:uid="{2C446F96-6B1C-45F3-996E-966B6F0FC570}"/>
    <cellStyle name="Total 2 5 3 5 8" xfId="13342" xr:uid="{933CD19C-2F62-4220-A457-ED1D2F481DE0}"/>
    <cellStyle name="Total 2 5 3 5 9" xfId="13978" xr:uid="{C3F50C22-7D7D-4FCF-AF78-17FB69ED5E4D}"/>
    <cellStyle name="Total 2 5 3 6" xfId="3776" xr:uid="{845DD342-A254-4795-BAFE-85EEF929F714}"/>
    <cellStyle name="Total 2 5 3 6 2" xfId="9818" xr:uid="{535E854E-C3E9-460B-9482-7083DE8752C8}"/>
    <cellStyle name="Total 2 5 3 6 2 2" xfId="18864" xr:uid="{63D2C271-295A-461C-AD4C-EE1C82277CB4}"/>
    <cellStyle name="Total 2 5 3 6 3" xfId="15384" xr:uid="{976B76CF-83B8-4074-B115-616C1E11B6E0}"/>
    <cellStyle name="Total 2 5 3 6 4" xfId="22363" xr:uid="{2F81CA2D-F34D-48D7-9C58-61BDAC3EA6B6}"/>
    <cellStyle name="Total 2 5 3 7" xfId="4260" xr:uid="{5E62DC99-49F4-4BCB-89B0-9076D2A559A8}"/>
    <cellStyle name="Total 2 5 3 7 2" xfId="10117" xr:uid="{5E6A4DA9-5B38-4ABC-89DA-645B603A9D63}"/>
    <cellStyle name="Total 2 5 3 7 2 2" xfId="19163" xr:uid="{AF215079-40BF-4CDE-9AFE-C1878BD93415}"/>
    <cellStyle name="Total 2 5 3 7 3" xfId="15677" xr:uid="{6BCDE83A-30A7-40B8-A0DA-EBBAE1E6F218}"/>
    <cellStyle name="Total 2 5 3 7 4" xfId="22241" xr:uid="{C41585E6-C4FB-4148-B41A-13628303F6E0}"/>
    <cellStyle name="Total 2 5 3 8" xfId="4122" xr:uid="{C6E6B4DD-70E4-4FE4-8B17-E3978C4D8AE4}"/>
    <cellStyle name="Total 2 5 3 8 2" xfId="9979" xr:uid="{92463BB5-B594-4930-B8E3-6DB6B998276A}"/>
    <cellStyle name="Total 2 5 3 8 2 2" xfId="19025" xr:uid="{4782DF08-9C17-4BD1-B53C-5C82B3FC94A4}"/>
    <cellStyle name="Total 2 5 3 8 3" xfId="15539" xr:uid="{D322CEC2-FF7D-4E1A-8F1D-A86F8A9335BE}"/>
    <cellStyle name="Total 2 5 3 9" xfId="5297" xr:uid="{3E4D9586-661D-4E1A-98C0-71815854BEE5}"/>
    <cellStyle name="Total 2 5 3 9 2" xfId="11150" xr:uid="{9B68C0E2-9A5E-4530-B908-1F0FB3F7BC4E}"/>
    <cellStyle name="Total 2 5 3 9 2 2" xfId="20196" xr:uid="{FB187956-AFBF-4459-94C2-BAF8B6ECC551}"/>
    <cellStyle name="Total 2 5 3 9 3" xfId="16710" xr:uid="{8038E41F-5823-461A-A309-C45C85322B2E}"/>
    <cellStyle name="Total 2 5 4" xfId="2470" xr:uid="{245FE811-D3B7-421C-BF6F-508FEAC5BDE1}"/>
    <cellStyle name="Total 2 5 4 10" xfId="13252" xr:uid="{0F769A24-89C2-4D40-AF17-207B2BD7530E}"/>
    <cellStyle name="Total 2 5 4 11" xfId="13886" xr:uid="{D67A0001-83B7-4BDD-8117-3E88B1F7720C}"/>
    <cellStyle name="Total 2 5 4 12" xfId="14863" xr:uid="{164D3B13-AF49-4205-A5EB-42963098DF63}"/>
    <cellStyle name="Total 2 5 4 13" xfId="21731" xr:uid="{F02672AE-22E3-4D7A-B0E6-7FF28BE1F025}"/>
    <cellStyle name="Total 2 5 4 2" xfId="2517" xr:uid="{AA574ED9-6291-4E30-BDF3-BCC7007534E9}"/>
    <cellStyle name="Total 2 5 4 2 10" xfId="15289" xr:uid="{11759DE8-E2DC-479C-BF09-D06FF2759684}"/>
    <cellStyle name="Total 2 5 4 2 11" xfId="22157" xr:uid="{D9E53E6A-4CED-4A36-BFB6-7BC3F7B2D4E3}"/>
    <cellStyle name="Total 2 5 4 2 12" xfId="3498" xr:uid="{93C5A389-E47A-4D94-A063-440674877F6D}"/>
    <cellStyle name="Total 2 5 4 2 2" xfId="4732" xr:uid="{3F4A2EB3-8D26-47A7-81A7-29582C6A13BB}"/>
    <cellStyle name="Total 2 5 4 2 2 2" xfId="10589" xr:uid="{91933E2C-D0DC-48B3-B918-A0C29D5DD8AA}"/>
    <cellStyle name="Total 2 5 4 2 2 2 2" xfId="19635" xr:uid="{93FDCB4E-4336-435F-9F6C-05609F2A6177}"/>
    <cellStyle name="Total 2 5 4 2 2 3" xfId="16149" xr:uid="{9F6F14D6-534A-4ACD-8813-4138E6F57D3F}"/>
    <cellStyle name="Total 2 5 4 2 2 4" xfId="22813" xr:uid="{0547CF83-4552-46AF-8BF1-BC39B1E3B291}"/>
    <cellStyle name="Total 2 5 4 2 3" xfId="5233" xr:uid="{548E5E4A-174F-417B-A8ED-EA8086BE0F9F}"/>
    <cellStyle name="Total 2 5 4 2 3 2" xfId="11086" xr:uid="{C656FF47-1F84-49C9-B626-8EF764D9851C}"/>
    <cellStyle name="Total 2 5 4 2 3 2 2" xfId="20132" xr:uid="{7F08DCD5-EEF8-4BD3-A7B2-CE45A8CE980A}"/>
    <cellStyle name="Total 2 5 4 2 3 3" xfId="16646" xr:uid="{C962747C-FC75-4057-84AA-9A97573F3559}"/>
    <cellStyle name="Total 2 5 4 2 3 4" xfId="23308" xr:uid="{5615014E-FE0B-4B68-9424-0BE44FAA30DB}"/>
    <cellStyle name="Total 2 5 4 2 4" xfId="5848" xr:uid="{FFEF51B6-ADE5-430E-88EA-F6EA681307D0}"/>
    <cellStyle name="Total 2 5 4 2 4 2" xfId="11701" xr:uid="{5F7E37DD-F8D2-43C5-9A3A-20431117A64C}"/>
    <cellStyle name="Total 2 5 4 2 4 2 2" xfId="20747" xr:uid="{86DE1812-6EE1-4F6D-900A-ECE653ED5CDB}"/>
    <cellStyle name="Total 2 5 4 2 4 3" xfId="17261" xr:uid="{377CCD5D-0FE3-445C-808E-03028FC000FE}"/>
    <cellStyle name="Total 2 5 4 2 5" xfId="6459" xr:uid="{2355034C-88E3-4CF9-907A-0862DAD56A12}"/>
    <cellStyle name="Total 2 5 4 2 5 2" xfId="12306" xr:uid="{203B415D-F966-43CF-86A1-2FC33D87EF90}"/>
    <cellStyle name="Total 2 5 4 2 5 2 2" xfId="21352" xr:uid="{C2A1B78B-E636-47B0-BC02-CF244721200C}"/>
    <cellStyle name="Total 2 5 4 2 5 3" xfId="17872" xr:uid="{008F0704-42EC-4614-9834-6F0CBD1587C3}"/>
    <cellStyle name="Total 2 5 4 2 6" xfId="9720" xr:uid="{7E6AB90F-5669-4CDD-A3CB-00277ED5D967}"/>
    <cellStyle name="Total 2 5 4 2 6 2" xfId="18766" xr:uid="{927FD489-A9AA-4DEC-9FF3-8983B1E4BEBB}"/>
    <cellStyle name="Total 2 5 4 2 7" xfId="13118" xr:uid="{280E4FE7-839B-48DE-8FEB-F1563D569A8F}"/>
    <cellStyle name="Total 2 5 4 2 8" xfId="13674" xr:uid="{D1FA0417-22D3-45F4-9618-79EAA7D92671}"/>
    <cellStyle name="Total 2 5 4 2 9" xfId="14314" xr:uid="{1B488437-A37C-42B1-962F-54D1D8E6C90A}"/>
    <cellStyle name="Total 2 5 4 3" xfId="3296" xr:uid="{EBC504DC-2750-4BCE-9B9C-05E2FC17CA6E}"/>
    <cellStyle name="Total 2 5 4 3 10" xfId="15076" xr:uid="{A098BCDE-BB16-44ED-BB86-926C81B452BC}"/>
    <cellStyle name="Total 2 5 4 3 11" xfId="21946" xr:uid="{B5823DC1-CA88-4BA2-B69B-2B3E495B1F51}"/>
    <cellStyle name="Total 2 5 4 3 2" xfId="4519" xr:uid="{A51F43B8-23AA-440A-883D-CE45333FE653}"/>
    <cellStyle name="Total 2 5 4 3 2 2" xfId="10376" xr:uid="{43FCE7CC-D69F-4B23-9DCA-BCBF503C4109}"/>
    <cellStyle name="Total 2 5 4 3 2 2 2" xfId="19422" xr:uid="{2C66AD3B-2686-4092-9BDF-3DBFDAB24D4B}"/>
    <cellStyle name="Total 2 5 4 3 2 3" xfId="15936" xr:uid="{47718BE5-9543-41F8-85BF-DBDB87BB4DEC}"/>
    <cellStyle name="Total 2 5 4 3 2 4" xfId="22602" xr:uid="{944CB3CD-9A2E-448C-AC4C-0C6E4E0AA3F0}"/>
    <cellStyle name="Total 2 5 4 3 3" xfId="5020" xr:uid="{44045666-AFC7-4D23-8B31-9FAEAC516F83}"/>
    <cellStyle name="Total 2 5 4 3 3 2" xfId="10873" xr:uid="{C57FF85B-4CAE-4ED7-8018-8E23B496A079}"/>
    <cellStyle name="Total 2 5 4 3 3 2 2" xfId="19919" xr:uid="{3430315C-74A1-4B29-BB1B-D571FCDE49D4}"/>
    <cellStyle name="Total 2 5 4 3 3 3" xfId="16433" xr:uid="{93D5A648-9718-4B2A-A696-F7887F4ED8CD}"/>
    <cellStyle name="Total 2 5 4 3 3 4" xfId="23097" xr:uid="{8A04D220-BD2F-4D98-B5D8-073A940E8C69}"/>
    <cellStyle name="Total 2 5 4 3 4" xfId="5635" xr:uid="{E9C1D384-F443-49E3-9CCF-B96B3D509466}"/>
    <cellStyle name="Total 2 5 4 3 4 2" xfId="11488" xr:uid="{136C757B-EE8A-42DA-B6A9-A39CF628BA59}"/>
    <cellStyle name="Total 2 5 4 3 4 2 2" xfId="20534" xr:uid="{003701AC-A587-460B-8C11-FF320A9F71CC}"/>
    <cellStyle name="Total 2 5 4 3 4 3" xfId="17048" xr:uid="{DECC2FB2-C01B-43AA-8B85-1927D5E4EDA9}"/>
    <cellStyle name="Total 2 5 4 3 5" xfId="6246" xr:uid="{A349535B-6988-4654-ACBE-EFCBFE8CE8D4}"/>
    <cellStyle name="Total 2 5 4 3 5 2" xfId="12093" xr:uid="{4BBC3910-ABAC-4907-ADB0-CBBC588D94E6}"/>
    <cellStyle name="Total 2 5 4 3 5 2 2" xfId="21139" xr:uid="{61BF4782-E2E4-4F5C-9845-FA1599B3C976}"/>
    <cellStyle name="Total 2 5 4 3 5 3" xfId="17659" xr:uid="{5CD33B14-59AA-48D4-AE29-2703A380FBC1}"/>
    <cellStyle name="Total 2 5 4 3 6" xfId="9507" xr:uid="{5A35DE2D-EC89-4294-A81D-661EEFD4458F}"/>
    <cellStyle name="Total 2 5 4 3 6 2" xfId="18553" xr:uid="{C94BA83A-C6FC-406C-AC3C-49757A8D3C60}"/>
    <cellStyle name="Total 2 5 4 3 7" xfId="12905" xr:uid="{973CDA29-2117-4E11-8AC6-8FDAEA37798E}"/>
    <cellStyle name="Total 2 5 4 3 8" xfId="13463" xr:uid="{A1BAA906-08F4-4AA5-8E64-412D24F5AFFA}"/>
    <cellStyle name="Total 2 5 4 3 9" xfId="14101" xr:uid="{BFC55EA4-C34F-400C-9112-BFE886D671F5}"/>
    <cellStyle name="Total 2 5 4 4" xfId="3999" xr:uid="{E95E9EB7-EEC8-49E5-B6FB-5A07CD8A47A0}"/>
    <cellStyle name="Total 2 5 4 4 2" xfId="9861" xr:uid="{AFD53D62-0C79-44DC-81B7-ED3B6F543894}"/>
    <cellStyle name="Total 2 5 4 4 2 2" xfId="18907" xr:uid="{55AE0ED9-D975-4E9A-83AB-3086B857A0E0}"/>
    <cellStyle name="Total 2 5 4 4 3" xfId="15423" xr:uid="{7F8C0A1A-B4EF-47F2-B878-09BE34A5F231}"/>
    <cellStyle name="Total 2 5 4 4 4" xfId="22882" xr:uid="{EB299B2A-AF0D-49BC-834C-01FCCB932C5D}"/>
    <cellStyle name="Total 2 5 4 5" xfId="4805" xr:uid="{2E63BDA9-1546-4DBD-9AD8-278B7C2020AF}"/>
    <cellStyle name="Total 2 5 4 5 2" xfId="10662" xr:uid="{C110B558-5194-4ECC-AA54-037508AF282E}"/>
    <cellStyle name="Total 2 5 4 5 2 2" xfId="19708" xr:uid="{D8505378-C100-4BE0-B29A-7A45B89A9EBE}"/>
    <cellStyle name="Total 2 5 4 5 3" xfId="16222" xr:uid="{4C955870-BE85-4158-BAF0-A9BCD0E1E9DE}"/>
    <cellStyle name="Total 2 5 4 6" xfId="5420" xr:uid="{B65C467B-B1B9-46D7-B004-5A010EBA32C8}"/>
    <cellStyle name="Total 2 5 4 6 2" xfId="11273" xr:uid="{E58DD079-67BA-44B6-96F1-88AEF2A5485D}"/>
    <cellStyle name="Total 2 5 4 6 2 2" xfId="20319" xr:uid="{C57C41F3-6A81-41B5-A56D-6EBF0BA74FED}"/>
    <cellStyle name="Total 2 5 4 6 3" xfId="16833" xr:uid="{61148764-8508-45C4-9BEA-2A30581DF65C}"/>
    <cellStyle name="Total 2 5 4 7" xfId="6031" xr:uid="{21723A1B-4ADE-41F1-9142-ECFEA8C3878B}"/>
    <cellStyle name="Total 2 5 4 7 2" xfId="11882" xr:uid="{A54A3E82-D412-405A-AC16-64AFB8A29A03}"/>
    <cellStyle name="Total 2 5 4 7 2 2" xfId="20928" xr:uid="{E2D9A87F-07A5-48B8-98D4-31EBDCB5AF6C}"/>
    <cellStyle name="Total 2 5 4 7 3" xfId="17444" xr:uid="{2E625575-E1D9-44E5-BEB2-BDFE336D7379}"/>
    <cellStyle name="Total 2 5 4 8" xfId="9294" xr:uid="{0A84F1CC-24FC-4DAE-8573-F4ABE4609923}"/>
    <cellStyle name="Total 2 5 4 8 2" xfId="18340" xr:uid="{4955F02E-79C1-44C6-A62F-95C4AF083783}"/>
    <cellStyle name="Total 2 5 4 9" xfId="12690" xr:uid="{090AECFE-F495-4768-A940-564C4775AB20}"/>
    <cellStyle name="Total 2 5 5" xfId="2602" xr:uid="{31447C2C-C0AD-4AFC-98D3-86900D5880CB}"/>
    <cellStyle name="Total 2 5 5 10" xfId="13887" xr:uid="{A191D807-111A-41AD-A652-09AAEABB3FCA}"/>
    <cellStyle name="Total 2 5 5 11" xfId="14864" xr:uid="{4E86D0CB-AA84-4E0B-BDA7-4888F08BB6F0}"/>
    <cellStyle name="Total 2 5 5 12" xfId="21732" xr:uid="{14A6F2DB-4D5B-4B5C-B0F8-E355BA20E9F1}"/>
    <cellStyle name="Total 2 5 5 13" xfId="3090" xr:uid="{6DF9A662-6965-47D8-91EC-DDF4CBADEC36}"/>
    <cellStyle name="Total 2 5 5 2" xfId="3499" xr:uid="{14060B0A-97B1-4FE1-BF95-1EB22D8A947A}"/>
    <cellStyle name="Total 2 5 5 2 10" xfId="15290" xr:uid="{57AB1522-DA71-4311-A029-AB5A50164B51}"/>
    <cellStyle name="Total 2 5 5 2 11" xfId="22158" xr:uid="{6F2EDB0D-D91A-4C59-AD1C-A7541E403E9E}"/>
    <cellStyle name="Total 2 5 5 2 2" xfId="4733" xr:uid="{984269DB-50E4-481F-B5DD-35802DD9D366}"/>
    <cellStyle name="Total 2 5 5 2 2 2" xfId="10590" xr:uid="{6ACBC3B2-0D83-4151-8FE7-0C7AEC4761C4}"/>
    <cellStyle name="Total 2 5 5 2 2 2 2" xfId="19636" xr:uid="{7DD19A11-FE76-4814-88D4-FC78B62ED4EB}"/>
    <cellStyle name="Total 2 5 5 2 2 3" xfId="16150" xr:uid="{DEB88A76-BBB8-49D9-A97C-DAF1D4FE1AD1}"/>
    <cellStyle name="Total 2 5 5 2 2 4" xfId="22814" xr:uid="{9E8400D9-0F0F-47C1-8213-6C467B1B7692}"/>
    <cellStyle name="Total 2 5 5 2 3" xfId="5234" xr:uid="{629FA43D-6DCB-4698-B20A-A72A0E2642AD}"/>
    <cellStyle name="Total 2 5 5 2 3 2" xfId="11087" xr:uid="{932282F3-2E7B-4F28-924F-2D2B7E0E7CD9}"/>
    <cellStyle name="Total 2 5 5 2 3 2 2" xfId="20133" xr:uid="{FD46849F-9741-473B-B91B-1051A2B26CCC}"/>
    <cellStyle name="Total 2 5 5 2 3 3" xfId="16647" xr:uid="{702B4814-844D-479E-AAB1-EDB7BF0D7C7F}"/>
    <cellStyle name="Total 2 5 5 2 3 4" xfId="23309" xr:uid="{530CC76C-8E0C-4895-9E19-03B4B75D030A}"/>
    <cellStyle name="Total 2 5 5 2 4" xfId="5849" xr:uid="{349BA00C-3122-457D-BD5B-1ED225F8D24A}"/>
    <cellStyle name="Total 2 5 5 2 4 2" xfId="11702" xr:uid="{623B7C84-78C5-47DA-A104-5D8D81B4328C}"/>
    <cellStyle name="Total 2 5 5 2 4 2 2" xfId="20748" xr:uid="{14C5A0E9-8019-431F-BB1F-D2DD7C54617E}"/>
    <cellStyle name="Total 2 5 5 2 4 3" xfId="17262" xr:uid="{24B05508-D01A-4B16-98E8-3F5F817ABB24}"/>
    <cellStyle name="Total 2 5 5 2 5" xfId="6460" xr:uid="{C00B8416-B8B8-4355-B833-94CFCB6F32C4}"/>
    <cellStyle name="Total 2 5 5 2 5 2" xfId="12307" xr:uid="{9587AE2E-D70C-499A-837D-A7107ACED1C5}"/>
    <cellStyle name="Total 2 5 5 2 5 2 2" xfId="21353" xr:uid="{587E35E6-0B7C-411D-BD0B-6B7BCB4406C4}"/>
    <cellStyle name="Total 2 5 5 2 5 3" xfId="17873" xr:uid="{F2A3AC65-2CD3-450F-9E5C-A97A0021BC9D}"/>
    <cellStyle name="Total 2 5 5 2 6" xfId="9721" xr:uid="{0305B55F-CC8F-43E4-83F8-0C4C546BE926}"/>
    <cellStyle name="Total 2 5 5 2 6 2" xfId="18767" xr:uid="{CC3E26F2-5E3E-48D5-A1D3-6C077E087AC3}"/>
    <cellStyle name="Total 2 5 5 2 7" xfId="13119" xr:uid="{A8FF6614-0F79-466D-A393-8B86DEE47C0E}"/>
    <cellStyle name="Total 2 5 5 2 8" xfId="13675" xr:uid="{3DA88417-EA70-422D-93F3-87005F1C076B}"/>
    <cellStyle name="Total 2 5 5 2 9" xfId="14315" xr:uid="{51066617-9EF2-456A-932B-2498A4B13A83}"/>
    <cellStyle name="Total 2 5 5 3" xfId="3297" xr:uid="{B5C31A0F-8079-426B-9586-B46466B516D5}"/>
    <cellStyle name="Total 2 5 5 3 10" xfId="15077" xr:uid="{285C4FBA-1DAA-4106-A6A2-40DCA5548543}"/>
    <cellStyle name="Total 2 5 5 3 11" xfId="21947" xr:uid="{94F56C29-4927-4791-BD67-D59E91804EFA}"/>
    <cellStyle name="Total 2 5 5 3 2" xfId="4520" xr:uid="{6A0CCA86-ACD3-4863-8B6C-3063FD7535B6}"/>
    <cellStyle name="Total 2 5 5 3 2 2" xfId="10377" xr:uid="{BEE28FA7-8459-4BE5-974D-C35451350392}"/>
    <cellStyle name="Total 2 5 5 3 2 2 2" xfId="19423" xr:uid="{E5857C7A-1EAB-4670-9C3F-EF0B42B95831}"/>
    <cellStyle name="Total 2 5 5 3 2 3" xfId="15937" xr:uid="{1FBDF78F-23C8-4F74-B638-CA67EA10E377}"/>
    <cellStyle name="Total 2 5 5 3 2 4" xfId="22603" xr:uid="{3F6397DE-37BF-486F-9D16-A80827826E41}"/>
    <cellStyle name="Total 2 5 5 3 3" xfId="5021" xr:uid="{4000A91A-6A18-4EC5-9959-302F6A49AA95}"/>
    <cellStyle name="Total 2 5 5 3 3 2" xfId="10874" xr:uid="{415C1612-0B0E-407F-95EA-703A19ADD01F}"/>
    <cellStyle name="Total 2 5 5 3 3 2 2" xfId="19920" xr:uid="{6897723C-EE1A-4081-B31F-E2A61C4988E4}"/>
    <cellStyle name="Total 2 5 5 3 3 3" xfId="16434" xr:uid="{1EC8CC23-7153-4099-94FE-EB37B722BE65}"/>
    <cellStyle name="Total 2 5 5 3 3 4" xfId="23098" xr:uid="{6374A3AA-EC1D-4260-BEF0-6DD91453221A}"/>
    <cellStyle name="Total 2 5 5 3 4" xfId="5636" xr:uid="{BD626F2A-7844-45BE-8BA8-78E57FDF143E}"/>
    <cellStyle name="Total 2 5 5 3 4 2" xfId="11489" xr:uid="{AFB42092-A52C-48B6-B4E6-130C7AF565F0}"/>
    <cellStyle name="Total 2 5 5 3 4 2 2" xfId="20535" xr:uid="{F10A5E98-E25A-4CA7-88C0-58E008FD84E1}"/>
    <cellStyle name="Total 2 5 5 3 4 3" xfId="17049" xr:uid="{F98EC752-56C8-42EC-9247-9F598AE0BB5D}"/>
    <cellStyle name="Total 2 5 5 3 5" xfId="6247" xr:uid="{9171651D-805A-47F1-AF35-0A2A5B85E943}"/>
    <cellStyle name="Total 2 5 5 3 5 2" xfId="12094" xr:uid="{B84397F6-FBDF-44CB-BFEE-6C7A1BA0DF55}"/>
    <cellStyle name="Total 2 5 5 3 5 2 2" xfId="21140" xr:uid="{11327A84-D7D1-4EE7-891E-A36932B26CC4}"/>
    <cellStyle name="Total 2 5 5 3 5 3" xfId="17660" xr:uid="{22C132D3-91EE-479C-AB89-E85128BC3821}"/>
    <cellStyle name="Total 2 5 5 3 6" xfId="9508" xr:uid="{201B3084-BBB8-45E0-B9BD-B2B92AFB97DA}"/>
    <cellStyle name="Total 2 5 5 3 6 2" xfId="18554" xr:uid="{2A8EC32E-8214-4466-BAC6-83653353C26B}"/>
    <cellStyle name="Total 2 5 5 3 7" xfId="12906" xr:uid="{9F9133F5-30C5-4AE5-9932-888E6EDD1E14}"/>
    <cellStyle name="Total 2 5 5 3 8" xfId="13464" xr:uid="{458690FD-9655-466D-871A-A5FCD259A458}"/>
    <cellStyle name="Total 2 5 5 3 9" xfId="14102" xr:uid="{0D755DD4-C0DA-41F6-A180-B97CA8E1031C}"/>
    <cellStyle name="Total 2 5 5 4" xfId="4806" xr:uid="{CDB4D47E-1927-468D-9BF5-35A37618F7A8}"/>
    <cellStyle name="Total 2 5 5 4 2" xfId="10663" xr:uid="{F14802D3-3F07-48F3-88EC-C4F0058CC30B}"/>
    <cellStyle name="Total 2 5 5 4 2 2" xfId="19709" xr:uid="{69294766-1D3A-4B3C-A87E-AA557DD6D1F8}"/>
    <cellStyle name="Total 2 5 5 4 3" xfId="16223" xr:uid="{742544D3-AAED-409E-B6B8-FB2C56600306}"/>
    <cellStyle name="Total 2 5 5 4 4" xfId="22883" xr:uid="{EBD0C763-0C7A-4F4A-BF2A-620E69BCD3BE}"/>
    <cellStyle name="Total 2 5 5 5" xfId="5421" xr:uid="{952F9A70-7D3B-4816-BA5A-E9EF370C14BE}"/>
    <cellStyle name="Total 2 5 5 5 2" xfId="11274" xr:uid="{6758407E-FFAF-4F15-A865-502F522EDACF}"/>
    <cellStyle name="Total 2 5 5 5 2 2" xfId="20320" xr:uid="{CF0FD98A-5C1F-4659-A51C-1E6BA5C41911}"/>
    <cellStyle name="Total 2 5 5 5 3" xfId="16834" xr:uid="{918246BD-68E1-4CB9-9DE2-59762CC4F29D}"/>
    <cellStyle name="Total 2 5 5 6" xfId="6032" xr:uid="{2FB10661-8A29-413A-B890-F4A3DE006025}"/>
    <cellStyle name="Total 2 5 5 6 2" xfId="11883" xr:uid="{4C8633A5-1F0C-4F06-9F6E-DAC04CA15263}"/>
    <cellStyle name="Total 2 5 5 6 2 2" xfId="20929" xr:uid="{A9FCA926-5227-4E30-BE3E-6280333F6879}"/>
    <cellStyle name="Total 2 5 5 6 3" xfId="17445" xr:uid="{96C29768-E900-4F8D-9853-2C6B5C4E0B36}"/>
    <cellStyle name="Total 2 5 5 7" xfId="9295" xr:uid="{C8D79027-6686-42BE-A0AB-ED87B1FB039F}"/>
    <cellStyle name="Total 2 5 5 7 2" xfId="18341" xr:uid="{DDD08BDB-6501-4102-B893-DA589D01AA08}"/>
    <cellStyle name="Total 2 5 5 8" xfId="12691" xr:uid="{0382581B-09FB-4547-BF61-52150200FAAB}"/>
    <cellStyle name="Total 2 5 5 9" xfId="13253" xr:uid="{FEC1D411-9E7F-495F-AE35-3430333CA16D}"/>
    <cellStyle name="Total 2 5 6" xfId="3342" xr:uid="{66754E9E-B78C-474F-8467-AE68BB285CB8}"/>
    <cellStyle name="Total 2 5 6 10" xfId="15122" xr:uid="{36D67311-C726-4BAF-8770-1B1B78CFA6BB}"/>
    <cellStyle name="Total 2 5 6 11" xfId="21991" xr:uid="{9FCF2E0F-F672-4FF8-8B28-87195A75003D}"/>
    <cellStyle name="Total 2 5 6 2" xfId="4565" xr:uid="{8EE3FF73-D4B3-41A7-8168-C020228970DF}"/>
    <cellStyle name="Total 2 5 6 2 2" xfId="10422" xr:uid="{DD2CBAA4-4CB3-4A56-B2DC-9873F2304266}"/>
    <cellStyle name="Total 2 5 6 2 2 2" xfId="19468" xr:uid="{43DF8108-63A5-47C0-81E1-198E0AF85515}"/>
    <cellStyle name="Total 2 5 6 2 3" xfId="15982" xr:uid="{D7668CDC-BC8D-4D3A-AD57-8FA6716D9EF6}"/>
    <cellStyle name="Total 2 5 6 2 4" xfId="22647" xr:uid="{DEFCE42F-BA99-4980-9653-2D238AAD2B1D}"/>
    <cellStyle name="Total 2 5 6 3" xfId="5066" xr:uid="{2806614A-EC7C-4C82-8ACE-3D57244B30F4}"/>
    <cellStyle name="Total 2 5 6 3 2" xfId="10919" xr:uid="{5EDAE5FB-971E-4DB4-A509-3F67DE8B3BF1}"/>
    <cellStyle name="Total 2 5 6 3 2 2" xfId="19965" xr:uid="{D0A53EDD-E832-43ED-AADD-324536102619}"/>
    <cellStyle name="Total 2 5 6 3 3" xfId="16479" xr:uid="{EE80441A-788A-48BB-A622-64DC34E47709}"/>
    <cellStyle name="Total 2 5 6 3 4" xfId="23142" xr:uid="{2CCEFBF0-8FB3-4FC8-B8E5-14C2279BD43A}"/>
    <cellStyle name="Total 2 5 6 4" xfId="5681" xr:uid="{125C0BAE-324F-4F7B-B18F-12E20E404577}"/>
    <cellStyle name="Total 2 5 6 4 2" xfId="11534" xr:uid="{C0DC2282-5DE6-4E91-8530-E00CD6324D61}"/>
    <cellStyle name="Total 2 5 6 4 2 2" xfId="20580" xr:uid="{CAC2C831-8DAC-4503-BB95-DE31E73B3480}"/>
    <cellStyle name="Total 2 5 6 4 3" xfId="17094" xr:uid="{803D8CE0-C23A-46E1-8FD3-51BCE6BB54DC}"/>
    <cellStyle name="Total 2 5 6 5" xfId="6292" xr:uid="{89C99AAD-60C8-4620-BF52-905BF143F7E3}"/>
    <cellStyle name="Total 2 5 6 5 2" xfId="12139" xr:uid="{72E8F1E8-2227-43C7-9E52-6FBA785CBE02}"/>
    <cellStyle name="Total 2 5 6 5 2 2" xfId="21185" xr:uid="{6AE4D127-2EC4-4E39-A2D7-44DF4281C248}"/>
    <cellStyle name="Total 2 5 6 5 3" xfId="17705" xr:uid="{742F0529-D840-4E21-8C99-176EE732FFDE}"/>
    <cellStyle name="Total 2 5 6 6" xfId="9553" xr:uid="{61983EC8-A8E8-407A-9CC7-DB6F0B805B0D}"/>
    <cellStyle name="Total 2 5 6 6 2" xfId="18599" xr:uid="{33E919CA-8D22-48C1-81C5-3F8809C7F552}"/>
    <cellStyle name="Total 2 5 6 7" xfId="12951" xr:uid="{16212C26-B059-486D-8A98-5DD90B256AC0}"/>
    <cellStyle name="Total 2 5 6 8" xfId="13508" xr:uid="{7E26CA31-5E63-4358-B584-1117DFFA83E4}"/>
    <cellStyle name="Total 2 5 6 9" xfId="14147" xr:uid="{BCAF3E21-6B54-43F0-AFDF-C91E35606608}"/>
    <cellStyle name="Total 2 5 7" xfId="3130" xr:uid="{F74495FC-410F-427A-9FF0-22090AEDBAB0}"/>
    <cellStyle name="Total 2 5 7 10" xfId="14910" xr:uid="{78872E1E-A487-48F7-BEE1-789E78FEF648}"/>
    <cellStyle name="Total 2 5 7 11" xfId="21778" xr:uid="{2C9DF5DD-59A0-4CB7-8B7E-665759B1E73B}"/>
    <cellStyle name="Total 2 5 7 2" xfId="4351" xr:uid="{04E3282E-A61A-4809-B123-A6B6BE37C704}"/>
    <cellStyle name="Total 2 5 7 2 2" xfId="10208" xr:uid="{B64A0D65-6F81-422B-A152-07BE0B3BA321}"/>
    <cellStyle name="Total 2 5 7 2 2 2" xfId="19254" xr:uid="{02532C01-F72D-4533-AB6D-0E27D7A2EFAC}"/>
    <cellStyle name="Total 2 5 7 2 3" xfId="15768" xr:uid="{280DA371-4BBD-42DE-9E86-52170D6BB9CD}"/>
    <cellStyle name="Total 2 5 7 2 4" xfId="22434" xr:uid="{99446769-36F3-4AB3-8DA9-99C5F5CF981F}"/>
    <cellStyle name="Total 2 5 7 3" xfId="4852" xr:uid="{9912BD77-172C-4ACF-B03B-169CA7D2C80F}"/>
    <cellStyle name="Total 2 5 7 3 2" xfId="10707" xr:uid="{A380086B-875F-4C5F-936B-147FE2AA20D0}"/>
    <cellStyle name="Total 2 5 7 3 2 2" xfId="19753" xr:uid="{F132C1F4-563D-4EFB-8237-F10AF0534889}"/>
    <cellStyle name="Total 2 5 7 3 3" xfId="16267" xr:uid="{10B3D27E-2725-45BE-8FE2-A75BB29CBD33}"/>
    <cellStyle name="Total 2 5 7 3 4" xfId="22929" xr:uid="{726AA0AA-2125-4E81-9E57-9B86D6B8E843}"/>
    <cellStyle name="Total 2 5 7 4" xfId="5467" xr:uid="{90F3FDB9-877D-45A7-8684-850FEFB6F62F}"/>
    <cellStyle name="Total 2 5 7 4 2" xfId="11320" xr:uid="{C227325C-6957-4C6A-8B98-A0A399BD8370}"/>
    <cellStyle name="Total 2 5 7 4 2 2" xfId="20366" xr:uid="{759C7AA2-BD01-48CE-B717-9BDFF04F5E17}"/>
    <cellStyle name="Total 2 5 7 4 3" xfId="16880" xr:uid="{18B778E5-BEC7-47E3-9F64-F16725FC2432}"/>
    <cellStyle name="Total 2 5 7 5" xfId="6078" xr:uid="{16F3DDF8-4BEA-4230-810A-A3D031995CA8}"/>
    <cellStyle name="Total 2 5 7 5 2" xfId="11927" xr:uid="{0707873F-789E-48CD-B643-F74AE11937E0}"/>
    <cellStyle name="Total 2 5 7 5 2 2" xfId="20973" xr:uid="{9088C73C-CB5A-4295-9A9D-2A71500504F5}"/>
    <cellStyle name="Total 2 5 7 5 3" xfId="17491" xr:uid="{C09B60B0-B7B9-449D-8899-01A190FE5B1D}"/>
    <cellStyle name="Total 2 5 7 6" xfId="9341" xr:uid="{2BC07C19-49B9-47DB-9688-3AE390BE39A4}"/>
    <cellStyle name="Total 2 5 7 6 2" xfId="18387" xr:uid="{D5849B22-A517-456F-A171-DB471E3016A6}"/>
    <cellStyle name="Total 2 5 7 7" xfId="12737" xr:uid="{202A8A4C-3BC0-4A4F-A5AA-0547DA24F2CA}"/>
    <cellStyle name="Total 2 5 7 8" xfId="13297" xr:uid="{E974CD26-291F-4EB8-AD2C-6096910F5375}"/>
    <cellStyle name="Total 2 5 7 9" xfId="13933" xr:uid="{06FDF826-CF48-44E2-B9E6-E3AC51AEF25D}"/>
    <cellStyle name="Total 2 5 8" xfId="3731" xr:uid="{7FBC2EEA-5499-4ABD-AF76-4E5647DCB53A}"/>
    <cellStyle name="Total 2 5 8 2" xfId="9773" xr:uid="{470233D7-0168-4C21-9367-454CBC419063}"/>
    <cellStyle name="Total 2 5 8 2 2" xfId="18819" xr:uid="{7CD4F455-E9BB-4234-B88E-3C3B8B46C2AF}"/>
    <cellStyle name="Total 2 5 8 3" xfId="15339" xr:uid="{5DB1CCED-FF1A-4AEA-96D3-7187B727E88D}"/>
    <cellStyle name="Total 2 5 8 4" xfId="22317" xr:uid="{98E1F278-1CDE-476E-B10C-82DDD2A92120}"/>
    <cellStyle name="Total 2 5 9" xfId="4214" xr:uid="{87DC7DFE-D2EE-4A30-B147-D3B34F178EE1}"/>
    <cellStyle name="Total 2 5 9 2" xfId="10071" xr:uid="{D01C71E3-5DAE-4035-BD06-FAF729B751B9}"/>
    <cellStyle name="Total 2 5 9 2 2" xfId="19117" xr:uid="{4ABB5553-E946-4C8C-BCF5-3E23EE9F9F93}"/>
    <cellStyle name="Total 2 5 9 3" xfId="15631" xr:uid="{61FE0DFD-3555-471D-8E6A-5ADD26982C97}"/>
    <cellStyle name="Total 2 5 9 4" xfId="22268" xr:uid="{0C79B5A4-0DC8-47C4-ADE4-15B07A37A894}"/>
    <cellStyle name="Total 2 6" xfId="2471" xr:uid="{341F55A1-DC72-43D4-B74C-FDFBB308C2AA}"/>
    <cellStyle name="Total 2 6 10" xfId="4148" xr:uid="{D02BB47D-3BA5-4590-B0E3-228196D0D2D0}"/>
    <cellStyle name="Total 2 6 10 2" xfId="10005" xr:uid="{5AFFCC5C-81D0-482A-87E0-57FCE40B4D9E}"/>
    <cellStyle name="Total 2 6 10 2 2" xfId="19051" xr:uid="{B986CE5C-2AD1-4FF3-9BCD-E9661D1DC086}"/>
    <cellStyle name="Total 2 6 10 3" xfId="15565" xr:uid="{BE7608E0-27E6-407A-A31D-766498EA5F86}"/>
    <cellStyle name="Total 2 6 11" xfId="5253" xr:uid="{F654C6D3-A604-40B2-95E6-36942A04F75E}"/>
    <cellStyle name="Total 2 6 11 2" xfId="11106" xr:uid="{F1A2DBE4-F921-44A5-9F1E-560BC2011A61}"/>
    <cellStyle name="Total 2 6 11 2 2" xfId="20152" xr:uid="{9772E56C-191A-43A9-9A4F-EDFDEA205990}"/>
    <cellStyle name="Total 2 6 11 3" xfId="16666" xr:uid="{E6DEBF82-7664-400D-9485-DCEC5C91BF6F}"/>
    <cellStyle name="Total 2 6 12" xfId="4780" xr:uid="{278B6066-39D2-4B2A-868E-025C3FC6584C}"/>
    <cellStyle name="Total 2 6 12 2" xfId="10637" xr:uid="{8BC2AA82-A203-4BE1-9B54-280729D38D86}"/>
    <cellStyle name="Total 2 6 12 2 2" xfId="19683" xr:uid="{6009CB5F-4776-4BAE-85B2-F0451E6B97D4}"/>
    <cellStyle name="Total 2 6 12 3" xfId="16197" xr:uid="{0C53C2A8-15A6-49A4-9559-855BB03159DD}"/>
    <cellStyle name="Total 2 6 13" xfId="9126" xr:uid="{791D734E-D88B-4C6B-9C72-BA5D15B3C2BD}"/>
    <cellStyle name="Total 2 6 13 2" xfId="18172" xr:uid="{4F5EADF8-83B7-4DB9-A717-510576BEEE8A}"/>
    <cellStyle name="Total 2 6 14" xfId="12525" xr:uid="{7D2EEC48-8C2B-4381-B2C7-C06C89AAE87B}"/>
    <cellStyle name="Total 2 6 15" xfId="13719" xr:uid="{ABE8AA0C-CDFC-47DC-B702-E7AD45DA04CB}"/>
    <cellStyle name="Total 2 6 16" xfId="14695" xr:uid="{252BBAC2-3589-49D0-9F64-A2E80F728CF3}"/>
    <cellStyle name="Total 2 6 17" xfId="21567" xr:uid="{636F152C-EC72-4140-932C-B9E5D61D8909}"/>
    <cellStyle name="Total 2 6 18" xfId="23803" xr:uid="{205D8AC2-94CC-45FF-83AD-573E5CD38615}"/>
    <cellStyle name="Total 2 6 2" xfId="2472" xr:uid="{E7E5A911-AE03-4474-9A8F-1347768B581F}"/>
    <cellStyle name="Total 2 6 2 10" xfId="5909" xr:uid="{F62EBA10-8001-475D-9948-9BE1249A5130}"/>
    <cellStyle name="Total 2 6 2 10 2" xfId="11762" xr:uid="{61542697-C4CB-4812-8F4C-367DFBC28E46}"/>
    <cellStyle name="Total 2 6 2 10 2 2" xfId="20808" xr:uid="{65975A43-57F0-4A2D-8926-DE1A939BA49D}"/>
    <cellStyle name="Total 2 6 2 10 3" xfId="17322" xr:uid="{912E1455-B8A3-4988-8CDE-44BD54FB7B04}"/>
    <cellStyle name="Total 2 6 2 11" xfId="9172" xr:uid="{8CB6A7B2-6A5C-421B-A8E5-96F4654FB243}"/>
    <cellStyle name="Total 2 6 2 11 2" xfId="18218" xr:uid="{A4B1972F-3F59-4393-9E7D-16C3F43BBC91}"/>
    <cellStyle name="Total 2 6 2 12" xfId="12570" xr:uid="{E6C8AC92-55E5-487E-8848-DBD6B7A71BEB}"/>
    <cellStyle name="Total 2 6 2 13" xfId="13764" xr:uid="{8B8EF5BD-C18D-452A-9045-203C2FDF5515}"/>
    <cellStyle name="Total 2 6 2 14" xfId="14741" xr:uid="{70BF2873-93C1-4803-8D86-F0757D554161}"/>
    <cellStyle name="Total 2 6 2 15" xfId="21611" xr:uid="{8FF6EAF9-29DD-431C-AEA6-C2FE262CA1C7}"/>
    <cellStyle name="Total 2 6 2 16" xfId="23804" xr:uid="{FA1ABD4F-D205-40A0-B484-DF2EB09F76B0}"/>
    <cellStyle name="Total 2 6 2 2" xfId="2473" xr:uid="{6864CBC4-F357-4B56-8056-0A40435816BD}"/>
    <cellStyle name="Total 2 6 2 2 10" xfId="13254" xr:uid="{F7CC1B66-B2BC-4131-A5A4-EF0F70E1696D}"/>
    <cellStyle name="Total 2 6 2 2 11" xfId="13888" xr:uid="{232B22EC-66D9-4FF5-B0FE-4AFEBF8D2AE0}"/>
    <cellStyle name="Total 2 6 2 2 12" xfId="14865" xr:uid="{F6042E7C-201A-45E0-A7EB-24DC5FD38F4E}"/>
    <cellStyle name="Total 2 6 2 2 13" xfId="21733" xr:uid="{CEC5F7C6-9B26-403F-8B13-69D59B533FEC}"/>
    <cellStyle name="Total 2 6 2 2 2" xfId="2516" xr:uid="{84AECB87-0107-4E34-8ED4-60AB556C54FC}"/>
    <cellStyle name="Total 2 6 2 2 2 10" xfId="15291" xr:uid="{F29BF9EB-CDA5-4CCA-AA11-DC4C0628AB8B}"/>
    <cellStyle name="Total 2 6 2 2 2 11" xfId="22159" xr:uid="{5A627DFC-FBAA-43CF-9FE6-CCBAC1FAF89F}"/>
    <cellStyle name="Total 2 6 2 2 2 12" xfId="3500" xr:uid="{21D57E41-3312-47F8-B708-BF14CC4392EA}"/>
    <cellStyle name="Total 2 6 2 2 2 2" xfId="4734" xr:uid="{32DEA025-1FE5-4E9E-BC7C-A8E17F67B6B0}"/>
    <cellStyle name="Total 2 6 2 2 2 2 2" xfId="10591" xr:uid="{4911C125-4095-4F31-983D-51701B1FA780}"/>
    <cellStyle name="Total 2 6 2 2 2 2 2 2" xfId="19637" xr:uid="{4AC086F8-E6B1-4DBE-B71B-D8FC66E5C607}"/>
    <cellStyle name="Total 2 6 2 2 2 2 3" xfId="16151" xr:uid="{F596B421-2141-4E02-A43D-FCA47084BD04}"/>
    <cellStyle name="Total 2 6 2 2 2 2 4" xfId="22815" xr:uid="{3D1A198F-D766-4D12-A3F4-5BC0132C89BD}"/>
    <cellStyle name="Total 2 6 2 2 2 3" xfId="5235" xr:uid="{6EED1D57-93E3-437C-A990-FC2E4EC565E3}"/>
    <cellStyle name="Total 2 6 2 2 2 3 2" xfId="11088" xr:uid="{B2A1CC54-DF19-4A9A-BBED-629E28CF7019}"/>
    <cellStyle name="Total 2 6 2 2 2 3 2 2" xfId="20134" xr:uid="{CC63B425-757A-484E-97C0-7BFA25495C07}"/>
    <cellStyle name="Total 2 6 2 2 2 3 3" xfId="16648" xr:uid="{FCD74CEF-90D1-4A6C-8D87-BC8F4457F9D6}"/>
    <cellStyle name="Total 2 6 2 2 2 3 4" xfId="23310" xr:uid="{B7C8470B-4C7F-40DE-B10B-FEADBFBF46E7}"/>
    <cellStyle name="Total 2 6 2 2 2 4" xfId="5850" xr:uid="{4F892201-FBE0-4CD3-8A98-2ADAEBA1CB96}"/>
    <cellStyle name="Total 2 6 2 2 2 4 2" xfId="11703" xr:uid="{A0507996-6809-4FDC-9924-0006A4DEF1E0}"/>
    <cellStyle name="Total 2 6 2 2 2 4 2 2" xfId="20749" xr:uid="{EA7D0183-C9DC-4662-A3BA-2665B5FE991E}"/>
    <cellStyle name="Total 2 6 2 2 2 4 3" xfId="17263" xr:uid="{3CF1D52A-2696-46E4-994B-6AEAB7F436F0}"/>
    <cellStyle name="Total 2 6 2 2 2 5" xfId="6461" xr:uid="{B7476CB6-D821-453A-A10D-41AA33BA079A}"/>
    <cellStyle name="Total 2 6 2 2 2 5 2" xfId="12308" xr:uid="{825BA118-D9AE-43DD-B1CC-2BE69D8DC761}"/>
    <cellStyle name="Total 2 6 2 2 2 5 2 2" xfId="21354" xr:uid="{88DA7686-A075-46EF-A940-1AFEFB5778E7}"/>
    <cellStyle name="Total 2 6 2 2 2 5 3" xfId="17874" xr:uid="{5FCF834F-9660-4FD7-AD17-BB6A0FA05321}"/>
    <cellStyle name="Total 2 6 2 2 2 6" xfId="9722" xr:uid="{0A1FED3D-86B6-45EA-B9F0-52222717FD11}"/>
    <cellStyle name="Total 2 6 2 2 2 6 2" xfId="18768" xr:uid="{C43FB96B-8AE4-45B4-BF52-ADDB46072C0A}"/>
    <cellStyle name="Total 2 6 2 2 2 7" xfId="13120" xr:uid="{02538CC3-5DC9-4C96-8CB9-547FC70563EF}"/>
    <cellStyle name="Total 2 6 2 2 2 8" xfId="13676" xr:uid="{DC7B5467-2C8B-447F-A6CE-F97C57543E7E}"/>
    <cellStyle name="Total 2 6 2 2 2 9" xfId="14316" xr:uid="{D2381182-24C7-4F41-B90B-88E5C7F2EF60}"/>
    <cellStyle name="Total 2 6 2 2 3" xfId="3298" xr:uid="{EB4F2F1C-45B3-4DE2-8256-338E8A482F92}"/>
    <cellStyle name="Total 2 6 2 2 3 10" xfId="15078" xr:uid="{717FD3F8-36B1-481E-95A4-DA4DC4764E85}"/>
    <cellStyle name="Total 2 6 2 2 3 11" xfId="21948" xr:uid="{C17D7692-269D-4857-87B2-AB1C8D999CCD}"/>
    <cellStyle name="Total 2 6 2 2 3 2" xfId="4521" xr:uid="{00F93FF9-B2D1-4FD4-992F-1660060D1F62}"/>
    <cellStyle name="Total 2 6 2 2 3 2 2" xfId="10378" xr:uid="{4B0A6BC3-D643-4A4B-ADA1-C336733A160A}"/>
    <cellStyle name="Total 2 6 2 2 3 2 2 2" xfId="19424" xr:uid="{264A8330-D8B4-4B03-9BC4-1CF9163520A8}"/>
    <cellStyle name="Total 2 6 2 2 3 2 3" xfId="15938" xr:uid="{149B2E23-F638-4F7C-BD67-9B823C1F75E3}"/>
    <cellStyle name="Total 2 6 2 2 3 2 4" xfId="22604" xr:uid="{EA78948A-016E-4B90-A682-E134AE098FFF}"/>
    <cellStyle name="Total 2 6 2 2 3 3" xfId="5022" xr:uid="{76CE1236-4251-41AA-BA27-76A019C03807}"/>
    <cellStyle name="Total 2 6 2 2 3 3 2" xfId="10875" xr:uid="{A227B65D-D739-43FB-A162-05E35A3402EE}"/>
    <cellStyle name="Total 2 6 2 2 3 3 2 2" xfId="19921" xr:uid="{778D9531-5EC4-46DF-8AA3-28DAFE1B9E95}"/>
    <cellStyle name="Total 2 6 2 2 3 3 3" xfId="16435" xr:uid="{361B1305-CF5B-4F8B-B3A9-A6C86894E1BD}"/>
    <cellStyle name="Total 2 6 2 2 3 3 4" xfId="23099" xr:uid="{74C537B8-BED1-4200-980A-66576E239C52}"/>
    <cellStyle name="Total 2 6 2 2 3 4" xfId="5637" xr:uid="{F2275D17-7DF2-46AA-98F8-A52056825E56}"/>
    <cellStyle name="Total 2 6 2 2 3 4 2" xfId="11490" xr:uid="{089E2B42-4F2B-43C3-87F8-F7D651F77C90}"/>
    <cellStyle name="Total 2 6 2 2 3 4 2 2" xfId="20536" xr:uid="{3C1F821D-A17F-40E4-B889-5D343C234F8C}"/>
    <cellStyle name="Total 2 6 2 2 3 4 3" xfId="17050" xr:uid="{8ECBD1FD-C991-4A17-AC6C-638013B21678}"/>
    <cellStyle name="Total 2 6 2 2 3 5" xfId="6248" xr:uid="{4B58A67E-74A7-4F53-9A66-9EEE7A4BEB2C}"/>
    <cellStyle name="Total 2 6 2 2 3 5 2" xfId="12095" xr:uid="{F9DAC4A8-6B25-46A0-B1F3-750AFC19CFB2}"/>
    <cellStyle name="Total 2 6 2 2 3 5 2 2" xfId="21141" xr:uid="{1631FDF4-AF39-4FDF-B247-87082262184A}"/>
    <cellStyle name="Total 2 6 2 2 3 5 3" xfId="17661" xr:uid="{AE22DB07-15FF-4810-9FF4-DA60FBA03670}"/>
    <cellStyle name="Total 2 6 2 2 3 6" xfId="9509" xr:uid="{FD16ACAD-A44A-47F7-933F-7E93383ED8C4}"/>
    <cellStyle name="Total 2 6 2 2 3 6 2" xfId="18555" xr:uid="{6B84D2DB-5FAC-4CFA-A821-95373346CCB3}"/>
    <cellStyle name="Total 2 6 2 2 3 7" xfId="12907" xr:uid="{9C670404-BA42-40FC-8C96-951229DA06C6}"/>
    <cellStyle name="Total 2 6 2 2 3 8" xfId="13465" xr:uid="{ADA62C9A-8853-449E-8766-88629D46F225}"/>
    <cellStyle name="Total 2 6 2 2 3 9" xfId="14103" xr:uid="{4F64F045-A9D3-4BBB-B257-AB5735F6CB91}"/>
    <cellStyle name="Total 2 6 2 2 4" xfId="4045" xr:uid="{81BB7950-2805-4D0B-867A-4825AAF18BAD}"/>
    <cellStyle name="Total 2 6 2 2 4 2" xfId="9907" xr:uid="{8A8F927D-64B4-499C-8CB4-55740D1F7A36}"/>
    <cellStyle name="Total 2 6 2 2 4 2 2" xfId="18953" xr:uid="{7B0BCA34-1904-4D99-A578-355FAED1FA3C}"/>
    <cellStyle name="Total 2 6 2 2 4 3" xfId="15469" xr:uid="{6DB306C5-D129-457F-A24C-786EF048B385}"/>
    <cellStyle name="Total 2 6 2 2 4 4" xfId="22884" xr:uid="{3AA71027-F9C2-4A9C-8895-4782D7584842}"/>
    <cellStyle name="Total 2 6 2 2 5" xfId="4807" xr:uid="{58CDCD36-1890-4EBF-8386-387D098D878D}"/>
    <cellStyle name="Total 2 6 2 2 5 2" xfId="10664" xr:uid="{5062347F-F26C-4A85-BB0A-B348CCF79F7C}"/>
    <cellStyle name="Total 2 6 2 2 5 2 2" xfId="19710" xr:uid="{BC951AAD-C2A9-47EA-A34A-1C794249474C}"/>
    <cellStyle name="Total 2 6 2 2 5 3" xfId="16224" xr:uid="{4D172333-E3F7-4D92-B630-6A60AFF823A1}"/>
    <cellStyle name="Total 2 6 2 2 6" xfId="5422" xr:uid="{932A769C-2C48-43C3-9CE3-42389182B052}"/>
    <cellStyle name="Total 2 6 2 2 6 2" xfId="11275" xr:uid="{6C58F71F-8E93-4EA9-9590-B6AD267CDDA8}"/>
    <cellStyle name="Total 2 6 2 2 6 2 2" xfId="20321" xr:uid="{122602AC-FA6E-43AB-901F-CD766C16D3E2}"/>
    <cellStyle name="Total 2 6 2 2 6 3" xfId="16835" xr:uid="{0F2272EC-DE50-442C-B66C-8AAFC398A6C0}"/>
    <cellStyle name="Total 2 6 2 2 7" xfId="6033" xr:uid="{082749D4-B59A-4DC9-8E3E-0E59BFD9FFB2}"/>
    <cellStyle name="Total 2 6 2 2 7 2" xfId="11884" xr:uid="{2E87FD19-9071-44D1-B8E4-F41F9B3216BA}"/>
    <cellStyle name="Total 2 6 2 2 7 2 2" xfId="20930" xr:uid="{39338C68-FB00-442B-BF16-6491F9F44B4D}"/>
    <cellStyle name="Total 2 6 2 2 7 3" xfId="17446" xr:uid="{C3452661-7C66-4DE2-879B-F7F62EA44161}"/>
    <cellStyle name="Total 2 6 2 2 8" xfId="9296" xr:uid="{3E2AFE53-58CA-4E36-970E-DE0EE09A7BDC}"/>
    <cellStyle name="Total 2 6 2 2 8 2" xfId="18342" xr:uid="{E854FCBE-EFFE-4ECC-857E-5A5ED1B94A9E}"/>
    <cellStyle name="Total 2 6 2 2 9" xfId="12692" xr:uid="{B1534EDE-4786-454E-9E0A-5D499867A9A6}"/>
    <cellStyle name="Total 2 6 2 3" xfId="2598" xr:uid="{571C0DA4-4066-43DB-B211-5E74746A11F9}"/>
    <cellStyle name="Total 2 6 2 3 10" xfId="13889" xr:uid="{10415BB0-044C-47EF-927D-F9E7C2F2488A}"/>
    <cellStyle name="Total 2 6 2 3 11" xfId="14866" xr:uid="{AA2B122E-F668-4C65-A97C-92CADC80AE68}"/>
    <cellStyle name="Total 2 6 2 3 12" xfId="21734" xr:uid="{EDEF37C5-518F-47F4-A2B6-BDF466F15195}"/>
    <cellStyle name="Total 2 6 2 3 13" xfId="3091" xr:uid="{95E80AB7-420D-40FD-8795-9DE5BD18E53E}"/>
    <cellStyle name="Total 2 6 2 3 2" xfId="3501" xr:uid="{49C5AA05-465F-4D83-AFD5-20EA9FE883BD}"/>
    <cellStyle name="Total 2 6 2 3 2 10" xfId="15292" xr:uid="{4FF7E824-9014-45CC-BA86-BF85A7501474}"/>
    <cellStyle name="Total 2 6 2 3 2 11" xfId="22160" xr:uid="{27AB64C5-EFB6-4B2B-AF10-B8A17CC85651}"/>
    <cellStyle name="Total 2 6 2 3 2 2" xfId="4735" xr:uid="{6714DD98-549A-468A-B77C-EA58B398CA80}"/>
    <cellStyle name="Total 2 6 2 3 2 2 2" xfId="10592" xr:uid="{94BE9A0A-F8AE-4505-A104-CE5A91051584}"/>
    <cellStyle name="Total 2 6 2 3 2 2 2 2" xfId="19638" xr:uid="{51B4FC86-7443-4FAE-B86F-7B6AC2DB2736}"/>
    <cellStyle name="Total 2 6 2 3 2 2 3" xfId="16152" xr:uid="{064A7F86-9882-4B11-9081-67D3D536AD86}"/>
    <cellStyle name="Total 2 6 2 3 2 2 4" xfId="22816" xr:uid="{9FAA54AD-194B-48FC-8371-CF4F83800708}"/>
    <cellStyle name="Total 2 6 2 3 2 3" xfId="5236" xr:uid="{0BB753FD-75DA-435D-8F6F-8604ECC293A9}"/>
    <cellStyle name="Total 2 6 2 3 2 3 2" xfId="11089" xr:uid="{AA4FC138-0494-4A88-8A4B-5318BB2F90DB}"/>
    <cellStyle name="Total 2 6 2 3 2 3 2 2" xfId="20135" xr:uid="{677F6399-35DA-4060-9A75-02134A766534}"/>
    <cellStyle name="Total 2 6 2 3 2 3 3" xfId="16649" xr:uid="{8DCA5FB5-4E08-41D7-BE0A-5A532F65E851}"/>
    <cellStyle name="Total 2 6 2 3 2 3 4" xfId="23311" xr:uid="{BF8B3B3C-0E8C-4C5E-8376-6B8697B4D13C}"/>
    <cellStyle name="Total 2 6 2 3 2 4" xfId="5851" xr:uid="{6C5673FC-1539-4EAA-9D85-B86839D69BF2}"/>
    <cellStyle name="Total 2 6 2 3 2 4 2" xfId="11704" xr:uid="{5828C0F9-ED2A-461F-9434-5E26BB98C1AD}"/>
    <cellStyle name="Total 2 6 2 3 2 4 2 2" xfId="20750" xr:uid="{4A206833-6283-4982-B11A-B2FBA5EA52D1}"/>
    <cellStyle name="Total 2 6 2 3 2 4 3" xfId="17264" xr:uid="{8F8D4C6B-DAAB-463B-9BDF-A3BA8CA79758}"/>
    <cellStyle name="Total 2 6 2 3 2 5" xfId="6462" xr:uid="{95C9B18D-A059-4B7B-AA2C-B9954AAA391A}"/>
    <cellStyle name="Total 2 6 2 3 2 5 2" xfId="12309" xr:uid="{7C53E02A-6AE8-497C-BD03-CDA3059B7562}"/>
    <cellStyle name="Total 2 6 2 3 2 5 2 2" xfId="21355" xr:uid="{6B0E4FBA-E4E2-49C4-ACA7-9C716CBA6CE7}"/>
    <cellStyle name="Total 2 6 2 3 2 5 3" xfId="17875" xr:uid="{B6A396A5-2DF9-4A20-AC4C-C52F059F3A77}"/>
    <cellStyle name="Total 2 6 2 3 2 6" xfId="9723" xr:uid="{5B381E7D-E2EC-4B31-AC5B-8DBA60AEB201}"/>
    <cellStyle name="Total 2 6 2 3 2 6 2" xfId="18769" xr:uid="{375E205A-E743-487B-B79C-19523E79D662}"/>
    <cellStyle name="Total 2 6 2 3 2 7" xfId="13121" xr:uid="{912984A1-B342-43DB-9A45-CE38FAD9FE7A}"/>
    <cellStyle name="Total 2 6 2 3 2 8" xfId="13677" xr:uid="{C71D6EBE-96AA-44C2-AB8E-BE2494AED8DB}"/>
    <cellStyle name="Total 2 6 2 3 2 9" xfId="14317" xr:uid="{3937779E-3B33-4B22-99EC-724DA7DE0713}"/>
    <cellStyle name="Total 2 6 2 3 3" xfId="3299" xr:uid="{2446A000-F21D-42CC-93F2-A8D41FD013A1}"/>
    <cellStyle name="Total 2 6 2 3 3 10" xfId="15079" xr:uid="{6CF357F7-A2A9-40E5-B3A6-6EA97CFADEE5}"/>
    <cellStyle name="Total 2 6 2 3 3 11" xfId="21949" xr:uid="{82109A1C-54D5-477F-80C5-FF975642D6D4}"/>
    <cellStyle name="Total 2 6 2 3 3 2" xfId="4522" xr:uid="{B2BC7C33-3997-4750-B463-811D843DD058}"/>
    <cellStyle name="Total 2 6 2 3 3 2 2" xfId="10379" xr:uid="{5BC01002-2478-4D39-944B-641A0033010B}"/>
    <cellStyle name="Total 2 6 2 3 3 2 2 2" xfId="19425" xr:uid="{50335C34-4C5C-4686-A3C3-AA4BE8BACE90}"/>
    <cellStyle name="Total 2 6 2 3 3 2 3" xfId="15939" xr:uid="{9F225C34-DA3F-4D46-A6ED-4AEC72628EE7}"/>
    <cellStyle name="Total 2 6 2 3 3 2 4" xfId="22605" xr:uid="{13775CC8-CFFA-4EA3-A140-29BE8D004DDA}"/>
    <cellStyle name="Total 2 6 2 3 3 3" xfId="5023" xr:uid="{24BB9327-E8A8-452A-9A89-18D046AFBB75}"/>
    <cellStyle name="Total 2 6 2 3 3 3 2" xfId="10876" xr:uid="{D9E194A0-6897-48B9-8439-9EBDB5868498}"/>
    <cellStyle name="Total 2 6 2 3 3 3 2 2" xfId="19922" xr:uid="{F173A94A-6D95-411D-9EB9-B8BB9D36F631}"/>
    <cellStyle name="Total 2 6 2 3 3 3 3" xfId="16436" xr:uid="{9BB4B008-82BC-4DA5-A1AB-DBE0B719F0CD}"/>
    <cellStyle name="Total 2 6 2 3 3 3 4" xfId="23100" xr:uid="{1786B645-F1BF-409C-A4DA-1B31E9837891}"/>
    <cellStyle name="Total 2 6 2 3 3 4" xfId="5638" xr:uid="{78EC6EC2-BAC1-488D-8C48-CF758BF80DF4}"/>
    <cellStyle name="Total 2 6 2 3 3 4 2" xfId="11491" xr:uid="{A7C023D9-092E-4995-8969-5F0C5756B974}"/>
    <cellStyle name="Total 2 6 2 3 3 4 2 2" xfId="20537" xr:uid="{C44F5FEF-B133-4FFB-BFC7-E9F37BE1AD7E}"/>
    <cellStyle name="Total 2 6 2 3 3 4 3" xfId="17051" xr:uid="{74C8A49D-EAB0-4ABE-8F84-B58A981643DE}"/>
    <cellStyle name="Total 2 6 2 3 3 5" xfId="6249" xr:uid="{9169ED0B-3F24-4304-9096-E4C7C6F2BAF9}"/>
    <cellStyle name="Total 2 6 2 3 3 5 2" xfId="12096" xr:uid="{59742D42-5639-4DEF-AF40-C6501EFBA978}"/>
    <cellStyle name="Total 2 6 2 3 3 5 2 2" xfId="21142" xr:uid="{C879AE12-2595-4E34-A3DD-E23D832AC943}"/>
    <cellStyle name="Total 2 6 2 3 3 5 3" xfId="17662" xr:uid="{A4CE029A-3651-4AC4-9FF9-FC7617E8034D}"/>
    <cellStyle name="Total 2 6 2 3 3 6" xfId="9510" xr:uid="{5D35450D-B171-4C5F-8531-496834E40A87}"/>
    <cellStyle name="Total 2 6 2 3 3 6 2" xfId="18556" xr:uid="{F9FDCF1E-2DAE-4C8A-9FE2-E033AE11BE67}"/>
    <cellStyle name="Total 2 6 2 3 3 7" xfId="12908" xr:uid="{3BEF28FA-D1F6-4697-8977-554709794DC0}"/>
    <cellStyle name="Total 2 6 2 3 3 8" xfId="13466" xr:uid="{291152B5-3007-4BBA-834A-A26E7E0E91E3}"/>
    <cellStyle name="Total 2 6 2 3 3 9" xfId="14104" xr:uid="{ACDE265A-4F79-47F0-BFC3-5D7A3010420F}"/>
    <cellStyle name="Total 2 6 2 3 4" xfId="4808" xr:uid="{C032BFA0-1EB9-4361-8174-27F534E1C1FC}"/>
    <cellStyle name="Total 2 6 2 3 4 2" xfId="10665" xr:uid="{89F01A90-809F-49D4-A8D7-E5DAFFF803D8}"/>
    <cellStyle name="Total 2 6 2 3 4 2 2" xfId="19711" xr:uid="{D986EF9C-08B0-438B-BDA0-84F779D8DC9A}"/>
    <cellStyle name="Total 2 6 2 3 4 3" xfId="16225" xr:uid="{1E2DEF25-64D1-47E3-81B2-2958F4DE6479}"/>
    <cellStyle name="Total 2 6 2 3 4 4" xfId="22885" xr:uid="{686F44DC-00D9-4CBB-ACEF-920AA49803A9}"/>
    <cellStyle name="Total 2 6 2 3 5" xfId="5423" xr:uid="{16F49947-4E8B-4E1A-9C2E-26D5CE3508E5}"/>
    <cellStyle name="Total 2 6 2 3 5 2" xfId="11276" xr:uid="{C98319EB-233C-4EAD-8D82-C6F65E172637}"/>
    <cellStyle name="Total 2 6 2 3 5 2 2" xfId="20322" xr:uid="{38545C72-B2CA-4E1C-AD47-352711E92750}"/>
    <cellStyle name="Total 2 6 2 3 5 3" xfId="16836" xr:uid="{A528209D-A501-45DB-AE32-77EACC39C989}"/>
    <cellStyle name="Total 2 6 2 3 6" xfId="6034" xr:uid="{8CCAAF3F-BFA5-4571-8E6A-D88FD05AD5C0}"/>
    <cellStyle name="Total 2 6 2 3 6 2" xfId="11885" xr:uid="{49677CEA-A242-42AB-A2DE-C166D975664B}"/>
    <cellStyle name="Total 2 6 2 3 6 2 2" xfId="20931" xr:uid="{923E10A8-E1BA-42C5-80A1-5104BB1FDE13}"/>
    <cellStyle name="Total 2 6 2 3 6 3" xfId="17447" xr:uid="{3856F77F-AED6-4F56-907B-C944136C964C}"/>
    <cellStyle name="Total 2 6 2 3 7" xfId="9297" xr:uid="{2866FB71-EC68-433D-9F74-74B2658DAC48}"/>
    <cellStyle name="Total 2 6 2 3 7 2" xfId="18343" xr:uid="{D4335017-BB69-4B62-BA9D-1D662166C54A}"/>
    <cellStyle name="Total 2 6 2 3 8" xfId="12693" xr:uid="{0330E944-308C-4E99-A48F-F9D08552FAAD}"/>
    <cellStyle name="Total 2 6 2 3 9" xfId="13255" xr:uid="{FC7F7D8D-11CF-4C2A-BBFF-C85F93310178}"/>
    <cellStyle name="Total 2 6 2 4" xfId="3388" xr:uid="{CEBDFD69-CC75-41E7-95C8-2FE587880FE2}"/>
    <cellStyle name="Total 2 6 2 4 10" xfId="15168" xr:uid="{796A2C5E-1C88-4838-B5F7-E8C68F1FD887}"/>
    <cellStyle name="Total 2 6 2 4 11" xfId="22037" xr:uid="{FC54A957-66DD-4656-86C9-D5E26FF2F80C}"/>
    <cellStyle name="Total 2 6 2 4 2" xfId="4611" xr:uid="{E5F04A93-FA4F-4641-A5B4-65B0CC8132CB}"/>
    <cellStyle name="Total 2 6 2 4 2 2" xfId="10468" xr:uid="{55186464-6ACD-453E-BAB2-78902A87A5DF}"/>
    <cellStyle name="Total 2 6 2 4 2 2 2" xfId="19514" xr:uid="{A9DB8A71-5AD0-4855-B111-9EE834B33A59}"/>
    <cellStyle name="Total 2 6 2 4 2 3" xfId="16028" xr:uid="{A443480A-C2B0-4284-B869-8A3CCD296C44}"/>
    <cellStyle name="Total 2 6 2 4 2 4" xfId="22693" xr:uid="{9E7EA7F7-AE88-476E-91F0-5AE38AB14743}"/>
    <cellStyle name="Total 2 6 2 4 3" xfId="5112" xr:uid="{771A7224-74AA-463C-B3F3-F45FAED9AC71}"/>
    <cellStyle name="Total 2 6 2 4 3 2" xfId="10965" xr:uid="{43CB46CF-8008-4DA9-AA5F-8AC81D49FB7D}"/>
    <cellStyle name="Total 2 6 2 4 3 2 2" xfId="20011" xr:uid="{7DFC8540-6428-42F9-A2FF-CCBF96B26FAB}"/>
    <cellStyle name="Total 2 6 2 4 3 3" xfId="16525" xr:uid="{446954D3-1787-4CA2-9913-5DA12BD57461}"/>
    <cellStyle name="Total 2 6 2 4 3 4" xfId="23188" xr:uid="{FD3EDD65-3B2C-4E9A-866D-D50E98B2D90C}"/>
    <cellStyle name="Total 2 6 2 4 4" xfId="5727" xr:uid="{C1625F5F-792D-4D07-90B9-3656BF1BE2AD}"/>
    <cellStyle name="Total 2 6 2 4 4 2" xfId="11580" xr:uid="{364AACAE-87DC-429E-85CD-DD9CD6F4625F}"/>
    <cellStyle name="Total 2 6 2 4 4 2 2" xfId="20626" xr:uid="{8A961CB6-0A40-4B2B-A806-63ABA532C1AE}"/>
    <cellStyle name="Total 2 6 2 4 4 3" xfId="17140" xr:uid="{2CB8AE73-6EBE-4DCB-8034-7A219E3148D4}"/>
    <cellStyle name="Total 2 6 2 4 5" xfId="6338" xr:uid="{F2685ECD-E242-4810-922A-8A3433B77E53}"/>
    <cellStyle name="Total 2 6 2 4 5 2" xfId="12185" xr:uid="{1D43E7AA-9C10-4204-880C-95280CF5B8D1}"/>
    <cellStyle name="Total 2 6 2 4 5 2 2" xfId="21231" xr:uid="{457CDFA7-361E-4BE9-9144-C341A6F1D327}"/>
    <cellStyle name="Total 2 6 2 4 5 3" xfId="17751" xr:uid="{61BBC7BA-84BE-4638-A478-1F936E9EDADC}"/>
    <cellStyle name="Total 2 6 2 4 6" xfId="9599" xr:uid="{9486D3EA-F779-42C1-9855-FAC52F83B482}"/>
    <cellStyle name="Total 2 6 2 4 6 2" xfId="18645" xr:uid="{81E72639-393B-45C3-B17B-A4DD6AE40F32}"/>
    <cellStyle name="Total 2 6 2 4 7" xfId="12997" xr:uid="{F3652424-F1C3-4FA3-9348-C43A3F7110D0}"/>
    <cellStyle name="Total 2 6 2 4 8" xfId="13554" xr:uid="{7F5C58E9-752A-4294-BE8F-D1D572FDDF77}"/>
    <cellStyle name="Total 2 6 2 4 9" xfId="14193" xr:uid="{A17AEA09-8750-474F-95AF-9EE951E48154}"/>
    <cellStyle name="Total 2 6 2 5" xfId="3176" xr:uid="{924D9BAB-5F4D-45D5-8FF8-715AA817454A}"/>
    <cellStyle name="Total 2 6 2 5 10" xfId="14956" xr:uid="{C330CA03-504E-446E-B90B-1162A2A385E7}"/>
    <cellStyle name="Total 2 6 2 5 11" xfId="21824" xr:uid="{BF8E655C-BC41-4296-8D67-B25D3484D1E3}"/>
    <cellStyle name="Total 2 6 2 5 2" xfId="4397" xr:uid="{CA644EA2-1FF5-4C77-A6EE-45D16CF327D2}"/>
    <cellStyle name="Total 2 6 2 5 2 2" xfId="10254" xr:uid="{07D1841B-6FC7-4CBF-90F9-EB5F51AF2272}"/>
    <cellStyle name="Total 2 6 2 5 2 2 2" xfId="19300" xr:uid="{D8863CC4-98D2-40F6-A87E-DB35060F7BD8}"/>
    <cellStyle name="Total 2 6 2 5 2 3" xfId="15814" xr:uid="{1C92C29E-5FBC-49F9-A291-3A82BE274033}"/>
    <cellStyle name="Total 2 6 2 5 2 4" xfId="22480" xr:uid="{7A263605-912C-4D5A-B7EB-8431CFED8DF2}"/>
    <cellStyle name="Total 2 6 2 5 3" xfId="4898" xr:uid="{337ACD20-AA1D-4D1E-AD80-AA725EBED7AD}"/>
    <cellStyle name="Total 2 6 2 5 3 2" xfId="10753" xr:uid="{9A6F3FF2-15B7-49C0-9C1A-04C4EA616685}"/>
    <cellStyle name="Total 2 6 2 5 3 2 2" xfId="19799" xr:uid="{4408D38E-AD68-410E-80F0-BADA27ABDAC2}"/>
    <cellStyle name="Total 2 6 2 5 3 3" xfId="16313" xr:uid="{F6F1A180-28D0-458F-A9C1-36AEB7D471CD}"/>
    <cellStyle name="Total 2 6 2 5 3 4" xfId="22975" xr:uid="{F8F38930-4ED3-43D1-81FC-4BCCF4D86A5F}"/>
    <cellStyle name="Total 2 6 2 5 4" xfId="5513" xr:uid="{7CF06490-6518-4919-B262-D4D216CDC73D}"/>
    <cellStyle name="Total 2 6 2 5 4 2" xfId="11366" xr:uid="{3AA5DB36-2E7F-421E-87B0-3E6870AA171B}"/>
    <cellStyle name="Total 2 6 2 5 4 2 2" xfId="20412" xr:uid="{63E0EE92-1EC9-46F6-963C-1924087C0FC3}"/>
    <cellStyle name="Total 2 6 2 5 4 3" xfId="16926" xr:uid="{D41AA868-BCBA-476B-8482-7BD24742077D}"/>
    <cellStyle name="Total 2 6 2 5 5" xfId="6124" xr:uid="{7A690727-8143-4596-A6D0-6F0D38127AA3}"/>
    <cellStyle name="Total 2 6 2 5 5 2" xfId="11973" xr:uid="{728B4C98-DF7B-4476-B106-9CDAB4DC1D55}"/>
    <cellStyle name="Total 2 6 2 5 5 2 2" xfId="21019" xr:uid="{B334E4D1-2334-4B84-9C0A-DB4E2BBF0B22}"/>
    <cellStyle name="Total 2 6 2 5 5 3" xfId="17537" xr:uid="{FA14B7DF-FA2F-45D0-8309-35B535E1F04C}"/>
    <cellStyle name="Total 2 6 2 5 6" xfId="9387" xr:uid="{B05A9537-C220-4EF2-BDCE-D9C53C1A1BDE}"/>
    <cellStyle name="Total 2 6 2 5 6 2" xfId="18433" xr:uid="{9F3DD178-A7DB-4855-8131-891B80236AD7}"/>
    <cellStyle name="Total 2 6 2 5 7" xfId="12783" xr:uid="{CF32E77A-5EA6-4A45-9C82-E0DFF7D58DCF}"/>
    <cellStyle name="Total 2 6 2 5 8" xfId="13343" xr:uid="{A19E565A-D4C1-4526-89CE-BA352E0258A1}"/>
    <cellStyle name="Total 2 6 2 5 9" xfId="13979" xr:uid="{A2FD2AC0-4575-426A-86CC-70FBB05896E8}"/>
    <cellStyle name="Total 2 6 2 6" xfId="3777" xr:uid="{C64A8BDC-936E-4728-954E-119D54C1D31B}"/>
    <cellStyle name="Total 2 6 2 6 2" xfId="9819" xr:uid="{A48D7A9F-1A4C-4C23-A06D-1BF4024FCC11}"/>
    <cellStyle name="Total 2 6 2 6 2 2" xfId="18865" xr:uid="{6437B5D8-35DD-453B-81F9-5809D091D1C6}"/>
    <cellStyle name="Total 2 6 2 6 3" xfId="15385" xr:uid="{0A6C8544-44A5-47C8-A118-2C0EA84CC2C2}"/>
    <cellStyle name="Total 2 6 2 6 4" xfId="22364" xr:uid="{BC7691CD-89B5-4096-A80F-924C194BBC8E}"/>
    <cellStyle name="Total 2 6 2 7" xfId="4261" xr:uid="{2CA4E1BC-5F4B-474C-A348-8D326B50322E}"/>
    <cellStyle name="Total 2 6 2 7 2" xfId="10118" xr:uid="{C37210D9-DBD2-4BD3-B505-3A8FC624C213}"/>
    <cellStyle name="Total 2 6 2 7 2 2" xfId="19164" xr:uid="{B440677A-BB03-496A-B634-733D2C5C9418}"/>
    <cellStyle name="Total 2 6 2 7 3" xfId="15678" xr:uid="{45528C93-157F-49EF-91C4-26A9C9D5CDFD}"/>
    <cellStyle name="Total 2 6 2 7 4" xfId="22183" xr:uid="{67703D21-DCB8-4C76-B608-F5AEB01715A3}"/>
    <cellStyle name="Total 2 6 2 8" xfId="4064" xr:uid="{9A6920B0-BBA0-4089-A046-29AB80B162A8}"/>
    <cellStyle name="Total 2 6 2 8 2" xfId="9921" xr:uid="{A6A7104B-AB2D-4AC6-9C28-E7099B6F0B78}"/>
    <cellStyle name="Total 2 6 2 8 2 2" xfId="18967" xr:uid="{27AC2C38-D3C9-44B6-B918-AA1BEEFA2621}"/>
    <cellStyle name="Total 2 6 2 8 3" xfId="15481" xr:uid="{89A7DE5E-56E5-46B5-8806-326A1E1B82F1}"/>
    <cellStyle name="Total 2 6 2 9" xfId="5298" xr:uid="{2CDE2FD1-4CEE-4BF5-AF95-02F510380AD0}"/>
    <cellStyle name="Total 2 6 2 9 2" xfId="11151" xr:uid="{76D86335-B819-41B6-B6BC-54FCC0595539}"/>
    <cellStyle name="Total 2 6 2 9 2 2" xfId="20197" xr:uid="{CF7C570F-FF30-4D25-9432-EE5C9B656C2C}"/>
    <cellStyle name="Total 2 6 2 9 3" xfId="16711" xr:uid="{C7D4B8EC-330B-4AC7-8E28-C3B85A25C3D5}"/>
    <cellStyle name="Total 2 6 3" xfId="2474" xr:uid="{26355FCB-B950-45CC-926D-B6119FF480AD}"/>
    <cellStyle name="Total 2 6 3 10" xfId="5910" xr:uid="{89443B15-7BFD-47B7-9D12-C9E0E7C1F4AE}"/>
    <cellStyle name="Total 2 6 3 10 2" xfId="11763" xr:uid="{B49DBA78-3FF1-4936-B980-564E279E634D}"/>
    <cellStyle name="Total 2 6 3 10 2 2" xfId="20809" xr:uid="{3DBD9792-5753-4CCE-8464-6E297CB98B2D}"/>
    <cellStyle name="Total 2 6 3 10 3" xfId="17323" xr:uid="{E4243C70-A7FA-457D-99EC-01290C1FCBC3}"/>
    <cellStyle name="Total 2 6 3 11" xfId="9173" xr:uid="{4ABCA26C-9CBC-4570-8805-08F8E803506C}"/>
    <cellStyle name="Total 2 6 3 11 2" xfId="18219" xr:uid="{13EB29B2-0160-47D4-8609-6B88FAD32694}"/>
    <cellStyle name="Total 2 6 3 12" xfId="12571" xr:uid="{5AA263DD-476A-45AD-A2DF-BBF1DF8F62AA}"/>
    <cellStyle name="Total 2 6 3 13" xfId="13765" xr:uid="{248942E7-69DF-489C-B9CB-6CF9A87EB6E5}"/>
    <cellStyle name="Total 2 6 3 14" xfId="14742" xr:uid="{C90E6A5C-F55D-4D5A-AE1F-FC14F4250C48}"/>
    <cellStyle name="Total 2 6 3 15" xfId="21612" xr:uid="{3A82C0D3-F47B-4D91-8151-518AF01FA738}"/>
    <cellStyle name="Total 2 6 3 16" xfId="23805" xr:uid="{AC0E489B-8D57-4565-97E9-FAA76655B55A}"/>
    <cellStyle name="Total 2 6 3 2" xfId="2475" xr:uid="{866D6DE8-2BDB-4B65-9E75-8A0FDC338711}"/>
    <cellStyle name="Total 2 6 3 2 10" xfId="13256" xr:uid="{303EC21E-6911-4FF7-B494-15F548B08DAE}"/>
    <cellStyle name="Total 2 6 3 2 11" xfId="13890" xr:uid="{25133337-E86A-4398-B7C8-3760C650A1D5}"/>
    <cellStyle name="Total 2 6 3 2 12" xfId="14867" xr:uid="{A3A31B33-A2C1-4CAF-91F3-CFD8C8B3E140}"/>
    <cellStyle name="Total 2 6 3 2 13" xfId="21735" xr:uid="{AC963EE8-A8F4-49BA-8715-565D97B72368}"/>
    <cellStyle name="Total 2 6 3 2 2" xfId="2526" xr:uid="{E51F4D52-3910-42FF-82D3-168B33EDE1A3}"/>
    <cellStyle name="Total 2 6 3 2 2 10" xfId="15293" xr:uid="{49CDF3F3-9990-49B2-8C75-D39CAE3AC514}"/>
    <cellStyle name="Total 2 6 3 2 2 11" xfId="22161" xr:uid="{76F836D9-A998-4F87-B958-5629621B2124}"/>
    <cellStyle name="Total 2 6 3 2 2 12" xfId="3502" xr:uid="{D563D72D-4D0D-4262-B68A-8B0BA08056C3}"/>
    <cellStyle name="Total 2 6 3 2 2 2" xfId="4736" xr:uid="{825D4B60-0EC5-4FC2-AE31-EFDCB174E2EE}"/>
    <cellStyle name="Total 2 6 3 2 2 2 2" xfId="10593" xr:uid="{566C6824-1D8A-46C7-BCEC-A3AEB19E4A9D}"/>
    <cellStyle name="Total 2 6 3 2 2 2 2 2" xfId="19639" xr:uid="{606CA00F-176E-46EB-92BD-BDA7B6DD5538}"/>
    <cellStyle name="Total 2 6 3 2 2 2 3" xfId="16153" xr:uid="{F662C7D2-9071-48D7-ABA8-85336156FC2B}"/>
    <cellStyle name="Total 2 6 3 2 2 2 4" xfId="22817" xr:uid="{D00999CF-A450-4332-B2A9-CC55CC72A9C4}"/>
    <cellStyle name="Total 2 6 3 2 2 3" xfId="5237" xr:uid="{07033515-FB6F-441A-A3EC-461516DAF430}"/>
    <cellStyle name="Total 2 6 3 2 2 3 2" xfId="11090" xr:uid="{6809F172-1149-483D-AB6D-1B47ED9667DF}"/>
    <cellStyle name="Total 2 6 3 2 2 3 2 2" xfId="20136" xr:uid="{B3AA90CA-2949-4550-B9D4-C41024292D0F}"/>
    <cellStyle name="Total 2 6 3 2 2 3 3" xfId="16650" xr:uid="{A14B5DFF-C9C8-4A3A-B909-41FA80553FA3}"/>
    <cellStyle name="Total 2 6 3 2 2 3 4" xfId="23312" xr:uid="{A4A1FE90-27C0-4B9B-BF1F-62A604F12284}"/>
    <cellStyle name="Total 2 6 3 2 2 4" xfId="5852" xr:uid="{364A07C2-770D-4006-99C9-DD8E3E315C0D}"/>
    <cellStyle name="Total 2 6 3 2 2 4 2" xfId="11705" xr:uid="{02A98813-72D2-4D5C-9865-7C7421B25279}"/>
    <cellStyle name="Total 2 6 3 2 2 4 2 2" xfId="20751" xr:uid="{5439EC3D-F4E2-4955-B042-C1FEDCD7B3C5}"/>
    <cellStyle name="Total 2 6 3 2 2 4 3" xfId="17265" xr:uid="{4579F365-7E50-4ED1-8B6B-CE83CBF6D80D}"/>
    <cellStyle name="Total 2 6 3 2 2 5" xfId="6463" xr:uid="{8EEC7A09-47CB-40CC-A6F8-C73B21A2226B}"/>
    <cellStyle name="Total 2 6 3 2 2 5 2" xfId="12310" xr:uid="{966EDB33-2826-416B-9925-0D80EE725F64}"/>
    <cellStyle name="Total 2 6 3 2 2 5 2 2" xfId="21356" xr:uid="{D273D3F7-F851-4A45-AD69-98AD1A76908D}"/>
    <cellStyle name="Total 2 6 3 2 2 5 3" xfId="17876" xr:uid="{214515B9-988D-4D49-AC48-A9B891ED9086}"/>
    <cellStyle name="Total 2 6 3 2 2 6" xfId="9724" xr:uid="{29D2E123-8ED5-44CA-8182-885BF8BA8551}"/>
    <cellStyle name="Total 2 6 3 2 2 6 2" xfId="18770" xr:uid="{3A95978A-9A75-49B6-BCF3-06830FFFFE40}"/>
    <cellStyle name="Total 2 6 3 2 2 7" xfId="13122" xr:uid="{D0DE8244-96D3-49FE-A9B2-9C7F8B2A9B57}"/>
    <cellStyle name="Total 2 6 3 2 2 8" xfId="13678" xr:uid="{0E046C8D-E86B-401B-B70C-29DB0B86F504}"/>
    <cellStyle name="Total 2 6 3 2 2 9" xfId="14318" xr:uid="{315C4733-F0F6-49A5-AA4C-6ED16CADA41E}"/>
    <cellStyle name="Total 2 6 3 2 3" xfId="3300" xr:uid="{0214A2E8-16B6-481A-9162-969AFB89633F}"/>
    <cellStyle name="Total 2 6 3 2 3 10" xfId="15080" xr:uid="{4893D493-1A0C-427E-9511-25A22D1EF55D}"/>
    <cellStyle name="Total 2 6 3 2 3 11" xfId="21950" xr:uid="{0D76B215-F4AD-448A-A10F-DD618E0D46A8}"/>
    <cellStyle name="Total 2 6 3 2 3 2" xfId="4523" xr:uid="{5ADB83E5-F15E-496B-9252-9015412D0604}"/>
    <cellStyle name="Total 2 6 3 2 3 2 2" xfId="10380" xr:uid="{7B5F4338-4DDF-4084-8919-10D9FB27BADF}"/>
    <cellStyle name="Total 2 6 3 2 3 2 2 2" xfId="19426" xr:uid="{D50A1C1A-AB39-4BE5-8122-CC90385E2145}"/>
    <cellStyle name="Total 2 6 3 2 3 2 3" xfId="15940" xr:uid="{069CE4BF-B687-4E21-B21E-F061F30A6DCB}"/>
    <cellStyle name="Total 2 6 3 2 3 2 4" xfId="22606" xr:uid="{6C4C7EE8-D919-436D-A696-D5E19C0F7920}"/>
    <cellStyle name="Total 2 6 3 2 3 3" xfId="5024" xr:uid="{CCDC5AAA-62B7-42A8-856A-7D4C6671A304}"/>
    <cellStyle name="Total 2 6 3 2 3 3 2" xfId="10877" xr:uid="{D8A2E4E7-772D-4557-B48C-85B5CE460220}"/>
    <cellStyle name="Total 2 6 3 2 3 3 2 2" xfId="19923" xr:uid="{8E675C3C-6270-4753-8AD1-CBAD9E103BE4}"/>
    <cellStyle name="Total 2 6 3 2 3 3 3" xfId="16437" xr:uid="{E32EA176-98E7-42E4-9C99-1C9E744A8F57}"/>
    <cellStyle name="Total 2 6 3 2 3 3 4" xfId="23101" xr:uid="{7F82F15F-129E-431D-BADD-EE6549795DD2}"/>
    <cellStyle name="Total 2 6 3 2 3 4" xfId="5639" xr:uid="{38B8729C-252D-4964-805F-420F0BBEEA94}"/>
    <cellStyle name="Total 2 6 3 2 3 4 2" xfId="11492" xr:uid="{1F0DED6F-62D4-4DE6-ABDA-3CD48C4EDD66}"/>
    <cellStyle name="Total 2 6 3 2 3 4 2 2" xfId="20538" xr:uid="{1CFF3F7B-9BFC-40D0-95ED-7A99255E3D95}"/>
    <cellStyle name="Total 2 6 3 2 3 4 3" xfId="17052" xr:uid="{FAB601C6-E1ED-46E3-B326-64801B9CE83E}"/>
    <cellStyle name="Total 2 6 3 2 3 5" xfId="6250" xr:uid="{D8946AC2-C7F7-4ED6-B326-DF76EA5C75A8}"/>
    <cellStyle name="Total 2 6 3 2 3 5 2" xfId="12097" xr:uid="{B5AED532-81F4-4438-8D41-540EBC2CE366}"/>
    <cellStyle name="Total 2 6 3 2 3 5 2 2" xfId="21143" xr:uid="{729386A1-B51C-462F-B97A-0AECEEFF8C03}"/>
    <cellStyle name="Total 2 6 3 2 3 5 3" xfId="17663" xr:uid="{8378773A-D40B-42E4-ADFB-6883B4E98F02}"/>
    <cellStyle name="Total 2 6 3 2 3 6" xfId="9511" xr:uid="{D184999E-4729-4E62-BF80-D2981E23FC31}"/>
    <cellStyle name="Total 2 6 3 2 3 6 2" xfId="18557" xr:uid="{3591F465-8FC9-43B6-9CF3-2630FBD53345}"/>
    <cellStyle name="Total 2 6 3 2 3 7" xfId="12909" xr:uid="{F97B0AD5-ECE2-4FF2-BC34-A5D32755457D}"/>
    <cellStyle name="Total 2 6 3 2 3 8" xfId="13467" xr:uid="{24E5A0A6-9EB5-413F-91EF-3E957D1F4E4C}"/>
    <cellStyle name="Total 2 6 3 2 3 9" xfId="14105" xr:uid="{71FF0FC9-3E1A-4E07-945A-E12901D493D3}"/>
    <cellStyle name="Total 2 6 3 2 4" xfId="4046" xr:uid="{21ED7A3B-778A-4CF5-836E-92030F47AA88}"/>
    <cellStyle name="Total 2 6 3 2 4 2" xfId="9908" xr:uid="{C42F81AB-9A90-47B4-A0E1-7B684F940D37}"/>
    <cellStyle name="Total 2 6 3 2 4 2 2" xfId="18954" xr:uid="{C7B0BC2E-A5AF-470C-80F3-61DE3D1C900A}"/>
    <cellStyle name="Total 2 6 3 2 4 3" xfId="15470" xr:uid="{67D65E65-29E3-426E-AD9B-B5FDE3900429}"/>
    <cellStyle name="Total 2 6 3 2 4 4" xfId="22886" xr:uid="{D6E1CB0D-1E8D-48E6-8B56-BBAD26B73B4B}"/>
    <cellStyle name="Total 2 6 3 2 5" xfId="4809" xr:uid="{52F5CCAB-EAE2-4E61-9E91-AD69621C0D63}"/>
    <cellStyle name="Total 2 6 3 2 5 2" xfId="10666" xr:uid="{C5092DA9-9175-4621-B463-EC31057C39A2}"/>
    <cellStyle name="Total 2 6 3 2 5 2 2" xfId="19712" xr:uid="{AB62B5EA-C217-48CD-8002-2CDDB7470599}"/>
    <cellStyle name="Total 2 6 3 2 5 3" xfId="16226" xr:uid="{13281BAB-D4B8-427F-BF62-2D30A6B0B15F}"/>
    <cellStyle name="Total 2 6 3 2 6" xfId="5424" xr:uid="{CD2B926B-138A-4417-98F6-1DCAECB7199B}"/>
    <cellStyle name="Total 2 6 3 2 6 2" xfId="11277" xr:uid="{7A58C164-7CD9-4325-BC69-7F9EBFE5A182}"/>
    <cellStyle name="Total 2 6 3 2 6 2 2" xfId="20323" xr:uid="{59358132-6CDE-42C5-B013-AAFE3765F8D5}"/>
    <cellStyle name="Total 2 6 3 2 6 3" xfId="16837" xr:uid="{233FDC81-56A5-45C6-892D-2B7FA9CE1B6A}"/>
    <cellStyle name="Total 2 6 3 2 7" xfId="6035" xr:uid="{C41C1418-B28B-48D1-A8E9-5F15D9C34C39}"/>
    <cellStyle name="Total 2 6 3 2 7 2" xfId="11886" xr:uid="{1C849E60-F6A4-41CB-A7A6-DAB998C4CEAE}"/>
    <cellStyle name="Total 2 6 3 2 7 2 2" xfId="20932" xr:uid="{FB926B9D-1F9C-4DDC-A0A0-2D824AD48BE0}"/>
    <cellStyle name="Total 2 6 3 2 7 3" xfId="17448" xr:uid="{D7B8911B-AC40-4838-9F40-0D2F47EAD8FA}"/>
    <cellStyle name="Total 2 6 3 2 8" xfId="9298" xr:uid="{8278768A-1E77-485E-A693-012A14126A62}"/>
    <cellStyle name="Total 2 6 3 2 8 2" xfId="18344" xr:uid="{07FC871E-0C8A-4E83-BC3E-797040BF0FD3}"/>
    <cellStyle name="Total 2 6 3 2 9" xfId="12694" xr:uid="{3662D88C-2F7D-46A0-9D91-5268F6DED208}"/>
    <cellStyle name="Total 2 6 3 3" xfId="2597" xr:uid="{8ACA0DCE-CF9E-40F0-96D5-EE5D09F99678}"/>
    <cellStyle name="Total 2 6 3 3 10" xfId="13891" xr:uid="{F164F7F2-8A15-4572-94B8-83307F7E7A0F}"/>
    <cellStyle name="Total 2 6 3 3 11" xfId="14868" xr:uid="{9C44149C-193A-4310-A5AA-A81B81CF3484}"/>
    <cellStyle name="Total 2 6 3 3 12" xfId="21736" xr:uid="{8AD9619E-1B5E-4AFB-AD5B-5810C5F07698}"/>
    <cellStyle name="Total 2 6 3 3 13" xfId="3092" xr:uid="{DB80F6FC-1784-47E5-9869-C1C57E1B5E6D}"/>
    <cellStyle name="Total 2 6 3 3 2" xfId="3503" xr:uid="{519DEC30-1C9A-41A4-B766-7B80303F6BC0}"/>
    <cellStyle name="Total 2 6 3 3 2 10" xfId="15294" xr:uid="{EA9412CE-4D27-4675-9FF6-AA12D2B2A9EC}"/>
    <cellStyle name="Total 2 6 3 3 2 11" xfId="22162" xr:uid="{091E0589-47A0-4594-ACDE-0A15FB232BFB}"/>
    <cellStyle name="Total 2 6 3 3 2 2" xfId="4737" xr:uid="{50A9DB28-644D-4B7F-A0AB-2074EFCDB7D6}"/>
    <cellStyle name="Total 2 6 3 3 2 2 2" xfId="10594" xr:uid="{B732DA95-C5FB-4910-92FD-5ADA9F0A0BE1}"/>
    <cellStyle name="Total 2 6 3 3 2 2 2 2" xfId="19640" xr:uid="{BF4A690B-A73D-4FAC-872E-F3011968CB34}"/>
    <cellStyle name="Total 2 6 3 3 2 2 3" xfId="16154" xr:uid="{22AD23A3-0F42-44F4-A083-50565BE754B2}"/>
    <cellStyle name="Total 2 6 3 3 2 2 4" xfId="22818" xr:uid="{788A4016-0D5F-4D13-87F0-26837B537C7E}"/>
    <cellStyle name="Total 2 6 3 3 2 3" xfId="5238" xr:uid="{A6BF8162-3471-46B7-86D5-2DDE581584A2}"/>
    <cellStyle name="Total 2 6 3 3 2 3 2" xfId="11091" xr:uid="{17B27572-9808-417E-8816-DA9BFB36E4B9}"/>
    <cellStyle name="Total 2 6 3 3 2 3 2 2" xfId="20137" xr:uid="{03991E1B-EBF1-4358-BC94-037A9969D4C5}"/>
    <cellStyle name="Total 2 6 3 3 2 3 3" xfId="16651" xr:uid="{0FE60192-C51D-4079-8B64-7CE98002E551}"/>
    <cellStyle name="Total 2 6 3 3 2 3 4" xfId="23313" xr:uid="{9EA274D8-F464-4422-9175-8C99309BDEBB}"/>
    <cellStyle name="Total 2 6 3 3 2 4" xfId="5853" xr:uid="{D1C05321-6BE3-4D5E-A6E7-2D0F167A93C9}"/>
    <cellStyle name="Total 2 6 3 3 2 4 2" xfId="11706" xr:uid="{280860B5-F0ED-43C7-9EF2-036E28175059}"/>
    <cellStyle name="Total 2 6 3 3 2 4 2 2" xfId="20752" xr:uid="{8D468AC0-AC79-422C-9988-D986E0013D50}"/>
    <cellStyle name="Total 2 6 3 3 2 4 3" xfId="17266" xr:uid="{0999CBE8-5C36-409E-AB9D-3E0C03E631B2}"/>
    <cellStyle name="Total 2 6 3 3 2 5" xfId="6464" xr:uid="{DA460581-59D5-4D5F-B9C8-CE21715A46B5}"/>
    <cellStyle name="Total 2 6 3 3 2 5 2" xfId="12311" xr:uid="{C24DAB6C-3EC9-4598-8125-814EEBAD774F}"/>
    <cellStyle name="Total 2 6 3 3 2 5 2 2" xfId="21357" xr:uid="{CA560634-0E96-4AFB-BCBC-29C3E3CEE5C6}"/>
    <cellStyle name="Total 2 6 3 3 2 5 3" xfId="17877" xr:uid="{E2833853-E527-4A69-9FD2-2BA554AC6B19}"/>
    <cellStyle name="Total 2 6 3 3 2 6" xfId="9725" xr:uid="{2B25C867-4567-4BEA-9537-282AD99C103C}"/>
    <cellStyle name="Total 2 6 3 3 2 6 2" xfId="18771" xr:uid="{2E8E69DC-59C6-4D43-9A44-FF8163741DD1}"/>
    <cellStyle name="Total 2 6 3 3 2 7" xfId="13123" xr:uid="{A0C62D8A-97D9-4DEB-9DA4-19ECC6602C89}"/>
    <cellStyle name="Total 2 6 3 3 2 8" xfId="13679" xr:uid="{DE3D99F2-246B-44D1-AFE1-478D1BF05BD0}"/>
    <cellStyle name="Total 2 6 3 3 2 9" xfId="14319" xr:uid="{DEDFD30C-6108-44B4-9A57-4E086AEA8A47}"/>
    <cellStyle name="Total 2 6 3 3 3" xfId="3301" xr:uid="{ED115C5A-66C9-4323-A8B2-66FC31EA3349}"/>
    <cellStyle name="Total 2 6 3 3 3 10" xfId="15081" xr:uid="{58BE396D-24DA-4825-AB6E-C17E4EE96432}"/>
    <cellStyle name="Total 2 6 3 3 3 11" xfId="21951" xr:uid="{73BEDC39-F49D-4F1E-AB7D-78E3ADFE9599}"/>
    <cellStyle name="Total 2 6 3 3 3 2" xfId="4524" xr:uid="{A034A1F0-F8F8-4C33-809D-22AEA24DAF51}"/>
    <cellStyle name="Total 2 6 3 3 3 2 2" xfId="10381" xr:uid="{0F875090-8FBB-4A9F-B1C2-273BC587C12B}"/>
    <cellStyle name="Total 2 6 3 3 3 2 2 2" xfId="19427" xr:uid="{C9B73373-871A-4CE5-BD7A-293B3EDC8FFF}"/>
    <cellStyle name="Total 2 6 3 3 3 2 3" xfId="15941" xr:uid="{3A3E7B8B-715C-4638-A897-F71B38AC5866}"/>
    <cellStyle name="Total 2 6 3 3 3 2 4" xfId="22607" xr:uid="{47A9EC38-074D-4496-82A3-87F07596F6E3}"/>
    <cellStyle name="Total 2 6 3 3 3 3" xfId="5025" xr:uid="{1A6A911A-88AF-4089-8210-58416FCDE388}"/>
    <cellStyle name="Total 2 6 3 3 3 3 2" xfId="10878" xr:uid="{73F73D7D-ED27-41B3-AE8D-F88E1903E718}"/>
    <cellStyle name="Total 2 6 3 3 3 3 2 2" xfId="19924" xr:uid="{F5D370AF-E33D-41FC-8B9C-6BB03B5078A9}"/>
    <cellStyle name="Total 2 6 3 3 3 3 3" xfId="16438" xr:uid="{DE58AE38-0AE2-4F28-865C-683753438D68}"/>
    <cellStyle name="Total 2 6 3 3 3 3 4" xfId="23102" xr:uid="{5DEC147E-255D-43C2-9C71-A2C278AF277B}"/>
    <cellStyle name="Total 2 6 3 3 3 4" xfId="5640" xr:uid="{31FF2370-16E1-4176-B5A7-93E50D50AC24}"/>
    <cellStyle name="Total 2 6 3 3 3 4 2" xfId="11493" xr:uid="{F589B392-40F5-4B67-ACC4-B43B2EBEE0E8}"/>
    <cellStyle name="Total 2 6 3 3 3 4 2 2" xfId="20539" xr:uid="{D847A727-976B-4721-B9FD-79CAC48C1E7A}"/>
    <cellStyle name="Total 2 6 3 3 3 4 3" xfId="17053" xr:uid="{AD7E47BD-8633-4CC6-9FDB-4E6F18B50A9B}"/>
    <cellStyle name="Total 2 6 3 3 3 5" xfId="6251" xr:uid="{31F166D7-16D7-41A6-AC7A-64056637AD3B}"/>
    <cellStyle name="Total 2 6 3 3 3 5 2" xfId="12098" xr:uid="{C2C113B9-9331-4AC9-B887-78DAA7BA3356}"/>
    <cellStyle name="Total 2 6 3 3 3 5 2 2" xfId="21144" xr:uid="{DF0704BE-8E3E-4B27-A17C-1CE5730A5E34}"/>
    <cellStyle name="Total 2 6 3 3 3 5 3" xfId="17664" xr:uid="{8AFA4538-B832-4E70-BAC2-8612DED41C90}"/>
    <cellStyle name="Total 2 6 3 3 3 6" xfId="9512" xr:uid="{A883C3B9-3418-4758-BFFA-7F6C08CA6954}"/>
    <cellStyle name="Total 2 6 3 3 3 6 2" xfId="18558" xr:uid="{9532A5D2-5E50-4C92-B93E-83F7C28D2C90}"/>
    <cellStyle name="Total 2 6 3 3 3 7" xfId="12910" xr:uid="{22182C99-E107-4DDF-A170-0697D673F9F5}"/>
    <cellStyle name="Total 2 6 3 3 3 8" xfId="13468" xr:uid="{196F3E92-277A-41E9-BDB6-D1EA5653B8E6}"/>
    <cellStyle name="Total 2 6 3 3 3 9" xfId="14106" xr:uid="{C41A244C-F6B5-4E92-9478-86EA0610458D}"/>
    <cellStyle name="Total 2 6 3 3 4" xfId="4810" xr:uid="{75AADB30-BF3E-49C4-9484-5E47C1E85722}"/>
    <cellStyle name="Total 2 6 3 3 4 2" xfId="10667" xr:uid="{595C9473-EE0C-4A5D-ABAD-F324FB176B2D}"/>
    <cellStyle name="Total 2 6 3 3 4 2 2" xfId="19713" xr:uid="{B4985C28-4B0D-4F79-B00B-DD7BECB7F32D}"/>
    <cellStyle name="Total 2 6 3 3 4 3" xfId="16227" xr:uid="{323F41A1-BC17-4ADF-BE56-AA4A5DF16ACF}"/>
    <cellStyle name="Total 2 6 3 3 4 4" xfId="22887" xr:uid="{04302B94-009C-404E-A9F3-7EB9F07E5E01}"/>
    <cellStyle name="Total 2 6 3 3 5" xfId="5425" xr:uid="{83986EDB-CC06-40C2-9ECC-5CE735DF2AB3}"/>
    <cellStyle name="Total 2 6 3 3 5 2" xfId="11278" xr:uid="{1B581705-D43C-476C-A5A7-52709CF63C37}"/>
    <cellStyle name="Total 2 6 3 3 5 2 2" xfId="20324" xr:uid="{BE6BA7C2-6951-4923-81DA-400B46D4C3F0}"/>
    <cellStyle name="Total 2 6 3 3 5 3" xfId="16838" xr:uid="{83DD936C-CE90-46BE-89CB-CCA2045720A2}"/>
    <cellStyle name="Total 2 6 3 3 6" xfId="6036" xr:uid="{D78CAFC1-A3F4-4893-805C-2C4F9BA89A3A}"/>
    <cellStyle name="Total 2 6 3 3 6 2" xfId="11887" xr:uid="{1D326081-75BD-47E5-A8D3-DE2A1A301092}"/>
    <cellStyle name="Total 2 6 3 3 6 2 2" xfId="20933" xr:uid="{00660380-9E17-426D-9137-3383FFA51435}"/>
    <cellStyle name="Total 2 6 3 3 6 3" xfId="17449" xr:uid="{2AD149D4-C824-4A6E-9E4A-84D9EDD5D243}"/>
    <cellStyle name="Total 2 6 3 3 7" xfId="9299" xr:uid="{039E3386-AD4C-448C-A382-FB282B6E4C44}"/>
    <cellStyle name="Total 2 6 3 3 7 2" xfId="18345" xr:uid="{4D440E02-D27E-4C3F-A04F-57F0D42B199E}"/>
    <cellStyle name="Total 2 6 3 3 8" xfId="12695" xr:uid="{AD91A234-C57D-4E6E-A51D-676A9BB799F4}"/>
    <cellStyle name="Total 2 6 3 3 9" xfId="13257" xr:uid="{88718DF2-63CB-4FB1-BF4B-7A46699AF273}"/>
    <cellStyle name="Total 2 6 3 4" xfId="3389" xr:uid="{1F557EA1-C9EE-448D-B137-DF9DA9A04464}"/>
    <cellStyle name="Total 2 6 3 4 10" xfId="15169" xr:uid="{28DE4E94-BD6A-4D34-9605-755192524237}"/>
    <cellStyle name="Total 2 6 3 4 11" xfId="22038" xr:uid="{F74B9B4C-FB18-461F-A485-D6AA18D403C8}"/>
    <cellStyle name="Total 2 6 3 4 2" xfId="4612" xr:uid="{EB7CEA1C-733C-4E69-8FF0-B429713A3646}"/>
    <cellStyle name="Total 2 6 3 4 2 2" xfId="10469" xr:uid="{6AC54E79-4706-4CB7-9DC5-DB1D78C96F69}"/>
    <cellStyle name="Total 2 6 3 4 2 2 2" xfId="19515" xr:uid="{AB59B20B-862E-4DED-98B5-B52E346EB77B}"/>
    <cellStyle name="Total 2 6 3 4 2 3" xfId="16029" xr:uid="{04510D49-01DB-4828-A1DF-ACEE1E4878F4}"/>
    <cellStyle name="Total 2 6 3 4 2 4" xfId="22694" xr:uid="{0CC87F55-8D0F-414C-88D2-0BC1C0F45217}"/>
    <cellStyle name="Total 2 6 3 4 3" xfId="5113" xr:uid="{AA5F6FFF-4A3E-497A-AC41-92C4C00C3B40}"/>
    <cellStyle name="Total 2 6 3 4 3 2" xfId="10966" xr:uid="{2707F878-FBC4-4849-A750-2E484C90A1C2}"/>
    <cellStyle name="Total 2 6 3 4 3 2 2" xfId="20012" xr:uid="{51749DF3-072B-406B-B5C4-EBFFBED41A70}"/>
    <cellStyle name="Total 2 6 3 4 3 3" xfId="16526" xr:uid="{5EAC4095-717E-428F-8B89-AD4E1B965577}"/>
    <cellStyle name="Total 2 6 3 4 3 4" xfId="23189" xr:uid="{DD450727-F404-4D7E-B6DC-65AEEA411871}"/>
    <cellStyle name="Total 2 6 3 4 4" xfId="5728" xr:uid="{D7C20ED9-076F-48D6-8199-960917D678F8}"/>
    <cellStyle name="Total 2 6 3 4 4 2" xfId="11581" xr:uid="{140A8960-DFBE-4AFC-BD5B-E13A6F19DCBF}"/>
    <cellStyle name="Total 2 6 3 4 4 2 2" xfId="20627" xr:uid="{9637A786-96BD-49AA-AADC-A1FB4441856D}"/>
    <cellStyle name="Total 2 6 3 4 4 3" xfId="17141" xr:uid="{8350A272-787A-489A-AD28-E1193532E5F5}"/>
    <cellStyle name="Total 2 6 3 4 5" xfId="6339" xr:uid="{331D2434-BDD5-4627-AFBC-AEC2BA365D23}"/>
    <cellStyle name="Total 2 6 3 4 5 2" xfId="12186" xr:uid="{CE5DBF76-9B1C-4398-9982-05087CECDCD3}"/>
    <cellStyle name="Total 2 6 3 4 5 2 2" xfId="21232" xr:uid="{99160309-FB5E-415C-9EA9-0A6D5059B84D}"/>
    <cellStyle name="Total 2 6 3 4 5 3" xfId="17752" xr:uid="{0DD3DFE9-E433-482E-ABF3-349F5B7577C3}"/>
    <cellStyle name="Total 2 6 3 4 6" xfId="9600" xr:uid="{84679D10-8DBE-4355-A6F2-FD830E361120}"/>
    <cellStyle name="Total 2 6 3 4 6 2" xfId="18646" xr:uid="{87E33A38-7DEB-4E27-B3DB-331D0EE522D9}"/>
    <cellStyle name="Total 2 6 3 4 7" xfId="12998" xr:uid="{35560D61-E6A9-45D7-BEE4-12EA5D89FE5E}"/>
    <cellStyle name="Total 2 6 3 4 8" xfId="13555" xr:uid="{1F6873EC-2A50-4654-B1DD-723DB548977B}"/>
    <cellStyle name="Total 2 6 3 4 9" xfId="14194" xr:uid="{0A95299A-8628-42B3-B54B-F4B160F2ABFF}"/>
    <cellStyle name="Total 2 6 3 5" xfId="3177" xr:uid="{6DCF5C1D-EFAB-4EC4-B4C2-A1FDA9436780}"/>
    <cellStyle name="Total 2 6 3 5 10" xfId="14957" xr:uid="{1A07A5C2-1731-4BE4-80F8-46862891B8A1}"/>
    <cellStyle name="Total 2 6 3 5 11" xfId="21825" xr:uid="{41CCCDBB-3567-4195-AB01-7ED039DF08F0}"/>
    <cellStyle name="Total 2 6 3 5 2" xfId="4398" xr:uid="{FE1E6FAF-0D61-43D6-BE3C-7CC0A509FB7B}"/>
    <cellStyle name="Total 2 6 3 5 2 2" xfId="10255" xr:uid="{7885DA03-D248-4708-BEFB-ABECCC87A3C2}"/>
    <cellStyle name="Total 2 6 3 5 2 2 2" xfId="19301" xr:uid="{177701EE-0ED4-4AFA-97F4-C421B25FEF86}"/>
    <cellStyle name="Total 2 6 3 5 2 3" xfId="15815" xr:uid="{26DE7FF9-64B4-491F-AE27-2EBB96547255}"/>
    <cellStyle name="Total 2 6 3 5 2 4" xfId="22481" xr:uid="{14C634E2-CA30-480B-AF62-3D24A56CBB19}"/>
    <cellStyle name="Total 2 6 3 5 3" xfId="4899" xr:uid="{157257F8-3673-4367-B912-0F6DAB6B11AA}"/>
    <cellStyle name="Total 2 6 3 5 3 2" xfId="10754" xr:uid="{A2A4161E-9C78-48D2-BAD3-9442DA31ECE5}"/>
    <cellStyle name="Total 2 6 3 5 3 2 2" xfId="19800" xr:uid="{D24E54FA-F3E0-4631-9339-B01E968428B1}"/>
    <cellStyle name="Total 2 6 3 5 3 3" xfId="16314" xr:uid="{5F14FD04-D061-47A0-B352-E686075F332F}"/>
    <cellStyle name="Total 2 6 3 5 3 4" xfId="22976" xr:uid="{4C528F73-F0A3-492E-919D-8576C54E6AB6}"/>
    <cellStyle name="Total 2 6 3 5 4" xfId="5514" xr:uid="{409FCC73-FFC1-4FE9-B51D-84DBFA894003}"/>
    <cellStyle name="Total 2 6 3 5 4 2" xfId="11367" xr:uid="{9CB66CCB-9BF3-41CC-A1C4-EC70DE886536}"/>
    <cellStyle name="Total 2 6 3 5 4 2 2" xfId="20413" xr:uid="{95D7068E-5C2C-47E3-BD37-A9B3587B207B}"/>
    <cellStyle name="Total 2 6 3 5 4 3" xfId="16927" xr:uid="{29A9EEE0-F759-46EF-99F6-37960E094353}"/>
    <cellStyle name="Total 2 6 3 5 5" xfId="6125" xr:uid="{80D0CAAB-7106-49B1-ADCE-BCCF9C962B00}"/>
    <cellStyle name="Total 2 6 3 5 5 2" xfId="11974" xr:uid="{3C15451D-6839-4FAC-A439-7AE0A5F4F710}"/>
    <cellStyle name="Total 2 6 3 5 5 2 2" xfId="21020" xr:uid="{E9AB2E6E-44D6-432A-9B89-F891E6C9E773}"/>
    <cellStyle name="Total 2 6 3 5 5 3" xfId="17538" xr:uid="{15AEF740-23C8-4468-A0CE-84649B848C12}"/>
    <cellStyle name="Total 2 6 3 5 6" xfId="9388" xr:uid="{D4A6D55F-434E-4470-AA31-40EFEFB2172D}"/>
    <cellStyle name="Total 2 6 3 5 6 2" xfId="18434" xr:uid="{97C8F240-CD79-4662-95D3-55D4A6A2E60D}"/>
    <cellStyle name="Total 2 6 3 5 7" xfId="12784" xr:uid="{DB80D2A9-20C5-4B6C-A1A0-71F5BA112988}"/>
    <cellStyle name="Total 2 6 3 5 8" xfId="13344" xr:uid="{20BA6249-4EBC-4E21-A1B1-57A7F4C391F6}"/>
    <cellStyle name="Total 2 6 3 5 9" xfId="13980" xr:uid="{94150A74-5A7E-49DF-A0F6-7BC2CD2C8A7B}"/>
    <cellStyle name="Total 2 6 3 6" xfId="3778" xr:uid="{0C1BCDE5-DEB5-4992-BD45-F0E66BF9A484}"/>
    <cellStyle name="Total 2 6 3 6 2" xfId="9820" xr:uid="{11125FE6-AEA0-418B-B2CD-B5BDDC28BDBA}"/>
    <cellStyle name="Total 2 6 3 6 2 2" xfId="18866" xr:uid="{59C877A8-BEFC-4D63-99EA-86B36B0295CB}"/>
    <cellStyle name="Total 2 6 3 6 3" xfId="15386" xr:uid="{4FB81504-B326-4AA5-A1D1-A1986605EF31}"/>
    <cellStyle name="Total 2 6 3 6 4" xfId="22365" xr:uid="{F8715DD9-3D05-4260-9390-8E50F285D6EB}"/>
    <cellStyle name="Total 2 6 3 7" xfId="4262" xr:uid="{E61375E2-3F65-4290-AD54-EE502127DC4C}"/>
    <cellStyle name="Total 2 6 3 7 2" xfId="10119" xr:uid="{63514D9B-C76E-4376-A88A-A40A50217335}"/>
    <cellStyle name="Total 2 6 3 7 2 2" xfId="19165" xr:uid="{026330C0-A991-4E88-A6B3-23793323852E}"/>
    <cellStyle name="Total 2 6 3 7 3" xfId="15679" xr:uid="{66C278FC-437F-4FBC-BEB0-9B77804258F8}"/>
    <cellStyle name="Total 2 6 3 7 4" xfId="22240" xr:uid="{C3189341-12BA-4E95-B5F3-503E74FDC75C}"/>
    <cellStyle name="Total 2 6 3 8" xfId="4121" xr:uid="{C4208C26-2999-4640-A2D1-3DDE4CC30ACF}"/>
    <cellStyle name="Total 2 6 3 8 2" xfId="9978" xr:uid="{FFA3DFA9-E539-4B6A-A56E-00E7DB2211F1}"/>
    <cellStyle name="Total 2 6 3 8 2 2" xfId="19024" xr:uid="{AAE9F15F-DF8C-43AD-97B4-026CBBE4D872}"/>
    <cellStyle name="Total 2 6 3 8 3" xfId="15538" xr:uid="{F60006F6-B32A-4A99-B9A2-737DC1B0ED76}"/>
    <cellStyle name="Total 2 6 3 9" xfId="5299" xr:uid="{BD38F3E5-871E-41BB-8670-0905F58FF561}"/>
    <cellStyle name="Total 2 6 3 9 2" xfId="11152" xr:uid="{1C10FEF3-C746-416F-A36C-B93DA232B9E6}"/>
    <cellStyle name="Total 2 6 3 9 2 2" xfId="20198" xr:uid="{DDB2ED98-3A75-4D70-967F-96B7EA477103}"/>
    <cellStyle name="Total 2 6 3 9 3" xfId="16712" xr:uid="{EDAA6914-9522-461C-9C33-ECAF4CE13207}"/>
    <cellStyle name="Total 2 6 4" xfId="2476" xr:uid="{1A9B6793-F8B8-4946-A15E-455FEDD516E9}"/>
    <cellStyle name="Total 2 6 4 10" xfId="13258" xr:uid="{F2025B23-239A-4DA0-87F6-E554FF594D2F}"/>
    <cellStyle name="Total 2 6 4 11" xfId="13892" xr:uid="{F352EC0A-92A6-4A72-9B6C-89894BE8C108}"/>
    <cellStyle name="Total 2 6 4 12" xfId="14869" xr:uid="{4098B622-3909-48CC-912C-BA0F2A01E4F8}"/>
    <cellStyle name="Total 2 6 4 13" xfId="21737" xr:uid="{2CE3B87D-8345-4F0E-85EE-16DFFF8FADB0}"/>
    <cellStyle name="Total 2 6 4 2" xfId="2596" xr:uid="{0151599E-3A1A-486F-8F74-E0979C168648}"/>
    <cellStyle name="Total 2 6 4 2 10" xfId="15295" xr:uid="{61A36EAC-CB5C-44F1-81E5-6A152447E343}"/>
    <cellStyle name="Total 2 6 4 2 11" xfId="22163" xr:uid="{BBBAF742-B834-4F2F-AE74-60952E503DE3}"/>
    <cellStyle name="Total 2 6 4 2 12" xfId="3504" xr:uid="{1B8B72A4-2991-42F8-BA37-8143BE1B11A2}"/>
    <cellStyle name="Total 2 6 4 2 2" xfId="4738" xr:uid="{D92C25A8-9535-4616-B6C3-97A3422FE505}"/>
    <cellStyle name="Total 2 6 4 2 2 2" xfId="10595" xr:uid="{49A94086-63CC-42D6-A0F0-C9B752558D1F}"/>
    <cellStyle name="Total 2 6 4 2 2 2 2" xfId="19641" xr:uid="{B6BFA5EC-1632-4F5C-9D31-1034576A96BC}"/>
    <cellStyle name="Total 2 6 4 2 2 3" xfId="16155" xr:uid="{FAEBB9A9-CBC1-4756-9DA4-146913057A25}"/>
    <cellStyle name="Total 2 6 4 2 2 4" xfId="22819" xr:uid="{95971F8D-0E07-4D37-888B-D27F5BADC72E}"/>
    <cellStyle name="Total 2 6 4 2 3" xfId="5239" xr:uid="{131A572D-90D0-4497-888F-E47ACFD93040}"/>
    <cellStyle name="Total 2 6 4 2 3 2" xfId="11092" xr:uid="{EAD6C9CE-9402-48BF-834B-2DABA219658D}"/>
    <cellStyle name="Total 2 6 4 2 3 2 2" xfId="20138" xr:uid="{8396DBC1-4DD8-4B45-8088-598CAEE75581}"/>
    <cellStyle name="Total 2 6 4 2 3 3" xfId="16652" xr:uid="{267715A4-233B-415B-BE5A-80E9016FF18C}"/>
    <cellStyle name="Total 2 6 4 2 3 4" xfId="23314" xr:uid="{02A6E550-BFF6-4445-8B2E-DE9D67D8CB0B}"/>
    <cellStyle name="Total 2 6 4 2 4" xfId="5854" xr:uid="{B9BF0B3A-75E9-4F65-A0B1-6F956BD82502}"/>
    <cellStyle name="Total 2 6 4 2 4 2" xfId="11707" xr:uid="{E4072E1F-3269-47DF-A9C9-FDB164B0F378}"/>
    <cellStyle name="Total 2 6 4 2 4 2 2" xfId="20753" xr:uid="{87FEC079-B4AF-49F5-A788-EAAAEB2B6376}"/>
    <cellStyle name="Total 2 6 4 2 4 3" xfId="17267" xr:uid="{4790B904-9F7E-4D0C-9641-C51C09A25F95}"/>
    <cellStyle name="Total 2 6 4 2 5" xfId="6465" xr:uid="{45CEFD8B-32A2-4148-9C0E-1EC6232FAA59}"/>
    <cellStyle name="Total 2 6 4 2 5 2" xfId="12312" xr:uid="{3BF22AA2-25ED-4418-9E45-7979FF6C8863}"/>
    <cellStyle name="Total 2 6 4 2 5 2 2" xfId="21358" xr:uid="{E0659330-BBB2-47F0-BFF7-63CE52480D96}"/>
    <cellStyle name="Total 2 6 4 2 5 3" xfId="17878" xr:uid="{2F9D33AC-AF09-4FF1-B6A1-C014B37F0452}"/>
    <cellStyle name="Total 2 6 4 2 6" xfId="9726" xr:uid="{A6E97702-7794-40E1-9765-D041F7D8798B}"/>
    <cellStyle name="Total 2 6 4 2 6 2" xfId="18772" xr:uid="{E55F48EE-EDEE-4DF2-8064-4836F6BC7B75}"/>
    <cellStyle name="Total 2 6 4 2 7" xfId="13124" xr:uid="{74529011-304A-402B-8FAC-ED8D1488E5C3}"/>
    <cellStyle name="Total 2 6 4 2 8" xfId="13680" xr:uid="{B0F9B20B-631F-474B-BCEF-E882C7150019}"/>
    <cellStyle name="Total 2 6 4 2 9" xfId="14320" xr:uid="{A94462F0-D195-4BA6-9DDB-067F30ED183E}"/>
    <cellStyle name="Total 2 6 4 3" xfId="3302" xr:uid="{F229CE89-D508-4F87-9AB2-8213D79085B7}"/>
    <cellStyle name="Total 2 6 4 3 10" xfId="15082" xr:uid="{458F7525-DBF0-4658-9246-05C527A9CC95}"/>
    <cellStyle name="Total 2 6 4 3 11" xfId="21952" xr:uid="{B3A01679-675D-4B49-8684-1FDDF984C65F}"/>
    <cellStyle name="Total 2 6 4 3 2" xfId="4525" xr:uid="{061AE725-03DD-44F1-809A-584ABB0E6E4A}"/>
    <cellStyle name="Total 2 6 4 3 2 2" xfId="10382" xr:uid="{2D441FE4-C1C4-42CC-891D-BCABF49A14B1}"/>
    <cellStyle name="Total 2 6 4 3 2 2 2" xfId="19428" xr:uid="{2EC5A7C2-17B6-403A-81BA-3F587A7B897C}"/>
    <cellStyle name="Total 2 6 4 3 2 3" xfId="15942" xr:uid="{9A76F3D9-8DB7-4DEF-9577-5DF074B04A1A}"/>
    <cellStyle name="Total 2 6 4 3 2 4" xfId="22608" xr:uid="{1BE207A2-E705-4256-B67C-5A8B7F3EDD4A}"/>
    <cellStyle name="Total 2 6 4 3 3" xfId="5026" xr:uid="{1B9A370F-87F6-447E-8192-5CD666DDD36F}"/>
    <cellStyle name="Total 2 6 4 3 3 2" xfId="10879" xr:uid="{F4BE171D-92DC-4CC4-B252-4C69504D5D77}"/>
    <cellStyle name="Total 2 6 4 3 3 2 2" xfId="19925" xr:uid="{182B8DE8-3343-4BE5-9E54-9687E7BA8ED5}"/>
    <cellStyle name="Total 2 6 4 3 3 3" xfId="16439" xr:uid="{064209BC-4E59-4135-AFF2-DE17A70371B7}"/>
    <cellStyle name="Total 2 6 4 3 3 4" xfId="23103" xr:uid="{AA2DF433-4773-45DF-A925-BFF54E9CA9FA}"/>
    <cellStyle name="Total 2 6 4 3 4" xfId="5641" xr:uid="{54BA2319-2F93-4C3A-9996-AD088985BC3D}"/>
    <cellStyle name="Total 2 6 4 3 4 2" xfId="11494" xr:uid="{18209001-56A1-4319-AECD-F6672FD4337D}"/>
    <cellStyle name="Total 2 6 4 3 4 2 2" xfId="20540" xr:uid="{7C855463-6322-4232-905F-DFAC41CD5C21}"/>
    <cellStyle name="Total 2 6 4 3 4 3" xfId="17054" xr:uid="{CC204352-9106-4FE1-BF76-702A6AD06B39}"/>
    <cellStyle name="Total 2 6 4 3 5" xfId="6252" xr:uid="{92519480-BA56-4277-9F0A-3C250B13D7F3}"/>
    <cellStyle name="Total 2 6 4 3 5 2" xfId="12099" xr:uid="{CC9E63EB-CD56-4F43-8E0F-74EFD27DD3C8}"/>
    <cellStyle name="Total 2 6 4 3 5 2 2" xfId="21145" xr:uid="{A01E0EFC-3710-41EC-8614-CA52DEECF429}"/>
    <cellStyle name="Total 2 6 4 3 5 3" xfId="17665" xr:uid="{E470EFE5-3ADD-4141-B3E3-EB3032E3C339}"/>
    <cellStyle name="Total 2 6 4 3 6" xfId="9513" xr:uid="{6B2485D5-C062-42E9-B15A-C0710B0E52F1}"/>
    <cellStyle name="Total 2 6 4 3 6 2" xfId="18559" xr:uid="{FC36495B-DD9C-4745-B48D-AE51051BAAF3}"/>
    <cellStyle name="Total 2 6 4 3 7" xfId="12911" xr:uid="{84FFB083-7AE5-4D8E-87A3-B6121059B73A}"/>
    <cellStyle name="Total 2 6 4 3 8" xfId="13469" xr:uid="{F5B07ED2-F8E8-4DE6-9533-20383994AEFE}"/>
    <cellStyle name="Total 2 6 4 3 9" xfId="14107" xr:uid="{8677AB55-B682-44C0-B4CA-2F8442B193FF}"/>
    <cellStyle name="Total 2 6 4 4" xfId="4000" xr:uid="{DDC1552E-9FD4-4603-8884-87141A23B8A0}"/>
    <cellStyle name="Total 2 6 4 4 2" xfId="9862" xr:uid="{4CE64770-6A55-4720-B2AC-C2C32739EB06}"/>
    <cellStyle name="Total 2 6 4 4 2 2" xfId="18908" xr:uid="{70495736-FBBE-47EA-9BC9-94AA821EE507}"/>
    <cellStyle name="Total 2 6 4 4 3" xfId="15424" xr:uid="{B2C43A1D-91E2-4368-A4AA-A4D3FADDF626}"/>
    <cellStyle name="Total 2 6 4 4 4" xfId="22888" xr:uid="{E689CC87-28CB-40E0-A342-D010BE6D712E}"/>
    <cellStyle name="Total 2 6 4 5" xfId="4811" xr:uid="{D4069B18-91AA-4571-96C4-9684B67ACDCA}"/>
    <cellStyle name="Total 2 6 4 5 2" xfId="10668" xr:uid="{149B6140-7E15-4B80-92EE-FEC945A057CD}"/>
    <cellStyle name="Total 2 6 4 5 2 2" xfId="19714" xr:uid="{8EB5565E-F4F6-4FD2-A8D0-E8AF7E9B5B26}"/>
    <cellStyle name="Total 2 6 4 5 3" xfId="16228" xr:uid="{CF3E5F35-60D1-4327-BA71-2DDB516D7588}"/>
    <cellStyle name="Total 2 6 4 6" xfId="5426" xr:uid="{BAE90438-7418-4BB4-A534-E33F58CFD306}"/>
    <cellStyle name="Total 2 6 4 6 2" xfId="11279" xr:uid="{8E4A9D18-A2AE-4860-ABAD-B24CCF4762F5}"/>
    <cellStyle name="Total 2 6 4 6 2 2" xfId="20325" xr:uid="{F2DD7F91-B2F6-4CA4-BC37-5760BD21B7F2}"/>
    <cellStyle name="Total 2 6 4 6 3" xfId="16839" xr:uid="{46F68DEF-A919-4B99-9612-175C75A7C9EF}"/>
    <cellStyle name="Total 2 6 4 7" xfId="6037" xr:uid="{F31C2F3E-9387-4EF2-A650-62F5223C4DDD}"/>
    <cellStyle name="Total 2 6 4 7 2" xfId="11888" xr:uid="{8E2801F1-419B-47D7-BE8A-7A630729510D}"/>
    <cellStyle name="Total 2 6 4 7 2 2" xfId="20934" xr:uid="{F88751AF-EFF6-44E6-B41A-F13799D11E2A}"/>
    <cellStyle name="Total 2 6 4 7 3" xfId="17450" xr:uid="{C2843BC2-77B5-43D0-95CC-5F1965E8FA4B}"/>
    <cellStyle name="Total 2 6 4 8" xfId="9300" xr:uid="{20CAE9E9-F442-4255-BD03-95B3E5D57151}"/>
    <cellStyle name="Total 2 6 4 8 2" xfId="18346" xr:uid="{CF2C1FDE-498E-4B11-8A37-14353F627743}"/>
    <cellStyle name="Total 2 6 4 9" xfId="12696" xr:uid="{CB797CBA-C82A-40DE-A169-E6EE3C10B743}"/>
    <cellStyle name="Total 2 6 5" xfId="2599" xr:uid="{3309C654-1DC1-421A-A0B9-BF16A1C12B31}"/>
    <cellStyle name="Total 2 6 5 10" xfId="13893" xr:uid="{21EACAB6-5445-4350-BDC2-429903DB0D0A}"/>
    <cellStyle name="Total 2 6 5 11" xfId="14870" xr:uid="{BD26EB61-02E4-45A9-B847-570DE95091DF}"/>
    <cellStyle name="Total 2 6 5 12" xfId="21738" xr:uid="{62AEDF34-451F-4F17-9464-6F91C531E386}"/>
    <cellStyle name="Total 2 6 5 13" xfId="3093" xr:uid="{B84ACAFC-6339-4AF3-8040-E1EF4EB0CAE1}"/>
    <cellStyle name="Total 2 6 5 2" xfId="3505" xr:uid="{9BFC6516-91E3-4566-BDA5-ABF6EE6BC7EC}"/>
    <cellStyle name="Total 2 6 5 2 10" xfId="15296" xr:uid="{041E594F-9B15-4AE6-9EDF-EC391B90D79B}"/>
    <cellStyle name="Total 2 6 5 2 11" xfId="22164" xr:uid="{85126550-5420-4975-BDDB-041D4ED5B68E}"/>
    <cellStyle name="Total 2 6 5 2 2" xfId="4739" xr:uid="{14EAAEAD-F984-4E60-94E9-FBD8ED73B27B}"/>
    <cellStyle name="Total 2 6 5 2 2 2" xfId="10596" xr:uid="{60D53582-CEF1-40E6-B8BE-F33E775F714D}"/>
    <cellStyle name="Total 2 6 5 2 2 2 2" xfId="19642" xr:uid="{32BB18BD-73AD-410B-A664-F5B8014A08A7}"/>
    <cellStyle name="Total 2 6 5 2 2 3" xfId="16156" xr:uid="{90DCE071-AD35-4F4C-BA19-FA152D225DB0}"/>
    <cellStyle name="Total 2 6 5 2 2 4" xfId="22820" xr:uid="{DEE1EEE6-B0D6-4662-AD0F-DAD0C79FF6C5}"/>
    <cellStyle name="Total 2 6 5 2 3" xfId="5240" xr:uid="{CC65793B-F750-4DF7-A7B9-F28BC6BD8055}"/>
    <cellStyle name="Total 2 6 5 2 3 2" xfId="11093" xr:uid="{7E7F202B-024B-4C7A-82A8-B2457DCD6D90}"/>
    <cellStyle name="Total 2 6 5 2 3 2 2" xfId="20139" xr:uid="{FE49373A-93EE-464F-9785-AE6121A8930C}"/>
    <cellStyle name="Total 2 6 5 2 3 3" xfId="16653" xr:uid="{2E559CDF-BC65-4F93-AFE1-324EEF1BC3B9}"/>
    <cellStyle name="Total 2 6 5 2 3 4" xfId="23315" xr:uid="{58E5425A-2720-4D1B-8407-FA870D4B7C7E}"/>
    <cellStyle name="Total 2 6 5 2 4" xfId="5855" xr:uid="{0EB3CBC0-221E-4578-A436-FA219CF202AB}"/>
    <cellStyle name="Total 2 6 5 2 4 2" xfId="11708" xr:uid="{BEBA73EF-8FF0-4BBB-A7FF-D1F021B5EED0}"/>
    <cellStyle name="Total 2 6 5 2 4 2 2" xfId="20754" xr:uid="{AC9AD839-56E8-4568-BAB4-8184876B1E8B}"/>
    <cellStyle name="Total 2 6 5 2 4 3" xfId="17268" xr:uid="{DC8AE35D-B140-47D6-A947-EDA81FF78B3B}"/>
    <cellStyle name="Total 2 6 5 2 5" xfId="6466" xr:uid="{1D2564C7-49CA-454D-B5E0-BD17F6925765}"/>
    <cellStyle name="Total 2 6 5 2 5 2" xfId="12313" xr:uid="{B61D056E-EE95-4465-B219-F0BB58CAA4A4}"/>
    <cellStyle name="Total 2 6 5 2 5 2 2" xfId="21359" xr:uid="{A09103C5-A973-4288-B4E2-35314AC41FB8}"/>
    <cellStyle name="Total 2 6 5 2 5 3" xfId="17879" xr:uid="{D7EC636B-0787-4378-AF13-7058354D9CD9}"/>
    <cellStyle name="Total 2 6 5 2 6" xfId="9727" xr:uid="{01353337-DF67-4E9E-8E86-217CFA44CC92}"/>
    <cellStyle name="Total 2 6 5 2 6 2" xfId="18773" xr:uid="{30320550-5B59-4D0C-A588-05D9163781F0}"/>
    <cellStyle name="Total 2 6 5 2 7" xfId="13125" xr:uid="{29C45971-2F1C-4C69-A77A-AF4068C1455C}"/>
    <cellStyle name="Total 2 6 5 2 8" xfId="13681" xr:uid="{7E8BEA72-92E8-4264-B319-6CC1DE11DA8A}"/>
    <cellStyle name="Total 2 6 5 2 9" xfId="14321" xr:uid="{0183417A-C826-47DB-883C-C53292FFEFFF}"/>
    <cellStyle name="Total 2 6 5 3" xfId="3303" xr:uid="{22F9DFF6-0661-43ED-922A-F7FC446601E7}"/>
    <cellStyle name="Total 2 6 5 3 10" xfId="15083" xr:uid="{E22B7A43-8D92-42D6-B2C1-EE748318196C}"/>
    <cellStyle name="Total 2 6 5 3 11" xfId="21953" xr:uid="{5BAC895B-46B5-4E57-A02E-57935FE82C1F}"/>
    <cellStyle name="Total 2 6 5 3 2" xfId="4526" xr:uid="{886D12C9-8EFB-4CB2-BD31-614630EA4CEC}"/>
    <cellStyle name="Total 2 6 5 3 2 2" xfId="10383" xr:uid="{E5ED27B1-84FF-4FB9-8E92-6A63F884501C}"/>
    <cellStyle name="Total 2 6 5 3 2 2 2" xfId="19429" xr:uid="{F10E54DB-98EB-4724-BCC1-2ED3AA029128}"/>
    <cellStyle name="Total 2 6 5 3 2 3" xfId="15943" xr:uid="{CF2F84D8-9341-4A7F-8B4F-9D2997139983}"/>
    <cellStyle name="Total 2 6 5 3 2 4" xfId="22609" xr:uid="{361DBF67-08E4-4251-ABED-1226E63788B6}"/>
    <cellStyle name="Total 2 6 5 3 3" xfId="5027" xr:uid="{37A8A306-276E-4988-A88B-1D7E0717BF80}"/>
    <cellStyle name="Total 2 6 5 3 3 2" xfId="10880" xr:uid="{73787440-CD59-40B7-9FC8-D7C7BB6B5279}"/>
    <cellStyle name="Total 2 6 5 3 3 2 2" xfId="19926" xr:uid="{8203032E-154F-4C2D-B93D-88D565E98A05}"/>
    <cellStyle name="Total 2 6 5 3 3 3" xfId="16440" xr:uid="{94B758FA-0DA2-4093-9364-009041A573B5}"/>
    <cellStyle name="Total 2 6 5 3 3 4" xfId="23104" xr:uid="{519B469A-348F-4456-9428-5B052D79122F}"/>
    <cellStyle name="Total 2 6 5 3 4" xfId="5642" xr:uid="{C4C8980F-E2DE-4906-877D-4CA1C3FBE944}"/>
    <cellStyle name="Total 2 6 5 3 4 2" xfId="11495" xr:uid="{98662423-E376-4713-8FB0-A6C18394AAC5}"/>
    <cellStyle name="Total 2 6 5 3 4 2 2" xfId="20541" xr:uid="{A8806CF3-BB4B-4984-BBE6-D97D72C8A68C}"/>
    <cellStyle name="Total 2 6 5 3 4 3" xfId="17055" xr:uid="{4406F664-3D25-4379-8E21-048EF668A29E}"/>
    <cellStyle name="Total 2 6 5 3 5" xfId="6253" xr:uid="{5EF39C58-89B4-46B2-B24E-AD4A94A70D68}"/>
    <cellStyle name="Total 2 6 5 3 5 2" xfId="12100" xr:uid="{B6C66CA9-D25C-4703-937D-E0163E7B8F84}"/>
    <cellStyle name="Total 2 6 5 3 5 2 2" xfId="21146" xr:uid="{5A9C6617-9435-4F63-ADFA-42727AAFAEFF}"/>
    <cellStyle name="Total 2 6 5 3 5 3" xfId="17666" xr:uid="{266CC890-B105-4C3A-BEEE-AD209DA4A1E3}"/>
    <cellStyle name="Total 2 6 5 3 6" xfId="9514" xr:uid="{D6FD1C1D-5050-4789-B587-2246F6E5DB0C}"/>
    <cellStyle name="Total 2 6 5 3 6 2" xfId="18560" xr:uid="{A7B2E7FF-0B08-48C3-A622-02323AB01F62}"/>
    <cellStyle name="Total 2 6 5 3 7" xfId="12912" xr:uid="{3ABE8B26-CFA1-4A94-AB6D-107719BF9ECE}"/>
    <cellStyle name="Total 2 6 5 3 8" xfId="13470" xr:uid="{DE5BF93E-A490-408C-B815-FBF690F76EEE}"/>
    <cellStyle name="Total 2 6 5 3 9" xfId="14108" xr:uid="{A21544A4-2B33-4A7B-A3C3-B9496EE91936}"/>
    <cellStyle name="Total 2 6 5 4" xfId="4812" xr:uid="{32062800-3AAE-4ABC-B990-51D0A20EE311}"/>
    <cellStyle name="Total 2 6 5 4 2" xfId="10669" xr:uid="{78957411-8ECB-481A-B23B-7F64B0180C54}"/>
    <cellStyle name="Total 2 6 5 4 2 2" xfId="19715" xr:uid="{01DB4795-299F-4F6E-8224-30C0A705CB1D}"/>
    <cellStyle name="Total 2 6 5 4 3" xfId="16229" xr:uid="{7A8B1F9C-2D49-464A-8821-1D2A809D4E3F}"/>
    <cellStyle name="Total 2 6 5 4 4" xfId="22889" xr:uid="{51FB17C5-4274-49DB-909F-B20632578405}"/>
    <cellStyle name="Total 2 6 5 5" xfId="5427" xr:uid="{67E85A3E-A382-4AC3-B56B-029EE519C348}"/>
    <cellStyle name="Total 2 6 5 5 2" xfId="11280" xr:uid="{1DB1E77D-BE11-43A4-B402-C72B454DD129}"/>
    <cellStyle name="Total 2 6 5 5 2 2" xfId="20326" xr:uid="{EE1EF566-A2B3-4BB6-AFBB-3F4C28F17BB6}"/>
    <cellStyle name="Total 2 6 5 5 3" xfId="16840" xr:uid="{108FB291-F018-4685-AD61-3672F8966072}"/>
    <cellStyle name="Total 2 6 5 6" xfId="6038" xr:uid="{D76A1E64-B19F-40DD-BBAE-91F98F0DA413}"/>
    <cellStyle name="Total 2 6 5 6 2" xfId="11889" xr:uid="{47DDDBA4-2897-4950-A797-B057D755CE87}"/>
    <cellStyle name="Total 2 6 5 6 2 2" xfId="20935" xr:uid="{7D69A9ED-5A69-4D59-8486-01934344091E}"/>
    <cellStyle name="Total 2 6 5 6 3" xfId="17451" xr:uid="{2FC3E242-50BB-48B0-A6AD-DF421920E1AA}"/>
    <cellStyle name="Total 2 6 5 7" xfId="9301" xr:uid="{782B1A01-4974-4C0B-8FDA-9F9E38FA9628}"/>
    <cellStyle name="Total 2 6 5 7 2" xfId="18347" xr:uid="{4224AFDF-F518-4A0A-B3F2-3D7BF0A4935C}"/>
    <cellStyle name="Total 2 6 5 8" xfId="12697" xr:uid="{827572C7-FF8A-4FAF-9955-923945B7A77C}"/>
    <cellStyle name="Total 2 6 5 9" xfId="13259" xr:uid="{403C1660-2309-4FC9-9819-598C4BAB6FC5}"/>
    <cellStyle name="Total 2 6 6" xfId="3343" xr:uid="{C8AF4A91-7A65-4F5D-8A0A-DCC413FF6E31}"/>
    <cellStyle name="Total 2 6 6 10" xfId="15123" xr:uid="{E3FF231C-BF90-40AA-B3D7-5980F9631506}"/>
    <cellStyle name="Total 2 6 6 11" xfId="21992" xr:uid="{B478523C-FB18-482D-985E-4486EDF4AA3B}"/>
    <cellStyle name="Total 2 6 6 2" xfId="4566" xr:uid="{6C7D19BB-6816-4E6F-AB09-5CEB64FD29E4}"/>
    <cellStyle name="Total 2 6 6 2 2" xfId="10423" xr:uid="{E567EA6E-FE5C-4385-AA63-103C7E6454CE}"/>
    <cellStyle name="Total 2 6 6 2 2 2" xfId="19469" xr:uid="{FC3D9B4C-8738-4713-B809-0F2AD9056472}"/>
    <cellStyle name="Total 2 6 6 2 3" xfId="15983" xr:uid="{8B2BC66D-F7D1-433A-87E0-2265C6033D5D}"/>
    <cellStyle name="Total 2 6 6 2 4" xfId="22648" xr:uid="{D3E2706E-DB16-48D5-B3C2-396C98E33F76}"/>
    <cellStyle name="Total 2 6 6 3" xfId="5067" xr:uid="{EEAF510A-CE03-423C-A2E1-64E45A30F6AA}"/>
    <cellStyle name="Total 2 6 6 3 2" xfId="10920" xr:uid="{F55A8967-C6C6-489C-9D0E-6B0F90F24993}"/>
    <cellStyle name="Total 2 6 6 3 2 2" xfId="19966" xr:uid="{7643CD54-54F8-4B69-8F26-B97198136F70}"/>
    <cellStyle name="Total 2 6 6 3 3" xfId="16480" xr:uid="{886A4C4A-E4A7-4992-9EAB-CC0C4D93792B}"/>
    <cellStyle name="Total 2 6 6 3 4" xfId="23143" xr:uid="{86E61612-F2C3-47DE-8E67-BEB94BB1C4E4}"/>
    <cellStyle name="Total 2 6 6 4" xfId="5682" xr:uid="{64A0BEC5-4BC3-4FB9-8440-620B6EC7FA4C}"/>
    <cellStyle name="Total 2 6 6 4 2" xfId="11535" xr:uid="{6EE13036-EAA2-4178-BC16-7FF581E7B849}"/>
    <cellStyle name="Total 2 6 6 4 2 2" xfId="20581" xr:uid="{D78E3EAA-6904-49A5-A7B9-A92E7CB5005D}"/>
    <cellStyle name="Total 2 6 6 4 3" xfId="17095" xr:uid="{8F4A69D7-BB30-402B-AB72-52D7BBB205C8}"/>
    <cellStyle name="Total 2 6 6 5" xfId="6293" xr:uid="{35ED5C4D-5587-4746-BCB7-3A3D58B8A231}"/>
    <cellStyle name="Total 2 6 6 5 2" xfId="12140" xr:uid="{D148E6EA-BD22-463A-9604-C5171D7FD709}"/>
    <cellStyle name="Total 2 6 6 5 2 2" xfId="21186" xr:uid="{4941D08A-DF7A-4FC3-8E5F-958B17C12E98}"/>
    <cellStyle name="Total 2 6 6 5 3" xfId="17706" xr:uid="{5650F768-0ACA-4571-B586-B674E8C76FB5}"/>
    <cellStyle name="Total 2 6 6 6" xfId="9554" xr:uid="{978AFF82-613D-407D-B25C-6FBC60A2D2B2}"/>
    <cellStyle name="Total 2 6 6 6 2" xfId="18600" xr:uid="{AD2A6FE3-426E-4598-9BED-7324FF817064}"/>
    <cellStyle name="Total 2 6 6 7" xfId="12952" xr:uid="{29373442-5A3A-4EB5-8C3E-6EDD4F4FEB33}"/>
    <cellStyle name="Total 2 6 6 8" xfId="13509" xr:uid="{EDFFE4C7-451B-425A-901D-0AF04342EC85}"/>
    <cellStyle name="Total 2 6 6 9" xfId="14148" xr:uid="{50FAF7D9-840B-4F7C-9234-8BB7793223E7}"/>
    <cellStyle name="Total 2 6 7" xfId="3131" xr:uid="{2641B157-2CAA-467B-B1A9-9310C7952C03}"/>
    <cellStyle name="Total 2 6 7 10" xfId="14911" xr:uid="{8606D9B1-E7FB-40CA-AE66-2D820E35BEE5}"/>
    <cellStyle name="Total 2 6 7 11" xfId="21779" xr:uid="{9F6C1F8C-E737-4383-92C4-4A96BBDCDB72}"/>
    <cellStyle name="Total 2 6 7 2" xfId="4352" xr:uid="{C9BF4823-A32E-43C6-9D89-21862747AC91}"/>
    <cellStyle name="Total 2 6 7 2 2" xfId="10209" xr:uid="{641DA2D1-D748-4A1E-B81E-AF96740E1DCC}"/>
    <cellStyle name="Total 2 6 7 2 2 2" xfId="19255" xr:uid="{5B4CF68A-35A5-466D-9BF9-8386888BE6D5}"/>
    <cellStyle name="Total 2 6 7 2 3" xfId="15769" xr:uid="{33FC101D-2FD3-4B77-AB4E-E41BE890CA85}"/>
    <cellStyle name="Total 2 6 7 2 4" xfId="22435" xr:uid="{27685C4E-5141-47BE-9422-F864A85E9363}"/>
    <cellStyle name="Total 2 6 7 3" xfId="4853" xr:uid="{2587672B-4609-476A-9557-5E912EA85B11}"/>
    <cellStyle name="Total 2 6 7 3 2" xfId="10708" xr:uid="{97B8AE65-F811-491D-9DFB-88A283DB266D}"/>
    <cellStyle name="Total 2 6 7 3 2 2" xfId="19754" xr:uid="{0D9546A4-B910-4E74-B90A-3D343B21CB03}"/>
    <cellStyle name="Total 2 6 7 3 3" xfId="16268" xr:uid="{5D8F4446-845C-4006-AF20-6286DFA6910A}"/>
    <cellStyle name="Total 2 6 7 3 4" xfId="22930" xr:uid="{818C4288-569A-4424-9AC2-0ADED0D4BC85}"/>
    <cellStyle name="Total 2 6 7 4" xfId="5468" xr:uid="{1A9B663E-3917-400C-98DC-86B50EF59BA4}"/>
    <cellStyle name="Total 2 6 7 4 2" xfId="11321" xr:uid="{144503E9-DA97-43D4-A1EB-7C9551716EDD}"/>
    <cellStyle name="Total 2 6 7 4 2 2" xfId="20367" xr:uid="{7854F7E2-7F3C-463F-8049-CE3B01A5CECB}"/>
    <cellStyle name="Total 2 6 7 4 3" xfId="16881" xr:uid="{2887C20E-EA7A-4C9B-942B-13E236F4CB3D}"/>
    <cellStyle name="Total 2 6 7 5" xfId="6079" xr:uid="{3A9E2073-DF50-45AF-A1C2-EFEFC5B58C7C}"/>
    <cellStyle name="Total 2 6 7 5 2" xfId="11928" xr:uid="{7D4D5B4B-89CE-4937-B7E6-A8447740510B}"/>
    <cellStyle name="Total 2 6 7 5 2 2" xfId="20974" xr:uid="{8B0D4CF1-1E49-4FC5-B4D8-9502EB501AEE}"/>
    <cellStyle name="Total 2 6 7 5 3" xfId="17492" xr:uid="{E80C4D41-99B3-46BB-9530-6C015FD91E06}"/>
    <cellStyle name="Total 2 6 7 6" xfId="9342" xr:uid="{557AA0DE-93FF-4F31-BFB3-9E3DDFDCEF46}"/>
    <cellStyle name="Total 2 6 7 6 2" xfId="18388" xr:uid="{F4B6540B-CBEE-4A1E-942B-B6F7DE7D2B8E}"/>
    <cellStyle name="Total 2 6 7 7" xfId="12738" xr:uid="{0FC256C9-8A53-45D8-B68F-F174C6B504B8}"/>
    <cellStyle name="Total 2 6 7 8" xfId="13298" xr:uid="{AC820A06-AB00-4719-8212-3E800D75B915}"/>
    <cellStyle name="Total 2 6 7 9" xfId="13934" xr:uid="{17564469-834F-4278-A7E9-A9C4AE58A201}"/>
    <cellStyle name="Total 2 6 8" xfId="3732" xr:uid="{DB37A820-80F1-4F25-8542-D067195EE623}"/>
    <cellStyle name="Total 2 6 8 2" xfId="9774" xr:uid="{A5CE164F-BF98-4601-B699-89A5235AFEF9}"/>
    <cellStyle name="Total 2 6 8 2 2" xfId="18820" xr:uid="{3C1244FF-EE85-4122-9B5A-363650EDDBF7}"/>
    <cellStyle name="Total 2 6 8 3" xfId="15340" xr:uid="{DD5E14E6-5CDF-4F63-AD16-724E3305620E}"/>
    <cellStyle name="Total 2 6 8 4" xfId="22318" xr:uid="{17D3CB13-756E-4400-9B70-8ED9A4CAED34}"/>
    <cellStyle name="Total 2 6 9" xfId="4215" xr:uid="{54492DF5-E5C3-44F2-A1B1-EC23B85465D0}"/>
    <cellStyle name="Total 2 6 9 2" xfId="10072" xr:uid="{310B663B-0103-448A-B780-C180D2CA8E2B}"/>
    <cellStyle name="Total 2 6 9 2 2" xfId="19118" xr:uid="{D6AE9AE0-56EA-42B3-AF48-26870681A6B6}"/>
    <cellStyle name="Total 2 6 9 3" xfId="15632" xr:uid="{77A9EDC0-9757-4D0B-9100-D48D4517EA72}"/>
    <cellStyle name="Total 2 6 9 4" xfId="22375" xr:uid="{E598805A-45A7-4B9E-AAE7-64D5F671B708}"/>
    <cellStyle name="Total 2 7" xfId="2477" xr:uid="{DCA4D284-E8F9-44EB-AA7D-E91944BE6EE7}"/>
    <cellStyle name="Total 2 7 10" xfId="4147" xr:uid="{8239C576-F2C6-4FDE-A473-4F759BFFEA1C}"/>
    <cellStyle name="Total 2 7 10 2" xfId="10004" xr:uid="{B1A00261-FAC6-4BFF-B98B-FE4355FABD11}"/>
    <cellStyle name="Total 2 7 10 2 2" xfId="19050" xr:uid="{98F18868-3CCF-4156-AE9A-8C5112186D70}"/>
    <cellStyle name="Total 2 7 10 3" xfId="15564" xr:uid="{F56DEEAD-9034-4B92-A2F6-4512D58FFDF9}"/>
    <cellStyle name="Total 2 7 11" xfId="5254" xr:uid="{E36D36BE-4C8C-48CA-9ACC-4E625BC85AE0}"/>
    <cellStyle name="Total 2 7 11 2" xfId="11107" xr:uid="{70D289C4-2796-4CCC-9ADE-F5677416C47E}"/>
    <cellStyle name="Total 2 7 11 2 2" xfId="20153" xr:uid="{91584BD8-8DC4-4002-98D5-A83D5FD6E892}"/>
    <cellStyle name="Total 2 7 11 3" xfId="16667" xr:uid="{1CE0F22B-DCB3-45DB-8180-10B62121E682}"/>
    <cellStyle name="Total 2 7 12" xfId="4162" xr:uid="{0D392AA6-4FB4-4785-9D61-7641B5ED3777}"/>
    <cellStyle name="Total 2 7 12 2" xfId="10019" xr:uid="{297FEB2E-59BF-4B69-A02D-B92169A8B903}"/>
    <cellStyle name="Total 2 7 12 2 2" xfId="19065" xr:uid="{5B27939A-AB40-4401-9970-E75F0B3EFB87}"/>
    <cellStyle name="Total 2 7 12 3" xfId="15579" xr:uid="{40B2040C-F78E-4110-A7CD-28EFFDDE2646}"/>
    <cellStyle name="Total 2 7 13" xfId="9127" xr:uid="{F59F748B-6921-4832-96F7-F69622B96122}"/>
    <cellStyle name="Total 2 7 13 2" xfId="18173" xr:uid="{7BA10F54-14FB-4DFA-B1D7-A2EF9BA1EBB9}"/>
    <cellStyle name="Total 2 7 14" xfId="12526" xr:uid="{C71DFC6D-F011-428F-9DC9-C860AD74F6D8}"/>
    <cellStyle name="Total 2 7 15" xfId="13720" xr:uid="{113A166E-1BA5-4029-8521-6B37B5ADBB09}"/>
    <cellStyle name="Total 2 7 16" xfId="14696" xr:uid="{B176734F-0B68-4AD9-A16A-6500C4435D5B}"/>
    <cellStyle name="Total 2 7 17" xfId="21568" xr:uid="{3A6A585C-E706-4C27-984B-9FE9A8E2897C}"/>
    <cellStyle name="Total 2 7 18" xfId="23806" xr:uid="{2798FF2E-D41A-4E24-9EDB-93E582E97FF7}"/>
    <cellStyle name="Total 2 7 2" xfId="2478" xr:uid="{A9BAA4A5-64ED-4926-BBEE-2097C9679A4E}"/>
    <cellStyle name="Total 2 7 2 10" xfId="5911" xr:uid="{27BDE95F-DA29-4F95-AABB-0785307E6BF9}"/>
    <cellStyle name="Total 2 7 2 10 2" xfId="11764" xr:uid="{6C5F01F4-8FF4-43EC-9983-FEE6FEA2CC93}"/>
    <cellStyle name="Total 2 7 2 10 2 2" xfId="20810" xr:uid="{B735FA4A-0B82-470C-B021-FA1542F1A336}"/>
    <cellStyle name="Total 2 7 2 10 3" xfId="17324" xr:uid="{91FFDFE5-E1C7-4856-A902-E23973E48673}"/>
    <cellStyle name="Total 2 7 2 11" xfId="9174" xr:uid="{014C1569-4092-4CC5-9B5B-409259EF6984}"/>
    <cellStyle name="Total 2 7 2 11 2" xfId="18220" xr:uid="{2ABF9D19-9DF3-4436-B60A-79B851F042F3}"/>
    <cellStyle name="Total 2 7 2 12" xfId="12572" xr:uid="{A0B5B25A-1D67-4B99-BBB2-95D37C2E2B99}"/>
    <cellStyle name="Total 2 7 2 13" xfId="13766" xr:uid="{B351484C-BEB6-48AA-AA7C-5719E3BB2CDC}"/>
    <cellStyle name="Total 2 7 2 14" xfId="14743" xr:uid="{4C2C2CBB-C100-4008-BCC4-0C470CEEC239}"/>
    <cellStyle name="Total 2 7 2 15" xfId="21613" xr:uid="{4E318123-8646-471A-9D38-55494DB5CA71}"/>
    <cellStyle name="Total 2 7 2 16" xfId="23807" xr:uid="{93DDC86D-2429-43A8-BDBC-5F2F1F4DA3EC}"/>
    <cellStyle name="Total 2 7 2 2" xfId="2479" xr:uid="{212C703F-EF74-4093-AB0D-E448469B8A0A}"/>
    <cellStyle name="Total 2 7 2 2 10" xfId="13260" xr:uid="{C8FA624A-367A-45E5-9057-19C71C06C861}"/>
    <cellStyle name="Total 2 7 2 2 11" xfId="13894" xr:uid="{7AB50EA6-2F8F-441E-887A-8A37AFA634A3}"/>
    <cellStyle name="Total 2 7 2 2 12" xfId="14871" xr:uid="{F43D9AF7-FD02-4D57-BFDC-CEB149A9B3BA}"/>
    <cellStyle name="Total 2 7 2 2 13" xfId="21739" xr:uid="{DF18AC6A-7A90-4C3F-B5D3-73BF7105ECB7}"/>
    <cellStyle name="Total 2 7 2 2 2" xfId="2593" xr:uid="{F368DE6A-2836-4BCA-80E0-2CA47F00BD4A}"/>
    <cellStyle name="Total 2 7 2 2 2 10" xfId="15297" xr:uid="{6A31909D-5C62-40D4-9650-9BD873C159A7}"/>
    <cellStyle name="Total 2 7 2 2 2 11" xfId="22165" xr:uid="{EFF03C80-0704-47EC-B484-29E75A9104B0}"/>
    <cellStyle name="Total 2 7 2 2 2 12" xfId="3506" xr:uid="{C7C462EF-FA62-4294-8681-BA5912A96A63}"/>
    <cellStyle name="Total 2 7 2 2 2 2" xfId="4740" xr:uid="{CF698104-0CCA-4622-8153-16FD4A792913}"/>
    <cellStyle name="Total 2 7 2 2 2 2 2" xfId="10597" xr:uid="{6599F88D-DA2B-45F1-9B65-F54EA9B732EA}"/>
    <cellStyle name="Total 2 7 2 2 2 2 2 2" xfId="19643" xr:uid="{B8A7FB61-B722-4621-A039-3D5DA80E2BFC}"/>
    <cellStyle name="Total 2 7 2 2 2 2 3" xfId="16157" xr:uid="{0D6F95CC-6BFC-4FDD-A136-5D73E25FD65D}"/>
    <cellStyle name="Total 2 7 2 2 2 2 4" xfId="22821" xr:uid="{EDBBB628-EA83-4A08-9A34-C2A3E6C4CFDE}"/>
    <cellStyle name="Total 2 7 2 2 2 3" xfId="5241" xr:uid="{1CF91EF1-BE29-4561-8922-39E4047ABFB7}"/>
    <cellStyle name="Total 2 7 2 2 2 3 2" xfId="11094" xr:uid="{0B2DD5C0-732A-4BB7-B071-108CEA0F6A31}"/>
    <cellStyle name="Total 2 7 2 2 2 3 2 2" xfId="20140" xr:uid="{D3186D46-C9C0-4879-B5C3-41B59D154990}"/>
    <cellStyle name="Total 2 7 2 2 2 3 3" xfId="16654" xr:uid="{5DFCE659-C495-4EB8-A08D-8F1510D576A9}"/>
    <cellStyle name="Total 2 7 2 2 2 3 4" xfId="23316" xr:uid="{8D21B4F4-A0A8-4F77-BE43-9DB8C28261A1}"/>
    <cellStyle name="Total 2 7 2 2 2 4" xfId="5856" xr:uid="{FE56A4A6-80F1-49E9-99D3-02590C89DDDA}"/>
    <cellStyle name="Total 2 7 2 2 2 4 2" xfId="11709" xr:uid="{D6C2AD2A-1C7B-4E3F-BDDD-E8FBCB498EA4}"/>
    <cellStyle name="Total 2 7 2 2 2 4 2 2" xfId="20755" xr:uid="{915639C1-3CF2-44E8-AC87-6B246037C456}"/>
    <cellStyle name="Total 2 7 2 2 2 4 3" xfId="17269" xr:uid="{BD21CC05-2117-4EB5-8DA1-25058C63AD47}"/>
    <cellStyle name="Total 2 7 2 2 2 5" xfId="6467" xr:uid="{E96B8FC5-8A98-4A57-81FB-DDF4D035363C}"/>
    <cellStyle name="Total 2 7 2 2 2 5 2" xfId="12314" xr:uid="{BEE2A827-E464-437F-A608-7B18EB7C1067}"/>
    <cellStyle name="Total 2 7 2 2 2 5 2 2" xfId="21360" xr:uid="{9E158E7E-C695-4037-8111-74157089ACEB}"/>
    <cellStyle name="Total 2 7 2 2 2 5 3" xfId="17880" xr:uid="{FC40A03C-BE3E-4087-B06B-F8739BCC0909}"/>
    <cellStyle name="Total 2 7 2 2 2 6" xfId="9728" xr:uid="{1EE7D601-6C73-4625-BF16-86381AFA97B4}"/>
    <cellStyle name="Total 2 7 2 2 2 6 2" xfId="18774" xr:uid="{30A23092-7382-4BE7-A3CB-874D44E670ED}"/>
    <cellStyle name="Total 2 7 2 2 2 7" xfId="13126" xr:uid="{449B000B-D8D4-4B30-8CBE-F20065721F5B}"/>
    <cellStyle name="Total 2 7 2 2 2 8" xfId="13682" xr:uid="{3DE19FC2-17FB-42F1-8434-33300FAB9013}"/>
    <cellStyle name="Total 2 7 2 2 2 9" xfId="14322" xr:uid="{94E9136A-F283-45E4-88A3-27E6B797F156}"/>
    <cellStyle name="Total 2 7 2 2 3" xfId="3304" xr:uid="{AD2905D2-E35C-4848-8A50-2139A7376961}"/>
    <cellStyle name="Total 2 7 2 2 3 10" xfId="15084" xr:uid="{1B1C4F54-CB3C-4598-9BB7-7F61C993F7F1}"/>
    <cellStyle name="Total 2 7 2 2 3 11" xfId="21954" xr:uid="{01127936-9CAC-4EA0-8CD8-DFE7B9970E03}"/>
    <cellStyle name="Total 2 7 2 2 3 2" xfId="4527" xr:uid="{1E33F4E4-BC0A-41EF-A233-24A65A916331}"/>
    <cellStyle name="Total 2 7 2 2 3 2 2" xfId="10384" xr:uid="{420C08EE-4394-49DF-BA89-05D23D19963B}"/>
    <cellStyle name="Total 2 7 2 2 3 2 2 2" xfId="19430" xr:uid="{66200B7E-3709-4A0D-A607-DA9FEC2A5B67}"/>
    <cellStyle name="Total 2 7 2 2 3 2 3" xfId="15944" xr:uid="{2D059493-A014-49F3-AD45-645BEAD12D32}"/>
    <cellStyle name="Total 2 7 2 2 3 2 4" xfId="22610" xr:uid="{D549B641-87D3-4E10-92E6-34844C417956}"/>
    <cellStyle name="Total 2 7 2 2 3 3" xfId="5028" xr:uid="{4B2ABE25-D6BC-4D99-9D06-4DB20D8E7BFF}"/>
    <cellStyle name="Total 2 7 2 2 3 3 2" xfId="10881" xr:uid="{006802F8-0D79-47F6-8481-BCB50EA16E24}"/>
    <cellStyle name="Total 2 7 2 2 3 3 2 2" xfId="19927" xr:uid="{C32DF427-7DEA-4E61-8167-28B70F7BD04C}"/>
    <cellStyle name="Total 2 7 2 2 3 3 3" xfId="16441" xr:uid="{08FD3861-224B-48BF-8774-C8DDE01642AE}"/>
    <cellStyle name="Total 2 7 2 2 3 3 4" xfId="23105" xr:uid="{F2B8ADC3-F036-4A5A-ADD4-010CDA60B491}"/>
    <cellStyle name="Total 2 7 2 2 3 4" xfId="5643" xr:uid="{204F337C-4BAC-491F-B79C-67E77B1D2B9F}"/>
    <cellStyle name="Total 2 7 2 2 3 4 2" xfId="11496" xr:uid="{9396F130-13F2-44B2-BD6B-9AA89D182343}"/>
    <cellStyle name="Total 2 7 2 2 3 4 2 2" xfId="20542" xr:uid="{C648D053-1608-495A-B53E-FE5755E8B11B}"/>
    <cellStyle name="Total 2 7 2 2 3 4 3" xfId="17056" xr:uid="{771A2A87-B033-452A-9AFB-2CD0121479B3}"/>
    <cellStyle name="Total 2 7 2 2 3 5" xfId="6254" xr:uid="{A910BACE-3441-4B11-9A4C-FC5F92B5E385}"/>
    <cellStyle name="Total 2 7 2 2 3 5 2" xfId="12101" xr:uid="{6104CDF7-857D-4343-8E68-D68DF5877E16}"/>
    <cellStyle name="Total 2 7 2 2 3 5 2 2" xfId="21147" xr:uid="{FCDCF622-D503-4B16-A522-5EB052C6E009}"/>
    <cellStyle name="Total 2 7 2 2 3 5 3" xfId="17667" xr:uid="{A5B100E2-3C3E-4818-A6E7-543242717C23}"/>
    <cellStyle name="Total 2 7 2 2 3 6" xfId="9515" xr:uid="{1C14F84F-5C16-453E-A23D-5816AC9EA2CB}"/>
    <cellStyle name="Total 2 7 2 2 3 6 2" xfId="18561" xr:uid="{B1911FC0-256B-40E8-AB61-A0B5C1379CA8}"/>
    <cellStyle name="Total 2 7 2 2 3 7" xfId="12913" xr:uid="{4CF31AD6-B33A-4C7A-B52C-D5B34D123CCF}"/>
    <cellStyle name="Total 2 7 2 2 3 8" xfId="13471" xr:uid="{933469C2-5E98-44A1-BC57-FC3439D1E3A2}"/>
    <cellStyle name="Total 2 7 2 2 3 9" xfId="14109" xr:uid="{A0828C39-F593-49E0-94AB-2BD114CCCC73}"/>
    <cellStyle name="Total 2 7 2 2 4" xfId="4047" xr:uid="{EE09DCA6-A59C-4696-90D7-CC7472C94C19}"/>
    <cellStyle name="Total 2 7 2 2 4 2" xfId="9909" xr:uid="{2A8E6CAA-D0C6-4E63-94BC-4FDC02E21798}"/>
    <cellStyle name="Total 2 7 2 2 4 2 2" xfId="18955" xr:uid="{A10EFD0A-9E8B-4AA8-8925-A5FBE628FF8D}"/>
    <cellStyle name="Total 2 7 2 2 4 3" xfId="15471" xr:uid="{B7C0FAAA-28B3-4E9C-89B7-E26F2A6EF342}"/>
    <cellStyle name="Total 2 7 2 2 4 4" xfId="22890" xr:uid="{C7393225-05DE-42CD-BC02-7FFFFEF306DA}"/>
    <cellStyle name="Total 2 7 2 2 5" xfId="4813" xr:uid="{3124A36F-6C14-4BB4-9D75-CB975E4DA7A3}"/>
    <cellStyle name="Total 2 7 2 2 5 2" xfId="10670" xr:uid="{D94E4686-A0C8-4490-8044-D257ACECE4FF}"/>
    <cellStyle name="Total 2 7 2 2 5 2 2" xfId="19716" xr:uid="{A3DFA63E-ECBB-4EB0-B002-C081226510F6}"/>
    <cellStyle name="Total 2 7 2 2 5 3" xfId="16230" xr:uid="{B69CC0A3-ECD6-431A-B4E0-5E7EAC2D003D}"/>
    <cellStyle name="Total 2 7 2 2 6" xfId="5428" xr:uid="{A14FDB29-193B-4790-9279-567041F707F2}"/>
    <cellStyle name="Total 2 7 2 2 6 2" xfId="11281" xr:uid="{13723A7D-8CB5-4CA8-ABA9-A9C7F435AE76}"/>
    <cellStyle name="Total 2 7 2 2 6 2 2" xfId="20327" xr:uid="{0571DC7A-CC2F-4E6D-9DFD-CDE49E7F1577}"/>
    <cellStyle name="Total 2 7 2 2 6 3" xfId="16841" xr:uid="{94DB0ACA-F9FB-4FC1-98BA-4ACBFBD6EA75}"/>
    <cellStyle name="Total 2 7 2 2 7" xfId="6039" xr:uid="{1D0BF633-8AB1-4051-9CA9-6A9AE42FF13C}"/>
    <cellStyle name="Total 2 7 2 2 7 2" xfId="11890" xr:uid="{404EF040-6D74-469A-AAC8-BFF50983F7DB}"/>
    <cellStyle name="Total 2 7 2 2 7 2 2" xfId="20936" xr:uid="{685EFC65-7C7B-4CAD-AEB0-6628DD42F15B}"/>
    <cellStyle name="Total 2 7 2 2 7 3" xfId="17452" xr:uid="{5BB1B966-8BF1-4978-9DB1-212ADBD32D27}"/>
    <cellStyle name="Total 2 7 2 2 8" xfId="9302" xr:uid="{1C31CFAF-3A77-4701-AC7E-DC32D0121A03}"/>
    <cellStyle name="Total 2 7 2 2 8 2" xfId="18348" xr:uid="{125A17B7-026A-4114-8329-1CB5F405D33B}"/>
    <cellStyle name="Total 2 7 2 2 9" xfId="12698" xr:uid="{E4DAFF98-D667-4DB4-860F-235558EC3320}"/>
    <cellStyle name="Total 2 7 2 3" xfId="2594" xr:uid="{23F155AA-127C-4A5A-BE92-603B5EA6F06A}"/>
    <cellStyle name="Total 2 7 2 3 10" xfId="13895" xr:uid="{77015357-5A20-4D37-80DB-A41B0A3A69BA}"/>
    <cellStyle name="Total 2 7 2 3 11" xfId="14872" xr:uid="{470B1727-AA77-4D7A-A7B4-755E285C4511}"/>
    <cellStyle name="Total 2 7 2 3 12" xfId="21740" xr:uid="{3E9DA15F-08DF-40E3-89E0-B4A1C6AF118C}"/>
    <cellStyle name="Total 2 7 2 3 13" xfId="3094" xr:uid="{2863D1A3-D2DE-459B-9903-4F2588C0126D}"/>
    <cellStyle name="Total 2 7 2 3 2" xfId="3507" xr:uid="{513D6C1A-A55B-401C-8E68-355E60BFE5FB}"/>
    <cellStyle name="Total 2 7 2 3 2 10" xfId="15298" xr:uid="{BB9AEE5D-7ACF-49AA-80D7-26963D6FE75E}"/>
    <cellStyle name="Total 2 7 2 3 2 11" xfId="22166" xr:uid="{0BA080C2-E950-4953-B501-00644D45E23A}"/>
    <cellStyle name="Total 2 7 2 3 2 2" xfId="4741" xr:uid="{58A8102E-E047-4C26-8A8B-CB5C0402D6C8}"/>
    <cellStyle name="Total 2 7 2 3 2 2 2" xfId="10598" xr:uid="{93444546-71A9-4A0E-A167-831F6BF36B1E}"/>
    <cellStyle name="Total 2 7 2 3 2 2 2 2" xfId="19644" xr:uid="{C3ADD938-88FE-4397-8836-A16CC617CB7F}"/>
    <cellStyle name="Total 2 7 2 3 2 2 3" xfId="16158" xr:uid="{58C55447-3BEB-4CAA-A439-C43B3C73269C}"/>
    <cellStyle name="Total 2 7 2 3 2 2 4" xfId="22822" xr:uid="{70AD8E6E-A3B0-4FDC-B40E-CB515802FED5}"/>
    <cellStyle name="Total 2 7 2 3 2 3" xfId="5242" xr:uid="{D32F8837-76B4-48C8-A328-E92C261CAC4B}"/>
    <cellStyle name="Total 2 7 2 3 2 3 2" xfId="11095" xr:uid="{334416C1-DCE4-41ED-B6A5-E5230B98A383}"/>
    <cellStyle name="Total 2 7 2 3 2 3 2 2" xfId="20141" xr:uid="{D21D9C5F-7454-4AC5-9459-C3B6ABB589A5}"/>
    <cellStyle name="Total 2 7 2 3 2 3 3" xfId="16655" xr:uid="{4EE240DD-9543-4B3A-AF4C-2BA424E0F8F9}"/>
    <cellStyle name="Total 2 7 2 3 2 3 4" xfId="23317" xr:uid="{47951B9A-9FB5-43C9-8DC8-9ED08FB9AE0F}"/>
    <cellStyle name="Total 2 7 2 3 2 4" xfId="5857" xr:uid="{115245E1-22E0-462B-981F-32FC61E97755}"/>
    <cellStyle name="Total 2 7 2 3 2 4 2" xfId="11710" xr:uid="{F031AFCA-84AD-4909-8A13-6F4FF6B8DBE3}"/>
    <cellStyle name="Total 2 7 2 3 2 4 2 2" xfId="20756" xr:uid="{437D3B20-3FE8-4E7C-84F2-CDB5F1E6C493}"/>
    <cellStyle name="Total 2 7 2 3 2 4 3" xfId="17270" xr:uid="{BEC0796E-B595-45F9-B7DD-E184EEE496F2}"/>
    <cellStyle name="Total 2 7 2 3 2 5" xfId="6468" xr:uid="{3442482C-86A0-4D08-B02A-7DA5880742AD}"/>
    <cellStyle name="Total 2 7 2 3 2 5 2" xfId="12315" xr:uid="{9435EB92-62C6-44E8-83A0-2575565CA0B3}"/>
    <cellStyle name="Total 2 7 2 3 2 5 2 2" xfId="21361" xr:uid="{7249355C-300B-4E44-8C55-743555C2155D}"/>
    <cellStyle name="Total 2 7 2 3 2 5 3" xfId="17881" xr:uid="{669E0248-C52E-4EEC-A618-D2179A7D28A2}"/>
    <cellStyle name="Total 2 7 2 3 2 6" xfId="9729" xr:uid="{1FFD75DC-581F-4E3E-BEFE-EAEB1356DE7B}"/>
    <cellStyle name="Total 2 7 2 3 2 6 2" xfId="18775" xr:uid="{65157ECE-FE87-4377-A4EF-B07D0E1C9A7F}"/>
    <cellStyle name="Total 2 7 2 3 2 7" xfId="13127" xr:uid="{9780E676-496C-4173-8CCA-F13151944C40}"/>
    <cellStyle name="Total 2 7 2 3 2 8" xfId="13683" xr:uid="{33957E7E-6C69-4778-9267-841C67069649}"/>
    <cellStyle name="Total 2 7 2 3 2 9" xfId="14323" xr:uid="{EE4874B0-4063-4AE4-A112-5305313AFE6F}"/>
    <cellStyle name="Total 2 7 2 3 3" xfId="3305" xr:uid="{53E74EA8-1CC9-4BEC-B4F5-01D652ACC884}"/>
    <cellStyle name="Total 2 7 2 3 3 10" xfId="15085" xr:uid="{BCCE7012-7E5A-4334-A28D-BE11BF3306F5}"/>
    <cellStyle name="Total 2 7 2 3 3 11" xfId="21955" xr:uid="{508B8E63-88ED-4690-9D5E-59817BB4C2CA}"/>
    <cellStyle name="Total 2 7 2 3 3 2" xfId="4528" xr:uid="{A1D7DA28-EC9C-4578-A868-B8A255F73EB1}"/>
    <cellStyle name="Total 2 7 2 3 3 2 2" xfId="10385" xr:uid="{CBCDB421-6DC3-45CD-872F-2A43CE3248B9}"/>
    <cellStyle name="Total 2 7 2 3 3 2 2 2" xfId="19431" xr:uid="{73FC0ECA-EF7D-436C-AFA7-A805F0AE6390}"/>
    <cellStyle name="Total 2 7 2 3 3 2 3" xfId="15945" xr:uid="{39726DEB-8752-4596-A709-6EC7BA569E24}"/>
    <cellStyle name="Total 2 7 2 3 3 2 4" xfId="22611" xr:uid="{19417DB2-0C8D-4ED4-B440-E1ACDB679B84}"/>
    <cellStyle name="Total 2 7 2 3 3 3" xfId="5029" xr:uid="{29288507-C37C-4209-825D-3BFB4EABB07D}"/>
    <cellStyle name="Total 2 7 2 3 3 3 2" xfId="10882" xr:uid="{E1969A13-659F-42F9-963E-856BE9043ABC}"/>
    <cellStyle name="Total 2 7 2 3 3 3 2 2" xfId="19928" xr:uid="{1D807C3C-D464-4D79-AC52-F7D054F752D9}"/>
    <cellStyle name="Total 2 7 2 3 3 3 3" xfId="16442" xr:uid="{0A28F25E-1F6B-4B88-A8DF-33796CF6B4B3}"/>
    <cellStyle name="Total 2 7 2 3 3 3 4" xfId="23106" xr:uid="{C9162894-5E9F-41A4-ADCB-088FEB368C26}"/>
    <cellStyle name="Total 2 7 2 3 3 4" xfId="5644" xr:uid="{930E96D9-107B-465E-BB11-1CD846F4792D}"/>
    <cellStyle name="Total 2 7 2 3 3 4 2" xfId="11497" xr:uid="{BF2E7A49-F311-4BB0-BA48-294AD0D14184}"/>
    <cellStyle name="Total 2 7 2 3 3 4 2 2" xfId="20543" xr:uid="{6BFE0599-B52E-4120-AF3F-08D79AABB3C3}"/>
    <cellStyle name="Total 2 7 2 3 3 4 3" xfId="17057" xr:uid="{02BC704F-BE56-4507-B61F-53822EB1C80B}"/>
    <cellStyle name="Total 2 7 2 3 3 5" xfId="6255" xr:uid="{3898BD50-7D15-4125-97BC-14B6B41AA537}"/>
    <cellStyle name="Total 2 7 2 3 3 5 2" xfId="12102" xr:uid="{40DA869A-C5FF-4437-860C-A6A65B643E49}"/>
    <cellStyle name="Total 2 7 2 3 3 5 2 2" xfId="21148" xr:uid="{5EC1276B-D662-4F57-83FA-9434377E9CA4}"/>
    <cellStyle name="Total 2 7 2 3 3 5 3" xfId="17668" xr:uid="{B7D05C03-642F-4A00-B494-F222E17BAD7D}"/>
    <cellStyle name="Total 2 7 2 3 3 6" xfId="9516" xr:uid="{D995FFD0-1752-463D-92C9-1CD81A2E6D8A}"/>
    <cellStyle name="Total 2 7 2 3 3 6 2" xfId="18562" xr:uid="{C3D8EE8F-B538-47D6-B0AC-17019071E6A6}"/>
    <cellStyle name="Total 2 7 2 3 3 7" xfId="12914" xr:uid="{BBCE2BD5-B43B-4009-8127-CFA5941164AA}"/>
    <cellStyle name="Total 2 7 2 3 3 8" xfId="13472" xr:uid="{06D5DEAF-94CF-4436-9D7F-456BD1DB2743}"/>
    <cellStyle name="Total 2 7 2 3 3 9" xfId="14110" xr:uid="{B49B2FCA-9FE0-4659-BFD7-DEC3FDEF5DE0}"/>
    <cellStyle name="Total 2 7 2 3 4" xfId="4814" xr:uid="{6D108A75-6DE9-4E2D-84D3-C006AC918545}"/>
    <cellStyle name="Total 2 7 2 3 4 2" xfId="10671" xr:uid="{E669730A-6D5E-4F9D-823B-41D8FD6649B9}"/>
    <cellStyle name="Total 2 7 2 3 4 2 2" xfId="19717" xr:uid="{503D42F5-779A-41AF-8F44-5B89DE4222AF}"/>
    <cellStyle name="Total 2 7 2 3 4 3" xfId="16231" xr:uid="{3A33C7C7-911E-410A-A9B0-6F7B70AECCC3}"/>
    <cellStyle name="Total 2 7 2 3 4 4" xfId="22891" xr:uid="{99A734D9-AB54-461D-845C-8F9A745EDE44}"/>
    <cellStyle name="Total 2 7 2 3 5" xfId="5429" xr:uid="{124E8097-BD11-407B-A356-03CDF86CD591}"/>
    <cellStyle name="Total 2 7 2 3 5 2" xfId="11282" xr:uid="{A0E692C2-1A52-4DB1-A244-7E454EECC4B5}"/>
    <cellStyle name="Total 2 7 2 3 5 2 2" xfId="20328" xr:uid="{7BCDA073-39A2-48A2-99F9-7E18078CC879}"/>
    <cellStyle name="Total 2 7 2 3 5 3" xfId="16842" xr:uid="{FB347EA7-A86E-4F0C-9BAF-B227FA61B90D}"/>
    <cellStyle name="Total 2 7 2 3 6" xfId="6040" xr:uid="{51CA5C6A-855F-419D-9BE4-F7627960101C}"/>
    <cellStyle name="Total 2 7 2 3 6 2" xfId="11891" xr:uid="{5ADBA144-840D-4D96-BBF5-DE205F3579F7}"/>
    <cellStyle name="Total 2 7 2 3 6 2 2" xfId="20937" xr:uid="{D624FC7A-C4B5-4D7F-9596-BA5E3FAA1E21}"/>
    <cellStyle name="Total 2 7 2 3 6 3" xfId="17453" xr:uid="{91E89F6A-6383-4323-99C7-1F6CED9E1339}"/>
    <cellStyle name="Total 2 7 2 3 7" xfId="9303" xr:uid="{64E82675-74F8-4C6C-8291-935D2609D05F}"/>
    <cellStyle name="Total 2 7 2 3 7 2" xfId="18349" xr:uid="{D9F6999F-04A1-40B7-8645-8CF189EDCB66}"/>
    <cellStyle name="Total 2 7 2 3 8" xfId="12699" xr:uid="{3327E879-73EF-4551-9BFC-1FE47464BF90}"/>
    <cellStyle name="Total 2 7 2 3 9" xfId="13261" xr:uid="{2C5E69CA-4448-4426-97EE-F63F64DAB9EA}"/>
    <cellStyle name="Total 2 7 2 4" xfId="3390" xr:uid="{1BE59130-FB26-44F1-A1BC-534849511219}"/>
    <cellStyle name="Total 2 7 2 4 10" xfId="15170" xr:uid="{C40A5E8E-6579-43E3-AEB3-EB24C85D90FE}"/>
    <cellStyle name="Total 2 7 2 4 11" xfId="22039" xr:uid="{9D3E1DFF-B8CB-4F3A-B000-321CBEFA28DC}"/>
    <cellStyle name="Total 2 7 2 4 2" xfId="4613" xr:uid="{E3B0753F-D0DD-4522-AE39-21013545E154}"/>
    <cellStyle name="Total 2 7 2 4 2 2" xfId="10470" xr:uid="{4885B3A6-4798-4A4F-B01B-4AE8F3E55B5A}"/>
    <cellStyle name="Total 2 7 2 4 2 2 2" xfId="19516" xr:uid="{8B245B32-7B11-4381-BD93-3E2B09EE14B2}"/>
    <cellStyle name="Total 2 7 2 4 2 3" xfId="16030" xr:uid="{043DBF23-24EC-4919-A845-A97FCB4ACE5D}"/>
    <cellStyle name="Total 2 7 2 4 2 4" xfId="22695" xr:uid="{6BACFCF1-D196-4AF4-AF46-E8893E0CAB8A}"/>
    <cellStyle name="Total 2 7 2 4 3" xfId="5114" xr:uid="{A3E82BCD-A97C-4148-935A-43141E8B8568}"/>
    <cellStyle name="Total 2 7 2 4 3 2" xfId="10967" xr:uid="{A11CB958-FC2C-4084-A029-7B6FA52EF04E}"/>
    <cellStyle name="Total 2 7 2 4 3 2 2" xfId="20013" xr:uid="{E1DE02BD-C7E8-45B5-B438-DE121668451D}"/>
    <cellStyle name="Total 2 7 2 4 3 3" xfId="16527" xr:uid="{0FA6B23A-526C-4914-ABDE-09DB3747B07A}"/>
    <cellStyle name="Total 2 7 2 4 3 4" xfId="23190" xr:uid="{CDA1357C-96B4-4312-B9CB-B8CB63061EE6}"/>
    <cellStyle name="Total 2 7 2 4 4" xfId="5729" xr:uid="{A2569C7E-C989-4CA0-BFE8-5E8EA267E191}"/>
    <cellStyle name="Total 2 7 2 4 4 2" xfId="11582" xr:uid="{DEEFD10F-53EC-4C4F-B9E0-D04881FB0C2B}"/>
    <cellStyle name="Total 2 7 2 4 4 2 2" xfId="20628" xr:uid="{4B3C918A-A69B-4DAC-9E94-DB04D9EE0EB4}"/>
    <cellStyle name="Total 2 7 2 4 4 3" xfId="17142" xr:uid="{2A7E3BBA-3114-44AC-A280-6772389CC517}"/>
    <cellStyle name="Total 2 7 2 4 5" xfId="6340" xr:uid="{4841894B-E669-4ADA-9DFA-8CCB97BFEDCE}"/>
    <cellStyle name="Total 2 7 2 4 5 2" xfId="12187" xr:uid="{E0802562-7575-4209-92F3-D379C8BA1331}"/>
    <cellStyle name="Total 2 7 2 4 5 2 2" xfId="21233" xr:uid="{BD5D7955-A039-470D-B104-A5C8FC3AB252}"/>
    <cellStyle name="Total 2 7 2 4 5 3" xfId="17753" xr:uid="{12EB2727-931C-43F8-8057-607AA07753E1}"/>
    <cellStyle name="Total 2 7 2 4 6" xfId="9601" xr:uid="{E94E2E28-70D4-487C-90B5-C984C567088B}"/>
    <cellStyle name="Total 2 7 2 4 6 2" xfId="18647" xr:uid="{45106BBB-5732-4144-86FE-4F91032B94E5}"/>
    <cellStyle name="Total 2 7 2 4 7" xfId="12999" xr:uid="{4FEBF585-1C0A-44F0-BFE5-43EEB409D9E9}"/>
    <cellStyle name="Total 2 7 2 4 8" xfId="13556" xr:uid="{797DFA77-F436-41A0-AE61-FD340810A9AE}"/>
    <cellStyle name="Total 2 7 2 4 9" xfId="14195" xr:uid="{EF53BD19-1B81-4944-A68F-AB617805D0B8}"/>
    <cellStyle name="Total 2 7 2 5" xfId="3178" xr:uid="{BEE19F69-3411-4D8D-B7C1-14D12FD3C4A0}"/>
    <cellStyle name="Total 2 7 2 5 10" xfId="14958" xr:uid="{09F9240E-1466-454F-A574-9E9F65C1FA1F}"/>
    <cellStyle name="Total 2 7 2 5 11" xfId="21826" xr:uid="{D3C44B7F-06A2-4A6C-BCE6-A8DD3B34A47A}"/>
    <cellStyle name="Total 2 7 2 5 2" xfId="4399" xr:uid="{F6944E42-B0CC-429C-A76A-553CE4D03552}"/>
    <cellStyle name="Total 2 7 2 5 2 2" xfId="10256" xr:uid="{F159C77A-2CBF-43AA-B416-9E3DDD592280}"/>
    <cellStyle name="Total 2 7 2 5 2 2 2" xfId="19302" xr:uid="{40BE6845-B851-4CF7-B31B-125F1CBB3E6E}"/>
    <cellStyle name="Total 2 7 2 5 2 3" xfId="15816" xr:uid="{83478ADB-419D-467C-B3C4-A80FCE3E1563}"/>
    <cellStyle name="Total 2 7 2 5 2 4" xfId="22482" xr:uid="{FCAA8A85-8461-4531-A78A-B05B91725C24}"/>
    <cellStyle name="Total 2 7 2 5 3" xfId="4900" xr:uid="{4F66CA48-DA71-4BEC-86BB-7AA4FD99E294}"/>
    <cellStyle name="Total 2 7 2 5 3 2" xfId="10755" xr:uid="{644BC049-446C-46AC-A539-0A7C51F35EE0}"/>
    <cellStyle name="Total 2 7 2 5 3 2 2" xfId="19801" xr:uid="{A35CC1AA-3E83-4438-82BD-8A48B2BD87C9}"/>
    <cellStyle name="Total 2 7 2 5 3 3" xfId="16315" xr:uid="{81F24BB6-2833-4CE8-9E9D-C154C094AB46}"/>
    <cellStyle name="Total 2 7 2 5 3 4" xfId="22977" xr:uid="{14718119-BA9A-448E-9C7C-C6CE581D791E}"/>
    <cellStyle name="Total 2 7 2 5 4" xfId="5515" xr:uid="{97A0D230-6EC6-4BE2-8F25-EDEC44565087}"/>
    <cellStyle name="Total 2 7 2 5 4 2" xfId="11368" xr:uid="{2AF654C6-741C-4597-AF13-70453DE8C4E9}"/>
    <cellStyle name="Total 2 7 2 5 4 2 2" xfId="20414" xr:uid="{34481C06-3E27-4D26-9C5E-3B27265936E6}"/>
    <cellStyle name="Total 2 7 2 5 4 3" xfId="16928" xr:uid="{DB2564C9-DD2D-4684-BF1E-6A5668C0CE8B}"/>
    <cellStyle name="Total 2 7 2 5 5" xfId="6126" xr:uid="{5FB2FC57-3FC1-4E80-9B3A-7C610C959323}"/>
    <cellStyle name="Total 2 7 2 5 5 2" xfId="11975" xr:uid="{DB5C7FF5-5E66-4307-86DB-C210842068DA}"/>
    <cellStyle name="Total 2 7 2 5 5 2 2" xfId="21021" xr:uid="{EC400A84-D62B-4372-8FD4-DA5CA9DA4BBA}"/>
    <cellStyle name="Total 2 7 2 5 5 3" xfId="17539" xr:uid="{D39C1514-B366-4A63-98B0-125728DB066A}"/>
    <cellStyle name="Total 2 7 2 5 6" xfId="9389" xr:uid="{C7FF88E3-9950-4C0D-AB17-76B6653BC17E}"/>
    <cellStyle name="Total 2 7 2 5 6 2" xfId="18435" xr:uid="{21CDFA7F-030B-4066-9282-57279FD55986}"/>
    <cellStyle name="Total 2 7 2 5 7" xfId="12785" xr:uid="{2995EE1D-CDEE-47C7-972C-B0C38874EDEA}"/>
    <cellStyle name="Total 2 7 2 5 8" xfId="13345" xr:uid="{EAD5F47B-9765-489B-A159-B4C471B63CEF}"/>
    <cellStyle name="Total 2 7 2 5 9" xfId="13981" xr:uid="{8F90D9AC-831B-4434-986F-B1EE1D318090}"/>
    <cellStyle name="Total 2 7 2 6" xfId="3779" xr:uid="{A904E319-C773-46A6-9F2E-C02B508FF289}"/>
    <cellStyle name="Total 2 7 2 6 2" xfId="9821" xr:uid="{51AAAFF3-53D2-4D2B-827F-FC4C3473CC1A}"/>
    <cellStyle name="Total 2 7 2 6 2 2" xfId="18867" xr:uid="{8A4B6CE4-0ED5-4971-9BF2-0EC4BF3EADA3}"/>
    <cellStyle name="Total 2 7 2 6 3" xfId="15387" xr:uid="{65182439-D583-4E41-A803-87BDA9A0F556}"/>
    <cellStyle name="Total 2 7 2 6 4" xfId="22366" xr:uid="{2E42AAC4-948B-4798-8C94-FEEBF260E431}"/>
    <cellStyle name="Total 2 7 2 7" xfId="4263" xr:uid="{18F4CD7A-2D3B-403E-93C3-0E253E51BAB7}"/>
    <cellStyle name="Total 2 7 2 7 2" xfId="10120" xr:uid="{CD7C91AF-F5C7-486D-AAFE-E8B0AFA5F2F9}"/>
    <cellStyle name="Total 2 7 2 7 2 2" xfId="19166" xr:uid="{3E2411CF-54B5-4590-8321-9730B4A5B8F8}"/>
    <cellStyle name="Total 2 7 2 7 3" xfId="15680" xr:uid="{42C791C6-68AE-4F62-81D7-AEE67399283E}"/>
    <cellStyle name="Total 2 7 2 7 4" xfId="22320" xr:uid="{87EF9F2E-AA21-469B-953C-510008B57373}"/>
    <cellStyle name="Total 2 7 2 8" xfId="4217" xr:uid="{EFFE958D-DF1D-4D5C-A557-340AD89179AC}"/>
    <cellStyle name="Total 2 7 2 8 2" xfId="10074" xr:uid="{9DA89F30-984A-4D03-BA02-9750C2235CA7}"/>
    <cellStyle name="Total 2 7 2 8 2 2" xfId="19120" xr:uid="{68BD0094-3110-4D3D-BB33-012FEDE847DB}"/>
    <cellStyle name="Total 2 7 2 8 3" xfId="15634" xr:uid="{084FC272-34E3-4318-840B-AFD1801B6661}"/>
    <cellStyle name="Total 2 7 2 9" xfId="5300" xr:uid="{5673FD06-C54E-4589-9D21-C561D4FA5862}"/>
    <cellStyle name="Total 2 7 2 9 2" xfId="11153" xr:uid="{7039D39C-E17F-485F-9D56-A0933DD1852E}"/>
    <cellStyle name="Total 2 7 2 9 2 2" xfId="20199" xr:uid="{FF9CF2AA-63C0-4529-93C3-A921596AFD4C}"/>
    <cellStyle name="Total 2 7 2 9 3" xfId="16713" xr:uid="{58B0DB11-F796-42C3-AB73-EE6BDAFA258D}"/>
    <cellStyle name="Total 2 7 3" xfId="2480" xr:uid="{3E978083-B57C-4EA9-86BF-25827664C645}"/>
    <cellStyle name="Total 2 7 3 10" xfId="5912" xr:uid="{316DD8C4-048C-4EA5-96E3-2327B9EE3504}"/>
    <cellStyle name="Total 2 7 3 10 2" xfId="11765" xr:uid="{BF4ADCA7-0FE6-43F8-B52D-DA1DC18132A4}"/>
    <cellStyle name="Total 2 7 3 10 2 2" xfId="20811" xr:uid="{401AA212-C58F-4DEA-88FB-B201B4115583}"/>
    <cellStyle name="Total 2 7 3 10 3" xfId="17325" xr:uid="{E0F2B3B0-2553-42AC-BFDB-46B86A1F624B}"/>
    <cellStyle name="Total 2 7 3 11" xfId="9175" xr:uid="{EBD57FEB-4A5F-4D1D-BBEE-5614D20B7471}"/>
    <cellStyle name="Total 2 7 3 11 2" xfId="18221" xr:uid="{C4393D21-32F4-4BC6-8AAE-4E0CCEE6F405}"/>
    <cellStyle name="Total 2 7 3 12" xfId="12573" xr:uid="{6638E1DC-85C3-4B8A-9D99-5CD8BB026BAB}"/>
    <cellStyle name="Total 2 7 3 13" xfId="13767" xr:uid="{58FDE7F2-68D0-40DF-B838-02C7749FE851}"/>
    <cellStyle name="Total 2 7 3 14" xfId="14744" xr:uid="{E35FCA2C-CF15-4A37-9ADC-18801A56993D}"/>
    <cellStyle name="Total 2 7 3 15" xfId="21614" xr:uid="{C1C5E4AD-71A2-4894-B4DD-6DFB1C8211C7}"/>
    <cellStyle name="Total 2 7 3 16" xfId="23808" xr:uid="{8A7ACDEE-886C-4350-A113-6D8448B08AFA}"/>
    <cellStyle name="Total 2 7 3 2" xfId="2481" xr:uid="{32865BFC-23D8-404B-8311-CFB0E037504B}"/>
    <cellStyle name="Total 2 7 3 2 10" xfId="13262" xr:uid="{3619C326-50E6-41E0-BCE2-F3E57E0D46F8}"/>
    <cellStyle name="Total 2 7 3 2 11" xfId="13896" xr:uid="{37303614-B3D3-4526-BB81-225B7B1C977F}"/>
    <cellStyle name="Total 2 7 3 2 12" xfId="14873" xr:uid="{B091C5E5-E4D6-49D8-8574-89C1CDA75AE8}"/>
    <cellStyle name="Total 2 7 3 2 13" xfId="21741" xr:uid="{1ED9C0B7-B0BB-4AC1-8274-4B17DD0EF0AC}"/>
    <cellStyle name="Total 2 7 3 2 2" xfId="2591" xr:uid="{B4030584-14F3-45C0-86D2-AD4109D55331}"/>
    <cellStyle name="Total 2 7 3 2 2 10" xfId="15299" xr:uid="{2E2E0EE1-A2D6-4571-8F47-653877332A4E}"/>
    <cellStyle name="Total 2 7 3 2 2 11" xfId="22167" xr:uid="{CE1AB50F-04E9-44E5-ABE7-7C98E813417C}"/>
    <cellStyle name="Total 2 7 3 2 2 12" xfId="3508" xr:uid="{9EF1A860-7FA6-465E-82D9-C17D275CB2E8}"/>
    <cellStyle name="Total 2 7 3 2 2 2" xfId="4742" xr:uid="{61F26D76-1715-4A55-8086-0EB38243D3C5}"/>
    <cellStyle name="Total 2 7 3 2 2 2 2" xfId="10599" xr:uid="{5E944B39-F2E6-4351-8391-BCE80942E65A}"/>
    <cellStyle name="Total 2 7 3 2 2 2 2 2" xfId="19645" xr:uid="{EB053ADB-5F97-4AB8-8400-A575D0090574}"/>
    <cellStyle name="Total 2 7 3 2 2 2 3" xfId="16159" xr:uid="{432892A8-0D50-41AD-848A-7114D115F66A}"/>
    <cellStyle name="Total 2 7 3 2 2 2 4" xfId="22823" xr:uid="{BDFF5606-C8B3-48F5-A20A-CE1D7E3BA405}"/>
    <cellStyle name="Total 2 7 3 2 2 3" xfId="5243" xr:uid="{E03F3563-43E1-4504-8847-CDC10B9C74C5}"/>
    <cellStyle name="Total 2 7 3 2 2 3 2" xfId="11096" xr:uid="{06B754D1-55E5-4796-9C04-A38C9A00A583}"/>
    <cellStyle name="Total 2 7 3 2 2 3 2 2" xfId="20142" xr:uid="{32A18994-86E4-4B89-BD54-0943602B958F}"/>
    <cellStyle name="Total 2 7 3 2 2 3 3" xfId="16656" xr:uid="{226E057B-5115-4331-BEE5-AC04A923B4FE}"/>
    <cellStyle name="Total 2 7 3 2 2 3 4" xfId="23318" xr:uid="{DCC43C1B-9CEA-4495-928F-3064038C0EA2}"/>
    <cellStyle name="Total 2 7 3 2 2 4" xfId="5858" xr:uid="{57411709-7CB1-4A69-A9BB-77FDFF69F39E}"/>
    <cellStyle name="Total 2 7 3 2 2 4 2" xfId="11711" xr:uid="{38691465-3C16-4686-A974-AE14060FA791}"/>
    <cellStyle name="Total 2 7 3 2 2 4 2 2" xfId="20757" xr:uid="{AF469E8C-28FD-4FD9-83D8-7DF88959E1FF}"/>
    <cellStyle name="Total 2 7 3 2 2 4 3" xfId="17271" xr:uid="{2F4627B8-98ED-4B3B-8B0E-CF7C3968DE6E}"/>
    <cellStyle name="Total 2 7 3 2 2 5" xfId="6469" xr:uid="{584621EE-C76B-4584-82DB-36642AF98AB8}"/>
    <cellStyle name="Total 2 7 3 2 2 5 2" xfId="12316" xr:uid="{DD9A2C60-755D-40A7-94DC-185C9524705D}"/>
    <cellStyle name="Total 2 7 3 2 2 5 2 2" xfId="21362" xr:uid="{9D48A6E6-0FE8-4A8E-A23F-F1DEB30E7D63}"/>
    <cellStyle name="Total 2 7 3 2 2 5 3" xfId="17882" xr:uid="{91211507-15EC-4FF1-926F-A6E73CA05AD3}"/>
    <cellStyle name="Total 2 7 3 2 2 6" xfId="9730" xr:uid="{823F13E6-1450-4D8E-AC61-A71FAEE4561A}"/>
    <cellStyle name="Total 2 7 3 2 2 6 2" xfId="18776" xr:uid="{4F6C0DB0-862E-485C-AB68-699816C7EA0E}"/>
    <cellStyle name="Total 2 7 3 2 2 7" xfId="13128" xr:uid="{656783F7-4CA5-43BA-9C05-837FE4A4FC08}"/>
    <cellStyle name="Total 2 7 3 2 2 8" xfId="13684" xr:uid="{53FAB6A2-A951-48EE-A689-73984F449BA8}"/>
    <cellStyle name="Total 2 7 3 2 2 9" xfId="14324" xr:uid="{C70AF053-43EA-49F7-A159-D56035000613}"/>
    <cellStyle name="Total 2 7 3 2 3" xfId="3306" xr:uid="{493CDB72-C2BC-451C-8136-EADAAE38119B}"/>
    <cellStyle name="Total 2 7 3 2 3 10" xfId="15086" xr:uid="{5E0A544D-C51C-4A42-854C-AF552871F318}"/>
    <cellStyle name="Total 2 7 3 2 3 11" xfId="21956" xr:uid="{3FC784FA-FC41-4F45-8C64-6A55851F8478}"/>
    <cellStyle name="Total 2 7 3 2 3 2" xfId="4529" xr:uid="{0806AC58-C6F1-4027-8FDF-75846DFCB015}"/>
    <cellStyle name="Total 2 7 3 2 3 2 2" xfId="10386" xr:uid="{AA14866D-38E2-4679-85D1-EDD2B5A4436D}"/>
    <cellStyle name="Total 2 7 3 2 3 2 2 2" xfId="19432" xr:uid="{AB6E43A8-B7EB-4E58-AADE-97B4F57A9B04}"/>
    <cellStyle name="Total 2 7 3 2 3 2 3" xfId="15946" xr:uid="{EF2FB7BE-606F-474A-AA4D-2D8232B1F697}"/>
    <cellStyle name="Total 2 7 3 2 3 2 4" xfId="22612" xr:uid="{3FF300E7-2AA1-40A4-B716-8DDD383730A8}"/>
    <cellStyle name="Total 2 7 3 2 3 3" xfId="5030" xr:uid="{BEBE2E96-A794-42F3-BD75-0172D673F13F}"/>
    <cellStyle name="Total 2 7 3 2 3 3 2" xfId="10883" xr:uid="{23E8EDE1-598C-42EF-9D6A-BA730159F884}"/>
    <cellStyle name="Total 2 7 3 2 3 3 2 2" xfId="19929" xr:uid="{84F0492A-1E08-4212-BB4F-1F0C5912FF97}"/>
    <cellStyle name="Total 2 7 3 2 3 3 3" xfId="16443" xr:uid="{FA0CB733-D2E5-4E5A-8931-0843A4F089C8}"/>
    <cellStyle name="Total 2 7 3 2 3 3 4" xfId="23107" xr:uid="{2685D631-23E7-46CF-9298-36D2476013FD}"/>
    <cellStyle name="Total 2 7 3 2 3 4" xfId="5645" xr:uid="{28312C3A-EF88-44E2-9078-D3456837F03A}"/>
    <cellStyle name="Total 2 7 3 2 3 4 2" xfId="11498" xr:uid="{554C8120-4F68-440C-B5AE-6483A59997E0}"/>
    <cellStyle name="Total 2 7 3 2 3 4 2 2" xfId="20544" xr:uid="{AC85B0E9-9D6E-4247-B17D-51629F93058A}"/>
    <cellStyle name="Total 2 7 3 2 3 4 3" xfId="17058" xr:uid="{3C5CDA37-87AF-442B-AE65-581EDE5ED7B4}"/>
    <cellStyle name="Total 2 7 3 2 3 5" xfId="6256" xr:uid="{7F12FCE5-EEFA-412D-BC3D-95CAC1C2E4CD}"/>
    <cellStyle name="Total 2 7 3 2 3 5 2" xfId="12103" xr:uid="{1185D48E-2CE0-4929-9E91-BDF0B27F2837}"/>
    <cellStyle name="Total 2 7 3 2 3 5 2 2" xfId="21149" xr:uid="{13A42819-7840-4DC3-9821-48A71C8C3538}"/>
    <cellStyle name="Total 2 7 3 2 3 5 3" xfId="17669" xr:uid="{A9A6DF20-36B4-4FA7-8F6D-D3549618256F}"/>
    <cellStyle name="Total 2 7 3 2 3 6" xfId="9517" xr:uid="{66E13F61-C269-4B3E-B762-889256778088}"/>
    <cellStyle name="Total 2 7 3 2 3 6 2" xfId="18563" xr:uid="{CC55D162-9148-4C03-A1BB-7F0CFC9C3B3E}"/>
    <cellStyle name="Total 2 7 3 2 3 7" xfId="12915" xr:uid="{384C85B6-132B-4C8A-BBD2-595F0B7B86F2}"/>
    <cellStyle name="Total 2 7 3 2 3 8" xfId="13473" xr:uid="{DC1AE3CF-9F04-4131-B10C-931FA60F8E3F}"/>
    <cellStyle name="Total 2 7 3 2 3 9" xfId="14111" xr:uid="{47828E9F-2728-4AEA-988B-3A7CF4DB7B85}"/>
    <cellStyle name="Total 2 7 3 2 4" xfId="4048" xr:uid="{ED8561A0-1127-46DE-91E1-C0A25DCAFC36}"/>
    <cellStyle name="Total 2 7 3 2 4 2" xfId="9910" xr:uid="{6B4AB787-4809-4311-AE42-FCEFD54A9E09}"/>
    <cellStyle name="Total 2 7 3 2 4 2 2" xfId="18956" xr:uid="{643FBC30-E4E3-4428-9C8E-412D903C96F4}"/>
    <cellStyle name="Total 2 7 3 2 4 3" xfId="15472" xr:uid="{21DB3714-3E84-442D-BFE2-148626E9806E}"/>
    <cellStyle name="Total 2 7 3 2 4 4" xfId="22892" xr:uid="{077C49BD-17D2-4B7C-8153-F129B4A1A5A6}"/>
    <cellStyle name="Total 2 7 3 2 5" xfId="4815" xr:uid="{E10FBF7B-EC5A-4E07-A082-FE5032B06A24}"/>
    <cellStyle name="Total 2 7 3 2 5 2" xfId="10672" xr:uid="{C2A64710-F366-48F8-A40C-0EC1D5670C62}"/>
    <cellStyle name="Total 2 7 3 2 5 2 2" xfId="19718" xr:uid="{257DAE4F-7FAB-4645-B438-1D09F322B063}"/>
    <cellStyle name="Total 2 7 3 2 5 3" xfId="16232" xr:uid="{5BB43736-FF3A-4AA8-A9BC-74655033EDD8}"/>
    <cellStyle name="Total 2 7 3 2 6" xfId="5430" xr:uid="{9D3BE2C2-48F5-4ACB-8813-BD14FE67CC57}"/>
    <cellStyle name="Total 2 7 3 2 6 2" xfId="11283" xr:uid="{E4D2D0A9-3E37-4C5B-88DD-663B5F2A71A3}"/>
    <cellStyle name="Total 2 7 3 2 6 2 2" xfId="20329" xr:uid="{882C9C4F-7B4E-49E1-841C-ACDC20644F28}"/>
    <cellStyle name="Total 2 7 3 2 6 3" xfId="16843" xr:uid="{0B5BAC92-CC03-4ED7-AC2B-B6FCDADD2001}"/>
    <cellStyle name="Total 2 7 3 2 7" xfId="6041" xr:uid="{BE231C65-4561-4E4F-94CC-F0F001254A35}"/>
    <cellStyle name="Total 2 7 3 2 7 2" xfId="11892" xr:uid="{C8EA472F-35B5-4D3F-9B64-93B4CE862BA4}"/>
    <cellStyle name="Total 2 7 3 2 7 2 2" xfId="20938" xr:uid="{4CB8891D-C3FA-4049-8CF9-3F135C69B88A}"/>
    <cellStyle name="Total 2 7 3 2 7 3" xfId="17454" xr:uid="{E7B974E9-38E8-4020-8D70-4071C7581B57}"/>
    <cellStyle name="Total 2 7 3 2 8" xfId="9304" xr:uid="{50FEA766-0D2C-42FD-8334-F4F09D988FA9}"/>
    <cellStyle name="Total 2 7 3 2 8 2" xfId="18350" xr:uid="{A1AC39F5-ECCA-4BD5-A334-62704424D488}"/>
    <cellStyle name="Total 2 7 3 2 9" xfId="12700" xr:uid="{AF23D7B3-7D8A-4FC4-91FD-9E5D18416023}"/>
    <cellStyle name="Total 2 7 3 3" xfId="2592" xr:uid="{02AF96D5-BAA2-44A8-A5EB-0C33724D99AE}"/>
    <cellStyle name="Total 2 7 3 3 10" xfId="13897" xr:uid="{21A996F1-FD61-44D4-BCBC-631DAEEF1592}"/>
    <cellStyle name="Total 2 7 3 3 11" xfId="14874" xr:uid="{E483A348-6717-45F5-82A0-551F5ED3DFB2}"/>
    <cellStyle name="Total 2 7 3 3 12" xfId="21742" xr:uid="{402BB40F-DE73-4C81-A39D-F4CAE2975C48}"/>
    <cellStyle name="Total 2 7 3 3 13" xfId="3095" xr:uid="{18203E50-3C49-4B6C-A9D0-48FC26DF6394}"/>
    <cellStyle name="Total 2 7 3 3 2" xfId="3509" xr:uid="{56721725-42DF-4E8C-9965-43B0DD5113E3}"/>
    <cellStyle name="Total 2 7 3 3 2 10" xfId="15300" xr:uid="{B473B7EF-DB6F-4B54-9308-F9A83E6292C0}"/>
    <cellStyle name="Total 2 7 3 3 2 11" xfId="22168" xr:uid="{767C4A41-1109-4531-A981-01C870373F7C}"/>
    <cellStyle name="Total 2 7 3 3 2 2" xfId="4743" xr:uid="{61E668E2-F2BF-40EE-8078-E727C616A7FE}"/>
    <cellStyle name="Total 2 7 3 3 2 2 2" xfId="10600" xr:uid="{639D90B5-6B93-4F8A-B3D1-DA3A650B209B}"/>
    <cellStyle name="Total 2 7 3 3 2 2 2 2" xfId="19646" xr:uid="{4FA4F53B-E929-4E2F-985A-E88275648D5F}"/>
    <cellStyle name="Total 2 7 3 3 2 2 3" xfId="16160" xr:uid="{190A3667-09BF-409E-8231-A07D18B2F607}"/>
    <cellStyle name="Total 2 7 3 3 2 2 4" xfId="22824" xr:uid="{A213A0D1-83EE-4804-8B0E-361EDD1685CA}"/>
    <cellStyle name="Total 2 7 3 3 2 3" xfId="5244" xr:uid="{CD53BE75-FD52-4D52-8583-6DF2732FD2CE}"/>
    <cellStyle name="Total 2 7 3 3 2 3 2" xfId="11097" xr:uid="{210586BD-55FF-47FE-808F-FA05695FFDA2}"/>
    <cellStyle name="Total 2 7 3 3 2 3 2 2" xfId="20143" xr:uid="{CE2093D8-DDD3-4BAB-A8B9-3BD86E6BEC58}"/>
    <cellStyle name="Total 2 7 3 3 2 3 3" xfId="16657" xr:uid="{15662C02-FA40-4851-A790-93E72935D50F}"/>
    <cellStyle name="Total 2 7 3 3 2 3 4" xfId="23319" xr:uid="{52349041-3725-48A0-BAAA-2D95EB78E362}"/>
    <cellStyle name="Total 2 7 3 3 2 4" xfId="5859" xr:uid="{321718D9-860D-481A-85C5-9B6031602C2E}"/>
    <cellStyle name="Total 2 7 3 3 2 4 2" xfId="11712" xr:uid="{42BB92E2-7E4F-463B-820B-5E8D4D79F76D}"/>
    <cellStyle name="Total 2 7 3 3 2 4 2 2" xfId="20758" xr:uid="{A1F5FC0D-CBA6-4311-8330-9EA372F7F675}"/>
    <cellStyle name="Total 2 7 3 3 2 4 3" xfId="17272" xr:uid="{1EE8F96C-B1A6-4840-BC9B-2AB73FFBD95F}"/>
    <cellStyle name="Total 2 7 3 3 2 5" xfId="6470" xr:uid="{854D1338-38E8-49CE-A05C-B862D44A2F52}"/>
    <cellStyle name="Total 2 7 3 3 2 5 2" xfId="12317" xr:uid="{04AC71DC-ED0F-4B74-B44F-D5BC39C07952}"/>
    <cellStyle name="Total 2 7 3 3 2 5 2 2" xfId="21363" xr:uid="{78CA4448-89ED-4E1E-B013-A22D976AABBC}"/>
    <cellStyle name="Total 2 7 3 3 2 5 3" xfId="17883" xr:uid="{19CF2A84-EDF6-444C-8841-89CEEB9B4C78}"/>
    <cellStyle name="Total 2 7 3 3 2 6" xfId="9731" xr:uid="{4DDB21B8-9DBD-41D7-9CF2-092E52B3F2E7}"/>
    <cellStyle name="Total 2 7 3 3 2 6 2" xfId="18777" xr:uid="{F512DC31-BB67-4771-9AF1-9DD0F4BD566D}"/>
    <cellStyle name="Total 2 7 3 3 2 7" xfId="13129" xr:uid="{965AD0F6-4CB8-4D34-818E-814312911CA1}"/>
    <cellStyle name="Total 2 7 3 3 2 8" xfId="13685" xr:uid="{764CD0BF-27A5-449A-ABB1-D93299255E4A}"/>
    <cellStyle name="Total 2 7 3 3 2 9" xfId="14325" xr:uid="{60E43314-C105-4824-B56B-D7DFD116DCD3}"/>
    <cellStyle name="Total 2 7 3 3 3" xfId="3307" xr:uid="{3B54E449-868E-4C71-B396-152A899682D8}"/>
    <cellStyle name="Total 2 7 3 3 3 10" xfId="15087" xr:uid="{768F2554-20FF-4B33-A058-AF1148F402CE}"/>
    <cellStyle name="Total 2 7 3 3 3 11" xfId="21957" xr:uid="{9C2E6E13-377A-4F66-A0C1-6CBB270CEFF8}"/>
    <cellStyle name="Total 2 7 3 3 3 2" xfId="4530" xr:uid="{1600F8A3-27A2-4BB5-A91A-CFEB332E457A}"/>
    <cellStyle name="Total 2 7 3 3 3 2 2" xfId="10387" xr:uid="{7DA984BD-A6F2-4E0C-B30A-A3A9A6648280}"/>
    <cellStyle name="Total 2 7 3 3 3 2 2 2" xfId="19433" xr:uid="{BEEE4E91-4C6C-47C6-AC02-61AD279C35CA}"/>
    <cellStyle name="Total 2 7 3 3 3 2 3" xfId="15947" xr:uid="{5CF83972-0FE2-4718-88A6-0AFE10CFC1C8}"/>
    <cellStyle name="Total 2 7 3 3 3 2 4" xfId="22613" xr:uid="{36EAD199-2D12-4B13-9F07-2AC9A833A373}"/>
    <cellStyle name="Total 2 7 3 3 3 3" xfId="5031" xr:uid="{DF72EBA7-D0BE-4C10-8E72-9C514C657EE4}"/>
    <cellStyle name="Total 2 7 3 3 3 3 2" xfId="10884" xr:uid="{9B2E8FF8-6926-44BE-B6F6-D5F4C10FDC14}"/>
    <cellStyle name="Total 2 7 3 3 3 3 2 2" xfId="19930" xr:uid="{DC4260C8-4219-4237-9782-E986328DF054}"/>
    <cellStyle name="Total 2 7 3 3 3 3 3" xfId="16444" xr:uid="{BC86A2A0-0BD5-4C2E-AEAD-287B68F7CCF3}"/>
    <cellStyle name="Total 2 7 3 3 3 3 4" xfId="23108" xr:uid="{3FE9B591-5A45-410C-A219-DFFE4E97C4EA}"/>
    <cellStyle name="Total 2 7 3 3 3 4" xfId="5646" xr:uid="{363417DF-53EE-4ABA-B0E8-95175BA69E55}"/>
    <cellStyle name="Total 2 7 3 3 3 4 2" xfId="11499" xr:uid="{2B2F1842-0441-49C9-90E5-3C673DCC9A0B}"/>
    <cellStyle name="Total 2 7 3 3 3 4 2 2" xfId="20545" xr:uid="{2DA1F4F4-F2E6-42C4-9E0E-9D85FB7C441E}"/>
    <cellStyle name="Total 2 7 3 3 3 4 3" xfId="17059" xr:uid="{58F44C21-F5A5-4E19-BEE1-3CD95061EF99}"/>
    <cellStyle name="Total 2 7 3 3 3 5" xfId="6257" xr:uid="{804F59BE-D246-478B-9619-100E45D4F0FA}"/>
    <cellStyle name="Total 2 7 3 3 3 5 2" xfId="12104" xr:uid="{1BED16CA-8C19-4CF8-84A3-D1DE56B49880}"/>
    <cellStyle name="Total 2 7 3 3 3 5 2 2" xfId="21150" xr:uid="{37200DCC-0C42-443B-8CB0-706FA9B9732E}"/>
    <cellStyle name="Total 2 7 3 3 3 5 3" xfId="17670" xr:uid="{E764099A-D596-4022-B5FB-D02B6249D6B9}"/>
    <cellStyle name="Total 2 7 3 3 3 6" xfId="9518" xr:uid="{FA928150-A0F7-49AA-A86E-0F9209562578}"/>
    <cellStyle name="Total 2 7 3 3 3 6 2" xfId="18564" xr:uid="{F77135BD-0C80-4B4C-8A9F-FA4D4326B7C1}"/>
    <cellStyle name="Total 2 7 3 3 3 7" xfId="12916" xr:uid="{873BF84A-D77A-42F7-87FE-93D219D1EC88}"/>
    <cellStyle name="Total 2 7 3 3 3 8" xfId="13474" xr:uid="{7F4534BC-025E-4DC8-AC62-29A7595754C5}"/>
    <cellStyle name="Total 2 7 3 3 3 9" xfId="14112" xr:uid="{5AF74F5C-3E01-4E32-893A-A2A9D51E9C2D}"/>
    <cellStyle name="Total 2 7 3 3 4" xfId="4816" xr:uid="{F86C55CC-7BCC-4C3B-A267-361D42A5065B}"/>
    <cellStyle name="Total 2 7 3 3 4 2" xfId="10673" xr:uid="{CE9C2873-44A8-40D6-8AC3-421A3EBEBEFC}"/>
    <cellStyle name="Total 2 7 3 3 4 2 2" xfId="19719" xr:uid="{3C9438EF-8205-404A-93F3-23E585A6857F}"/>
    <cellStyle name="Total 2 7 3 3 4 3" xfId="16233" xr:uid="{6D278580-EEA1-4511-8C96-42B254874F45}"/>
    <cellStyle name="Total 2 7 3 3 4 4" xfId="22893" xr:uid="{1D208742-1D85-4993-8C13-4C717BB77E9F}"/>
    <cellStyle name="Total 2 7 3 3 5" xfId="5431" xr:uid="{2B14418E-776F-4A35-9A07-6A326E241359}"/>
    <cellStyle name="Total 2 7 3 3 5 2" xfId="11284" xr:uid="{14A9F075-E9DC-487F-9B95-485B62E67267}"/>
    <cellStyle name="Total 2 7 3 3 5 2 2" xfId="20330" xr:uid="{55992C50-2127-467F-A174-4F9D846010A0}"/>
    <cellStyle name="Total 2 7 3 3 5 3" xfId="16844" xr:uid="{B28E7A1B-A400-4620-AFAF-51014DD9AF5A}"/>
    <cellStyle name="Total 2 7 3 3 6" xfId="6042" xr:uid="{D0FF1037-DA47-408A-957F-A0F4C67C8A6B}"/>
    <cellStyle name="Total 2 7 3 3 6 2" xfId="11893" xr:uid="{24F2323F-FC9F-4A13-9A28-CF8C271C6129}"/>
    <cellStyle name="Total 2 7 3 3 6 2 2" xfId="20939" xr:uid="{078E6ADB-78A1-4F22-A23C-2C88FA11F122}"/>
    <cellStyle name="Total 2 7 3 3 6 3" xfId="17455" xr:uid="{DF765102-B5FB-4F94-8CF9-A9291BF83902}"/>
    <cellStyle name="Total 2 7 3 3 7" xfId="9305" xr:uid="{AE81478E-A173-4BF8-9F79-BF82C2DEC250}"/>
    <cellStyle name="Total 2 7 3 3 7 2" xfId="18351" xr:uid="{6D0EBA8F-9C72-411C-B8A7-22AB82EC54F5}"/>
    <cellStyle name="Total 2 7 3 3 8" xfId="12701" xr:uid="{D48D2CEB-7544-47F4-893D-3AB70CACA39D}"/>
    <cellStyle name="Total 2 7 3 3 9" xfId="13263" xr:uid="{E8B1997B-8553-4987-9069-C8E5EAB7565C}"/>
    <cellStyle name="Total 2 7 3 4" xfId="3391" xr:uid="{E87C6632-5837-427F-B386-890B2EED0DD2}"/>
    <cellStyle name="Total 2 7 3 4 10" xfId="15171" xr:uid="{324980B7-EE30-4DA8-AB79-45C5E1CED1CC}"/>
    <cellStyle name="Total 2 7 3 4 11" xfId="22040" xr:uid="{A0ACDEA8-0AAC-4EBA-85D3-60D98E36A502}"/>
    <cellStyle name="Total 2 7 3 4 2" xfId="4614" xr:uid="{3B2F7E26-6883-4B62-9BB6-51162F87C12E}"/>
    <cellStyle name="Total 2 7 3 4 2 2" xfId="10471" xr:uid="{AE134779-99D6-4731-B29B-FE09C02779BA}"/>
    <cellStyle name="Total 2 7 3 4 2 2 2" xfId="19517" xr:uid="{BE67F250-9F79-4037-A23E-96C3A0F2093B}"/>
    <cellStyle name="Total 2 7 3 4 2 3" xfId="16031" xr:uid="{B5457717-BCE7-4FF1-9CF5-8DC673193EDB}"/>
    <cellStyle name="Total 2 7 3 4 2 4" xfId="22696" xr:uid="{829E0962-BF81-4859-BDC1-9BD280947C69}"/>
    <cellStyle name="Total 2 7 3 4 3" xfId="5115" xr:uid="{861A3917-ABA1-4C27-A5D2-BCCDD72883BB}"/>
    <cellStyle name="Total 2 7 3 4 3 2" xfId="10968" xr:uid="{2FD35499-8382-4793-A1B6-90796044B310}"/>
    <cellStyle name="Total 2 7 3 4 3 2 2" xfId="20014" xr:uid="{EE62CD61-4AC6-4681-B388-CAD5105CC93A}"/>
    <cellStyle name="Total 2 7 3 4 3 3" xfId="16528" xr:uid="{76269A0F-9628-42F3-90F2-8CEF9AB24C77}"/>
    <cellStyle name="Total 2 7 3 4 3 4" xfId="23191" xr:uid="{9D7ED72D-A60D-42C1-9C81-B12D29966369}"/>
    <cellStyle name="Total 2 7 3 4 4" xfId="5730" xr:uid="{EFE33698-07F6-48D8-9BBC-5CA4607116D7}"/>
    <cellStyle name="Total 2 7 3 4 4 2" xfId="11583" xr:uid="{F5F07B71-20FB-4E21-831C-90278776C865}"/>
    <cellStyle name="Total 2 7 3 4 4 2 2" xfId="20629" xr:uid="{C0FBE3C7-A46C-4FB9-8F76-9C8F3E7A4332}"/>
    <cellStyle name="Total 2 7 3 4 4 3" xfId="17143" xr:uid="{6C4247D0-E4BE-4801-BE3D-E7A24FDE44C4}"/>
    <cellStyle name="Total 2 7 3 4 5" xfId="6341" xr:uid="{084FEA81-0CC8-4C16-912B-799F892C6466}"/>
    <cellStyle name="Total 2 7 3 4 5 2" xfId="12188" xr:uid="{EB0C2BE2-9955-432A-989F-1EF774E5AAF7}"/>
    <cellStyle name="Total 2 7 3 4 5 2 2" xfId="21234" xr:uid="{F70721E2-DDD4-4AF8-BDAA-6DAE843B793F}"/>
    <cellStyle name="Total 2 7 3 4 5 3" xfId="17754" xr:uid="{D5AC1F83-AC18-4B88-80B5-6CB5D0FA00D4}"/>
    <cellStyle name="Total 2 7 3 4 6" xfId="9602" xr:uid="{B254A132-E98C-4DE2-903E-05213B736712}"/>
    <cellStyle name="Total 2 7 3 4 6 2" xfId="18648" xr:uid="{3061E7B9-5C0B-4B23-8150-8E57361C131F}"/>
    <cellStyle name="Total 2 7 3 4 7" xfId="13000" xr:uid="{3CB29155-9182-463C-8FFE-5ACD134E4786}"/>
    <cellStyle name="Total 2 7 3 4 8" xfId="13557" xr:uid="{86221AB4-170B-4881-8773-ACDA861C59BC}"/>
    <cellStyle name="Total 2 7 3 4 9" xfId="14196" xr:uid="{F13AD8FF-5010-4ADE-9074-0D6099760897}"/>
    <cellStyle name="Total 2 7 3 5" xfId="3179" xr:uid="{FF202A9B-4985-4805-91F0-580C8EC8A405}"/>
    <cellStyle name="Total 2 7 3 5 10" xfId="14959" xr:uid="{7AE8DB3B-009C-4306-9B0A-0B3C5DD0D2DF}"/>
    <cellStyle name="Total 2 7 3 5 11" xfId="21827" xr:uid="{8E9BE523-A703-4632-A6BC-00F29CF615E3}"/>
    <cellStyle name="Total 2 7 3 5 2" xfId="4400" xr:uid="{2020FC0C-A359-4BA8-ABDE-C1536AC111A9}"/>
    <cellStyle name="Total 2 7 3 5 2 2" xfId="10257" xr:uid="{2AF9E9F0-405D-47E9-9EEA-D5D10373E632}"/>
    <cellStyle name="Total 2 7 3 5 2 2 2" xfId="19303" xr:uid="{589DB27A-0CC6-430E-B7FA-B4D408B72063}"/>
    <cellStyle name="Total 2 7 3 5 2 3" xfId="15817" xr:uid="{8759EF2E-0502-4584-A5C6-4EF5CA7A6F13}"/>
    <cellStyle name="Total 2 7 3 5 2 4" xfId="22483" xr:uid="{76DD6D24-2748-4D18-BE9F-B686EC4929A1}"/>
    <cellStyle name="Total 2 7 3 5 3" xfId="4901" xr:uid="{D5AAA12D-0962-4806-920E-8D9DF8CF0842}"/>
    <cellStyle name="Total 2 7 3 5 3 2" xfId="10756" xr:uid="{481678B2-5E45-45FC-A3DE-434C6AABC5DD}"/>
    <cellStyle name="Total 2 7 3 5 3 2 2" xfId="19802" xr:uid="{430490F9-4FF0-45EC-9E72-9AB7430D7D8C}"/>
    <cellStyle name="Total 2 7 3 5 3 3" xfId="16316" xr:uid="{8B039AE6-CAF0-41C8-962A-6F2E0E170818}"/>
    <cellStyle name="Total 2 7 3 5 3 4" xfId="22978" xr:uid="{1A6CB145-63C2-442C-9075-5372130C3881}"/>
    <cellStyle name="Total 2 7 3 5 4" xfId="5516" xr:uid="{8B5490C9-0D25-4854-ACB9-15106E85D71E}"/>
    <cellStyle name="Total 2 7 3 5 4 2" xfId="11369" xr:uid="{F8413992-32A8-4669-A739-5688DE9C031B}"/>
    <cellStyle name="Total 2 7 3 5 4 2 2" xfId="20415" xr:uid="{B6DCFD39-56B4-4096-9E52-FDF899CAD027}"/>
    <cellStyle name="Total 2 7 3 5 4 3" xfId="16929" xr:uid="{BEB1E0D8-D75F-40B5-B123-635252860E84}"/>
    <cellStyle name="Total 2 7 3 5 5" xfId="6127" xr:uid="{CE6684BE-5084-43A0-AF77-EDD6FD07113C}"/>
    <cellStyle name="Total 2 7 3 5 5 2" xfId="11976" xr:uid="{86E6B73E-46C5-4786-AB2D-01C20D7BD0A6}"/>
    <cellStyle name="Total 2 7 3 5 5 2 2" xfId="21022" xr:uid="{94DBB812-FDA7-440C-B0FF-86645D7F6CBC}"/>
    <cellStyle name="Total 2 7 3 5 5 3" xfId="17540" xr:uid="{CD02E546-F0E6-460A-9DAC-9D27BDE49F6B}"/>
    <cellStyle name="Total 2 7 3 5 6" xfId="9390" xr:uid="{130110AB-3CAC-4E14-A4B2-E32193CBCCED}"/>
    <cellStyle name="Total 2 7 3 5 6 2" xfId="18436" xr:uid="{47C90625-C72A-4D52-8815-D7BD4CF1934C}"/>
    <cellStyle name="Total 2 7 3 5 7" xfId="12786" xr:uid="{E244B0EA-CD51-4606-A0A4-CED07715DC4F}"/>
    <cellStyle name="Total 2 7 3 5 8" xfId="13346" xr:uid="{E65E1C11-00B3-4D18-86F5-CA6BD92EE56C}"/>
    <cellStyle name="Total 2 7 3 5 9" xfId="13982" xr:uid="{F8B95683-488A-4A8C-B1CF-3926CBF6CA5B}"/>
    <cellStyle name="Total 2 7 3 6" xfId="3780" xr:uid="{344C406A-7049-4D43-9E6A-3DCCBDBF3596}"/>
    <cellStyle name="Total 2 7 3 6 2" xfId="9822" xr:uid="{F9802D76-2B94-45FB-9772-5FAFFD9ACAC9}"/>
    <cellStyle name="Total 2 7 3 6 2 2" xfId="18868" xr:uid="{C51609C9-0F8E-4C93-9BB2-3FF3B502A1CB}"/>
    <cellStyle name="Total 2 7 3 6 3" xfId="15388" xr:uid="{B5EA6810-51E0-4A38-8172-05E3F95D7AC4}"/>
    <cellStyle name="Total 2 7 3 6 4" xfId="22367" xr:uid="{2E71F325-C3B9-49E3-81CA-76B9F163DCD5}"/>
    <cellStyle name="Total 2 7 3 7" xfId="4264" xr:uid="{0506416F-9AD0-4941-86A5-E69C98AFE855}"/>
    <cellStyle name="Total 2 7 3 7 2" xfId="10121" xr:uid="{3ACEF293-B96B-4449-ACF2-BDE4588C6247}"/>
    <cellStyle name="Total 2 7 3 7 2 2" xfId="19167" xr:uid="{093323ED-E0A7-406E-9B04-F9DDBF7BF14B}"/>
    <cellStyle name="Total 2 7 3 7 3" xfId="15681" xr:uid="{894C3D5D-D5C8-48A2-BCC3-E7327CC4134E}"/>
    <cellStyle name="Total 2 7 3 7 4" xfId="22239" xr:uid="{2B1F1E12-393B-4316-9D53-AA3D83367688}"/>
    <cellStyle name="Total 2 7 3 8" xfId="4120" xr:uid="{22BB1854-FAF6-4A21-8455-E6EFCDFCA750}"/>
    <cellStyle name="Total 2 7 3 8 2" xfId="9977" xr:uid="{A91ECAC8-1326-4941-8CDC-90C9CB470F25}"/>
    <cellStyle name="Total 2 7 3 8 2 2" xfId="19023" xr:uid="{69104E26-A3B3-4BED-A86B-17A47E0F142B}"/>
    <cellStyle name="Total 2 7 3 8 3" xfId="15537" xr:uid="{E0651A44-2DCA-46DE-B51B-9A6998D36269}"/>
    <cellStyle name="Total 2 7 3 9" xfId="5301" xr:uid="{6ACB9A17-4D3E-4B94-A5B2-000618032FDF}"/>
    <cellStyle name="Total 2 7 3 9 2" xfId="11154" xr:uid="{555A0AB6-5066-451A-A1AD-57275D366CF2}"/>
    <cellStyle name="Total 2 7 3 9 2 2" xfId="20200" xr:uid="{416C6E68-0933-4971-8F2F-D34B14AECCB4}"/>
    <cellStyle name="Total 2 7 3 9 3" xfId="16714" xr:uid="{E98AABB4-5707-4971-A36E-CEF4B9E60D61}"/>
    <cellStyle name="Total 2 7 4" xfId="2482" xr:uid="{B3D57CFD-2502-4E7E-8DAF-50A04B18A6D6}"/>
    <cellStyle name="Total 2 7 4 10" xfId="13264" xr:uid="{036167AF-A675-484B-ACD8-C3B72856F52B}"/>
    <cellStyle name="Total 2 7 4 11" xfId="13898" xr:uid="{13D8F8A3-263A-447E-8197-99630A08BE76}"/>
    <cellStyle name="Total 2 7 4 12" xfId="14875" xr:uid="{24FF27FD-939A-4035-B530-58D8A07D1DB9}"/>
    <cellStyle name="Total 2 7 4 13" xfId="21743" xr:uid="{468BF9A8-1D3F-4C02-B4FA-2B2B7D2E9EAA}"/>
    <cellStyle name="Total 2 7 4 2" xfId="2877" xr:uid="{C4C3086A-10A0-4BDD-8ED2-263B79443A77}"/>
    <cellStyle name="Total 2 7 4 2 10" xfId="15301" xr:uid="{16456C87-7379-4162-9ED9-06B16A83EBFD}"/>
    <cellStyle name="Total 2 7 4 2 11" xfId="22169" xr:uid="{1DC62115-077B-4CBF-889A-7B09EE82764A}"/>
    <cellStyle name="Total 2 7 4 2 12" xfId="3510" xr:uid="{9120F97C-3608-42F3-B28D-A5D39B6C7D94}"/>
    <cellStyle name="Total 2 7 4 2 2" xfId="4744" xr:uid="{8D1A7D85-9D81-4515-914F-167BC2CC6481}"/>
    <cellStyle name="Total 2 7 4 2 2 2" xfId="10601" xr:uid="{D4AB53B4-04DF-45D3-9168-F37336105592}"/>
    <cellStyle name="Total 2 7 4 2 2 2 2" xfId="19647" xr:uid="{87057421-CFC1-4924-B2AD-E588343565C5}"/>
    <cellStyle name="Total 2 7 4 2 2 3" xfId="16161" xr:uid="{744AEAD7-AF10-4CDE-9D56-CFDD2EF61037}"/>
    <cellStyle name="Total 2 7 4 2 2 4" xfId="22825" xr:uid="{F11BCFEA-F387-40B7-BC72-E3CAA207F3CD}"/>
    <cellStyle name="Total 2 7 4 2 3" xfId="5245" xr:uid="{B988F12A-C53A-4B88-9E19-410F99E9F1BB}"/>
    <cellStyle name="Total 2 7 4 2 3 2" xfId="11098" xr:uid="{DB15D4AC-1846-422A-8B91-1A8B308C11BD}"/>
    <cellStyle name="Total 2 7 4 2 3 2 2" xfId="20144" xr:uid="{0FDA8F78-C676-445C-AD75-3D0567308771}"/>
    <cellStyle name="Total 2 7 4 2 3 3" xfId="16658" xr:uid="{CBCE3A23-8F98-4F78-A342-C05AADFE5EDE}"/>
    <cellStyle name="Total 2 7 4 2 3 4" xfId="23320" xr:uid="{6A9DA8E0-0B42-4F10-815E-D55DA5709720}"/>
    <cellStyle name="Total 2 7 4 2 4" xfId="5860" xr:uid="{3E6A862E-D93C-487F-9A5F-B89C1310AD16}"/>
    <cellStyle name="Total 2 7 4 2 4 2" xfId="11713" xr:uid="{E67B76DF-0BB0-4A3B-94CC-A43DA66482A9}"/>
    <cellStyle name="Total 2 7 4 2 4 2 2" xfId="20759" xr:uid="{0014A1CA-E919-4A74-9401-AC8F335CF49C}"/>
    <cellStyle name="Total 2 7 4 2 4 3" xfId="17273" xr:uid="{3D9DF71F-A3AB-4517-B27C-2E3BAC4D0541}"/>
    <cellStyle name="Total 2 7 4 2 5" xfId="6471" xr:uid="{150D531F-56E5-4B04-A3FF-E36F70713CD8}"/>
    <cellStyle name="Total 2 7 4 2 5 2" xfId="12318" xr:uid="{2856FE8A-25A5-483A-8117-D3A02D6B010A}"/>
    <cellStyle name="Total 2 7 4 2 5 2 2" xfId="21364" xr:uid="{1D627583-E8C1-4253-B68D-C213D18B806D}"/>
    <cellStyle name="Total 2 7 4 2 5 3" xfId="17884" xr:uid="{A76B59A7-B540-4AED-AD4D-57284CD15E2E}"/>
    <cellStyle name="Total 2 7 4 2 6" xfId="9732" xr:uid="{FE11CCCE-8B0A-4E49-B2A3-BD638C7D7916}"/>
    <cellStyle name="Total 2 7 4 2 6 2" xfId="18778" xr:uid="{33BF5FBA-5BF6-44AC-8969-B95F3ECB9BD5}"/>
    <cellStyle name="Total 2 7 4 2 7" xfId="13130" xr:uid="{746532C0-DAD6-470E-9136-6BC99B6444B9}"/>
    <cellStyle name="Total 2 7 4 2 8" xfId="13686" xr:uid="{4F74484B-F5A3-4946-A33F-3FC737B62257}"/>
    <cellStyle name="Total 2 7 4 2 9" xfId="14326" xr:uid="{6D6A50FC-7C1B-4420-AF63-F71B95FB6331}"/>
    <cellStyle name="Total 2 7 4 3" xfId="3308" xr:uid="{33B20AFB-6059-432A-99C6-327313EFC3A0}"/>
    <cellStyle name="Total 2 7 4 3 10" xfId="15088" xr:uid="{774022B9-CACE-4283-BA02-04769664F625}"/>
    <cellStyle name="Total 2 7 4 3 11" xfId="21958" xr:uid="{4E6C7EC2-A555-4993-BBAC-3DB5E7896A88}"/>
    <cellStyle name="Total 2 7 4 3 2" xfId="4531" xr:uid="{BFE11EED-B6FC-4E1A-9468-FF18F5C03DF1}"/>
    <cellStyle name="Total 2 7 4 3 2 2" xfId="10388" xr:uid="{1797A63A-5AFA-4390-A4CA-EDA4456EA160}"/>
    <cellStyle name="Total 2 7 4 3 2 2 2" xfId="19434" xr:uid="{6E3AEB32-7C8F-477A-B677-7970A7662115}"/>
    <cellStyle name="Total 2 7 4 3 2 3" xfId="15948" xr:uid="{6F5FF854-01E0-4F75-97C0-8AE47D706BF7}"/>
    <cellStyle name="Total 2 7 4 3 2 4" xfId="22614" xr:uid="{43D80AF4-CD81-429F-B44B-9FD96A22D606}"/>
    <cellStyle name="Total 2 7 4 3 3" xfId="5032" xr:uid="{67C0333C-F615-4208-AD87-0F5C824962F4}"/>
    <cellStyle name="Total 2 7 4 3 3 2" xfId="10885" xr:uid="{B4EF179E-082D-45DD-8C77-BD7AA19018DC}"/>
    <cellStyle name="Total 2 7 4 3 3 2 2" xfId="19931" xr:uid="{7D244EF7-1521-4D22-9D6B-359842DD5FA8}"/>
    <cellStyle name="Total 2 7 4 3 3 3" xfId="16445" xr:uid="{0CE9149B-B9FF-49F0-8231-DC1C5D73DB23}"/>
    <cellStyle name="Total 2 7 4 3 3 4" xfId="23109" xr:uid="{D1910123-433B-4117-B2BB-8C239F4E4C0B}"/>
    <cellStyle name="Total 2 7 4 3 4" xfId="5647" xr:uid="{27109402-F615-4A6A-8967-75212549BDC5}"/>
    <cellStyle name="Total 2 7 4 3 4 2" xfId="11500" xr:uid="{69022302-1541-4FE5-A11A-88B2EC6B5008}"/>
    <cellStyle name="Total 2 7 4 3 4 2 2" xfId="20546" xr:uid="{D99AD7B2-5B9D-4F86-B3AF-EAB44C455201}"/>
    <cellStyle name="Total 2 7 4 3 4 3" xfId="17060" xr:uid="{5C59D239-CAD1-46EF-964D-E191C2B551CC}"/>
    <cellStyle name="Total 2 7 4 3 5" xfId="6258" xr:uid="{3E11AF8F-E844-48F2-B5E5-5D93853BF6D1}"/>
    <cellStyle name="Total 2 7 4 3 5 2" xfId="12105" xr:uid="{77B47D69-E8E6-4525-9340-64A542D9D14B}"/>
    <cellStyle name="Total 2 7 4 3 5 2 2" xfId="21151" xr:uid="{19A2F512-D495-42F1-A452-CFD410CE7690}"/>
    <cellStyle name="Total 2 7 4 3 5 3" xfId="17671" xr:uid="{C5B088BF-7EFC-4509-9B3B-E1E67058EC4C}"/>
    <cellStyle name="Total 2 7 4 3 6" xfId="9519" xr:uid="{40469F68-05E4-42D5-BF44-CE49BBE24435}"/>
    <cellStyle name="Total 2 7 4 3 6 2" xfId="18565" xr:uid="{EBE5C941-5FF3-4C5C-A580-3C2BE6667418}"/>
    <cellStyle name="Total 2 7 4 3 7" xfId="12917" xr:uid="{BC4EAE74-FBE3-448B-97C4-575107093095}"/>
    <cellStyle name="Total 2 7 4 3 8" xfId="13475" xr:uid="{780DE474-B31D-4F97-AC6A-CAC5909432E7}"/>
    <cellStyle name="Total 2 7 4 3 9" xfId="14113" xr:uid="{EFE1AF89-967E-4759-B947-6A05930A3A75}"/>
    <cellStyle name="Total 2 7 4 4" xfId="4001" xr:uid="{E6371EDB-86AE-4C61-92BD-D6A4322A6FCA}"/>
    <cellStyle name="Total 2 7 4 4 2" xfId="9863" xr:uid="{4FE4E52D-CD7C-4A86-92E3-044F2E70AAD8}"/>
    <cellStyle name="Total 2 7 4 4 2 2" xfId="18909" xr:uid="{7B05007A-7768-4663-BDF9-F976E36E1295}"/>
    <cellStyle name="Total 2 7 4 4 3" xfId="15425" xr:uid="{2C1D6A68-E7DB-4515-B6F4-053740956C1E}"/>
    <cellStyle name="Total 2 7 4 4 4" xfId="22894" xr:uid="{30E5A4F4-0A48-4CFF-B8BA-246A0534019C}"/>
    <cellStyle name="Total 2 7 4 5" xfId="4817" xr:uid="{7D91B1F1-4F80-4728-BEEE-FD443F4215E8}"/>
    <cellStyle name="Total 2 7 4 5 2" xfId="10674" xr:uid="{FA773B5B-368F-4D2E-A63A-0DC1016717F8}"/>
    <cellStyle name="Total 2 7 4 5 2 2" xfId="19720" xr:uid="{20CCB39B-7332-4008-8634-E21AEC070CFB}"/>
    <cellStyle name="Total 2 7 4 5 3" xfId="16234" xr:uid="{3EE0DBB8-89AB-4E53-8109-D7D07623F4BA}"/>
    <cellStyle name="Total 2 7 4 6" xfId="5432" xr:uid="{AF2ADE0F-6591-47F4-A8D8-6287BC9AF6BA}"/>
    <cellStyle name="Total 2 7 4 6 2" xfId="11285" xr:uid="{1676CD26-C240-46E0-8BAD-085F08A96521}"/>
    <cellStyle name="Total 2 7 4 6 2 2" xfId="20331" xr:uid="{14BB1B51-4F4A-468A-A7A8-4E2AEFCEB0BB}"/>
    <cellStyle name="Total 2 7 4 6 3" xfId="16845" xr:uid="{B7FC409F-E09B-4F1B-A198-2CC51C3B9B31}"/>
    <cellStyle name="Total 2 7 4 7" xfId="6043" xr:uid="{696B6D29-8D24-41F2-8E51-2876A570FA92}"/>
    <cellStyle name="Total 2 7 4 7 2" xfId="11894" xr:uid="{35267EFE-8DC3-453D-AB43-98AA83FBA5D6}"/>
    <cellStyle name="Total 2 7 4 7 2 2" xfId="20940" xr:uid="{C53557AE-25FF-4384-BCA7-C5C0C70881C9}"/>
    <cellStyle name="Total 2 7 4 7 3" xfId="17456" xr:uid="{13506ED8-4979-47F2-894F-D1EFD94EF8EC}"/>
    <cellStyle name="Total 2 7 4 8" xfId="9306" xr:uid="{3DA97CFB-34E6-43D0-A7E5-3184B5A06FE3}"/>
    <cellStyle name="Total 2 7 4 8 2" xfId="18352" xr:uid="{85703D9F-7C5B-4374-9B36-00A4075E98E6}"/>
    <cellStyle name="Total 2 7 4 9" xfId="12702" xr:uid="{9BDFE340-6714-46A7-B3F4-561AEB395514}"/>
    <cellStyle name="Total 2 7 5" xfId="2595" xr:uid="{BF0C8C3D-A4BE-4C88-BFA6-DAAF303ABD9A}"/>
    <cellStyle name="Total 2 7 5 10" xfId="13899" xr:uid="{4153F96C-74E1-4C58-9781-A815937371C5}"/>
    <cellStyle name="Total 2 7 5 11" xfId="14876" xr:uid="{DE9ADF4E-E912-444F-B9CA-299B2E63CFD6}"/>
    <cellStyle name="Total 2 7 5 12" xfId="21744" xr:uid="{67724445-3E80-478C-9367-D52A9F8233FC}"/>
    <cellStyle name="Total 2 7 5 13" xfId="3096" xr:uid="{1CF663E2-AF46-4C12-AD69-B49C57541C55}"/>
    <cellStyle name="Total 2 7 5 2" xfId="3511" xr:uid="{05E47294-0933-4135-8F74-6EB3D844327E}"/>
    <cellStyle name="Total 2 7 5 2 10" xfId="15302" xr:uid="{CE9AD00F-62F5-42D8-800B-662F447492D7}"/>
    <cellStyle name="Total 2 7 5 2 11" xfId="22170" xr:uid="{BD3C155E-6BF2-459A-AA97-A4A50C3811FF}"/>
    <cellStyle name="Total 2 7 5 2 2" xfId="4745" xr:uid="{C197F3C5-5996-4C51-8E03-25E1B2BC2CEC}"/>
    <cellStyle name="Total 2 7 5 2 2 2" xfId="10602" xr:uid="{500EFF52-852C-47CE-999C-8BD1498A68B0}"/>
    <cellStyle name="Total 2 7 5 2 2 2 2" xfId="19648" xr:uid="{DFFBDB5A-0685-483F-94F5-82066D91942D}"/>
    <cellStyle name="Total 2 7 5 2 2 3" xfId="16162" xr:uid="{96128FFE-F54A-4443-A383-6716228673B7}"/>
    <cellStyle name="Total 2 7 5 2 2 4" xfId="22826" xr:uid="{4E53C985-B4D8-4987-BAC1-DABD7F6F6437}"/>
    <cellStyle name="Total 2 7 5 2 3" xfId="5246" xr:uid="{3CCA3ED4-A9E9-4402-B07D-0C2E026AC5D0}"/>
    <cellStyle name="Total 2 7 5 2 3 2" xfId="11099" xr:uid="{FF431511-38BC-49F2-8E61-3DE03B8B0EAF}"/>
    <cellStyle name="Total 2 7 5 2 3 2 2" xfId="20145" xr:uid="{9B098BBB-2075-4A9F-9824-629F9097B964}"/>
    <cellStyle name="Total 2 7 5 2 3 3" xfId="16659" xr:uid="{A752DB72-7237-4659-A210-CCDF0D4F7E3B}"/>
    <cellStyle name="Total 2 7 5 2 3 4" xfId="23321" xr:uid="{421EB4EA-FF93-4A3F-A90D-73C477147966}"/>
    <cellStyle name="Total 2 7 5 2 4" xfId="5861" xr:uid="{5B678F4F-DB66-4FC2-ADAC-79C1F39B7E59}"/>
    <cellStyle name="Total 2 7 5 2 4 2" xfId="11714" xr:uid="{BC4D5A74-8550-4F60-9E18-6BBFC6794183}"/>
    <cellStyle name="Total 2 7 5 2 4 2 2" xfId="20760" xr:uid="{C1052F3C-77A0-4968-AB2B-21B4843FEF18}"/>
    <cellStyle name="Total 2 7 5 2 4 3" xfId="17274" xr:uid="{8E0D5500-B43E-4085-AF2F-B23F735FA4CB}"/>
    <cellStyle name="Total 2 7 5 2 5" xfId="6472" xr:uid="{A288D382-DA25-4217-A66E-7FE118602E24}"/>
    <cellStyle name="Total 2 7 5 2 5 2" xfId="12319" xr:uid="{886737D5-2A09-4765-B799-CB10AD3279F3}"/>
    <cellStyle name="Total 2 7 5 2 5 2 2" xfId="21365" xr:uid="{502459AD-4C65-41AC-9A9E-75D03704CB51}"/>
    <cellStyle name="Total 2 7 5 2 5 3" xfId="17885" xr:uid="{4C34C61D-438F-4D6B-9C1F-3A7E92AF15FC}"/>
    <cellStyle name="Total 2 7 5 2 6" xfId="9733" xr:uid="{5F895AD8-08D7-4F3C-86E8-EC60044D47CB}"/>
    <cellStyle name="Total 2 7 5 2 6 2" xfId="18779" xr:uid="{2E408803-587E-472E-8B26-89A747731D83}"/>
    <cellStyle name="Total 2 7 5 2 7" xfId="13131" xr:uid="{BA46AA16-B631-4777-AB3A-5FF057DA2722}"/>
    <cellStyle name="Total 2 7 5 2 8" xfId="13687" xr:uid="{7DEF15B2-C5F3-4406-AC4B-88192499729B}"/>
    <cellStyle name="Total 2 7 5 2 9" xfId="14327" xr:uid="{5C00671A-ED53-4157-B26E-84BABE49A0F6}"/>
    <cellStyle name="Total 2 7 5 3" xfId="3309" xr:uid="{9AEFF78F-4523-404A-B3A7-6414B5F9EADF}"/>
    <cellStyle name="Total 2 7 5 3 10" xfId="15089" xr:uid="{9B694805-68E6-4282-9C1E-AC5CDC26FCF1}"/>
    <cellStyle name="Total 2 7 5 3 11" xfId="21959" xr:uid="{0E12B3F9-07CE-4D69-9DE0-00D38C0DC98F}"/>
    <cellStyle name="Total 2 7 5 3 2" xfId="4532" xr:uid="{4EB97D63-01EB-4A1F-98F3-2220B7B84E51}"/>
    <cellStyle name="Total 2 7 5 3 2 2" xfId="10389" xr:uid="{298B8A6E-44C5-414C-85B6-562AC11FA292}"/>
    <cellStyle name="Total 2 7 5 3 2 2 2" xfId="19435" xr:uid="{8A18B879-0AA9-4958-8777-CF288D861F0C}"/>
    <cellStyle name="Total 2 7 5 3 2 3" xfId="15949" xr:uid="{97EF6EF6-878B-48FF-AA3C-BF61A088309E}"/>
    <cellStyle name="Total 2 7 5 3 2 4" xfId="22615" xr:uid="{E107254D-3330-4C9A-A29B-FBF751DDE658}"/>
    <cellStyle name="Total 2 7 5 3 3" xfId="5033" xr:uid="{330C7274-6C4D-4D59-8BC2-98CAC339AA48}"/>
    <cellStyle name="Total 2 7 5 3 3 2" xfId="10886" xr:uid="{DAA0334F-CE2F-4F23-820D-C8B7A4EF474E}"/>
    <cellStyle name="Total 2 7 5 3 3 2 2" xfId="19932" xr:uid="{1DA80B46-4E02-4EFF-882C-57AB9C68AA9F}"/>
    <cellStyle name="Total 2 7 5 3 3 3" xfId="16446" xr:uid="{CD54750A-BB49-4844-852F-EBED2056C94E}"/>
    <cellStyle name="Total 2 7 5 3 3 4" xfId="23110" xr:uid="{B3C69F0F-9BD6-4B23-BA4B-AD30A0445794}"/>
    <cellStyle name="Total 2 7 5 3 4" xfId="5648" xr:uid="{409A7D79-3753-4F4D-8B1D-A49C233D5748}"/>
    <cellStyle name="Total 2 7 5 3 4 2" xfId="11501" xr:uid="{B49230D1-F866-44F1-B0A0-D5862808F67E}"/>
    <cellStyle name="Total 2 7 5 3 4 2 2" xfId="20547" xr:uid="{DF913536-B493-4BF8-BBDF-072A4652730B}"/>
    <cellStyle name="Total 2 7 5 3 4 3" xfId="17061" xr:uid="{92CA6E86-472A-428F-A581-95C19593C2A9}"/>
    <cellStyle name="Total 2 7 5 3 5" xfId="6259" xr:uid="{9D76FC1B-6ADA-4234-9937-054D42367263}"/>
    <cellStyle name="Total 2 7 5 3 5 2" xfId="12106" xr:uid="{8E84D648-FD43-4EC5-96B5-4FBB3AD49917}"/>
    <cellStyle name="Total 2 7 5 3 5 2 2" xfId="21152" xr:uid="{BA7F2D1D-EFC8-4575-BEE1-27CD681B1CEE}"/>
    <cellStyle name="Total 2 7 5 3 5 3" xfId="17672" xr:uid="{717D4295-2F0C-4008-BDFE-A67E6E82FB6C}"/>
    <cellStyle name="Total 2 7 5 3 6" xfId="9520" xr:uid="{41F076DA-5AE1-4F65-8667-0096BF416921}"/>
    <cellStyle name="Total 2 7 5 3 6 2" xfId="18566" xr:uid="{A6B0F6DA-3354-483C-8B46-FF243FA9505E}"/>
    <cellStyle name="Total 2 7 5 3 7" xfId="12918" xr:uid="{DD2AA4B4-EA6A-4DC1-85C6-8345A37FC617}"/>
    <cellStyle name="Total 2 7 5 3 8" xfId="13476" xr:uid="{26C1FD79-5239-4A51-95E0-8D2129F0541C}"/>
    <cellStyle name="Total 2 7 5 3 9" xfId="14114" xr:uid="{B272E8D7-4089-4213-881A-37C8C153D8D0}"/>
    <cellStyle name="Total 2 7 5 4" xfId="4818" xr:uid="{9522254E-DBFD-48D3-A90D-CE7F3F189FB1}"/>
    <cellStyle name="Total 2 7 5 4 2" xfId="10675" xr:uid="{B54BF389-6C91-4D86-94FB-3E0DFC74AFAA}"/>
    <cellStyle name="Total 2 7 5 4 2 2" xfId="19721" xr:uid="{A85271CA-F1E7-41FB-ACDC-54F2824F8B07}"/>
    <cellStyle name="Total 2 7 5 4 3" xfId="16235" xr:uid="{9EC7D968-671A-4E49-9F5D-5AEBFC29B773}"/>
    <cellStyle name="Total 2 7 5 4 4" xfId="22895" xr:uid="{2428276D-F31C-46C0-B5F2-A7F47ED5721A}"/>
    <cellStyle name="Total 2 7 5 5" xfId="5433" xr:uid="{22FF0F98-A11A-4FA7-9BA3-0D4749553D77}"/>
    <cellStyle name="Total 2 7 5 5 2" xfId="11286" xr:uid="{49CD2C16-5D65-408E-92F3-223820808E79}"/>
    <cellStyle name="Total 2 7 5 5 2 2" xfId="20332" xr:uid="{9C390490-3FE7-41A9-A3C9-A99CD78416BC}"/>
    <cellStyle name="Total 2 7 5 5 3" xfId="16846" xr:uid="{7A073491-6CE1-40F2-9E3C-0722B554FC29}"/>
    <cellStyle name="Total 2 7 5 6" xfId="6044" xr:uid="{9D1C3C94-FDCE-48FF-B155-A9663DD6CAF8}"/>
    <cellStyle name="Total 2 7 5 6 2" xfId="11895" xr:uid="{4423C8A9-CC83-4071-8A4A-B634ECFC0DF1}"/>
    <cellStyle name="Total 2 7 5 6 2 2" xfId="20941" xr:uid="{B3C30584-C5CA-4AC4-B66E-31E892D67966}"/>
    <cellStyle name="Total 2 7 5 6 3" xfId="17457" xr:uid="{808B6489-8619-4464-ABAE-5636B3EFFFF7}"/>
    <cellStyle name="Total 2 7 5 7" xfId="9307" xr:uid="{9C919D62-904F-4D4E-B90E-3F7C6DAC1BA4}"/>
    <cellStyle name="Total 2 7 5 7 2" xfId="18353" xr:uid="{CEF406DC-44E4-40D0-ACEA-CCBEE7BD40D5}"/>
    <cellStyle name="Total 2 7 5 8" xfId="12703" xr:uid="{AE9E4F8C-F0C0-4F91-9FC1-3A97B21E1878}"/>
    <cellStyle name="Total 2 7 5 9" xfId="13265" xr:uid="{65376D70-E823-47AB-A408-6642AD3D398A}"/>
    <cellStyle name="Total 2 7 6" xfId="3344" xr:uid="{3A7FB1FF-85B0-4005-AF58-5B59B000844F}"/>
    <cellStyle name="Total 2 7 6 10" xfId="15124" xr:uid="{4DD370F4-1D69-4399-871B-E14D03245E34}"/>
    <cellStyle name="Total 2 7 6 11" xfId="21993" xr:uid="{1AB4C3AD-6E69-48E0-95EB-4AE34552BF91}"/>
    <cellStyle name="Total 2 7 6 2" xfId="4567" xr:uid="{998A4266-C5B3-4259-8DE1-5B306112E76E}"/>
    <cellStyle name="Total 2 7 6 2 2" xfId="10424" xr:uid="{070DED53-988D-4E9E-981D-DE37C864B76D}"/>
    <cellStyle name="Total 2 7 6 2 2 2" xfId="19470" xr:uid="{635299FE-4640-474E-A9C4-CD2A918E8084}"/>
    <cellStyle name="Total 2 7 6 2 3" xfId="15984" xr:uid="{12F5F69D-216C-4082-ADBA-32BA37039F74}"/>
    <cellStyle name="Total 2 7 6 2 4" xfId="22649" xr:uid="{174A8CB5-7BCB-42B4-8F37-6A0D4BB4527F}"/>
    <cellStyle name="Total 2 7 6 3" xfId="5068" xr:uid="{3CBAC2AC-9793-4547-B235-B16475CC62D5}"/>
    <cellStyle name="Total 2 7 6 3 2" xfId="10921" xr:uid="{458B3418-7064-4DC4-947A-8983620E658B}"/>
    <cellStyle name="Total 2 7 6 3 2 2" xfId="19967" xr:uid="{AD362165-DAE5-4104-8E46-ED8EF029507F}"/>
    <cellStyle name="Total 2 7 6 3 3" xfId="16481" xr:uid="{6EE5AE8E-CECC-4A12-95E4-F395D6844A6C}"/>
    <cellStyle name="Total 2 7 6 3 4" xfId="23144" xr:uid="{9DE165AE-DA81-4208-83D9-9905B7A54EF4}"/>
    <cellStyle name="Total 2 7 6 4" xfId="5683" xr:uid="{EE9C6B03-E78A-4EAE-85B1-2486FCE6571A}"/>
    <cellStyle name="Total 2 7 6 4 2" xfId="11536" xr:uid="{377CBDAA-0B52-40A6-9BE6-5FEDB3B75656}"/>
    <cellStyle name="Total 2 7 6 4 2 2" xfId="20582" xr:uid="{7EEDD5F0-13AA-45EB-82DE-628CCB63505E}"/>
    <cellStyle name="Total 2 7 6 4 3" xfId="17096" xr:uid="{869A9402-9CD4-4F99-88E6-DD9DD68AED35}"/>
    <cellStyle name="Total 2 7 6 5" xfId="6294" xr:uid="{4BB27C5E-37F1-4A0A-AEEE-01A955D62775}"/>
    <cellStyle name="Total 2 7 6 5 2" xfId="12141" xr:uid="{AE3F7D31-056B-449D-A707-CAD25055F1A9}"/>
    <cellStyle name="Total 2 7 6 5 2 2" xfId="21187" xr:uid="{463282BF-9FD4-4B3D-85FB-690F2C6358FB}"/>
    <cellStyle name="Total 2 7 6 5 3" xfId="17707" xr:uid="{2F791CB6-C2B3-4AE2-AE65-4E61EE54AD49}"/>
    <cellStyle name="Total 2 7 6 6" xfId="9555" xr:uid="{2BDF166B-5732-48A1-918D-94002A61E3F3}"/>
    <cellStyle name="Total 2 7 6 6 2" xfId="18601" xr:uid="{2B6AD8D9-C956-4897-9420-5707FC69E8CF}"/>
    <cellStyle name="Total 2 7 6 7" xfId="12953" xr:uid="{E20F12C0-3C27-4532-9BA5-18643C6E2C59}"/>
    <cellStyle name="Total 2 7 6 8" xfId="13510" xr:uid="{37C79332-8ADF-410D-835E-F35BAF81EEAE}"/>
    <cellStyle name="Total 2 7 6 9" xfId="14149" xr:uid="{530B55AF-60CF-4A8E-B480-EAA48C83F4E4}"/>
    <cellStyle name="Total 2 7 7" xfId="3132" xr:uid="{0FCA9DE1-9BFE-469B-A103-47EA05D11BFE}"/>
    <cellStyle name="Total 2 7 7 10" xfId="14912" xr:uid="{61D770C1-E96B-4461-AFC7-D10BA35B8E21}"/>
    <cellStyle name="Total 2 7 7 11" xfId="21780" xr:uid="{C11AF5FF-0A1A-4CE2-BC59-3CA96A13240F}"/>
    <cellStyle name="Total 2 7 7 2" xfId="4353" xr:uid="{078D91D4-A6B3-4760-A78B-0A179F8BEFCF}"/>
    <cellStyle name="Total 2 7 7 2 2" xfId="10210" xr:uid="{B48987EC-6FB6-4214-8118-CE438A32F3B8}"/>
    <cellStyle name="Total 2 7 7 2 2 2" xfId="19256" xr:uid="{9023C574-5E34-45AA-B23A-3B461739EE4A}"/>
    <cellStyle name="Total 2 7 7 2 3" xfId="15770" xr:uid="{4D6DE5C9-9A43-4687-A2C3-D6A79599FBE5}"/>
    <cellStyle name="Total 2 7 7 2 4" xfId="22436" xr:uid="{0EA60580-CFAE-4BE2-81FF-8A13883AC81B}"/>
    <cellStyle name="Total 2 7 7 3" xfId="4854" xr:uid="{34BEA227-D4E5-4D3E-B282-208B2F38AB34}"/>
    <cellStyle name="Total 2 7 7 3 2" xfId="10709" xr:uid="{8A651E3E-86EE-40A7-A5A0-3E9E91718AA1}"/>
    <cellStyle name="Total 2 7 7 3 2 2" xfId="19755" xr:uid="{B65A297E-7B00-4EF0-BF7A-79E85996C285}"/>
    <cellStyle name="Total 2 7 7 3 3" xfId="16269" xr:uid="{383C3B73-94B7-4271-B478-B06DB5BCBD0D}"/>
    <cellStyle name="Total 2 7 7 3 4" xfId="22931" xr:uid="{5933F8B2-01F4-4E2F-8E81-17D98C0D6ECE}"/>
    <cellStyle name="Total 2 7 7 4" xfId="5469" xr:uid="{FCFFE2F1-C5BD-478E-B607-5014F7218A16}"/>
    <cellStyle name="Total 2 7 7 4 2" xfId="11322" xr:uid="{2A8E5BCA-F014-43DA-AC29-6A29131C6AB5}"/>
    <cellStyle name="Total 2 7 7 4 2 2" xfId="20368" xr:uid="{4ABEAAA7-8DA4-411F-909C-AFB3105027F5}"/>
    <cellStyle name="Total 2 7 7 4 3" xfId="16882" xr:uid="{B81A5207-EEED-4C76-B8E3-57A2FF5EC337}"/>
    <cellStyle name="Total 2 7 7 5" xfId="6080" xr:uid="{1054A3F1-A1DD-4E89-8EF3-D7FF3F3867F1}"/>
    <cellStyle name="Total 2 7 7 5 2" xfId="11929" xr:uid="{74C8DBB5-88FB-4739-8FFB-CCAF2FD26449}"/>
    <cellStyle name="Total 2 7 7 5 2 2" xfId="20975" xr:uid="{E94C1572-CEF2-44E0-A870-7EA101A7F57E}"/>
    <cellStyle name="Total 2 7 7 5 3" xfId="17493" xr:uid="{81C6CCA7-7E39-4B6B-BA2C-C86BD8F8BA14}"/>
    <cellStyle name="Total 2 7 7 6" xfId="9343" xr:uid="{29712439-6A84-410C-BDD6-6A1972D54185}"/>
    <cellStyle name="Total 2 7 7 6 2" xfId="18389" xr:uid="{333D7CC7-2848-473D-BAF8-C1C5508FB702}"/>
    <cellStyle name="Total 2 7 7 7" xfId="12739" xr:uid="{6CE25E59-81C8-4BF8-9E4D-35E908B10185}"/>
    <cellStyle name="Total 2 7 7 8" xfId="13299" xr:uid="{79CA5A35-C86D-4089-866F-8A00C769A17A}"/>
    <cellStyle name="Total 2 7 7 9" xfId="13935" xr:uid="{612B6D15-3EDD-42F6-B82B-DD371A5916E8}"/>
    <cellStyle name="Total 2 7 8" xfId="3733" xr:uid="{3C33C2BB-7BBB-4432-91E1-690C2356675B}"/>
    <cellStyle name="Total 2 7 8 2" xfId="9775" xr:uid="{F6B62231-7E18-4F6D-8568-2DA6BC0D91E9}"/>
    <cellStyle name="Total 2 7 8 2 2" xfId="18821" xr:uid="{E37C064B-8291-4B07-9D5A-8365ADE55EAB}"/>
    <cellStyle name="Total 2 7 8 3" xfId="15341" xr:uid="{0C132C76-DAB8-4A55-9B0F-BDCBA6A377D2}"/>
    <cellStyle name="Total 2 7 8 4" xfId="22319" xr:uid="{F628C3BD-383E-4878-A3CE-72E2669F7F33}"/>
    <cellStyle name="Total 2 7 9" xfId="4216" xr:uid="{62A4521F-E686-410D-937E-D85FACDCB24A}"/>
    <cellStyle name="Total 2 7 9 2" xfId="10073" xr:uid="{48A0BDF6-9BA2-4013-AE83-A79598AF3956}"/>
    <cellStyle name="Total 2 7 9 2 2" xfId="19119" xr:uid="{60B0D2E8-92D7-4BD4-B385-0B318D37302A}"/>
    <cellStyle name="Total 2 7 9 3" xfId="15633" xr:uid="{6AEF2B27-A4A8-4DE1-8F84-0713A138D6C0}"/>
    <cellStyle name="Total 2 7 9 4" xfId="22374" xr:uid="{55CE33E2-B9DA-48A4-87C0-E855D6129405}"/>
    <cellStyle name="Total 2 8" xfId="2483" xr:uid="{CFB0D6E6-F3EC-41F7-9E6D-A7869EA34E17}"/>
    <cellStyle name="Total 2 8 10" xfId="5913" xr:uid="{712680C3-F75C-46E3-8299-3A4679078034}"/>
    <cellStyle name="Total 2 8 10 2" xfId="11766" xr:uid="{D0EE0E74-2721-4841-8E9D-AD5443446EEE}"/>
    <cellStyle name="Total 2 8 10 2 2" xfId="20812" xr:uid="{BD43B6E7-A182-4A54-BFC5-9562C3319C49}"/>
    <cellStyle name="Total 2 8 10 3" xfId="17326" xr:uid="{04C52D0D-276F-4418-B30F-95EF24A8A103}"/>
    <cellStyle name="Total 2 8 11" xfId="9176" xr:uid="{34BF838A-5354-4E16-B18F-9CBD6331C4CF}"/>
    <cellStyle name="Total 2 8 11 2" xfId="18222" xr:uid="{B4567893-904F-4CFF-89AD-1342B793D9EF}"/>
    <cellStyle name="Total 2 8 12" xfId="12574" xr:uid="{242C4FBD-6AD8-4683-8395-DC629CBC5564}"/>
    <cellStyle name="Total 2 8 13" xfId="13768" xr:uid="{E77B0D65-FB8D-4646-BA2E-2288AAE42C4D}"/>
    <cellStyle name="Total 2 8 14" xfId="14745" xr:uid="{A99F7AA0-450D-480A-A7C3-CF944FAB6BFE}"/>
    <cellStyle name="Total 2 8 15" xfId="21615" xr:uid="{780B6523-7FE9-4F7A-8A0F-36B27AF06170}"/>
    <cellStyle name="Total 2 8 16" xfId="23809" xr:uid="{04D36EFE-E4B6-4564-89E6-5F679EECF685}"/>
    <cellStyle name="Total 2 8 2" xfId="2484" xr:uid="{A2B0DF9A-AA27-4D33-9216-7833B7F31955}"/>
    <cellStyle name="Total 2 8 2 10" xfId="13266" xr:uid="{35DF7281-9C1C-4D49-8880-FC570F1F607A}"/>
    <cellStyle name="Total 2 8 2 11" xfId="13900" xr:uid="{3E1A066D-A4C6-4212-A941-408F269626FE}"/>
    <cellStyle name="Total 2 8 2 12" xfId="14877" xr:uid="{3167458B-52A6-4CC1-B239-B1EE15B35B1C}"/>
    <cellStyle name="Total 2 8 2 13" xfId="21745" xr:uid="{65186307-064D-4504-AD8D-44F966D7FA41}"/>
    <cellStyle name="Total 2 8 2 2" xfId="2589" xr:uid="{DDB0BA12-8D29-4C28-B91D-698F1FF8065C}"/>
    <cellStyle name="Total 2 8 2 2 10" xfId="15303" xr:uid="{4776F60B-2BFC-4DDA-9460-34D7EB340735}"/>
    <cellStyle name="Total 2 8 2 2 11" xfId="22171" xr:uid="{AC237883-39C5-4990-99A7-E71DBB6948D6}"/>
    <cellStyle name="Total 2 8 2 2 12" xfId="3512" xr:uid="{5492E82D-8001-4008-89F3-0B86A026FEC4}"/>
    <cellStyle name="Total 2 8 2 2 2" xfId="4746" xr:uid="{05713989-CDED-48EB-84BB-5E09CC166835}"/>
    <cellStyle name="Total 2 8 2 2 2 2" xfId="10603" xr:uid="{D2D77578-577E-473C-B056-1D381AC0289F}"/>
    <cellStyle name="Total 2 8 2 2 2 2 2" xfId="19649" xr:uid="{ECB7DE92-26E2-4259-BE97-1A717A3E9A0A}"/>
    <cellStyle name="Total 2 8 2 2 2 3" xfId="16163" xr:uid="{509F5C2C-9948-4AA4-895B-7256E85FBF44}"/>
    <cellStyle name="Total 2 8 2 2 2 4" xfId="22827" xr:uid="{09751185-626A-413C-89A9-59BF5D889FAD}"/>
    <cellStyle name="Total 2 8 2 2 3" xfId="5247" xr:uid="{1577BD21-38D1-4BC0-BD55-AFBB76554431}"/>
    <cellStyle name="Total 2 8 2 2 3 2" xfId="11100" xr:uid="{B030D5C0-7764-41BB-B0D0-4B7BA50CEA9C}"/>
    <cellStyle name="Total 2 8 2 2 3 2 2" xfId="20146" xr:uid="{FA5CBCA3-82C9-4E2A-9A57-CE0B21F682E4}"/>
    <cellStyle name="Total 2 8 2 2 3 3" xfId="16660" xr:uid="{ECF8E045-917C-4584-A1B7-7C62C7B9C0ED}"/>
    <cellStyle name="Total 2 8 2 2 3 4" xfId="23322" xr:uid="{24019CDC-8B06-47CA-913F-7AD4F872E96C}"/>
    <cellStyle name="Total 2 8 2 2 4" xfId="5862" xr:uid="{87B9E10C-F392-4EB6-A946-1656AA5A33AA}"/>
    <cellStyle name="Total 2 8 2 2 4 2" xfId="11715" xr:uid="{921E5368-D9FF-40A3-B608-84BC3EDFBC13}"/>
    <cellStyle name="Total 2 8 2 2 4 2 2" xfId="20761" xr:uid="{DEB44870-6204-4C07-9AE7-AA0D8C0E88E1}"/>
    <cellStyle name="Total 2 8 2 2 4 3" xfId="17275" xr:uid="{5C54C317-CC28-4941-B8EA-E1CE7633D863}"/>
    <cellStyle name="Total 2 8 2 2 5" xfId="6473" xr:uid="{758650F7-CC20-4CB9-8B86-9553BCD66DD1}"/>
    <cellStyle name="Total 2 8 2 2 5 2" xfId="12320" xr:uid="{2DA36F34-9344-4DA7-B988-1B3638FE775B}"/>
    <cellStyle name="Total 2 8 2 2 5 2 2" xfId="21366" xr:uid="{0D2AF3E0-8440-4632-96CD-E38D4BB49045}"/>
    <cellStyle name="Total 2 8 2 2 5 3" xfId="17886" xr:uid="{1763576E-A9A5-43F5-988D-41FBE3B0FE96}"/>
    <cellStyle name="Total 2 8 2 2 6" xfId="9734" xr:uid="{D1E3FA6E-5271-4E22-BCA5-5E04B9461520}"/>
    <cellStyle name="Total 2 8 2 2 6 2" xfId="18780" xr:uid="{381CF236-197D-4721-AC2C-FBF14181DA62}"/>
    <cellStyle name="Total 2 8 2 2 7" xfId="13132" xr:uid="{09717440-7DA2-4C92-A8BD-F10E355968C6}"/>
    <cellStyle name="Total 2 8 2 2 8" xfId="13688" xr:uid="{C3FA0B5D-D7FC-4299-833F-4F1C0235B501}"/>
    <cellStyle name="Total 2 8 2 2 9" xfId="14328" xr:uid="{3BF5A779-5086-4683-9340-741B56CF90E0}"/>
    <cellStyle name="Total 2 8 2 3" xfId="3310" xr:uid="{33AAF08C-A196-4F4F-95B7-8ABFD4232092}"/>
    <cellStyle name="Total 2 8 2 3 10" xfId="15090" xr:uid="{EBBD2765-FDED-4522-A49F-77F0DC65093F}"/>
    <cellStyle name="Total 2 8 2 3 11" xfId="21960" xr:uid="{0F30EE59-1204-4007-AC72-E9E15F82B296}"/>
    <cellStyle name="Total 2 8 2 3 2" xfId="4533" xr:uid="{18451B29-C1A5-4970-8980-6C4AEE04E0D3}"/>
    <cellStyle name="Total 2 8 2 3 2 2" xfId="10390" xr:uid="{A5F22442-FE92-42EE-9FD9-ECE78828ABA5}"/>
    <cellStyle name="Total 2 8 2 3 2 2 2" xfId="19436" xr:uid="{6BE2FD76-C690-4E30-BF9E-EF2BF5635F7E}"/>
    <cellStyle name="Total 2 8 2 3 2 3" xfId="15950" xr:uid="{2853F9DA-9542-48F5-B9A1-578DFBED2E17}"/>
    <cellStyle name="Total 2 8 2 3 2 4" xfId="22616" xr:uid="{25871F78-E8F0-4B53-B8D5-3CB43F4288BD}"/>
    <cellStyle name="Total 2 8 2 3 3" xfId="5034" xr:uid="{E12A13B4-6AB2-4EAE-97E0-F504C70F4A6E}"/>
    <cellStyle name="Total 2 8 2 3 3 2" xfId="10887" xr:uid="{315D3DA7-9AB6-4C37-8C30-7E295D666869}"/>
    <cellStyle name="Total 2 8 2 3 3 2 2" xfId="19933" xr:uid="{ED4EB086-58D5-47A6-9DBC-4B59F2F95016}"/>
    <cellStyle name="Total 2 8 2 3 3 3" xfId="16447" xr:uid="{EA48F9B9-D28D-4AC7-8B8C-EBFD2E2CB056}"/>
    <cellStyle name="Total 2 8 2 3 3 4" xfId="23111" xr:uid="{9E77157A-2D6D-4A6F-93D5-E48B73E2F96C}"/>
    <cellStyle name="Total 2 8 2 3 4" xfId="5649" xr:uid="{4B65616F-BE4C-4537-A6E8-B44730090205}"/>
    <cellStyle name="Total 2 8 2 3 4 2" xfId="11502" xr:uid="{660EAD7C-20C6-4278-93BF-553B72CA9B8C}"/>
    <cellStyle name="Total 2 8 2 3 4 2 2" xfId="20548" xr:uid="{10BA593A-8A16-45DB-8343-FEE5BF78463E}"/>
    <cellStyle name="Total 2 8 2 3 4 3" xfId="17062" xr:uid="{937D8C96-5425-4027-A3C0-DAD00E4CB579}"/>
    <cellStyle name="Total 2 8 2 3 5" xfId="6260" xr:uid="{B4F857D6-7413-4DBD-92F9-DB248DB1C0A1}"/>
    <cellStyle name="Total 2 8 2 3 5 2" xfId="12107" xr:uid="{7BDBE548-458D-43B9-B6A1-6D6CAE3449EA}"/>
    <cellStyle name="Total 2 8 2 3 5 2 2" xfId="21153" xr:uid="{1AF0D4C5-FDB5-4171-8E2E-E22ED505BB0C}"/>
    <cellStyle name="Total 2 8 2 3 5 3" xfId="17673" xr:uid="{FC2B8338-28A0-42DA-ACAC-C32C004EF003}"/>
    <cellStyle name="Total 2 8 2 3 6" xfId="9521" xr:uid="{72BC505E-DA14-4990-A0DC-764E242AF628}"/>
    <cellStyle name="Total 2 8 2 3 6 2" xfId="18567" xr:uid="{C388D86E-D218-42EA-B79C-5B0667FB9CD6}"/>
    <cellStyle name="Total 2 8 2 3 7" xfId="12919" xr:uid="{A1AAE476-993C-4FEB-8860-AFD13711BB4D}"/>
    <cellStyle name="Total 2 8 2 3 8" xfId="13477" xr:uid="{EA7127B3-2D91-43C1-A71A-71CDAC3E41C8}"/>
    <cellStyle name="Total 2 8 2 3 9" xfId="14115" xr:uid="{7A5068B6-E887-46D1-892D-1DADF4BE5966}"/>
    <cellStyle name="Total 2 8 2 4" xfId="4049" xr:uid="{A72BCA1C-DD4D-4BB5-B7EF-C968D691AF98}"/>
    <cellStyle name="Total 2 8 2 4 2" xfId="9911" xr:uid="{939BFC11-484A-4EEF-B6D2-8C91CC3B09DB}"/>
    <cellStyle name="Total 2 8 2 4 2 2" xfId="18957" xr:uid="{D149165E-668E-45F4-901A-B97EC73999D1}"/>
    <cellStyle name="Total 2 8 2 4 3" xfId="15473" xr:uid="{7F26C653-8BC1-47F9-AE79-079D1A855450}"/>
    <cellStyle name="Total 2 8 2 4 4" xfId="22896" xr:uid="{CED07554-DEE5-4091-854D-B33EE1A26AF4}"/>
    <cellStyle name="Total 2 8 2 5" xfId="4819" xr:uid="{B72CF960-4D34-4FB4-A22F-AC33B6FD924D}"/>
    <cellStyle name="Total 2 8 2 5 2" xfId="10676" xr:uid="{79688EB2-5159-4E96-A617-0EB0831AA377}"/>
    <cellStyle name="Total 2 8 2 5 2 2" xfId="19722" xr:uid="{9B15E789-A268-4A16-96A1-7FCB8BEB03C9}"/>
    <cellStyle name="Total 2 8 2 5 3" xfId="16236" xr:uid="{3A70C5AA-76A5-4809-9867-4923527367FE}"/>
    <cellStyle name="Total 2 8 2 6" xfId="5434" xr:uid="{C07E004E-62C3-4DB1-B7B3-EF08D0EEB2EF}"/>
    <cellStyle name="Total 2 8 2 6 2" xfId="11287" xr:uid="{BFDE4AAA-276A-420A-9EE5-B7FD3F42EC15}"/>
    <cellStyle name="Total 2 8 2 6 2 2" xfId="20333" xr:uid="{5DADE4F7-ACC3-4A50-8DBA-578337132CEB}"/>
    <cellStyle name="Total 2 8 2 6 3" xfId="16847" xr:uid="{853E5CDC-3CAB-4605-B637-4B60304E9FBD}"/>
    <cellStyle name="Total 2 8 2 7" xfId="6045" xr:uid="{D15E43D8-CF91-4ACB-BBA4-F0C491045BF3}"/>
    <cellStyle name="Total 2 8 2 7 2" xfId="11896" xr:uid="{69DC29C3-F01B-4EC8-87F1-5B3F236DC016}"/>
    <cellStyle name="Total 2 8 2 7 2 2" xfId="20942" xr:uid="{E914843F-2445-4ED9-9387-65C83257F806}"/>
    <cellStyle name="Total 2 8 2 7 3" xfId="17458" xr:uid="{57BC68A0-2BE5-4272-8FB1-601E134C87A7}"/>
    <cellStyle name="Total 2 8 2 8" xfId="9308" xr:uid="{2F06DDB6-E6EB-499D-AF18-90C7C4721194}"/>
    <cellStyle name="Total 2 8 2 8 2" xfId="18354" xr:uid="{F7EDC6E6-8C1B-41EB-A4CD-AF985A9F5FF2}"/>
    <cellStyle name="Total 2 8 2 9" xfId="12704" xr:uid="{F3428094-FA9E-4E23-BEA3-D5E62F1F75F3}"/>
    <cellStyle name="Total 2 8 3" xfId="2590" xr:uid="{ABFF211D-8EF6-4B63-BBEC-C7A7E687A8D2}"/>
    <cellStyle name="Total 2 8 3 10" xfId="13901" xr:uid="{DE982EE8-68B8-494D-A492-152839F0C874}"/>
    <cellStyle name="Total 2 8 3 11" xfId="14878" xr:uid="{BC29ABE0-7595-4B1B-84D4-C6BB68D9011F}"/>
    <cellStyle name="Total 2 8 3 12" xfId="21746" xr:uid="{FB35B97E-5F98-4380-B4A7-E03499A86D24}"/>
    <cellStyle name="Total 2 8 3 13" xfId="3097" xr:uid="{F982A2EB-47F2-469B-BB25-3F6D500FAFEE}"/>
    <cellStyle name="Total 2 8 3 2" xfId="3513" xr:uid="{98300A46-32CB-4150-B5BA-2CA07B6C3C74}"/>
    <cellStyle name="Total 2 8 3 2 10" xfId="15304" xr:uid="{0C187862-0E0B-4CC2-AAF8-426EB5E2A874}"/>
    <cellStyle name="Total 2 8 3 2 11" xfId="22172" xr:uid="{0EAFE986-B985-4FB2-A0DC-39532D4B7BD7}"/>
    <cellStyle name="Total 2 8 3 2 2" xfId="4747" xr:uid="{E608E510-28B7-4654-B6BC-F9F4A557923A}"/>
    <cellStyle name="Total 2 8 3 2 2 2" xfId="10604" xr:uid="{A6C8D769-4A2A-440A-9207-9A24BA76E145}"/>
    <cellStyle name="Total 2 8 3 2 2 2 2" xfId="19650" xr:uid="{FA734B99-E8D4-44E4-A5CD-864EC487E7B8}"/>
    <cellStyle name="Total 2 8 3 2 2 3" xfId="16164" xr:uid="{E73107A4-3889-4F2C-8F37-F8D90DA2F4DF}"/>
    <cellStyle name="Total 2 8 3 2 2 4" xfId="22828" xr:uid="{5AC92193-6EA0-4763-BA0C-FE6EE9CFC09C}"/>
    <cellStyle name="Total 2 8 3 2 3" xfId="5248" xr:uid="{1EED47D8-C816-4352-9060-CB60D781E072}"/>
    <cellStyle name="Total 2 8 3 2 3 2" xfId="11101" xr:uid="{6A46C169-56E7-473C-9E2D-0DA1F09BA458}"/>
    <cellStyle name="Total 2 8 3 2 3 2 2" xfId="20147" xr:uid="{82D1E73E-D4BD-4F13-972A-A81EF6071558}"/>
    <cellStyle name="Total 2 8 3 2 3 3" xfId="16661" xr:uid="{F8986933-01A0-4881-A4E8-8C5E782AE1DF}"/>
    <cellStyle name="Total 2 8 3 2 3 4" xfId="23323" xr:uid="{D2F72F9F-0A50-4218-84AE-453A838A6437}"/>
    <cellStyle name="Total 2 8 3 2 4" xfId="5863" xr:uid="{545CD6AD-171A-4C24-9E35-69D3A3F304BA}"/>
    <cellStyle name="Total 2 8 3 2 4 2" xfId="11716" xr:uid="{69D50DAC-57D5-4525-A425-B7ECCD17C32E}"/>
    <cellStyle name="Total 2 8 3 2 4 2 2" xfId="20762" xr:uid="{9311E61C-29E6-4CE7-B97E-BE168A6F89B1}"/>
    <cellStyle name="Total 2 8 3 2 4 3" xfId="17276" xr:uid="{15CA209F-2D2C-4083-8181-A90CD61048F1}"/>
    <cellStyle name="Total 2 8 3 2 5" xfId="6474" xr:uid="{62A003BA-DF88-4647-820E-42956DF837AB}"/>
    <cellStyle name="Total 2 8 3 2 5 2" xfId="12321" xr:uid="{63721B04-7A70-43BC-9766-3348BB3CF5F4}"/>
    <cellStyle name="Total 2 8 3 2 5 2 2" xfId="21367" xr:uid="{914406F0-A775-4A9F-BAB1-6B12B6B95F75}"/>
    <cellStyle name="Total 2 8 3 2 5 3" xfId="17887" xr:uid="{9E9E76FF-C9A2-4761-B6B5-B851EDD19D17}"/>
    <cellStyle name="Total 2 8 3 2 6" xfId="9735" xr:uid="{6BB54E0D-CFAF-4B55-8C0B-49378286A9C8}"/>
    <cellStyle name="Total 2 8 3 2 6 2" xfId="18781" xr:uid="{261478F9-11B6-4001-BFBC-0B3D477B123A}"/>
    <cellStyle name="Total 2 8 3 2 7" xfId="13133" xr:uid="{45821733-C7F5-4FAC-B9A9-E0669D0289D4}"/>
    <cellStyle name="Total 2 8 3 2 8" xfId="13689" xr:uid="{46AFE809-BE02-43FE-8255-430B1BCA41F3}"/>
    <cellStyle name="Total 2 8 3 2 9" xfId="14329" xr:uid="{B7C023FE-9881-42D5-9D5F-88488430C3A4}"/>
    <cellStyle name="Total 2 8 3 3" xfId="3311" xr:uid="{E684A973-EC16-459E-A248-DF06848C5C6B}"/>
    <cellStyle name="Total 2 8 3 3 10" xfId="15091" xr:uid="{67739048-96FD-46A6-87DD-C46D29F24602}"/>
    <cellStyle name="Total 2 8 3 3 11" xfId="21961" xr:uid="{3DBC9693-13F1-43A8-86B4-D7F8EE9019E1}"/>
    <cellStyle name="Total 2 8 3 3 2" xfId="4534" xr:uid="{0636F92D-00D6-4CBF-A965-5CC65FB0763B}"/>
    <cellStyle name="Total 2 8 3 3 2 2" xfId="10391" xr:uid="{634BE2A8-F62E-4CA2-B5C9-1C6DAC6690AC}"/>
    <cellStyle name="Total 2 8 3 3 2 2 2" xfId="19437" xr:uid="{E6D4001F-5FE8-449C-AFF1-7193B3BC55B4}"/>
    <cellStyle name="Total 2 8 3 3 2 3" xfId="15951" xr:uid="{D960EE7D-CDB0-4F8A-A699-4C4ED9202B6F}"/>
    <cellStyle name="Total 2 8 3 3 2 4" xfId="22617" xr:uid="{605CDEF6-7934-4668-8064-4F288671223B}"/>
    <cellStyle name="Total 2 8 3 3 3" xfId="5035" xr:uid="{C6E4165D-CC38-44D0-B421-3050D2146A6A}"/>
    <cellStyle name="Total 2 8 3 3 3 2" xfId="10888" xr:uid="{5B5C0F5E-B854-4E64-9B78-13CD8C976AC2}"/>
    <cellStyle name="Total 2 8 3 3 3 2 2" xfId="19934" xr:uid="{7C825511-A199-4D0E-89F2-10F382992E42}"/>
    <cellStyle name="Total 2 8 3 3 3 3" xfId="16448" xr:uid="{26905A19-CF59-4432-9AFE-D6F3A9272D12}"/>
    <cellStyle name="Total 2 8 3 3 3 4" xfId="23112" xr:uid="{1E16AE45-76B5-4290-B3ED-7E2EEACAB464}"/>
    <cellStyle name="Total 2 8 3 3 4" xfId="5650" xr:uid="{2B34D905-EFC4-4A57-9C0A-FEE3B60E3037}"/>
    <cellStyle name="Total 2 8 3 3 4 2" xfId="11503" xr:uid="{CC077CC6-A7CD-4F04-B361-81359DE8B990}"/>
    <cellStyle name="Total 2 8 3 3 4 2 2" xfId="20549" xr:uid="{A9C496EA-F241-419E-A95C-103ED422A3DA}"/>
    <cellStyle name="Total 2 8 3 3 4 3" xfId="17063" xr:uid="{FBBD7CB6-D26C-428F-95B8-AD7D59ABEDFB}"/>
    <cellStyle name="Total 2 8 3 3 5" xfId="6261" xr:uid="{8D88AA47-18E7-4166-B41E-9BFC187E49CC}"/>
    <cellStyle name="Total 2 8 3 3 5 2" xfId="12108" xr:uid="{B19B31E7-5001-45BD-BF01-C723FBB298B9}"/>
    <cellStyle name="Total 2 8 3 3 5 2 2" xfId="21154" xr:uid="{8EA19505-61B4-48D7-875D-948FBDA1CC75}"/>
    <cellStyle name="Total 2 8 3 3 5 3" xfId="17674" xr:uid="{D074561F-8D5C-4AEC-8951-934D3EA7B113}"/>
    <cellStyle name="Total 2 8 3 3 6" xfId="9522" xr:uid="{7A4BAE43-C60C-4714-BDB4-751B15DCE83D}"/>
    <cellStyle name="Total 2 8 3 3 6 2" xfId="18568" xr:uid="{EC2EC54B-651C-42C5-AA8A-A3212073073C}"/>
    <cellStyle name="Total 2 8 3 3 7" xfId="12920" xr:uid="{68F1AD28-3DD5-4F66-80AD-4D396A7E6E58}"/>
    <cellStyle name="Total 2 8 3 3 8" xfId="13478" xr:uid="{75D707DA-5FF5-4149-8990-CEEBEF92B4E9}"/>
    <cellStyle name="Total 2 8 3 3 9" xfId="14116" xr:uid="{5B434262-FED5-49AC-8CEA-7A30D1744D0B}"/>
    <cellStyle name="Total 2 8 3 4" xfId="4820" xr:uid="{EBD3658A-8567-4345-B23B-12DD84D81BC3}"/>
    <cellStyle name="Total 2 8 3 4 2" xfId="10677" xr:uid="{07B3E0A2-32D7-40F5-80C2-CFE84E71F442}"/>
    <cellStyle name="Total 2 8 3 4 2 2" xfId="19723" xr:uid="{3486AFB0-3E1D-409B-94F2-848AAE74CBF7}"/>
    <cellStyle name="Total 2 8 3 4 3" xfId="16237" xr:uid="{287D50A6-FAD1-4E8F-94A6-A89A8F6EAF14}"/>
    <cellStyle name="Total 2 8 3 4 4" xfId="22897" xr:uid="{11744CAF-0386-4C5D-9AD9-49021B79EB4B}"/>
    <cellStyle name="Total 2 8 3 5" xfId="5435" xr:uid="{3B222655-7BAE-47C8-9F07-3980D99384FA}"/>
    <cellStyle name="Total 2 8 3 5 2" xfId="11288" xr:uid="{DB520BFC-2B33-4450-AEBE-EE78A33F96B6}"/>
    <cellStyle name="Total 2 8 3 5 2 2" xfId="20334" xr:uid="{4D1E8C7A-40FB-44AB-BE6D-2B55AA110A08}"/>
    <cellStyle name="Total 2 8 3 5 3" xfId="16848" xr:uid="{6FE3A9E1-D3FA-4405-B3EF-8A6023485A9E}"/>
    <cellStyle name="Total 2 8 3 6" xfId="6046" xr:uid="{19BD14D9-0600-43C9-9D0C-5AF4FF025615}"/>
    <cellStyle name="Total 2 8 3 6 2" xfId="11897" xr:uid="{2ED184EA-F8D0-4418-959F-E2636447EEDE}"/>
    <cellStyle name="Total 2 8 3 6 2 2" xfId="20943" xr:uid="{15083404-F81A-4973-91B9-C86B4FA96596}"/>
    <cellStyle name="Total 2 8 3 6 3" xfId="17459" xr:uid="{8A1EF437-3318-48E5-BFE2-E57F85698CB4}"/>
    <cellStyle name="Total 2 8 3 7" xfId="9309" xr:uid="{10092BF8-7527-4DB3-9760-152A2D627141}"/>
    <cellStyle name="Total 2 8 3 7 2" xfId="18355" xr:uid="{6ABA55D9-2A78-49E1-A609-888CBBDC75A8}"/>
    <cellStyle name="Total 2 8 3 8" xfId="12705" xr:uid="{5C323F6C-8213-4A8C-B787-E65BC580B7C8}"/>
    <cellStyle name="Total 2 8 3 9" xfId="13267" xr:uid="{F4034AD3-0356-49A2-B6C1-29109AE92FBE}"/>
    <cellStyle name="Total 2 8 4" xfId="3392" xr:uid="{9A33FBBC-760C-4C84-88AB-7083631FEB5A}"/>
    <cellStyle name="Total 2 8 4 10" xfId="15172" xr:uid="{EAF9C11A-6803-47A9-AC9C-FF1A13C44FDD}"/>
    <cellStyle name="Total 2 8 4 11" xfId="22041" xr:uid="{07364126-06F8-492B-B03C-657EF7308E12}"/>
    <cellStyle name="Total 2 8 4 2" xfId="4615" xr:uid="{F06EA922-D3DA-4D9A-B7AD-266982E65C11}"/>
    <cellStyle name="Total 2 8 4 2 2" xfId="10472" xr:uid="{312536F6-D9EC-4C27-98BD-C7C6BB12F52B}"/>
    <cellStyle name="Total 2 8 4 2 2 2" xfId="19518" xr:uid="{EA23396A-B8F3-411C-ADAB-AECAFE2B5380}"/>
    <cellStyle name="Total 2 8 4 2 3" xfId="16032" xr:uid="{3DC3535C-8921-4AAB-8E15-FD387A9E6E08}"/>
    <cellStyle name="Total 2 8 4 2 4" xfId="22697" xr:uid="{0623C205-1A2E-4A67-BCD6-D08159D68289}"/>
    <cellStyle name="Total 2 8 4 3" xfId="5116" xr:uid="{1621A252-7E21-4A6C-B210-06160C3AFB55}"/>
    <cellStyle name="Total 2 8 4 3 2" xfId="10969" xr:uid="{07E19DEA-E5B7-41AF-B16F-BE7398A79250}"/>
    <cellStyle name="Total 2 8 4 3 2 2" xfId="20015" xr:uid="{4016C2E2-A85D-4B5C-9BCC-CA2FAFB9E907}"/>
    <cellStyle name="Total 2 8 4 3 3" xfId="16529" xr:uid="{E0B0D18F-F2C8-4719-9697-9319935BAEA9}"/>
    <cellStyle name="Total 2 8 4 3 4" xfId="23192" xr:uid="{063EA760-09DB-47D1-B9C3-F9269DE28236}"/>
    <cellStyle name="Total 2 8 4 4" xfId="5731" xr:uid="{FD41F957-3E70-4F5D-93E1-E03BCB0C32DE}"/>
    <cellStyle name="Total 2 8 4 4 2" xfId="11584" xr:uid="{FF978FD7-60E5-4531-A647-202052B91F51}"/>
    <cellStyle name="Total 2 8 4 4 2 2" xfId="20630" xr:uid="{E1A52BE5-7707-4DA7-B8C8-BD8DB2026A29}"/>
    <cellStyle name="Total 2 8 4 4 3" xfId="17144" xr:uid="{DA678493-31A6-40A1-9832-B3FFD93E6AFD}"/>
    <cellStyle name="Total 2 8 4 5" xfId="6342" xr:uid="{E6049C6E-2812-4410-A18C-32025A5718CE}"/>
    <cellStyle name="Total 2 8 4 5 2" xfId="12189" xr:uid="{A41CAB4D-FF09-48E7-8130-1A60AC8B110C}"/>
    <cellStyle name="Total 2 8 4 5 2 2" xfId="21235" xr:uid="{5BAA557B-CF63-48F6-8B15-98AD9C03A4D5}"/>
    <cellStyle name="Total 2 8 4 5 3" xfId="17755" xr:uid="{AFF39D84-6549-44D4-8B79-B166D8C64062}"/>
    <cellStyle name="Total 2 8 4 6" xfId="9603" xr:uid="{E0C555BF-CF7F-4B09-ADEC-6F20041F42B3}"/>
    <cellStyle name="Total 2 8 4 6 2" xfId="18649" xr:uid="{B71C4FBE-DDD4-4888-A811-A2EC16847A05}"/>
    <cellStyle name="Total 2 8 4 7" xfId="13001" xr:uid="{F0D19851-9754-4375-933F-D8DC568FE56C}"/>
    <cellStyle name="Total 2 8 4 8" xfId="13558" xr:uid="{71639B4C-92CF-456E-96B5-99FE30C64667}"/>
    <cellStyle name="Total 2 8 4 9" xfId="14197" xr:uid="{0301A7B2-E69A-45DD-A3B0-FF4D40F4CC7B}"/>
    <cellStyle name="Total 2 8 5" xfId="3180" xr:uid="{3FE97318-360E-43DC-B4B7-37A24042D483}"/>
    <cellStyle name="Total 2 8 5 10" xfId="14960" xr:uid="{DD3F58D9-DF6D-4077-A966-35D552290D51}"/>
    <cellStyle name="Total 2 8 5 11" xfId="21828" xr:uid="{200B1B5A-6D8D-44EE-ADCC-1C9F93E5E499}"/>
    <cellStyle name="Total 2 8 5 2" xfId="4401" xr:uid="{8B7273C3-4084-4DFA-95BB-EDE4FBBD00E6}"/>
    <cellStyle name="Total 2 8 5 2 2" xfId="10258" xr:uid="{13C7F22C-067C-4CF3-BADA-EDD2A6222E1A}"/>
    <cellStyle name="Total 2 8 5 2 2 2" xfId="19304" xr:uid="{BB572B0A-298D-4F7A-8089-327704CE19F9}"/>
    <cellStyle name="Total 2 8 5 2 3" xfId="15818" xr:uid="{5B569BCC-0E46-4793-8B2F-9E48969DC35A}"/>
    <cellStyle name="Total 2 8 5 2 4" xfId="22484" xr:uid="{C3539536-0C67-465C-A291-6A1E62EB55F5}"/>
    <cellStyle name="Total 2 8 5 3" xfId="4902" xr:uid="{8A27DAC0-AB29-47F8-BE8C-908728FDB1AC}"/>
    <cellStyle name="Total 2 8 5 3 2" xfId="10757" xr:uid="{04E2E876-C787-4419-B8DA-81DE9C713F5F}"/>
    <cellStyle name="Total 2 8 5 3 2 2" xfId="19803" xr:uid="{A0501686-3826-4874-8B37-8661A1AE6442}"/>
    <cellStyle name="Total 2 8 5 3 3" xfId="16317" xr:uid="{6BEBD72D-9952-4CB2-A7DD-4DA4B9E6A55B}"/>
    <cellStyle name="Total 2 8 5 3 4" xfId="22979" xr:uid="{1838CD2A-8183-46D4-B7C9-A2A04F7824AB}"/>
    <cellStyle name="Total 2 8 5 4" xfId="5517" xr:uid="{C7CB3812-6061-4329-A6B0-5DE442291BB0}"/>
    <cellStyle name="Total 2 8 5 4 2" xfId="11370" xr:uid="{E4FD1DD9-0EF7-4247-933E-811EF4EAE5F4}"/>
    <cellStyle name="Total 2 8 5 4 2 2" xfId="20416" xr:uid="{B016E5DF-DFBE-4C55-AE23-2797DF5F7172}"/>
    <cellStyle name="Total 2 8 5 4 3" xfId="16930" xr:uid="{53B019B8-9A9E-42E3-B63B-BA2D2F5C374F}"/>
    <cellStyle name="Total 2 8 5 5" xfId="6128" xr:uid="{7FF8B2A0-0D67-4960-80D3-A430BE83F752}"/>
    <cellStyle name="Total 2 8 5 5 2" xfId="11977" xr:uid="{18054AE8-0B92-4D43-9047-95151098A7D6}"/>
    <cellStyle name="Total 2 8 5 5 2 2" xfId="21023" xr:uid="{6EA34034-A76E-486B-A149-B2E080B0ED5E}"/>
    <cellStyle name="Total 2 8 5 5 3" xfId="17541" xr:uid="{9F8F4C3A-63B7-42E6-88CC-64C6942F7B41}"/>
    <cellStyle name="Total 2 8 5 6" xfId="9391" xr:uid="{9C312517-3082-41F0-A08F-2D68B3843E0A}"/>
    <cellStyle name="Total 2 8 5 6 2" xfId="18437" xr:uid="{995C2702-65AC-4E40-B850-F0C5334185F5}"/>
    <cellStyle name="Total 2 8 5 7" xfId="12787" xr:uid="{45D8E5FA-D89B-4888-868D-0C64081AE50E}"/>
    <cellStyle name="Total 2 8 5 8" xfId="13347" xr:uid="{79FFB36D-D9F5-4B67-9416-2EF2A6E55AD5}"/>
    <cellStyle name="Total 2 8 5 9" xfId="13983" xr:uid="{9B720A73-F940-430F-B109-2AA9A4CCEA91}"/>
    <cellStyle name="Total 2 8 6" xfId="3781" xr:uid="{9A785600-B3D0-4423-92A5-D3BCD8EEC2D5}"/>
    <cellStyle name="Total 2 8 6 2" xfId="9823" xr:uid="{23C0AF2C-A545-48E8-AF24-B3CB807839CE}"/>
    <cellStyle name="Total 2 8 6 2 2" xfId="18869" xr:uid="{55E00139-1AE6-4142-B4C7-5172899A1BA1}"/>
    <cellStyle name="Total 2 8 6 3" xfId="15389" xr:uid="{F56FBC92-1881-4121-BFF0-36BC7BA1845D}"/>
    <cellStyle name="Total 2 8 6 4" xfId="22368" xr:uid="{8090BFA7-1AEB-4814-A469-6AE3A836198A}"/>
    <cellStyle name="Total 2 8 7" xfId="4265" xr:uid="{728A311C-095E-46C8-8007-C7D9EB41C19C}"/>
    <cellStyle name="Total 2 8 7 2" xfId="10122" xr:uid="{4E6B2E46-A1D5-449E-A98E-9D071958E079}"/>
    <cellStyle name="Total 2 8 7 2 2" xfId="19168" xr:uid="{B51FDC74-01C7-468F-88BC-441F3D519972}"/>
    <cellStyle name="Total 2 8 7 3" xfId="15682" xr:uid="{102197DD-4707-414F-9AC2-1338B0620276}"/>
    <cellStyle name="Total 2 8 7 4" xfId="22371" xr:uid="{23A8A76D-2988-465E-8609-7F2B153AE5E8}"/>
    <cellStyle name="Total 2 8 8" xfId="4268" xr:uid="{0977D1C7-B3B9-48F2-A796-07C0F34F4AA1}"/>
    <cellStyle name="Total 2 8 8 2" xfId="10125" xr:uid="{44FE7CFC-7652-489C-9827-96D94E754C54}"/>
    <cellStyle name="Total 2 8 8 2 2" xfId="19171" xr:uid="{DE1B7DF6-1F6E-40C1-AE1F-7779A0E98294}"/>
    <cellStyle name="Total 2 8 8 3" xfId="15685" xr:uid="{F8F5BDDF-DEED-41A7-A85A-9CCDD9B9B0B5}"/>
    <cellStyle name="Total 2 8 9" xfId="5302" xr:uid="{DF2B0D88-956A-4C07-94E4-E5927F6064F3}"/>
    <cellStyle name="Total 2 8 9 2" xfId="11155" xr:uid="{7966D746-6A18-4886-B2C8-5B5B83660D98}"/>
    <cellStyle name="Total 2 8 9 2 2" xfId="20201" xr:uid="{83ED8DFD-2F7C-4A9F-B87D-076059842244}"/>
    <cellStyle name="Total 2 8 9 3" xfId="16715" xr:uid="{879C29A0-6AD6-43A4-8CEF-DBBAFEEAC1D0}"/>
    <cellStyle name="Total 2 9" xfId="2485" xr:uid="{E0857280-829B-4D0B-8843-886E3E6F264C}"/>
    <cellStyle name="Total 2 9 10" xfId="5914" xr:uid="{9EFB73CF-60EE-43A6-9E54-68D104E72A7D}"/>
    <cellStyle name="Total 2 9 10 2" xfId="11767" xr:uid="{285B49AB-3C6B-477F-A262-B6EBB48D0A9C}"/>
    <cellStyle name="Total 2 9 10 2 2" xfId="20813" xr:uid="{82D7C947-8195-42B8-A538-D8A5700F394E}"/>
    <cellStyle name="Total 2 9 10 3" xfId="17327" xr:uid="{614AC1F6-0E5D-49C4-B75C-16419256249E}"/>
    <cellStyle name="Total 2 9 11" xfId="9177" xr:uid="{264B9DCD-D94C-4BDD-B204-0A2599D3AFFD}"/>
    <cellStyle name="Total 2 9 11 2" xfId="18223" xr:uid="{CCE6F7FF-8439-4CA4-AFA3-F346C963105A}"/>
    <cellStyle name="Total 2 9 12" xfId="12575" xr:uid="{548A7BB5-8144-43B2-ACD0-3DA9B5B3C935}"/>
    <cellStyle name="Total 2 9 13" xfId="13769" xr:uid="{38773568-767B-433E-81AF-E3CA495D4617}"/>
    <cellStyle name="Total 2 9 14" xfId="14746" xr:uid="{8FD65DEB-6333-49C1-AEE8-06939ACE0C72}"/>
    <cellStyle name="Total 2 9 15" xfId="21616" xr:uid="{AA516177-3C4D-4E3B-BBC1-B87825174EE1}"/>
    <cellStyle name="Total 2 9 16" xfId="23810" xr:uid="{3605846A-B453-4A45-BC29-E7740A0DED41}"/>
    <cellStyle name="Total 2 9 2" xfId="2486" xr:uid="{5EB6CA91-D0E7-4C8E-9923-6730F5CAD187}"/>
    <cellStyle name="Total 2 9 2 10" xfId="13268" xr:uid="{42F005B9-C707-4378-9B50-35C5842574DC}"/>
    <cellStyle name="Total 2 9 2 11" xfId="13902" xr:uid="{AF0C1834-0BA3-40FB-A957-DD9BABB15451}"/>
    <cellStyle name="Total 2 9 2 12" xfId="14879" xr:uid="{1B50ACCA-24B2-48F0-B424-FB0CF0F2D898}"/>
    <cellStyle name="Total 2 9 2 13" xfId="21747" xr:uid="{4C225A36-B368-4A65-BC17-C798B3C38E5B}"/>
    <cellStyle name="Total 2 9 2 2" xfId="2588" xr:uid="{2DFE9E7F-8FF1-4712-B49E-0A6A0064EDF8}"/>
    <cellStyle name="Total 2 9 2 2 10" xfId="15305" xr:uid="{FA276668-6FA9-4B46-9EB1-B73B095FB0F5}"/>
    <cellStyle name="Total 2 9 2 2 11" xfId="22173" xr:uid="{BCC7E170-D8FF-4F9C-9E86-D788D825AD6A}"/>
    <cellStyle name="Total 2 9 2 2 12" xfId="3514" xr:uid="{57EA08AF-686B-4EE8-BE6D-45B31453A1E1}"/>
    <cellStyle name="Total 2 9 2 2 2" xfId="4748" xr:uid="{ADB216C0-E84E-4B63-81C2-C7241A84F70B}"/>
    <cellStyle name="Total 2 9 2 2 2 2" xfId="10605" xr:uid="{BDAFD989-EF67-4159-AB85-4F8EFAFF6979}"/>
    <cellStyle name="Total 2 9 2 2 2 2 2" xfId="19651" xr:uid="{BDAA18A2-929A-4235-9980-FCFC76BC9294}"/>
    <cellStyle name="Total 2 9 2 2 2 3" xfId="16165" xr:uid="{4BBADA9E-865D-49F9-A579-9E35E61E4E85}"/>
    <cellStyle name="Total 2 9 2 2 2 4" xfId="22829" xr:uid="{169B8D2D-EAB3-449A-B6EE-EDA709494DDC}"/>
    <cellStyle name="Total 2 9 2 2 3" xfId="5249" xr:uid="{D34FE38C-D4E7-432B-8C80-521B1EEABC31}"/>
    <cellStyle name="Total 2 9 2 2 3 2" xfId="11102" xr:uid="{3E8DF8C3-FCF4-419A-93FB-A42E5C1F84E3}"/>
    <cellStyle name="Total 2 9 2 2 3 2 2" xfId="20148" xr:uid="{E089DFE6-A0C6-4B11-9147-D1F22B351D08}"/>
    <cellStyle name="Total 2 9 2 2 3 3" xfId="16662" xr:uid="{051F73A4-ADB8-498E-9035-BD6096E4060D}"/>
    <cellStyle name="Total 2 9 2 2 3 4" xfId="23324" xr:uid="{2E2E1E3B-D3DC-4B3E-8218-C3267F921800}"/>
    <cellStyle name="Total 2 9 2 2 4" xfId="5864" xr:uid="{0EFB06EF-CE5E-44E6-BF65-793A1D3E32E7}"/>
    <cellStyle name="Total 2 9 2 2 4 2" xfId="11717" xr:uid="{D7DEF027-60EC-4DAF-9CC3-CEFCD88C3F09}"/>
    <cellStyle name="Total 2 9 2 2 4 2 2" xfId="20763" xr:uid="{2FD91DFB-F39D-44E0-AAF1-FE66FBB36CA2}"/>
    <cellStyle name="Total 2 9 2 2 4 3" xfId="17277" xr:uid="{9C5609A0-0AB2-4634-A565-952862495382}"/>
    <cellStyle name="Total 2 9 2 2 5" xfId="6475" xr:uid="{A0049F4C-7FB3-4852-869A-0C1FA59A8827}"/>
    <cellStyle name="Total 2 9 2 2 5 2" xfId="12322" xr:uid="{8D714AB5-2884-4DE6-B01C-37A6E611414B}"/>
    <cellStyle name="Total 2 9 2 2 5 2 2" xfId="21368" xr:uid="{78C0E40C-9CB3-4170-A156-F540FD845733}"/>
    <cellStyle name="Total 2 9 2 2 5 3" xfId="17888" xr:uid="{80896430-B513-47D6-A44B-86AE8D9779A9}"/>
    <cellStyle name="Total 2 9 2 2 6" xfId="9736" xr:uid="{6C84F85E-5DF7-42D4-9083-98A49605010B}"/>
    <cellStyle name="Total 2 9 2 2 6 2" xfId="18782" xr:uid="{8EFE7282-7AC6-4B5F-AE9C-63B46FDE173C}"/>
    <cellStyle name="Total 2 9 2 2 7" xfId="13134" xr:uid="{969056CA-C149-4582-9C34-EF79078DC536}"/>
    <cellStyle name="Total 2 9 2 2 8" xfId="13690" xr:uid="{754E04FF-CBF9-41AC-96DB-83AC77A9E9E2}"/>
    <cellStyle name="Total 2 9 2 2 9" xfId="14330" xr:uid="{1CD7653F-F64E-43E5-8BD5-4522237A5E77}"/>
    <cellStyle name="Total 2 9 2 3" xfId="3312" xr:uid="{E34997A6-C9ED-4B91-84BC-A010698B5774}"/>
    <cellStyle name="Total 2 9 2 3 10" xfId="15092" xr:uid="{19F33A0D-F341-400E-8BFD-237DA2DD2C6A}"/>
    <cellStyle name="Total 2 9 2 3 11" xfId="21962" xr:uid="{9FE65E91-593B-4075-A1E3-1C72F17191EB}"/>
    <cellStyle name="Total 2 9 2 3 2" xfId="4535" xr:uid="{AC2EE78A-BA18-48AA-AEF0-CABEEFF8AA96}"/>
    <cellStyle name="Total 2 9 2 3 2 2" xfId="10392" xr:uid="{666AE0B1-F53C-4A04-9889-4F5B5C0D10F3}"/>
    <cellStyle name="Total 2 9 2 3 2 2 2" xfId="19438" xr:uid="{2731ADC6-A2C2-485E-A1AA-FD4D0C71C981}"/>
    <cellStyle name="Total 2 9 2 3 2 3" xfId="15952" xr:uid="{48466731-B85C-40AA-956F-BE4A2B7C7E56}"/>
    <cellStyle name="Total 2 9 2 3 2 4" xfId="22618" xr:uid="{08084E8A-ABEB-4244-8B50-D6587FC0EEDD}"/>
    <cellStyle name="Total 2 9 2 3 3" xfId="5036" xr:uid="{2B79EC14-2C44-4753-ACF9-7E3B94ADC006}"/>
    <cellStyle name="Total 2 9 2 3 3 2" xfId="10889" xr:uid="{400C1D85-0937-4BDA-AE57-D5B6A9409CF4}"/>
    <cellStyle name="Total 2 9 2 3 3 2 2" xfId="19935" xr:uid="{98510C2A-C4A9-4CFC-B9D5-F8528610F2C4}"/>
    <cellStyle name="Total 2 9 2 3 3 3" xfId="16449" xr:uid="{6CB3A478-1FE1-4478-B636-917FA363FD52}"/>
    <cellStyle name="Total 2 9 2 3 3 4" xfId="23113" xr:uid="{99CC69F4-383B-4F0E-BDAB-9036B5666BD1}"/>
    <cellStyle name="Total 2 9 2 3 4" xfId="5651" xr:uid="{A148CFF9-22BD-4B76-B415-94EAFAD8E60A}"/>
    <cellStyle name="Total 2 9 2 3 4 2" xfId="11504" xr:uid="{4B565D7C-A267-4528-9F18-A9856BA0BD35}"/>
    <cellStyle name="Total 2 9 2 3 4 2 2" xfId="20550" xr:uid="{ABBC852B-D77C-4401-A0FA-5775146BABC4}"/>
    <cellStyle name="Total 2 9 2 3 4 3" xfId="17064" xr:uid="{7AB632E8-0E09-43CD-B2D8-6B7A03CF7EA7}"/>
    <cellStyle name="Total 2 9 2 3 5" xfId="6262" xr:uid="{A6CA2C23-9270-4AEC-8BA7-454CF652A449}"/>
    <cellStyle name="Total 2 9 2 3 5 2" xfId="12109" xr:uid="{D40687FA-11D0-4C34-B45C-C9903D2298BA}"/>
    <cellStyle name="Total 2 9 2 3 5 2 2" xfId="21155" xr:uid="{A00157AE-A86C-439A-A4A0-0B2B12A72BC4}"/>
    <cellStyle name="Total 2 9 2 3 5 3" xfId="17675" xr:uid="{4B3E9AD6-3BDB-4035-93FB-980B6EEBBB0F}"/>
    <cellStyle name="Total 2 9 2 3 6" xfId="9523" xr:uid="{869F16D8-2EC4-4A69-8DBB-4F8385C820AE}"/>
    <cellStyle name="Total 2 9 2 3 6 2" xfId="18569" xr:uid="{04C284EE-7A9D-4F3E-B9D9-5E98D11EDDF3}"/>
    <cellStyle name="Total 2 9 2 3 7" xfId="12921" xr:uid="{F7CFCC70-AD26-4E62-9C44-18F9E989C5AC}"/>
    <cellStyle name="Total 2 9 2 3 8" xfId="13479" xr:uid="{B5B0D656-12F9-403D-9042-F9BEEEFB8ACA}"/>
    <cellStyle name="Total 2 9 2 3 9" xfId="14117" xr:uid="{34A63002-F693-441D-B4C6-B0AA7AF260E2}"/>
    <cellStyle name="Total 2 9 2 4" xfId="4050" xr:uid="{CF985A97-F490-474F-9290-B8181D1FF99D}"/>
    <cellStyle name="Total 2 9 2 4 2" xfId="9912" xr:uid="{9FD528AB-1D67-4D3C-99AD-027D453E6DDF}"/>
    <cellStyle name="Total 2 9 2 4 2 2" xfId="18958" xr:uid="{CA6CD4BD-405D-4CBC-9563-6D0298079D2B}"/>
    <cellStyle name="Total 2 9 2 4 3" xfId="15474" xr:uid="{B3FEA126-F901-4EC6-A16B-35FEAA60ED6A}"/>
    <cellStyle name="Total 2 9 2 4 4" xfId="22898" xr:uid="{115DA755-8531-42F0-BE29-A019D2BD4F92}"/>
    <cellStyle name="Total 2 9 2 5" xfId="4821" xr:uid="{6ED2E2B1-8ACD-443E-BE96-39ED7329216A}"/>
    <cellStyle name="Total 2 9 2 5 2" xfId="10678" xr:uid="{FC8715B7-ADC4-4CC5-82DA-E8767E43E0C6}"/>
    <cellStyle name="Total 2 9 2 5 2 2" xfId="19724" xr:uid="{122883FD-D412-4309-BD2E-537DF404BC21}"/>
    <cellStyle name="Total 2 9 2 5 3" xfId="16238" xr:uid="{5660BEEB-32E8-4482-92E2-ED395D365A32}"/>
    <cellStyle name="Total 2 9 2 6" xfId="5436" xr:uid="{708C2F8E-3752-463C-8361-B77DE52693FB}"/>
    <cellStyle name="Total 2 9 2 6 2" xfId="11289" xr:uid="{5B3BE48F-F605-4E18-BF44-27814DC9C2CD}"/>
    <cellStyle name="Total 2 9 2 6 2 2" xfId="20335" xr:uid="{81FF48A5-EB31-452B-B3AC-6B667388FF62}"/>
    <cellStyle name="Total 2 9 2 6 3" xfId="16849" xr:uid="{A58791F4-15F3-4283-A694-6D432C5CA54D}"/>
    <cellStyle name="Total 2 9 2 7" xfId="6047" xr:uid="{4574DB7C-2F88-44E6-9A78-974FA26334C0}"/>
    <cellStyle name="Total 2 9 2 7 2" xfId="11898" xr:uid="{34EB6BBD-CAAB-48D5-BD40-47E471A86BC0}"/>
    <cellStyle name="Total 2 9 2 7 2 2" xfId="20944" xr:uid="{C990D812-C98C-47CD-A708-11CF0E7C8EBE}"/>
    <cellStyle name="Total 2 9 2 7 3" xfId="17460" xr:uid="{C521D6A8-BF95-4BF0-8F3D-95ABED52CBD8}"/>
    <cellStyle name="Total 2 9 2 8" xfId="9310" xr:uid="{4115A97C-C3C0-4D59-867B-EE8EA2A6C7D3}"/>
    <cellStyle name="Total 2 9 2 8 2" xfId="18356" xr:uid="{538363F8-ACF6-4F9C-81BA-8EA86DC3E01B}"/>
    <cellStyle name="Total 2 9 2 9" xfId="12706" xr:uid="{F90469BB-C3FA-4983-8BCA-8A8B652273C4}"/>
    <cellStyle name="Total 2 9 3" xfId="2876" xr:uid="{AC957118-2CCF-4561-888B-9BE0C14BA354}"/>
    <cellStyle name="Total 2 9 3 10" xfId="13903" xr:uid="{23F3D278-301E-4C1B-95C4-2AC875E62D01}"/>
    <cellStyle name="Total 2 9 3 11" xfId="14880" xr:uid="{744662C3-D6CD-49EA-A827-9EC833DC8658}"/>
    <cellStyle name="Total 2 9 3 12" xfId="21748" xr:uid="{F0DA5000-2051-47E0-BBE5-9F7E2A64997C}"/>
    <cellStyle name="Total 2 9 3 13" xfId="3098" xr:uid="{4A6213C4-3856-46AC-B96B-FC8C1AA5B4E1}"/>
    <cellStyle name="Total 2 9 3 2" xfId="3515" xr:uid="{1C5B81D9-3B26-4B34-B4F0-E1BCB2FF1936}"/>
    <cellStyle name="Total 2 9 3 2 10" xfId="15306" xr:uid="{C958C55F-6FEF-4835-B200-CC54B1BED911}"/>
    <cellStyle name="Total 2 9 3 2 11" xfId="22174" xr:uid="{E35EE3DF-1903-4C4E-8C98-34B7667703C4}"/>
    <cellStyle name="Total 2 9 3 2 2" xfId="4749" xr:uid="{D6E8F3E5-9E53-44D4-BBF3-5709371750E5}"/>
    <cellStyle name="Total 2 9 3 2 2 2" xfId="10606" xr:uid="{F7EB7724-2121-441A-91C0-16D080E4BA11}"/>
    <cellStyle name="Total 2 9 3 2 2 2 2" xfId="19652" xr:uid="{7BC346E8-226D-42C5-9EB7-7CA0314DEE55}"/>
    <cellStyle name="Total 2 9 3 2 2 3" xfId="16166" xr:uid="{7B6390BF-6F0E-4E72-86D1-09F79BABE1DF}"/>
    <cellStyle name="Total 2 9 3 2 2 4" xfId="22830" xr:uid="{5DC44AD4-E1A3-42B8-BF57-383DF2FDEA7E}"/>
    <cellStyle name="Total 2 9 3 2 3" xfId="5250" xr:uid="{24A4E1EA-6C46-4B81-9A00-1A75EDB71CC1}"/>
    <cellStyle name="Total 2 9 3 2 3 2" xfId="11103" xr:uid="{A73FDD0D-6A23-40A3-B33E-60CF3FC7A66E}"/>
    <cellStyle name="Total 2 9 3 2 3 2 2" xfId="20149" xr:uid="{48E62847-ECEE-4219-BA58-25F3F375ED3B}"/>
    <cellStyle name="Total 2 9 3 2 3 3" xfId="16663" xr:uid="{5E8C47C8-FDA1-4B62-91CF-D13A2B7863C8}"/>
    <cellStyle name="Total 2 9 3 2 3 4" xfId="23325" xr:uid="{9F0FA684-A604-45BC-A91C-9896D775F2AC}"/>
    <cellStyle name="Total 2 9 3 2 4" xfId="5865" xr:uid="{DCFBB15C-B429-4E1A-91D5-7ED0D564DFAE}"/>
    <cellStyle name="Total 2 9 3 2 4 2" xfId="11718" xr:uid="{D6EFD509-3FB0-471E-BB78-DE54C3E5BFFE}"/>
    <cellStyle name="Total 2 9 3 2 4 2 2" xfId="20764" xr:uid="{90627B8B-E439-409E-B7DC-20890083B146}"/>
    <cellStyle name="Total 2 9 3 2 4 3" xfId="17278" xr:uid="{89B65DB3-C0F4-407A-AAD7-C71EA3EA3EDE}"/>
    <cellStyle name="Total 2 9 3 2 5" xfId="6476" xr:uid="{BC0A4D5E-99BF-483F-9411-ABE5089E7D24}"/>
    <cellStyle name="Total 2 9 3 2 5 2" xfId="12323" xr:uid="{A3D1E563-0B53-4BB9-9DCF-9AE981F2C6BC}"/>
    <cellStyle name="Total 2 9 3 2 5 2 2" xfId="21369" xr:uid="{A25B3CDC-5438-46BA-B3BA-2DAE1D251DB2}"/>
    <cellStyle name="Total 2 9 3 2 5 3" xfId="17889" xr:uid="{B4E0B42E-C1B1-4826-B496-F6BDAC14572E}"/>
    <cellStyle name="Total 2 9 3 2 6" xfId="9737" xr:uid="{B52AAA73-ACAF-46B5-A477-13CA13102AED}"/>
    <cellStyle name="Total 2 9 3 2 6 2" xfId="18783" xr:uid="{6C39A0C9-68E8-4B2C-AC55-86574C8D7266}"/>
    <cellStyle name="Total 2 9 3 2 7" xfId="13135" xr:uid="{78CEE17E-5A0B-437E-95FA-E377A12F60F1}"/>
    <cellStyle name="Total 2 9 3 2 8" xfId="13691" xr:uid="{32A1E9A7-E30D-47F8-93B4-34D3C5ED77EB}"/>
    <cellStyle name="Total 2 9 3 2 9" xfId="14331" xr:uid="{FAD982DB-75D0-4917-BEDD-3CA9CB996F0F}"/>
    <cellStyle name="Total 2 9 3 3" xfId="3313" xr:uid="{E827B775-51FE-4AA9-A8E9-7DC55C7BE9D9}"/>
    <cellStyle name="Total 2 9 3 3 10" xfId="15093" xr:uid="{F03BF98C-7740-438B-8E89-E322AC25AAB0}"/>
    <cellStyle name="Total 2 9 3 3 11" xfId="21963" xr:uid="{17157AC5-BFEA-4F26-AA9D-4F77AA9AC98F}"/>
    <cellStyle name="Total 2 9 3 3 2" xfId="4536" xr:uid="{21840FC6-A8D9-4984-A02A-4A6A627ECD73}"/>
    <cellStyle name="Total 2 9 3 3 2 2" xfId="10393" xr:uid="{9781A86F-9662-47B4-8B91-4EC3DF62F722}"/>
    <cellStyle name="Total 2 9 3 3 2 2 2" xfId="19439" xr:uid="{D46FF156-AB17-4C23-AD6E-479FCAD4FEB8}"/>
    <cellStyle name="Total 2 9 3 3 2 3" xfId="15953" xr:uid="{630217DE-5423-4CBF-B7D4-F9D0441287EB}"/>
    <cellStyle name="Total 2 9 3 3 2 4" xfId="22619" xr:uid="{996F8BD7-E82A-4576-A8A8-2CEBB1B0F230}"/>
    <cellStyle name="Total 2 9 3 3 3" xfId="5037" xr:uid="{3040AA17-7A5F-43CE-BB22-399D96AA5B6F}"/>
    <cellStyle name="Total 2 9 3 3 3 2" xfId="10890" xr:uid="{EEAE4BAC-F7E2-4C79-803B-EA1CC3A63D59}"/>
    <cellStyle name="Total 2 9 3 3 3 2 2" xfId="19936" xr:uid="{A27CB2F0-DAEC-47FD-AA5C-B11E1DDD8B45}"/>
    <cellStyle name="Total 2 9 3 3 3 3" xfId="16450" xr:uid="{57818B5E-376D-49A1-985D-C79FEE17C685}"/>
    <cellStyle name="Total 2 9 3 3 3 4" xfId="23114" xr:uid="{3FB092A2-10B5-46E7-8253-85E7F563C93A}"/>
    <cellStyle name="Total 2 9 3 3 4" xfId="5652" xr:uid="{6EBEA57C-097E-4CCD-BBA8-DD1BA5CF82DA}"/>
    <cellStyle name="Total 2 9 3 3 4 2" xfId="11505" xr:uid="{C5487351-165A-4943-AD49-FEC95865885B}"/>
    <cellStyle name="Total 2 9 3 3 4 2 2" xfId="20551" xr:uid="{BC94C03E-4B18-4410-833A-F5096724104B}"/>
    <cellStyle name="Total 2 9 3 3 4 3" xfId="17065" xr:uid="{C29ECD11-3E9B-4DF9-93B5-BAEB7B952CDA}"/>
    <cellStyle name="Total 2 9 3 3 5" xfId="6263" xr:uid="{918CB897-0CE7-43EC-AF26-9E3722367356}"/>
    <cellStyle name="Total 2 9 3 3 5 2" xfId="12110" xr:uid="{D5E534C6-F63A-402E-AA80-97166AED23F5}"/>
    <cellStyle name="Total 2 9 3 3 5 2 2" xfId="21156" xr:uid="{2DCC9298-4D4A-425D-82F5-99F25267E836}"/>
    <cellStyle name="Total 2 9 3 3 5 3" xfId="17676" xr:uid="{91A5EE4C-20B8-40C5-984C-6A35A6C5CF85}"/>
    <cellStyle name="Total 2 9 3 3 6" xfId="9524" xr:uid="{8F0FB48A-7A4B-41FF-A94C-1697A0C8291E}"/>
    <cellStyle name="Total 2 9 3 3 6 2" xfId="18570" xr:uid="{6EA816DF-DAE4-4DA3-B886-1F6489030E7D}"/>
    <cellStyle name="Total 2 9 3 3 7" xfId="12922" xr:uid="{5595BFE8-7F2E-4117-8351-A322EF76FD78}"/>
    <cellStyle name="Total 2 9 3 3 8" xfId="13480" xr:uid="{3A10970B-17CA-42DC-8E35-7C7A7E850103}"/>
    <cellStyle name="Total 2 9 3 3 9" xfId="14118" xr:uid="{82AC9941-915A-4A5E-A6A9-BEDEE7E666B9}"/>
    <cellStyle name="Total 2 9 3 4" xfId="4822" xr:uid="{F2D0D168-1512-44D8-BAA7-53E8191F30CB}"/>
    <cellStyle name="Total 2 9 3 4 2" xfId="10679" xr:uid="{58F1ACD6-5BC5-4294-947E-334F1B163D38}"/>
    <cellStyle name="Total 2 9 3 4 2 2" xfId="19725" xr:uid="{33794A8F-41D6-4397-A51A-D502B20617A2}"/>
    <cellStyle name="Total 2 9 3 4 3" xfId="16239" xr:uid="{643AEB99-5017-432C-95DE-35C1372ECF54}"/>
    <cellStyle name="Total 2 9 3 4 4" xfId="22899" xr:uid="{C01BB49A-8E4D-4481-8EB0-FC466C164BD9}"/>
    <cellStyle name="Total 2 9 3 5" xfId="5437" xr:uid="{CE0F0756-BF36-43F2-94A7-5D69840A06DD}"/>
    <cellStyle name="Total 2 9 3 5 2" xfId="11290" xr:uid="{AFEB0FE4-58BC-483F-8858-64E015D93758}"/>
    <cellStyle name="Total 2 9 3 5 2 2" xfId="20336" xr:uid="{3629CF59-9ACE-40AB-9516-E171111B0F38}"/>
    <cellStyle name="Total 2 9 3 5 3" xfId="16850" xr:uid="{58AC8336-596C-41DD-84BF-74F86A4E9DE8}"/>
    <cellStyle name="Total 2 9 3 6" xfId="6048" xr:uid="{E8AC6555-3B99-49D9-84E0-60454EDA7661}"/>
    <cellStyle name="Total 2 9 3 6 2" xfId="11899" xr:uid="{65978EF7-1462-42DE-8586-7A2A3454C76C}"/>
    <cellStyle name="Total 2 9 3 6 2 2" xfId="20945" xr:uid="{14F6A8EE-8B4D-478D-81CA-7DCC965280C5}"/>
    <cellStyle name="Total 2 9 3 6 3" xfId="17461" xr:uid="{69352BDA-4670-4B47-A884-E8C07BD6742E}"/>
    <cellStyle name="Total 2 9 3 7" xfId="9311" xr:uid="{1BF82B0F-0494-4057-89B5-83448866CD12}"/>
    <cellStyle name="Total 2 9 3 7 2" xfId="18357" xr:uid="{C42E9E34-2C0F-4D13-AE29-6F1E585B0FDD}"/>
    <cellStyle name="Total 2 9 3 8" xfId="12707" xr:uid="{DB31E52B-112F-4F22-8C96-A1FCD561C085}"/>
    <cellStyle name="Total 2 9 3 9" xfId="13269" xr:uid="{C276CAD4-9879-45DC-B468-41C57AFA247D}"/>
    <cellStyle name="Total 2 9 4" xfId="3393" xr:uid="{846BC52C-8473-42B0-86CF-F5595181AE19}"/>
    <cellStyle name="Total 2 9 4 10" xfId="15173" xr:uid="{F3CF6E09-678C-4623-B134-7D525B5C6118}"/>
    <cellStyle name="Total 2 9 4 11" xfId="22042" xr:uid="{8C78D971-50FD-4075-89C0-262EDAAB954C}"/>
    <cellStyle name="Total 2 9 4 2" xfId="4616" xr:uid="{A502CC1C-E93C-4CC1-A28A-029BABB5A159}"/>
    <cellStyle name="Total 2 9 4 2 2" xfId="10473" xr:uid="{D17BDBAA-5B46-4D6D-AB15-58F5BEDDC8FE}"/>
    <cellStyle name="Total 2 9 4 2 2 2" xfId="19519" xr:uid="{4F49AD95-6059-41E0-B6B8-07E1A130A88F}"/>
    <cellStyle name="Total 2 9 4 2 3" xfId="16033" xr:uid="{697A0091-D3F6-416A-858E-76964CB4D4E5}"/>
    <cellStyle name="Total 2 9 4 2 4" xfId="22698" xr:uid="{A086361E-DAB4-49CA-A74E-DA5B72F65B64}"/>
    <cellStyle name="Total 2 9 4 3" xfId="5117" xr:uid="{95164769-E5FD-4AA8-BD1A-78070C7D7F1F}"/>
    <cellStyle name="Total 2 9 4 3 2" xfId="10970" xr:uid="{5FD7695E-C7F3-4A82-B7F8-7969E730F0A0}"/>
    <cellStyle name="Total 2 9 4 3 2 2" xfId="20016" xr:uid="{9A0D33E4-0CE6-46B3-9A73-BE0C94A81581}"/>
    <cellStyle name="Total 2 9 4 3 3" xfId="16530" xr:uid="{7D1AC4F1-5BBB-4628-BA2C-17DFC9AEB993}"/>
    <cellStyle name="Total 2 9 4 3 4" xfId="23193" xr:uid="{223B3790-5D50-491A-914F-B1EFFFE53450}"/>
    <cellStyle name="Total 2 9 4 4" xfId="5732" xr:uid="{3A829621-F10B-4447-94B5-CBD51D236A49}"/>
    <cellStyle name="Total 2 9 4 4 2" xfId="11585" xr:uid="{EA1038D9-26BD-4FDF-8E56-06F54A5CE5BE}"/>
    <cellStyle name="Total 2 9 4 4 2 2" xfId="20631" xr:uid="{87930F8D-1845-496D-BC90-FBAD0CA7F492}"/>
    <cellStyle name="Total 2 9 4 4 3" xfId="17145" xr:uid="{FF87DF45-1244-4865-9B44-51E3DD1DBF4D}"/>
    <cellStyle name="Total 2 9 4 5" xfId="6343" xr:uid="{558C92F7-4E03-4AD0-95C1-8A7A8FC03388}"/>
    <cellStyle name="Total 2 9 4 5 2" xfId="12190" xr:uid="{1A661994-C02D-4FCA-A2E2-33AE3489B637}"/>
    <cellStyle name="Total 2 9 4 5 2 2" xfId="21236" xr:uid="{DBD099A2-EFFD-4807-A8DC-BC2E95864C0A}"/>
    <cellStyle name="Total 2 9 4 5 3" xfId="17756" xr:uid="{70CF4A1B-DFB8-4319-9C26-5EF75C46EDBD}"/>
    <cellStyle name="Total 2 9 4 6" xfId="9604" xr:uid="{C5BC6490-D2EC-411F-9D30-1F4B9D9983E7}"/>
    <cellStyle name="Total 2 9 4 6 2" xfId="18650" xr:uid="{2A617DCC-674E-4949-98B5-DC8027C0134C}"/>
    <cellStyle name="Total 2 9 4 7" xfId="13002" xr:uid="{10B5CD0D-22E9-4D28-ABF5-5226036FD465}"/>
    <cellStyle name="Total 2 9 4 8" xfId="13559" xr:uid="{A8124933-F204-4866-9F04-4D87095A4726}"/>
    <cellStyle name="Total 2 9 4 9" xfId="14198" xr:uid="{BF3BC8C4-409C-4003-BC0B-5DFD1EA5C0E8}"/>
    <cellStyle name="Total 2 9 5" xfId="3181" xr:uid="{4194C13D-B984-490A-BFB4-680417526A5F}"/>
    <cellStyle name="Total 2 9 5 10" xfId="14961" xr:uid="{24A3D761-D151-42CD-B1D9-C1BF8DE93724}"/>
    <cellStyle name="Total 2 9 5 11" xfId="21829" xr:uid="{091B1847-BABF-4265-B803-8DCA03FFCA14}"/>
    <cellStyle name="Total 2 9 5 2" xfId="4402" xr:uid="{32FB2F92-66C2-4F55-A366-15AC5C56931A}"/>
    <cellStyle name="Total 2 9 5 2 2" xfId="10259" xr:uid="{61D29281-E80F-47B2-B18A-924234CB098E}"/>
    <cellStyle name="Total 2 9 5 2 2 2" xfId="19305" xr:uid="{F62CB53B-8904-4B03-AE7E-1D03CC363A44}"/>
    <cellStyle name="Total 2 9 5 2 3" xfId="15819" xr:uid="{04A7AC37-B766-4790-A99E-423BAB09A218}"/>
    <cellStyle name="Total 2 9 5 2 4" xfId="22485" xr:uid="{BA250820-FF71-4A3B-A572-1F33F5D91C11}"/>
    <cellStyle name="Total 2 9 5 3" xfId="4903" xr:uid="{F90F3D2B-A12A-46DA-A6E9-FB92EE54099D}"/>
    <cellStyle name="Total 2 9 5 3 2" xfId="10758" xr:uid="{0B43A18B-981A-4C9D-A4D9-0D6FCEB18493}"/>
    <cellStyle name="Total 2 9 5 3 2 2" xfId="19804" xr:uid="{1046D071-36D8-4E3D-8127-6A2A10BF5091}"/>
    <cellStyle name="Total 2 9 5 3 3" xfId="16318" xr:uid="{E4B56FA6-643F-4CCB-911F-41CE8A3441F2}"/>
    <cellStyle name="Total 2 9 5 3 4" xfId="22980" xr:uid="{5FCA4114-1A5F-4E41-8DCA-A548691400C8}"/>
    <cellStyle name="Total 2 9 5 4" xfId="5518" xr:uid="{293D9A75-5B5E-4CF5-9101-C83B38761C46}"/>
    <cellStyle name="Total 2 9 5 4 2" xfId="11371" xr:uid="{899B0C59-770B-498A-843F-570CC657312A}"/>
    <cellStyle name="Total 2 9 5 4 2 2" xfId="20417" xr:uid="{9AF55B3E-A0E5-4429-A247-3006B2E218DA}"/>
    <cellStyle name="Total 2 9 5 4 3" xfId="16931" xr:uid="{851EC1B2-E77A-4371-9648-764DA78B7EAB}"/>
    <cellStyle name="Total 2 9 5 5" xfId="6129" xr:uid="{233925F1-7A07-4A90-9750-B8CFB90BE663}"/>
    <cellStyle name="Total 2 9 5 5 2" xfId="11978" xr:uid="{0B802118-9F7E-4121-B5D8-9EE24603680E}"/>
    <cellStyle name="Total 2 9 5 5 2 2" xfId="21024" xr:uid="{E24DC584-B0C5-4788-B180-426753B1F2AE}"/>
    <cellStyle name="Total 2 9 5 5 3" xfId="17542" xr:uid="{5221467A-905F-4653-B497-68E0AE33300D}"/>
    <cellStyle name="Total 2 9 5 6" xfId="9392" xr:uid="{E753EECC-E6AE-48EA-84AE-B7F7A313AB5C}"/>
    <cellStyle name="Total 2 9 5 6 2" xfId="18438" xr:uid="{C98F2FFE-3876-4C15-8DEB-8598B1307DAA}"/>
    <cellStyle name="Total 2 9 5 7" xfId="12788" xr:uid="{90971A3A-27F8-45FA-AA09-B718D0C1BCBE}"/>
    <cellStyle name="Total 2 9 5 8" xfId="13348" xr:uid="{C4EB92F7-16B1-41F7-97F7-8991B4998666}"/>
    <cellStyle name="Total 2 9 5 9" xfId="13984" xr:uid="{1A293412-4715-48B1-982C-61A957BF395E}"/>
    <cellStyle name="Total 2 9 6" xfId="3782" xr:uid="{6941D0B5-F41F-494A-A839-C48F6B9B085F}"/>
    <cellStyle name="Total 2 9 6 2" xfId="9824" xr:uid="{96F38AF2-189C-4BBD-9664-FA2F73DF69D7}"/>
    <cellStyle name="Total 2 9 6 2 2" xfId="18870" xr:uid="{EBCE4729-5008-4961-A52A-0467FFC7A0D1}"/>
    <cellStyle name="Total 2 9 6 3" xfId="15390" xr:uid="{C894A786-58AE-4EAA-B11C-BA5F2BFC0F19}"/>
    <cellStyle name="Total 2 9 6 4" xfId="22369" xr:uid="{331094C3-7F17-4ECA-828C-4F9E42197B5C}"/>
    <cellStyle name="Total 2 9 7" xfId="4266" xr:uid="{B54AAF9C-8DD5-49CC-881C-DCF76C5173E2}"/>
    <cellStyle name="Total 2 9 7 2" xfId="10123" xr:uid="{3C1FE034-6334-4D31-91F4-4D5E8CC437EC}"/>
    <cellStyle name="Total 2 9 7 2 2" xfId="19169" xr:uid="{EEC5FA25-CD21-49B7-A514-A7F1A9053A36}"/>
    <cellStyle name="Total 2 9 7 3" xfId="15683" xr:uid="{8439B95E-61A3-45F0-9DB9-50F49A424FFF}"/>
    <cellStyle name="Total 2 9 7 4" xfId="22238" xr:uid="{C0D03839-F6CC-4851-A043-E1CD1F82AE28}"/>
    <cellStyle name="Total 2 9 8" xfId="4119" xr:uid="{E42F42B6-F0C3-4BE4-92C5-E2ADA80B9493}"/>
    <cellStyle name="Total 2 9 8 2" xfId="9976" xr:uid="{068C1682-BF2A-4068-8BF3-935290D387F3}"/>
    <cellStyle name="Total 2 9 8 2 2" xfId="19022" xr:uid="{1DE54FB2-C9E4-4F93-AB3C-F3EDC7DE2154}"/>
    <cellStyle name="Total 2 9 8 3" xfId="15536" xr:uid="{58044917-F5B4-4D99-8ED5-D29740869B17}"/>
    <cellStyle name="Total 2 9 9" xfId="5303" xr:uid="{E5C27AC9-65E1-4ECC-8E84-8B0C960CAA4D}"/>
    <cellStyle name="Total 2 9 9 2" xfId="11156" xr:uid="{2C1DC35E-2CCD-43AC-89BB-797F3AA199D1}"/>
    <cellStyle name="Total 2 9 9 2 2" xfId="20202" xr:uid="{CF0DF0E6-329F-4F81-AEC7-D4BCBFF4A476}"/>
    <cellStyle name="Total 2 9 9 3" xfId="16716" xr:uid="{2EC01340-E87C-4C75-80B6-8F5F7F139B16}"/>
    <cellStyle name="Total 2_Corporate Allocators" xfId="8774" xr:uid="{460E3CD9-06A6-478C-B90D-9A5EFC213B46}"/>
    <cellStyle name="Total 3" xfId="2228" xr:uid="{30ADA596-D0A3-41AD-9851-2668019652F0}"/>
    <cellStyle name="Total 3 2" xfId="2229" xr:uid="{49135940-0911-45C4-AFAA-5D43034933A4}"/>
    <cellStyle name="Total 3 2 2" xfId="2906" xr:uid="{DC9F4FFB-0E41-492D-8862-D49167369994}"/>
    <cellStyle name="Total 3 2 2 2" xfId="18098" xr:uid="{624D82AB-1269-4AC8-93F8-F71A0DAB2430}"/>
    <cellStyle name="Total 3 2 3" xfId="2842" xr:uid="{01BE870F-2E11-4B27-8CB3-6ECA3E50E914}"/>
    <cellStyle name="Total 3 2 3 2" xfId="23679" xr:uid="{9AE6E3E9-11A3-4C6A-9369-7491908C74C9}"/>
    <cellStyle name="Total 3 2 4" xfId="9051" xr:uid="{23167F8A-5F95-4CE6-AE3C-7625F708749F}"/>
    <cellStyle name="Total 3 3" xfId="2907" xr:uid="{4E08A4E1-DF27-4539-B90F-380D5DAFD75F}"/>
    <cellStyle name="Total 3 3 2" xfId="21480" xr:uid="{800365A3-734A-4555-A170-37EEBFF199E1}"/>
    <cellStyle name="Total 3 3 3" xfId="12433" xr:uid="{994A0264-1A32-4267-A5C1-DB8380C9AC9F}"/>
    <cellStyle name="Total 3 4" xfId="2841" xr:uid="{46705CCA-7FEE-4FF5-B41B-50474B5DCB45}"/>
    <cellStyle name="Total 3 4 2" xfId="14547" xr:uid="{3028A0B8-3CDD-4BCF-8615-6A9CA153CCA1}"/>
    <cellStyle name="Total 3 5" xfId="18011" xr:uid="{922B292E-755D-4645-BB70-BEA8D7C781AB}"/>
    <cellStyle name="Total 3 6" xfId="23482" xr:uid="{2D708560-471B-4FB2-A0C4-DE63088816E5}"/>
    <cellStyle name="Total 3 7" xfId="8775" xr:uid="{A148FD59-856A-4D93-BB4B-89141E359C8F}"/>
    <cellStyle name="Total 4" xfId="2230" xr:uid="{E631C9BC-D7A9-41D8-B494-BF5A52C2BE6B}"/>
    <cellStyle name="Total 4 2" xfId="2231" xr:uid="{0C5849A2-BB40-479A-9292-9E08167DFFAE}"/>
    <cellStyle name="Total 4 2 2" xfId="2891" xr:uid="{1C33FE5D-D921-42DE-A945-B4D133A277EC}"/>
    <cellStyle name="Total 4 2 2 2" xfId="18099" xr:uid="{90A0B1AA-13B9-43C0-AB3A-2D0E2E526574}"/>
    <cellStyle name="Total 4 2 3" xfId="2698" xr:uid="{6FA2E869-97F6-45E8-844E-52DF2FBB6116}"/>
    <cellStyle name="Total 4 2 3 2" xfId="23680" xr:uid="{82F1228E-5F61-45DF-A49F-96B0F36B0720}"/>
    <cellStyle name="Total 4 2 4" xfId="9052" xr:uid="{80EF9F95-6581-4791-9430-F640D09A8DAC}"/>
    <cellStyle name="Total 4 3" xfId="2232" xr:uid="{64CF26E5-56BE-453C-96F5-4751ED8A408E}"/>
    <cellStyle name="Total 4 3 2" xfId="2892" xr:uid="{E638D5EE-F349-4344-93DF-B67148D2C5BC}"/>
    <cellStyle name="Total 4 3 2 2" xfId="21481" xr:uid="{04148742-1CE5-4925-944A-AE9A7BA79005}"/>
    <cellStyle name="Total 4 3 3" xfId="2959" xr:uid="{BC82FFC9-05FA-4F69-8F6D-6FE2ACBC5F0A}"/>
    <cellStyle name="Total 4 3 4" xfId="12434" xr:uid="{828A6BBE-60F9-4440-A3BC-047C8C577BF7}"/>
    <cellStyle name="Total 4 4" xfId="2890" xr:uid="{B59C6BE9-B097-46A3-AA82-276922DB34CB}"/>
    <cellStyle name="Total 4 4 2" xfId="14548" xr:uid="{27262A72-E96A-4031-9A58-28BDD625B98B}"/>
    <cellStyle name="Total 4 5" xfId="2699" xr:uid="{10581009-4BF1-47E2-93D1-01AAFC7631EC}"/>
    <cellStyle name="Total 4 5 2" xfId="18012" xr:uid="{227F15DF-7A39-4145-98C9-0C46BFD0E90E}"/>
    <cellStyle name="Total 4 6" xfId="23483" xr:uid="{983DAFDA-51EF-4768-83A5-A0755AF4719A}"/>
    <cellStyle name="Total 4 7" xfId="8776" xr:uid="{15DB6275-D870-4A3C-A5A7-01DF04DF71F5}"/>
    <cellStyle name="Total 5" xfId="2233" xr:uid="{3240C426-A6E3-4CFD-9DED-E8A5C53424B3}"/>
    <cellStyle name="Total 5 2" xfId="2531" xr:uid="{D3E1E6A8-B97A-4458-AA29-67FCA62D3779}"/>
    <cellStyle name="Total 5 2 2" xfId="18100" xr:uid="{A1AC9B23-EE60-4464-8682-E3694EA4084F}"/>
    <cellStyle name="Total 5 2 3" xfId="23681" xr:uid="{A906A876-7080-44F5-97D8-0F53CC031D3C}"/>
    <cellStyle name="Total 5 2 4" xfId="9053" xr:uid="{296D13C7-F007-46DA-A099-14C9C9EFBA43}"/>
    <cellStyle name="Total 5 3" xfId="2843" xr:uid="{CFDFE3D7-07C5-4C18-8793-627E44D66BE4}"/>
    <cellStyle name="Total 5 3 2" xfId="21482" xr:uid="{E189DCD2-8B80-4D05-9B65-8D1596ACA870}"/>
    <cellStyle name="Total 5 3 3" xfId="12435" xr:uid="{BB31FB99-49A2-4C14-BDF6-94F019D83049}"/>
    <cellStyle name="Total 5 4" xfId="14549" xr:uid="{519D409C-B65B-4AAD-99A3-5617FF60F81F}"/>
    <cellStyle name="Total 5 5" xfId="18013" xr:uid="{937A26C6-BF6E-4AF6-808C-D8EFFAA751EA}"/>
    <cellStyle name="Total 5 6" xfId="23484" xr:uid="{496A7A95-5ED6-4113-B458-64996FE237F8}"/>
    <cellStyle name="Total 6" xfId="8777" xr:uid="{F4DCD1EE-E045-466E-A759-1D21C47CE06B}"/>
    <cellStyle name="Total 6 2" xfId="9054" xr:uid="{3922FAC4-0EED-4CA6-A0D7-DA44911BB2C8}"/>
    <cellStyle name="Total 6 2 2" xfId="18101" xr:uid="{B7164780-887E-4815-B60C-258303640884}"/>
    <cellStyle name="Total 6 2 3" xfId="23682" xr:uid="{01BD2F73-1C69-4864-BFD0-0E3D51D96BF7}"/>
    <cellStyle name="Total 6 3" xfId="12436" xr:uid="{DD78AEBF-2C3D-4FE9-9B18-F66B63518BC2}"/>
    <cellStyle name="Total 6 3 2" xfId="21483" xr:uid="{B025F58A-CE3C-4989-92CC-4349D8CFD9CF}"/>
    <cellStyle name="Total 6 4" xfId="14550" xr:uid="{F7D8CCF6-3A1F-4C61-A60A-C6F508DBEC04}"/>
    <cellStyle name="Total 6 5" xfId="18014" xr:uid="{C142EDE3-43DE-4C89-BE6B-82B0DC95ABC4}"/>
    <cellStyle name="Total 6 6" xfId="23485" xr:uid="{F7FAA466-894E-467F-8262-AAE87B3508D6}"/>
    <cellStyle name="Total 7" xfId="8778" xr:uid="{FF93A112-9026-4330-8CC4-EE87BA59E494}"/>
    <cellStyle name="Total 7 2" xfId="9055" xr:uid="{BDC6E7AD-5E97-4A25-AE70-E7AB861D6E17}"/>
    <cellStyle name="Total 7 2 2" xfId="18102" xr:uid="{5BA2BD2F-C16B-4744-BBAE-677521A6AADA}"/>
    <cellStyle name="Total 7 2 3" xfId="23683" xr:uid="{4068075F-641A-4A1C-9BBE-8F18146E2F24}"/>
    <cellStyle name="Total 7 3" xfId="12437" xr:uid="{0CACE3DC-A7FB-420B-B545-4D22BA7D4F7B}"/>
    <cellStyle name="Total 7 3 2" xfId="21484" xr:uid="{796BB25D-A9FE-43FF-9C48-CBD00B824944}"/>
    <cellStyle name="Total 7 4" xfId="14551" xr:uid="{7EBFF7E4-3EED-49DC-98CE-DF772C9D995D}"/>
    <cellStyle name="Total 7 5" xfId="18015" xr:uid="{1495D0C8-C661-4F24-B4EE-3C62E124195B}"/>
    <cellStyle name="Total 7 6" xfId="23486" xr:uid="{CF214C23-0C91-4DC1-AB7A-9B425104FA13}"/>
    <cellStyle name="Total 8" xfId="8779" xr:uid="{D2BA5D37-F616-431A-BA2F-DCCB146D6184}"/>
    <cellStyle name="Total 8 2" xfId="9056" xr:uid="{685008C5-6CD9-41F3-B89F-066267FB5239}"/>
    <cellStyle name="Total 8 2 2" xfId="18103" xr:uid="{597CA34E-C6C8-4788-8967-83AEA8E09317}"/>
    <cellStyle name="Total 8 2 3" xfId="23684" xr:uid="{88240AD2-90F6-4CCB-A191-C348AB38E9CA}"/>
    <cellStyle name="Total 8 3" xfId="12438" xr:uid="{6116955B-5CE9-44FA-80FC-D196E8661986}"/>
    <cellStyle name="Total 8 3 2" xfId="21485" xr:uid="{568E1294-6740-4B9A-AB17-FB779CCD8EE1}"/>
    <cellStyle name="Total 8 4" xfId="14552" xr:uid="{7385D9E3-920F-4281-94ED-29F85C65D341}"/>
    <cellStyle name="Total 8 5" xfId="18016" xr:uid="{1974FBB3-6433-4B79-A138-EDD9773058D4}"/>
    <cellStyle name="Total 8 6" xfId="23487" xr:uid="{F44C960D-569F-49F5-A52B-5B45A6B3AA62}"/>
    <cellStyle name="Total 9" xfId="8780" xr:uid="{B908D81C-DC33-4A04-91F8-B73BC34BD7F0}"/>
    <cellStyle name="Total 9 2" xfId="9057" xr:uid="{3EE82658-4619-4E55-9186-56FDE5328BDA}"/>
    <cellStyle name="Total 9 2 2" xfId="18104" xr:uid="{C94B2698-F244-42D2-A603-E5122032A5B3}"/>
    <cellStyle name="Total 9 2 3" xfId="23685" xr:uid="{2A0EA64D-03CC-4D99-B924-C4E69FF70A43}"/>
    <cellStyle name="Total 9 3" xfId="12439" xr:uid="{829893FD-6250-420B-9437-C58A145E5E26}"/>
    <cellStyle name="Total 9 3 2" xfId="21486" xr:uid="{F9B1D9B0-B0FF-4ED9-B97E-4C59E9DAF3BF}"/>
    <cellStyle name="Total 9 4" xfId="14553" xr:uid="{8009FA52-942B-41E8-8FAC-6E0780FAB8AC}"/>
    <cellStyle name="Total 9 5" xfId="18017" xr:uid="{C6EC5522-C2A1-4264-BEC4-96AF68E346C6}"/>
    <cellStyle name="Total 9 6" xfId="23488" xr:uid="{6899B964-C7AF-42A3-A15B-C9D0CF1A19EF}"/>
    <cellStyle name="Totals" xfId="2234" xr:uid="{281B869E-2ABF-447C-B7D5-7A5CD85E5E8F}"/>
    <cellStyle name="Totals 2" xfId="2235" xr:uid="{051ED8F7-F45D-4A0A-818E-714FE7B0344A}"/>
    <cellStyle name="Totals 2 2" xfId="2529" xr:uid="{6521A8CB-7D6F-44DA-8B1C-5D7921855BAA}"/>
    <cellStyle name="Totals 2 3" xfId="2845" xr:uid="{1DFAA8DE-D43D-4043-A9AC-4B1EBEECACE1}"/>
    <cellStyle name="Totals 3" xfId="2530" xr:uid="{8635994E-ADF4-4208-B24E-21668E8B852F}"/>
    <cellStyle name="Totals 4" xfId="2844" xr:uid="{0BDCE960-3C79-4C75-8BA0-27E84727CF2C}"/>
    <cellStyle name="Totals_6. Ass-Fin" xfId="2236" xr:uid="{6AA228BC-193C-4283-8C5B-8C8A83C93697}"/>
    <cellStyle name="Underline" xfId="8781" xr:uid="{9E3969B0-8754-4968-8DCC-DB3216CCC47B}"/>
    <cellStyle name="Underline 2" xfId="9079" xr:uid="{D996337D-CCC0-4FC5-8213-ADF17EF94412}"/>
    <cellStyle name="Underline 2 2" xfId="18125" xr:uid="{AD00D0FB-F298-4E37-AB5A-B732BF2BF00A}"/>
    <cellStyle name="Underline 3" xfId="18018" xr:uid="{4406E7E0-EF9C-4D8E-BACE-5102F126BEC0}"/>
    <cellStyle name="Unique Formula" xfId="574" xr:uid="{06DBF66C-D1DD-41C5-A680-1171ED6CCA24}"/>
    <cellStyle name="Units" xfId="2237" xr:uid="{99E6F855-AAB5-46DA-9E2B-1FC86AE1397B}"/>
    <cellStyle name="Updates" xfId="8782" xr:uid="{C72F293B-66E3-4D7C-A63C-395BC91C286A}"/>
    <cellStyle name="v" xfId="8783" xr:uid="{151FCF00-7E10-41D2-AEA1-C2141DEC157B}"/>
    <cellStyle name="v_2900 - Facilities" xfId="8784" xr:uid="{A98A4473-8AE6-4FB6-8C72-39D792D2B40C}"/>
    <cellStyle name="v_5520 &amp; 7500 - Distribu Business" xfId="8785" xr:uid="{2829985A-2127-46C4-B4D6-EDCF2B67DFD7}"/>
    <cellStyle name="v_6050 Ret, 7550 WED, 7600 AETV" xfId="8786" xr:uid="{C1B84C03-0F6A-49F8-B322-E1E8418714AD}"/>
    <cellStyle name="v_AETV (TG Model) JULY TARGET" xfId="8787" xr:uid="{40731B98-E9F6-48C1-958B-0B9F56F922B8}"/>
    <cellStyle name="v_AETV (TG Model) JULY TARGET_2900 - Facilities" xfId="8788" xr:uid="{30ECA8B2-D77B-4A01-90B1-9B6F5C2B315E}"/>
    <cellStyle name="v_AETV (TG Model) JULY TARGET_5520 &amp; 7500 - Distribu Business" xfId="8789" xr:uid="{20DF2541-ACEC-4B05-AEB8-0170531913E6}"/>
    <cellStyle name="v_AETV (TG Model) JULY TARGET_6050 Ret, 7550 WED, 7600 AETV" xfId="8790" xr:uid="{AFBAD7FE-E022-45E1-97B8-D5188268F5E1}"/>
    <cellStyle name="v_AETV (TG Model) JULY TARGET_Settings" xfId="8791" xr:uid="{EA27253F-57C3-4FF8-9464-CB7FC402C293}"/>
    <cellStyle name="v_Construction-Monthly" xfId="8792" xr:uid="{55AF220D-FFF1-4425-8B7D-53F335151C29}"/>
    <cellStyle name="v_Construction-Monthly_2900 - Facilities" xfId="8793" xr:uid="{2D1AC29F-79E0-4078-B7DE-E0D0696210E9}"/>
    <cellStyle name="v_Construction-Monthly_5520 &amp; 7500 - Distribu Business" xfId="8794" xr:uid="{E4C0CA32-427C-45C0-85B1-7D6E2FCA598C}"/>
    <cellStyle name="v_Construction-Monthly_6050 Ret, 7550 WED, 7600 AETV" xfId="8795" xr:uid="{F6748A3E-9641-4A20-8FB4-9B4D3F5B9AE5}"/>
    <cellStyle name="v_Construction-Monthly_Settings" xfId="8796" xr:uid="{AAD34B10-BF86-461D-A894-4C0F40A957FB}"/>
    <cellStyle name="v_Settings" xfId="8797" xr:uid="{6C3F3B92-3A73-4AA2-9EF5-D5A499753CC6}"/>
    <cellStyle name="Velký nadpis" xfId="2238" xr:uid="{69519554-009E-4C4E-85A4-DF366FEF1A38}"/>
    <cellStyle name="Vpershare" xfId="8798" xr:uid="{BB2AE723-7FEC-4651-BA7A-FB48233A4440}"/>
    <cellStyle name="Vstandard" xfId="8799" xr:uid="{FA2D508D-2602-482C-8A6A-C4CC5A606304}"/>
    <cellStyle name="Währung [0]_PERSON2" xfId="2239" xr:uid="{244B173C-1DEE-4399-B924-1ABDBBB9E147}"/>
    <cellStyle name="Währung_PERSON2" xfId="2240" xr:uid="{0A57F42E-8724-4EF0-8DAD-2E5D45A7043B}"/>
    <cellStyle name="Warning" xfId="2241" xr:uid="{06AB43D0-DD2E-4D98-9CE5-FFDDBE6E2D85}"/>
    <cellStyle name="Warning 2" xfId="2242" xr:uid="{EBEF5BE3-2C3C-4492-AFFF-2E840A6A08AC}"/>
    <cellStyle name="Warning Text" xfId="569" builtinId="11"/>
    <cellStyle name="Warning Text 10" xfId="8800" xr:uid="{308C711B-80B3-4B44-B040-122C82FDC9CE}"/>
    <cellStyle name="Warning Text 11" xfId="8801" xr:uid="{A77507FC-38DD-4480-9721-08B7E2AA086A}"/>
    <cellStyle name="Warning Text 2" xfId="278" xr:uid="{E93CAF07-1FBF-4C59-934D-81F61F105E43}"/>
    <cellStyle name="Warning Text 2 2" xfId="3970" xr:uid="{11174FBD-ACDF-467E-B66B-EDFDA34DD2B1}"/>
    <cellStyle name="Warning Text 2 3" xfId="3703" xr:uid="{C30E3F4E-BC01-4DD7-B09D-657180E27EA1}"/>
    <cellStyle name="Warning Text 3" xfId="8802" xr:uid="{6204ACB8-FECA-4ACB-80B7-6DC570175DF5}"/>
    <cellStyle name="Warning Text 4" xfId="8803" xr:uid="{63307BA1-1410-4C8C-BFD2-EFDCC0D1602C}"/>
    <cellStyle name="Warning Text 5" xfId="8804" xr:uid="{7B3F8700-2C9D-45DF-8BBF-92A01C1CB6C6}"/>
    <cellStyle name="Warning Text 6" xfId="8805" xr:uid="{51E96F15-E227-4453-8940-664F2DCDCC63}"/>
    <cellStyle name="Warning Text 7" xfId="8806" xr:uid="{CBED2C47-7CE2-4983-AA49-4EA76C17109C}"/>
    <cellStyle name="Warning Text 8" xfId="8807" xr:uid="{35CDF84C-1267-4394-B975-3AAF72089EAA}"/>
    <cellStyle name="Warning Text 9" xfId="8808" xr:uid="{415F4EAD-F1EE-4680-A2B6-1692156970AA}"/>
    <cellStyle name="WIP" xfId="2487" xr:uid="{19ED3330-8922-4023-A53F-5FA3BCA69C15}"/>
    <cellStyle name="Word_Formula" xfId="2243" xr:uid="{3B399EB0-E165-43EA-BD4E-2D683D2DD2BD}"/>
    <cellStyle name="x" xfId="8809" xr:uid="{EC41F5DC-79C1-4488-A8DF-977A9F43574E}"/>
    <cellStyle name="year" xfId="279" xr:uid="{FD93A831-4901-4931-845D-0871EFC00412}"/>
    <cellStyle name="year 2" xfId="280" xr:uid="{2BBD3AD0-6A9B-4B2F-9E1C-7A87DFA39C3F}"/>
    <cellStyle name="year 2 2" xfId="2245" xr:uid="{D49A3919-3FF3-495D-93AB-B8C85C0A1788}"/>
    <cellStyle name="year 2 2 2" xfId="2246" xr:uid="{BA0B0FF5-8EE6-440A-AB2D-C45C01D76B8C}"/>
    <cellStyle name="year 2 2 2 2" xfId="2896" xr:uid="{3B6FFA39-D2D8-4F9D-9C0E-601B3B33AA56}"/>
    <cellStyle name="year 2 2 2 2 2" xfId="18358" xr:uid="{091D21D8-7DC4-4DF1-A0A7-D2D8DB75095D}"/>
    <cellStyle name="year 2 2 2 3" xfId="2561" xr:uid="{10044034-BC24-442E-96BE-D89779DA91F8}"/>
    <cellStyle name="year 2 2 2 4" xfId="9312" xr:uid="{6A972864-27A5-4A1E-B715-63A8B9FC2D68}"/>
    <cellStyle name="year 2 2 3" xfId="2895" xr:uid="{CE7851C7-C942-4876-B99D-6158BDD18282}"/>
    <cellStyle name="year 2 2 3 2" xfId="14881" xr:uid="{DE52181C-9FF0-410E-A563-6961F95A73CD}"/>
    <cellStyle name="year 2 2 4" xfId="2566" xr:uid="{568426DB-4529-4F1A-8A79-E8CFCCFE86B6}"/>
    <cellStyle name="year 2 2 5" xfId="3099" xr:uid="{97FF8F28-B629-4051-80B8-BC498E3B40EE}"/>
    <cellStyle name="year 2 3" xfId="2247" xr:uid="{C5442DD1-B2AA-47F8-9961-D003CE140223}"/>
    <cellStyle name="year 2 3 2" xfId="2248" xr:uid="{26FD92F7-2ACC-4768-87AB-63FA6D142E23}"/>
    <cellStyle name="year 2 3 2 2" xfId="2898" xr:uid="{C046391C-818B-4F56-92F6-B21C3DE01E48}"/>
    <cellStyle name="year 2 3 2 3" xfId="2549" xr:uid="{C8DB837F-731A-4480-B830-81311E39EC90}"/>
    <cellStyle name="year 2 3 2 4" xfId="18174" xr:uid="{303B766F-6012-4332-838A-CA4672FACBD0}"/>
    <cellStyle name="year 2 3 3" xfId="2897" xr:uid="{79E61D23-375D-41D6-9858-DD3C1904FC67}"/>
    <cellStyle name="year 2 3 4" xfId="2513" xr:uid="{F1DC1F2A-F0F2-4DF3-936F-217F909AE23A}"/>
    <cellStyle name="year 2 3 5" xfId="9128" xr:uid="{97387AE0-3D75-4B8E-B205-88FB39E0C993}"/>
    <cellStyle name="year 2 4" xfId="2249" xr:uid="{A7720BE7-D578-4F5A-9D49-2FB708900FCF}"/>
    <cellStyle name="year 2 4 2" xfId="2899" xr:uid="{3B098263-E084-4EDA-BE09-E9F518C4F245}"/>
    <cellStyle name="year 2 4 3" xfId="2512" xr:uid="{D7DF9A3D-F30A-45C9-90E2-EA24E0862BE8}"/>
    <cellStyle name="year 2 4 4" xfId="14697" xr:uid="{4714D726-4B46-4082-A41A-FEE5899D81AF}"/>
    <cellStyle name="year 2 5" xfId="2894" xr:uid="{0D2C3F3F-4CA9-48F5-B356-4E3570F268FB}"/>
    <cellStyle name="year 2 5 2" xfId="21569" xr:uid="{A69A04E5-A526-416B-ADA2-746C76E0927B}"/>
    <cellStyle name="year 2 6" xfId="2514" xr:uid="{C507C2F4-6FCC-4636-B159-9D5AF0D62B4B}"/>
    <cellStyle name="year 2 6 2" xfId="23811" xr:uid="{0EC84C26-4253-4439-9332-E28B8FE76A35}"/>
    <cellStyle name="year 2 7" xfId="3048" xr:uid="{CE5D97D0-681A-46E4-9EB0-530E12ED98FC}"/>
    <cellStyle name="year 2 8" xfId="2244" xr:uid="{5E9DD416-F0C6-4C0D-AA1C-6525E9D85D05}"/>
    <cellStyle name="year 3" xfId="2250" xr:uid="{6730B3F0-0E6C-42DC-8B2E-7E3588ADE2C5}"/>
    <cellStyle name="year 3 2" xfId="2900" xr:uid="{3EDF7173-6DC2-48CE-908E-95595BF2A809}"/>
    <cellStyle name="year 3 2 2" xfId="18359" xr:uid="{FB6CF249-250B-4E89-86D7-751A4A99F87C}"/>
    <cellStyle name="year 3 2 3" xfId="9313" xr:uid="{CD7FFBB1-BEFC-48DF-9226-F423E3F79F67}"/>
    <cellStyle name="year 3 3" xfId="2548" xr:uid="{F8D12F3F-A6D1-491C-B5DB-DE6D6607EF36}"/>
    <cellStyle name="year 3 3 2" xfId="14882" xr:uid="{9112F057-73CF-4438-ACFE-FAA0A20C25D2}"/>
    <cellStyle name="year 3 4" xfId="3100" xr:uid="{7AB395D0-F528-41ED-BE27-E185915590F9}"/>
    <cellStyle name="year 4" xfId="2527" xr:uid="{3D9AEFEB-B7A8-40D5-BEFC-16023116DDE2}"/>
    <cellStyle name="year 4 2" xfId="18126" xr:uid="{14EADECD-362A-4BDB-8100-BFD832638073}"/>
    <cellStyle name="year 4 3" xfId="9080" xr:uid="{0A301456-7F2B-4DB6-9D12-FFA5A7A8BE42}"/>
    <cellStyle name="year 5" xfId="2873" xr:uid="{BA7036CB-2887-4F0E-B1F3-242C5F12684B}"/>
    <cellStyle name="year 5 2" xfId="14670" xr:uid="{6BFA5F36-B17F-4AFC-A0CA-348C2EB3E38F}"/>
    <cellStyle name="year 6" xfId="21545" xr:uid="{0C214625-057D-4BA8-939B-6A3493E3196E}"/>
    <cellStyle name="year 7" xfId="23812" xr:uid="{E8C390B0-EEC9-4850-B162-0473626A329C}"/>
    <cellStyle name="year 8" xfId="3044" xr:uid="{7CB29E0C-0825-4A49-BBC4-620CAF9BC0DE}"/>
    <cellStyle name="year 9" xfId="603" xr:uid="{D9DC7D37-494F-4BB8-8C7E-481018DF6A3E}"/>
    <cellStyle name="Year." xfId="2251" xr:uid="{A0687562-141E-45E8-8341-4A7B9DA29C04}"/>
    <cellStyle name="year_29(d) - Gas extensions -tariffs" xfId="281" xr:uid="{B6DB9F15-B53C-46E7-8532-A8AE79A9BE5D}"/>
    <cellStyle name="Yes/No" xfId="8810" xr:uid="{7943DF6B-7212-4B62-BAFC-812E5AEE4E15}"/>
    <cellStyle name="YR_MTH" xfId="2252" xr:uid="{8781C3F6-8F18-412C-B404-CAD0676B96D1}"/>
    <cellStyle name="Záhlaví" xfId="2253" xr:uid="{B44C4568-C76E-496E-8BA3-2EF0AAACD5CC}"/>
  </cellStyles>
  <dxfs count="12">
    <dxf>
      <numFmt numFmtId="324" formatCode="dd/mm/yy;@"/>
      <alignment horizontal="left" vertical="bottom" textRotation="0" wrapText="0" indent="0" justifyLastLine="0" shrinkToFit="0" readingOrder="0"/>
    </dxf>
    <dxf>
      <numFmt numFmtId="30" formatCode="@"/>
      <alignment horizontal="left" vertical="bottom" textRotation="0" wrapText="0" indent="0" justifyLastLine="0" shrinkToFit="0" readingOrder="0"/>
    </dxf>
    <dxf>
      <font>
        <b/>
        <i val="0"/>
        <strike val="0"/>
        <condense val="0"/>
        <extend val="0"/>
        <outline val="0"/>
        <shadow val="0"/>
        <u val="none"/>
        <vertAlign val="baseline"/>
        <sz val="10"/>
        <color theme="0"/>
        <name val="Arial Nova"/>
        <family val="2"/>
        <scheme val="none"/>
      </font>
    </dxf>
    <dxf>
      <border>
        <left style="thin">
          <color rgb="FF002776"/>
        </left>
      </border>
    </dxf>
    <dxf>
      <border>
        <left style="thin">
          <color rgb="FF002776"/>
        </left>
      </border>
    </dxf>
    <dxf>
      <border>
        <top style="thin">
          <color rgb="FF002776"/>
        </top>
      </border>
    </dxf>
    <dxf>
      <border>
        <top style="thin">
          <color rgb="FF002776"/>
        </top>
      </border>
    </dxf>
    <dxf>
      <font>
        <b/>
        <color rgb="FF000000"/>
      </font>
    </dxf>
    <dxf>
      <font>
        <b/>
        <color rgb="FF000000"/>
      </font>
    </dxf>
    <dxf>
      <font>
        <b/>
        <color rgb="FF000000"/>
      </font>
      <border>
        <top style="double">
          <color rgb="FF002776"/>
        </top>
      </border>
    </dxf>
    <dxf>
      <font>
        <b/>
        <color rgb="FFFFFFFF"/>
      </font>
      <fill>
        <patternFill patternType="solid">
          <fgColor rgb="FF002776"/>
          <bgColor rgb="FF002776"/>
        </patternFill>
      </fill>
    </dxf>
    <dxf>
      <font>
        <color rgb="FF000000"/>
      </font>
      <border>
        <left style="thin">
          <color rgb="FF002776"/>
        </left>
        <right style="thin">
          <color rgb="FF002776"/>
        </right>
        <top style="thin">
          <color rgb="FF002776"/>
        </top>
        <bottom style="thin">
          <color rgb="FF002776"/>
        </bottom>
      </border>
    </dxf>
  </dxfs>
  <tableStyles count="1" defaultTableStyle="TableStyleMedium2" defaultPivotStyle="PivotStyleLight16">
    <tableStyle name="TableStyleLight9 2" pivot="0" count="9" xr9:uid="{3B3AD281-B770-4C78-BF68-150DF693887A}">
      <tableStyleElement type="wholeTable" dxfId="11"/>
      <tableStyleElement type="headerRow" dxfId="10"/>
      <tableStyleElement type="totalRow" dxfId="9"/>
      <tableStyleElement type="firstColumn" dxfId="8"/>
      <tableStyleElement type="lastColumn" dxfId="7"/>
      <tableStyleElement type="firstRowStripe" dxfId="6"/>
      <tableStyleElement type="secondRowStripe" dxfId="5"/>
      <tableStyleElement type="firstColumnStripe" dxfId="4"/>
      <tableStyleElement type="secondColumnStripe" dxfId="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eetMetadata" Target="metadata.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3</xdr:row>
      <xdr:rowOff>0</xdr:rowOff>
    </xdr:from>
    <xdr:to>
      <xdr:col>10</xdr:col>
      <xdr:colOff>11286</xdr:colOff>
      <xdr:row>7</xdr:row>
      <xdr:rowOff>165352</xdr:rowOff>
    </xdr:to>
    <xdr:pic>
      <xdr:nvPicPr>
        <xdr:cNvPr id="2" name="Picture 1" descr="A picture containing clipart&#10;&#10;Description automatically generated">
          <a:extLst>
            <a:ext uri="{FF2B5EF4-FFF2-40B4-BE49-F238E27FC236}">
              <a16:creationId xmlns:a16="http://schemas.microsoft.com/office/drawing/2014/main" id="{125C163E-04FF-4BB3-8BB5-D7584ADA374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96275" y="819150"/>
          <a:ext cx="3230736" cy="8797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100</xdr:row>
      <xdr:rowOff>0</xdr:rowOff>
    </xdr:from>
    <xdr:to>
      <xdr:col>5</xdr:col>
      <xdr:colOff>31017</xdr:colOff>
      <xdr:row>109</xdr:row>
      <xdr:rowOff>171225</xdr:rowOff>
    </xdr:to>
    <xdr:pic>
      <xdr:nvPicPr>
        <xdr:cNvPr id="2" name="Picture 1">
          <a:extLst>
            <a:ext uri="{FF2B5EF4-FFF2-40B4-BE49-F238E27FC236}">
              <a16:creationId xmlns:a16="http://schemas.microsoft.com/office/drawing/2014/main" id="{291B7C9A-E3F0-411B-B4AA-6FC7A5B6C88B}"/>
            </a:ext>
          </a:extLst>
        </xdr:cNvPr>
        <xdr:cNvPicPr>
          <a:picLocks noChangeAspect="1"/>
        </xdr:cNvPicPr>
      </xdr:nvPicPr>
      <xdr:blipFill>
        <a:blip xmlns:r="http://schemas.openxmlformats.org/officeDocument/2006/relationships" r:embed="rId1"/>
        <a:stretch>
          <a:fillRect/>
        </a:stretch>
      </xdr:blipFill>
      <xdr:spPr>
        <a:xfrm>
          <a:off x="0" y="18097500"/>
          <a:ext cx="5866667" cy="18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jectslive/economicspartner/Shared%20Documents/Task%20orders/48%20TOF%20(GD%20CA%20DD%20Support)/Analysis/Support%20files%20QA/RPEs_Data_Forecasts_NoLinks_CEPA_edit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AllHistorical"/>
      <sheetName val="Transpose"/>
      <sheetName val="Selected"/>
      <sheetName val="Forecasting"/>
      <sheetName val="Outputs"/>
    </sheetNames>
    <sheetDataSet>
      <sheetData sheetId="0"/>
      <sheetData sheetId="1" refreshError="1"/>
      <sheetData sheetId="2" refreshError="1"/>
      <sheetData sheetId="3" refreshError="1"/>
      <sheetData sheetId="4" refreshError="1"/>
      <sheetData sheetId="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C25EBFF-8A09-4EC7-8B92-A2F759E781EE}" name="Table_VersionHistory" displayName="Table_VersionHistory" ref="B16:E21" totalsRowShown="0" headerRowDxfId="2">
  <autoFilter ref="B16:E21" xr:uid="{379D0509-F47C-4E5F-B267-D07243F00369}"/>
  <tableColumns count="4">
    <tableColumn id="1" xr3:uid="{0CBE8C37-9602-4132-95FE-2C63EC1066F2}" name="Version" dataDxfId="1"/>
    <tableColumn id="2" xr3:uid="{C0A6CE87-A2CF-426A-8868-8E1F4E8C6DA5}" name="Date" dataDxfId="0"/>
    <tableColumn id="3" xr3:uid="{1CCB43B5-0414-4CC8-97D9-8B072E9C66CF}" name="Author"/>
    <tableColumn id="4" xr3:uid="{B97F3F89-5BA7-4A40-AAAE-F4EC4F97C6B3}" name="Description of changes"/>
  </tableColumns>
  <tableStyleInfo name="TableStyleLight9 2" showFirstColumn="0" showLastColumn="0" showRowStripes="1" showColumnStripes="0"/>
</table>
</file>

<file path=xl/theme/theme1.xml><?xml version="1.0" encoding="utf-8"?>
<a:theme xmlns:a="http://schemas.openxmlformats.org/drawingml/2006/main" name="CEPA2019">
  <a:themeElements>
    <a:clrScheme name="CEPAExcel2019">
      <a:dk1>
        <a:sysClr val="windowText" lastClr="000000"/>
      </a:dk1>
      <a:lt1>
        <a:srgbClr val="FFFFFF"/>
      </a:lt1>
      <a:dk2>
        <a:srgbClr val="002776"/>
      </a:dk2>
      <a:lt2>
        <a:srgbClr val="5A85D7"/>
      </a:lt2>
      <a:accent1>
        <a:srgbClr val="002776"/>
      </a:accent1>
      <a:accent2>
        <a:srgbClr val="5A85D7"/>
      </a:accent2>
      <a:accent3>
        <a:srgbClr val="F7403A"/>
      </a:accent3>
      <a:accent4>
        <a:srgbClr val="F3CF45"/>
      </a:accent4>
      <a:accent5>
        <a:srgbClr val="BED600"/>
      </a:accent5>
      <a:accent6>
        <a:srgbClr val="009AA6"/>
      </a:accent6>
      <a:hlink>
        <a:srgbClr val="4186CD"/>
      </a:hlink>
      <a:folHlink>
        <a:srgbClr val="4186CD"/>
      </a:folHlink>
    </a:clrScheme>
    <a:fontScheme name="2019">
      <a:majorFont>
        <a:latin typeface="Rockwell Nova"/>
        <a:ea typeface=""/>
        <a:cs typeface=""/>
      </a:majorFont>
      <a:minorFont>
        <a:latin typeface="Arial Nov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CEPA2019" id="{536A63FB-1EAD-4361-AEB6-D84A87527CD7}" vid="{5282DCE9-F17A-4B02-84C5-58F6967263E3}"/>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42.xml.rels><?xml version="1.0" encoding="UTF-8" standalone="yes"?>
<Relationships xmlns="http://schemas.openxmlformats.org/package/2006/relationships"><Relationship Id="rId3" Type="http://schemas.openxmlformats.org/officeDocument/2006/relationships/hyperlink" Target="http://www.abs.gov.au/" TargetMode="External"/><Relationship Id="rId7" Type="http://schemas.openxmlformats.org/officeDocument/2006/relationships/printerSettings" Target="../printerSettings/printerSettings9.bin"/><Relationship Id="rId2" Type="http://schemas.openxmlformats.org/officeDocument/2006/relationships/hyperlink" Target="http://www.abs.gov.au/" TargetMode="External"/><Relationship Id="rId1" Type="http://schemas.openxmlformats.org/officeDocument/2006/relationships/hyperlink" Target="http://www.abs.gov.au/" TargetMode="External"/><Relationship Id="rId6" Type="http://schemas.openxmlformats.org/officeDocument/2006/relationships/hyperlink" Target="http://www.abs.gov.au/" TargetMode="External"/><Relationship Id="rId5" Type="http://schemas.openxmlformats.org/officeDocument/2006/relationships/hyperlink" Target="http://www.abs.gov.au/" TargetMode="External"/><Relationship Id="rId4" Type="http://schemas.openxmlformats.org/officeDocument/2006/relationships/hyperlink" Target="http://www.abs.gov.au/" TargetMode="Externa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3F5EB9-6F88-422E-A9B6-6A3279197BD4}">
  <sheetPr>
    <tabColor theme="0" tint="-0.14999847407452621"/>
  </sheetPr>
  <dimension ref="B2:J53"/>
  <sheetViews>
    <sheetView showGridLines="0" tabSelected="1" zoomScale="85" zoomScaleNormal="85" workbookViewId="0"/>
  </sheetViews>
  <sheetFormatPr defaultColWidth="9.08203125" defaultRowHeight="13"/>
  <cols>
    <col min="1" max="1" width="3.25" style="156" customWidth="1"/>
    <col min="2" max="2" width="15.58203125" style="156" customWidth="1"/>
    <col min="3" max="3" width="8.75" style="156" customWidth="1"/>
    <col min="4" max="4" width="14.25" style="156" customWidth="1"/>
    <col min="5" max="5" width="41.33203125" style="156" customWidth="1"/>
    <col min="6" max="6" width="4.33203125" style="156" customWidth="1"/>
    <col min="7" max="9" width="10.58203125" style="156" customWidth="1"/>
    <col min="10" max="10" width="31.58203125" style="156" customWidth="1"/>
    <col min="11" max="16384" width="9.08203125" style="156"/>
  </cols>
  <sheetData>
    <row r="2" spans="2:10" ht="22.4" customHeight="1">
      <c r="B2" s="192" t="s">
        <v>2114</v>
      </c>
    </row>
    <row r="3" spans="2:10" ht="30" customHeight="1">
      <c r="B3" s="193" t="s">
        <v>2125</v>
      </c>
    </row>
    <row r="4" spans="2:10" ht="17.25">
      <c r="B4" s="205">
        <f ca="1">TODAY()</f>
        <v>44684</v>
      </c>
      <c r="C4" s="206"/>
      <c r="D4" s="194" t="s">
        <v>2123</v>
      </c>
      <c r="E4" s="194" t="s">
        <v>2124</v>
      </c>
    </row>
    <row r="6" spans="2:10">
      <c r="B6" s="156" t="s">
        <v>2115</v>
      </c>
      <c r="E6" s="195" t="s">
        <v>2136</v>
      </c>
    </row>
    <row r="8" spans="2:10" ht="43.4" customHeight="1">
      <c r="B8" s="207"/>
      <c r="C8" s="207"/>
      <c r="D8" s="207"/>
      <c r="E8" s="207"/>
    </row>
    <row r="10" spans="2:10" ht="16">
      <c r="B10" s="155" t="s">
        <v>0</v>
      </c>
      <c r="C10" s="155"/>
      <c r="D10" s="155"/>
      <c r="E10" s="155"/>
      <c r="F10" s="155"/>
      <c r="G10" s="155"/>
      <c r="H10" s="155"/>
      <c r="I10" s="155"/>
      <c r="J10" s="155"/>
    </row>
    <row r="12" spans="2:10" ht="12.65" customHeight="1"/>
    <row r="14" spans="2:10" ht="16">
      <c r="B14" s="155" t="s">
        <v>1</v>
      </c>
      <c r="C14" s="155"/>
      <c r="D14" s="155"/>
      <c r="E14" s="155"/>
    </row>
    <row r="16" spans="2:10">
      <c r="B16" s="196" t="s">
        <v>2116</v>
      </c>
      <c r="C16" s="197" t="s">
        <v>66</v>
      </c>
      <c r="D16" s="196" t="s">
        <v>2117</v>
      </c>
      <c r="E16" s="196" t="s">
        <v>2118</v>
      </c>
    </row>
    <row r="17" spans="2:10">
      <c r="B17" s="198" t="s">
        <v>2119</v>
      </c>
      <c r="C17" s="199">
        <v>44650</v>
      </c>
      <c r="D17" s="156" t="s">
        <v>2120</v>
      </c>
      <c r="E17" s="156" t="s">
        <v>2121</v>
      </c>
    </row>
    <row r="18" spans="2:10">
      <c r="B18" s="198" t="s">
        <v>2126</v>
      </c>
      <c r="C18" s="199">
        <v>44684</v>
      </c>
      <c r="D18" s="156" t="s">
        <v>2120</v>
      </c>
      <c r="E18" s="156" t="s">
        <v>2127</v>
      </c>
    </row>
    <row r="19" spans="2:10">
      <c r="B19" s="198"/>
      <c r="C19" s="199"/>
    </row>
    <row r="20" spans="2:10">
      <c r="B20" s="198"/>
      <c r="C20" s="199"/>
    </row>
    <row r="21" spans="2:10">
      <c r="B21" s="198"/>
      <c r="C21" s="199"/>
    </row>
    <row r="24" spans="2:10" ht="16">
      <c r="B24" s="155" t="s">
        <v>2</v>
      </c>
      <c r="C24" s="155"/>
      <c r="D24" s="155"/>
      <c r="E24" s="155"/>
      <c r="G24" s="155" t="s">
        <v>3</v>
      </c>
      <c r="H24" s="155"/>
      <c r="I24" s="155"/>
      <c r="J24" s="155"/>
    </row>
    <row r="25" spans="2:10">
      <c r="B25" s="156" t="s">
        <v>2137</v>
      </c>
    </row>
    <row r="39" spans="2:5" ht="16">
      <c r="B39" s="155" t="s">
        <v>4</v>
      </c>
      <c r="C39" s="155"/>
      <c r="D39" s="155"/>
      <c r="E39" s="155"/>
    </row>
    <row r="41" spans="2:5">
      <c r="B41" s="157"/>
      <c r="D41" s="158" t="s">
        <v>5</v>
      </c>
    </row>
    <row r="42" spans="2:5">
      <c r="B42" s="159" t="s">
        <v>6</v>
      </c>
      <c r="D42" s="158" t="s">
        <v>7</v>
      </c>
    </row>
    <row r="43" spans="2:5">
      <c r="B43" s="160" t="s">
        <v>6</v>
      </c>
      <c r="D43" s="158" t="s">
        <v>8</v>
      </c>
    </row>
    <row r="44" spans="2:5">
      <c r="B44" s="161" t="s">
        <v>6</v>
      </c>
      <c r="D44" s="158" t="s">
        <v>9</v>
      </c>
    </row>
    <row r="45" spans="2:5">
      <c r="B45" s="162" t="s">
        <v>6</v>
      </c>
      <c r="D45" s="158" t="s">
        <v>10</v>
      </c>
    </row>
    <row r="46" spans="2:5">
      <c r="B46" s="163" t="s">
        <v>6</v>
      </c>
      <c r="D46" s="158" t="s">
        <v>11</v>
      </c>
    </row>
    <row r="47" spans="2:5">
      <c r="B47" s="164" t="s">
        <v>6</v>
      </c>
      <c r="D47" s="158" t="s">
        <v>12</v>
      </c>
    </row>
    <row r="48" spans="2:5">
      <c r="B48" s="165" t="s">
        <v>6</v>
      </c>
      <c r="D48" s="158" t="s">
        <v>13</v>
      </c>
    </row>
    <row r="49" spans="2:4">
      <c r="B49" s="166" t="s">
        <v>6</v>
      </c>
      <c r="D49" s="158" t="s">
        <v>14</v>
      </c>
    </row>
    <row r="50" spans="2:4">
      <c r="B50" s="167" t="s">
        <v>15</v>
      </c>
      <c r="D50" s="158" t="s">
        <v>16</v>
      </c>
    </row>
    <row r="51" spans="2:4">
      <c r="B51" s="168" t="s">
        <v>15</v>
      </c>
      <c r="D51" s="158" t="s">
        <v>17</v>
      </c>
    </row>
    <row r="52" spans="2:4">
      <c r="B52" s="169" t="s">
        <v>15</v>
      </c>
      <c r="D52" s="158" t="s">
        <v>18</v>
      </c>
    </row>
    <row r="53" spans="2:4">
      <c r="B53" s="170" t="s">
        <v>15</v>
      </c>
      <c r="D53" s="158" t="s">
        <v>19</v>
      </c>
    </row>
  </sheetData>
  <mergeCells count="2">
    <mergeCell ref="B4:C4"/>
    <mergeCell ref="B8:E8"/>
  </mergeCells>
  <pageMargins left="0.7" right="0.7" top="0.75" bottom="0.75" header="0.3" footer="0.3"/>
  <pageSetup paperSize="9" orientation="portrait" r:id="rId1"/>
  <drawing r:id="rId2"/>
  <tableParts count="1">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22589-F895-4679-991B-44A0BA7985AF}">
  <sheetPr codeName="Sheet8">
    <tabColor theme="2"/>
  </sheetPr>
  <dimension ref="A1:XFD214"/>
  <sheetViews>
    <sheetView showGridLines="0" zoomScale="80" zoomScaleNormal="80" workbookViewId="0">
      <pane ySplit="3" topLeftCell="A4" activePane="bottomLeft" state="frozen"/>
      <selection pane="bottomLeft" activeCell="A4" sqref="A4"/>
    </sheetView>
  </sheetViews>
  <sheetFormatPr defaultRowHeight="14.25"/>
  <cols>
    <col min="2" max="2" width="15" customWidth="1"/>
    <col min="6" max="10" width="19.25" bestFit="1" customWidth="1"/>
    <col min="11" max="11" width="17.58203125" bestFit="1" customWidth="1"/>
    <col min="12" max="17" width="19.25" bestFit="1" customWidth="1"/>
    <col min="18" max="18" width="17.33203125" bestFit="1" customWidth="1"/>
  </cols>
  <sheetData>
    <row r="1" spans="1:30" ht="20" thickBot="1">
      <c r="A1" s="32" t="s">
        <v>239</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row>
    <row r="2" spans="1:30" ht="15" thickTop="1"/>
    <row r="3" spans="1:30">
      <c r="B3" s="42" t="s">
        <v>66</v>
      </c>
      <c r="F3" s="135">
        <v>40724</v>
      </c>
      <c r="G3" s="135">
        <v>41090</v>
      </c>
      <c r="H3" s="135">
        <v>41455</v>
      </c>
      <c r="I3" s="135">
        <v>41820</v>
      </c>
      <c r="J3" s="135">
        <v>42185</v>
      </c>
      <c r="K3" s="135">
        <v>42551</v>
      </c>
      <c r="L3" s="135">
        <v>42916</v>
      </c>
      <c r="M3" s="135">
        <v>43281</v>
      </c>
      <c r="N3" s="135">
        <v>43646</v>
      </c>
      <c r="O3" s="135">
        <v>44012</v>
      </c>
      <c r="P3" s="135">
        <v>44377</v>
      </c>
      <c r="Q3" s="135">
        <v>44561</v>
      </c>
      <c r="R3" s="135">
        <v>44592</v>
      </c>
    </row>
    <row r="5" spans="1:30">
      <c r="B5" s="5" t="s">
        <v>73</v>
      </c>
    </row>
    <row r="6" spans="1:30">
      <c r="F6" s="142" t="s">
        <v>240</v>
      </c>
      <c r="G6" s="142"/>
      <c r="H6" s="142"/>
      <c r="I6" s="142"/>
    </row>
    <row r="7" spans="1:30">
      <c r="B7" s="1" t="s">
        <v>241</v>
      </c>
    </row>
    <row r="8" spans="1:30">
      <c r="B8" s="172" t="s">
        <v>242</v>
      </c>
      <c r="F8" s="181" t="e">
        <f>INDEX('VPN Bonds'!$E$23:$E$49,MATCH($B8,'VPN Bonds'!$J$23:$J$36,0))*((INDEX('VPN Bond Prices'!$B$1:$P$64,MATCH('Value of Debt (listed bonds)'!F$3,'VPN Bond Prices'!$B$1:$B$64,0),MATCH('Value of Debt (listed bonds)'!$B8,'VPN Bond Prices'!$B$1:$P$1,0))/100))</f>
        <v>#N/A</v>
      </c>
      <c r="G8" s="181" t="e">
        <f>INDEX('VPN Bonds'!$E$23:$E$49,MATCH($B8,'VPN Bonds'!$J$23:$J$36,0))*((INDEX('VPN Bond Prices'!$B$1:$P$64,MATCH('Value of Debt (listed bonds)'!G$3,'VPN Bond Prices'!$B$1:$B$64,0),MATCH('Value of Debt (listed bonds)'!$B8,'VPN Bond Prices'!$B$1:$P$1,0))/100))</f>
        <v>#N/A</v>
      </c>
      <c r="H8" s="181" t="e">
        <f>INDEX('VPN Bonds'!$E$23:$E$49,MATCH($B8,'VPN Bonds'!$J$23:$J$36,0))*((INDEX('VPN Bond Prices'!$B$1:$P$64,MATCH('Value of Debt (listed bonds)'!H$3,'VPN Bond Prices'!$B$1:$B$64,0),MATCH('Value of Debt (listed bonds)'!$B8,'VPN Bond Prices'!$B$1:$P$1,0))/100))</f>
        <v>#N/A</v>
      </c>
      <c r="I8" s="181" t="e">
        <f>INDEX('VPN Bonds'!$E$23:$E$49,MATCH($B8,'VPN Bonds'!$J$23:$J$36,0))*((INDEX('VPN Bond Prices'!$B$1:$P$64,MATCH('Value of Debt (listed bonds)'!I$3,'VPN Bond Prices'!$B$1:$B$64,0),MATCH('Value of Debt (listed bonds)'!$B8,'VPN Bond Prices'!$B$1:$P$1,0))/100))</f>
        <v>#N/A</v>
      </c>
      <c r="J8" s="181" t="e">
        <f>INDEX('VPN Bonds'!$E$23:$E$49,MATCH($B8,'VPN Bonds'!$J$23:$J$36,0))*((INDEX('VPN Bond Prices'!$B$1:$P$64,MATCH('Value of Debt (listed bonds)'!J$3,'VPN Bond Prices'!$B$1:$B$64,0),MATCH('Value of Debt (listed bonds)'!$B8,'VPN Bond Prices'!$B$1:$P$1,0))/100))</f>
        <v>#N/A</v>
      </c>
      <c r="K8" s="181" t="e">
        <f>INDEX('VPN Bonds'!$E$23:$E$49,MATCH($B8,'VPN Bonds'!$J$23:$J$36,0))*((INDEX('VPN Bond Prices'!$B$1:$P$64,MATCH('Value of Debt (listed bonds)'!K$3,'VPN Bond Prices'!$B$1:$B$64,0),MATCH('Value of Debt (listed bonds)'!$B8,'VPN Bond Prices'!$B$1:$P$1,0))/100))</f>
        <v>#N/A</v>
      </c>
      <c r="L8" s="171">
        <f>INDEX('VPN Bonds'!$E$23:$E$49,MATCH($B8,'VPN Bonds'!$J$23:$J$36,0))*((INDEX('VPN Bond Prices'!$B$1:$P$64,MATCH('Value of Debt (listed bonds)'!L$3,'VPN Bond Prices'!$B$1:$B$64,0),MATCH('Value of Debt (listed bonds)'!$B8,'VPN Bond Prices'!$B$1:$P$1,0))/100))</f>
        <v>0</v>
      </c>
      <c r="M8" s="171">
        <f>INDEX('VPN Bonds'!$E$23:$E$49,MATCH($B8,'VPN Bonds'!$J$23:$J$36,0))*((INDEX('VPN Bond Prices'!$B$1:$P$64,MATCH('Value of Debt (listed bonds)'!M$3,'VPN Bond Prices'!$B$1:$B$64,0),MATCH('Value of Debt (listed bonds)'!$B8,'VPN Bond Prices'!$B$1:$P$1,0))/100))</f>
        <v>0</v>
      </c>
      <c r="N8" s="171">
        <f>INDEX('VPN Bonds'!$E$23:$E$49,MATCH($B8,'VPN Bonds'!$J$23:$J$36,0))*((INDEX('VPN Bond Prices'!$B$1:$P$64,MATCH('Value of Debt (listed bonds)'!N$3,'VPN Bond Prices'!$B$1:$B$64,0),MATCH('Value of Debt (listed bonds)'!$B8,'VPN Bond Prices'!$B$1:$P$1,0))/100))</f>
        <v>0</v>
      </c>
      <c r="O8" s="171">
        <f>INDEX('VPN Bonds'!$E$23:$E$49,MATCH($B8,'VPN Bonds'!$J$23:$J$36,0))*((INDEX('VPN Bond Prices'!$B$1:$P$64,MATCH('Value of Debt (listed bonds)'!O$3,'VPN Bond Prices'!$B$1:$B$64,0),MATCH('Value of Debt (listed bonds)'!$B8,'VPN Bond Prices'!$B$1:$P$1,0))/100))</f>
        <v>0</v>
      </c>
      <c r="P8" s="171">
        <f>INDEX('VPN Bonds'!$E$23:$E$49,MATCH($B8,'VPN Bonds'!$J$23:$J$36,0))*((INDEX('VPN Bond Prices'!$B$1:$P$64,MATCH('Value of Debt (listed bonds)'!P$3,'VPN Bond Prices'!$B$1:$B$64,0),MATCH('Value of Debt (listed bonds)'!$B8,'VPN Bond Prices'!$B$1:$P$1,0))/100))</f>
        <v>0</v>
      </c>
      <c r="Q8" s="171">
        <f>INDEX('VPN Bonds'!$E$23:$E$49,MATCH($B8,'VPN Bonds'!$J$23:$J$36,0))*((INDEX('VPN Bond Prices'!$B$1:$P$64,MATCH('Value of Debt (listed bonds)'!Q$3,'VPN Bond Prices'!$B$1:$B$64,0),MATCH('Value of Debt (listed bonds)'!$B8,'VPN Bond Prices'!$B$1:$P$1,0))/100))</f>
        <v>300030000</v>
      </c>
    </row>
    <row r="9" spans="1:30">
      <c r="B9" s="172" t="s">
        <v>243</v>
      </c>
      <c r="F9" s="181" t="e">
        <f>INDEX('VPN Bonds'!$E$23:$E$49,MATCH($B9,'VPN Bonds'!$J$23:$J$36,0))*((INDEX('VPN Bond Prices'!$B$1:$P$64,MATCH('Value of Debt (listed bonds)'!F$3,'VPN Bond Prices'!$B$1:$B$64,0),MATCH('Value of Debt (listed bonds)'!$B9,'VPN Bond Prices'!$B$1:$P$1,0))/100))</f>
        <v>#N/A</v>
      </c>
      <c r="G9" s="181" t="e">
        <f>INDEX('VPN Bonds'!$E$23:$E$49,MATCH($B9,'VPN Bonds'!$J$23:$J$36,0))*((INDEX('VPN Bond Prices'!$B$1:$P$64,MATCH('Value of Debt (listed bonds)'!G$3,'VPN Bond Prices'!$B$1:$B$64,0),MATCH('Value of Debt (listed bonds)'!$B9,'VPN Bond Prices'!$B$1:$P$1,0))/100))</f>
        <v>#N/A</v>
      </c>
      <c r="H9" s="181" t="e">
        <f>INDEX('VPN Bonds'!$E$23:$E$49,MATCH($B9,'VPN Bonds'!$J$23:$J$36,0))*((INDEX('VPN Bond Prices'!$B$1:$P$64,MATCH('Value of Debt (listed bonds)'!H$3,'VPN Bond Prices'!$B$1:$B$64,0),MATCH('Value of Debt (listed bonds)'!$B9,'VPN Bond Prices'!$B$1:$P$1,0))/100))</f>
        <v>#N/A</v>
      </c>
      <c r="I9" s="181" t="e">
        <f>INDEX('VPN Bonds'!$E$23:$E$49,MATCH($B9,'VPN Bonds'!$J$23:$J$36,0))*((INDEX('VPN Bond Prices'!$B$1:$P$64,MATCH('Value of Debt (listed bonds)'!I$3,'VPN Bond Prices'!$B$1:$B$64,0),MATCH('Value of Debt (listed bonds)'!$B9,'VPN Bond Prices'!$B$1:$P$1,0))/100))</f>
        <v>#N/A</v>
      </c>
      <c r="J9" s="181" t="e">
        <f>INDEX('VPN Bonds'!$E$23:$E$49,MATCH($B9,'VPN Bonds'!$J$23:$J$36,0))*((INDEX('VPN Bond Prices'!$B$1:$P$64,MATCH('Value of Debt (listed bonds)'!J$3,'VPN Bond Prices'!$B$1:$B$64,0),MATCH('Value of Debt (listed bonds)'!$B9,'VPN Bond Prices'!$B$1:$P$1,0))/100))</f>
        <v>#N/A</v>
      </c>
      <c r="K9" s="181" t="e">
        <f>INDEX('VPN Bonds'!$E$23:$E$49,MATCH($B9,'VPN Bonds'!$J$23:$J$36,0))*((INDEX('VPN Bond Prices'!$B$1:$P$64,MATCH('Value of Debt (listed bonds)'!K$3,'VPN Bond Prices'!$B$1:$B$64,0),MATCH('Value of Debt (listed bonds)'!$B9,'VPN Bond Prices'!$B$1:$P$1,0))/100))</f>
        <v>#N/A</v>
      </c>
      <c r="L9" s="171">
        <f>INDEX('VPN Bonds'!$E$23:$E$49,MATCH($B9,'VPN Bonds'!$J$23:$J$36,0))*((INDEX('VPN Bond Prices'!$B$1:$P$64,MATCH('Value of Debt (listed bonds)'!L$3,'VPN Bond Prices'!$B$1:$B$64,0),MATCH('Value of Debt (listed bonds)'!$B9,'VPN Bond Prices'!$B$1:$P$1,0))/100))</f>
        <v>0</v>
      </c>
      <c r="M9" s="171">
        <f>INDEX('VPN Bonds'!$E$23:$E$49,MATCH($B9,'VPN Bonds'!$J$23:$J$36,0))*((INDEX('VPN Bond Prices'!$B$1:$P$64,MATCH('Value of Debt (listed bonds)'!M$3,'VPN Bond Prices'!$B$1:$B$64,0),MATCH('Value of Debt (listed bonds)'!$B9,'VPN Bond Prices'!$B$1:$P$1,0))/100))</f>
        <v>87720682.980319992</v>
      </c>
      <c r="N9" s="171">
        <f>INDEX('VPN Bonds'!$E$23:$E$49,MATCH($B9,'VPN Bonds'!$J$23:$J$36,0))*((INDEX('VPN Bond Prices'!$B$1:$P$64,MATCH('Value of Debt (listed bonds)'!N$3,'VPN Bond Prices'!$B$1:$B$64,0),MATCH('Value of Debt (listed bonds)'!$B9,'VPN Bond Prices'!$B$1:$P$1,0))/100))</f>
        <v>93039155.633280009</v>
      </c>
      <c r="O9" s="171">
        <f>INDEX('VPN Bonds'!$E$23:$E$49,MATCH($B9,'VPN Bonds'!$J$23:$J$36,0))*((INDEX('VPN Bond Prices'!$B$1:$P$64,MATCH('Value of Debt (listed bonds)'!O$3,'VPN Bond Prices'!$B$1:$B$64,0),MATCH('Value of Debt (listed bonds)'!$B9,'VPN Bond Prices'!$B$1:$P$1,0))/100))</f>
        <v>96449837.201239988</v>
      </c>
      <c r="P9" s="171">
        <f>INDEX('VPN Bonds'!$E$23:$E$49,MATCH($B9,'VPN Bonds'!$J$23:$J$36,0))*((INDEX('VPN Bond Prices'!$B$1:$P$64,MATCH('Value of Debt (listed bonds)'!P$3,'VPN Bond Prices'!$B$1:$B$64,0),MATCH('Value of Debt (listed bonds)'!$B9,'VPN Bond Prices'!$B$1:$P$1,0))/100))</f>
        <v>95882437.687959999</v>
      </c>
      <c r="Q9" s="171">
        <f>INDEX('VPN Bonds'!$E$23:$E$49,MATCH($B9,'VPN Bonds'!$J$23:$J$36,0))*((INDEX('VPN Bond Prices'!$B$1:$P$64,MATCH('Value of Debt (listed bonds)'!Q$3,'VPN Bond Prices'!$B$1:$B$64,0),MATCH('Value of Debt (listed bonds)'!$B9,'VPN Bond Prices'!$B$1:$P$1,0))/100))</f>
        <v>94139838.866319999</v>
      </c>
    </row>
    <row r="10" spans="1:30">
      <c r="B10" s="172" t="s">
        <v>244</v>
      </c>
      <c r="F10" s="181" t="e">
        <f>INDEX('VPN Bonds'!$E$23:$E$49,MATCH($B10,'VPN Bonds'!$J$23:$J$36,0))*((INDEX('VPN Bond Prices'!$B$1:$P$64,MATCH('Value of Debt (listed bonds)'!F$3,'VPN Bond Prices'!$B$1:$B$64,0),MATCH('Value of Debt (listed bonds)'!$B10,'VPN Bond Prices'!$B$1:$P$1,0))/100))</f>
        <v>#N/A</v>
      </c>
      <c r="G10" s="181" t="e">
        <f>INDEX('VPN Bonds'!$E$23:$E$49,MATCH($B10,'VPN Bonds'!$J$23:$J$36,0))*((INDEX('VPN Bond Prices'!$B$1:$P$64,MATCH('Value of Debt (listed bonds)'!G$3,'VPN Bond Prices'!$B$1:$B$64,0),MATCH('Value of Debt (listed bonds)'!$B10,'VPN Bond Prices'!$B$1:$P$1,0))/100))</f>
        <v>#N/A</v>
      </c>
      <c r="H10" s="181" t="e">
        <f>INDEX('VPN Bonds'!$E$23:$E$49,MATCH($B10,'VPN Bonds'!$J$23:$J$36,0))*((INDEX('VPN Bond Prices'!$B$1:$P$64,MATCH('Value of Debt (listed bonds)'!H$3,'VPN Bond Prices'!$B$1:$B$64,0),MATCH('Value of Debt (listed bonds)'!$B10,'VPN Bond Prices'!$B$1:$P$1,0))/100))</f>
        <v>#N/A</v>
      </c>
      <c r="I10" s="181" t="e">
        <f>INDEX('VPN Bonds'!$E$23:$E$49,MATCH($B10,'VPN Bonds'!$J$23:$J$36,0))*((INDEX('VPN Bond Prices'!$B$1:$P$64,MATCH('Value of Debt (listed bonds)'!I$3,'VPN Bond Prices'!$B$1:$B$64,0),MATCH('Value of Debt (listed bonds)'!$B10,'VPN Bond Prices'!$B$1:$P$1,0))/100))</f>
        <v>#N/A</v>
      </c>
      <c r="J10" s="181" t="e">
        <f>INDEX('VPN Bonds'!$E$23:$E$49,MATCH($B10,'VPN Bonds'!$J$23:$J$36,0))*((INDEX('VPN Bond Prices'!$B$1:$P$64,MATCH('Value of Debt (listed bonds)'!J$3,'VPN Bond Prices'!$B$1:$B$64,0),MATCH('Value of Debt (listed bonds)'!$B10,'VPN Bond Prices'!$B$1:$P$1,0))/100))</f>
        <v>#N/A</v>
      </c>
      <c r="K10" s="181" t="e">
        <f>INDEX('VPN Bonds'!$E$23:$E$49,MATCH($B10,'VPN Bonds'!$J$23:$J$36,0))*((INDEX('VPN Bond Prices'!$B$1:$P$64,MATCH('Value of Debt (listed bonds)'!K$3,'VPN Bond Prices'!$B$1:$B$64,0),MATCH('Value of Debt (listed bonds)'!$B10,'VPN Bond Prices'!$B$1:$P$1,0))/100))</f>
        <v>#N/A</v>
      </c>
      <c r="L10" s="171">
        <f>INDEX('VPN Bonds'!$E$23:$E$49,MATCH($B10,'VPN Bonds'!$J$23:$J$36,0))*((INDEX('VPN Bond Prices'!$B$1:$P$64,MATCH('Value of Debt (listed bonds)'!L$3,'VPN Bond Prices'!$B$1:$B$64,0),MATCH('Value of Debt (listed bonds)'!$B10,'VPN Bond Prices'!$B$1:$P$1,0))/100))</f>
        <v>0</v>
      </c>
      <c r="M10" s="171">
        <f>INDEX('VPN Bonds'!$E$23:$E$49,MATCH($B10,'VPN Bonds'!$J$23:$J$36,0))*((INDEX('VPN Bond Prices'!$B$1:$P$64,MATCH('Value of Debt (listed bonds)'!M$3,'VPN Bond Prices'!$B$1:$B$64,0),MATCH('Value of Debt (listed bonds)'!$B10,'VPN Bond Prices'!$B$1:$P$1,0))/100))</f>
        <v>0</v>
      </c>
      <c r="N10" s="171">
        <f>INDEX('VPN Bonds'!$E$23:$E$49,MATCH($B10,'VPN Bonds'!$J$23:$J$36,0))*((INDEX('VPN Bond Prices'!$B$1:$P$64,MATCH('Value of Debt (listed bonds)'!N$3,'VPN Bond Prices'!$B$1:$B$64,0),MATCH('Value of Debt (listed bonds)'!$B10,'VPN Bond Prices'!$B$1:$P$1,0))/100))</f>
        <v>0</v>
      </c>
      <c r="O10" s="171">
        <f>INDEX('VPN Bonds'!$E$23:$E$49,MATCH($B10,'VPN Bonds'!$J$23:$J$36,0))*((INDEX('VPN Bond Prices'!$B$1:$P$64,MATCH('Value of Debt (listed bonds)'!O$3,'VPN Bond Prices'!$B$1:$B$64,0),MATCH('Value of Debt (listed bonds)'!$B10,'VPN Bond Prices'!$B$1:$P$1,0))/100))</f>
        <v>0</v>
      </c>
      <c r="P10" s="171">
        <f>INDEX('VPN Bonds'!$E$23:$E$49,MATCH($B10,'VPN Bonds'!$J$23:$J$36,0))*((INDEX('VPN Bond Prices'!$B$1:$P$64,MATCH('Value of Debt (listed bonds)'!P$3,'VPN Bond Prices'!$B$1:$B$64,0),MATCH('Value of Debt (listed bonds)'!$B10,'VPN Bond Prices'!$B$1:$P$1,0))/100))</f>
        <v>128116164.52324</v>
      </c>
      <c r="Q10" s="171">
        <f>INDEX('VPN Bonds'!$E$23:$E$49,MATCH($B10,'VPN Bonds'!$J$23:$J$36,0))*((INDEX('VPN Bond Prices'!$B$1:$P$64,MATCH('Value of Debt (listed bonds)'!Q$3,'VPN Bond Prices'!$B$1:$B$64,0),MATCH('Value of Debt (listed bonds)'!$B10,'VPN Bond Prices'!$B$1:$P$1,0))/100))</f>
        <v>126851320.52831998</v>
      </c>
    </row>
    <row r="11" spans="1:30">
      <c r="B11" s="172" t="s">
        <v>245</v>
      </c>
      <c r="F11" s="181" t="e">
        <f>INDEX('VPN Bonds'!$E$23:$E$49,MATCH($B11,'VPN Bonds'!$J$23:$J$36,0))*((INDEX('VPN Bond Prices'!$B$1:$P$64,MATCH('Value of Debt (listed bonds)'!F$3,'VPN Bond Prices'!$B$1:$B$64,0),MATCH('Value of Debt (listed bonds)'!$B11,'VPN Bond Prices'!$B$1:$P$1,0))/100))</f>
        <v>#N/A</v>
      </c>
      <c r="G11" s="181" t="e">
        <f>INDEX('VPN Bonds'!$E$23:$E$49,MATCH($B11,'VPN Bonds'!$J$23:$J$36,0))*((INDEX('VPN Bond Prices'!$B$1:$P$64,MATCH('Value of Debt (listed bonds)'!G$3,'VPN Bond Prices'!$B$1:$B$64,0),MATCH('Value of Debt (listed bonds)'!$B11,'VPN Bond Prices'!$B$1:$P$1,0))/100))</f>
        <v>#N/A</v>
      </c>
      <c r="H11" s="181" t="e">
        <f>INDEX('VPN Bonds'!$E$23:$E$49,MATCH($B11,'VPN Bonds'!$J$23:$J$36,0))*((INDEX('VPN Bond Prices'!$B$1:$P$64,MATCH('Value of Debt (listed bonds)'!H$3,'VPN Bond Prices'!$B$1:$B$64,0),MATCH('Value of Debt (listed bonds)'!$B11,'VPN Bond Prices'!$B$1:$P$1,0))/100))</f>
        <v>#N/A</v>
      </c>
      <c r="I11" s="181" t="e">
        <f>INDEX('VPN Bonds'!$E$23:$E$49,MATCH($B11,'VPN Bonds'!$J$23:$J$36,0))*((INDEX('VPN Bond Prices'!$B$1:$P$64,MATCH('Value of Debt (listed bonds)'!I$3,'VPN Bond Prices'!$B$1:$B$64,0),MATCH('Value of Debt (listed bonds)'!$B11,'VPN Bond Prices'!$B$1:$P$1,0))/100))</f>
        <v>#N/A</v>
      </c>
      <c r="J11" s="181" t="e">
        <f>INDEX('VPN Bonds'!$E$23:$E$49,MATCH($B11,'VPN Bonds'!$J$23:$J$36,0))*((INDEX('VPN Bond Prices'!$B$1:$P$64,MATCH('Value of Debt (listed bonds)'!J$3,'VPN Bond Prices'!$B$1:$B$64,0),MATCH('Value of Debt (listed bonds)'!$B11,'VPN Bond Prices'!$B$1:$P$1,0))/100))</f>
        <v>#N/A</v>
      </c>
      <c r="K11" s="181" t="e">
        <f>INDEX('VPN Bonds'!$E$23:$E$49,MATCH($B11,'VPN Bonds'!$J$23:$J$36,0))*((INDEX('VPN Bond Prices'!$B$1:$P$64,MATCH('Value of Debt (listed bonds)'!K$3,'VPN Bond Prices'!$B$1:$B$64,0),MATCH('Value of Debt (listed bonds)'!$B11,'VPN Bond Prices'!$B$1:$P$1,0))/100))</f>
        <v>#N/A</v>
      </c>
      <c r="L11" s="171">
        <f>INDEX('VPN Bonds'!$E$23:$E$49,MATCH($B11,'VPN Bonds'!$J$23:$J$36,0))*((INDEX('VPN Bond Prices'!$B$1:$P$64,MATCH('Value of Debt (listed bonds)'!L$3,'VPN Bond Prices'!$B$1:$B$64,0),MATCH('Value of Debt (listed bonds)'!$B11,'VPN Bond Prices'!$B$1:$P$1,0))/100))</f>
        <v>0</v>
      </c>
      <c r="M11" s="171">
        <f>INDEX('VPN Bonds'!$E$23:$E$49,MATCH($B11,'VPN Bonds'!$J$23:$J$36,0))*((INDEX('VPN Bond Prices'!$B$1:$P$64,MATCH('Value of Debt (listed bonds)'!M$3,'VPN Bond Prices'!$B$1:$B$64,0),MATCH('Value of Debt (listed bonds)'!$B11,'VPN Bond Prices'!$B$1:$P$1,0))/100))</f>
        <v>0</v>
      </c>
      <c r="N11" s="171">
        <f>INDEX('VPN Bonds'!$E$23:$E$49,MATCH($B11,'VPN Bonds'!$J$23:$J$36,0))*((INDEX('VPN Bond Prices'!$B$1:$P$64,MATCH('Value of Debt (listed bonds)'!N$3,'VPN Bond Prices'!$B$1:$B$64,0),MATCH('Value of Debt (listed bonds)'!$B11,'VPN Bond Prices'!$B$1:$P$1,0))/100))</f>
        <v>0</v>
      </c>
      <c r="O11" s="171">
        <f>INDEX('VPN Bonds'!$E$23:$E$49,MATCH($B11,'VPN Bonds'!$J$23:$J$36,0))*((INDEX('VPN Bond Prices'!$B$1:$P$64,MATCH('Value of Debt (listed bonds)'!O$3,'VPN Bond Prices'!$B$1:$B$64,0),MATCH('Value of Debt (listed bonds)'!$B11,'VPN Bond Prices'!$B$1:$P$1,0))/100))</f>
        <v>0</v>
      </c>
      <c r="P11" s="171">
        <f>INDEX('VPN Bonds'!$E$23:$E$49,MATCH($B11,'VPN Bonds'!$J$23:$J$36,0))*((INDEX('VPN Bond Prices'!$B$1:$P$64,MATCH('Value of Debt (listed bonds)'!P$3,'VPN Bond Prices'!$B$1:$B$64,0),MATCH('Value of Debt (listed bonds)'!$B11,'VPN Bond Prices'!$B$1:$P$1,0))/100))</f>
        <v>175754250</v>
      </c>
      <c r="Q11" s="171">
        <f>INDEX('VPN Bonds'!$E$23:$E$49,MATCH($B11,'VPN Bonds'!$J$23:$J$36,0))*((INDEX('VPN Bond Prices'!$B$1:$P$64,MATCH('Value of Debt (listed bonds)'!Q$3,'VPN Bond Prices'!$B$1:$B$64,0),MATCH('Value of Debt (listed bonds)'!$B11,'VPN Bond Prices'!$B$1:$P$1,0))/100))</f>
        <v>175523250</v>
      </c>
    </row>
    <row r="12" spans="1:30">
      <c r="B12" s="172" t="s">
        <v>246</v>
      </c>
      <c r="F12" s="181" t="e">
        <f>INDEX('VPN Bonds'!$E$23:$E$49,MATCH($B12,'VPN Bonds'!$J$23:$J$36,0))*((INDEX('VPN Bond Prices'!$B$1:$P$64,MATCH('Value of Debt (listed bonds)'!F$3,'VPN Bond Prices'!$B$1:$B$64,0),MATCH('Value of Debt (listed bonds)'!$B12,'VPN Bond Prices'!$B$1:$P$1,0))/100))</f>
        <v>#N/A</v>
      </c>
      <c r="G12" s="181" t="e">
        <f>INDEX('VPN Bonds'!$E$23:$E$49,MATCH($B12,'VPN Bonds'!$J$23:$J$36,0))*((INDEX('VPN Bond Prices'!$B$1:$P$64,MATCH('Value of Debt (listed bonds)'!G$3,'VPN Bond Prices'!$B$1:$B$64,0),MATCH('Value of Debt (listed bonds)'!$B12,'VPN Bond Prices'!$B$1:$P$1,0))/100))</f>
        <v>#N/A</v>
      </c>
      <c r="H12" s="181" t="e">
        <f>INDEX('VPN Bonds'!$E$23:$E$49,MATCH($B12,'VPN Bonds'!$J$23:$J$36,0))*((INDEX('VPN Bond Prices'!$B$1:$P$64,MATCH('Value of Debt (listed bonds)'!H$3,'VPN Bond Prices'!$B$1:$B$64,0),MATCH('Value of Debt (listed bonds)'!$B12,'VPN Bond Prices'!$B$1:$P$1,0))/100))</f>
        <v>#N/A</v>
      </c>
      <c r="I12" s="181" t="e">
        <f>INDEX('VPN Bonds'!$E$23:$E$49,MATCH($B12,'VPN Bonds'!$J$23:$J$36,0))*((INDEX('VPN Bond Prices'!$B$1:$P$64,MATCH('Value of Debt (listed bonds)'!I$3,'VPN Bond Prices'!$B$1:$B$64,0),MATCH('Value of Debt (listed bonds)'!$B12,'VPN Bond Prices'!$B$1:$P$1,0))/100))</f>
        <v>#N/A</v>
      </c>
      <c r="J12" s="181" t="e">
        <f>INDEX('VPN Bonds'!$E$23:$E$49,MATCH($B12,'VPN Bonds'!$J$23:$J$36,0))*((INDEX('VPN Bond Prices'!$B$1:$P$64,MATCH('Value of Debt (listed bonds)'!J$3,'VPN Bond Prices'!$B$1:$B$64,0),MATCH('Value of Debt (listed bonds)'!$B12,'VPN Bond Prices'!$B$1:$P$1,0))/100))</f>
        <v>#N/A</v>
      </c>
      <c r="K12" s="181" t="e">
        <f>INDEX('VPN Bonds'!$E$23:$E$49,MATCH($B12,'VPN Bonds'!$J$23:$J$36,0))*((INDEX('VPN Bond Prices'!$B$1:$P$64,MATCH('Value of Debt (listed bonds)'!K$3,'VPN Bond Prices'!$B$1:$B$64,0),MATCH('Value of Debt (listed bonds)'!$B12,'VPN Bond Prices'!$B$1:$P$1,0))/100))</f>
        <v>#N/A</v>
      </c>
      <c r="L12" s="171">
        <f>INDEX('VPN Bonds'!$E$23:$E$49,MATCH($B12,'VPN Bonds'!$J$23:$J$36,0))*((INDEX('VPN Bond Prices'!$B$1:$P$64,MATCH('Value of Debt (listed bonds)'!L$3,'VPN Bond Prices'!$B$1:$B$64,0),MATCH('Value of Debt (listed bonds)'!$B12,'VPN Bond Prices'!$B$1:$P$1,0))/100))</f>
        <v>0</v>
      </c>
      <c r="M12" s="171">
        <f>INDEX('VPN Bonds'!$E$23:$E$49,MATCH($B12,'VPN Bonds'!$J$23:$J$36,0))*((INDEX('VPN Bond Prices'!$B$1:$P$64,MATCH('Value of Debt (listed bonds)'!M$3,'VPN Bond Prices'!$B$1:$B$64,0),MATCH('Value of Debt (listed bonds)'!$B12,'VPN Bond Prices'!$B$1:$P$1,0))/100))</f>
        <v>0</v>
      </c>
      <c r="N12" s="171">
        <f>INDEX('VPN Bonds'!$E$23:$E$49,MATCH($B12,'VPN Bonds'!$J$23:$J$36,0))*((INDEX('VPN Bond Prices'!$B$1:$P$64,MATCH('Value of Debt (listed bonds)'!N$3,'VPN Bond Prices'!$B$1:$B$64,0),MATCH('Value of Debt (listed bonds)'!$B12,'VPN Bond Prices'!$B$1:$P$1,0))/100))</f>
        <v>0</v>
      </c>
      <c r="O12" s="171">
        <f>INDEX('VPN Bonds'!$E$23:$E$49,MATCH($B12,'VPN Bonds'!$J$23:$J$36,0))*((INDEX('VPN Bond Prices'!$B$1:$P$64,MATCH('Value of Debt (listed bonds)'!O$3,'VPN Bond Prices'!$B$1:$B$64,0),MATCH('Value of Debt (listed bonds)'!$B12,'VPN Bond Prices'!$B$1:$P$1,0))/100))</f>
        <v>0</v>
      </c>
      <c r="P12" s="171">
        <f>INDEX('VPN Bonds'!$E$23:$E$49,MATCH($B12,'VPN Bonds'!$J$23:$J$36,0))*((INDEX('VPN Bond Prices'!$B$1:$P$64,MATCH('Value of Debt (listed bonds)'!P$3,'VPN Bond Prices'!$B$1:$B$64,0),MATCH('Value of Debt (listed bonds)'!$B12,'VPN Bond Prices'!$B$1:$P$1,0))/100))</f>
        <v>406996649.99999994</v>
      </c>
      <c r="Q12" s="171">
        <f>INDEX('VPN Bonds'!$E$23:$E$49,MATCH($B12,'VPN Bonds'!$J$23:$J$36,0))*((INDEX('VPN Bond Prices'!$B$1:$P$64,MATCH('Value of Debt (listed bonds)'!Q$3,'VPN Bond Prices'!$B$1:$B$64,0),MATCH('Value of Debt (listed bonds)'!$B12,'VPN Bond Prices'!$B$1:$P$1,0))/100))</f>
        <v>394534799.99999994</v>
      </c>
    </row>
    <row r="13" spans="1:30">
      <c r="B13" s="172" t="s">
        <v>247</v>
      </c>
      <c r="F13" s="181" t="e">
        <f>INDEX('VPN Bonds'!$E$23:$E$49,MATCH($B13,'VPN Bonds'!$J$23:$J$36,0))*((INDEX('VPN Bond Prices'!$B$1:$P$64,MATCH('Value of Debt (listed bonds)'!F$3,'VPN Bond Prices'!$B$1:$B$64,0),MATCH('Value of Debt (listed bonds)'!$B13,'VPN Bond Prices'!$B$1:$P$1,0))/100))</f>
        <v>#N/A</v>
      </c>
      <c r="G13" s="181" t="e">
        <f>INDEX('VPN Bonds'!$E$23:$E$49,MATCH($B13,'VPN Bonds'!$J$23:$J$36,0))*((INDEX('VPN Bond Prices'!$B$1:$P$64,MATCH('Value of Debt (listed bonds)'!G$3,'VPN Bond Prices'!$B$1:$B$64,0),MATCH('Value of Debt (listed bonds)'!$B13,'VPN Bond Prices'!$B$1:$P$1,0))/100))</f>
        <v>#N/A</v>
      </c>
      <c r="H13" s="181" t="e">
        <f>INDEX('VPN Bonds'!$E$23:$E$49,MATCH($B13,'VPN Bonds'!$J$23:$J$36,0))*((INDEX('VPN Bond Prices'!$B$1:$P$64,MATCH('Value of Debt (listed bonds)'!H$3,'VPN Bond Prices'!$B$1:$B$64,0),MATCH('Value of Debt (listed bonds)'!$B13,'VPN Bond Prices'!$B$1:$P$1,0))/100))</f>
        <v>#N/A</v>
      </c>
      <c r="I13" s="181" t="e">
        <f>INDEX('VPN Bonds'!$E$23:$E$49,MATCH($B13,'VPN Bonds'!$J$23:$J$36,0))*((INDEX('VPN Bond Prices'!$B$1:$P$64,MATCH('Value of Debt (listed bonds)'!I$3,'VPN Bond Prices'!$B$1:$B$64,0),MATCH('Value of Debt (listed bonds)'!$B13,'VPN Bond Prices'!$B$1:$P$1,0))/100))</f>
        <v>#N/A</v>
      </c>
      <c r="J13" s="181" t="e">
        <f>INDEX('VPN Bonds'!$E$23:$E$49,MATCH($B13,'VPN Bonds'!$J$23:$J$36,0))*((INDEX('VPN Bond Prices'!$B$1:$P$64,MATCH('Value of Debt (listed bonds)'!J$3,'VPN Bond Prices'!$B$1:$B$64,0),MATCH('Value of Debt (listed bonds)'!$B13,'VPN Bond Prices'!$B$1:$P$1,0))/100))</f>
        <v>#N/A</v>
      </c>
      <c r="K13" s="181" t="e">
        <f>INDEX('VPN Bonds'!$E$23:$E$49,MATCH($B13,'VPN Bonds'!$J$23:$J$36,0))*((INDEX('VPN Bond Prices'!$B$1:$P$64,MATCH('Value of Debt (listed bonds)'!K$3,'VPN Bond Prices'!$B$1:$B$64,0),MATCH('Value of Debt (listed bonds)'!$B13,'VPN Bond Prices'!$B$1:$P$1,0))/100))</f>
        <v>#N/A</v>
      </c>
      <c r="L13" s="171">
        <f>INDEX('VPN Bonds'!$E$23:$E$49,MATCH($B13,'VPN Bonds'!$J$23:$J$36,0))*((INDEX('VPN Bond Prices'!$B$1:$P$64,MATCH('Value of Debt (listed bonds)'!L$3,'VPN Bond Prices'!$B$1:$B$64,0),MATCH('Value of Debt (listed bonds)'!$B13,'VPN Bond Prices'!$B$1:$P$1,0))/100))</f>
        <v>417694024.0517</v>
      </c>
      <c r="M13" s="171">
        <f>INDEX('VPN Bonds'!$E$23:$E$49,MATCH($B13,'VPN Bonds'!$J$23:$J$36,0))*((INDEX('VPN Bond Prices'!$B$1:$P$64,MATCH('Value of Debt (listed bonds)'!M$3,'VPN Bond Prices'!$B$1:$B$64,0),MATCH('Value of Debt (listed bonds)'!$B13,'VPN Bond Prices'!$B$1:$P$1,0))/100))</f>
        <v>397816269.26536</v>
      </c>
      <c r="N13" s="171">
        <f>INDEX('VPN Bonds'!$E$23:$E$49,MATCH($B13,'VPN Bonds'!$J$23:$J$36,0))*((INDEX('VPN Bond Prices'!$B$1:$P$64,MATCH('Value of Debt (listed bonds)'!N$3,'VPN Bond Prices'!$B$1:$B$64,0),MATCH('Value of Debt (listed bonds)'!$B13,'VPN Bond Prices'!$B$1:$P$1,0))/100))</f>
        <v>428247067.34413999</v>
      </c>
      <c r="O13" s="171">
        <f>INDEX('VPN Bonds'!$E$23:$E$49,MATCH($B13,'VPN Bonds'!$J$23:$J$36,0))*((INDEX('VPN Bond Prices'!$B$1:$P$64,MATCH('Value of Debt (listed bonds)'!O$3,'VPN Bond Prices'!$B$1:$B$64,0),MATCH('Value of Debt (listed bonds)'!$B13,'VPN Bond Prices'!$B$1:$P$1,0))/100))</f>
        <v>449500064.04446006</v>
      </c>
      <c r="P13" s="171">
        <f>INDEX('VPN Bonds'!$E$23:$E$49,MATCH($B13,'VPN Bonds'!$J$23:$J$36,0))*((INDEX('VPN Bond Prices'!$B$1:$P$64,MATCH('Value of Debt (listed bonds)'!P$3,'VPN Bond Prices'!$B$1:$B$64,0),MATCH('Value of Debt (listed bonds)'!$B13,'VPN Bond Prices'!$B$1:$P$1,0))/100))</f>
        <v>443040099.80164003</v>
      </c>
      <c r="Q13" s="171">
        <f>INDEX('VPN Bonds'!$E$23:$E$49,MATCH($B13,'VPN Bonds'!$J$23:$J$36,0))*((INDEX('VPN Bond Prices'!$B$1:$P$64,MATCH('Value of Debt (listed bonds)'!Q$3,'VPN Bond Prices'!$B$1:$B$64,0),MATCH('Value of Debt (listed bonds)'!$B13,'VPN Bond Prices'!$B$1:$P$1,0))/100))</f>
        <v>434298947.93296003</v>
      </c>
    </row>
    <row r="14" spans="1:30">
      <c r="B14" s="172" t="s">
        <v>248</v>
      </c>
      <c r="F14" s="181" t="e">
        <f>INDEX('VPN Bonds'!$E$23:$E$49,MATCH($B14,'VPN Bonds'!$J$23:$J$36,0))*((INDEX('VPN Bond Prices'!$B$1:$P$64,MATCH('Value of Debt (listed bonds)'!F$3,'VPN Bond Prices'!$B$1:$B$64,0),MATCH('Value of Debt (listed bonds)'!$B14,'VPN Bond Prices'!$B$1:$P$1,0))/100))</f>
        <v>#N/A</v>
      </c>
      <c r="G14" s="181" t="e">
        <f>INDEX('VPN Bonds'!$E$23:$E$49,MATCH($B14,'VPN Bonds'!$J$23:$J$36,0))*((INDEX('VPN Bond Prices'!$B$1:$P$64,MATCH('Value of Debt (listed bonds)'!G$3,'VPN Bond Prices'!$B$1:$B$64,0),MATCH('Value of Debt (listed bonds)'!$B14,'VPN Bond Prices'!$B$1:$P$1,0))/100))</f>
        <v>#N/A</v>
      </c>
      <c r="H14" s="181" t="e">
        <f>INDEX('VPN Bonds'!$E$23:$E$49,MATCH($B14,'VPN Bonds'!$J$23:$J$36,0))*((INDEX('VPN Bond Prices'!$B$1:$P$64,MATCH('Value of Debt (listed bonds)'!H$3,'VPN Bond Prices'!$B$1:$B$64,0),MATCH('Value of Debt (listed bonds)'!$B14,'VPN Bond Prices'!$B$1:$P$1,0))/100))</f>
        <v>#N/A</v>
      </c>
      <c r="I14" s="181" t="e">
        <f>INDEX('VPN Bonds'!$E$23:$E$49,MATCH($B14,'VPN Bonds'!$J$23:$J$36,0))*((INDEX('VPN Bond Prices'!$B$1:$P$64,MATCH('Value of Debt (listed bonds)'!I$3,'VPN Bond Prices'!$B$1:$B$64,0),MATCH('Value of Debt (listed bonds)'!$B14,'VPN Bond Prices'!$B$1:$P$1,0))/100))</f>
        <v>#N/A</v>
      </c>
      <c r="J14" s="181" t="e">
        <f>INDEX('VPN Bonds'!$E$23:$E$49,MATCH($B14,'VPN Bonds'!$J$23:$J$36,0))*((INDEX('VPN Bond Prices'!$B$1:$P$64,MATCH('Value of Debt (listed bonds)'!J$3,'VPN Bond Prices'!$B$1:$B$64,0),MATCH('Value of Debt (listed bonds)'!$B14,'VPN Bond Prices'!$B$1:$P$1,0))/100))</f>
        <v>#N/A</v>
      </c>
      <c r="K14" s="181" t="e">
        <f>INDEX('VPN Bonds'!$E$23:$E$49,MATCH($B14,'VPN Bonds'!$J$23:$J$36,0))*((INDEX('VPN Bond Prices'!$B$1:$P$64,MATCH('Value of Debt (listed bonds)'!K$3,'VPN Bond Prices'!$B$1:$B$64,0),MATCH('Value of Debt (listed bonds)'!$B14,'VPN Bond Prices'!$B$1:$P$1,0))/100))</f>
        <v>#N/A</v>
      </c>
      <c r="L14" s="171">
        <f>INDEX('VPN Bonds'!$E$23:$E$49,MATCH($B14,'VPN Bonds'!$J$23:$J$36,0))*((INDEX('VPN Bond Prices'!$B$1:$P$64,MATCH('Value of Debt (listed bonds)'!L$3,'VPN Bond Prices'!$B$1:$B$64,0),MATCH('Value of Debt (listed bonds)'!$B14,'VPN Bond Prices'!$B$1:$P$1,0))/100))</f>
        <v>0</v>
      </c>
      <c r="M14" s="171">
        <f>INDEX('VPN Bonds'!$E$23:$E$49,MATCH($B14,'VPN Bonds'!$J$23:$J$36,0))*((INDEX('VPN Bond Prices'!$B$1:$P$64,MATCH('Value of Debt (listed bonds)'!M$3,'VPN Bond Prices'!$B$1:$B$64,0),MATCH('Value of Debt (listed bonds)'!$B14,'VPN Bond Prices'!$B$1:$P$1,0))/100))</f>
        <v>0</v>
      </c>
      <c r="N14" s="171">
        <f>INDEX('VPN Bonds'!$E$23:$E$49,MATCH($B14,'VPN Bonds'!$J$23:$J$36,0))*((INDEX('VPN Bond Prices'!$B$1:$P$64,MATCH('Value of Debt (listed bonds)'!N$3,'VPN Bond Prices'!$B$1:$B$64,0),MATCH('Value of Debt (listed bonds)'!$B14,'VPN Bond Prices'!$B$1:$P$1,0))/100))</f>
        <v>0</v>
      </c>
      <c r="O14" s="171">
        <f>INDEX('VPN Bonds'!$E$23:$E$49,MATCH($B14,'VPN Bonds'!$J$23:$J$36,0))*((INDEX('VPN Bond Prices'!$B$1:$P$64,MATCH('Value of Debt (listed bonds)'!O$3,'VPN Bond Prices'!$B$1:$B$64,0),MATCH('Value of Debt (listed bonds)'!$B14,'VPN Bond Prices'!$B$1:$P$1,0))/100))</f>
        <v>0</v>
      </c>
      <c r="P14" s="171">
        <f>INDEX('VPN Bonds'!$E$23:$E$49,MATCH($B14,'VPN Bonds'!$J$23:$J$36,0))*((INDEX('VPN Bond Prices'!$B$1:$P$64,MATCH('Value of Debt (listed bonds)'!P$3,'VPN Bond Prices'!$B$1:$B$64,0),MATCH('Value of Debt (listed bonds)'!$B14,'VPN Bond Prices'!$B$1:$P$1,0))/100))</f>
        <v>67699020.02448</v>
      </c>
      <c r="Q14" s="171">
        <f>INDEX('VPN Bonds'!$E$23:$E$49,MATCH($B14,'VPN Bonds'!$J$23:$J$36,0))*((INDEX('VPN Bond Prices'!$B$1:$P$64,MATCH('Value of Debt (listed bonds)'!Q$3,'VPN Bond Prices'!$B$1:$B$64,0),MATCH('Value of Debt (listed bonds)'!$B14,'VPN Bond Prices'!$B$1:$P$1,0))/100))</f>
        <v>66765472.234240003</v>
      </c>
    </row>
    <row r="15" spans="1:30">
      <c r="B15" s="172" t="s">
        <v>249</v>
      </c>
      <c r="F15" s="181" t="e">
        <f>INDEX('VPN Bonds'!$E$23:$E$49,MATCH($B15,'VPN Bonds'!$J$23:$J$36,0))*((INDEX('VPN Bond Prices'!$B$1:$P$64,MATCH('Value of Debt (listed bonds)'!F$3,'VPN Bond Prices'!$B$1:$B$64,0),MATCH('Value of Debt (listed bonds)'!$B15,'VPN Bond Prices'!$B$1:$P$1,0))/100))</f>
        <v>#N/A</v>
      </c>
      <c r="G15" s="181" t="e">
        <f>INDEX('VPN Bonds'!$E$23:$E$49,MATCH($B15,'VPN Bonds'!$J$23:$J$36,0))*((INDEX('VPN Bond Prices'!$B$1:$P$64,MATCH('Value of Debt (listed bonds)'!G$3,'VPN Bond Prices'!$B$1:$B$64,0),MATCH('Value of Debt (listed bonds)'!$B15,'VPN Bond Prices'!$B$1:$P$1,0))/100))</f>
        <v>#N/A</v>
      </c>
      <c r="H15" s="181" t="e">
        <f>INDEX('VPN Bonds'!$E$23:$E$49,MATCH($B15,'VPN Bonds'!$J$23:$J$36,0))*((INDEX('VPN Bond Prices'!$B$1:$P$64,MATCH('Value of Debt (listed bonds)'!H$3,'VPN Bond Prices'!$B$1:$B$64,0),MATCH('Value of Debt (listed bonds)'!$B15,'VPN Bond Prices'!$B$1:$P$1,0))/100))</f>
        <v>#N/A</v>
      </c>
      <c r="I15" s="181" t="e">
        <f>INDEX('VPN Bonds'!$E$23:$E$49,MATCH($B15,'VPN Bonds'!$J$23:$J$36,0))*((INDEX('VPN Bond Prices'!$B$1:$P$64,MATCH('Value of Debt (listed bonds)'!I$3,'VPN Bond Prices'!$B$1:$B$64,0),MATCH('Value of Debt (listed bonds)'!$B15,'VPN Bond Prices'!$B$1:$P$1,0))/100))</f>
        <v>#N/A</v>
      </c>
      <c r="J15" s="181" t="e">
        <f>INDEX('VPN Bonds'!$E$23:$E$49,MATCH($B15,'VPN Bonds'!$J$23:$J$36,0))*((INDEX('VPN Bond Prices'!$B$1:$P$64,MATCH('Value of Debt (listed bonds)'!J$3,'VPN Bond Prices'!$B$1:$B$64,0),MATCH('Value of Debt (listed bonds)'!$B15,'VPN Bond Prices'!$B$1:$P$1,0))/100))</f>
        <v>#N/A</v>
      </c>
      <c r="K15" s="181" t="e">
        <f>INDEX('VPN Bonds'!$E$23:$E$49,MATCH($B15,'VPN Bonds'!$J$23:$J$36,0))*((INDEX('VPN Bond Prices'!$B$1:$P$64,MATCH('Value of Debt (listed bonds)'!K$3,'VPN Bond Prices'!$B$1:$B$64,0),MATCH('Value of Debt (listed bonds)'!$B15,'VPN Bond Prices'!$B$1:$P$1,0))/100))</f>
        <v>#N/A</v>
      </c>
      <c r="L15" s="171">
        <f>INDEX('VPN Bonds'!$E$23:$E$49,MATCH($B15,'VPN Bonds'!$J$23:$J$36,0))*((INDEX('VPN Bond Prices'!$B$1:$P$64,MATCH('Value of Debt (listed bonds)'!L$3,'VPN Bond Prices'!$B$1:$B$64,0),MATCH('Value of Debt (listed bonds)'!$B15,'VPN Bond Prices'!$B$1:$P$1,0))/100))</f>
        <v>0</v>
      </c>
      <c r="M15" s="171">
        <f>INDEX('VPN Bonds'!$E$23:$E$49,MATCH($B15,'VPN Bonds'!$J$23:$J$36,0))*((INDEX('VPN Bond Prices'!$B$1:$P$64,MATCH('Value of Debt (listed bonds)'!M$3,'VPN Bond Prices'!$B$1:$B$64,0),MATCH('Value of Debt (listed bonds)'!$B15,'VPN Bond Prices'!$B$1:$P$1,0))/100))</f>
        <v>150124618.5</v>
      </c>
      <c r="N15" s="171">
        <f>INDEX('VPN Bonds'!$E$23:$E$49,MATCH($B15,'VPN Bonds'!$J$23:$J$36,0))*((INDEX('VPN Bond Prices'!$B$1:$P$64,MATCH('Value of Debt (listed bonds)'!N$3,'VPN Bond Prices'!$B$1:$B$64,0),MATCH('Value of Debt (listed bonds)'!$B15,'VPN Bond Prices'!$B$1:$P$1,0))/100))</f>
        <v>164390425.49999997</v>
      </c>
      <c r="O15" s="171">
        <f>INDEX('VPN Bonds'!$E$23:$E$49,MATCH($B15,'VPN Bonds'!$J$23:$J$36,0))*((INDEX('VPN Bond Prices'!$B$1:$P$64,MATCH('Value of Debt (listed bonds)'!O$3,'VPN Bond Prices'!$B$1:$B$64,0),MATCH('Value of Debt (listed bonds)'!$B15,'VPN Bond Prices'!$B$1:$P$1,0))/100))</f>
        <v>169174575</v>
      </c>
      <c r="P15" s="171">
        <f>INDEX('VPN Bonds'!$E$23:$E$49,MATCH($B15,'VPN Bonds'!$J$23:$J$36,0))*((INDEX('VPN Bond Prices'!$B$1:$P$64,MATCH('Value of Debt (listed bonds)'!P$3,'VPN Bond Prices'!$B$1:$B$64,0),MATCH('Value of Debt (listed bonds)'!$B15,'VPN Bond Prices'!$B$1:$P$1,0))/100))</f>
        <v>168396061.5</v>
      </c>
      <c r="Q15" s="171">
        <f>INDEX('VPN Bonds'!$E$23:$E$49,MATCH($B15,'VPN Bonds'!$J$23:$J$36,0))*((INDEX('VPN Bond Prices'!$B$1:$P$64,MATCH('Value of Debt (listed bonds)'!Q$3,'VPN Bond Prices'!$B$1:$B$64,0),MATCH('Value of Debt (listed bonds)'!$B15,'VPN Bond Prices'!$B$1:$P$1,0))/100))</f>
        <v>161835589.5</v>
      </c>
    </row>
    <row r="16" spans="1:30">
      <c r="B16" s="172" t="s">
        <v>250</v>
      </c>
      <c r="F16" s="181" t="e">
        <f>INDEX('VPN Bonds'!$E$23:$E$49,MATCH($B16,'VPN Bonds'!$J$23:$J$36,0))*((INDEX('VPN Bond Prices'!$B$1:$P$64,MATCH('Value of Debt (listed bonds)'!F$3,'VPN Bond Prices'!$B$1:$B$64,0),MATCH('Value of Debt (listed bonds)'!$B16,'VPN Bond Prices'!$B$1:$P$1,0))/100))</f>
        <v>#N/A</v>
      </c>
      <c r="G16" s="181" t="e">
        <f>INDEX('VPN Bonds'!$E$23:$E$49,MATCH($B16,'VPN Bonds'!$J$23:$J$36,0))*((INDEX('VPN Bond Prices'!$B$1:$P$64,MATCH('Value of Debt (listed bonds)'!G$3,'VPN Bond Prices'!$B$1:$B$64,0),MATCH('Value of Debt (listed bonds)'!$B16,'VPN Bond Prices'!$B$1:$P$1,0))/100))</f>
        <v>#N/A</v>
      </c>
      <c r="H16" s="181" t="e">
        <f>INDEX('VPN Bonds'!$E$23:$E$49,MATCH($B16,'VPN Bonds'!$J$23:$J$36,0))*((INDEX('VPN Bond Prices'!$B$1:$P$64,MATCH('Value of Debt (listed bonds)'!H$3,'VPN Bond Prices'!$B$1:$B$64,0),MATCH('Value of Debt (listed bonds)'!$B16,'VPN Bond Prices'!$B$1:$P$1,0))/100))</f>
        <v>#N/A</v>
      </c>
      <c r="I16" s="181" t="e">
        <f>INDEX('VPN Bonds'!$E$23:$E$49,MATCH($B16,'VPN Bonds'!$J$23:$J$36,0))*((INDEX('VPN Bond Prices'!$B$1:$P$64,MATCH('Value of Debt (listed bonds)'!I$3,'VPN Bond Prices'!$B$1:$B$64,0),MATCH('Value of Debt (listed bonds)'!$B16,'VPN Bond Prices'!$B$1:$P$1,0))/100))</f>
        <v>#N/A</v>
      </c>
      <c r="J16" s="181" t="e">
        <f>INDEX('VPN Bonds'!$E$23:$E$49,MATCH($B16,'VPN Bonds'!$J$23:$J$36,0))*((INDEX('VPN Bond Prices'!$B$1:$P$64,MATCH('Value of Debt (listed bonds)'!J$3,'VPN Bond Prices'!$B$1:$B$64,0),MATCH('Value of Debt (listed bonds)'!$B16,'VPN Bond Prices'!$B$1:$P$1,0))/100))</f>
        <v>#N/A</v>
      </c>
      <c r="K16" s="181" t="e">
        <f>INDEX('VPN Bonds'!$E$23:$E$49,MATCH($B16,'VPN Bonds'!$J$23:$J$36,0))*((INDEX('VPN Bond Prices'!$B$1:$P$64,MATCH('Value of Debt (listed bonds)'!K$3,'VPN Bond Prices'!$B$1:$B$64,0),MATCH('Value of Debt (listed bonds)'!$B16,'VPN Bond Prices'!$B$1:$P$1,0))/100))</f>
        <v>#N/A</v>
      </c>
      <c r="L16" s="171">
        <f>INDEX('VPN Bonds'!$E$23:$E$49,MATCH($B16,'VPN Bonds'!$J$23:$J$36,0))*((INDEX('VPN Bond Prices'!$B$1:$P$64,MATCH('Value of Debt (listed bonds)'!L$3,'VPN Bond Prices'!$B$1:$B$64,0),MATCH('Value of Debt (listed bonds)'!$B16,'VPN Bond Prices'!$B$1:$P$1,0))/100))</f>
        <v>0</v>
      </c>
      <c r="M16" s="171">
        <f>INDEX('VPN Bonds'!$E$23:$E$49,MATCH($B16,'VPN Bonds'!$J$23:$J$36,0))*((INDEX('VPN Bond Prices'!$B$1:$P$64,MATCH('Value of Debt (listed bonds)'!M$3,'VPN Bond Prices'!$B$1:$B$64,0),MATCH('Value of Debt (listed bonds)'!$B16,'VPN Bond Prices'!$B$1:$P$1,0))/100))</f>
        <v>223797433.49999997</v>
      </c>
      <c r="N16" s="171">
        <f>INDEX('VPN Bonds'!$E$23:$E$49,MATCH($B16,'VPN Bonds'!$J$23:$J$36,0))*((INDEX('VPN Bond Prices'!$B$1:$P$64,MATCH('Value of Debt (listed bonds)'!N$3,'VPN Bond Prices'!$B$1:$B$64,0),MATCH('Value of Debt (listed bonds)'!$B16,'VPN Bond Prices'!$B$1:$P$1,0))/100))</f>
        <v>245958747.74999997</v>
      </c>
      <c r="O16" s="171">
        <f>INDEX('VPN Bonds'!$E$23:$E$49,MATCH($B16,'VPN Bonds'!$J$23:$J$36,0))*((INDEX('VPN Bond Prices'!$B$1:$P$64,MATCH('Value of Debt (listed bonds)'!O$3,'VPN Bond Prices'!$B$1:$B$64,0),MATCH('Value of Debt (listed bonds)'!$B16,'VPN Bond Prices'!$B$1:$P$1,0))/100))</f>
        <v>252479580.75</v>
      </c>
      <c r="P16" s="171">
        <f>O16</f>
        <v>252479580.75</v>
      </c>
      <c r="Q16" s="171">
        <f>INDEX('VPN Bonds'!$E$23:$E$49,MATCH($B16,'VPN Bonds'!$J$23:$J$36,0))*((INDEX('VPN Bond Prices'!$B$1:$P$64,MATCH('Value of Debt (listed bonds)'!Q$3,'VPN Bond Prices'!$B$1:$B$64,0),MATCH('Value of Debt (listed bonds)'!$B16,'VPN Bond Prices'!$B$1:$P$1,0))/100))</f>
        <v>243525384</v>
      </c>
    </row>
    <row r="17" spans="2:17">
      <c r="B17" s="172" t="s">
        <v>251</v>
      </c>
      <c r="F17" s="181" t="e">
        <f>INDEX('VPN Bonds'!$E$23:$E$49,MATCH($B17,'VPN Bonds'!$J$23:$J$36,0))*((INDEX('VPN Bond Prices'!$B$1:$P$64,MATCH('Value of Debt (listed bonds)'!F$3,'VPN Bond Prices'!$B$1:$B$64,0),MATCH('Value of Debt (listed bonds)'!$B17,'VPN Bond Prices'!$B$1:$P$1,0))/100))</f>
        <v>#N/A</v>
      </c>
      <c r="G17" s="181" t="e">
        <f>INDEX('VPN Bonds'!$E$23:$E$49,MATCH($B17,'VPN Bonds'!$J$23:$J$36,0))*((INDEX('VPN Bond Prices'!$B$1:$P$64,MATCH('Value of Debt (listed bonds)'!G$3,'VPN Bond Prices'!$B$1:$B$64,0),MATCH('Value of Debt (listed bonds)'!$B17,'VPN Bond Prices'!$B$1:$P$1,0))/100))</f>
        <v>#N/A</v>
      </c>
      <c r="H17" s="181" t="e">
        <f>INDEX('VPN Bonds'!$E$23:$E$49,MATCH($B17,'VPN Bonds'!$J$23:$J$36,0))*((INDEX('VPN Bond Prices'!$B$1:$P$64,MATCH('Value of Debt (listed bonds)'!H$3,'VPN Bond Prices'!$B$1:$B$64,0),MATCH('Value of Debt (listed bonds)'!$B17,'VPN Bond Prices'!$B$1:$P$1,0))/100))</f>
        <v>#N/A</v>
      </c>
      <c r="I17" s="181" t="e">
        <f>INDEX('VPN Bonds'!$E$23:$E$49,MATCH($B17,'VPN Bonds'!$J$23:$J$36,0))*((INDEX('VPN Bond Prices'!$B$1:$P$64,MATCH('Value of Debt (listed bonds)'!I$3,'VPN Bond Prices'!$B$1:$B$64,0),MATCH('Value of Debt (listed bonds)'!$B17,'VPN Bond Prices'!$B$1:$P$1,0))/100))</f>
        <v>#N/A</v>
      </c>
      <c r="J17" s="181" t="e">
        <f>INDEX('VPN Bonds'!$E$23:$E$49,MATCH($B17,'VPN Bonds'!$J$23:$J$36,0))*((INDEX('VPN Bond Prices'!$B$1:$P$64,MATCH('Value of Debt (listed bonds)'!J$3,'VPN Bond Prices'!$B$1:$B$64,0),MATCH('Value of Debt (listed bonds)'!$B17,'VPN Bond Prices'!$B$1:$P$1,0))/100))</f>
        <v>#N/A</v>
      </c>
      <c r="K17" s="181" t="e">
        <f>INDEX('VPN Bonds'!$E$23:$E$49,MATCH($B17,'VPN Bonds'!$J$23:$J$36,0))*((INDEX('VPN Bond Prices'!$B$1:$P$64,MATCH('Value of Debt (listed bonds)'!K$3,'VPN Bond Prices'!$B$1:$B$64,0),MATCH('Value of Debt (listed bonds)'!$B17,'VPN Bond Prices'!$B$1:$P$1,0))/100))</f>
        <v>#N/A</v>
      </c>
      <c r="L17" s="171">
        <f>INDEX('VPN Bonds'!$E$23:$E$49,MATCH($B17,'VPN Bonds'!$J$23:$J$36,0))*((INDEX('VPN Bond Prices'!$B$1:$P$64,MATCH('Value of Debt (listed bonds)'!L$3,'VPN Bond Prices'!$B$1:$B$64,0),MATCH('Value of Debt (listed bonds)'!$B17,'VPN Bond Prices'!$B$1:$P$1,0))/100))</f>
        <v>0</v>
      </c>
      <c r="M17" s="171">
        <f>INDEX('VPN Bonds'!$E$23:$E$49,MATCH($B17,'VPN Bonds'!$J$23:$J$36,0))*((INDEX('VPN Bond Prices'!$B$1:$P$64,MATCH('Value of Debt (listed bonds)'!M$3,'VPN Bond Prices'!$B$1:$B$64,0),MATCH('Value of Debt (listed bonds)'!$B17,'VPN Bond Prices'!$B$1:$P$1,0))/100))</f>
        <v>0</v>
      </c>
      <c r="N17" s="171">
        <f>INDEX('VPN Bonds'!$E$23:$E$49,MATCH($B17,'VPN Bonds'!$J$23:$J$36,0))*((INDEX('VPN Bond Prices'!$B$1:$P$64,MATCH('Value of Debt (listed bonds)'!N$3,'VPN Bond Prices'!$B$1:$B$64,0),MATCH('Value of Debt (listed bonds)'!$B17,'VPN Bond Prices'!$B$1:$P$1,0))/100))</f>
        <v>0</v>
      </c>
      <c r="O17" s="171">
        <f>INDEX('VPN Bonds'!$E$23:$E$49,MATCH($B17,'VPN Bonds'!$J$23:$J$36,0))*((INDEX('VPN Bond Prices'!$B$1:$P$64,MATCH('Value of Debt (listed bonds)'!O$3,'VPN Bond Prices'!$B$1:$B$64,0),MATCH('Value of Debt (listed bonds)'!$B17,'VPN Bond Prices'!$B$1:$P$1,0))/100))</f>
        <v>0</v>
      </c>
      <c r="P17" s="171">
        <f>INDEX('VPN Bonds'!$E$23:$E$49,MATCH($B17,'VPN Bonds'!$J$23:$J$36,0))*((INDEX('VPN Bond Prices'!$B$1:$P$64,MATCH('Value of Debt (listed bonds)'!P$3,'VPN Bond Prices'!$B$1:$B$64,0),MATCH('Value of Debt (listed bonds)'!$B17,'VPN Bond Prices'!$B$1:$P$1,0))/100))</f>
        <v>201846000</v>
      </c>
      <c r="Q17" s="171">
        <f>INDEX('VPN Bonds'!$E$23:$E$49,MATCH($B17,'VPN Bonds'!$J$23:$J$36,0))*((INDEX('VPN Bond Prices'!$B$1:$P$64,MATCH('Value of Debt (listed bonds)'!Q$3,'VPN Bond Prices'!$B$1:$B$64,0),MATCH('Value of Debt (listed bonds)'!$B17,'VPN Bond Prices'!$B$1:$P$1,0))/100))</f>
        <v>194722000.00000003</v>
      </c>
    </row>
    <row r="18" spans="2:17">
      <c r="B18" s="172" t="s">
        <v>252</v>
      </c>
      <c r="F18" s="181" t="e">
        <f>INDEX('VPN Bonds'!$E$23:$E$49,MATCH($B18,'VPN Bonds'!$J$23:$J$36,0))*((INDEX('VPN Bond Prices'!$B$1:$P$64,MATCH('Value of Debt (listed bonds)'!F$3,'VPN Bond Prices'!$B$1:$B$64,0),MATCH('Value of Debt (listed bonds)'!$B18,'VPN Bond Prices'!$B$1:$P$1,0))/100))</f>
        <v>#N/A</v>
      </c>
      <c r="G18" s="181" t="e">
        <f>INDEX('VPN Bonds'!$E$23:$E$49,MATCH($B18,'VPN Bonds'!$J$23:$J$36,0))*((INDEX('VPN Bond Prices'!$B$1:$P$64,MATCH('Value of Debt (listed bonds)'!G$3,'VPN Bond Prices'!$B$1:$B$64,0),MATCH('Value of Debt (listed bonds)'!$B18,'VPN Bond Prices'!$B$1:$P$1,0))/100))</f>
        <v>#N/A</v>
      </c>
      <c r="H18" s="181" t="e">
        <f>INDEX('VPN Bonds'!$E$23:$E$49,MATCH($B18,'VPN Bonds'!$J$23:$J$36,0))*((INDEX('VPN Bond Prices'!$B$1:$P$64,MATCH('Value of Debt (listed bonds)'!H$3,'VPN Bond Prices'!$B$1:$B$64,0),MATCH('Value of Debt (listed bonds)'!$B18,'VPN Bond Prices'!$B$1:$P$1,0))/100))</f>
        <v>#N/A</v>
      </c>
      <c r="I18" s="181" t="e">
        <f>INDEX('VPN Bonds'!$E$23:$E$49,MATCH($B18,'VPN Bonds'!$J$23:$J$36,0))*((INDEX('VPN Bond Prices'!$B$1:$P$64,MATCH('Value of Debt (listed bonds)'!I$3,'VPN Bond Prices'!$B$1:$B$64,0),MATCH('Value of Debt (listed bonds)'!$B18,'VPN Bond Prices'!$B$1:$P$1,0))/100))</f>
        <v>#N/A</v>
      </c>
      <c r="J18" s="181" t="e">
        <f>INDEX('VPN Bonds'!$E$23:$E$49,MATCH($B18,'VPN Bonds'!$J$23:$J$36,0))*((INDEX('VPN Bond Prices'!$B$1:$P$64,MATCH('Value of Debt (listed bonds)'!J$3,'VPN Bond Prices'!$B$1:$B$64,0),MATCH('Value of Debt (listed bonds)'!$B18,'VPN Bond Prices'!$B$1:$P$1,0))/100))</f>
        <v>#N/A</v>
      </c>
      <c r="K18" s="181" t="e">
        <f>INDEX('VPN Bonds'!$E$23:$E$49,MATCH($B18,'VPN Bonds'!$J$23:$J$36,0))*((INDEX('VPN Bond Prices'!$B$1:$P$64,MATCH('Value of Debt (listed bonds)'!K$3,'VPN Bond Prices'!$B$1:$B$64,0),MATCH('Value of Debt (listed bonds)'!$B18,'VPN Bond Prices'!$B$1:$P$1,0))/100))</f>
        <v>#N/A</v>
      </c>
      <c r="L18" s="171">
        <f>INDEX('VPN Bonds'!$E$23:$E$49,MATCH($B18,'VPN Bonds'!$J$23:$J$36,0))*((INDEX('VPN Bond Prices'!$B$1:$P$64,MATCH('Value of Debt (listed bonds)'!L$3,'VPN Bond Prices'!$B$1:$B$64,0),MATCH('Value of Debt (listed bonds)'!$B18,'VPN Bond Prices'!$B$1:$P$1,0))/100))</f>
        <v>0</v>
      </c>
      <c r="M18" s="171">
        <f>INDEX('VPN Bonds'!$E$23:$E$49,MATCH($B18,'VPN Bonds'!$J$23:$J$36,0))*((INDEX('VPN Bond Prices'!$B$1:$P$64,MATCH('Value of Debt (listed bonds)'!M$3,'VPN Bond Prices'!$B$1:$B$64,0),MATCH('Value of Debt (listed bonds)'!$B18,'VPN Bond Prices'!$B$1:$P$1,0))/100))</f>
        <v>52782060.774300002</v>
      </c>
      <c r="N18" s="171">
        <f>INDEX('VPN Bonds'!$E$23:$E$49,MATCH($B18,'VPN Bonds'!$J$23:$J$36,0))*((INDEX('VPN Bond Prices'!$B$1:$P$64,MATCH('Value of Debt (listed bonds)'!N$3,'VPN Bond Prices'!$B$1:$B$64,0),MATCH('Value of Debt (listed bonds)'!$B18,'VPN Bond Prices'!$B$1:$P$1,0))/100))</f>
        <v>58197244.037400007</v>
      </c>
      <c r="O18" s="171">
        <f>INDEX('VPN Bonds'!$E$23:$E$49,MATCH($B18,'VPN Bonds'!$J$23:$J$36,0))*((INDEX('VPN Bond Prices'!$B$1:$P$64,MATCH('Value of Debt (listed bonds)'!O$3,'VPN Bond Prices'!$B$1:$B$64,0),MATCH('Value of Debt (listed bonds)'!$B18,'VPN Bond Prices'!$B$1:$P$1,0))/100))</f>
        <v>62222094.973739997</v>
      </c>
      <c r="P18" s="171">
        <f>INDEX('VPN Bonds'!$E$23:$E$49,MATCH($B18,'VPN Bonds'!$J$23:$J$36,0))*((INDEX('VPN Bond Prices'!$B$1:$P$64,MATCH('Value of Debt (listed bonds)'!P$3,'VPN Bond Prices'!$B$1:$B$64,0),MATCH('Value of Debt (listed bonds)'!$B18,'VPN Bond Prices'!$B$1:$P$1,0))/100))</f>
        <v>60507240.633060001</v>
      </c>
      <c r="Q18" s="171">
        <f>INDEX('VPN Bonds'!$E$23:$E$49,MATCH($B18,'VPN Bonds'!$J$23:$J$36,0))*((INDEX('VPN Bond Prices'!$B$1:$P$64,MATCH('Value of Debt (listed bonds)'!Q$3,'VPN Bond Prices'!$B$1:$B$64,0),MATCH('Value of Debt (listed bonds)'!$B18,'VPN Bond Prices'!$B$1:$P$1,0))/100))</f>
        <v>59539231.475100003</v>
      </c>
    </row>
    <row r="19" spans="2:17">
      <c r="B19" s="172" t="s">
        <v>253</v>
      </c>
      <c r="F19" s="181" t="e">
        <f>INDEX('VPN Bonds'!$E$23:$E$49,MATCH($B19,'VPN Bonds'!$J$23:$J$36,0))*((INDEX('VPN Bond Prices'!$B$1:$P$64,MATCH('Value of Debt (listed bonds)'!F$3,'VPN Bond Prices'!$B$1:$B$64,0),MATCH('Value of Debt (listed bonds)'!$B19,'VPN Bond Prices'!$B$1:$P$1,0))/100))</f>
        <v>#N/A</v>
      </c>
      <c r="G19" s="181" t="e">
        <f>INDEX('VPN Bonds'!$E$23:$E$49,MATCH($B19,'VPN Bonds'!$J$23:$J$36,0))*((INDEX('VPN Bond Prices'!$B$1:$P$64,MATCH('Value of Debt (listed bonds)'!G$3,'VPN Bond Prices'!$B$1:$B$64,0),MATCH('Value of Debt (listed bonds)'!$B19,'VPN Bond Prices'!$B$1:$P$1,0))/100))</f>
        <v>#N/A</v>
      </c>
      <c r="H19" s="181" t="e">
        <f>INDEX('VPN Bonds'!$E$23:$E$49,MATCH($B19,'VPN Bonds'!$J$23:$J$36,0))*((INDEX('VPN Bond Prices'!$B$1:$P$64,MATCH('Value of Debt (listed bonds)'!H$3,'VPN Bond Prices'!$B$1:$B$64,0),MATCH('Value of Debt (listed bonds)'!$B19,'VPN Bond Prices'!$B$1:$P$1,0))/100))</f>
        <v>#N/A</v>
      </c>
      <c r="I19" s="181" t="e">
        <f>INDEX('VPN Bonds'!$E$23:$E$49,MATCH($B19,'VPN Bonds'!$J$23:$J$36,0))*((INDEX('VPN Bond Prices'!$B$1:$P$64,MATCH('Value of Debt (listed bonds)'!I$3,'VPN Bond Prices'!$B$1:$B$64,0),MATCH('Value of Debt (listed bonds)'!$B19,'VPN Bond Prices'!$B$1:$P$1,0))/100))</f>
        <v>#N/A</v>
      </c>
      <c r="J19" s="181" t="e">
        <f>INDEX('VPN Bonds'!$E$23:$E$49,MATCH($B19,'VPN Bonds'!$J$23:$J$36,0))*((INDEX('VPN Bond Prices'!$B$1:$P$64,MATCH('Value of Debt (listed bonds)'!J$3,'VPN Bond Prices'!$B$1:$B$64,0),MATCH('Value of Debt (listed bonds)'!$B19,'VPN Bond Prices'!$B$1:$P$1,0))/100))</f>
        <v>#N/A</v>
      </c>
      <c r="K19" s="181" t="e">
        <f>INDEX('VPN Bonds'!$E$23:$E$49,MATCH($B19,'VPN Bonds'!$J$23:$J$36,0))*((INDEX('VPN Bond Prices'!$B$1:$P$64,MATCH('Value of Debt (listed bonds)'!K$3,'VPN Bond Prices'!$B$1:$B$64,0),MATCH('Value of Debt (listed bonds)'!$B19,'VPN Bond Prices'!$B$1:$P$1,0))/100))</f>
        <v>#N/A</v>
      </c>
      <c r="L19" s="171">
        <f>INDEX('VPN Bonds'!$E$23:$E$49,MATCH($B19,'VPN Bonds'!$J$23:$J$36,0))*((INDEX('VPN Bond Prices'!$B$1:$P$64,MATCH('Value of Debt (listed bonds)'!L$3,'VPN Bond Prices'!$B$1:$B$64,0),MATCH('Value of Debt (listed bonds)'!$B19,'VPN Bond Prices'!$B$1:$P$1,0))/100))</f>
        <v>0</v>
      </c>
      <c r="M19" s="171">
        <f>INDEX('VPN Bonds'!$E$23:$E$49,MATCH($B19,'VPN Bonds'!$J$23:$J$36,0))*((INDEX('VPN Bond Prices'!$B$1:$P$64,MATCH('Value of Debt (listed bonds)'!M$3,'VPN Bond Prices'!$B$1:$B$64,0),MATCH('Value of Debt (listed bonds)'!$B19,'VPN Bond Prices'!$B$1:$P$1,0))/100))</f>
        <v>35439378.319949999</v>
      </c>
      <c r="N19" s="171">
        <f>INDEX('VPN Bonds'!$E$23:$E$49,MATCH($B19,'VPN Bonds'!$J$23:$J$36,0))*((INDEX('VPN Bond Prices'!$B$1:$P$64,MATCH('Value of Debt (listed bonds)'!N$3,'VPN Bond Prices'!$B$1:$B$64,0),MATCH('Value of Debt (listed bonds)'!$B19,'VPN Bond Prices'!$B$1:$P$1,0))/100))</f>
        <v>38133133.987440005</v>
      </c>
      <c r="O19" s="171">
        <f>INDEX('VPN Bonds'!$E$23:$E$49,MATCH($B19,'VPN Bonds'!$J$23:$J$36,0))*((INDEX('VPN Bond Prices'!$B$1:$P$64,MATCH('Value of Debt (listed bonds)'!O$3,'VPN Bond Prices'!$B$1:$B$64,0),MATCH('Value of Debt (listed bonds)'!$B19,'VPN Bond Prices'!$B$1:$P$1,0))/100))</f>
        <v>39354948.405900002</v>
      </c>
      <c r="P19" s="171">
        <f>O19</f>
        <v>39354948.405900002</v>
      </c>
      <c r="Q19" s="171">
        <f>INDEX('VPN Bonds'!$E$23:$E$49,MATCH($B19,'VPN Bonds'!$J$23:$J$36,0))*((INDEX('VPN Bond Prices'!$B$1:$P$64,MATCH('Value of Debt (listed bonds)'!Q$3,'VPN Bond Prices'!$B$1:$B$64,0),MATCH('Value of Debt (listed bonds)'!$B19,'VPN Bond Prices'!$B$1:$P$1,0))/100))</f>
        <v>39004842.002939999</v>
      </c>
    </row>
    <row r="20" spans="2:17">
      <c r="B20" s="172" t="s">
        <v>254</v>
      </c>
      <c r="F20" s="181" t="e">
        <f>INDEX('VPN Bonds'!$E$23:$E$49,MATCH($B20,'VPN Bonds'!$J$23:$J$36,0))*((INDEX('VPN Bond Prices'!$B$1:$P$64,MATCH('Value of Debt (listed bonds)'!F$3,'VPN Bond Prices'!$B$1:$B$64,0),MATCH('Value of Debt (listed bonds)'!$B20,'VPN Bond Prices'!$B$1:$P$1,0))/100))</f>
        <v>#N/A</v>
      </c>
      <c r="G20" s="181" t="e">
        <f>INDEX('VPN Bonds'!$E$23:$E$49,MATCH($B20,'VPN Bonds'!$J$23:$J$36,0))*((INDEX('VPN Bond Prices'!$B$1:$P$64,MATCH('Value of Debt (listed bonds)'!G$3,'VPN Bond Prices'!$B$1:$B$64,0),MATCH('Value of Debt (listed bonds)'!$B20,'VPN Bond Prices'!$B$1:$P$1,0))/100))</f>
        <v>#N/A</v>
      </c>
      <c r="H20" s="181" t="e">
        <f>INDEX('VPN Bonds'!$E$23:$E$49,MATCH($B20,'VPN Bonds'!$J$23:$J$36,0))*((INDEX('VPN Bond Prices'!$B$1:$P$64,MATCH('Value of Debt (listed bonds)'!H$3,'VPN Bond Prices'!$B$1:$B$64,0),MATCH('Value of Debt (listed bonds)'!$B20,'VPN Bond Prices'!$B$1:$P$1,0))/100))</f>
        <v>#N/A</v>
      </c>
      <c r="I20" s="181" t="e">
        <f>INDEX('VPN Bonds'!$E$23:$E$49,MATCH($B20,'VPN Bonds'!$J$23:$J$36,0))*((INDEX('VPN Bond Prices'!$B$1:$P$64,MATCH('Value of Debt (listed bonds)'!I$3,'VPN Bond Prices'!$B$1:$B$64,0),MATCH('Value of Debt (listed bonds)'!$B20,'VPN Bond Prices'!$B$1:$P$1,0))/100))</f>
        <v>#N/A</v>
      </c>
      <c r="J20" s="181" t="e">
        <f>INDEX('VPN Bonds'!$E$23:$E$49,MATCH($B20,'VPN Bonds'!$J$23:$J$36,0))*((INDEX('VPN Bond Prices'!$B$1:$P$64,MATCH('Value of Debt (listed bonds)'!J$3,'VPN Bond Prices'!$B$1:$B$64,0),MATCH('Value of Debt (listed bonds)'!$B20,'VPN Bond Prices'!$B$1:$P$1,0))/100))</f>
        <v>#N/A</v>
      </c>
      <c r="K20" s="181" t="e">
        <f>INDEX('VPN Bonds'!$E$23:$E$49,MATCH($B20,'VPN Bonds'!$J$23:$J$36,0))*((INDEX('VPN Bond Prices'!$B$1:$P$64,MATCH('Value of Debt (listed bonds)'!K$3,'VPN Bond Prices'!$B$1:$B$64,0),MATCH('Value of Debt (listed bonds)'!$B20,'VPN Bond Prices'!$B$1:$P$1,0))/100))</f>
        <v>#N/A</v>
      </c>
      <c r="L20" s="171">
        <f>INDEX('VPN Bonds'!$E$23:$E$49,MATCH($B20,'VPN Bonds'!$J$23:$J$36,0))*((INDEX('VPN Bond Prices'!$B$1:$P$64,MATCH('Value of Debt (listed bonds)'!L$3,'VPN Bond Prices'!$B$1:$B$64,0),MATCH('Value of Debt (listed bonds)'!$B20,'VPN Bond Prices'!$B$1:$P$1,0))/100))</f>
        <v>0</v>
      </c>
      <c r="M20" s="171">
        <f>INDEX('VPN Bonds'!$E$23:$E$49,MATCH($B20,'VPN Bonds'!$J$23:$J$36,0))*((INDEX('VPN Bond Prices'!$B$1:$P$64,MATCH('Value of Debt (listed bonds)'!M$3,'VPN Bond Prices'!$B$1:$B$64,0),MATCH('Value of Debt (listed bonds)'!$B20,'VPN Bond Prices'!$B$1:$P$1,0))/100))</f>
        <v>0</v>
      </c>
      <c r="N20" s="171">
        <f>INDEX('VPN Bonds'!$E$23:$E$49,MATCH($B20,'VPN Bonds'!$J$23:$J$36,0))*((INDEX('VPN Bond Prices'!$B$1:$P$64,MATCH('Value of Debt (listed bonds)'!N$3,'VPN Bond Prices'!$B$1:$B$64,0),MATCH('Value of Debt (listed bonds)'!$B20,'VPN Bond Prices'!$B$1:$P$1,0))/100))</f>
        <v>0</v>
      </c>
      <c r="O20" s="171">
        <f>INDEX('VPN Bonds'!$E$23:$E$49,MATCH($B20,'VPN Bonds'!$J$23:$J$36,0))*((INDEX('VPN Bond Prices'!$B$1:$P$64,MATCH('Value of Debt (listed bonds)'!O$3,'VPN Bond Prices'!$B$1:$B$64,0),MATCH('Value of Debt (listed bonds)'!$B20,'VPN Bond Prices'!$B$1:$P$1,0))/100))</f>
        <v>0</v>
      </c>
      <c r="P20" s="171">
        <f>INDEX('VPN Bonds'!$E$23:$E$49,MATCH($B20,'VPN Bonds'!$J$23:$J$36,0))*((INDEX('VPN Bond Prices'!$B$1:$P$64,MATCH('Value of Debt (listed bonds)'!P$3,'VPN Bond Prices'!$B$1:$B$64,0),MATCH('Value of Debt (listed bonds)'!$B20,'VPN Bond Prices'!$B$1:$P$1,0))/100))</f>
        <v>193734000</v>
      </c>
      <c r="Q20" s="171">
        <f>INDEX('VPN Bonds'!$E$23:$E$49,MATCH($B20,'VPN Bonds'!$J$23:$J$36,0))*((INDEX('VPN Bond Prices'!$B$1:$P$64,MATCH('Value of Debt (listed bonds)'!Q$3,'VPN Bond Prices'!$B$1:$B$64,0),MATCH('Value of Debt (listed bonds)'!$B20,'VPN Bond Prices'!$B$1:$P$1,0))/100))</f>
        <v>187282000.00000003</v>
      </c>
    </row>
    <row r="21" spans="2:17">
      <c r="B21" s="172" t="s">
        <v>255</v>
      </c>
      <c r="F21" s="181" t="e">
        <f>INDEX('VPN Bonds'!$E$23:$E$49,MATCH($B21,'VPN Bonds'!$J$23:$J$36,0))*((INDEX('VPN Bond Prices'!$B$1:$P$64,MATCH('Value of Debt (listed bonds)'!F$3,'VPN Bond Prices'!$B$1:$B$64,0),MATCH('Value of Debt (listed bonds)'!$B21,'VPN Bond Prices'!$B$1:$P$1,0))/100))</f>
        <v>#N/A</v>
      </c>
      <c r="G21" s="181" t="e">
        <f>INDEX('VPN Bonds'!$E$23:$E$49,MATCH($B21,'VPN Bonds'!$J$23:$J$36,0))*((INDEX('VPN Bond Prices'!$B$1:$P$64,MATCH('Value of Debt (listed bonds)'!G$3,'VPN Bond Prices'!$B$1:$B$64,0),MATCH('Value of Debt (listed bonds)'!$B21,'VPN Bond Prices'!$B$1:$P$1,0))/100))</f>
        <v>#N/A</v>
      </c>
      <c r="H21" s="181" t="e">
        <f>INDEX('VPN Bonds'!$E$23:$E$49,MATCH($B21,'VPN Bonds'!$J$23:$J$36,0))*((INDEX('VPN Bond Prices'!$B$1:$P$64,MATCH('Value of Debt (listed bonds)'!H$3,'VPN Bond Prices'!$B$1:$B$64,0),MATCH('Value of Debt (listed bonds)'!$B21,'VPN Bond Prices'!$B$1:$P$1,0))/100))</f>
        <v>#N/A</v>
      </c>
      <c r="I21" s="181" t="e">
        <f>INDEX('VPN Bonds'!$E$23:$E$49,MATCH($B21,'VPN Bonds'!$J$23:$J$36,0))*((INDEX('VPN Bond Prices'!$B$1:$P$64,MATCH('Value of Debt (listed bonds)'!I$3,'VPN Bond Prices'!$B$1:$B$64,0),MATCH('Value of Debt (listed bonds)'!$B21,'VPN Bond Prices'!$B$1:$P$1,0))/100))</f>
        <v>#N/A</v>
      </c>
      <c r="J21" s="181" t="e">
        <f>INDEX('VPN Bonds'!$E$23:$E$49,MATCH($B21,'VPN Bonds'!$J$23:$J$36,0))*((INDEX('VPN Bond Prices'!$B$1:$P$64,MATCH('Value of Debt (listed bonds)'!J$3,'VPN Bond Prices'!$B$1:$B$64,0),MATCH('Value of Debt (listed bonds)'!$B21,'VPN Bond Prices'!$B$1:$P$1,0))/100))</f>
        <v>#N/A</v>
      </c>
      <c r="K21" s="181" t="e">
        <f>INDEX('VPN Bonds'!$E$23:$E$49,MATCH($B21,'VPN Bonds'!$J$23:$J$36,0))*((INDEX('VPN Bond Prices'!$B$1:$P$64,MATCH('Value of Debt (listed bonds)'!K$3,'VPN Bond Prices'!$B$1:$B$64,0),MATCH('Value of Debt (listed bonds)'!$B21,'VPN Bond Prices'!$B$1:$P$1,0))/100))</f>
        <v>#N/A</v>
      </c>
      <c r="L21" s="171">
        <f>INDEX('VPN Bonds'!$E$23:$E$49,MATCH($B21,'VPN Bonds'!$J$23:$J$36,0))*((INDEX('VPN Bond Prices'!$B$1:$P$64,MATCH('Value of Debt (listed bonds)'!L$3,'VPN Bond Prices'!$B$1:$B$64,0),MATCH('Value of Debt (listed bonds)'!$B21,'VPN Bond Prices'!$B$1:$P$1,0))/100))</f>
        <v>0</v>
      </c>
      <c r="M21" s="171">
        <f>INDEX('VPN Bonds'!$E$23:$E$49,MATCH($B21,'VPN Bonds'!$J$23:$J$36,0))*((INDEX('VPN Bond Prices'!$B$1:$P$64,MATCH('Value of Debt (listed bonds)'!M$3,'VPN Bond Prices'!$B$1:$B$64,0),MATCH('Value of Debt (listed bonds)'!$B21,'VPN Bond Prices'!$B$1:$P$1,0))/100))</f>
        <v>0</v>
      </c>
      <c r="N21" s="171">
        <f>INDEX('VPN Bonds'!$E$23:$E$49,MATCH($B21,'VPN Bonds'!$J$23:$J$36,0))*((INDEX('VPN Bond Prices'!$B$1:$P$64,MATCH('Value of Debt (listed bonds)'!N$3,'VPN Bond Prices'!$B$1:$B$64,0),MATCH('Value of Debt (listed bonds)'!$B21,'VPN Bond Prices'!$B$1:$P$1,0))/100))</f>
        <v>0</v>
      </c>
      <c r="O21" s="171">
        <f>INDEX('VPN Bonds'!$E$23:$E$49,MATCH($B21,'VPN Bonds'!$J$23:$J$36,0))*((INDEX('VPN Bond Prices'!$B$1:$P$64,MATCH('Value of Debt (listed bonds)'!O$3,'VPN Bond Prices'!$B$1:$B$64,0),MATCH('Value of Debt (listed bonds)'!$B21,'VPN Bond Prices'!$B$1:$P$1,0))/100))</f>
        <v>0</v>
      </c>
      <c r="P21" s="171">
        <f>INDEX('VPN Bonds'!$E$23:$E$49,MATCH($B21,'VPN Bonds'!$J$23:$J$36,0))*((INDEX('VPN Bond Prices'!$B$1:$P$64,MATCH('Value of Debt (listed bonds)'!P$3,'VPN Bond Prices'!$B$1:$B$64,0),MATCH('Value of Debt (listed bonds)'!$B21,'VPN Bond Prices'!$B$1:$P$1,0))/100))</f>
        <v>113567770.79725</v>
      </c>
      <c r="Q21" s="171">
        <f>INDEX('VPN Bonds'!$E$23:$E$49,MATCH($B21,'VPN Bonds'!$J$23:$J$36,0))*((INDEX('VPN Bond Prices'!$B$1:$P$64,MATCH('Value of Debt (listed bonds)'!Q$3,'VPN Bond Prices'!$B$1:$B$64,0),MATCH('Value of Debt (listed bonds)'!$B21,'VPN Bond Prices'!$B$1:$P$1,0))/100))</f>
        <v>109135336.32442001</v>
      </c>
    </row>
    <row r="22" spans="2:17" ht="14.75">
      <c r="B22" s="114"/>
    </row>
    <row r="23" spans="2:17">
      <c r="B23" s="172" t="s">
        <v>256</v>
      </c>
      <c r="F23" s="171">
        <f>INDEX('VPN Bonds'!$D$39:$D$49,MATCH('Value of Debt (listed bonds)'!$B23,'VPN Bonds'!$H$39:$H$49,0))*((INDEX('VPN Bond Prices'!$S$1:$AD$147,MATCH('Value of Debt (listed bonds)'!F$3,'VPN Bond Prices'!$S$1:$S$147,0),MATCH('Value of Debt (listed bonds)'!$B23,'VPN Bond Prices'!$S$1:$AD$1,0))/100))</f>
        <v>0</v>
      </c>
      <c r="G23" s="171">
        <f>INDEX('VPN Bonds'!$D$39:$D$49,MATCH('Value of Debt (listed bonds)'!$B23,'VPN Bonds'!$H$39:$H$49,0))*((INDEX('VPN Bond Prices'!$S$1:$AD$147,MATCH('Value of Debt (listed bonds)'!G$3,'VPN Bond Prices'!$S$1:$S$147,0),MATCH('Value of Debt (listed bonds)'!$B23,'VPN Bond Prices'!$S$1:$AD$1,0))/100))</f>
        <v>0</v>
      </c>
      <c r="H23" s="171">
        <f>INDEX('VPN Bonds'!$D$39:$D$49,MATCH('Value of Debt (listed bonds)'!$B23,'VPN Bonds'!$H$39:$H$49,0))*((INDEX('VPN Bond Prices'!$S$1:$AD$147,MATCH('Value of Debt (listed bonds)'!H$3,'VPN Bond Prices'!$S$1:$S$147,0),MATCH('Value of Debt (listed bonds)'!$B23,'VPN Bond Prices'!$S$1:$AD$1,0))/100))</f>
        <v>0</v>
      </c>
      <c r="I23" s="171">
        <f>INDEX('VPN Bonds'!$D$39:$D$49,MATCH('Value of Debt (listed bonds)'!$B23,'VPN Bonds'!$H$39:$H$49,0))*((INDEX('VPN Bond Prices'!$S$1:$AD$147,MATCH('Value of Debt (listed bonds)'!I$3,'VPN Bond Prices'!$S$1:$S$147,0),MATCH('Value of Debt (listed bonds)'!$B23,'VPN Bond Prices'!$S$1:$AD$1,0))/100))</f>
        <v>0</v>
      </c>
      <c r="J23" s="171">
        <f>INDEX('VPN Bonds'!$D$39:$D$49,MATCH('Value of Debt (listed bonds)'!$B23,'VPN Bonds'!$H$39:$H$49,0))*((INDEX('VPN Bond Prices'!$S$1:$AD$147,MATCH('Value of Debt (listed bonds)'!J$3,'VPN Bond Prices'!$S$1:$S$147,0),MATCH('Value of Debt (listed bonds)'!$B23,'VPN Bond Prices'!$S$1:$AD$1,0))/100))</f>
        <v>0</v>
      </c>
      <c r="K23" s="171">
        <f>INDEX('VPN Bonds'!$D$39:$D$49,MATCH('Value of Debt (listed bonds)'!$B23,'VPN Bonds'!$H$39:$H$49,0))*((INDEX('VPN Bond Prices'!$S$1:$AD$147,MATCH('Value of Debt (listed bonds)'!K$3,'VPN Bond Prices'!$S$1:$S$147,0),MATCH('Value of Debt (listed bonds)'!$B23,'VPN Bond Prices'!$S$1:$AD$1,0))/100))</f>
        <v>0</v>
      </c>
      <c r="L23" s="171">
        <f>INDEX('VPN Bonds'!$D$39:$D$49,MATCH('Value of Debt (listed bonds)'!$B23,'VPN Bonds'!$H$39:$H$49,0))*((INDEX('VPN Bond Prices'!$S$1:$AD$147,MATCH('Value of Debt (listed bonds)'!L$3,'VPN Bond Prices'!$S$1:$S$147,0),MATCH('Value of Debt (listed bonds)'!$B23,'VPN Bond Prices'!$S$1:$AD$1,0))/100))</f>
        <v>0</v>
      </c>
      <c r="M23" s="171">
        <f>INDEX('VPN Bonds'!$D$39:$D$49,MATCH('Value of Debt (listed bonds)'!$B23,'VPN Bonds'!$H$39:$H$49,0))*((INDEX('VPN Bond Prices'!$S$1:$AD$147,MATCH('Value of Debt (listed bonds)'!M$3,'VPN Bond Prices'!$S$1:$S$147,0),MATCH('Value of Debt (listed bonds)'!$B23,'VPN Bond Prices'!$S$1:$AD$1,0))/100))</f>
        <v>0</v>
      </c>
      <c r="N23" s="171">
        <f>INDEX('VPN Bonds'!$D$39:$D$49,MATCH('Value of Debt (listed bonds)'!$B23,'VPN Bonds'!$H$39:$H$49,0))*((INDEX('VPN Bond Prices'!$S$1:$AD$147,MATCH('Value of Debt (listed bonds)'!N$3,'VPN Bond Prices'!$S$1:$S$147,0),MATCH('Value of Debt (listed bonds)'!$B23,'VPN Bond Prices'!$S$1:$AD$1,0))/100))</f>
        <v>0</v>
      </c>
      <c r="O23" s="171">
        <f>INDEX('VPN Bonds'!$D$39:$D$49,MATCH('Value of Debt (listed bonds)'!$B23,'VPN Bonds'!$H$39:$H$49,0))*((INDEX('VPN Bond Prices'!$S$1:$AD$147,MATCH('Value of Debt (listed bonds)'!O$3,'VPN Bond Prices'!$S$1:$S$147,0),MATCH('Value of Debt (listed bonds)'!$B23,'VPN Bond Prices'!$S$1:$AD$1,0))/100))</f>
        <v>0</v>
      </c>
      <c r="P23" s="171">
        <f>INDEX('VPN Bonds'!$D$39:$D$49,MATCH('Value of Debt (listed bonds)'!$B23,'VPN Bonds'!$H$39:$H$49,0))*((INDEX('VPN Bond Prices'!$S$1:$AD$147,MATCH('Value of Debt (listed bonds)'!P$3,'VPN Bond Prices'!$S$1:$S$147,0),MATCH('Value of Debt (listed bonds)'!$B23,'VPN Bond Prices'!$S$1:$AD$1,0))/100))</f>
        <v>0</v>
      </c>
      <c r="Q23" s="171">
        <f>INDEX('VPN Bonds'!$D$39:$D$49,MATCH('Value of Debt (listed bonds)'!$B23,'VPN Bonds'!$H$39:$H$49,0))*((INDEX('VPN Bond Prices'!$S$1:$AD$147,MATCH('Value of Debt (listed bonds)'!Q$3,'VPN Bond Prices'!$S$1:$S$147,0),MATCH('Value of Debt (listed bonds)'!$B23,'VPN Bond Prices'!$S$1:$AD$1,0))/100))</f>
        <v>0</v>
      </c>
    </row>
    <row r="24" spans="2:17">
      <c r="B24" s="172" t="s">
        <v>257</v>
      </c>
      <c r="F24" s="171">
        <f>INDEX('VPN Bonds'!$D$39:$D$49,MATCH('Value of Debt (listed bonds)'!$B24,'VPN Bonds'!$H$39:$H$49,0))*((INDEX('VPN Bond Prices'!$S$1:$AD$147,MATCH('Value of Debt (listed bonds)'!F$3,'VPN Bond Prices'!$S$1:$S$147,0),MATCH('Value of Debt (listed bonds)'!$B24,'VPN Bond Prices'!$S$1:$AD$1,0))/100))</f>
        <v>0</v>
      </c>
      <c r="G24" s="171">
        <f>INDEX('VPN Bonds'!$D$39:$D$49,MATCH('Value of Debt (listed bonds)'!$B24,'VPN Bonds'!$H$39:$H$49,0))*((INDEX('VPN Bond Prices'!$S$1:$AD$147,MATCH('Value of Debt (listed bonds)'!G$3,'VPN Bond Prices'!$S$1:$S$147,0),MATCH('Value of Debt (listed bonds)'!$B24,'VPN Bond Prices'!$S$1:$AD$1,0))/100))</f>
        <v>0</v>
      </c>
      <c r="H24" s="171">
        <f>INDEX('VPN Bonds'!$D$39:$D$49,MATCH('Value of Debt (listed bonds)'!$B24,'VPN Bonds'!$H$39:$H$49,0))*((INDEX('VPN Bond Prices'!$S$1:$AD$147,MATCH('Value of Debt (listed bonds)'!H$3,'VPN Bond Prices'!$S$1:$S$147,0),MATCH('Value of Debt (listed bonds)'!$B24,'VPN Bond Prices'!$S$1:$AD$1,0))/100))</f>
        <v>0</v>
      </c>
      <c r="I24" s="171">
        <f>INDEX('VPN Bonds'!$D$39:$D$49,MATCH('Value of Debt (listed bonds)'!$B24,'VPN Bonds'!$H$39:$H$49,0))*((INDEX('VPN Bond Prices'!$S$1:$AD$147,MATCH('Value of Debt (listed bonds)'!I$3,'VPN Bond Prices'!$S$1:$S$147,0),MATCH('Value of Debt (listed bonds)'!$B24,'VPN Bond Prices'!$S$1:$AD$1,0))/100))</f>
        <v>0</v>
      </c>
      <c r="J24" s="171">
        <f>INDEX('VPN Bonds'!$D$39:$D$49,MATCH('Value of Debt (listed bonds)'!$B24,'VPN Bonds'!$H$39:$H$49,0))*((INDEX('VPN Bond Prices'!$S$1:$AD$147,MATCH('Value of Debt (listed bonds)'!J$3,'VPN Bond Prices'!$S$1:$S$147,0),MATCH('Value of Debt (listed bonds)'!$B24,'VPN Bond Prices'!$S$1:$AD$1,0))/100))</f>
        <v>0</v>
      </c>
      <c r="K24" s="171">
        <f>INDEX('VPN Bonds'!$D$39:$D$49,MATCH('Value of Debt (listed bonds)'!$B24,'VPN Bonds'!$H$39:$H$49,0))*((INDEX('VPN Bond Prices'!$S$1:$AD$147,MATCH('Value of Debt (listed bonds)'!K$3,'VPN Bond Prices'!$S$1:$S$147,0),MATCH('Value of Debt (listed bonds)'!$B24,'VPN Bond Prices'!$S$1:$AD$1,0))/100))</f>
        <v>0</v>
      </c>
      <c r="L24" s="171">
        <f>INDEX('VPN Bonds'!$D$39:$D$49,MATCH('Value of Debt (listed bonds)'!$B24,'VPN Bonds'!$H$39:$H$49,0))*((INDEX('VPN Bond Prices'!$S$1:$AD$147,MATCH('Value of Debt (listed bonds)'!L$3,'VPN Bond Prices'!$S$1:$S$147,0),MATCH('Value of Debt (listed bonds)'!$B24,'VPN Bond Prices'!$S$1:$AD$1,0))/100))</f>
        <v>0</v>
      </c>
      <c r="M24" s="171">
        <f>INDEX('VPN Bonds'!$D$39:$D$49,MATCH('Value of Debt (listed bonds)'!$B24,'VPN Bonds'!$H$39:$H$49,0))*((INDEX('VPN Bond Prices'!$S$1:$AD$147,MATCH('Value of Debt (listed bonds)'!M$3,'VPN Bond Prices'!$S$1:$S$147,0),MATCH('Value of Debt (listed bonds)'!$B24,'VPN Bond Prices'!$S$1:$AD$1,0))/100))</f>
        <v>0</v>
      </c>
      <c r="N24" s="171">
        <f>INDEX('VPN Bonds'!$D$39:$D$49,MATCH('Value of Debt (listed bonds)'!$B24,'VPN Bonds'!$H$39:$H$49,0))*((INDEX('VPN Bond Prices'!$S$1:$AD$147,MATCH('Value of Debt (listed bonds)'!N$3,'VPN Bond Prices'!$S$1:$S$147,0),MATCH('Value of Debt (listed bonds)'!$B24,'VPN Bond Prices'!$S$1:$AD$1,0))/100))</f>
        <v>0</v>
      </c>
      <c r="O24" s="171">
        <f>INDEX('VPN Bonds'!$D$39:$D$49,MATCH('Value of Debt (listed bonds)'!$B24,'VPN Bonds'!$H$39:$H$49,0))*((INDEX('VPN Bond Prices'!$S$1:$AD$147,MATCH('Value of Debt (listed bonds)'!O$3,'VPN Bond Prices'!$S$1:$S$147,0),MATCH('Value of Debt (listed bonds)'!$B24,'VPN Bond Prices'!$S$1:$AD$1,0))/100))</f>
        <v>0</v>
      </c>
      <c r="P24" s="171">
        <f>INDEX('VPN Bonds'!$D$39:$D$49,MATCH('Value of Debt (listed bonds)'!$B24,'VPN Bonds'!$H$39:$H$49,0))*((INDEX('VPN Bond Prices'!$S$1:$AD$147,MATCH('Value of Debt (listed bonds)'!P$3,'VPN Bond Prices'!$S$1:$S$147,0),MATCH('Value of Debt (listed bonds)'!$B24,'VPN Bond Prices'!$S$1:$AD$1,0))/100))</f>
        <v>0</v>
      </c>
      <c r="Q24" s="171">
        <f>INDEX('VPN Bonds'!$D$39:$D$49,MATCH('Value of Debt (listed bonds)'!$B24,'VPN Bonds'!$H$39:$H$49,0))*((INDEX('VPN Bond Prices'!$S$1:$AD$147,MATCH('Value of Debt (listed bonds)'!Q$3,'VPN Bond Prices'!$S$1:$S$147,0),MATCH('Value of Debt (listed bonds)'!$B24,'VPN Bond Prices'!$S$1:$AD$1,0))/100))</f>
        <v>0</v>
      </c>
    </row>
    <row r="25" spans="2:17">
      <c r="B25" s="172" t="s">
        <v>258</v>
      </c>
      <c r="F25" s="171">
        <f>INDEX('VPN Bonds'!$D$39:$D$49,MATCH('Value of Debt (listed bonds)'!$B25,'VPN Bonds'!$H$39:$H$49,0))*((INDEX('VPN Bond Prices'!$S$1:$AD$147,MATCH('Value of Debt (listed bonds)'!F$3,'VPN Bond Prices'!$S$1:$S$147,0),MATCH('Value of Debt (listed bonds)'!$B25,'VPN Bond Prices'!$S$1:$AD$1,0))/100))</f>
        <v>0</v>
      </c>
      <c r="G25" s="171">
        <f>INDEX('VPN Bonds'!$D$39:$D$49,MATCH('Value of Debt (listed bonds)'!$B25,'VPN Bonds'!$H$39:$H$49,0))*((INDEX('VPN Bond Prices'!$S$1:$AD$147,MATCH('Value of Debt (listed bonds)'!G$3,'VPN Bond Prices'!$S$1:$S$147,0),MATCH('Value of Debt (listed bonds)'!$B25,'VPN Bond Prices'!$S$1:$AD$1,0))/100))</f>
        <v>0</v>
      </c>
      <c r="H25" s="171">
        <f>INDEX('VPN Bonds'!$D$39:$D$49,MATCH('Value of Debt (listed bonds)'!$B25,'VPN Bonds'!$H$39:$H$49,0))*((INDEX('VPN Bond Prices'!$S$1:$AD$147,MATCH('Value of Debt (listed bonds)'!H$3,'VPN Bond Prices'!$S$1:$S$147,0),MATCH('Value of Debt (listed bonds)'!$B25,'VPN Bond Prices'!$S$1:$AD$1,0))/100))</f>
        <v>0</v>
      </c>
      <c r="I25" s="171">
        <f>INDEX('VPN Bonds'!$D$39:$D$49,MATCH('Value of Debt (listed bonds)'!$B25,'VPN Bonds'!$H$39:$H$49,0))*((INDEX('VPN Bond Prices'!$S$1:$AD$147,MATCH('Value of Debt (listed bonds)'!I$3,'VPN Bond Prices'!$S$1:$S$147,0),MATCH('Value of Debt (listed bonds)'!$B25,'VPN Bond Prices'!$S$1:$AD$1,0))/100))</f>
        <v>0</v>
      </c>
      <c r="J25" s="171">
        <f>INDEX('VPN Bonds'!$D$39:$D$49,MATCH('Value of Debt (listed bonds)'!$B25,'VPN Bonds'!$H$39:$H$49,0))*((INDEX('VPN Bond Prices'!$S$1:$AD$147,MATCH('Value of Debt (listed bonds)'!J$3,'VPN Bond Prices'!$S$1:$S$147,0),MATCH('Value of Debt (listed bonds)'!$B25,'VPN Bond Prices'!$S$1:$AD$1,0))/100))</f>
        <v>0</v>
      </c>
      <c r="K25" s="171">
        <f>INDEX('VPN Bonds'!$D$39:$D$49,MATCH('Value of Debt (listed bonds)'!$B25,'VPN Bonds'!$H$39:$H$49,0))*((INDEX('VPN Bond Prices'!$S$1:$AD$147,MATCH('Value of Debt (listed bonds)'!K$3,'VPN Bond Prices'!$S$1:$S$147,0),MATCH('Value of Debt (listed bonds)'!$B25,'VPN Bond Prices'!$S$1:$AD$1,0))/100))</f>
        <v>0</v>
      </c>
      <c r="L25" s="171">
        <f>INDEX('VPN Bonds'!$D$39:$D$49,MATCH('Value of Debt (listed bonds)'!$B25,'VPN Bonds'!$H$39:$H$49,0))*((INDEX('VPN Bond Prices'!$S$1:$AD$147,MATCH('Value of Debt (listed bonds)'!L$3,'VPN Bond Prices'!$S$1:$S$147,0),MATCH('Value of Debt (listed bonds)'!$B25,'VPN Bond Prices'!$S$1:$AD$1,0))/100))</f>
        <v>0</v>
      </c>
      <c r="M25" s="171">
        <f>INDEX('VPN Bonds'!$D$39:$D$49,MATCH('Value of Debt (listed bonds)'!$B25,'VPN Bonds'!$H$39:$H$49,0))*((INDEX('VPN Bond Prices'!$S$1:$AD$147,MATCH('Value of Debt (listed bonds)'!M$3,'VPN Bond Prices'!$S$1:$S$147,0),MATCH('Value of Debt (listed bonds)'!$B25,'VPN Bond Prices'!$S$1:$AD$1,0))/100))</f>
        <v>0</v>
      </c>
      <c r="N25" s="171">
        <f>INDEX('VPN Bonds'!$D$39:$D$49,MATCH('Value of Debt (listed bonds)'!$B25,'VPN Bonds'!$H$39:$H$49,0))*((INDEX('VPN Bond Prices'!$S$1:$AD$147,MATCH('Value of Debt (listed bonds)'!N$3,'VPN Bond Prices'!$S$1:$S$147,0),MATCH('Value of Debt (listed bonds)'!$B25,'VPN Bond Prices'!$S$1:$AD$1,0))/100))</f>
        <v>0</v>
      </c>
      <c r="O25" s="171">
        <f>INDEX('VPN Bonds'!$D$39:$D$49,MATCH('Value of Debt (listed bonds)'!$B25,'VPN Bonds'!$H$39:$H$49,0))*((INDEX('VPN Bond Prices'!$S$1:$AD$147,MATCH('Value of Debt (listed bonds)'!O$3,'VPN Bond Prices'!$S$1:$S$147,0),MATCH('Value of Debt (listed bonds)'!$B25,'VPN Bond Prices'!$S$1:$AD$1,0))/100))</f>
        <v>0</v>
      </c>
      <c r="P25" s="171">
        <f>INDEX('VPN Bonds'!$D$39:$D$49,MATCH('Value of Debt (listed bonds)'!$B25,'VPN Bonds'!$H$39:$H$49,0))*((INDEX('VPN Bond Prices'!$S$1:$AD$147,MATCH('Value of Debt (listed bonds)'!P$3,'VPN Bond Prices'!$S$1:$S$147,0),MATCH('Value of Debt (listed bonds)'!$B25,'VPN Bond Prices'!$S$1:$AD$1,0))/100))</f>
        <v>0</v>
      </c>
      <c r="Q25" s="171">
        <f>INDEX('VPN Bonds'!$D$39:$D$49,MATCH('Value of Debt (listed bonds)'!$B25,'VPN Bonds'!$H$39:$H$49,0))*((INDEX('VPN Bond Prices'!$S$1:$AD$147,MATCH('Value of Debt (listed bonds)'!Q$3,'VPN Bond Prices'!$S$1:$S$147,0),MATCH('Value of Debt (listed bonds)'!$B25,'VPN Bond Prices'!$S$1:$AD$1,0))/100))</f>
        <v>0</v>
      </c>
    </row>
    <row r="26" spans="2:17">
      <c r="B26" s="172" t="s">
        <v>259</v>
      </c>
      <c r="F26" s="171">
        <f>INDEX('VPN Bonds'!$D$39:$D$49,MATCH('Value of Debt (listed bonds)'!$B26,'VPN Bonds'!$H$39:$H$49,0))*((INDEX('VPN Bond Prices'!$S$1:$AD$147,MATCH('Value of Debt (listed bonds)'!F$3,'VPN Bond Prices'!$S$1:$S$147,0),MATCH('Value of Debt (listed bonds)'!$B26,'VPN Bond Prices'!$S$1:$AD$1,0))/100))</f>
        <v>0</v>
      </c>
      <c r="G26" s="171">
        <f>INDEX('VPN Bonds'!$D$39:$D$49,MATCH('Value of Debt (listed bonds)'!$B26,'VPN Bonds'!$H$39:$H$49,0))*((INDEX('VPN Bond Prices'!$S$1:$AD$147,MATCH('Value of Debt (listed bonds)'!G$3,'VPN Bond Prices'!$S$1:$S$147,0),MATCH('Value of Debt (listed bonds)'!$B26,'VPN Bond Prices'!$S$1:$AD$1,0))/100))</f>
        <v>0</v>
      </c>
      <c r="H26" s="171">
        <f>INDEX('VPN Bonds'!$D$39:$D$49,MATCH('Value of Debt (listed bonds)'!$B26,'VPN Bonds'!$H$39:$H$49,0))*((INDEX('VPN Bond Prices'!$S$1:$AD$147,MATCH('Value of Debt (listed bonds)'!H$3,'VPN Bond Prices'!$S$1:$S$147,0),MATCH('Value of Debt (listed bonds)'!$B26,'VPN Bond Prices'!$S$1:$AD$1,0))/100))</f>
        <v>0</v>
      </c>
      <c r="I26" s="171">
        <f>INDEX('VPN Bonds'!$D$39:$D$49,MATCH('Value of Debt (listed bonds)'!$B26,'VPN Bonds'!$H$39:$H$49,0))*((INDEX('VPN Bond Prices'!$S$1:$AD$147,MATCH('Value of Debt (listed bonds)'!I$3,'VPN Bond Prices'!$S$1:$S$147,0),MATCH('Value of Debt (listed bonds)'!$B26,'VPN Bond Prices'!$S$1:$AD$1,0))/100))</f>
        <v>0</v>
      </c>
      <c r="J26" s="171">
        <f>INDEX('VPN Bonds'!$D$39:$D$49,MATCH('Value of Debt (listed bonds)'!$B26,'VPN Bonds'!$H$39:$H$49,0))*((INDEX('VPN Bond Prices'!$S$1:$AD$147,MATCH('Value of Debt (listed bonds)'!J$3,'VPN Bond Prices'!$S$1:$S$147,0),MATCH('Value of Debt (listed bonds)'!$B26,'VPN Bond Prices'!$S$1:$AD$1,0))/100))</f>
        <v>0</v>
      </c>
      <c r="K26" s="171">
        <f>INDEX('VPN Bonds'!$D$39:$D$49,MATCH('Value of Debt (listed bonds)'!$B26,'VPN Bonds'!$H$39:$H$49,0))*((INDEX('VPN Bond Prices'!$S$1:$AD$147,MATCH('Value of Debt (listed bonds)'!K$3,'VPN Bond Prices'!$S$1:$S$147,0),MATCH('Value of Debt (listed bonds)'!$B26,'VPN Bond Prices'!$S$1:$AD$1,0))/100))</f>
        <v>0</v>
      </c>
      <c r="L26" s="171">
        <f>INDEX('VPN Bonds'!$D$39:$D$49,MATCH('Value of Debt (listed bonds)'!$B26,'VPN Bonds'!$H$39:$H$49,0))*((INDEX('VPN Bond Prices'!$S$1:$AD$147,MATCH('Value of Debt (listed bonds)'!L$3,'VPN Bond Prices'!$S$1:$S$147,0),MATCH('Value of Debt (listed bonds)'!$B26,'VPN Bond Prices'!$S$1:$AD$1,0))/100))</f>
        <v>0</v>
      </c>
      <c r="M26" s="171">
        <f>INDEX('VPN Bonds'!$D$39:$D$49,MATCH('Value of Debt (listed bonds)'!$B26,'VPN Bonds'!$H$39:$H$49,0))*((INDEX('VPN Bond Prices'!$S$1:$AD$147,MATCH('Value of Debt (listed bonds)'!M$3,'VPN Bond Prices'!$S$1:$S$147,0),MATCH('Value of Debt (listed bonds)'!$B26,'VPN Bond Prices'!$S$1:$AD$1,0))/100))</f>
        <v>0</v>
      </c>
      <c r="N26" s="171">
        <f>INDEX('VPN Bonds'!$D$39:$D$49,MATCH('Value of Debt (listed bonds)'!$B26,'VPN Bonds'!$H$39:$H$49,0))*((INDEX('VPN Bond Prices'!$S$1:$AD$147,MATCH('Value of Debt (listed bonds)'!N$3,'VPN Bond Prices'!$S$1:$S$147,0),MATCH('Value of Debt (listed bonds)'!$B26,'VPN Bond Prices'!$S$1:$AD$1,0))/100))</f>
        <v>0</v>
      </c>
      <c r="O26" s="171">
        <f>INDEX('VPN Bonds'!$D$39:$D$49,MATCH('Value of Debt (listed bonds)'!$B26,'VPN Bonds'!$H$39:$H$49,0))*((INDEX('VPN Bond Prices'!$S$1:$AD$147,MATCH('Value of Debt (listed bonds)'!O$3,'VPN Bond Prices'!$S$1:$S$147,0),MATCH('Value of Debt (listed bonds)'!$B26,'VPN Bond Prices'!$S$1:$AD$1,0))/100))</f>
        <v>0</v>
      </c>
      <c r="P26" s="171">
        <f>INDEX('VPN Bonds'!$D$39:$D$49,MATCH('Value of Debt (listed bonds)'!$B26,'VPN Bonds'!$H$39:$H$49,0))*((INDEX('VPN Bond Prices'!$S$1:$AD$147,MATCH('Value of Debt (listed bonds)'!P$3,'VPN Bond Prices'!$S$1:$S$147,0),MATCH('Value of Debt (listed bonds)'!$B26,'VPN Bond Prices'!$S$1:$AD$1,0))/100))</f>
        <v>0</v>
      </c>
      <c r="Q26" s="171">
        <f>INDEX('VPN Bonds'!$D$39:$D$49,MATCH('Value of Debt (listed bonds)'!$B26,'VPN Bonds'!$H$39:$H$49,0))*((INDEX('VPN Bond Prices'!$S$1:$AD$147,MATCH('Value of Debt (listed bonds)'!Q$3,'VPN Bond Prices'!$S$1:$S$147,0),MATCH('Value of Debt (listed bonds)'!$B26,'VPN Bond Prices'!$S$1:$AD$1,0))/100))</f>
        <v>0</v>
      </c>
    </row>
    <row r="27" spans="2:17">
      <c r="B27" s="172" t="s">
        <v>260</v>
      </c>
      <c r="F27" s="171">
        <f>INDEX('VPN Bonds'!$D$39:$D$49,MATCH('Value of Debt (listed bonds)'!$B27,'VPN Bonds'!$H$39:$H$49,0))*((INDEX('VPN Bond Prices'!$S$1:$AD$147,MATCH('Value of Debt (listed bonds)'!F$3,'VPN Bond Prices'!$S$1:$S$147,0),MATCH('Value of Debt (listed bonds)'!$B27,'VPN Bond Prices'!$S$1:$AD$1,0))/100))</f>
        <v>0</v>
      </c>
      <c r="G27" s="171">
        <f>INDEX('VPN Bonds'!$D$39:$D$49,MATCH('Value of Debt (listed bonds)'!$B27,'VPN Bonds'!$H$39:$H$49,0))*((INDEX('VPN Bond Prices'!$S$1:$AD$147,MATCH('Value of Debt (listed bonds)'!G$3,'VPN Bond Prices'!$S$1:$S$147,0),MATCH('Value of Debt (listed bonds)'!$B27,'VPN Bond Prices'!$S$1:$AD$1,0))/100))</f>
        <v>0</v>
      </c>
      <c r="H27" s="171">
        <f>INDEX('VPN Bonds'!$D$39:$D$49,MATCH('Value of Debt (listed bonds)'!$B27,'VPN Bonds'!$H$39:$H$49,0))*((INDEX('VPN Bond Prices'!$S$1:$AD$147,MATCH('Value of Debt (listed bonds)'!H$3,'VPN Bond Prices'!$S$1:$S$147,0),MATCH('Value of Debt (listed bonds)'!$B27,'VPN Bond Prices'!$S$1:$AD$1,0))/100))</f>
        <v>0</v>
      </c>
      <c r="I27" s="171">
        <f>INDEX('VPN Bonds'!$D$39:$D$49,MATCH('Value of Debt (listed bonds)'!$B27,'VPN Bonds'!$H$39:$H$49,0))*((INDEX('VPN Bond Prices'!$S$1:$AD$147,MATCH('Value of Debt (listed bonds)'!I$3,'VPN Bond Prices'!$S$1:$S$147,0),MATCH('Value of Debt (listed bonds)'!$B27,'VPN Bond Prices'!$S$1:$AD$1,0))/100))</f>
        <v>0</v>
      </c>
      <c r="J27" s="171">
        <f>INDEX('VPN Bonds'!$D$39:$D$49,MATCH('Value of Debt (listed bonds)'!$B27,'VPN Bonds'!$H$39:$H$49,0))*((INDEX('VPN Bond Prices'!$S$1:$AD$147,MATCH('Value of Debt (listed bonds)'!J$3,'VPN Bond Prices'!$S$1:$S$147,0),MATCH('Value of Debt (listed bonds)'!$B27,'VPN Bond Prices'!$S$1:$AD$1,0))/100))</f>
        <v>0</v>
      </c>
      <c r="K27" s="171">
        <f>INDEX('VPN Bonds'!$D$39:$D$49,MATCH('Value of Debt (listed bonds)'!$B27,'VPN Bonds'!$H$39:$H$49,0))*((INDEX('VPN Bond Prices'!$S$1:$AD$147,MATCH('Value of Debt (listed bonds)'!K$3,'VPN Bond Prices'!$S$1:$S$147,0),MATCH('Value of Debt (listed bonds)'!$B27,'VPN Bond Prices'!$S$1:$AD$1,0))/100))</f>
        <v>0</v>
      </c>
      <c r="L27" s="171">
        <f>INDEX('VPN Bonds'!$D$39:$D$49,MATCH('Value of Debt (listed bonds)'!$B27,'VPN Bonds'!$H$39:$H$49,0))*((INDEX('VPN Bond Prices'!$S$1:$AD$147,MATCH('Value of Debt (listed bonds)'!L$3,'VPN Bond Prices'!$S$1:$S$147,0),MATCH('Value of Debt (listed bonds)'!$B27,'VPN Bond Prices'!$S$1:$AD$1,0))/100))</f>
        <v>0</v>
      </c>
      <c r="M27" s="171">
        <f>INDEX('VPN Bonds'!$D$39:$D$49,MATCH('Value of Debt (listed bonds)'!$B27,'VPN Bonds'!$H$39:$H$49,0))*((INDEX('VPN Bond Prices'!$S$1:$AD$147,MATCH('Value of Debt (listed bonds)'!M$3,'VPN Bond Prices'!$S$1:$S$147,0),MATCH('Value of Debt (listed bonds)'!$B27,'VPN Bond Prices'!$S$1:$AD$1,0))/100))</f>
        <v>0</v>
      </c>
      <c r="N27" s="171">
        <f>INDEX('VPN Bonds'!$D$39:$D$49,MATCH('Value of Debt (listed bonds)'!$B27,'VPN Bonds'!$H$39:$H$49,0))*((INDEX('VPN Bond Prices'!$S$1:$AD$147,MATCH('Value of Debt (listed bonds)'!N$3,'VPN Bond Prices'!$S$1:$S$147,0),MATCH('Value of Debt (listed bonds)'!$B27,'VPN Bond Prices'!$S$1:$AD$1,0))/100))</f>
        <v>0</v>
      </c>
      <c r="O27" s="171">
        <f>INDEX('VPN Bonds'!$D$39:$D$49,MATCH('Value of Debt (listed bonds)'!$B27,'VPN Bonds'!$H$39:$H$49,0))*((INDEX('VPN Bond Prices'!$S$1:$AD$147,MATCH('Value of Debt (listed bonds)'!O$3,'VPN Bond Prices'!$S$1:$S$147,0),MATCH('Value of Debt (listed bonds)'!$B27,'VPN Bond Prices'!$S$1:$AD$1,0))/100))</f>
        <v>0</v>
      </c>
      <c r="P27" s="171">
        <f>INDEX('VPN Bonds'!$D$39:$D$49,MATCH('Value of Debt (listed bonds)'!$B27,'VPN Bonds'!$H$39:$H$49,0))*((INDEX('VPN Bond Prices'!$S$1:$AD$147,MATCH('Value of Debt (listed bonds)'!P$3,'VPN Bond Prices'!$S$1:$S$147,0),MATCH('Value of Debt (listed bonds)'!$B27,'VPN Bond Prices'!$S$1:$AD$1,0))/100))</f>
        <v>0</v>
      </c>
      <c r="Q27" s="171">
        <f>INDEX('VPN Bonds'!$D$39:$D$49,MATCH('Value of Debt (listed bonds)'!$B27,'VPN Bonds'!$H$39:$H$49,0))*((INDEX('VPN Bond Prices'!$S$1:$AD$147,MATCH('Value of Debt (listed bonds)'!Q$3,'VPN Bond Prices'!$S$1:$S$147,0),MATCH('Value of Debt (listed bonds)'!$B27,'VPN Bond Prices'!$S$1:$AD$1,0))/100))</f>
        <v>0</v>
      </c>
    </row>
    <row r="28" spans="2:17">
      <c r="B28" s="172" t="s">
        <v>261</v>
      </c>
      <c r="F28" s="171">
        <f>INDEX('VPN Bonds'!$D$39:$D$49,MATCH('Value of Debt (listed bonds)'!$B28,'VPN Bonds'!$H$39:$H$49,0))*((INDEX('VPN Bond Prices'!$S$1:$AD$147,MATCH('Value of Debt (listed bonds)'!F$3,'VPN Bond Prices'!$S$1:$S$147,0),MATCH('Value of Debt (listed bonds)'!$B28,'VPN Bond Prices'!$S$1:$AD$1,0))/100))</f>
        <v>298363377</v>
      </c>
      <c r="G28" s="171">
        <f>INDEX('VPN Bonds'!$D$39:$D$49,MATCH('Value of Debt (listed bonds)'!$B28,'VPN Bonds'!$H$39:$H$49,0))*((INDEX('VPN Bond Prices'!$S$1:$AD$147,MATCH('Value of Debt (listed bonds)'!G$3,'VPN Bond Prices'!$S$1:$S$147,0),MATCH('Value of Debt (listed bonds)'!$B28,'VPN Bond Prices'!$S$1:$AD$1,0))/100))</f>
        <v>295756167</v>
      </c>
      <c r="H28" s="171">
        <f>INDEX('VPN Bonds'!$D$39:$D$49,MATCH('Value of Debt (listed bonds)'!$B28,'VPN Bonds'!$H$39:$H$49,0))*((INDEX('VPN Bond Prices'!$S$1:$AD$147,MATCH('Value of Debt (listed bonds)'!H$3,'VPN Bond Prices'!$S$1:$S$147,0),MATCH('Value of Debt (listed bonds)'!$B28,'VPN Bond Prices'!$S$1:$AD$1,0))/100))</f>
        <v>0</v>
      </c>
      <c r="I28" s="171">
        <f>INDEX('VPN Bonds'!$D$39:$D$49,MATCH('Value of Debt (listed bonds)'!$B28,'VPN Bonds'!$H$39:$H$49,0))*((INDEX('VPN Bond Prices'!$S$1:$AD$147,MATCH('Value of Debt (listed bonds)'!I$3,'VPN Bond Prices'!$S$1:$S$147,0),MATCH('Value of Debt (listed bonds)'!$B28,'VPN Bond Prices'!$S$1:$AD$1,0))/100))</f>
        <v>0</v>
      </c>
      <c r="J28" s="171">
        <f>INDEX('VPN Bonds'!$D$39:$D$49,MATCH('Value of Debt (listed bonds)'!$B28,'VPN Bonds'!$H$39:$H$49,0))*((INDEX('VPN Bond Prices'!$S$1:$AD$147,MATCH('Value of Debt (listed bonds)'!J$3,'VPN Bond Prices'!$S$1:$S$147,0),MATCH('Value of Debt (listed bonds)'!$B28,'VPN Bond Prices'!$S$1:$AD$1,0))/100))</f>
        <v>0</v>
      </c>
      <c r="K28" s="171">
        <f>INDEX('VPN Bonds'!$D$39:$D$49,MATCH('Value of Debt (listed bonds)'!$B28,'VPN Bonds'!$H$39:$H$49,0))*((INDEX('VPN Bond Prices'!$S$1:$AD$147,MATCH('Value of Debt (listed bonds)'!K$3,'VPN Bond Prices'!$S$1:$S$147,0),MATCH('Value of Debt (listed bonds)'!$B28,'VPN Bond Prices'!$S$1:$AD$1,0))/100))</f>
        <v>0</v>
      </c>
      <c r="L28" s="171">
        <f>INDEX('VPN Bonds'!$D$39:$D$49,MATCH('Value of Debt (listed bonds)'!$B28,'VPN Bonds'!$H$39:$H$49,0))*((INDEX('VPN Bond Prices'!$S$1:$AD$147,MATCH('Value of Debt (listed bonds)'!L$3,'VPN Bond Prices'!$S$1:$S$147,0),MATCH('Value of Debt (listed bonds)'!$B28,'VPN Bond Prices'!$S$1:$AD$1,0))/100))</f>
        <v>0</v>
      </c>
      <c r="M28" s="171">
        <f>INDEX('VPN Bonds'!$D$39:$D$49,MATCH('Value of Debt (listed bonds)'!$B28,'VPN Bonds'!$H$39:$H$49,0))*((INDEX('VPN Bond Prices'!$S$1:$AD$147,MATCH('Value of Debt (listed bonds)'!M$3,'VPN Bond Prices'!$S$1:$S$147,0),MATCH('Value of Debt (listed bonds)'!$B28,'VPN Bond Prices'!$S$1:$AD$1,0))/100))</f>
        <v>0</v>
      </c>
      <c r="N28" s="171">
        <f>INDEX('VPN Bonds'!$D$39:$D$49,MATCH('Value of Debt (listed bonds)'!$B28,'VPN Bonds'!$H$39:$H$49,0))*((INDEX('VPN Bond Prices'!$S$1:$AD$147,MATCH('Value of Debt (listed bonds)'!N$3,'VPN Bond Prices'!$S$1:$S$147,0),MATCH('Value of Debt (listed bonds)'!$B28,'VPN Bond Prices'!$S$1:$AD$1,0))/100))</f>
        <v>0</v>
      </c>
      <c r="O28" s="171">
        <f>INDEX('VPN Bonds'!$D$39:$D$49,MATCH('Value of Debt (listed bonds)'!$B28,'VPN Bonds'!$H$39:$H$49,0))*((INDEX('VPN Bond Prices'!$S$1:$AD$147,MATCH('Value of Debt (listed bonds)'!O$3,'VPN Bond Prices'!$S$1:$S$147,0),MATCH('Value of Debt (listed bonds)'!$B28,'VPN Bond Prices'!$S$1:$AD$1,0))/100))</f>
        <v>0</v>
      </c>
      <c r="P28" s="171">
        <f>INDEX('VPN Bonds'!$D$39:$D$49,MATCH('Value of Debt (listed bonds)'!$B28,'VPN Bonds'!$H$39:$H$49,0))*((INDEX('VPN Bond Prices'!$S$1:$AD$147,MATCH('Value of Debt (listed bonds)'!P$3,'VPN Bond Prices'!$S$1:$S$147,0),MATCH('Value of Debt (listed bonds)'!$B28,'VPN Bond Prices'!$S$1:$AD$1,0))/100))</f>
        <v>0</v>
      </c>
      <c r="Q28" s="171">
        <f>INDEX('VPN Bonds'!$D$39:$D$49,MATCH('Value of Debt (listed bonds)'!$B28,'VPN Bonds'!$H$39:$H$49,0))*((INDEX('VPN Bond Prices'!$S$1:$AD$147,MATCH('Value of Debt (listed bonds)'!Q$3,'VPN Bond Prices'!$S$1:$S$147,0),MATCH('Value of Debt (listed bonds)'!$B28,'VPN Bond Prices'!$S$1:$AD$1,0))/100))</f>
        <v>0</v>
      </c>
    </row>
    <row r="29" spans="2:17">
      <c r="B29" s="172" t="s">
        <v>229</v>
      </c>
      <c r="F29" s="171">
        <f>INDEX('VPN Bonds'!$D$39:$D$49,MATCH('Value of Debt (listed bonds)'!$B29,'VPN Bonds'!$H$39:$H$49,0))*((INDEX('VPN Bond Prices'!$S$1:$AD$147,MATCH('Value of Debt (listed bonds)'!F$3,'VPN Bond Prices'!$S$1:$S$147,0),MATCH('Value of Debt (listed bonds)'!$B29,'VPN Bond Prices'!$S$1:$AD$1,0))/100))</f>
        <v>0</v>
      </c>
      <c r="G29" s="171">
        <f>INDEX('VPN Bonds'!$D$39:$D$49,MATCH('Value of Debt (listed bonds)'!$B29,'VPN Bonds'!$H$39:$H$49,0))*((INDEX('VPN Bond Prices'!$S$1:$AD$147,MATCH('Value of Debt (listed bonds)'!G$3,'VPN Bond Prices'!$S$1:$S$147,0),MATCH('Value of Debt (listed bonds)'!$B29,'VPN Bond Prices'!$S$1:$AD$1,0))/100))</f>
        <v>0</v>
      </c>
      <c r="H29" s="171">
        <f>INDEX('VPN Bonds'!$D$39:$D$49,MATCH('Value of Debt (listed bonds)'!$B29,'VPN Bonds'!$H$39:$H$49,0))*((INDEX('VPN Bond Prices'!$S$1:$AD$147,MATCH('Value of Debt (listed bonds)'!H$3,'VPN Bond Prices'!$S$1:$S$147,0),MATCH('Value of Debt (listed bonds)'!$B29,'VPN Bond Prices'!$S$1:$AD$1,0))/100))</f>
        <v>0</v>
      </c>
      <c r="I29" s="171">
        <f>INDEX('VPN Bonds'!$D$39:$D$49,MATCH('Value of Debt (listed bonds)'!$B29,'VPN Bonds'!$H$39:$H$49,0))*((INDEX('VPN Bond Prices'!$S$1:$AD$147,MATCH('Value of Debt (listed bonds)'!I$3,'VPN Bond Prices'!$S$1:$S$147,0),MATCH('Value of Debt (listed bonds)'!$B29,'VPN Bond Prices'!$S$1:$AD$1,0))/100))</f>
        <v>0</v>
      </c>
      <c r="J29" s="171">
        <f>INDEX('VPN Bonds'!$D$39:$D$49,MATCH('Value of Debt (listed bonds)'!$B29,'VPN Bonds'!$H$39:$H$49,0))*((INDEX('VPN Bond Prices'!$S$1:$AD$147,MATCH('Value of Debt (listed bonds)'!J$3,'VPN Bond Prices'!$S$1:$S$147,0),MATCH('Value of Debt (listed bonds)'!$B29,'VPN Bond Prices'!$S$1:$AD$1,0))/100))</f>
        <v>0</v>
      </c>
      <c r="K29" s="171">
        <f>INDEX('VPN Bonds'!$D$39:$D$49,MATCH('Value of Debt (listed bonds)'!$B29,'VPN Bonds'!$H$39:$H$49,0))*((INDEX('VPN Bond Prices'!$S$1:$AD$147,MATCH('Value of Debt (listed bonds)'!K$3,'VPN Bond Prices'!$S$1:$S$147,0),MATCH('Value of Debt (listed bonds)'!$B29,'VPN Bond Prices'!$S$1:$AD$1,0))/100))</f>
        <v>0</v>
      </c>
      <c r="L29" s="171">
        <f>INDEX('VPN Bonds'!$D$39:$D$49,MATCH('Value of Debt (listed bonds)'!$B29,'VPN Bonds'!$H$39:$H$49,0))*((INDEX('VPN Bond Prices'!$S$1:$AD$147,MATCH('Value of Debt (listed bonds)'!L$3,'VPN Bond Prices'!$S$1:$S$147,0),MATCH('Value of Debt (listed bonds)'!$B29,'VPN Bond Prices'!$S$1:$AD$1,0))/100))</f>
        <v>0</v>
      </c>
      <c r="M29" s="171">
        <f>INDEX('VPN Bonds'!$D$39:$D$49,MATCH('Value of Debt (listed bonds)'!$B29,'VPN Bonds'!$H$39:$H$49,0))*((INDEX('VPN Bond Prices'!$S$1:$AD$147,MATCH('Value of Debt (listed bonds)'!M$3,'VPN Bond Prices'!$S$1:$S$147,0),MATCH('Value of Debt (listed bonds)'!$B29,'VPN Bond Prices'!$S$1:$AD$1,0))/100))</f>
        <v>0</v>
      </c>
      <c r="N29" s="171">
        <f>INDEX('VPN Bonds'!$D$39:$D$49,MATCH('Value of Debt (listed bonds)'!$B29,'VPN Bonds'!$H$39:$H$49,0))*((INDEX('VPN Bond Prices'!$S$1:$AD$147,MATCH('Value of Debt (listed bonds)'!N$3,'VPN Bond Prices'!$S$1:$S$147,0),MATCH('Value of Debt (listed bonds)'!$B29,'VPN Bond Prices'!$S$1:$AD$1,0))/100))</f>
        <v>0</v>
      </c>
      <c r="O29" s="171">
        <f>INDEX('VPN Bonds'!$D$39:$D$49,MATCH('Value of Debt (listed bonds)'!$B29,'VPN Bonds'!$H$39:$H$49,0))*((INDEX('VPN Bond Prices'!$S$1:$AD$147,MATCH('Value of Debt (listed bonds)'!O$3,'VPN Bond Prices'!$S$1:$S$147,0),MATCH('Value of Debt (listed bonds)'!$B29,'VPN Bond Prices'!$S$1:$AD$1,0))/100))</f>
        <v>0</v>
      </c>
      <c r="P29" s="171">
        <f>INDEX('VPN Bonds'!$D$39:$D$49,MATCH('Value of Debt (listed bonds)'!$B29,'VPN Bonds'!$H$39:$H$49,0))*((INDEX('VPN Bond Prices'!$S$1:$AD$147,MATCH('Value of Debt (listed bonds)'!P$3,'VPN Bond Prices'!$S$1:$S$147,0),MATCH('Value of Debt (listed bonds)'!$B29,'VPN Bond Prices'!$S$1:$AD$1,0))/100))</f>
        <v>0</v>
      </c>
      <c r="Q29" s="171">
        <f>INDEX('VPN Bonds'!$D$39:$D$49,MATCH('Value of Debt (listed bonds)'!$B29,'VPN Bonds'!$H$39:$H$49,0))*((INDEX('VPN Bond Prices'!$S$1:$AD$147,MATCH('Value of Debt (listed bonds)'!Q$3,'VPN Bond Prices'!$S$1:$S$147,0),MATCH('Value of Debt (listed bonds)'!$B29,'VPN Bond Prices'!$S$1:$AD$1,0))/100))</f>
        <v>0</v>
      </c>
    </row>
    <row r="30" spans="2:17">
      <c r="B30" s="172" t="s">
        <v>230</v>
      </c>
      <c r="F30" s="171">
        <f>INDEX('VPN Bonds'!$D$39:$D$49,MATCH('Value of Debt (listed bonds)'!$B30,'VPN Bonds'!$H$39:$H$49,0))*((INDEX('VPN Bond Prices'!$S$1:$AD$147,MATCH('Value of Debt (listed bonds)'!F$3,'VPN Bond Prices'!$S$1:$S$147,0),MATCH('Value of Debt (listed bonds)'!$B30,'VPN Bond Prices'!$S$1:$AD$1,0))/100))</f>
        <v>0</v>
      </c>
      <c r="G30" s="171">
        <f>INDEX('VPN Bonds'!$D$39:$D$49,MATCH('Value of Debt (listed bonds)'!$B30,'VPN Bonds'!$H$39:$H$49,0))*((INDEX('VPN Bond Prices'!$S$1:$AD$147,MATCH('Value of Debt (listed bonds)'!G$3,'VPN Bond Prices'!$S$1:$S$147,0),MATCH('Value of Debt (listed bonds)'!$B30,'VPN Bond Prices'!$S$1:$AD$1,0))/100))</f>
        <v>0</v>
      </c>
      <c r="H30" s="171">
        <f>INDEX('VPN Bonds'!$D$39:$D$49,MATCH('Value of Debt (listed bonds)'!$B30,'VPN Bonds'!$H$39:$H$49,0))*((INDEX('VPN Bond Prices'!$S$1:$AD$147,MATCH('Value of Debt (listed bonds)'!H$3,'VPN Bond Prices'!$S$1:$S$147,0),MATCH('Value of Debt (listed bonds)'!$B30,'VPN Bond Prices'!$S$1:$AD$1,0))/100))</f>
        <v>0</v>
      </c>
      <c r="I30" s="171">
        <f>INDEX('VPN Bonds'!$D$39:$D$49,MATCH('Value of Debt (listed bonds)'!$B30,'VPN Bonds'!$H$39:$H$49,0))*((INDEX('VPN Bond Prices'!$S$1:$AD$147,MATCH('Value of Debt (listed bonds)'!I$3,'VPN Bond Prices'!$S$1:$S$147,0),MATCH('Value of Debt (listed bonds)'!$B30,'VPN Bond Prices'!$S$1:$AD$1,0))/100))</f>
        <v>0</v>
      </c>
      <c r="J30" s="171">
        <f>INDEX('VPN Bonds'!$D$39:$D$49,MATCH('Value of Debt (listed bonds)'!$B30,'VPN Bonds'!$H$39:$H$49,0))*((INDEX('VPN Bond Prices'!$S$1:$AD$147,MATCH('Value of Debt (listed bonds)'!J$3,'VPN Bond Prices'!$S$1:$S$147,0),MATCH('Value of Debt (listed bonds)'!$B30,'VPN Bond Prices'!$S$1:$AD$1,0))/100))</f>
        <v>0</v>
      </c>
      <c r="K30" s="171">
        <f>INDEX('VPN Bonds'!$D$39:$D$49,MATCH('Value of Debt (listed bonds)'!$B30,'VPN Bonds'!$H$39:$H$49,0))*((INDEX('VPN Bond Prices'!$S$1:$AD$147,MATCH('Value of Debt (listed bonds)'!K$3,'VPN Bond Prices'!$S$1:$S$147,0),MATCH('Value of Debt (listed bonds)'!$B30,'VPN Bond Prices'!$S$1:$AD$1,0))/100))</f>
        <v>0</v>
      </c>
      <c r="L30" s="171">
        <f>INDEX('VPN Bonds'!$D$39:$D$49,MATCH('Value of Debt (listed bonds)'!$B30,'VPN Bonds'!$H$39:$H$49,0))*((INDEX('VPN Bond Prices'!$S$1:$AD$147,MATCH('Value of Debt (listed bonds)'!L$3,'VPN Bond Prices'!$S$1:$S$147,0),MATCH('Value of Debt (listed bonds)'!$B30,'VPN Bond Prices'!$S$1:$AD$1,0))/100))</f>
        <v>0</v>
      </c>
      <c r="M30" s="171">
        <f>INDEX('VPN Bonds'!$D$39:$D$49,MATCH('Value of Debt (listed bonds)'!$B30,'VPN Bonds'!$H$39:$H$49,0))*((INDEX('VPN Bond Prices'!$S$1:$AD$147,MATCH('Value of Debt (listed bonds)'!M$3,'VPN Bond Prices'!$S$1:$S$147,0),MATCH('Value of Debt (listed bonds)'!$B30,'VPN Bond Prices'!$S$1:$AD$1,0))/100))</f>
        <v>0</v>
      </c>
      <c r="N30" s="171">
        <f>INDEX('VPN Bonds'!$D$39:$D$49,MATCH('Value of Debt (listed bonds)'!$B30,'VPN Bonds'!$H$39:$H$49,0))*((INDEX('VPN Bond Prices'!$S$1:$AD$147,MATCH('Value of Debt (listed bonds)'!N$3,'VPN Bond Prices'!$S$1:$S$147,0),MATCH('Value of Debt (listed bonds)'!$B30,'VPN Bond Prices'!$S$1:$AD$1,0))/100))</f>
        <v>0</v>
      </c>
      <c r="O30" s="171">
        <f>INDEX('VPN Bonds'!$D$39:$D$49,MATCH('Value of Debt (listed bonds)'!$B30,'VPN Bonds'!$H$39:$H$49,0))*((INDEX('VPN Bond Prices'!$S$1:$AD$147,MATCH('Value of Debt (listed bonds)'!O$3,'VPN Bond Prices'!$S$1:$S$147,0),MATCH('Value of Debt (listed bonds)'!$B30,'VPN Bond Prices'!$S$1:$AD$1,0))/100))</f>
        <v>0</v>
      </c>
      <c r="P30" s="171">
        <f>INDEX('VPN Bonds'!$D$39:$D$49,MATCH('Value of Debt (listed bonds)'!$B30,'VPN Bonds'!$H$39:$H$49,0))*((INDEX('VPN Bond Prices'!$S$1:$AD$147,MATCH('Value of Debt (listed bonds)'!P$3,'VPN Bond Prices'!$S$1:$S$147,0),MATCH('Value of Debt (listed bonds)'!$B30,'VPN Bond Prices'!$S$1:$AD$1,0))/100))</f>
        <v>0</v>
      </c>
      <c r="Q30" s="171">
        <f>INDEX('VPN Bonds'!$D$39:$D$49,MATCH('Value of Debt (listed bonds)'!$B30,'VPN Bonds'!$H$39:$H$49,0))*((INDEX('VPN Bond Prices'!$S$1:$AD$147,MATCH('Value of Debt (listed bonds)'!Q$3,'VPN Bond Prices'!$S$1:$S$147,0),MATCH('Value of Debt (listed bonds)'!$B30,'VPN Bond Prices'!$S$1:$AD$1,0))/100))</f>
        <v>0</v>
      </c>
    </row>
    <row r="31" spans="2:17">
      <c r="B31" s="172" t="s">
        <v>262</v>
      </c>
      <c r="F31" s="171">
        <f>INDEX('VPN Bonds'!$D$39:$D$49,MATCH('Value of Debt (listed bonds)'!$B31,'VPN Bonds'!$H$39:$H$49,0))*((INDEX('VPN Bond Prices'!$S$1:$AD$147,MATCH('Value of Debt (listed bonds)'!F$3,'VPN Bond Prices'!$S$1:$S$147,0),MATCH('Value of Debt (listed bonds)'!$B31,'VPN Bond Prices'!$S$1:$AD$1,0))/100))</f>
        <v>0</v>
      </c>
      <c r="G31" s="171">
        <f>INDEX('VPN Bonds'!$D$39:$D$49,MATCH('Value of Debt (listed bonds)'!$B31,'VPN Bonds'!$H$39:$H$49,0))*((INDEX('VPN Bond Prices'!$S$1:$AD$147,MATCH('Value of Debt (listed bonds)'!G$3,'VPN Bond Prices'!$S$1:$S$147,0),MATCH('Value of Debt (listed bonds)'!$B31,'VPN Bond Prices'!$S$1:$AD$1,0))/100))</f>
        <v>0</v>
      </c>
      <c r="H31" s="171">
        <f>INDEX('VPN Bonds'!$D$39:$D$49,MATCH('Value of Debt (listed bonds)'!$B31,'VPN Bonds'!$H$39:$H$49,0))*((INDEX('VPN Bond Prices'!$S$1:$AD$147,MATCH('Value of Debt (listed bonds)'!H$3,'VPN Bond Prices'!$S$1:$S$147,0),MATCH('Value of Debt (listed bonds)'!$B31,'VPN Bond Prices'!$S$1:$AD$1,0))/100))</f>
        <v>0</v>
      </c>
      <c r="I31" s="171">
        <f>INDEX('VPN Bonds'!$D$39:$D$49,MATCH('Value of Debt (listed bonds)'!$B31,'VPN Bonds'!$H$39:$H$49,0))*((INDEX('VPN Bond Prices'!$S$1:$AD$147,MATCH('Value of Debt (listed bonds)'!I$3,'VPN Bond Prices'!$S$1:$S$147,0),MATCH('Value of Debt (listed bonds)'!$B31,'VPN Bond Prices'!$S$1:$AD$1,0))/100))</f>
        <v>150142225.5</v>
      </c>
      <c r="J31" s="171">
        <f>INDEX('VPN Bonds'!$D$39:$D$49,MATCH('Value of Debt (listed bonds)'!$B31,'VPN Bonds'!$H$39:$H$49,0))*((INDEX('VPN Bond Prices'!$S$1:$AD$147,MATCH('Value of Debt (listed bonds)'!J$3,'VPN Bond Prices'!$S$1:$S$147,0),MATCH('Value of Debt (listed bonds)'!$B31,'VPN Bond Prices'!$S$1:$AD$1,0))/100))</f>
        <v>150145500</v>
      </c>
      <c r="K31" s="171">
        <f>INDEX('VPN Bonds'!$D$39:$D$49,MATCH('Value of Debt (listed bonds)'!$B31,'VPN Bonds'!$H$39:$H$49,0))*((INDEX('VPN Bond Prices'!$S$1:$AD$147,MATCH('Value of Debt (listed bonds)'!K$3,'VPN Bond Prices'!$S$1:$S$147,0),MATCH('Value of Debt (listed bonds)'!$B31,'VPN Bond Prices'!$S$1:$AD$1,0))/100))</f>
        <v>149904000</v>
      </c>
      <c r="L31" s="171">
        <f>INDEX('VPN Bonds'!$D$39:$D$49,MATCH('Value of Debt (listed bonds)'!$B31,'VPN Bonds'!$H$39:$H$49,0))*((INDEX('VPN Bond Prices'!$S$1:$AD$147,MATCH('Value of Debt (listed bonds)'!L$3,'VPN Bond Prices'!$S$1:$S$147,0),MATCH('Value of Debt (listed bonds)'!$B31,'VPN Bond Prices'!$S$1:$AD$1,0))/100))</f>
        <v>150579750</v>
      </c>
      <c r="M31" s="171">
        <f>INDEX('VPN Bonds'!$D$39:$D$49,MATCH('Value of Debt (listed bonds)'!$B31,'VPN Bonds'!$H$39:$H$49,0))*((INDEX('VPN Bond Prices'!$S$1:$AD$147,MATCH('Value of Debt (listed bonds)'!M$3,'VPN Bond Prices'!$S$1:$S$147,0),MATCH('Value of Debt (listed bonds)'!$B31,'VPN Bond Prices'!$S$1:$AD$1,0))/100))</f>
        <v>150384750</v>
      </c>
      <c r="N31" s="171">
        <f>INDEX('VPN Bonds'!$D$39:$D$49,MATCH('Value of Debt (listed bonds)'!$B31,'VPN Bonds'!$H$39:$H$49,0))*((INDEX('VPN Bond Prices'!$S$1:$AD$147,MATCH('Value of Debt (listed bonds)'!N$3,'VPN Bond Prices'!$S$1:$S$147,0),MATCH('Value of Debt (listed bonds)'!$B31,'VPN Bond Prices'!$S$1:$AD$1,0))/100))</f>
        <v>0</v>
      </c>
      <c r="O31" s="171">
        <f>INDEX('VPN Bonds'!$D$39:$D$49,MATCH('Value of Debt (listed bonds)'!$B31,'VPN Bonds'!$H$39:$H$49,0))*((INDEX('VPN Bond Prices'!$S$1:$AD$147,MATCH('Value of Debt (listed bonds)'!O$3,'VPN Bond Prices'!$S$1:$S$147,0),MATCH('Value of Debt (listed bonds)'!$B31,'VPN Bond Prices'!$S$1:$AD$1,0))/100))</f>
        <v>0</v>
      </c>
      <c r="P31" s="171">
        <f>INDEX('VPN Bonds'!$D$39:$D$49,MATCH('Value of Debt (listed bonds)'!$B31,'VPN Bonds'!$H$39:$H$49,0))*((INDEX('VPN Bond Prices'!$S$1:$AD$147,MATCH('Value of Debt (listed bonds)'!P$3,'VPN Bond Prices'!$S$1:$S$147,0),MATCH('Value of Debt (listed bonds)'!$B31,'VPN Bond Prices'!$S$1:$AD$1,0))/100))</f>
        <v>0</v>
      </c>
      <c r="Q31" s="171">
        <f>INDEX('VPN Bonds'!$D$39:$D$49,MATCH('Value of Debt (listed bonds)'!$B31,'VPN Bonds'!$H$39:$H$49,0))*((INDEX('VPN Bond Prices'!$S$1:$AD$147,MATCH('Value of Debt (listed bonds)'!Q$3,'VPN Bond Prices'!$S$1:$S$147,0),MATCH('Value of Debt (listed bonds)'!$B31,'VPN Bond Prices'!$S$1:$AD$1,0))/100))</f>
        <v>0</v>
      </c>
    </row>
    <row r="32" spans="2:17">
      <c r="B32" s="172" t="s">
        <v>263</v>
      </c>
      <c r="F32" s="171">
        <f>INDEX('VPN Bonds'!$D$39:$D$49,MATCH('Value of Debt (listed bonds)'!$B32,'VPN Bonds'!$H$39:$H$49,0))*((INDEX('VPN Bond Prices'!$S$1:$AD$147,MATCH('Value of Debt (listed bonds)'!F$3,'VPN Bond Prices'!$S$1:$S$147,0),MATCH('Value of Debt (listed bonds)'!$B32,'VPN Bond Prices'!$S$1:$AD$1,0))/100))</f>
        <v>248209014</v>
      </c>
      <c r="G32" s="171">
        <f>INDEX('VPN Bonds'!$D$39:$D$49,MATCH('Value of Debt (listed bonds)'!$B32,'VPN Bonds'!$H$39:$H$49,0))*((INDEX('VPN Bond Prices'!$S$1:$AD$147,MATCH('Value of Debt (listed bonds)'!G$3,'VPN Bond Prices'!$S$1:$S$147,0),MATCH('Value of Debt (listed bonds)'!$B32,'VPN Bond Prices'!$S$1:$AD$1,0))/100))</f>
        <v>248554031.99999997</v>
      </c>
      <c r="H32" s="171">
        <f>INDEX('VPN Bonds'!$D$39:$D$49,MATCH('Value of Debt (listed bonds)'!$B32,'VPN Bonds'!$H$39:$H$49,0))*((INDEX('VPN Bond Prices'!$S$1:$AD$147,MATCH('Value of Debt (listed bonds)'!H$3,'VPN Bond Prices'!$S$1:$S$147,0),MATCH('Value of Debt (listed bonds)'!$B32,'VPN Bond Prices'!$S$1:$AD$1,0))/100))</f>
        <v>253960245</v>
      </c>
      <c r="I32" s="171">
        <f>INDEX('VPN Bonds'!$D$39:$D$49,MATCH('Value of Debt (listed bonds)'!$B32,'VPN Bonds'!$H$39:$H$49,0))*((INDEX('VPN Bond Prices'!$S$1:$AD$147,MATCH('Value of Debt (listed bonds)'!I$3,'VPN Bond Prices'!$S$1:$S$147,0),MATCH('Value of Debt (listed bonds)'!$B32,'VPN Bond Prices'!$S$1:$AD$1,0))/100))</f>
        <v>258645686.99999997</v>
      </c>
      <c r="J32" s="171">
        <f>INDEX('VPN Bonds'!$D$39:$D$49,MATCH('Value of Debt (listed bonds)'!$B32,'VPN Bonds'!$H$39:$H$49,0))*((INDEX('VPN Bond Prices'!$S$1:$AD$147,MATCH('Value of Debt (listed bonds)'!J$3,'VPN Bond Prices'!$S$1:$S$147,0),MATCH('Value of Debt (listed bonds)'!$B32,'VPN Bond Prices'!$S$1:$AD$1,0))/100))</f>
        <v>262969499.99999997</v>
      </c>
      <c r="K32" s="171">
        <f>INDEX('VPN Bonds'!$D$39:$D$49,MATCH('Value of Debt (listed bonds)'!$B32,'VPN Bonds'!$H$39:$H$49,0))*((INDEX('VPN Bond Prices'!$S$1:$AD$147,MATCH('Value of Debt (listed bonds)'!K$3,'VPN Bond Prices'!$S$1:$S$147,0),MATCH('Value of Debt (listed bonds)'!$B32,'VPN Bond Prices'!$S$1:$AD$1,0))/100))</f>
        <v>268186499.99999997</v>
      </c>
      <c r="L32" s="171">
        <f>INDEX('VPN Bonds'!$D$39:$D$49,MATCH('Value of Debt (listed bonds)'!$B32,'VPN Bonds'!$H$39:$H$49,0))*((INDEX('VPN Bond Prices'!$S$1:$AD$147,MATCH('Value of Debt (listed bonds)'!L$3,'VPN Bond Prices'!$S$1:$S$147,0),MATCH('Value of Debt (listed bonds)'!$B32,'VPN Bond Prices'!$S$1:$AD$1,0))/100))</f>
        <v>273681000</v>
      </c>
      <c r="M32" s="171">
        <f>INDEX('VPN Bonds'!$D$39:$D$49,MATCH('Value of Debt (listed bonds)'!$B32,'VPN Bonds'!$H$39:$H$49,0))*((INDEX('VPN Bond Prices'!$S$1:$AD$147,MATCH('Value of Debt (listed bonds)'!M$3,'VPN Bond Prices'!$S$1:$S$147,0),MATCH('Value of Debt (listed bonds)'!$B32,'VPN Bond Prices'!$S$1:$AD$1,0))/100))</f>
        <v>295576500</v>
      </c>
      <c r="N32" s="171">
        <f>INDEX('VPN Bonds'!$D$39:$D$49,MATCH('Value of Debt (listed bonds)'!$B32,'VPN Bonds'!$H$39:$H$49,0))*((INDEX('VPN Bond Prices'!$S$1:$AD$147,MATCH('Value of Debt (listed bonds)'!N$3,'VPN Bond Prices'!$S$1:$S$147,0),MATCH('Value of Debt (listed bonds)'!$B32,'VPN Bond Prices'!$S$1:$AD$1,0))/100))</f>
        <v>297136500</v>
      </c>
      <c r="O32" s="171">
        <f>INDEX('VPN Bonds'!$D$39:$D$49,MATCH('Value of Debt (listed bonds)'!$B32,'VPN Bonds'!$H$39:$H$49,0))*((INDEX('VPN Bond Prices'!$S$1:$AD$147,MATCH('Value of Debt (listed bonds)'!O$3,'VPN Bond Prices'!$S$1:$S$147,0),MATCH('Value of Debt (listed bonds)'!$B32,'VPN Bond Prices'!$S$1:$AD$1,0))/100))</f>
        <v>297637500</v>
      </c>
      <c r="P32" s="171">
        <f>INDEX('VPN Bonds'!$D$39:$D$49,MATCH('Value of Debt (listed bonds)'!$B32,'VPN Bonds'!$H$39:$H$49,0))*((INDEX('VPN Bond Prices'!$S$1:$AD$147,MATCH('Value of Debt (listed bonds)'!P$3,'VPN Bond Prices'!$S$1:$S$147,0),MATCH('Value of Debt (listed bonds)'!$B32,'VPN Bond Prices'!$S$1:$AD$1,0))/100))</f>
        <v>299883000</v>
      </c>
      <c r="Q32" s="171">
        <f>INDEX('VPN Bonds'!$D$39:$D$49,MATCH('Value of Debt (listed bonds)'!$B32,'VPN Bonds'!$H$39:$H$49,0))*((INDEX('VPN Bond Prices'!$S$1:$AD$147,MATCH('Value of Debt (listed bonds)'!Q$3,'VPN Bond Prices'!$S$1:$S$147,0),MATCH('Value of Debt (listed bonds)'!$B32,'VPN Bond Prices'!$S$1:$AD$1,0))/100))</f>
        <v>0</v>
      </c>
    </row>
    <row r="33" spans="2:17">
      <c r="B33" s="172" t="s">
        <v>264</v>
      </c>
      <c r="F33" s="171">
        <f>INDEX('VPN Bonds'!$D$39:$D$49,MATCH('Value of Debt (listed bonds)'!$B33,'VPN Bonds'!$H$39:$H$49,0))*((INDEX('VPN Bond Prices'!$S$1:$AD$147,MATCH('Value of Debt (listed bonds)'!F$3,'VPN Bond Prices'!$S$1:$S$147,0),MATCH('Value of Debt (listed bonds)'!$B33,'VPN Bond Prices'!$S$1:$AD$1,0))/100))</f>
        <v>501018575.39999998</v>
      </c>
      <c r="G33" s="171">
        <f>INDEX('VPN Bonds'!$D$39:$D$49,MATCH('Value of Debt (listed bonds)'!$B33,'VPN Bonds'!$H$39:$H$49,0))*((INDEX('VPN Bond Prices'!$S$1:$AD$147,MATCH('Value of Debt (listed bonds)'!G$3,'VPN Bond Prices'!$S$1:$S$147,0),MATCH('Value of Debt (listed bonds)'!$B33,'VPN Bond Prices'!$S$1:$AD$1,0))/100))</f>
        <v>511682938.20000005</v>
      </c>
      <c r="H33" s="171">
        <f>INDEX('VPN Bonds'!$D$39:$D$49,MATCH('Value of Debt (listed bonds)'!$B33,'VPN Bonds'!$H$39:$H$49,0))*((INDEX('VPN Bond Prices'!$S$1:$AD$147,MATCH('Value of Debt (listed bonds)'!H$3,'VPN Bond Prices'!$S$1:$S$147,0),MATCH('Value of Debt (listed bonds)'!$B33,'VPN Bond Prices'!$S$1:$AD$1,0))/100))</f>
        <v>525347134.19999999</v>
      </c>
      <c r="I33" s="171">
        <f>INDEX('VPN Bonds'!$D$39:$D$49,MATCH('Value of Debt (listed bonds)'!$B33,'VPN Bonds'!$H$39:$H$49,0))*((INDEX('VPN Bond Prices'!$S$1:$AD$147,MATCH('Value of Debt (listed bonds)'!I$3,'VPN Bond Prices'!$S$1:$S$147,0),MATCH('Value of Debt (listed bonds)'!$B33,'VPN Bond Prices'!$S$1:$AD$1,0))/100))</f>
        <v>539020377</v>
      </c>
      <c r="J33" s="171">
        <f>INDEX('VPN Bonds'!$D$39:$D$49,MATCH('Value of Debt (listed bonds)'!$B33,'VPN Bonds'!$H$39:$H$49,0))*((INDEX('VPN Bond Prices'!$S$1:$AD$147,MATCH('Value of Debt (listed bonds)'!J$3,'VPN Bond Prices'!$S$1:$S$147,0),MATCH('Value of Debt (listed bonds)'!$B33,'VPN Bond Prices'!$S$1:$AD$1,0))/100))</f>
        <v>547681050</v>
      </c>
      <c r="K33" s="171">
        <f>INDEX('VPN Bonds'!$D$39:$D$49,MATCH('Value of Debt (listed bonds)'!$B33,'VPN Bonds'!$H$39:$H$49,0))*((INDEX('VPN Bond Prices'!$S$1:$AD$147,MATCH('Value of Debt (listed bonds)'!K$3,'VPN Bond Prices'!$S$1:$S$147,0),MATCH('Value of Debt (listed bonds)'!$B33,'VPN Bond Prices'!$S$1:$AD$1,0))/100))</f>
        <v>558432000</v>
      </c>
      <c r="L33" s="171">
        <f>INDEX('VPN Bonds'!$D$39:$D$49,MATCH('Value of Debt (listed bonds)'!$B33,'VPN Bonds'!$H$39:$H$49,0))*((INDEX('VPN Bond Prices'!$S$1:$AD$147,MATCH('Value of Debt (listed bonds)'!L$3,'VPN Bond Prices'!$S$1:$S$147,0),MATCH('Value of Debt (listed bonds)'!$B33,'VPN Bond Prices'!$S$1:$AD$1,0))/100))</f>
        <v>569633400.00000012</v>
      </c>
      <c r="M33" s="171">
        <f>INDEX('VPN Bonds'!$D$39:$D$49,MATCH('Value of Debt (listed bonds)'!$B33,'VPN Bonds'!$H$39:$H$49,0))*((INDEX('VPN Bond Prices'!$S$1:$AD$147,MATCH('Value of Debt (listed bonds)'!M$3,'VPN Bond Prices'!$S$1:$S$147,0),MATCH('Value of Debt (listed bonds)'!$B33,'VPN Bond Prices'!$S$1:$AD$1,0))/100))</f>
        <v>605385900</v>
      </c>
      <c r="N33" s="171">
        <f>INDEX('VPN Bonds'!$D$39:$D$49,MATCH('Value of Debt (listed bonds)'!$B33,'VPN Bonds'!$H$39:$H$49,0))*((INDEX('VPN Bond Prices'!$S$1:$AD$147,MATCH('Value of Debt (listed bonds)'!N$3,'VPN Bond Prices'!$S$1:$S$147,0),MATCH('Value of Debt (listed bonds)'!$B33,'VPN Bond Prices'!$S$1:$AD$1,0))/100))</f>
        <v>611925300</v>
      </c>
      <c r="O33" s="171">
        <f>INDEX('VPN Bonds'!$D$39:$D$49,MATCH('Value of Debt (listed bonds)'!$B33,'VPN Bonds'!$H$39:$H$49,0))*((INDEX('VPN Bond Prices'!$S$1:$AD$147,MATCH('Value of Debt (listed bonds)'!O$3,'VPN Bond Prices'!$S$1:$S$147,0),MATCH('Value of Debt (listed bonds)'!$B33,'VPN Bond Prices'!$S$1:$AD$1,0))/100))</f>
        <v>622257300</v>
      </c>
      <c r="P33" s="171">
        <f>INDEX('VPN Bonds'!$D$39:$D$49,MATCH('Value of Debt (listed bonds)'!$B33,'VPN Bonds'!$H$39:$H$49,0))*((INDEX('VPN Bond Prices'!$S$1:$AD$147,MATCH('Value of Debt (listed bonds)'!P$3,'VPN Bond Prices'!$S$1:$S$147,0),MATCH('Value of Debt (listed bonds)'!$B33,'VPN Bond Prices'!$S$1:$AD$1,0))/100))</f>
        <v>628856550</v>
      </c>
      <c r="Q33" s="171">
        <f>INDEX('VPN Bonds'!$D$39:$D$49,MATCH('Value of Debt (listed bonds)'!$B33,'VPN Bonds'!$H$39:$H$49,0))*((INDEX('VPN Bond Prices'!$S$1:$AD$147,MATCH('Value of Debt (listed bonds)'!Q$3,'VPN Bond Prices'!$S$1:$S$147,0),MATCH('Value of Debt (listed bonds)'!$B33,'VPN Bond Prices'!$S$1:$AD$1,0))/100))</f>
        <v>629917740.89999998</v>
      </c>
    </row>
    <row r="35" spans="2:17">
      <c r="B35" s="172" t="s">
        <v>265</v>
      </c>
      <c r="F35" s="171">
        <f>INDEX('VPN Bonds'!$D$74:$D$80,MATCH('Value of Debt (listed bonds)'!$B35,'VPN Bonds'!$H$74:$H$80,0))*((INDEX('VPN Bond Prices'!$AG$1:$AN$90,MATCH('Value of Debt (listed bonds)'!F$3,'VPN Bond Prices'!$AG$1:$AG$90,0),MATCH('Value of Debt (listed bonds)'!$B35,'VPN Bond Prices'!$AG$1:$AN$1,0))/100))</f>
        <v>0</v>
      </c>
      <c r="G35" s="171">
        <f>INDEX('VPN Bonds'!$D$74:$D$80,MATCH('Value of Debt (listed bonds)'!$B35,'VPN Bonds'!$H$74:$H$80,0))*((INDEX('VPN Bond Prices'!$AG$1:$AN$90,MATCH('Value of Debt (listed bonds)'!G$3,'VPN Bond Prices'!$AG$1:$AG$90,0),MATCH('Value of Debt (listed bonds)'!$B35,'VPN Bond Prices'!$AG$1:$AN$1,0))/100))</f>
        <v>0</v>
      </c>
      <c r="H35" s="171">
        <f>INDEX('VPN Bonds'!$D$74:$D$80,MATCH('Value of Debt (listed bonds)'!$B35,'VPN Bonds'!$H$74:$H$80,0))*((INDEX('VPN Bond Prices'!$AG$1:$AN$90,MATCH('Value of Debt (listed bonds)'!H$3,'VPN Bond Prices'!$AG$1:$AG$90,0),MATCH('Value of Debt (listed bonds)'!$B35,'VPN Bond Prices'!$AG$1:$AN$1,0))/100))</f>
        <v>0</v>
      </c>
      <c r="I35" s="171">
        <f>INDEX('VPN Bonds'!$D$74:$D$80,MATCH('Value of Debt (listed bonds)'!$B35,'VPN Bonds'!$H$74:$H$80,0))*((INDEX('VPN Bond Prices'!$AG$1:$AN$90,MATCH('Value of Debt (listed bonds)'!I$3,'VPN Bond Prices'!$AG$1:$AG$90,0),MATCH('Value of Debt (listed bonds)'!$B35,'VPN Bond Prices'!$AG$1:$AN$1,0))/100))</f>
        <v>0</v>
      </c>
      <c r="J35" s="171">
        <f>INDEX('VPN Bonds'!$D$74:$D$80,MATCH('Value of Debt (listed bonds)'!$B35,'VPN Bonds'!$H$74:$H$80,0))*((INDEX('VPN Bond Prices'!$AG$1:$AN$90,MATCH('Value of Debt (listed bonds)'!J$3,'VPN Bond Prices'!$AG$1:$AG$90,0),MATCH('Value of Debt (listed bonds)'!$B35,'VPN Bond Prices'!$AG$1:$AN$1,0))/100))</f>
        <v>0</v>
      </c>
      <c r="K35" s="171" t="e">
        <f>INDEX('VPN Bonds'!$D$74:$D$80,MATCH('Value of Debt (listed bonds)'!$B35,'VPN Bonds'!$H$74:$H$80,0))*((INDEX('VPN Bond Prices'!$AG$1:$AN$90,MATCH('Value of Debt (listed bonds)'!K$3,'VPN Bond Prices'!$AG$1:$AG$90,0),MATCH('Value of Debt (listed bonds)'!$B35,'VPN Bond Prices'!$AG$1:$AN$1,0))/100))</f>
        <v>#N/A</v>
      </c>
      <c r="L35" s="171" t="e">
        <f>INDEX('VPN Bonds'!$D$74:$D$80,MATCH('Value of Debt (listed bonds)'!$B35,'VPN Bonds'!$H$74:$H$80,0))*((INDEX('VPN Bond Prices'!$AG$1:$AN$90,MATCH('Value of Debt (listed bonds)'!L$3,'VPN Bond Prices'!$AG$1:$AG$90,0),MATCH('Value of Debt (listed bonds)'!$B35,'VPN Bond Prices'!$AG$1:$AN$1,0))/100))</f>
        <v>#N/A</v>
      </c>
      <c r="M35" s="171" t="e">
        <f>INDEX('VPN Bonds'!$D$74:$D$80,MATCH('Value of Debt (listed bonds)'!$B35,'VPN Bonds'!$H$74:$H$80,0))*((INDEX('VPN Bond Prices'!$AG$1:$AN$90,MATCH('Value of Debt (listed bonds)'!M$3,'VPN Bond Prices'!$AG$1:$AG$90,0),MATCH('Value of Debt (listed bonds)'!$B35,'VPN Bond Prices'!$AG$1:$AN$1,0))/100))</f>
        <v>#N/A</v>
      </c>
      <c r="N35" s="171" t="e">
        <f>INDEX('VPN Bonds'!$D$74:$D$80,MATCH('Value of Debt (listed bonds)'!$B35,'VPN Bonds'!$H$74:$H$80,0))*((INDEX('VPN Bond Prices'!$AG$1:$AN$90,MATCH('Value of Debt (listed bonds)'!N$3,'VPN Bond Prices'!$AG$1:$AG$90,0),MATCH('Value of Debt (listed bonds)'!$B35,'VPN Bond Prices'!$AG$1:$AN$1,0))/100))</f>
        <v>#N/A</v>
      </c>
      <c r="O35" s="171" t="e">
        <f>INDEX('VPN Bonds'!$D$74:$D$80,MATCH('Value of Debt (listed bonds)'!$B35,'VPN Bonds'!$H$74:$H$80,0))*((INDEX('VPN Bond Prices'!$AG$1:$AN$90,MATCH('Value of Debt (listed bonds)'!O$3,'VPN Bond Prices'!$AG$1:$AG$90,0),MATCH('Value of Debt (listed bonds)'!$B35,'VPN Bond Prices'!$AG$1:$AN$1,0))/100))</f>
        <v>#N/A</v>
      </c>
      <c r="P35" s="171" t="e">
        <f>INDEX('VPN Bonds'!$D$74:$D$80,MATCH('Value of Debt (listed bonds)'!$B35,'VPN Bonds'!$H$74:$H$80,0))*((INDEX('VPN Bond Prices'!$AG$1:$AN$90,MATCH('Value of Debt (listed bonds)'!P$3,'VPN Bond Prices'!$AG$1:$AG$90,0),MATCH('Value of Debt (listed bonds)'!$B35,'VPN Bond Prices'!$AG$1:$AN$1,0))/100))</f>
        <v>#N/A</v>
      </c>
      <c r="Q35" s="171" t="e">
        <f>INDEX('VPN Bonds'!$D$74:$D$80,MATCH('Value of Debt (listed bonds)'!$B35,'VPN Bonds'!$H$74:$H$80,0))*((INDEX('VPN Bond Prices'!$AG$1:$AN$90,MATCH('Value of Debt (listed bonds)'!Q$3,'VPN Bond Prices'!$AG$1:$AG$90,0),MATCH('Value of Debt (listed bonds)'!$B35,'VPN Bond Prices'!$AG$1:$AN$1,0))/100))</f>
        <v>#N/A</v>
      </c>
    </row>
    <row r="36" spans="2:17">
      <c r="B36" s="172" t="s">
        <v>266</v>
      </c>
      <c r="F36" s="171">
        <f>INDEX('VPN Bonds'!$D$74:$D$80,MATCH('Value of Debt (listed bonds)'!$B36,'VPN Bonds'!$H$74:$H$80,0))*((INDEX('VPN Bond Prices'!$AG$1:$AN$90,MATCH('Value of Debt (listed bonds)'!F$3,'VPN Bond Prices'!$AG$1:$AG$90,0),MATCH('Value of Debt (listed bonds)'!$B36,'VPN Bond Prices'!$AG$1:$AN$1,0))/100))</f>
        <v>0</v>
      </c>
      <c r="G36" s="171">
        <f>INDEX('VPN Bonds'!$D$74:$D$80,MATCH('Value of Debt (listed bonds)'!$B36,'VPN Bonds'!$H$74:$H$80,0))*((INDEX('VPN Bond Prices'!$AG$1:$AN$90,MATCH('Value of Debt (listed bonds)'!G$3,'VPN Bond Prices'!$AG$1:$AG$90,0),MATCH('Value of Debt (listed bonds)'!$B36,'VPN Bond Prices'!$AG$1:$AN$1,0))/100))</f>
        <v>0</v>
      </c>
      <c r="H36" s="171">
        <f>INDEX('VPN Bonds'!$D$74:$D$80,MATCH('Value of Debt (listed bonds)'!$B36,'VPN Bonds'!$H$74:$H$80,0))*((INDEX('VPN Bond Prices'!$AG$1:$AN$90,MATCH('Value of Debt (listed bonds)'!H$3,'VPN Bond Prices'!$AG$1:$AG$90,0),MATCH('Value of Debt (listed bonds)'!$B36,'VPN Bond Prices'!$AG$1:$AN$1,0))/100))</f>
        <v>0</v>
      </c>
      <c r="I36" s="171">
        <f>INDEX('VPN Bonds'!$D$74:$D$80,MATCH('Value of Debt (listed bonds)'!$B36,'VPN Bonds'!$H$74:$H$80,0))*((INDEX('VPN Bond Prices'!$AG$1:$AN$90,MATCH('Value of Debt (listed bonds)'!I$3,'VPN Bond Prices'!$AG$1:$AG$90,0),MATCH('Value of Debt (listed bonds)'!$B36,'VPN Bond Prices'!$AG$1:$AN$1,0))/100))</f>
        <v>0</v>
      </c>
      <c r="J36" s="171">
        <f>INDEX('VPN Bonds'!$D$74:$D$80,MATCH('Value of Debt (listed bonds)'!$B36,'VPN Bonds'!$H$74:$H$80,0))*((INDEX('VPN Bond Prices'!$AG$1:$AN$90,MATCH('Value of Debt (listed bonds)'!J$3,'VPN Bond Prices'!$AG$1:$AG$90,0),MATCH('Value of Debt (listed bonds)'!$B36,'VPN Bond Prices'!$AG$1:$AN$1,0))/100))</f>
        <v>0</v>
      </c>
      <c r="K36" s="171" t="e">
        <f>INDEX('VPN Bonds'!$D$74:$D$80,MATCH('Value of Debt (listed bonds)'!$B36,'VPN Bonds'!$H$74:$H$80,0))*((INDEX('VPN Bond Prices'!$AG$1:$AN$90,MATCH('Value of Debt (listed bonds)'!K$3,'VPN Bond Prices'!$AG$1:$AG$90,0),MATCH('Value of Debt (listed bonds)'!$B36,'VPN Bond Prices'!$AG$1:$AN$1,0))/100))</f>
        <v>#N/A</v>
      </c>
      <c r="L36" s="171" t="e">
        <f>INDEX('VPN Bonds'!$D$74:$D$80,MATCH('Value of Debt (listed bonds)'!$B36,'VPN Bonds'!$H$74:$H$80,0))*((INDEX('VPN Bond Prices'!$AG$1:$AN$90,MATCH('Value of Debt (listed bonds)'!L$3,'VPN Bond Prices'!$AG$1:$AG$90,0),MATCH('Value of Debt (listed bonds)'!$B36,'VPN Bond Prices'!$AG$1:$AN$1,0))/100))</f>
        <v>#N/A</v>
      </c>
      <c r="M36" s="171" t="e">
        <f>INDEX('VPN Bonds'!$D$74:$D$80,MATCH('Value of Debt (listed bonds)'!$B36,'VPN Bonds'!$H$74:$H$80,0))*((INDEX('VPN Bond Prices'!$AG$1:$AN$90,MATCH('Value of Debt (listed bonds)'!M$3,'VPN Bond Prices'!$AG$1:$AG$90,0),MATCH('Value of Debt (listed bonds)'!$B36,'VPN Bond Prices'!$AG$1:$AN$1,0))/100))</f>
        <v>#N/A</v>
      </c>
      <c r="N36" s="171" t="e">
        <f>INDEX('VPN Bonds'!$D$74:$D$80,MATCH('Value of Debt (listed bonds)'!$B36,'VPN Bonds'!$H$74:$H$80,0))*((INDEX('VPN Bond Prices'!$AG$1:$AN$90,MATCH('Value of Debt (listed bonds)'!N$3,'VPN Bond Prices'!$AG$1:$AG$90,0),MATCH('Value of Debt (listed bonds)'!$B36,'VPN Bond Prices'!$AG$1:$AN$1,0))/100))</f>
        <v>#N/A</v>
      </c>
      <c r="O36" s="171" t="e">
        <f>INDEX('VPN Bonds'!$D$74:$D$80,MATCH('Value of Debt (listed bonds)'!$B36,'VPN Bonds'!$H$74:$H$80,0))*((INDEX('VPN Bond Prices'!$AG$1:$AN$90,MATCH('Value of Debt (listed bonds)'!O$3,'VPN Bond Prices'!$AG$1:$AG$90,0),MATCH('Value of Debt (listed bonds)'!$B36,'VPN Bond Prices'!$AG$1:$AN$1,0))/100))</f>
        <v>#N/A</v>
      </c>
      <c r="P36" s="171" t="e">
        <f>INDEX('VPN Bonds'!$D$74:$D$80,MATCH('Value of Debt (listed bonds)'!$B36,'VPN Bonds'!$H$74:$H$80,0))*((INDEX('VPN Bond Prices'!$AG$1:$AN$90,MATCH('Value of Debt (listed bonds)'!P$3,'VPN Bond Prices'!$AG$1:$AG$90,0),MATCH('Value of Debt (listed bonds)'!$B36,'VPN Bond Prices'!$AG$1:$AN$1,0))/100))</f>
        <v>#N/A</v>
      </c>
      <c r="Q36" s="171" t="e">
        <f>INDEX('VPN Bonds'!$D$74:$D$80,MATCH('Value of Debt (listed bonds)'!$B36,'VPN Bonds'!$H$74:$H$80,0))*((INDEX('VPN Bond Prices'!$AG$1:$AN$90,MATCH('Value of Debt (listed bonds)'!Q$3,'VPN Bond Prices'!$AG$1:$AG$90,0),MATCH('Value of Debt (listed bonds)'!$B36,'VPN Bond Prices'!$AG$1:$AN$1,0))/100))</f>
        <v>#N/A</v>
      </c>
    </row>
    <row r="37" spans="2:17">
      <c r="B37" s="172" t="s">
        <v>267</v>
      </c>
      <c r="F37" s="171">
        <f>INDEX('VPN Bonds'!$D$74:$D$80,MATCH('Value of Debt (listed bonds)'!$B37,'VPN Bonds'!$H$74:$H$80,0))*((INDEX('VPN Bond Prices'!$AG$1:$AN$90,MATCH('Value of Debt (listed bonds)'!F$3,'VPN Bond Prices'!$AG$1:$AG$90,0),MATCH('Value of Debt (listed bonds)'!$B37,'VPN Bond Prices'!$AG$1:$AN$1,0))/100))</f>
        <v>0</v>
      </c>
      <c r="G37" s="171">
        <f>INDEX('VPN Bonds'!$D$74:$D$80,MATCH('Value of Debt (listed bonds)'!$B37,'VPN Bonds'!$H$74:$H$80,0))*((INDEX('VPN Bond Prices'!$AG$1:$AN$90,MATCH('Value of Debt (listed bonds)'!G$3,'VPN Bond Prices'!$AG$1:$AG$90,0),MATCH('Value of Debt (listed bonds)'!$B37,'VPN Bond Prices'!$AG$1:$AN$1,0))/100))</f>
        <v>0</v>
      </c>
      <c r="H37" s="171">
        <f>INDEX('VPN Bonds'!$D$74:$D$80,MATCH('Value of Debt (listed bonds)'!$B37,'VPN Bonds'!$H$74:$H$80,0))*((INDEX('VPN Bond Prices'!$AG$1:$AN$90,MATCH('Value of Debt (listed bonds)'!H$3,'VPN Bond Prices'!$AG$1:$AG$90,0),MATCH('Value of Debt (listed bonds)'!$B37,'VPN Bond Prices'!$AG$1:$AN$1,0))/100))</f>
        <v>0</v>
      </c>
      <c r="I37" s="171">
        <f>INDEX('VPN Bonds'!$D$74:$D$80,MATCH('Value of Debt (listed bonds)'!$B37,'VPN Bonds'!$H$74:$H$80,0))*((INDEX('VPN Bond Prices'!$AG$1:$AN$90,MATCH('Value of Debt (listed bonds)'!I$3,'VPN Bond Prices'!$AG$1:$AG$90,0),MATCH('Value of Debt (listed bonds)'!$B37,'VPN Bond Prices'!$AG$1:$AN$1,0))/100))</f>
        <v>0</v>
      </c>
      <c r="J37" s="171">
        <f>INDEX('VPN Bonds'!$D$74:$D$80,MATCH('Value of Debt (listed bonds)'!$B37,'VPN Bonds'!$H$74:$H$80,0))*((INDEX('VPN Bond Prices'!$AG$1:$AN$90,MATCH('Value of Debt (listed bonds)'!J$3,'VPN Bond Prices'!$AG$1:$AG$90,0),MATCH('Value of Debt (listed bonds)'!$B37,'VPN Bond Prices'!$AG$1:$AN$1,0))/100))</f>
        <v>0</v>
      </c>
      <c r="K37" s="171" t="e">
        <f>INDEX('VPN Bonds'!$D$74:$D$80,MATCH('Value of Debt (listed bonds)'!$B37,'VPN Bonds'!$H$74:$H$80,0))*((INDEX('VPN Bond Prices'!$AG$1:$AN$90,MATCH('Value of Debt (listed bonds)'!K$3,'VPN Bond Prices'!$AG$1:$AG$90,0),MATCH('Value of Debt (listed bonds)'!$B37,'VPN Bond Prices'!$AG$1:$AN$1,0))/100))</f>
        <v>#N/A</v>
      </c>
      <c r="L37" s="171" t="e">
        <f>INDEX('VPN Bonds'!$D$74:$D$80,MATCH('Value of Debt (listed bonds)'!$B37,'VPN Bonds'!$H$74:$H$80,0))*((INDEX('VPN Bond Prices'!$AG$1:$AN$90,MATCH('Value of Debt (listed bonds)'!L$3,'VPN Bond Prices'!$AG$1:$AG$90,0),MATCH('Value of Debt (listed bonds)'!$B37,'VPN Bond Prices'!$AG$1:$AN$1,0))/100))</f>
        <v>#N/A</v>
      </c>
      <c r="M37" s="171" t="e">
        <f>INDEX('VPN Bonds'!$D$74:$D$80,MATCH('Value of Debt (listed bonds)'!$B37,'VPN Bonds'!$H$74:$H$80,0))*((INDEX('VPN Bond Prices'!$AG$1:$AN$90,MATCH('Value of Debt (listed bonds)'!M$3,'VPN Bond Prices'!$AG$1:$AG$90,0),MATCH('Value of Debt (listed bonds)'!$B37,'VPN Bond Prices'!$AG$1:$AN$1,0))/100))</f>
        <v>#N/A</v>
      </c>
      <c r="N37" s="171" t="e">
        <f>INDEX('VPN Bonds'!$D$74:$D$80,MATCH('Value of Debt (listed bonds)'!$B37,'VPN Bonds'!$H$74:$H$80,0))*((INDEX('VPN Bond Prices'!$AG$1:$AN$90,MATCH('Value of Debt (listed bonds)'!N$3,'VPN Bond Prices'!$AG$1:$AG$90,0),MATCH('Value of Debt (listed bonds)'!$B37,'VPN Bond Prices'!$AG$1:$AN$1,0))/100))</f>
        <v>#N/A</v>
      </c>
      <c r="O37" s="171" t="e">
        <f>INDEX('VPN Bonds'!$D$74:$D$80,MATCH('Value of Debt (listed bonds)'!$B37,'VPN Bonds'!$H$74:$H$80,0))*((INDEX('VPN Bond Prices'!$AG$1:$AN$90,MATCH('Value of Debt (listed bonds)'!O$3,'VPN Bond Prices'!$AG$1:$AG$90,0),MATCH('Value of Debt (listed bonds)'!$B37,'VPN Bond Prices'!$AG$1:$AN$1,0))/100))</f>
        <v>#N/A</v>
      </c>
      <c r="P37" s="171" t="e">
        <f>INDEX('VPN Bonds'!$D$74:$D$80,MATCH('Value of Debt (listed bonds)'!$B37,'VPN Bonds'!$H$74:$H$80,0))*((INDEX('VPN Bond Prices'!$AG$1:$AN$90,MATCH('Value of Debt (listed bonds)'!P$3,'VPN Bond Prices'!$AG$1:$AG$90,0),MATCH('Value of Debt (listed bonds)'!$B37,'VPN Bond Prices'!$AG$1:$AN$1,0))/100))</f>
        <v>#N/A</v>
      </c>
      <c r="Q37" s="171" t="e">
        <f>INDEX('VPN Bonds'!$D$74:$D$80,MATCH('Value of Debt (listed bonds)'!$B37,'VPN Bonds'!$H$74:$H$80,0))*((INDEX('VPN Bond Prices'!$AG$1:$AN$90,MATCH('Value of Debt (listed bonds)'!Q$3,'VPN Bond Prices'!$AG$1:$AG$90,0),MATCH('Value of Debt (listed bonds)'!$B37,'VPN Bond Prices'!$AG$1:$AN$1,0))/100))</f>
        <v>#N/A</v>
      </c>
    </row>
    <row r="38" spans="2:17">
      <c r="B38" s="172" t="s">
        <v>268</v>
      </c>
      <c r="F38" s="171">
        <f>INDEX('VPN Bonds'!$D$74:$D$80,MATCH('Value of Debt (listed bonds)'!$B38,'VPN Bonds'!$H$74:$H$80,0))*((INDEX('VPN Bond Prices'!$AG$1:$AN$90,MATCH('Value of Debt (listed bonds)'!F$3,'VPN Bond Prices'!$AG$1:$AG$90,0),MATCH('Value of Debt (listed bonds)'!$B38,'VPN Bond Prices'!$AG$1:$AN$1,0))/100))</f>
        <v>350211014.99999994</v>
      </c>
      <c r="G38" s="171">
        <f>INDEX('VPN Bonds'!$D$74:$D$80,MATCH('Value of Debt (listed bonds)'!$B38,'VPN Bonds'!$H$74:$H$80,0))*((INDEX('VPN Bond Prices'!$AG$1:$AN$90,MATCH('Value of Debt (listed bonds)'!G$3,'VPN Bond Prices'!$AG$1:$AG$90,0),MATCH('Value of Debt (listed bonds)'!$B38,'VPN Bond Prices'!$AG$1:$AN$1,0))/100))</f>
        <v>0</v>
      </c>
      <c r="H38" s="171">
        <f>INDEX('VPN Bonds'!$D$74:$D$80,MATCH('Value of Debt (listed bonds)'!$B38,'VPN Bonds'!$H$74:$H$80,0))*((INDEX('VPN Bond Prices'!$AG$1:$AN$90,MATCH('Value of Debt (listed bonds)'!H$3,'VPN Bond Prices'!$AG$1:$AG$90,0),MATCH('Value of Debt (listed bonds)'!$B38,'VPN Bond Prices'!$AG$1:$AN$1,0))/100))</f>
        <v>0</v>
      </c>
      <c r="I38" s="171">
        <f>INDEX('VPN Bonds'!$D$74:$D$80,MATCH('Value of Debt (listed bonds)'!$B38,'VPN Bonds'!$H$74:$H$80,0))*((INDEX('VPN Bond Prices'!$AG$1:$AN$90,MATCH('Value of Debt (listed bonds)'!I$3,'VPN Bond Prices'!$AG$1:$AG$90,0),MATCH('Value of Debt (listed bonds)'!$B38,'VPN Bond Prices'!$AG$1:$AN$1,0))/100))</f>
        <v>0</v>
      </c>
      <c r="J38" s="171">
        <f>INDEX('VPN Bonds'!$D$74:$D$80,MATCH('Value of Debt (listed bonds)'!$B38,'VPN Bonds'!$H$74:$H$80,0))*((INDEX('VPN Bond Prices'!$AG$1:$AN$90,MATCH('Value of Debt (listed bonds)'!J$3,'VPN Bond Prices'!$AG$1:$AG$90,0),MATCH('Value of Debt (listed bonds)'!$B38,'VPN Bond Prices'!$AG$1:$AN$1,0))/100))</f>
        <v>0</v>
      </c>
      <c r="K38" s="171" t="e">
        <f>INDEX('VPN Bonds'!$D$74:$D$80,MATCH('Value of Debt (listed bonds)'!$B38,'VPN Bonds'!$H$74:$H$80,0))*((INDEX('VPN Bond Prices'!$AG$1:$AN$90,MATCH('Value of Debt (listed bonds)'!K$3,'VPN Bond Prices'!$AG$1:$AG$90,0),MATCH('Value of Debt (listed bonds)'!$B38,'VPN Bond Prices'!$AG$1:$AN$1,0))/100))</f>
        <v>#N/A</v>
      </c>
      <c r="L38" s="171" t="e">
        <f>INDEX('VPN Bonds'!$D$74:$D$80,MATCH('Value of Debt (listed bonds)'!$B38,'VPN Bonds'!$H$74:$H$80,0))*((INDEX('VPN Bond Prices'!$AG$1:$AN$90,MATCH('Value of Debt (listed bonds)'!L$3,'VPN Bond Prices'!$AG$1:$AG$90,0),MATCH('Value of Debt (listed bonds)'!$B38,'VPN Bond Prices'!$AG$1:$AN$1,0))/100))</f>
        <v>#N/A</v>
      </c>
      <c r="M38" s="171" t="e">
        <f>INDEX('VPN Bonds'!$D$74:$D$80,MATCH('Value of Debt (listed bonds)'!$B38,'VPN Bonds'!$H$74:$H$80,0))*((INDEX('VPN Bond Prices'!$AG$1:$AN$90,MATCH('Value of Debt (listed bonds)'!M$3,'VPN Bond Prices'!$AG$1:$AG$90,0),MATCH('Value of Debt (listed bonds)'!$B38,'VPN Bond Prices'!$AG$1:$AN$1,0))/100))</f>
        <v>#N/A</v>
      </c>
      <c r="N38" s="171" t="e">
        <f>INDEX('VPN Bonds'!$D$74:$D$80,MATCH('Value of Debt (listed bonds)'!$B38,'VPN Bonds'!$H$74:$H$80,0))*((INDEX('VPN Bond Prices'!$AG$1:$AN$90,MATCH('Value of Debt (listed bonds)'!N$3,'VPN Bond Prices'!$AG$1:$AG$90,0),MATCH('Value of Debt (listed bonds)'!$B38,'VPN Bond Prices'!$AG$1:$AN$1,0))/100))</f>
        <v>#N/A</v>
      </c>
      <c r="O38" s="171" t="e">
        <f>INDEX('VPN Bonds'!$D$74:$D$80,MATCH('Value of Debt (listed bonds)'!$B38,'VPN Bonds'!$H$74:$H$80,0))*((INDEX('VPN Bond Prices'!$AG$1:$AN$90,MATCH('Value of Debt (listed bonds)'!O$3,'VPN Bond Prices'!$AG$1:$AG$90,0),MATCH('Value of Debt (listed bonds)'!$B38,'VPN Bond Prices'!$AG$1:$AN$1,0))/100))</f>
        <v>#N/A</v>
      </c>
      <c r="P38" s="171" t="e">
        <f>INDEX('VPN Bonds'!$D$74:$D$80,MATCH('Value of Debt (listed bonds)'!$B38,'VPN Bonds'!$H$74:$H$80,0))*((INDEX('VPN Bond Prices'!$AG$1:$AN$90,MATCH('Value of Debt (listed bonds)'!P$3,'VPN Bond Prices'!$AG$1:$AG$90,0),MATCH('Value of Debt (listed bonds)'!$B38,'VPN Bond Prices'!$AG$1:$AN$1,0))/100))</f>
        <v>#N/A</v>
      </c>
      <c r="Q38" s="171" t="e">
        <f>INDEX('VPN Bonds'!$D$74:$D$80,MATCH('Value of Debt (listed bonds)'!$B38,'VPN Bonds'!$H$74:$H$80,0))*((INDEX('VPN Bond Prices'!$AG$1:$AN$90,MATCH('Value of Debt (listed bonds)'!Q$3,'VPN Bond Prices'!$AG$1:$AG$90,0),MATCH('Value of Debt (listed bonds)'!$B38,'VPN Bond Prices'!$AG$1:$AN$1,0))/100))</f>
        <v>#N/A</v>
      </c>
    </row>
    <row r="39" spans="2:17">
      <c r="B39" s="172" t="s">
        <v>269</v>
      </c>
      <c r="F39" s="171">
        <f>INDEX('VPN Bonds'!$D$74:$D$80,MATCH('Value of Debt (listed bonds)'!$B39,'VPN Bonds'!$H$74:$H$80,0))*((INDEX('VPN Bond Prices'!$AG$1:$AN$90,MATCH('Value of Debt (listed bonds)'!F$3,'VPN Bond Prices'!$AG$1:$AG$90,0),MATCH('Value of Debt (listed bonds)'!$B39,'VPN Bond Prices'!$AG$1:$AN$1,0))/100))</f>
        <v>184540208.00000003</v>
      </c>
      <c r="G39" s="171">
        <f>INDEX('VPN Bonds'!$D$74:$D$80,MATCH('Value of Debt (listed bonds)'!$B39,'VPN Bonds'!$H$74:$H$80,0))*((INDEX('VPN Bond Prices'!$AG$1:$AN$90,MATCH('Value of Debt (listed bonds)'!G$3,'VPN Bond Prices'!$AG$1:$AG$90,0),MATCH('Value of Debt (listed bonds)'!$B39,'VPN Bond Prices'!$AG$1:$AN$1,0))/100))</f>
        <v>187184968</v>
      </c>
      <c r="H39" s="171">
        <f>INDEX('VPN Bonds'!$D$74:$D$80,MATCH('Value of Debt (listed bonds)'!$B39,'VPN Bonds'!$H$74:$H$80,0))*((INDEX('VPN Bond Prices'!$AG$1:$AN$90,MATCH('Value of Debt (listed bonds)'!H$3,'VPN Bond Prices'!$AG$1:$AG$90,0),MATCH('Value of Debt (listed bonds)'!$B39,'VPN Bond Prices'!$AG$1:$AN$1,0))/100))</f>
        <v>193899892</v>
      </c>
      <c r="I39" s="171">
        <f>INDEX('VPN Bonds'!$D$74:$D$80,MATCH('Value of Debt (listed bonds)'!$B39,'VPN Bonds'!$H$74:$H$80,0))*((INDEX('VPN Bond Prices'!$AG$1:$AN$90,MATCH('Value of Debt (listed bonds)'!I$3,'VPN Bond Prices'!$AG$1:$AG$90,0),MATCH('Value of Debt (listed bonds)'!$B39,'VPN Bond Prices'!$AG$1:$AN$1,0))/100))</f>
        <v>197898006</v>
      </c>
      <c r="J39" s="171">
        <f>INDEX('VPN Bonds'!$D$74:$D$80,MATCH('Value of Debt (listed bonds)'!$B39,'VPN Bonds'!$H$74:$H$80,0))*((INDEX('VPN Bond Prices'!$AG$1:$AN$90,MATCH('Value of Debt (listed bonds)'!J$3,'VPN Bond Prices'!$AG$1:$AG$90,0),MATCH('Value of Debt (listed bonds)'!$B39,'VPN Bond Prices'!$AG$1:$AN$1,0))/100))</f>
        <v>199664000</v>
      </c>
      <c r="K39" s="171" t="e">
        <f>INDEX('VPN Bonds'!$D$74:$D$80,MATCH('Value of Debt (listed bonds)'!$B39,'VPN Bonds'!$H$74:$H$80,0))*((INDEX('VPN Bond Prices'!$AG$1:$AN$90,MATCH('Value of Debt (listed bonds)'!K$3,'VPN Bond Prices'!$AG$1:$AG$90,0),MATCH('Value of Debt (listed bonds)'!$B39,'VPN Bond Prices'!$AG$1:$AN$1,0))/100))</f>
        <v>#N/A</v>
      </c>
      <c r="L39" s="171" t="e">
        <f>INDEX('VPN Bonds'!$D$74:$D$80,MATCH('Value of Debt (listed bonds)'!$B39,'VPN Bonds'!$H$74:$H$80,0))*((INDEX('VPN Bond Prices'!$AG$1:$AN$90,MATCH('Value of Debt (listed bonds)'!L$3,'VPN Bond Prices'!$AG$1:$AG$90,0),MATCH('Value of Debt (listed bonds)'!$B39,'VPN Bond Prices'!$AG$1:$AN$1,0))/100))</f>
        <v>#N/A</v>
      </c>
      <c r="M39" s="171" t="e">
        <f>INDEX('VPN Bonds'!$D$74:$D$80,MATCH('Value of Debt (listed bonds)'!$B39,'VPN Bonds'!$H$74:$H$80,0))*((INDEX('VPN Bond Prices'!$AG$1:$AN$90,MATCH('Value of Debt (listed bonds)'!M$3,'VPN Bond Prices'!$AG$1:$AG$90,0),MATCH('Value of Debt (listed bonds)'!$B39,'VPN Bond Prices'!$AG$1:$AN$1,0))/100))</f>
        <v>#N/A</v>
      </c>
      <c r="N39" s="171" t="e">
        <f>INDEX('VPN Bonds'!$D$74:$D$80,MATCH('Value of Debt (listed bonds)'!$B39,'VPN Bonds'!$H$74:$H$80,0))*((INDEX('VPN Bond Prices'!$AG$1:$AN$90,MATCH('Value of Debt (listed bonds)'!N$3,'VPN Bond Prices'!$AG$1:$AG$90,0),MATCH('Value of Debt (listed bonds)'!$B39,'VPN Bond Prices'!$AG$1:$AN$1,0))/100))</f>
        <v>#N/A</v>
      </c>
      <c r="O39" s="171" t="e">
        <f>INDEX('VPN Bonds'!$D$74:$D$80,MATCH('Value of Debt (listed bonds)'!$B39,'VPN Bonds'!$H$74:$H$80,0))*((INDEX('VPN Bond Prices'!$AG$1:$AN$90,MATCH('Value of Debt (listed bonds)'!O$3,'VPN Bond Prices'!$AG$1:$AG$90,0),MATCH('Value of Debt (listed bonds)'!$B39,'VPN Bond Prices'!$AG$1:$AN$1,0))/100))</f>
        <v>#N/A</v>
      </c>
      <c r="P39" s="171" t="e">
        <f>INDEX('VPN Bonds'!$D$74:$D$80,MATCH('Value of Debt (listed bonds)'!$B39,'VPN Bonds'!$H$74:$H$80,0))*((INDEX('VPN Bond Prices'!$AG$1:$AN$90,MATCH('Value of Debt (listed bonds)'!P$3,'VPN Bond Prices'!$AG$1:$AG$90,0),MATCH('Value of Debt (listed bonds)'!$B39,'VPN Bond Prices'!$AG$1:$AN$1,0))/100))</f>
        <v>#N/A</v>
      </c>
      <c r="Q39" s="171" t="e">
        <f>INDEX('VPN Bonds'!$D$74:$D$80,MATCH('Value of Debt (listed bonds)'!$B39,'VPN Bonds'!$H$74:$H$80,0))*((INDEX('VPN Bond Prices'!$AG$1:$AN$90,MATCH('Value of Debt (listed bonds)'!Q$3,'VPN Bond Prices'!$AG$1:$AG$90,0),MATCH('Value of Debt (listed bonds)'!$B39,'VPN Bond Prices'!$AG$1:$AN$1,0))/100))</f>
        <v>#N/A</v>
      </c>
    </row>
    <row r="40" spans="2:17">
      <c r="B40" s="172" t="s">
        <v>270</v>
      </c>
      <c r="F40" s="171">
        <f>INDEX('VPN Bonds'!$D$74:$D$80,MATCH('Value of Debt (listed bonds)'!$B40,'VPN Bonds'!$H$74:$H$80,0))*((INDEX('VPN Bond Prices'!$AG$1:$AN$90,MATCH('Value of Debt (listed bonds)'!F$3,'VPN Bond Prices'!$AG$1:$AG$90,0),MATCH('Value of Debt (listed bonds)'!$B40,'VPN Bond Prices'!$AG$1:$AN$1,0))/100))</f>
        <v>0</v>
      </c>
      <c r="G40" s="171">
        <f>INDEX('VPN Bonds'!$D$74:$D$80,MATCH('Value of Debt (listed bonds)'!$B40,'VPN Bonds'!$H$74:$H$80,0))*((INDEX('VPN Bond Prices'!$AG$1:$AN$90,MATCH('Value of Debt (listed bonds)'!G$3,'VPN Bond Prices'!$AG$1:$AG$90,0),MATCH('Value of Debt (listed bonds)'!$B40,'VPN Bond Prices'!$AG$1:$AN$1,0))/100))</f>
        <v>0</v>
      </c>
      <c r="H40" s="171">
        <f>INDEX('VPN Bonds'!$D$74:$D$80,MATCH('Value of Debt (listed bonds)'!$B40,'VPN Bonds'!$H$74:$H$80,0))*((INDEX('VPN Bond Prices'!$AG$1:$AN$90,MATCH('Value of Debt (listed bonds)'!H$3,'VPN Bond Prices'!$AG$1:$AG$90,0),MATCH('Value of Debt (listed bonds)'!$B40,'VPN Bond Prices'!$AG$1:$AN$1,0))/100))</f>
        <v>150086118</v>
      </c>
      <c r="I40" s="171">
        <f>INDEX('VPN Bonds'!$D$74:$D$80,MATCH('Value of Debt (listed bonds)'!$B40,'VPN Bonds'!$H$74:$H$80,0))*((INDEX('VPN Bond Prices'!$AG$1:$AN$90,MATCH('Value of Debt (listed bonds)'!I$3,'VPN Bond Prices'!$AG$1:$AG$90,0),MATCH('Value of Debt (listed bonds)'!$B40,'VPN Bond Prices'!$AG$1:$AN$1,0))/100))</f>
        <v>150232185</v>
      </c>
      <c r="J40" s="171">
        <f>INDEX('VPN Bonds'!$D$74:$D$80,MATCH('Value of Debt (listed bonds)'!$B40,'VPN Bonds'!$H$74:$H$80,0))*((INDEX('VPN Bond Prices'!$AG$1:$AN$90,MATCH('Value of Debt (listed bonds)'!J$3,'VPN Bond Prices'!$AG$1:$AG$90,0),MATCH('Value of Debt (listed bonds)'!$B40,'VPN Bond Prices'!$AG$1:$AN$1,0))/100))</f>
        <v>150120000</v>
      </c>
      <c r="K40" s="171" t="e">
        <f>INDEX('VPN Bonds'!$D$74:$D$80,MATCH('Value of Debt (listed bonds)'!$B40,'VPN Bonds'!$H$74:$H$80,0))*((INDEX('VPN Bond Prices'!$AG$1:$AN$90,MATCH('Value of Debt (listed bonds)'!K$3,'VPN Bond Prices'!$AG$1:$AG$90,0),MATCH('Value of Debt (listed bonds)'!$B40,'VPN Bond Prices'!$AG$1:$AN$1,0))/100))</f>
        <v>#N/A</v>
      </c>
      <c r="L40" s="171" t="e">
        <f>INDEX('VPN Bonds'!$D$74:$D$80,MATCH('Value of Debt (listed bonds)'!$B40,'VPN Bonds'!$H$74:$H$80,0))*((INDEX('VPN Bond Prices'!$AG$1:$AN$90,MATCH('Value of Debt (listed bonds)'!L$3,'VPN Bond Prices'!$AG$1:$AG$90,0),MATCH('Value of Debt (listed bonds)'!$B40,'VPN Bond Prices'!$AG$1:$AN$1,0))/100))</f>
        <v>#N/A</v>
      </c>
      <c r="M40" s="171" t="e">
        <f>INDEX('VPN Bonds'!$D$74:$D$80,MATCH('Value of Debt (listed bonds)'!$B40,'VPN Bonds'!$H$74:$H$80,0))*((INDEX('VPN Bond Prices'!$AG$1:$AN$90,MATCH('Value of Debt (listed bonds)'!M$3,'VPN Bond Prices'!$AG$1:$AG$90,0),MATCH('Value of Debt (listed bonds)'!$B40,'VPN Bond Prices'!$AG$1:$AN$1,0))/100))</f>
        <v>#N/A</v>
      </c>
      <c r="N40" s="171" t="e">
        <f>INDEX('VPN Bonds'!$D$74:$D$80,MATCH('Value of Debt (listed bonds)'!$B40,'VPN Bonds'!$H$74:$H$80,0))*((INDEX('VPN Bond Prices'!$AG$1:$AN$90,MATCH('Value of Debt (listed bonds)'!N$3,'VPN Bond Prices'!$AG$1:$AG$90,0),MATCH('Value of Debt (listed bonds)'!$B40,'VPN Bond Prices'!$AG$1:$AN$1,0))/100))</f>
        <v>#N/A</v>
      </c>
      <c r="O40" s="171" t="e">
        <f>INDEX('VPN Bonds'!$D$74:$D$80,MATCH('Value of Debt (listed bonds)'!$B40,'VPN Bonds'!$H$74:$H$80,0))*((INDEX('VPN Bond Prices'!$AG$1:$AN$90,MATCH('Value of Debt (listed bonds)'!O$3,'VPN Bond Prices'!$AG$1:$AG$90,0),MATCH('Value of Debt (listed bonds)'!$B40,'VPN Bond Prices'!$AG$1:$AN$1,0))/100))</f>
        <v>#N/A</v>
      </c>
      <c r="P40" s="171" t="e">
        <f>INDEX('VPN Bonds'!$D$74:$D$80,MATCH('Value of Debt (listed bonds)'!$B40,'VPN Bonds'!$H$74:$H$80,0))*((INDEX('VPN Bond Prices'!$AG$1:$AN$90,MATCH('Value of Debt (listed bonds)'!P$3,'VPN Bond Prices'!$AG$1:$AG$90,0),MATCH('Value of Debt (listed bonds)'!$B40,'VPN Bond Prices'!$AG$1:$AN$1,0))/100))</f>
        <v>#N/A</v>
      </c>
      <c r="Q40" s="171" t="e">
        <f>INDEX('VPN Bonds'!$D$74:$D$80,MATCH('Value of Debt (listed bonds)'!$B40,'VPN Bonds'!$H$74:$H$80,0))*((INDEX('VPN Bond Prices'!$AG$1:$AN$90,MATCH('Value of Debt (listed bonds)'!Q$3,'VPN Bond Prices'!$AG$1:$AG$90,0),MATCH('Value of Debt (listed bonds)'!$B40,'VPN Bond Prices'!$AG$1:$AN$1,0))/100))</f>
        <v>#N/A</v>
      </c>
    </row>
    <row r="41" spans="2:17">
      <c r="B41" s="172" t="s">
        <v>271</v>
      </c>
      <c r="F41" s="171">
        <f>INDEX('VPN Bonds'!$D$74:$D$80,MATCH('Value of Debt (listed bonds)'!$B41,'VPN Bonds'!$H$74:$H$80,0))*((INDEX('VPN Bond Prices'!$AG$1:$AN$90,MATCH('Value of Debt (listed bonds)'!F$3,'VPN Bond Prices'!$AG$1:$AG$90,0),MATCH('Value of Debt (listed bonds)'!$B41,'VPN Bond Prices'!$AG$1:$AN$1,0))/100))</f>
        <v>0</v>
      </c>
      <c r="G41" s="171">
        <f>INDEX('VPN Bonds'!$D$74:$D$80,MATCH('Value of Debt (listed bonds)'!$B41,'VPN Bonds'!$H$74:$H$80,0))*((INDEX('VPN Bond Prices'!$AG$1:$AN$90,MATCH('Value of Debt (listed bonds)'!G$3,'VPN Bond Prices'!$AG$1:$AG$90,0),MATCH('Value of Debt (listed bonds)'!$B41,'VPN Bond Prices'!$AG$1:$AN$1,0))/100))</f>
        <v>0</v>
      </c>
      <c r="H41" s="171">
        <f>INDEX('VPN Bonds'!$D$74:$D$80,MATCH('Value of Debt (listed bonds)'!$B41,'VPN Bonds'!$H$74:$H$80,0))*((INDEX('VPN Bond Prices'!$AG$1:$AN$90,MATCH('Value of Debt (listed bonds)'!H$3,'VPN Bond Prices'!$AG$1:$AG$90,0),MATCH('Value of Debt (listed bonds)'!$B41,'VPN Bond Prices'!$AG$1:$AN$1,0))/100))</f>
        <v>0</v>
      </c>
      <c r="I41" s="171">
        <f>INDEX('VPN Bonds'!$D$74:$D$80,MATCH('Value of Debt (listed bonds)'!$B41,'VPN Bonds'!$H$74:$H$80,0))*((INDEX('VPN Bond Prices'!$AG$1:$AN$90,MATCH('Value of Debt (listed bonds)'!I$3,'VPN Bond Prices'!$AG$1:$AG$90,0),MATCH('Value of Debt (listed bonds)'!$B41,'VPN Bond Prices'!$AG$1:$AN$1,0))/100))</f>
        <v>0</v>
      </c>
      <c r="J41" s="171">
        <f>INDEX('VPN Bonds'!$D$74:$D$80,MATCH('Value of Debt (listed bonds)'!$B41,'VPN Bonds'!$H$74:$H$80,0))*((INDEX('VPN Bond Prices'!$AG$1:$AN$90,MATCH('Value of Debt (listed bonds)'!J$3,'VPN Bond Prices'!$AG$1:$AG$90,0),MATCH('Value of Debt (listed bonds)'!$B41,'VPN Bond Prices'!$AG$1:$AN$1,0))/100))</f>
        <v>0</v>
      </c>
      <c r="K41" s="171" t="e">
        <f>INDEX('VPN Bonds'!$D$74:$D$80,MATCH('Value of Debt (listed bonds)'!$B41,'VPN Bonds'!$H$74:$H$80,0))*((INDEX('VPN Bond Prices'!$AG$1:$AN$90,MATCH('Value of Debt (listed bonds)'!K$3,'VPN Bond Prices'!$AG$1:$AG$90,0),MATCH('Value of Debt (listed bonds)'!$B41,'VPN Bond Prices'!$AG$1:$AN$1,0))/100))</f>
        <v>#N/A</v>
      </c>
      <c r="L41" s="171" t="e">
        <f>INDEX('VPN Bonds'!$D$74:$D$80,MATCH('Value of Debt (listed bonds)'!$B41,'VPN Bonds'!$H$74:$H$80,0))*((INDEX('VPN Bond Prices'!$AG$1:$AN$90,MATCH('Value of Debt (listed bonds)'!L$3,'VPN Bond Prices'!$AG$1:$AG$90,0),MATCH('Value of Debt (listed bonds)'!$B41,'VPN Bond Prices'!$AG$1:$AN$1,0))/100))</f>
        <v>#N/A</v>
      </c>
      <c r="M41" s="171" t="e">
        <f>INDEX('VPN Bonds'!$D$74:$D$80,MATCH('Value of Debt (listed bonds)'!$B41,'VPN Bonds'!$H$74:$H$80,0))*((INDEX('VPN Bond Prices'!$AG$1:$AN$90,MATCH('Value of Debt (listed bonds)'!M$3,'VPN Bond Prices'!$AG$1:$AG$90,0),MATCH('Value of Debt (listed bonds)'!$B41,'VPN Bond Prices'!$AG$1:$AN$1,0))/100))</f>
        <v>#N/A</v>
      </c>
      <c r="N41" s="171" t="e">
        <f>INDEX('VPN Bonds'!$D$74:$D$80,MATCH('Value of Debt (listed bonds)'!$B41,'VPN Bonds'!$H$74:$H$80,0))*((INDEX('VPN Bond Prices'!$AG$1:$AN$90,MATCH('Value of Debt (listed bonds)'!N$3,'VPN Bond Prices'!$AG$1:$AG$90,0),MATCH('Value of Debt (listed bonds)'!$B41,'VPN Bond Prices'!$AG$1:$AN$1,0))/100))</f>
        <v>#N/A</v>
      </c>
      <c r="O41" s="171" t="e">
        <f>INDEX('VPN Bonds'!$D$74:$D$80,MATCH('Value of Debt (listed bonds)'!$B41,'VPN Bonds'!$H$74:$H$80,0))*((INDEX('VPN Bond Prices'!$AG$1:$AN$90,MATCH('Value of Debt (listed bonds)'!O$3,'VPN Bond Prices'!$AG$1:$AG$90,0),MATCH('Value of Debt (listed bonds)'!$B41,'VPN Bond Prices'!$AG$1:$AN$1,0))/100))</f>
        <v>#N/A</v>
      </c>
      <c r="P41" s="171" t="e">
        <f>INDEX('VPN Bonds'!$D$74:$D$80,MATCH('Value of Debt (listed bonds)'!$B41,'VPN Bonds'!$H$74:$H$80,0))*((INDEX('VPN Bond Prices'!$AG$1:$AN$90,MATCH('Value of Debt (listed bonds)'!P$3,'VPN Bond Prices'!$AG$1:$AG$90,0),MATCH('Value of Debt (listed bonds)'!$B41,'VPN Bond Prices'!$AG$1:$AN$1,0))/100))</f>
        <v>#N/A</v>
      </c>
      <c r="Q41" s="171" t="e">
        <f>INDEX('VPN Bonds'!$D$74:$D$80,MATCH('Value of Debt (listed bonds)'!$B41,'VPN Bonds'!$H$74:$H$80,0))*((INDEX('VPN Bond Prices'!$AG$1:$AN$90,MATCH('Value of Debt (listed bonds)'!Q$3,'VPN Bond Prices'!$AG$1:$AG$90,0),MATCH('Value of Debt (listed bonds)'!$B41,'VPN Bond Prices'!$AG$1:$AN$1,0))/100))</f>
        <v>#N/A</v>
      </c>
    </row>
    <row r="43" spans="2:17">
      <c r="F43" s="171">
        <f>SUM(F23:F33)+SUM(F35:F41)</f>
        <v>1582342189.4000001</v>
      </c>
      <c r="G43" s="171">
        <f t="shared" ref="G43:J43" si="0">SUM(G23:G33)+SUM(G35:G41)</f>
        <v>1243178105.2</v>
      </c>
      <c r="H43" s="171">
        <f t="shared" si="0"/>
        <v>1123293389.2</v>
      </c>
      <c r="I43" s="171">
        <f t="shared" si="0"/>
        <v>1295938480.5</v>
      </c>
      <c r="J43" s="171">
        <f t="shared" si="0"/>
        <v>1310580050</v>
      </c>
      <c r="K43" s="171">
        <f>SUM(K23:K33)</f>
        <v>976522500</v>
      </c>
      <c r="L43" s="171">
        <f t="shared" ref="L43:Q43" si="1">SUM(L8:L33)</f>
        <v>1411588174.0517001</v>
      </c>
      <c r="M43" s="171">
        <f t="shared" si="1"/>
        <v>1999027593.3399301</v>
      </c>
      <c r="N43" s="171">
        <f t="shared" si="1"/>
        <v>1937027574.25226</v>
      </c>
      <c r="O43" s="171">
        <f t="shared" si="1"/>
        <v>1989075900.37534</v>
      </c>
      <c r="P43" s="171">
        <f t="shared" si="1"/>
        <v>3276113774.1235299</v>
      </c>
      <c r="Q43" s="171">
        <f t="shared" si="1"/>
        <v>3217105753.7643003</v>
      </c>
    </row>
    <row r="44" spans="2:17">
      <c r="F44" s="8"/>
      <c r="G44" s="8"/>
      <c r="H44" s="8"/>
      <c r="I44" s="8"/>
      <c r="J44" s="8"/>
      <c r="K44" s="8"/>
      <c r="L44" s="8"/>
      <c r="M44" s="8"/>
      <c r="N44" s="8"/>
      <c r="O44" s="8"/>
      <c r="P44" s="8"/>
    </row>
    <row r="45" spans="2:17">
      <c r="B45" s="1" t="s">
        <v>272</v>
      </c>
      <c r="F45" s="8"/>
      <c r="G45" s="8"/>
      <c r="H45" s="8"/>
      <c r="I45" s="8"/>
      <c r="J45" s="8"/>
      <c r="K45" s="8"/>
      <c r="L45" s="8"/>
      <c r="M45" s="8"/>
      <c r="N45" s="8"/>
      <c r="O45" s="8"/>
      <c r="P45" s="8"/>
    </row>
    <row r="46" spans="2:17">
      <c r="F46" s="8"/>
      <c r="G46" s="8"/>
      <c r="H46" s="8"/>
      <c r="I46" s="8"/>
      <c r="J46" s="8"/>
      <c r="K46" s="8"/>
      <c r="L46" s="8"/>
      <c r="M46" s="8"/>
      <c r="N46" s="8"/>
      <c r="O46" s="8"/>
      <c r="P46" s="8"/>
    </row>
    <row r="47" spans="2:17">
      <c r="F47" s="8"/>
      <c r="G47" s="8"/>
      <c r="H47" s="8"/>
      <c r="I47" s="8"/>
      <c r="J47" s="8"/>
      <c r="K47" s="8"/>
      <c r="L47" s="8"/>
      <c r="M47" s="8"/>
      <c r="N47" s="8"/>
      <c r="O47" s="8"/>
      <c r="P47" s="8"/>
    </row>
    <row r="48" spans="2:17">
      <c r="F48" s="8"/>
      <c r="G48" s="8"/>
      <c r="H48" s="8"/>
      <c r="I48" s="8"/>
      <c r="J48" s="8"/>
      <c r="K48" s="8"/>
      <c r="L48" s="8"/>
      <c r="M48" s="8"/>
      <c r="N48" s="8"/>
      <c r="O48" s="8"/>
      <c r="P48" s="8"/>
    </row>
    <row r="50" spans="2:17">
      <c r="B50" s="5" t="s">
        <v>43</v>
      </c>
    </row>
    <row r="52" spans="2:17">
      <c r="B52" s="1" t="s">
        <v>241</v>
      </c>
    </row>
    <row r="54" spans="2:17">
      <c r="B54" s="172" t="s">
        <v>273</v>
      </c>
      <c r="F54" s="171" t="e">
        <f>INDEX('Transgrid Bonds'!$E$23:$E$24,MATCH('Value of Debt (listed bonds)'!$B54,'Transgrid Bonds'!$J$23:$J$24,0))*((INDEX('Transgrid Bonds Prices'!$B$1:$D$21,MATCH('Value of Debt (listed bonds)'!F$3,'Transgrid Bonds Prices'!$B$1:$B$21,0),MATCH('Value of Debt (listed bonds)'!$B54,'Transgrid Bonds Prices'!$B$1:$D$1,0))/100))</f>
        <v>#N/A</v>
      </c>
      <c r="G54" s="171" t="e">
        <f>INDEX('Transgrid Bonds'!$E$23:$E$24,MATCH('Value of Debt (listed bonds)'!$B54,'Transgrid Bonds'!$J$23:$J$24,0))*((INDEX('Transgrid Bonds Prices'!$B$1:$D$21,MATCH('Value of Debt (listed bonds)'!G$3,'Transgrid Bonds Prices'!$B$1:$B$21,0),MATCH('Value of Debt (listed bonds)'!$B54,'Transgrid Bonds Prices'!$B$1:$D$1,0))/100))</f>
        <v>#N/A</v>
      </c>
      <c r="H54" s="171" t="e">
        <f>INDEX('Transgrid Bonds'!$E$23:$E$24,MATCH('Value of Debt (listed bonds)'!$B54,'Transgrid Bonds'!$J$23:$J$24,0))*((INDEX('Transgrid Bonds Prices'!$B$1:$D$21,MATCH('Value of Debt (listed bonds)'!H$3,'Transgrid Bonds Prices'!$B$1:$B$21,0),MATCH('Value of Debt (listed bonds)'!$B54,'Transgrid Bonds Prices'!$B$1:$D$1,0))/100))</f>
        <v>#N/A</v>
      </c>
      <c r="I54" s="171" t="e">
        <f>INDEX('Transgrid Bonds'!$E$23:$E$24,MATCH('Value of Debt (listed bonds)'!$B54,'Transgrid Bonds'!$J$23:$J$24,0))*((INDEX('Transgrid Bonds Prices'!$B$1:$D$21,MATCH('Value of Debt (listed bonds)'!I$3,'Transgrid Bonds Prices'!$B$1:$B$21,0),MATCH('Value of Debt (listed bonds)'!$B54,'Transgrid Bonds Prices'!$B$1:$D$1,0))/100))</f>
        <v>#N/A</v>
      </c>
      <c r="J54" s="171" t="e">
        <f>INDEX('Transgrid Bonds'!$E$23:$E$24,MATCH('Value of Debt (listed bonds)'!$B54,'Transgrid Bonds'!$J$23:$J$24,0))*((INDEX('Transgrid Bonds Prices'!$B$1:$D$21,MATCH('Value of Debt (listed bonds)'!J$3,'Transgrid Bonds Prices'!$B$1:$B$21,0),MATCH('Value of Debt (listed bonds)'!$B54,'Transgrid Bonds Prices'!$B$1:$D$1,0))/100))</f>
        <v>#N/A</v>
      </c>
      <c r="K54" s="171" t="e">
        <f>INDEX('Transgrid Bonds'!$E$23:$E$24,MATCH('Value of Debt (listed bonds)'!$B54,'Transgrid Bonds'!$J$23:$J$24,0))*((INDEX('Transgrid Bonds Prices'!$B$1:$D$21,MATCH('Value of Debt (listed bonds)'!K$3,'Transgrid Bonds Prices'!$B$1:$B$21,0),MATCH('Value of Debt (listed bonds)'!$B54,'Transgrid Bonds Prices'!$B$1:$D$1,0))/100))</f>
        <v>#N/A</v>
      </c>
      <c r="L54" s="171" t="e">
        <f>INDEX('Transgrid Bonds'!$E$23:$E$24,MATCH('Value of Debt (listed bonds)'!$B54,'Transgrid Bonds'!$J$23:$J$24,0))*((INDEX('Transgrid Bonds Prices'!$B$1:$D$21,MATCH('Value of Debt (listed bonds)'!L$3,'Transgrid Bonds Prices'!$B$1:$B$21,0),MATCH('Value of Debt (listed bonds)'!$B54,'Transgrid Bonds Prices'!$B$1:$D$1,0))/100))</f>
        <v>#N/A</v>
      </c>
      <c r="M54" s="171" t="e">
        <f>INDEX('Transgrid Bonds'!$E$23:$E$24,MATCH('Value of Debt (listed bonds)'!$B54,'Transgrid Bonds'!$J$23:$J$24,0))*((INDEX('Transgrid Bonds Prices'!$B$1:$D$21,MATCH('Value of Debt (listed bonds)'!M$3,'Transgrid Bonds Prices'!$B$1:$B$21,0),MATCH('Value of Debt (listed bonds)'!$B54,'Transgrid Bonds Prices'!$B$1:$D$1,0))/100))</f>
        <v>#N/A</v>
      </c>
      <c r="N54" s="171" t="e">
        <f>INDEX('Transgrid Bonds'!$E$23:$E$24,MATCH('Value of Debt (listed bonds)'!$B54,'Transgrid Bonds'!$J$23:$J$24,0))*((INDEX('Transgrid Bonds Prices'!$B$1:$D$21,MATCH('Value of Debt (listed bonds)'!N$3,'Transgrid Bonds Prices'!$B$1:$B$21,0),MATCH('Value of Debt (listed bonds)'!$B54,'Transgrid Bonds Prices'!$B$1:$D$1,0))/100))</f>
        <v>#N/A</v>
      </c>
      <c r="O54" s="171" t="e">
        <f>INDEX('Transgrid Bonds'!$E$23:$E$24,MATCH('Value of Debt (listed bonds)'!$B54,'Transgrid Bonds'!$J$23:$J$24,0))*((INDEX('Transgrid Bonds Prices'!$B$1:$D$21,MATCH('Value of Debt (listed bonds)'!O$3,'Transgrid Bonds Prices'!$B$1:$B$21,0),MATCH('Value of Debt (listed bonds)'!$B54,'Transgrid Bonds Prices'!$B$1:$D$1,0))/100))</f>
        <v>#N/A</v>
      </c>
      <c r="P54" s="171">
        <f>INDEX('Transgrid Bonds'!$E$23:$E$24,MATCH('Value of Debt (listed bonds)'!$B54,'Transgrid Bonds'!$J$23:$J$24,0))*((INDEX('Transgrid Bonds Prices'!$B$1:$D$21,MATCH('Value of Debt (listed bonds)'!P$3,'Transgrid Bonds Prices'!$B$1:$B$21,0),MATCH('Value of Debt (listed bonds)'!$B54,'Transgrid Bonds Prices'!$B$1:$D$1,0))/100))</f>
        <v>302673000</v>
      </c>
      <c r="Q54" s="171">
        <f>INDEX('Transgrid Bonds'!$E$23:$E$24,MATCH('Value of Debt (listed bonds)'!$B54,'Transgrid Bonds'!$J$23:$J$24,0))*((INDEX('Transgrid Bonds Prices'!$B$1:$D$21,MATCH('Value of Debt (listed bonds)'!Q$3,'Transgrid Bonds Prices'!$B$1:$B$21,0),MATCH('Value of Debt (listed bonds)'!$B54,'Transgrid Bonds Prices'!$B$1:$D$1,0))/100))</f>
        <v>290685000</v>
      </c>
    </row>
    <row r="55" spans="2:17">
      <c r="B55" s="172" t="s">
        <v>274</v>
      </c>
      <c r="F55" s="171" t="e">
        <f>INDEX('Transgrid Bonds'!$E$23:$E$24,MATCH('Value of Debt (listed bonds)'!$B55,'Transgrid Bonds'!$J$23:$J$24,0))*((INDEX('Transgrid Bonds Prices'!$B$1:$D$21,MATCH('Value of Debt (listed bonds)'!F$3,'Transgrid Bonds Prices'!$B$1:$B$21,0),MATCH('Value of Debt (listed bonds)'!$B55,'Transgrid Bonds Prices'!$B$1:$D$1,0))/100))</f>
        <v>#N/A</v>
      </c>
      <c r="G55" s="171" t="e">
        <f>INDEX('Transgrid Bonds'!$E$23:$E$24,MATCH('Value of Debt (listed bonds)'!$B55,'Transgrid Bonds'!$J$23:$J$24,0))*((INDEX('Transgrid Bonds Prices'!$B$1:$D$21,MATCH('Value of Debt (listed bonds)'!G$3,'Transgrid Bonds Prices'!$B$1:$B$21,0),MATCH('Value of Debt (listed bonds)'!$B55,'Transgrid Bonds Prices'!$B$1:$D$1,0))/100))</f>
        <v>#N/A</v>
      </c>
      <c r="H55" s="171" t="e">
        <f>INDEX('Transgrid Bonds'!$E$23:$E$24,MATCH('Value of Debt (listed bonds)'!$B55,'Transgrid Bonds'!$J$23:$J$24,0))*((INDEX('Transgrid Bonds Prices'!$B$1:$D$21,MATCH('Value of Debt (listed bonds)'!H$3,'Transgrid Bonds Prices'!$B$1:$B$21,0),MATCH('Value of Debt (listed bonds)'!$B55,'Transgrid Bonds Prices'!$B$1:$D$1,0))/100))</f>
        <v>#N/A</v>
      </c>
      <c r="I55" s="171" t="e">
        <f>INDEX('Transgrid Bonds'!$E$23:$E$24,MATCH('Value of Debt (listed bonds)'!$B55,'Transgrid Bonds'!$J$23:$J$24,0))*((INDEX('Transgrid Bonds Prices'!$B$1:$D$21,MATCH('Value of Debt (listed bonds)'!I$3,'Transgrid Bonds Prices'!$B$1:$B$21,0),MATCH('Value of Debt (listed bonds)'!$B55,'Transgrid Bonds Prices'!$B$1:$D$1,0))/100))</f>
        <v>#N/A</v>
      </c>
      <c r="J55" s="171" t="e">
        <f>INDEX('Transgrid Bonds'!$E$23:$E$24,MATCH('Value of Debt (listed bonds)'!$B55,'Transgrid Bonds'!$J$23:$J$24,0))*((INDEX('Transgrid Bonds Prices'!$B$1:$D$21,MATCH('Value of Debt (listed bonds)'!J$3,'Transgrid Bonds Prices'!$B$1:$B$21,0),MATCH('Value of Debt (listed bonds)'!$B55,'Transgrid Bonds Prices'!$B$1:$D$1,0))/100))</f>
        <v>#N/A</v>
      </c>
      <c r="K55" s="171" t="e">
        <f>INDEX('Transgrid Bonds'!$E$23:$E$24,MATCH('Value of Debt (listed bonds)'!$B55,'Transgrid Bonds'!$J$23:$J$24,0))*((INDEX('Transgrid Bonds Prices'!$B$1:$D$21,MATCH('Value of Debt (listed bonds)'!K$3,'Transgrid Bonds Prices'!$B$1:$B$21,0),MATCH('Value of Debt (listed bonds)'!$B55,'Transgrid Bonds Prices'!$B$1:$D$1,0))/100))</f>
        <v>#N/A</v>
      </c>
      <c r="L55" s="171" t="e">
        <f>INDEX('Transgrid Bonds'!$E$23:$E$24,MATCH('Value of Debt (listed bonds)'!$B55,'Transgrid Bonds'!$J$23:$J$24,0))*((INDEX('Transgrid Bonds Prices'!$B$1:$D$21,MATCH('Value of Debt (listed bonds)'!L$3,'Transgrid Bonds Prices'!$B$1:$B$21,0),MATCH('Value of Debt (listed bonds)'!$B55,'Transgrid Bonds Prices'!$B$1:$D$1,0))/100))</f>
        <v>#N/A</v>
      </c>
      <c r="M55" s="171" t="e">
        <f>INDEX('Transgrid Bonds'!$E$23:$E$24,MATCH('Value of Debt (listed bonds)'!$B55,'Transgrid Bonds'!$J$23:$J$24,0))*((INDEX('Transgrid Bonds Prices'!$B$1:$D$21,MATCH('Value of Debt (listed bonds)'!M$3,'Transgrid Bonds Prices'!$B$1:$B$21,0),MATCH('Value of Debt (listed bonds)'!$B55,'Transgrid Bonds Prices'!$B$1:$D$1,0))/100))</f>
        <v>#N/A</v>
      </c>
      <c r="N55" s="171" t="e">
        <f>INDEX('Transgrid Bonds'!$E$23:$E$24,MATCH('Value of Debt (listed bonds)'!$B55,'Transgrid Bonds'!$J$23:$J$24,0))*((INDEX('Transgrid Bonds Prices'!$B$1:$D$21,MATCH('Value of Debt (listed bonds)'!N$3,'Transgrid Bonds Prices'!$B$1:$B$21,0),MATCH('Value of Debt (listed bonds)'!$B55,'Transgrid Bonds Prices'!$B$1:$D$1,0))/100))</f>
        <v>#N/A</v>
      </c>
      <c r="O55" s="171" t="e">
        <f>INDEX('Transgrid Bonds'!$E$23:$E$24,MATCH('Value of Debt (listed bonds)'!$B55,'Transgrid Bonds'!$J$23:$J$24,0))*((INDEX('Transgrid Bonds Prices'!$B$1:$D$21,MATCH('Value of Debt (listed bonds)'!O$3,'Transgrid Bonds Prices'!$B$1:$B$21,0),MATCH('Value of Debt (listed bonds)'!$B55,'Transgrid Bonds Prices'!$B$1:$D$1,0))/100))</f>
        <v>#N/A</v>
      </c>
      <c r="P55" s="171">
        <f>INDEX('Transgrid Bonds'!$E$23:$E$24,MATCH('Value of Debt (listed bonds)'!$B55,'Transgrid Bonds'!$J$23:$J$24,0))*((INDEX('Transgrid Bonds Prices'!$B$1:$D$21,MATCH('Value of Debt (listed bonds)'!P$3,'Transgrid Bonds Prices'!$B$1:$B$21,0),MATCH('Value of Debt (listed bonds)'!$B55,'Transgrid Bonds Prices'!$B$1:$D$1,0))/100))</f>
        <v>581802000</v>
      </c>
      <c r="Q55" s="171">
        <f>INDEX('Transgrid Bonds'!$E$23:$E$24,MATCH('Value of Debt (listed bonds)'!$B55,'Transgrid Bonds'!$J$23:$J$24,0))*((INDEX('Transgrid Bonds Prices'!$B$1:$D$21,MATCH('Value of Debt (listed bonds)'!Q$3,'Transgrid Bonds Prices'!$B$1:$B$21,0),MATCH('Value of Debt (listed bonds)'!$B55,'Transgrid Bonds Prices'!$B$1:$D$1,0))/100))</f>
        <v>556902000</v>
      </c>
    </row>
    <row r="56" spans="2:17" ht="14.75">
      <c r="B56" s="92"/>
    </row>
    <row r="57" spans="2:17" ht="14.75">
      <c r="B57" s="92"/>
      <c r="P57" s="171">
        <f>SUM(P54:P55)</f>
        <v>884475000</v>
      </c>
      <c r="Q57" s="171">
        <f>SUM(Q54:Q55)</f>
        <v>847587000</v>
      </c>
    </row>
    <row r="59" spans="2:17">
      <c r="B59" s="1" t="s">
        <v>272</v>
      </c>
    </row>
    <row r="61" spans="2:17" ht="14.75">
      <c r="B61" s="92" t="s">
        <v>275</v>
      </c>
      <c r="P61" s="183">
        <f>'Transgrid Bonds'!C28</f>
        <v>600000000</v>
      </c>
      <c r="Q61" s="183">
        <f>'Transgrid Bonds'!C28</f>
        <v>600000000</v>
      </c>
    </row>
    <row r="62" spans="2:17" ht="14.75">
      <c r="B62" s="92" t="s">
        <v>276</v>
      </c>
      <c r="P62" s="183">
        <f>'Transgrid Bonds'!C29</f>
        <v>200000000</v>
      </c>
      <c r="Q62" s="183">
        <f>'Transgrid Bonds'!C29</f>
        <v>200000000</v>
      </c>
    </row>
    <row r="63" spans="2:17" ht="14.75">
      <c r="B63" s="92" t="s">
        <v>277</v>
      </c>
      <c r="P63" s="183">
        <f>'Transgrid Bonds'!C33</f>
        <v>50000000</v>
      </c>
      <c r="Q63" s="183">
        <f>'Transgrid Bonds'!C33</f>
        <v>50000000</v>
      </c>
    </row>
    <row r="64" spans="2:17" ht="14.75">
      <c r="B64" s="92" t="s">
        <v>275</v>
      </c>
      <c r="P64" s="183">
        <f>'Transgrid Bonds'!C37</f>
        <v>800000000</v>
      </c>
      <c r="Q64" s="183">
        <f>'Transgrid Bonds'!C37</f>
        <v>800000000</v>
      </c>
    </row>
    <row r="65" spans="2:17" ht="14.75">
      <c r="B65" s="92" t="s">
        <v>276</v>
      </c>
      <c r="M65" s="183">
        <f>'Transgrid Bonds'!$C$41</f>
        <v>635000000</v>
      </c>
      <c r="N65" s="183">
        <f>'Transgrid Bonds'!$C$41</f>
        <v>635000000</v>
      </c>
      <c r="O65" s="183">
        <f>'Transgrid Bonds'!$C$41</f>
        <v>635000000</v>
      </c>
      <c r="P65" s="183">
        <f>'Transgrid Bonds'!$C$41</f>
        <v>635000000</v>
      </c>
      <c r="Q65" s="183">
        <f>'Transgrid Bonds'!$C$41</f>
        <v>635000000</v>
      </c>
    </row>
    <row r="66" spans="2:17" ht="14.75">
      <c r="B66" s="92" t="s">
        <v>276</v>
      </c>
      <c r="M66" s="183">
        <f>'Transgrid Bonds'!$C$42</f>
        <v>900000000</v>
      </c>
      <c r="N66" s="183">
        <f>'Transgrid Bonds'!$C$42</f>
        <v>900000000</v>
      </c>
      <c r="O66" s="183">
        <f>'Transgrid Bonds'!$C$42</f>
        <v>900000000</v>
      </c>
      <c r="P66" s="183">
        <f>'Transgrid Bonds'!$C$42</f>
        <v>900000000</v>
      </c>
      <c r="Q66" s="183">
        <f>'Transgrid Bonds'!$C$42</f>
        <v>900000000</v>
      </c>
    </row>
    <row r="67" spans="2:17" ht="14.75">
      <c r="B67" s="92" t="s">
        <v>276</v>
      </c>
      <c r="M67" s="183">
        <f>'Transgrid Bonds'!$C$43</f>
        <v>490000000</v>
      </c>
      <c r="N67" s="183">
        <f>'Transgrid Bonds'!$C$43</f>
        <v>490000000</v>
      </c>
      <c r="O67" s="183">
        <f>'Transgrid Bonds'!$C$43</f>
        <v>490000000</v>
      </c>
      <c r="P67" s="183">
        <f>'Transgrid Bonds'!$C$43</f>
        <v>490000000</v>
      </c>
      <c r="Q67" s="183">
        <f>'Transgrid Bonds'!$C$43</f>
        <v>490000000</v>
      </c>
    </row>
    <row r="68" spans="2:17" ht="14.75">
      <c r="B68" s="92" t="s">
        <v>276</v>
      </c>
      <c r="M68" s="183">
        <f>'Transgrid Bonds'!$C$44</f>
        <v>635000000</v>
      </c>
      <c r="N68" s="183">
        <f>'Transgrid Bonds'!$C$44</f>
        <v>635000000</v>
      </c>
      <c r="O68" s="183">
        <f>'Transgrid Bonds'!$C$44</f>
        <v>635000000</v>
      </c>
      <c r="P68" s="183">
        <f>'Transgrid Bonds'!$C$44</f>
        <v>635000000</v>
      </c>
      <c r="Q68" s="183">
        <f>'Transgrid Bonds'!$C$44</f>
        <v>635000000</v>
      </c>
    </row>
    <row r="70" spans="2:17">
      <c r="F70" s="171">
        <f>SUM(F61:F68)</f>
        <v>0</v>
      </c>
      <c r="G70" s="171">
        <f t="shared" ref="G70:Q70" si="2">SUM(G61:G68)</f>
        <v>0</v>
      </c>
      <c r="H70" s="171">
        <f t="shared" si="2"/>
        <v>0</v>
      </c>
      <c r="I70" s="171">
        <f t="shared" si="2"/>
        <v>0</v>
      </c>
      <c r="J70" s="171">
        <f t="shared" si="2"/>
        <v>0</v>
      </c>
      <c r="K70" s="171">
        <f t="shared" si="2"/>
        <v>0</v>
      </c>
      <c r="L70" s="171">
        <f t="shared" si="2"/>
        <v>0</v>
      </c>
      <c r="M70" s="171">
        <f t="shared" si="2"/>
        <v>2660000000</v>
      </c>
      <c r="N70" s="171">
        <f t="shared" si="2"/>
        <v>2660000000</v>
      </c>
      <c r="O70" s="171">
        <f t="shared" si="2"/>
        <v>2660000000</v>
      </c>
      <c r="P70" s="171">
        <f t="shared" si="2"/>
        <v>4310000000</v>
      </c>
      <c r="Q70" s="171">
        <f t="shared" si="2"/>
        <v>4310000000</v>
      </c>
    </row>
    <row r="72" spans="2:17">
      <c r="B72" t="s">
        <v>77</v>
      </c>
      <c r="F72" s="171">
        <f>F70+F57</f>
        <v>0</v>
      </c>
      <c r="G72" s="171">
        <f t="shared" ref="G72:Q72" si="3">G70+G57</f>
        <v>0</v>
      </c>
      <c r="H72" s="171">
        <f t="shared" si="3"/>
        <v>0</v>
      </c>
      <c r="I72" s="171">
        <f t="shared" si="3"/>
        <v>0</v>
      </c>
      <c r="J72" s="171">
        <f t="shared" si="3"/>
        <v>0</v>
      </c>
      <c r="K72" s="171">
        <f t="shared" si="3"/>
        <v>0</v>
      </c>
      <c r="L72" s="171">
        <f t="shared" si="3"/>
        <v>0</v>
      </c>
      <c r="M72" s="171">
        <f t="shared" si="3"/>
        <v>2660000000</v>
      </c>
      <c r="N72" s="171">
        <f t="shared" si="3"/>
        <v>2660000000</v>
      </c>
      <c r="O72" s="171">
        <f t="shared" si="3"/>
        <v>2660000000</v>
      </c>
      <c r="P72" s="171">
        <f t="shared" si="3"/>
        <v>5194475000</v>
      </c>
      <c r="Q72" s="171">
        <f t="shared" si="3"/>
        <v>5157587000</v>
      </c>
    </row>
    <row r="75" spans="2:17">
      <c r="B75" s="5" t="s">
        <v>160</v>
      </c>
    </row>
    <row r="77" spans="2:17">
      <c r="B77" s="1" t="s">
        <v>241</v>
      </c>
    </row>
    <row r="79" spans="2:17">
      <c r="B79" s="172" t="s">
        <v>278</v>
      </c>
      <c r="F79" s="171" t="e">
        <f>INDEX('SA Power Bonds'!$E$23:$E$25,MATCH('Value of Debt (listed bonds)'!$B79,'SA Power Bonds'!$J$23:$J$25,0))*((INDEX('SA Power Bond Prices'!$B$1:$E$58,MATCH('Value of Debt (listed bonds)'!F$3,'SA Power Bond Prices'!$B$1:$B$58,0),MATCH('Value of Debt (listed bonds)'!$B79,'SA Power Bond Prices'!$B$1:$E$1,0))/100))</f>
        <v>#N/A</v>
      </c>
      <c r="G79" s="171" t="e">
        <f>INDEX('SA Power Bonds'!$E$23:$E$25,MATCH('Value of Debt (listed bonds)'!$B79,'SA Power Bonds'!$J$23:$J$25,0))*((INDEX('SA Power Bond Prices'!$B$1:$E$58,MATCH('Value of Debt (listed bonds)'!G$3,'SA Power Bond Prices'!$B$1:$B$58,0),MATCH('Value of Debt (listed bonds)'!$B79,'SA Power Bond Prices'!$B$1:$E$1,0))/100))</f>
        <v>#N/A</v>
      </c>
      <c r="H79" s="171" t="e">
        <f>INDEX('SA Power Bonds'!$E$23:$E$25,MATCH('Value of Debt (listed bonds)'!$B79,'SA Power Bonds'!$J$23:$J$25,0))*((INDEX('SA Power Bond Prices'!$B$1:$E$58,MATCH('Value of Debt (listed bonds)'!H$3,'SA Power Bond Prices'!$B$1:$B$58,0),MATCH('Value of Debt (listed bonds)'!$B79,'SA Power Bond Prices'!$B$1:$E$1,0))/100))</f>
        <v>#N/A</v>
      </c>
      <c r="I79" s="171" t="e">
        <f>INDEX('SA Power Bonds'!$E$23:$E$25,MATCH('Value of Debt (listed bonds)'!$B79,'SA Power Bonds'!$J$23:$J$25,0))*((INDEX('SA Power Bond Prices'!$B$1:$E$58,MATCH('Value of Debt (listed bonds)'!I$3,'SA Power Bond Prices'!$B$1:$B$58,0),MATCH('Value of Debt (listed bonds)'!$B79,'SA Power Bond Prices'!$B$1:$E$1,0))/100))</f>
        <v>#N/A</v>
      </c>
      <c r="J79" s="171" t="e">
        <f>INDEX('SA Power Bonds'!$E$23:$E$25,MATCH('Value of Debt (listed bonds)'!$B79,'SA Power Bonds'!$J$23:$J$25,0))*((INDEX('SA Power Bond Prices'!$B$1:$E$58,MATCH('Value of Debt (listed bonds)'!J$3,'SA Power Bond Prices'!$B$1:$B$58,0),MATCH('Value of Debt (listed bonds)'!$B79,'SA Power Bond Prices'!$B$1:$E$1,0))/100))</f>
        <v>#N/A</v>
      </c>
      <c r="K79" s="171" t="e">
        <f>INDEX('SA Power Bonds'!$E$23:$E$25,MATCH('Value of Debt (listed bonds)'!$B79,'SA Power Bonds'!$J$23:$J$25,0))*((INDEX('SA Power Bond Prices'!$B$1:$E$58,MATCH('Value of Debt (listed bonds)'!K$3,'SA Power Bond Prices'!$B$1:$B$58,0),MATCH('Value of Debt (listed bonds)'!$B79,'SA Power Bond Prices'!$B$1:$E$1,0))/100))</f>
        <v>#N/A</v>
      </c>
      <c r="L79" s="171" t="e">
        <f>INDEX('SA Power Bonds'!$E$23:$E$25,MATCH('Value of Debt (listed bonds)'!$B79,'SA Power Bonds'!$J$23:$J$25,0))*((INDEX('SA Power Bond Prices'!$B$1:$E$58,MATCH('Value of Debt (listed bonds)'!L$3,'SA Power Bond Prices'!$B$1:$B$58,0),MATCH('Value of Debt (listed bonds)'!$B79,'SA Power Bond Prices'!$B$1:$E$1,0))/100))</f>
        <v>#N/A</v>
      </c>
      <c r="M79" s="171">
        <f>INDEX('SA Power Bonds'!$E$23:$E$25,MATCH('Value of Debt (listed bonds)'!$B79,'SA Power Bonds'!$J$23:$J$25,0))*((INDEX('SA Power Bond Prices'!$B$1:$E$58,MATCH('Value of Debt (listed bonds)'!M$3,'SA Power Bond Prices'!$B$1:$B$58,0),MATCH('Value of Debt (listed bonds)'!$B79,'SA Power Bond Prices'!$B$1:$E$1,0))/100))</f>
        <v>175499507.74999997</v>
      </c>
      <c r="N79" s="171">
        <f>INDEX('SA Power Bonds'!$E$23:$E$25,MATCH('Value of Debt (listed bonds)'!$B79,'SA Power Bonds'!$J$23:$J$25,0))*((INDEX('SA Power Bond Prices'!$B$1:$E$58,MATCH('Value of Debt (listed bonds)'!N$3,'SA Power Bond Prices'!$B$1:$B$58,0),MATCH('Value of Debt (listed bonds)'!$B79,'SA Power Bond Prices'!$B$1:$E$1,0))/100))</f>
        <v>175629016.5</v>
      </c>
      <c r="O79" s="171">
        <f>INDEX('SA Power Bonds'!$E$23:$E$25,MATCH('Value of Debt (listed bonds)'!$B79,'SA Power Bonds'!$J$23:$J$25,0))*((INDEX('SA Power Bond Prices'!$B$1:$E$58,MATCH('Value of Debt (listed bonds)'!O$3,'SA Power Bond Prices'!$B$1:$B$58,0),MATCH('Value of Debt (listed bonds)'!$B79,'SA Power Bond Prices'!$B$1:$E$1,0))/100))</f>
        <v>175113503.25</v>
      </c>
      <c r="P79" s="171">
        <f>INDEX('SA Power Bonds'!$E$23:$E$25,MATCH('Value of Debt (listed bonds)'!$B79,'SA Power Bonds'!$J$23:$J$25,0))*((INDEX('SA Power Bond Prices'!$B$1:$E$58,MATCH('Value of Debt (listed bonds)'!P$3,'SA Power Bond Prices'!$B$1:$B$58,0),MATCH('Value of Debt (listed bonds)'!$B79,'SA Power Bond Prices'!$B$1:$E$1,0))/100))</f>
        <v>175820473.5</v>
      </c>
      <c r="Q79" s="171">
        <f>INDEX('SA Power Bonds'!$E$23:$E$25,MATCH('Value of Debt (listed bonds)'!$B79,'SA Power Bonds'!$J$23:$J$25,0))*((INDEX('SA Power Bond Prices'!$B$1:$E$58,MATCH('Value of Debt (listed bonds)'!Q$3,'SA Power Bond Prices'!$B$1:$B$58,0),MATCH('Value of Debt (listed bonds)'!$B79,'SA Power Bond Prices'!$B$1:$E$1,0))/100))</f>
        <v>175465661</v>
      </c>
    </row>
    <row r="80" spans="2:17">
      <c r="B80" s="172" t="s">
        <v>279</v>
      </c>
      <c r="F80" s="171" t="e">
        <f>INDEX('SA Power Bonds'!$E$23:$E$25,MATCH('Value of Debt (listed bonds)'!$B80,'SA Power Bonds'!$J$23:$J$25,0))*((INDEX('SA Power Bond Prices'!$B$1:$E$58,MATCH('Value of Debt (listed bonds)'!F$3,'SA Power Bond Prices'!$B$1:$B$58,0),MATCH('Value of Debt (listed bonds)'!$B80,'SA Power Bond Prices'!$B$1:$E$1,0))/100))</f>
        <v>#N/A</v>
      </c>
      <c r="G80" s="171" t="e">
        <f>INDEX('SA Power Bonds'!$E$23:$E$25,MATCH('Value of Debt (listed bonds)'!$B80,'SA Power Bonds'!$J$23:$J$25,0))*((INDEX('SA Power Bond Prices'!$B$1:$E$58,MATCH('Value of Debt (listed bonds)'!G$3,'SA Power Bond Prices'!$B$1:$B$58,0),MATCH('Value of Debt (listed bonds)'!$B80,'SA Power Bond Prices'!$B$1:$E$1,0))/100))</f>
        <v>#N/A</v>
      </c>
      <c r="H80" s="171" t="e">
        <f>INDEX('SA Power Bonds'!$E$23:$E$25,MATCH('Value of Debt (listed bonds)'!$B80,'SA Power Bonds'!$J$23:$J$25,0))*((INDEX('SA Power Bond Prices'!$B$1:$E$58,MATCH('Value of Debt (listed bonds)'!H$3,'SA Power Bond Prices'!$B$1:$B$58,0),MATCH('Value of Debt (listed bonds)'!$B80,'SA Power Bond Prices'!$B$1:$E$1,0))/100))</f>
        <v>#N/A</v>
      </c>
      <c r="I80" s="171" t="e">
        <f>INDEX('SA Power Bonds'!$E$23:$E$25,MATCH('Value of Debt (listed bonds)'!$B80,'SA Power Bonds'!$J$23:$J$25,0))*((INDEX('SA Power Bond Prices'!$B$1:$E$58,MATCH('Value of Debt (listed bonds)'!I$3,'SA Power Bond Prices'!$B$1:$B$58,0),MATCH('Value of Debt (listed bonds)'!$B80,'SA Power Bond Prices'!$B$1:$E$1,0))/100))</f>
        <v>#N/A</v>
      </c>
      <c r="J80" s="171" t="e">
        <f>INDEX('SA Power Bonds'!$E$23:$E$25,MATCH('Value of Debt (listed bonds)'!$B80,'SA Power Bonds'!$J$23:$J$25,0))*((INDEX('SA Power Bond Prices'!$B$1:$E$58,MATCH('Value of Debt (listed bonds)'!J$3,'SA Power Bond Prices'!$B$1:$B$58,0),MATCH('Value of Debt (listed bonds)'!$B80,'SA Power Bond Prices'!$B$1:$E$1,0))/100))</f>
        <v>#N/A</v>
      </c>
      <c r="K80" s="171" t="e">
        <f>INDEX('SA Power Bonds'!$E$23:$E$25,MATCH('Value of Debt (listed bonds)'!$B80,'SA Power Bonds'!$J$23:$J$25,0))*((INDEX('SA Power Bond Prices'!$B$1:$E$58,MATCH('Value of Debt (listed bonds)'!K$3,'SA Power Bond Prices'!$B$1:$B$58,0),MATCH('Value of Debt (listed bonds)'!$B80,'SA Power Bond Prices'!$B$1:$E$1,0))/100))</f>
        <v>#N/A</v>
      </c>
      <c r="L80" s="171" t="e">
        <f>INDEX('SA Power Bonds'!$E$23:$E$25,MATCH('Value of Debt (listed bonds)'!$B80,'SA Power Bonds'!$J$23:$J$25,0))*((INDEX('SA Power Bond Prices'!$B$1:$E$58,MATCH('Value of Debt (listed bonds)'!L$3,'SA Power Bond Prices'!$B$1:$B$58,0),MATCH('Value of Debt (listed bonds)'!$B80,'SA Power Bond Prices'!$B$1:$E$1,0))/100))</f>
        <v>#N/A</v>
      </c>
      <c r="M80" s="171">
        <f>INDEX('SA Power Bonds'!$E$23:$E$25,MATCH('Value of Debt (listed bonds)'!$B80,'SA Power Bonds'!$J$23:$J$25,0))*((INDEX('SA Power Bond Prices'!$B$1:$E$58,MATCH('Value of Debt (listed bonds)'!M$3,'SA Power Bond Prices'!$B$1:$B$58,0),MATCH('Value of Debt (listed bonds)'!$B80,'SA Power Bond Prices'!$B$1:$E$1,0))/100))</f>
        <v>99914000</v>
      </c>
      <c r="N80" s="171">
        <f>INDEX('SA Power Bonds'!$E$23:$E$25,MATCH('Value of Debt (listed bonds)'!$B80,'SA Power Bonds'!$J$23:$J$25,0))*((INDEX('SA Power Bond Prices'!$B$1:$E$58,MATCH('Value of Debt (listed bonds)'!N$3,'SA Power Bond Prices'!$B$1:$B$58,0),MATCH('Value of Debt (listed bonds)'!$B80,'SA Power Bond Prices'!$B$1:$E$1,0))/100))</f>
        <v>99797000</v>
      </c>
      <c r="O80" s="171">
        <f>INDEX('SA Power Bonds'!$E$23:$E$25,MATCH('Value of Debt (listed bonds)'!$B80,'SA Power Bonds'!$J$23:$J$25,0))*((INDEX('SA Power Bond Prices'!$B$1:$E$58,MATCH('Value of Debt (listed bonds)'!O$3,'SA Power Bond Prices'!$B$1:$B$58,0),MATCH('Value of Debt (listed bonds)'!$B80,'SA Power Bond Prices'!$B$1:$E$1,0))/100))</f>
        <v>99781000.000000015</v>
      </c>
      <c r="P80" s="171">
        <f>INDEX('SA Power Bonds'!$E$23:$E$25,MATCH('Value of Debt (listed bonds)'!$B80,'SA Power Bonds'!$J$23:$J$25,0))*((INDEX('SA Power Bond Prices'!$B$1:$E$58,MATCH('Value of Debt (listed bonds)'!P$3,'SA Power Bond Prices'!$B$1:$B$58,0),MATCH('Value of Debt (listed bonds)'!$B80,'SA Power Bond Prices'!$B$1:$E$1,0))/100))</f>
        <v>101030000</v>
      </c>
      <c r="Q80" s="171">
        <f>INDEX('SA Power Bonds'!$E$23:$E$25,MATCH('Value of Debt (listed bonds)'!$B80,'SA Power Bonds'!$J$23:$J$25,0))*((INDEX('SA Power Bond Prices'!$B$1:$E$58,MATCH('Value of Debt (listed bonds)'!Q$3,'SA Power Bond Prices'!$B$1:$B$58,0),MATCH('Value of Debt (listed bonds)'!$B80,'SA Power Bond Prices'!$B$1:$E$1,0))/100))</f>
        <v>101067000</v>
      </c>
    </row>
    <row r="81" spans="2:17">
      <c r="B81" s="172" t="s">
        <v>280</v>
      </c>
      <c r="F81" s="171" t="e">
        <f>INDEX('SA Power Bonds'!$E$23:$E$25,MATCH('Value of Debt (listed bonds)'!$B81,'SA Power Bonds'!$J$23:$J$25,0))*((INDEX('SA Power Bond Prices'!$B$1:$E$58,MATCH('Value of Debt (listed bonds)'!F$3,'SA Power Bond Prices'!$B$1:$B$58,0),MATCH('Value of Debt (listed bonds)'!$B81,'SA Power Bond Prices'!$B$1:$E$1,0))/100))</f>
        <v>#N/A</v>
      </c>
      <c r="G81" s="171" t="e">
        <f>INDEX('SA Power Bonds'!$E$23:$E$25,MATCH('Value of Debt (listed bonds)'!$B81,'SA Power Bonds'!$J$23:$J$25,0))*((INDEX('SA Power Bond Prices'!$B$1:$E$58,MATCH('Value of Debt (listed bonds)'!G$3,'SA Power Bond Prices'!$B$1:$B$58,0),MATCH('Value of Debt (listed bonds)'!$B81,'SA Power Bond Prices'!$B$1:$E$1,0))/100))</f>
        <v>#N/A</v>
      </c>
      <c r="H81" s="171" t="e">
        <f>INDEX('SA Power Bonds'!$E$23:$E$25,MATCH('Value of Debt (listed bonds)'!$B81,'SA Power Bonds'!$J$23:$J$25,0))*((INDEX('SA Power Bond Prices'!$B$1:$E$58,MATCH('Value of Debt (listed bonds)'!H$3,'SA Power Bond Prices'!$B$1:$B$58,0),MATCH('Value of Debt (listed bonds)'!$B81,'SA Power Bond Prices'!$B$1:$E$1,0))/100))</f>
        <v>#N/A</v>
      </c>
      <c r="I81" s="171" t="e">
        <f>INDEX('SA Power Bonds'!$E$23:$E$25,MATCH('Value of Debt (listed bonds)'!$B81,'SA Power Bonds'!$J$23:$J$25,0))*((INDEX('SA Power Bond Prices'!$B$1:$E$58,MATCH('Value of Debt (listed bonds)'!I$3,'SA Power Bond Prices'!$B$1:$B$58,0),MATCH('Value of Debt (listed bonds)'!$B81,'SA Power Bond Prices'!$B$1:$E$1,0))/100))</f>
        <v>#N/A</v>
      </c>
      <c r="J81" s="171" t="e">
        <f>INDEX('SA Power Bonds'!$E$23:$E$25,MATCH('Value of Debt (listed bonds)'!$B81,'SA Power Bonds'!$J$23:$J$25,0))*((INDEX('SA Power Bond Prices'!$B$1:$E$58,MATCH('Value of Debt (listed bonds)'!J$3,'SA Power Bond Prices'!$B$1:$B$58,0),MATCH('Value of Debt (listed bonds)'!$B81,'SA Power Bond Prices'!$B$1:$E$1,0))/100))</f>
        <v>#N/A</v>
      </c>
      <c r="K81" s="171" t="e">
        <f>INDEX('SA Power Bonds'!$E$23:$E$25,MATCH('Value of Debt (listed bonds)'!$B81,'SA Power Bonds'!$J$23:$J$25,0))*((INDEX('SA Power Bond Prices'!$B$1:$E$58,MATCH('Value of Debt (listed bonds)'!K$3,'SA Power Bond Prices'!$B$1:$B$58,0),MATCH('Value of Debt (listed bonds)'!$B81,'SA Power Bond Prices'!$B$1:$E$1,0))/100))</f>
        <v>#N/A</v>
      </c>
      <c r="L81" s="171" t="e">
        <f>INDEX('SA Power Bonds'!$E$23:$E$25,MATCH('Value of Debt (listed bonds)'!$B81,'SA Power Bonds'!$J$23:$J$25,0))*((INDEX('SA Power Bond Prices'!$B$1:$E$58,MATCH('Value of Debt (listed bonds)'!L$3,'SA Power Bond Prices'!$B$1:$B$58,0),MATCH('Value of Debt (listed bonds)'!$B81,'SA Power Bond Prices'!$B$1:$E$1,0))/100))</f>
        <v>#N/A</v>
      </c>
      <c r="M81" s="171">
        <f>INDEX('SA Power Bonds'!$E$23:$E$25,MATCH('Value of Debt (listed bonds)'!$B81,'SA Power Bonds'!$J$23:$J$25,0))*((INDEX('SA Power Bond Prices'!$B$1:$E$58,MATCH('Value of Debt (listed bonds)'!M$3,'SA Power Bond Prices'!$B$1:$B$58,0),MATCH('Value of Debt (listed bonds)'!$B81,'SA Power Bond Prices'!$B$1:$E$1,0))/100))</f>
        <v>373546016.25</v>
      </c>
      <c r="N81" s="171">
        <f>INDEX('SA Power Bonds'!$E$23:$E$25,MATCH('Value of Debt (listed bonds)'!$B81,'SA Power Bonds'!$J$23:$J$25,0))*((INDEX('SA Power Bond Prices'!$B$1:$E$58,MATCH('Value of Debt (listed bonds)'!N$3,'SA Power Bond Prices'!$B$1:$B$58,0),MATCH('Value of Debt (listed bonds)'!$B81,'SA Power Bond Prices'!$B$1:$E$1,0))/100))</f>
        <v>399393022.5</v>
      </c>
      <c r="O81" s="171">
        <f>INDEX('SA Power Bonds'!$E$23:$E$25,MATCH('Value of Debt (listed bonds)'!$B81,'SA Power Bonds'!$J$23:$J$25,0))*((INDEX('SA Power Bond Prices'!$B$1:$E$58,MATCH('Value of Debt (listed bonds)'!O$3,'SA Power Bond Prices'!$B$1:$B$58,0),MATCH('Value of Debt (listed bonds)'!$B81,'SA Power Bond Prices'!$B$1:$E$1,0))/100))</f>
        <v>405154935</v>
      </c>
      <c r="P81" s="171">
        <f>INDEX('SA Power Bonds'!$E$23:$E$25,MATCH('Value of Debt (listed bonds)'!$B81,'SA Power Bonds'!$J$23:$J$25,0))*((INDEX('SA Power Bond Prices'!$B$1:$E$58,MATCH('Value of Debt (listed bonds)'!P$3,'SA Power Bond Prices'!$B$1:$B$58,0),MATCH('Value of Debt (listed bonds)'!$B81,'SA Power Bond Prices'!$B$1:$E$1,0))/100))</f>
        <v>402960967.5</v>
      </c>
      <c r="Q81" s="171">
        <f>INDEX('SA Power Bonds'!$E$23:$E$25,MATCH('Value of Debt (listed bonds)'!$B81,'SA Power Bonds'!$J$23:$J$25,0))*((INDEX('SA Power Bond Prices'!$B$1:$E$58,MATCH('Value of Debt (listed bonds)'!Q$3,'SA Power Bond Prices'!$B$1:$B$58,0),MATCH('Value of Debt (listed bonds)'!$B81,'SA Power Bond Prices'!$B$1:$E$1,0))/100))</f>
        <v>393105720</v>
      </c>
    </row>
    <row r="83" spans="2:17">
      <c r="B83" s="172" t="s">
        <v>281</v>
      </c>
      <c r="F83" s="171">
        <f>INDEX('SA Power Bonds'!$D$29:$D$41,MATCH('Value of Debt (listed bonds)'!$B83,'SA Power Bonds'!$H$29:$H$41,0))*((INDEX('SA Power Bond Prices'!$H$1:$U$96,MATCH('Value of Debt (listed bonds)'!F$3,'SA Power Bond Prices'!$H$1:$H$96,0),MATCH('Value of Debt (listed bonds)'!$B83,'SA Power Bond Prices'!$H$1:$U$1,0))/100))</f>
        <v>0</v>
      </c>
      <c r="G83" s="171">
        <f>INDEX('SA Power Bonds'!$D$29:$D$41,MATCH('Value of Debt (listed bonds)'!$B83,'SA Power Bonds'!$H$29:$H$41,0))*((INDEX('SA Power Bond Prices'!$H$1:$U$96,MATCH('Value of Debt (listed bonds)'!G$3,'SA Power Bond Prices'!$H$1:$H$96,0),MATCH('Value of Debt (listed bonds)'!$B83,'SA Power Bond Prices'!$H$1:$U$1,0))/100))</f>
        <v>0</v>
      </c>
      <c r="H83" s="171">
        <f>INDEX('SA Power Bonds'!$D$29:$D$41,MATCH('Value of Debt (listed bonds)'!$B83,'SA Power Bonds'!$H$29:$H$41,0))*((INDEX('SA Power Bond Prices'!$H$1:$U$96,MATCH('Value of Debt (listed bonds)'!H$3,'SA Power Bond Prices'!$H$1:$H$96,0),MATCH('Value of Debt (listed bonds)'!$B83,'SA Power Bond Prices'!$H$1:$U$1,0))/100))</f>
        <v>0</v>
      </c>
      <c r="I83" s="171">
        <f>INDEX('SA Power Bonds'!$D$29:$D$41,MATCH('Value of Debt (listed bonds)'!$B83,'SA Power Bonds'!$H$29:$H$41,0))*((INDEX('SA Power Bond Prices'!$H$1:$U$96,MATCH('Value of Debt (listed bonds)'!I$3,'SA Power Bond Prices'!$H$1:$H$96,0),MATCH('Value of Debt (listed bonds)'!$B83,'SA Power Bond Prices'!$H$1:$U$1,0))/100))</f>
        <v>0</v>
      </c>
      <c r="J83" s="171">
        <f>INDEX('SA Power Bonds'!$D$29:$D$41,MATCH('Value of Debt (listed bonds)'!$B83,'SA Power Bonds'!$H$29:$H$41,0))*((INDEX('SA Power Bond Prices'!$H$1:$U$96,MATCH('Value of Debt (listed bonds)'!J$3,'SA Power Bond Prices'!$H$1:$H$96,0),MATCH('Value of Debt (listed bonds)'!$B83,'SA Power Bond Prices'!$H$1:$U$1,0))/100))</f>
        <v>0</v>
      </c>
      <c r="K83" s="171">
        <f>INDEX('SA Power Bonds'!$D$29:$D$41,MATCH('Value of Debt (listed bonds)'!$B83,'SA Power Bonds'!$H$29:$H$41,0))*((INDEX('SA Power Bond Prices'!$H$1:$U$96,MATCH('Value of Debt (listed bonds)'!K$3,'SA Power Bond Prices'!$H$1:$H$96,0),MATCH('Value of Debt (listed bonds)'!$B83,'SA Power Bond Prices'!$H$1:$U$1,0))/100))</f>
        <v>0</v>
      </c>
      <c r="L83" s="171">
        <f>INDEX('SA Power Bonds'!$D$29:$D$41,MATCH('Value of Debt (listed bonds)'!$B83,'SA Power Bonds'!$H$29:$H$41,0))*((INDEX('SA Power Bond Prices'!$H$1:$U$96,MATCH('Value of Debt (listed bonds)'!L$3,'SA Power Bond Prices'!$H$1:$H$96,0),MATCH('Value of Debt (listed bonds)'!$B83,'SA Power Bond Prices'!$H$1:$U$1,0))/100))</f>
        <v>0</v>
      </c>
      <c r="M83" s="171" t="e">
        <f>INDEX('SA Power Bonds'!$D$29:$D$41,MATCH('Value of Debt (listed bonds)'!$B83,'SA Power Bonds'!$H$29:$H$41,0))*((INDEX('SA Power Bond Prices'!$H$1:$U$96,MATCH('Value of Debt (listed bonds)'!M$3,'SA Power Bond Prices'!$H$1:$H$96,0),MATCH('Value of Debt (listed bonds)'!$B83,'SA Power Bond Prices'!$H$1:$U$1,0))/100))</f>
        <v>#N/A</v>
      </c>
      <c r="N83" s="171" t="e">
        <f>INDEX('SA Power Bonds'!$D$29:$D$41,MATCH('Value of Debt (listed bonds)'!$B83,'SA Power Bonds'!$H$29:$H$41,0))*((INDEX('SA Power Bond Prices'!$H$1:$U$96,MATCH('Value of Debt (listed bonds)'!N$3,'SA Power Bond Prices'!$H$1:$H$96,0),MATCH('Value of Debt (listed bonds)'!$B83,'SA Power Bond Prices'!$H$1:$U$1,0))/100))</f>
        <v>#N/A</v>
      </c>
      <c r="O83" s="171" t="e">
        <f>INDEX('SA Power Bonds'!$D$29:$D$41,MATCH('Value of Debt (listed bonds)'!$B83,'SA Power Bonds'!$H$29:$H$41,0))*((INDEX('SA Power Bond Prices'!$H$1:$U$96,MATCH('Value of Debt (listed bonds)'!O$3,'SA Power Bond Prices'!$H$1:$H$96,0),MATCH('Value of Debt (listed bonds)'!$B83,'SA Power Bond Prices'!$H$1:$U$1,0))/100))</f>
        <v>#N/A</v>
      </c>
      <c r="P83" s="171" t="e">
        <f>INDEX('SA Power Bonds'!$D$29:$D$41,MATCH('Value of Debt (listed bonds)'!$B83,'SA Power Bonds'!$H$29:$H$41,0))*((INDEX('SA Power Bond Prices'!$H$1:$U$96,MATCH('Value of Debt (listed bonds)'!P$3,'SA Power Bond Prices'!$H$1:$H$96,0),MATCH('Value of Debt (listed bonds)'!$B83,'SA Power Bond Prices'!$H$1:$U$1,0))/100))</f>
        <v>#N/A</v>
      </c>
      <c r="Q83" s="171" t="e">
        <f>INDEX('SA Power Bonds'!$D$29:$D$41,MATCH('Value of Debt (listed bonds)'!$B83,'SA Power Bonds'!$H$29:$H$41,0))*((INDEX('SA Power Bond Prices'!$H$1:$U$96,MATCH('Value of Debt (listed bonds)'!Q$3,'SA Power Bond Prices'!$H$1:$H$96,0),MATCH('Value of Debt (listed bonds)'!$B83,'SA Power Bond Prices'!$H$1:$U$1,0))/100))</f>
        <v>#N/A</v>
      </c>
    </row>
    <row r="84" spans="2:17">
      <c r="B84" s="172" t="s">
        <v>282</v>
      </c>
      <c r="F84" s="171">
        <f>INDEX('SA Power Bonds'!$D$29:$D$41,MATCH('Value of Debt (listed bonds)'!$B84,'SA Power Bonds'!$H$29:$H$41,0))*((INDEX('SA Power Bond Prices'!$H$1:$U$96,MATCH('Value of Debt (listed bonds)'!F$3,'SA Power Bond Prices'!$H$1:$H$96,0),MATCH('Value of Debt (listed bonds)'!$B84,'SA Power Bond Prices'!$H$1:$U$1,0))/100))</f>
        <v>0</v>
      </c>
      <c r="G84" s="171">
        <f>INDEX('SA Power Bonds'!$D$29:$D$41,MATCH('Value of Debt (listed bonds)'!$B84,'SA Power Bonds'!$H$29:$H$41,0))*((INDEX('SA Power Bond Prices'!$H$1:$U$96,MATCH('Value of Debt (listed bonds)'!G$3,'SA Power Bond Prices'!$H$1:$H$96,0),MATCH('Value of Debt (listed bonds)'!$B84,'SA Power Bond Prices'!$H$1:$U$1,0))/100))</f>
        <v>0</v>
      </c>
      <c r="H84" s="171">
        <f>INDEX('SA Power Bonds'!$D$29:$D$41,MATCH('Value of Debt (listed bonds)'!$B84,'SA Power Bonds'!$H$29:$H$41,0))*((INDEX('SA Power Bond Prices'!$H$1:$U$96,MATCH('Value of Debt (listed bonds)'!H$3,'SA Power Bond Prices'!$H$1:$H$96,0),MATCH('Value of Debt (listed bonds)'!$B84,'SA Power Bond Prices'!$H$1:$U$1,0))/100))</f>
        <v>0</v>
      </c>
      <c r="I84" s="171">
        <f>INDEX('SA Power Bonds'!$D$29:$D$41,MATCH('Value of Debt (listed bonds)'!$B84,'SA Power Bonds'!$H$29:$H$41,0))*((INDEX('SA Power Bond Prices'!$H$1:$U$96,MATCH('Value of Debt (listed bonds)'!I$3,'SA Power Bond Prices'!$H$1:$H$96,0),MATCH('Value of Debt (listed bonds)'!$B84,'SA Power Bond Prices'!$H$1:$U$1,0))/100))</f>
        <v>0</v>
      </c>
      <c r="J84" s="171">
        <f>INDEX('SA Power Bonds'!$D$29:$D$41,MATCH('Value of Debt (listed bonds)'!$B84,'SA Power Bonds'!$H$29:$H$41,0))*((INDEX('SA Power Bond Prices'!$H$1:$U$96,MATCH('Value of Debt (listed bonds)'!J$3,'SA Power Bond Prices'!$H$1:$H$96,0),MATCH('Value of Debt (listed bonds)'!$B84,'SA Power Bond Prices'!$H$1:$U$1,0))/100))</f>
        <v>0</v>
      </c>
      <c r="K84" s="171">
        <f>INDEX('SA Power Bonds'!$D$29:$D$41,MATCH('Value of Debt (listed bonds)'!$B84,'SA Power Bonds'!$H$29:$H$41,0))*((INDEX('SA Power Bond Prices'!$H$1:$U$96,MATCH('Value of Debt (listed bonds)'!K$3,'SA Power Bond Prices'!$H$1:$H$96,0),MATCH('Value of Debt (listed bonds)'!$B84,'SA Power Bond Prices'!$H$1:$U$1,0))/100))</f>
        <v>0</v>
      </c>
      <c r="L84" s="171">
        <f>INDEX('SA Power Bonds'!$D$29:$D$41,MATCH('Value of Debt (listed bonds)'!$B84,'SA Power Bonds'!$H$29:$H$41,0))*((INDEX('SA Power Bond Prices'!$H$1:$U$96,MATCH('Value of Debt (listed bonds)'!L$3,'SA Power Bond Prices'!$H$1:$H$96,0),MATCH('Value of Debt (listed bonds)'!$B84,'SA Power Bond Prices'!$H$1:$U$1,0))/100))</f>
        <v>0</v>
      </c>
      <c r="M84" s="171" t="e">
        <f>INDEX('SA Power Bonds'!$D$29:$D$41,MATCH('Value of Debt (listed bonds)'!$B84,'SA Power Bonds'!$H$29:$H$41,0))*((INDEX('SA Power Bond Prices'!$H$1:$U$96,MATCH('Value of Debt (listed bonds)'!M$3,'SA Power Bond Prices'!$H$1:$H$96,0),MATCH('Value of Debt (listed bonds)'!$B84,'SA Power Bond Prices'!$H$1:$U$1,0))/100))</f>
        <v>#N/A</v>
      </c>
      <c r="N84" s="171" t="e">
        <f>INDEX('SA Power Bonds'!$D$29:$D$41,MATCH('Value of Debt (listed bonds)'!$B84,'SA Power Bonds'!$H$29:$H$41,0))*((INDEX('SA Power Bond Prices'!$H$1:$U$96,MATCH('Value of Debt (listed bonds)'!N$3,'SA Power Bond Prices'!$H$1:$H$96,0),MATCH('Value of Debt (listed bonds)'!$B84,'SA Power Bond Prices'!$H$1:$U$1,0))/100))</f>
        <v>#N/A</v>
      </c>
      <c r="O84" s="171" t="e">
        <f>INDEX('SA Power Bonds'!$D$29:$D$41,MATCH('Value of Debt (listed bonds)'!$B84,'SA Power Bonds'!$H$29:$H$41,0))*((INDEX('SA Power Bond Prices'!$H$1:$U$96,MATCH('Value of Debt (listed bonds)'!O$3,'SA Power Bond Prices'!$H$1:$H$96,0),MATCH('Value of Debt (listed bonds)'!$B84,'SA Power Bond Prices'!$H$1:$U$1,0))/100))</f>
        <v>#N/A</v>
      </c>
      <c r="P84" s="171" t="e">
        <f>INDEX('SA Power Bonds'!$D$29:$D$41,MATCH('Value of Debt (listed bonds)'!$B84,'SA Power Bonds'!$H$29:$H$41,0))*((INDEX('SA Power Bond Prices'!$H$1:$U$96,MATCH('Value of Debt (listed bonds)'!P$3,'SA Power Bond Prices'!$H$1:$H$96,0),MATCH('Value of Debt (listed bonds)'!$B84,'SA Power Bond Prices'!$H$1:$U$1,0))/100))</f>
        <v>#N/A</v>
      </c>
      <c r="Q84" s="171" t="e">
        <f>INDEX('SA Power Bonds'!$D$29:$D$41,MATCH('Value of Debt (listed bonds)'!$B84,'SA Power Bonds'!$H$29:$H$41,0))*((INDEX('SA Power Bond Prices'!$H$1:$U$96,MATCH('Value of Debt (listed bonds)'!Q$3,'SA Power Bond Prices'!$H$1:$H$96,0),MATCH('Value of Debt (listed bonds)'!$B84,'SA Power Bond Prices'!$H$1:$U$1,0))/100))</f>
        <v>#N/A</v>
      </c>
    </row>
    <row r="85" spans="2:17">
      <c r="B85" s="172" t="s">
        <v>283</v>
      </c>
      <c r="F85" s="171">
        <f>INDEX('SA Power Bonds'!$D$29:$D$41,MATCH('Value of Debt (listed bonds)'!$B85,'SA Power Bonds'!$H$29:$H$41,0))*((INDEX('SA Power Bond Prices'!$H$1:$U$96,MATCH('Value of Debt (listed bonds)'!F$3,'SA Power Bond Prices'!$H$1:$H$96,0),MATCH('Value of Debt (listed bonds)'!$B85,'SA Power Bond Prices'!$H$1:$U$1,0))/100))</f>
        <v>0</v>
      </c>
      <c r="G85" s="171">
        <f>INDEX('SA Power Bonds'!$D$29:$D$41,MATCH('Value of Debt (listed bonds)'!$B85,'SA Power Bonds'!$H$29:$H$41,0))*((INDEX('SA Power Bond Prices'!$H$1:$U$96,MATCH('Value of Debt (listed bonds)'!G$3,'SA Power Bond Prices'!$H$1:$H$96,0),MATCH('Value of Debt (listed bonds)'!$B85,'SA Power Bond Prices'!$H$1:$U$1,0))/100))</f>
        <v>0</v>
      </c>
      <c r="H85" s="171">
        <f>INDEX('SA Power Bonds'!$D$29:$D$41,MATCH('Value of Debt (listed bonds)'!$B85,'SA Power Bonds'!$H$29:$H$41,0))*((INDEX('SA Power Bond Prices'!$H$1:$U$96,MATCH('Value of Debt (listed bonds)'!H$3,'SA Power Bond Prices'!$H$1:$H$96,0),MATCH('Value of Debt (listed bonds)'!$B85,'SA Power Bond Prices'!$H$1:$U$1,0))/100))</f>
        <v>0</v>
      </c>
      <c r="I85" s="171">
        <f>INDEX('SA Power Bonds'!$D$29:$D$41,MATCH('Value of Debt (listed bonds)'!$B85,'SA Power Bonds'!$H$29:$H$41,0))*((INDEX('SA Power Bond Prices'!$H$1:$U$96,MATCH('Value of Debt (listed bonds)'!I$3,'SA Power Bond Prices'!$H$1:$H$96,0),MATCH('Value of Debt (listed bonds)'!$B85,'SA Power Bond Prices'!$H$1:$U$1,0))/100))</f>
        <v>0</v>
      </c>
      <c r="J85" s="171">
        <f>INDEX('SA Power Bonds'!$D$29:$D$41,MATCH('Value of Debt (listed bonds)'!$B85,'SA Power Bonds'!$H$29:$H$41,0))*((INDEX('SA Power Bond Prices'!$H$1:$U$96,MATCH('Value of Debt (listed bonds)'!J$3,'SA Power Bond Prices'!$H$1:$H$96,0),MATCH('Value of Debt (listed bonds)'!$B85,'SA Power Bond Prices'!$H$1:$U$1,0))/100))</f>
        <v>0</v>
      </c>
      <c r="K85" s="171">
        <f>INDEX('SA Power Bonds'!$D$29:$D$41,MATCH('Value of Debt (listed bonds)'!$B85,'SA Power Bonds'!$H$29:$H$41,0))*((INDEX('SA Power Bond Prices'!$H$1:$U$96,MATCH('Value of Debt (listed bonds)'!K$3,'SA Power Bond Prices'!$H$1:$H$96,0),MATCH('Value of Debt (listed bonds)'!$B85,'SA Power Bond Prices'!$H$1:$U$1,0))/100))</f>
        <v>0</v>
      </c>
      <c r="L85" s="171">
        <f>INDEX('SA Power Bonds'!$D$29:$D$41,MATCH('Value of Debt (listed bonds)'!$B85,'SA Power Bonds'!$H$29:$H$41,0))*((INDEX('SA Power Bond Prices'!$H$1:$U$96,MATCH('Value of Debt (listed bonds)'!L$3,'SA Power Bond Prices'!$H$1:$H$96,0),MATCH('Value of Debt (listed bonds)'!$B85,'SA Power Bond Prices'!$H$1:$U$1,0))/100))</f>
        <v>0</v>
      </c>
      <c r="M85" s="171" t="e">
        <f>INDEX('SA Power Bonds'!$D$29:$D$41,MATCH('Value of Debt (listed bonds)'!$B85,'SA Power Bonds'!$H$29:$H$41,0))*((INDEX('SA Power Bond Prices'!$H$1:$U$96,MATCH('Value of Debt (listed bonds)'!M$3,'SA Power Bond Prices'!$H$1:$H$96,0),MATCH('Value of Debt (listed bonds)'!$B85,'SA Power Bond Prices'!$H$1:$U$1,0))/100))</f>
        <v>#N/A</v>
      </c>
      <c r="N85" s="171" t="e">
        <f>INDEX('SA Power Bonds'!$D$29:$D$41,MATCH('Value of Debt (listed bonds)'!$B85,'SA Power Bonds'!$H$29:$H$41,0))*((INDEX('SA Power Bond Prices'!$H$1:$U$96,MATCH('Value of Debt (listed bonds)'!N$3,'SA Power Bond Prices'!$H$1:$H$96,0),MATCH('Value of Debt (listed bonds)'!$B85,'SA Power Bond Prices'!$H$1:$U$1,0))/100))</f>
        <v>#N/A</v>
      </c>
      <c r="O85" s="171" t="e">
        <f>INDEX('SA Power Bonds'!$D$29:$D$41,MATCH('Value of Debt (listed bonds)'!$B85,'SA Power Bonds'!$H$29:$H$41,0))*((INDEX('SA Power Bond Prices'!$H$1:$U$96,MATCH('Value of Debt (listed bonds)'!O$3,'SA Power Bond Prices'!$H$1:$H$96,0),MATCH('Value of Debt (listed bonds)'!$B85,'SA Power Bond Prices'!$H$1:$U$1,0))/100))</f>
        <v>#N/A</v>
      </c>
      <c r="P85" s="171" t="e">
        <f>INDEX('SA Power Bonds'!$D$29:$D$41,MATCH('Value of Debt (listed bonds)'!$B85,'SA Power Bonds'!$H$29:$H$41,0))*((INDEX('SA Power Bond Prices'!$H$1:$U$96,MATCH('Value of Debt (listed bonds)'!P$3,'SA Power Bond Prices'!$H$1:$H$96,0),MATCH('Value of Debt (listed bonds)'!$B85,'SA Power Bond Prices'!$H$1:$U$1,0))/100))</f>
        <v>#N/A</v>
      </c>
      <c r="Q85" s="171" t="e">
        <f>INDEX('SA Power Bonds'!$D$29:$D$41,MATCH('Value of Debt (listed bonds)'!$B85,'SA Power Bonds'!$H$29:$H$41,0))*((INDEX('SA Power Bond Prices'!$H$1:$U$96,MATCH('Value of Debt (listed bonds)'!Q$3,'SA Power Bond Prices'!$H$1:$H$96,0),MATCH('Value of Debt (listed bonds)'!$B85,'SA Power Bond Prices'!$H$1:$U$1,0))/100))</f>
        <v>#N/A</v>
      </c>
    </row>
    <row r="86" spans="2:17">
      <c r="B86" s="172" t="s">
        <v>284</v>
      </c>
      <c r="F86" s="171">
        <f>INDEX('SA Power Bonds'!$D$29:$D$41,MATCH('Value of Debt (listed bonds)'!$B86,'SA Power Bonds'!$H$29:$H$41,0))*((INDEX('SA Power Bond Prices'!$H$1:$U$96,MATCH('Value of Debt (listed bonds)'!F$3,'SA Power Bond Prices'!$H$1:$H$96,0),MATCH('Value of Debt (listed bonds)'!$B86,'SA Power Bond Prices'!$H$1:$U$1,0))/100))</f>
        <v>0</v>
      </c>
      <c r="G86" s="171">
        <f>INDEX('SA Power Bonds'!$D$29:$D$41,MATCH('Value of Debt (listed bonds)'!$B86,'SA Power Bonds'!$H$29:$H$41,0))*((INDEX('SA Power Bond Prices'!$H$1:$U$96,MATCH('Value of Debt (listed bonds)'!G$3,'SA Power Bond Prices'!$H$1:$H$96,0),MATCH('Value of Debt (listed bonds)'!$B86,'SA Power Bond Prices'!$H$1:$U$1,0))/100))</f>
        <v>0</v>
      </c>
      <c r="H86" s="171">
        <f>INDEX('SA Power Bonds'!$D$29:$D$41,MATCH('Value of Debt (listed bonds)'!$B86,'SA Power Bonds'!$H$29:$H$41,0))*((INDEX('SA Power Bond Prices'!$H$1:$U$96,MATCH('Value of Debt (listed bonds)'!H$3,'SA Power Bond Prices'!$H$1:$H$96,0),MATCH('Value of Debt (listed bonds)'!$B86,'SA Power Bond Prices'!$H$1:$U$1,0))/100))</f>
        <v>0</v>
      </c>
      <c r="I86" s="171">
        <f>INDEX('SA Power Bonds'!$D$29:$D$41,MATCH('Value of Debt (listed bonds)'!$B86,'SA Power Bonds'!$H$29:$H$41,0))*((INDEX('SA Power Bond Prices'!$H$1:$U$96,MATCH('Value of Debt (listed bonds)'!I$3,'SA Power Bond Prices'!$H$1:$H$96,0),MATCH('Value of Debt (listed bonds)'!$B86,'SA Power Bond Prices'!$H$1:$U$1,0))/100))</f>
        <v>0</v>
      </c>
      <c r="J86" s="171">
        <f>INDEX('SA Power Bonds'!$D$29:$D$41,MATCH('Value of Debt (listed bonds)'!$B86,'SA Power Bonds'!$H$29:$H$41,0))*((INDEX('SA Power Bond Prices'!$H$1:$U$96,MATCH('Value of Debt (listed bonds)'!J$3,'SA Power Bond Prices'!$H$1:$H$96,0),MATCH('Value of Debt (listed bonds)'!$B86,'SA Power Bond Prices'!$H$1:$U$1,0))/100))</f>
        <v>0</v>
      </c>
      <c r="K86" s="171">
        <f>INDEX('SA Power Bonds'!$D$29:$D$41,MATCH('Value of Debt (listed bonds)'!$B86,'SA Power Bonds'!$H$29:$H$41,0))*((INDEX('SA Power Bond Prices'!$H$1:$U$96,MATCH('Value of Debt (listed bonds)'!K$3,'SA Power Bond Prices'!$H$1:$H$96,0),MATCH('Value of Debt (listed bonds)'!$B86,'SA Power Bond Prices'!$H$1:$U$1,0))/100))</f>
        <v>0</v>
      </c>
      <c r="L86" s="171">
        <f>INDEX('SA Power Bonds'!$D$29:$D$41,MATCH('Value of Debt (listed bonds)'!$B86,'SA Power Bonds'!$H$29:$H$41,0))*((INDEX('SA Power Bond Prices'!$H$1:$U$96,MATCH('Value of Debt (listed bonds)'!L$3,'SA Power Bond Prices'!$H$1:$H$96,0),MATCH('Value of Debt (listed bonds)'!$B86,'SA Power Bond Prices'!$H$1:$U$1,0))/100))</f>
        <v>0</v>
      </c>
      <c r="M86" s="171" t="e">
        <f>INDEX('SA Power Bonds'!$D$29:$D$41,MATCH('Value of Debt (listed bonds)'!$B86,'SA Power Bonds'!$H$29:$H$41,0))*((INDEX('SA Power Bond Prices'!$H$1:$U$96,MATCH('Value of Debt (listed bonds)'!M$3,'SA Power Bond Prices'!$H$1:$H$96,0),MATCH('Value of Debt (listed bonds)'!$B86,'SA Power Bond Prices'!$H$1:$U$1,0))/100))</f>
        <v>#N/A</v>
      </c>
      <c r="N86" s="171" t="e">
        <f>INDEX('SA Power Bonds'!$D$29:$D$41,MATCH('Value of Debt (listed bonds)'!$B86,'SA Power Bonds'!$H$29:$H$41,0))*((INDEX('SA Power Bond Prices'!$H$1:$U$96,MATCH('Value of Debt (listed bonds)'!N$3,'SA Power Bond Prices'!$H$1:$H$96,0),MATCH('Value of Debt (listed bonds)'!$B86,'SA Power Bond Prices'!$H$1:$U$1,0))/100))</f>
        <v>#N/A</v>
      </c>
      <c r="O86" s="171" t="e">
        <f>INDEX('SA Power Bonds'!$D$29:$D$41,MATCH('Value of Debt (listed bonds)'!$B86,'SA Power Bonds'!$H$29:$H$41,0))*((INDEX('SA Power Bond Prices'!$H$1:$U$96,MATCH('Value of Debt (listed bonds)'!O$3,'SA Power Bond Prices'!$H$1:$H$96,0),MATCH('Value of Debt (listed bonds)'!$B86,'SA Power Bond Prices'!$H$1:$U$1,0))/100))</f>
        <v>#N/A</v>
      </c>
      <c r="P86" s="171" t="e">
        <f>INDEX('SA Power Bonds'!$D$29:$D$41,MATCH('Value of Debt (listed bonds)'!$B86,'SA Power Bonds'!$H$29:$H$41,0))*((INDEX('SA Power Bond Prices'!$H$1:$U$96,MATCH('Value of Debt (listed bonds)'!P$3,'SA Power Bond Prices'!$H$1:$H$96,0),MATCH('Value of Debt (listed bonds)'!$B86,'SA Power Bond Prices'!$H$1:$U$1,0))/100))</f>
        <v>#N/A</v>
      </c>
      <c r="Q86" s="171" t="e">
        <f>INDEX('SA Power Bonds'!$D$29:$D$41,MATCH('Value of Debt (listed bonds)'!$B86,'SA Power Bonds'!$H$29:$H$41,0))*((INDEX('SA Power Bond Prices'!$H$1:$U$96,MATCH('Value of Debt (listed bonds)'!Q$3,'SA Power Bond Prices'!$H$1:$H$96,0),MATCH('Value of Debt (listed bonds)'!$B86,'SA Power Bond Prices'!$H$1:$U$1,0))/100))</f>
        <v>#N/A</v>
      </c>
    </row>
    <row r="87" spans="2:17">
      <c r="B87" s="172" t="s">
        <v>285</v>
      </c>
      <c r="F87" s="171">
        <f>INDEX('SA Power Bonds'!$D$29:$D$41,MATCH('Value of Debt (listed bonds)'!$B87,'SA Power Bonds'!$H$29:$H$41,0))*((INDEX('SA Power Bond Prices'!$H$1:$U$96,MATCH('Value of Debt (listed bonds)'!F$3,'SA Power Bond Prices'!$H$1:$H$96,0),MATCH('Value of Debt (listed bonds)'!$B87,'SA Power Bond Prices'!$H$1:$U$1,0))/100))</f>
        <v>0</v>
      </c>
      <c r="G87" s="171">
        <f>INDEX('SA Power Bonds'!$D$29:$D$41,MATCH('Value of Debt (listed bonds)'!$B87,'SA Power Bonds'!$H$29:$H$41,0))*((INDEX('SA Power Bond Prices'!$H$1:$U$96,MATCH('Value of Debt (listed bonds)'!G$3,'SA Power Bond Prices'!$H$1:$H$96,0),MATCH('Value of Debt (listed bonds)'!$B87,'SA Power Bond Prices'!$H$1:$U$1,0))/100))</f>
        <v>0</v>
      </c>
      <c r="H87" s="171">
        <f>INDEX('SA Power Bonds'!$D$29:$D$41,MATCH('Value of Debt (listed bonds)'!$B87,'SA Power Bonds'!$H$29:$H$41,0))*((INDEX('SA Power Bond Prices'!$H$1:$U$96,MATCH('Value of Debt (listed bonds)'!H$3,'SA Power Bond Prices'!$H$1:$H$96,0),MATCH('Value of Debt (listed bonds)'!$B87,'SA Power Bond Prices'!$H$1:$U$1,0))/100))</f>
        <v>0</v>
      </c>
      <c r="I87" s="171">
        <f>INDEX('SA Power Bonds'!$D$29:$D$41,MATCH('Value of Debt (listed bonds)'!$B87,'SA Power Bonds'!$H$29:$H$41,0))*((INDEX('SA Power Bond Prices'!$H$1:$U$96,MATCH('Value of Debt (listed bonds)'!I$3,'SA Power Bond Prices'!$H$1:$H$96,0),MATCH('Value of Debt (listed bonds)'!$B87,'SA Power Bond Prices'!$H$1:$U$1,0))/100))</f>
        <v>0</v>
      </c>
      <c r="J87" s="171">
        <f>INDEX('SA Power Bonds'!$D$29:$D$41,MATCH('Value of Debt (listed bonds)'!$B87,'SA Power Bonds'!$H$29:$H$41,0))*((INDEX('SA Power Bond Prices'!$H$1:$U$96,MATCH('Value of Debt (listed bonds)'!J$3,'SA Power Bond Prices'!$H$1:$H$96,0),MATCH('Value of Debt (listed bonds)'!$B87,'SA Power Bond Prices'!$H$1:$U$1,0))/100))</f>
        <v>0</v>
      </c>
      <c r="K87" s="171">
        <f>INDEX('SA Power Bonds'!$D$29:$D$41,MATCH('Value of Debt (listed bonds)'!$B87,'SA Power Bonds'!$H$29:$H$41,0))*((INDEX('SA Power Bond Prices'!$H$1:$U$96,MATCH('Value of Debt (listed bonds)'!K$3,'SA Power Bond Prices'!$H$1:$H$96,0),MATCH('Value of Debt (listed bonds)'!$B87,'SA Power Bond Prices'!$H$1:$U$1,0))/100))</f>
        <v>0</v>
      </c>
      <c r="L87" s="171">
        <f>INDEX('SA Power Bonds'!$D$29:$D$41,MATCH('Value of Debt (listed bonds)'!$B87,'SA Power Bonds'!$H$29:$H$41,0))*((INDEX('SA Power Bond Prices'!$H$1:$U$96,MATCH('Value of Debt (listed bonds)'!L$3,'SA Power Bond Prices'!$H$1:$H$96,0),MATCH('Value of Debt (listed bonds)'!$B87,'SA Power Bond Prices'!$H$1:$U$1,0))/100))</f>
        <v>0</v>
      </c>
      <c r="M87" s="171" t="e">
        <f>INDEX('SA Power Bonds'!$D$29:$D$41,MATCH('Value of Debt (listed bonds)'!$B87,'SA Power Bonds'!$H$29:$H$41,0))*((INDEX('SA Power Bond Prices'!$H$1:$U$96,MATCH('Value of Debt (listed bonds)'!M$3,'SA Power Bond Prices'!$H$1:$H$96,0),MATCH('Value of Debt (listed bonds)'!$B87,'SA Power Bond Prices'!$H$1:$U$1,0))/100))</f>
        <v>#N/A</v>
      </c>
      <c r="N87" s="171" t="e">
        <f>INDEX('SA Power Bonds'!$D$29:$D$41,MATCH('Value of Debt (listed bonds)'!$B87,'SA Power Bonds'!$H$29:$H$41,0))*((INDEX('SA Power Bond Prices'!$H$1:$U$96,MATCH('Value of Debt (listed bonds)'!N$3,'SA Power Bond Prices'!$H$1:$H$96,0),MATCH('Value of Debt (listed bonds)'!$B87,'SA Power Bond Prices'!$H$1:$U$1,0))/100))</f>
        <v>#N/A</v>
      </c>
      <c r="O87" s="171" t="e">
        <f>INDEX('SA Power Bonds'!$D$29:$D$41,MATCH('Value of Debt (listed bonds)'!$B87,'SA Power Bonds'!$H$29:$H$41,0))*((INDEX('SA Power Bond Prices'!$H$1:$U$96,MATCH('Value of Debt (listed bonds)'!O$3,'SA Power Bond Prices'!$H$1:$H$96,0),MATCH('Value of Debt (listed bonds)'!$B87,'SA Power Bond Prices'!$H$1:$U$1,0))/100))</f>
        <v>#N/A</v>
      </c>
      <c r="P87" s="171" t="e">
        <f>INDEX('SA Power Bonds'!$D$29:$D$41,MATCH('Value of Debt (listed bonds)'!$B87,'SA Power Bonds'!$H$29:$H$41,0))*((INDEX('SA Power Bond Prices'!$H$1:$U$96,MATCH('Value of Debt (listed bonds)'!P$3,'SA Power Bond Prices'!$H$1:$H$96,0),MATCH('Value of Debt (listed bonds)'!$B87,'SA Power Bond Prices'!$H$1:$U$1,0))/100))</f>
        <v>#N/A</v>
      </c>
      <c r="Q87" s="171" t="e">
        <f>INDEX('SA Power Bonds'!$D$29:$D$41,MATCH('Value of Debt (listed bonds)'!$B87,'SA Power Bonds'!$H$29:$H$41,0))*((INDEX('SA Power Bond Prices'!$H$1:$U$96,MATCH('Value of Debt (listed bonds)'!Q$3,'SA Power Bond Prices'!$H$1:$H$96,0),MATCH('Value of Debt (listed bonds)'!$B87,'SA Power Bond Prices'!$H$1:$U$1,0))/100))</f>
        <v>#N/A</v>
      </c>
    </row>
    <row r="88" spans="2:17">
      <c r="B88" s="172" t="s">
        <v>286</v>
      </c>
      <c r="F88" s="171">
        <f>INDEX('SA Power Bonds'!$D$29:$D$41,MATCH('Value of Debt (listed bonds)'!$B88,'SA Power Bonds'!$H$29:$H$41,0))*((INDEX('SA Power Bond Prices'!$H$1:$U$96,MATCH('Value of Debt (listed bonds)'!F$3,'SA Power Bond Prices'!$H$1:$H$96,0),MATCH('Value of Debt (listed bonds)'!$B88,'SA Power Bond Prices'!$H$1:$U$1,0))/100))</f>
        <v>0</v>
      </c>
      <c r="G88" s="171">
        <f>INDEX('SA Power Bonds'!$D$29:$D$41,MATCH('Value of Debt (listed bonds)'!$B88,'SA Power Bonds'!$H$29:$H$41,0))*((INDEX('SA Power Bond Prices'!$H$1:$U$96,MATCH('Value of Debt (listed bonds)'!G$3,'SA Power Bond Prices'!$H$1:$H$96,0),MATCH('Value of Debt (listed bonds)'!$B88,'SA Power Bond Prices'!$H$1:$U$1,0))/100))</f>
        <v>0</v>
      </c>
      <c r="H88" s="171">
        <f>INDEX('SA Power Bonds'!$D$29:$D$41,MATCH('Value of Debt (listed bonds)'!$B88,'SA Power Bonds'!$H$29:$H$41,0))*((INDEX('SA Power Bond Prices'!$H$1:$U$96,MATCH('Value of Debt (listed bonds)'!H$3,'SA Power Bond Prices'!$H$1:$H$96,0),MATCH('Value of Debt (listed bonds)'!$B88,'SA Power Bond Prices'!$H$1:$U$1,0))/100))</f>
        <v>0</v>
      </c>
      <c r="I88" s="171">
        <f>INDEX('SA Power Bonds'!$D$29:$D$41,MATCH('Value of Debt (listed bonds)'!$B88,'SA Power Bonds'!$H$29:$H$41,0))*((INDEX('SA Power Bond Prices'!$H$1:$U$96,MATCH('Value of Debt (listed bonds)'!I$3,'SA Power Bond Prices'!$H$1:$H$96,0),MATCH('Value of Debt (listed bonds)'!$B88,'SA Power Bond Prices'!$H$1:$U$1,0))/100))</f>
        <v>0</v>
      </c>
      <c r="J88" s="171">
        <f>INDEX('SA Power Bonds'!$D$29:$D$41,MATCH('Value of Debt (listed bonds)'!$B88,'SA Power Bonds'!$H$29:$H$41,0))*((INDEX('SA Power Bond Prices'!$H$1:$U$96,MATCH('Value of Debt (listed bonds)'!J$3,'SA Power Bond Prices'!$H$1:$H$96,0),MATCH('Value of Debt (listed bonds)'!$B88,'SA Power Bond Prices'!$H$1:$U$1,0))/100))</f>
        <v>0</v>
      </c>
      <c r="K88" s="171">
        <f>INDEX('SA Power Bonds'!$D$29:$D$41,MATCH('Value of Debt (listed bonds)'!$B88,'SA Power Bonds'!$H$29:$H$41,0))*((INDEX('SA Power Bond Prices'!$H$1:$U$96,MATCH('Value of Debt (listed bonds)'!K$3,'SA Power Bond Prices'!$H$1:$H$96,0),MATCH('Value of Debt (listed bonds)'!$B88,'SA Power Bond Prices'!$H$1:$U$1,0))/100))</f>
        <v>0</v>
      </c>
      <c r="L88" s="171">
        <f>INDEX('SA Power Bonds'!$D$29:$D$41,MATCH('Value of Debt (listed bonds)'!$B88,'SA Power Bonds'!$H$29:$H$41,0))*((INDEX('SA Power Bond Prices'!$H$1:$U$96,MATCH('Value of Debt (listed bonds)'!L$3,'SA Power Bond Prices'!$H$1:$H$96,0),MATCH('Value of Debt (listed bonds)'!$B88,'SA Power Bond Prices'!$H$1:$U$1,0))/100))</f>
        <v>0</v>
      </c>
      <c r="M88" s="171" t="e">
        <f>INDEX('SA Power Bonds'!$D$29:$D$41,MATCH('Value of Debt (listed bonds)'!$B88,'SA Power Bonds'!$H$29:$H$41,0))*((INDEX('SA Power Bond Prices'!$H$1:$U$96,MATCH('Value of Debt (listed bonds)'!M$3,'SA Power Bond Prices'!$H$1:$H$96,0),MATCH('Value of Debt (listed bonds)'!$B88,'SA Power Bond Prices'!$H$1:$U$1,0))/100))</f>
        <v>#N/A</v>
      </c>
      <c r="N88" s="171" t="e">
        <f>INDEX('SA Power Bonds'!$D$29:$D$41,MATCH('Value of Debt (listed bonds)'!$B88,'SA Power Bonds'!$H$29:$H$41,0))*((INDEX('SA Power Bond Prices'!$H$1:$U$96,MATCH('Value of Debt (listed bonds)'!N$3,'SA Power Bond Prices'!$H$1:$H$96,0),MATCH('Value of Debt (listed bonds)'!$B88,'SA Power Bond Prices'!$H$1:$U$1,0))/100))</f>
        <v>#N/A</v>
      </c>
      <c r="O88" s="171" t="e">
        <f>INDEX('SA Power Bonds'!$D$29:$D$41,MATCH('Value of Debt (listed bonds)'!$B88,'SA Power Bonds'!$H$29:$H$41,0))*((INDEX('SA Power Bond Prices'!$H$1:$U$96,MATCH('Value of Debt (listed bonds)'!O$3,'SA Power Bond Prices'!$H$1:$H$96,0),MATCH('Value of Debt (listed bonds)'!$B88,'SA Power Bond Prices'!$H$1:$U$1,0))/100))</f>
        <v>#N/A</v>
      </c>
      <c r="P88" s="171" t="e">
        <f>INDEX('SA Power Bonds'!$D$29:$D$41,MATCH('Value of Debt (listed bonds)'!$B88,'SA Power Bonds'!$H$29:$H$41,0))*((INDEX('SA Power Bond Prices'!$H$1:$U$96,MATCH('Value of Debt (listed bonds)'!P$3,'SA Power Bond Prices'!$H$1:$H$96,0),MATCH('Value of Debt (listed bonds)'!$B88,'SA Power Bond Prices'!$H$1:$U$1,0))/100))</f>
        <v>#N/A</v>
      </c>
      <c r="Q88" s="171" t="e">
        <f>INDEX('SA Power Bonds'!$D$29:$D$41,MATCH('Value of Debt (listed bonds)'!$B88,'SA Power Bonds'!$H$29:$H$41,0))*((INDEX('SA Power Bond Prices'!$H$1:$U$96,MATCH('Value of Debt (listed bonds)'!Q$3,'SA Power Bond Prices'!$H$1:$H$96,0),MATCH('Value of Debt (listed bonds)'!$B88,'SA Power Bond Prices'!$H$1:$U$1,0))/100))</f>
        <v>#N/A</v>
      </c>
    </row>
    <row r="89" spans="2:17">
      <c r="B89" s="172" t="s">
        <v>287</v>
      </c>
      <c r="F89" s="171">
        <f>INDEX('SA Power Bonds'!$D$29:$D$41,MATCH('Value of Debt (listed bonds)'!$B89,'SA Power Bonds'!$H$29:$H$41,0))*((INDEX('SA Power Bond Prices'!$H$1:$U$96,MATCH('Value of Debt (listed bonds)'!F$3,'SA Power Bond Prices'!$H$1:$H$96,0),MATCH('Value of Debt (listed bonds)'!$B89,'SA Power Bond Prices'!$H$1:$U$1,0))/100))</f>
        <v>0</v>
      </c>
      <c r="G89" s="171">
        <f>INDEX('SA Power Bonds'!$D$29:$D$41,MATCH('Value of Debt (listed bonds)'!$B89,'SA Power Bonds'!$H$29:$H$41,0))*((INDEX('SA Power Bond Prices'!$H$1:$U$96,MATCH('Value of Debt (listed bonds)'!G$3,'SA Power Bond Prices'!$H$1:$H$96,0),MATCH('Value of Debt (listed bonds)'!$B89,'SA Power Bond Prices'!$H$1:$U$1,0))/100))</f>
        <v>0</v>
      </c>
      <c r="H89" s="171">
        <f>INDEX('SA Power Bonds'!$D$29:$D$41,MATCH('Value of Debt (listed bonds)'!$B89,'SA Power Bonds'!$H$29:$H$41,0))*((INDEX('SA Power Bond Prices'!$H$1:$U$96,MATCH('Value of Debt (listed bonds)'!H$3,'SA Power Bond Prices'!$H$1:$H$96,0),MATCH('Value of Debt (listed bonds)'!$B89,'SA Power Bond Prices'!$H$1:$U$1,0))/100))</f>
        <v>0</v>
      </c>
      <c r="I89" s="171">
        <f>INDEX('SA Power Bonds'!$D$29:$D$41,MATCH('Value of Debt (listed bonds)'!$B89,'SA Power Bonds'!$H$29:$H$41,0))*((INDEX('SA Power Bond Prices'!$H$1:$U$96,MATCH('Value of Debt (listed bonds)'!I$3,'SA Power Bond Prices'!$H$1:$H$96,0),MATCH('Value of Debt (listed bonds)'!$B89,'SA Power Bond Prices'!$H$1:$U$1,0))/100))</f>
        <v>0</v>
      </c>
      <c r="J89" s="171">
        <f>INDEX('SA Power Bonds'!$D$29:$D$41,MATCH('Value of Debt (listed bonds)'!$B89,'SA Power Bonds'!$H$29:$H$41,0))*((INDEX('SA Power Bond Prices'!$H$1:$U$96,MATCH('Value of Debt (listed bonds)'!J$3,'SA Power Bond Prices'!$H$1:$H$96,0),MATCH('Value of Debt (listed bonds)'!$B89,'SA Power Bond Prices'!$H$1:$U$1,0))/100))</f>
        <v>0</v>
      </c>
      <c r="K89" s="171">
        <f>INDEX('SA Power Bonds'!$D$29:$D$41,MATCH('Value of Debt (listed bonds)'!$B89,'SA Power Bonds'!$H$29:$H$41,0))*((INDEX('SA Power Bond Prices'!$H$1:$U$96,MATCH('Value of Debt (listed bonds)'!K$3,'SA Power Bond Prices'!$H$1:$H$96,0),MATCH('Value of Debt (listed bonds)'!$B89,'SA Power Bond Prices'!$H$1:$U$1,0))/100))</f>
        <v>0</v>
      </c>
      <c r="L89" s="171">
        <f>INDEX('SA Power Bonds'!$D$29:$D$41,MATCH('Value of Debt (listed bonds)'!$B89,'SA Power Bonds'!$H$29:$H$41,0))*((INDEX('SA Power Bond Prices'!$H$1:$U$96,MATCH('Value of Debt (listed bonds)'!L$3,'SA Power Bond Prices'!$H$1:$H$96,0),MATCH('Value of Debt (listed bonds)'!$B89,'SA Power Bond Prices'!$H$1:$U$1,0))/100))</f>
        <v>0</v>
      </c>
      <c r="M89" s="171" t="e">
        <f>INDEX('SA Power Bonds'!$D$29:$D$41,MATCH('Value of Debt (listed bonds)'!$B89,'SA Power Bonds'!$H$29:$H$41,0))*((INDEX('SA Power Bond Prices'!$H$1:$U$96,MATCH('Value of Debt (listed bonds)'!M$3,'SA Power Bond Prices'!$H$1:$H$96,0),MATCH('Value of Debt (listed bonds)'!$B89,'SA Power Bond Prices'!$H$1:$U$1,0))/100))</f>
        <v>#N/A</v>
      </c>
      <c r="N89" s="171" t="e">
        <f>INDEX('SA Power Bonds'!$D$29:$D$41,MATCH('Value of Debt (listed bonds)'!$B89,'SA Power Bonds'!$H$29:$H$41,0))*((INDEX('SA Power Bond Prices'!$H$1:$U$96,MATCH('Value of Debt (listed bonds)'!N$3,'SA Power Bond Prices'!$H$1:$H$96,0),MATCH('Value of Debt (listed bonds)'!$B89,'SA Power Bond Prices'!$H$1:$U$1,0))/100))</f>
        <v>#N/A</v>
      </c>
      <c r="O89" s="171" t="e">
        <f>INDEX('SA Power Bonds'!$D$29:$D$41,MATCH('Value of Debt (listed bonds)'!$B89,'SA Power Bonds'!$H$29:$H$41,0))*((INDEX('SA Power Bond Prices'!$H$1:$U$96,MATCH('Value of Debt (listed bonds)'!O$3,'SA Power Bond Prices'!$H$1:$H$96,0),MATCH('Value of Debt (listed bonds)'!$B89,'SA Power Bond Prices'!$H$1:$U$1,0))/100))</f>
        <v>#N/A</v>
      </c>
      <c r="P89" s="171" t="e">
        <f>INDEX('SA Power Bonds'!$D$29:$D$41,MATCH('Value of Debt (listed bonds)'!$B89,'SA Power Bonds'!$H$29:$H$41,0))*((INDEX('SA Power Bond Prices'!$H$1:$U$96,MATCH('Value of Debt (listed bonds)'!P$3,'SA Power Bond Prices'!$H$1:$H$96,0),MATCH('Value of Debt (listed bonds)'!$B89,'SA Power Bond Prices'!$H$1:$U$1,0))/100))</f>
        <v>#N/A</v>
      </c>
      <c r="Q89" s="171" t="e">
        <f>INDEX('SA Power Bonds'!$D$29:$D$41,MATCH('Value of Debt (listed bonds)'!$B89,'SA Power Bonds'!$H$29:$H$41,0))*((INDEX('SA Power Bond Prices'!$H$1:$U$96,MATCH('Value of Debt (listed bonds)'!Q$3,'SA Power Bond Prices'!$H$1:$H$96,0),MATCH('Value of Debt (listed bonds)'!$B89,'SA Power Bond Prices'!$H$1:$U$1,0))/100))</f>
        <v>#N/A</v>
      </c>
    </row>
    <row r="90" spans="2:17">
      <c r="B90" s="172" t="s">
        <v>288</v>
      </c>
      <c r="F90" s="171">
        <f>INDEX('SA Power Bonds'!$D$29:$D$41,MATCH('Value of Debt (listed bonds)'!$B90,'SA Power Bonds'!$H$29:$H$41,0))*((INDEX('SA Power Bond Prices'!$H$1:$U$96,MATCH('Value of Debt (listed bonds)'!F$3,'SA Power Bond Prices'!$H$1:$H$96,0),MATCH('Value of Debt (listed bonds)'!$B90,'SA Power Bond Prices'!$H$1:$U$1,0))/100))</f>
        <v>262188000</v>
      </c>
      <c r="G90" s="171">
        <f>INDEX('SA Power Bonds'!$D$29:$D$41,MATCH('Value of Debt (listed bonds)'!$B90,'SA Power Bonds'!$H$29:$H$41,0))*((INDEX('SA Power Bond Prices'!$H$1:$U$96,MATCH('Value of Debt (listed bonds)'!G$3,'SA Power Bond Prices'!$H$1:$H$96,0),MATCH('Value of Debt (listed bonds)'!$B90,'SA Power Bond Prices'!$H$1:$U$1,0))/100))</f>
        <v>283206000</v>
      </c>
      <c r="H90" s="171">
        <f>INDEX('SA Power Bonds'!$D$29:$D$41,MATCH('Value of Debt (listed bonds)'!$B90,'SA Power Bonds'!$H$29:$H$41,0))*((INDEX('SA Power Bond Prices'!$H$1:$U$96,MATCH('Value of Debt (listed bonds)'!H$3,'SA Power Bond Prices'!$H$1:$H$96,0),MATCH('Value of Debt (listed bonds)'!$B90,'SA Power Bond Prices'!$H$1:$U$1,0))/100))</f>
        <v>295884000</v>
      </c>
      <c r="I90" s="171">
        <f>INDEX('SA Power Bonds'!$D$29:$D$41,MATCH('Value of Debt (listed bonds)'!$B90,'SA Power Bonds'!$H$29:$H$41,0))*((INDEX('SA Power Bond Prices'!$H$1:$U$96,MATCH('Value of Debt (listed bonds)'!I$3,'SA Power Bond Prices'!$H$1:$H$96,0),MATCH('Value of Debt (listed bonds)'!$B90,'SA Power Bond Prices'!$H$1:$U$1,0))/100))</f>
        <v>298353924</v>
      </c>
      <c r="J90" s="171">
        <f>INDEX('SA Power Bonds'!$D$29:$D$41,MATCH('Value of Debt (listed bonds)'!$B90,'SA Power Bonds'!$H$29:$H$41,0))*((INDEX('SA Power Bond Prices'!$H$1:$U$96,MATCH('Value of Debt (listed bonds)'!J$3,'SA Power Bond Prices'!$H$1:$H$96,0),MATCH('Value of Debt (listed bonds)'!$B90,'SA Power Bond Prices'!$H$1:$U$1,0))/100))</f>
        <v>300417000</v>
      </c>
      <c r="K90" s="171">
        <f>INDEX('SA Power Bonds'!$D$29:$D$41,MATCH('Value of Debt (listed bonds)'!$B90,'SA Power Bonds'!$H$29:$H$41,0))*((INDEX('SA Power Bond Prices'!$H$1:$U$96,MATCH('Value of Debt (listed bonds)'!K$3,'SA Power Bond Prices'!$H$1:$H$96,0),MATCH('Value of Debt (listed bonds)'!$B90,'SA Power Bond Prices'!$H$1:$U$1,0))/100))</f>
        <v>0</v>
      </c>
      <c r="L90" s="171">
        <f>INDEX('SA Power Bonds'!$D$29:$D$41,MATCH('Value of Debt (listed bonds)'!$B90,'SA Power Bonds'!$H$29:$H$41,0))*((INDEX('SA Power Bond Prices'!$H$1:$U$96,MATCH('Value of Debt (listed bonds)'!L$3,'SA Power Bond Prices'!$H$1:$H$96,0),MATCH('Value of Debt (listed bonds)'!$B90,'SA Power Bond Prices'!$H$1:$U$1,0))/100))</f>
        <v>0</v>
      </c>
      <c r="M90" s="171" t="e">
        <f>INDEX('SA Power Bonds'!$D$29:$D$41,MATCH('Value of Debt (listed bonds)'!$B90,'SA Power Bonds'!$H$29:$H$41,0))*((INDEX('SA Power Bond Prices'!$H$1:$U$96,MATCH('Value of Debt (listed bonds)'!M$3,'SA Power Bond Prices'!$H$1:$H$96,0),MATCH('Value of Debt (listed bonds)'!$B90,'SA Power Bond Prices'!$H$1:$U$1,0))/100))</f>
        <v>#N/A</v>
      </c>
      <c r="N90" s="171" t="e">
        <f>INDEX('SA Power Bonds'!$D$29:$D$41,MATCH('Value of Debt (listed bonds)'!$B90,'SA Power Bonds'!$H$29:$H$41,0))*((INDEX('SA Power Bond Prices'!$H$1:$U$96,MATCH('Value of Debt (listed bonds)'!N$3,'SA Power Bond Prices'!$H$1:$H$96,0),MATCH('Value of Debt (listed bonds)'!$B90,'SA Power Bond Prices'!$H$1:$U$1,0))/100))</f>
        <v>#N/A</v>
      </c>
      <c r="O90" s="171" t="e">
        <f>INDEX('SA Power Bonds'!$D$29:$D$41,MATCH('Value of Debt (listed bonds)'!$B90,'SA Power Bonds'!$H$29:$H$41,0))*((INDEX('SA Power Bond Prices'!$H$1:$U$96,MATCH('Value of Debt (listed bonds)'!O$3,'SA Power Bond Prices'!$H$1:$H$96,0),MATCH('Value of Debt (listed bonds)'!$B90,'SA Power Bond Prices'!$H$1:$U$1,0))/100))</f>
        <v>#N/A</v>
      </c>
      <c r="P90" s="171" t="e">
        <f>INDEX('SA Power Bonds'!$D$29:$D$41,MATCH('Value of Debt (listed bonds)'!$B90,'SA Power Bonds'!$H$29:$H$41,0))*((INDEX('SA Power Bond Prices'!$H$1:$U$96,MATCH('Value of Debt (listed bonds)'!P$3,'SA Power Bond Prices'!$H$1:$H$96,0),MATCH('Value of Debt (listed bonds)'!$B90,'SA Power Bond Prices'!$H$1:$U$1,0))/100))</f>
        <v>#N/A</v>
      </c>
      <c r="Q90" s="171" t="e">
        <f>INDEX('SA Power Bonds'!$D$29:$D$41,MATCH('Value of Debt (listed bonds)'!$B90,'SA Power Bonds'!$H$29:$H$41,0))*((INDEX('SA Power Bond Prices'!$H$1:$U$96,MATCH('Value of Debt (listed bonds)'!Q$3,'SA Power Bond Prices'!$H$1:$H$96,0),MATCH('Value of Debt (listed bonds)'!$B90,'SA Power Bond Prices'!$H$1:$U$1,0))/100))</f>
        <v>#N/A</v>
      </c>
    </row>
    <row r="91" spans="2:17">
      <c r="B91" s="172" t="s">
        <v>227</v>
      </c>
      <c r="F91" s="171">
        <f>INDEX('SA Power Bonds'!$D$29:$D$41,MATCH('Value of Debt (listed bonds)'!$B91,'SA Power Bonds'!$H$29:$H$41,0))*((INDEX('SA Power Bond Prices'!$H$1:$U$96,MATCH('Value of Debt (listed bonds)'!F$3,'SA Power Bond Prices'!$H$1:$H$96,0),MATCH('Value of Debt (listed bonds)'!$B91,'SA Power Bond Prices'!$H$1:$U$1,0))/100))</f>
        <v>0</v>
      </c>
      <c r="G91" s="171">
        <f>INDEX('SA Power Bonds'!$D$29:$D$41,MATCH('Value of Debt (listed bonds)'!$B91,'SA Power Bonds'!$H$29:$H$41,0))*((INDEX('SA Power Bond Prices'!$H$1:$U$96,MATCH('Value of Debt (listed bonds)'!G$3,'SA Power Bond Prices'!$H$1:$H$96,0),MATCH('Value of Debt (listed bonds)'!$B91,'SA Power Bond Prices'!$H$1:$U$1,0))/100))</f>
        <v>0</v>
      </c>
      <c r="H91" s="171">
        <f>INDEX('SA Power Bonds'!$D$29:$D$41,MATCH('Value of Debt (listed bonds)'!$B91,'SA Power Bonds'!$H$29:$H$41,0))*((INDEX('SA Power Bond Prices'!$H$1:$U$96,MATCH('Value of Debt (listed bonds)'!H$3,'SA Power Bond Prices'!$H$1:$H$96,0),MATCH('Value of Debt (listed bonds)'!$B91,'SA Power Bond Prices'!$H$1:$U$1,0))/100))</f>
        <v>0</v>
      </c>
      <c r="I91" s="171">
        <f>INDEX('SA Power Bonds'!$D$29:$D$41,MATCH('Value of Debt (listed bonds)'!$B91,'SA Power Bonds'!$H$29:$H$41,0))*((INDEX('SA Power Bond Prices'!$H$1:$U$96,MATCH('Value of Debt (listed bonds)'!I$3,'SA Power Bond Prices'!$H$1:$H$96,0),MATCH('Value of Debt (listed bonds)'!$B91,'SA Power Bond Prices'!$H$1:$U$1,0))/100))</f>
        <v>0</v>
      </c>
      <c r="J91" s="171">
        <f>INDEX('SA Power Bonds'!$D$29:$D$41,MATCH('Value of Debt (listed bonds)'!$B91,'SA Power Bonds'!$H$29:$H$41,0))*((INDEX('SA Power Bond Prices'!$H$1:$U$96,MATCH('Value of Debt (listed bonds)'!J$3,'SA Power Bond Prices'!$H$1:$H$96,0),MATCH('Value of Debt (listed bonds)'!$B91,'SA Power Bond Prices'!$H$1:$U$1,0))/100))</f>
        <v>0</v>
      </c>
      <c r="K91" s="171">
        <f>INDEX('SA Power Bonds'!$D$29:$D$41,MATCH('Value of Debt (listed bonds)'!$B91,'SA Power Bonds'!$H$29:$H$41,0))*((INDEX('SA Power Bond Prices'!$H$1:$U$96,MATCH('Value of Debt (listed bonds)'!K$3,'SA Power Bond Prices'!$H$1:$H$96,0),MATCH('Value of Debt (listed bonds)'!$B91,'SA Power Bond Prices'!$H$1:$U$1,0))/100))</f>
        <v>0</v>
      </c>
      <c r="L91" s="171">
        <f>INDEX('SA Power Bonds'!$D$29:$D$41,MATCH('Value of Debt (listed bonds)'!$B91,'SA Power Bonds'!$H$29:$H$41,0))*((INDEX('SA Power Bond Prices'!$H$1:$U$96,MATCH('Value of Debt (listed bonds)'!L$3,'SA Power Bond Prices'!$H$1:$H$96,0),MATCH('Value of Debt (listed bonds)'!$B91,'SA Power Bond Prices'!$H$1:$U$1,0))/100))</f>
        <v>0</v>
      </c>
      <c r="M91" s="171" t="e">
        <f>INDEX('SA Power Bonds'!$D$29:$D$41,MATCH('Value of Debt (listed bonds)'!$B91,'SA Power Bonds'!$H$29:$H$41,0))*((INDEX('SA Power Bond Prices'!$H$1:$U$96,MATCH('Value of Debt (listed bonds)'!M$3,'SA Power Bond Prices'!$H$1:$H$96,0),MATCH('Value of Debt (listed bonds)'!$B91,'SA Power Bond Prices'!$H$1:$U$1,0))/100))</f>
        <v>#N/A</v>
      </c>
      <c r="N91" s="171" t="e">
        <f>INDEX('SA Power Bonds'!$D$29:$D$41,MATCH('Value of Debt (listed bonds)'!$B91,'SA Power Bonds'!$H$29:$H$41,0))*((INDEX('SA Power Bond Prices'!$H$1:$U$96,MATCH('Value of Debt (listed bonds)'!N$3,'SA Power Bond Prices'!$H$1:$H$96,0),MATCH('Value of Debt (listed bonds)'!$B91,'SA Power Bond Prices'!$H$1:$U$1,0))/100))</f>
        <v>#N/A</v>
      </c>
      <c r="O91" s="171" t="e">
        <f>INDEX('SA Power Bonds'!$D$29:$D$41,MATCH('Value of Debt (listed bonds)'!$B91,'SA Power Bonds'!$H$29:$H$41,0))*((INDEX('SA Power Bond Prices'!$H$1:$U$96,MATCH('Value of Debt (listed bonds)'!O$3,'SA Power Bond Prices'!$H$1:$H$96,0),MATCH('Value of Debt (listed bonds)'!$B91,'SA Power Bond Prices'!$H$1:$U$1,0))/100))</f>
        <v>#N/A</v>
      </c>
      <c r="P91" s="171" t="e">
        <f>INDEX('SA Power Bonds'!$D$29:$D$41,MATCH('Value of Debt (listed bonds)'!$B91,'SA Power Bonds'!$H$29:$H$41,0))*((INDEX('SA Power Bond Prices'!$H$1:$U$96,MATCH('Value of Debt (listed bonds)'!P$3,'SA Power Bond Prices'!$H$1:$H$96,0),MATCH('Value of Debt (listed bonds)'!$B91,'SA Power Bond Prices'!$H$1:$U$1,0))/100))</f>
        <v>#N/A</v>
      </c>
      <c r="Q91" s="171" t="e">
        <f>INDEX('SA Power Bonds'!$D$29:$D$41,MATCH('Value of Debt (listed bonds)'!$B91,'SA Power Bonds'!$H$29:$H$41,0))*((INDEX('SA Power Bond Prices'!$H$1:$U$96,MATCH('Value of Debt (listed bonds)'!Q$3,'SA Power Bond Prices'!$H$1:$H$96,0),MATCH('Value of Debt (listed bonds)'!$B91,'SA Power Bond Prices'!$H$1:$U$1,0))/100))</f>
        <v>#N/A</v>
      </c>
    </row>
    <row r="92" spans="2:17">
      <c r="B92" s="172" t="s">
        <v>289</v>
      </c>
      <c r="F92" s="171">
        <f>INDEX('SA Power Bonds'!$D$29:$D$41,MATCH('Value of Debt (listed bonds)'!$B92,'SA Power Bonds'!$H$29:$H$41,0))*((INDEX('SA Power Bond Prices'!$H$1:$U$96,MATCH('Value of Debt (listed bonds)'!F$3,'SA Power Bond Prices'!$H$1:$H$96,0),MATCH('Value of Debt (listed bonds)'!$B92,'SA Power Bond Prices'!$H$1:$U$1,0))/100))</f>
        <v>0</v>
      </c>
      <c r="G92" s="171">
        <f>INDEX('SA Power Bonds'!$D$29:$D$41,MATCH('Value of Debt (listed bonds)'!$B92,'SA Power Bonds'!$H$29:$H$41,0))*((INDEX('SA Power Bond Prices'!$H$1:$U$96,MATCH('Value of Debt (listed bonds)'!G$3,'SA Power Bond Prices'!$H$1:$H$96,0),MATCH('Value of Debt (listed bonds)'!$B92,'SA Power Bond Prices'!$H$1:$U$1,0))/100))</f>
        <v>367551698.5</v>
      </c>
      <c r="H92" s="171">
        <f>INDEX('SA Power Bonds'!$D$29:$D$41,MATCH('Value of Debt (listed bonds)'!$B92,'SA Power Bonds'!$H$29:$H$41,0))*((INDEX('SA Power Bond Prices'!$H$1:$U$96,MATCH('Value of Debt (listed bonds)'!H$3,'SA Power Bond Prices'!$H$1:$H$96,0),MATCH('Value of Debt (listed bonds)'!$B92,'SA Power Bond Prices'!$H$1:$U$1,0))/100))</f>
        <v>372499431.50000006</v>
      </c>
      <c r="I92" s="171">
        <f>INDEX('SA Power Bonds'!$D$29:$D$41,MATCH('Value of Debt (listed bonds)'!$B92,'SA Power Bonds'!$H$29:$H$41,0))*((INDEX('SA Power Bond Prices'!$H$1:$U$96,MATCH('Value of Debt (listed bonds)'!I$3,'SA Power Bond Prices'!$H$1:$H$96,0),MATCH('Value of Debt (listed bonds)'!$B92,'SA Power Bond Prices'!$H$1:$U$1,0))/100))</f>
        <v>373059113</v>
      </c>
      <c r="J92" s="171">
        <f>INDEX('SA Power Bonds'!$D$29:$D$41,MATCH('Value of Debt (listed bonds)'!$B92,'SA Power Bonds'!$H$29:$H$41,0))*((INDEX('SA Power Bond Prices'!$H$1:$U$96,MATCH('Value of Debt (listed bonds)'!J$3,'SA Power Bond Prices'!$H$1:$H$96,0),MATCH('Value of Debt (listed bonds)'!$B92,'SA Power Bond Prices'!$H$1:$U$1,0))/100))</f>
        <v>370958000</v>
      </c>
      <c r="K92" s="171">
        <f>INDEX('SA Power Bonds'!$D$29:$D$41,MATCH('Value of Debt (listed bonds)'!$B92,'SA Power Bonds'!$H$29:$H$41,0))*((INDEX('SA Power Bond Prices'!$H$1:$U$96,MATCH('Value of Debt (listed bonds)'!K$3,'SA Power Bond Prices'!$H$1:$H$96,0),MATCH('Value of Debt (listed bonds)'!$B92,'SA Power Bond Prices'!$H$1:$U$1,0))/100))</f>
        <v>362899250</v>
      </c>
      <c r="L92" s="171">
        <f>INDEX('SA Power Bonds'!$D$29:$D$41,MATCH('Value of Debt (listed bonds)'!$B92,'SA Power Bonds'!$H$29:$H$41,0))*((INDEX('SA Power Bond Prices'!$H$1:$U$96,MATCH('Value of Debt (listed bonds)'!L$3,'SA Power Bond Prices'!$H$1:$H$96,0),MATCH('Value of Debt (listed bonds)'!$B92,'SA Power Bond Prices'!$H$1:$U$1,0))/100))</f>
        <v>352263572.50000006</v>
      </c>
      <c r="M92" s="171" t="e">
        <f>INDEX('SA Power Bonds'!$D$29:$D$41,MATCH('Value of Debt (listed bonds)'!$B92,'SA Power Bonds'!$H$29:$H$41,0))*((INDEX('SA Power Bond Prices'!$H$1:$U$96,MATCH('Value of Debt (listed bonds)'!M$3,'SA Power Bond Prices'!$H$1:$H$96,0),MATCH('Value of Debt (listed bonds)'!$B92,'SA Power Bond Prices'!$H$1:$U$1,0))/100))</f>
        <v>#N/A</v>
      </c>
      <c r="N92" s="171" t="e">
        <f>INDEX('SA Power Bonds'!$D$29:$D$41,MATCH('Value of Debt (listed bonds)'!$B92,'SA Power Bonds'!$H$29:$H$41,0))*((INDEX('SA Power Bond Prices'!$H$1:$U$96,MATCH('Value of Debt (listed bonds)'!N$3,'SA Power Bond Prices'!$H$1:$H$96,0),MATCH('Value of Debt (listed bonds)'!$B92,'SA Power Bond Prices'!$H$1:$U$1,0))/100))</f>
        <v>#N/A</v>
      </c>
      <c r="O92" s="171" t="e">
        <f>INDEX('SA Power Bonds'!$D$29:$D$41,MATCH('Value of Debt (listed bonds)'!$B92,'SA Power Bonds'!$H$29:$H$41,0))*((INDEX('SA Power Bond Prices'!$H$1:$U$96,MATCH('Value of Debt (listed bonds)'!O$3,'SA Power Bond Prices'!$H$1:$H$96,0),MATCH('Value of Debt (listed bonds)'!$B92,'SA Power Bond Prices'!$H$1:$U$1,0))/100))</f>
        <v>#N/A</v>
      </c>
      <c r="P92" s="171" t="e">
        <f>INDEX('SA Power Bonds'!$D$29:$D$41,MATCH('Value of Debt (listed bonds)'!$B92,'SA Power Bonds'!$H$29:$H$41,0))*((INDEX('SA Power Bond Prices'!$H$1:$U$96,MATCH('Value of Debt (listed bonds)'!P$3,'SA Power Bond Prices'!$H$1:$H$96,0),MATCH('Value of Debt (listed bonds)'!$B92,'SA Power Bond Prices'!$H$1:$U$1,0))/100))</f>
        <v>#N/A</v>
      </c>
      <c r="Q92" s="171" t="e">
        <f>INDEX('SA Power Bonds'!$D$29:$D$41,MATCH('Value of Debt (listed bonds)'!$B92,'SA Power Bonds'!$H$29:$H$41,0))*((INDEX('SA Power Bond Prices'!$H$1:$U$96,MATCH('Value of Debt (listed bonds)'!Q$3,'SA Power Bond Prices'!$H$1:$H$96,0),MATCH('Value of Debt (listed bonds)'!$B92,'SA Power Bond Prices'!$H$1:$U$1,0))/100))</f>
        <v>#N/A</v>
      </c>
    </row>
    <row r="93" spans="2:17">
      <c r="B93" s="172" t="s">
        <v>290</v>
      </c>
      <c r="F93" s="171">
        <f>INDEX('SA Power Bonds'!$D$29:$D$41,MATCH('Value of Debt (listed bonds)'!$B93,'SA Power Bonds'!$H$29:$H$41,0))*((INDEX('SA Power Bond Prices'!$H$1:$U$96,MATCH('Value of Debt (listed bonds)'!F$3,'SA Power Bond Prices'!$H$1:$H$96,0),MATCH('Value of Debt (listed bonds)'!$B93,'SA Power Bond Prices'!$H$1:$U$1,0))/100))</f>
        <v>0</v>
      </c>
      <c r="G93" s="171">
        <f>INDEX('SA Power Bonds'!$D$29:$D$41,MATCH('Value of Debt (listed bonds)'!$B93,'SA Power Bonds'!$H$29:$H$41,0))*((INDEX('SA Power Bond Prices'!$H$1:$U$96,MATCH('Value of Debt (listed bonds)'!G$3,'SA Power Bond Prices'!$H$1:$H$96,0),MATCH('Value of Debt (listed bonds)'!$B93,'SA Power Bond Prices'!$H$1:$U$1,0))/100))</f>
        <v>0</v>
      </c>
      <c r="H93" s="171">
        <f>INDEX('SA Power Bonds'!$D$29:$D$41,MATCH('Value of Debt (listed bonds)'!$B93,'SA Power Bonds'!$H$29:$H$41,0))*((INDEX('SA Power Bond Prices'!$H$1:$U$96,MATCH('Value of Debt (listed bonds)'!H$3,'SA Power Bond Prices'!$H$1:$H$96,0),MATCH('Value of Debt (listed bonds)'!$B93,'SA Power Bond Prices'!$H$1:$U$1,0))/100))</f>
        <v>151318672.5</v>
      </c>
      <c r="I93" s="171">
        <f>INDEX('SA Power Bonds'!$D$29:$D$41,MATCH('Value of Debt (listed bonds)'!$B93,'SA Power Bonds'!$H$29:$H$41,0))*((INDEX('SA Power Bond Prices'!$H$1:$U$96,MATCH('Value of Debt (listed bonds)'!I$3,'SA Power Bond Prices'!$H$1:$H$96,0),MATCH('Value of Debt (listed bonds)'!$B93,'SA Power Bond Prices'!$H$1:$U$1,0))/100))</f>
        <v>151723830</v>
      </c>
      <c r="J93" s="171">
        <f>INDEX('SA Power Bonds'!$D$29:$D$41,MATCH('Value of Debt (listed bonds)'!$B93,'SA Power Bonds'!$H$29:$H$41,0))*((INDEX('SA Power Bond Prices'!$H$1:$U$96,MATCH('Value of Debt (listed bonds)'!J$3,'SA Power Bond Prices'!$H$1:$H$96,0),MATCH('Value of Debt (listed bonds)'!$B93,'SA Power Bond Prices'!$H$1:$U$1,0))/100))</f>
        <v>151164750</v>
      </c>
      <c r="K93" s="171">
        <f>INDEX('SA Power Bonds'!$D$29:$D$41,MATCH('Value of Debt (listed bonds)'!$B93,'SA Power Bonds'!$H$29:$H$41,0))*((INDEX('SA Power Bond Prices'!$H$1:$U$96,MATCH('Value of Debt (listed bonds)'!K$3,'SA Power Bond Prices'!$H$1:$H$96,0),MATCH('Value of Debt (listed bonds)'!$B93,'SA Power Bond Prices'!$H$1:$U$1,0))/100))</f>
        <v>150332999.99999997</v>
      </c>
      <c r="L93" s="171">
        <f>INDEX('SA Power Bonds'!$D$29:$D$41,MATCH('Value of Debt (listed bonds)'!$B93,'SA Power Bonds'!$H$29:$H$41,0))*((INDEX('SA Power Bond Prices'!$H$1:$U$96,MATCH('Value of Debt (listed bonds)'!L$3,'SA Power Bond Prices'!$H$1:$H$96,0),MATCH('Value of Debt (listed bonds)'!$B93,'SA Power Bond Prices'!$H$1:$U$1,0))/100))</f>
        <v>150241252.50000003</v>
      </c>
      <c r="M93" s="171" t="e">
        <f>INDEX('SA Power Bonds'!$D$29:$D$41,MATCH('Value of Debt (listed bonds)'!$B93,'SA Power Bonds'!$H$29:$H$41,0))*((INDEX('SA Power Bond Prices'!$H$1:$U$96,MATCH('Value of Debt (listed bonds)'!M$3,'SA Power Bond Prices'!$H$1:$H$96,0),MATCH('Value of Debt (listed bonds)'!$B93,'SA Power Bond Prices'!$H$1:$U$1,0))/100))</f>
        <v>#N/A</v>
      </c>
      <c r="N93" s="171" t="e">
        <f>INDEX('SA Power Bonds'!$D$29:$D$41,MATCH('Value of Debt (listed bonds)'!$B93,'SA Power Bonds'!$H$29:$H$41,0))*((INDEX('SA Power Bond Prices'!$H$1:$U$96,MATCH('Value of Debt (listed bonds)'!N$3,'SA Power Bond Prices'!$H$1:$H$96,0),MATCH('Value of Debt (listed bonds)'!$B93,'SA Power Bond Prices'!$H$1:$U$1,0))/100))</f>
        <v>#N/A</v>
      </c>
      <c r="O93" s="171" t="e">
        <f>INDEX('SA Power Bonds'!$D$29:$D$41,MATCH('Value of Debt (listed bonds)'!$B93,'SA Power Bonds'!$H$29:$H$41,0))*((INDEX('SA Power Bond Prices'!$H$1:$U$96,MATCH('Value of Debt (listed bonds)'!O$3,'SA Power Bond Prices'!$H$1:$H$96,0),MATCH('Value of Debt (listed bonds)'!$B93,'SA Power Bond Prices'!$H$1:$U$1,0))/100))</f>
        <v>#N/A</v>
      </c>
      <c r="P93" s="171" t="e">
        <f>INDEX('SA Power Bonds'!$D$29:$D$41,MATCH('Value of Debt (listed bonds)'!$B93,'SA Power Bonds'!$H$29:$H$41,0))*((INDEX('SA Power Bond Prices'!$H$1:$U$96,MATCH('Value of Debt (listed bonds)'!P$3,'SA Power Bond Prices'!$H$1:$H$96,0),MATCH('Value of Debt (listed bonds)'!$B93,'SA Power Bond Prices'!$H$1:$U$1,0))/100))</f>
        <v>#N/A</v>
      </c>
      <c r="Q93" s="171" t="e">
        <f>INDEX('SA Power Bonds'!$D$29:$D$41,MATCH('Value of Debt (listed bonds)'!$B93,'SA Power Bonds'!$H$29:$H$41,0))*((INDEX('SA Power Bond Prices'!$H$1:$U$96,MATCH('Value of Debt (listed bonds)'!Q$3,'SA Power Bond Prices'!$H$1:$H$96,0),MATCH('Value of Debt (listed bonds)'!$B93,'SA Power Bond Prices'!$H$1:$U$1,0))/100))</f>
        <v>#N/A</v>
      </c>
    </row>
    <row r="94" spans="2:17">
      <c r="B94" s="172" t="s">
        <v>228</v>
      </c>
      <c r="F94" s="171">
        <f>INDEX('SA Power Bonds'!$D$29:$D$41,MATCH('Value of Debt (listed bonds)'!$B94,'SA Power Bonds'!$H$29:$H$41,0))*((INDEX('SA Power Bond Prices'!$H$1:$U$96,MATCH('Value of Debt (listed bonds)'!F$3,'SA Power Bond Prices'!$H$1:$H$96,0),MATCH('Value of Debt (listed bonds)'!$B94,'SA Power Bond Prices'!$H$1:$U$1,0))/100))</f>
        <v>0</v>
      </c>
      <c r="G94" s="171">
        <f>INDEX('SA Power Bonds'!$D$29:$D$41,MATCH('Value of Debt (listed bonds)'!$B94,'SA Power Bonds'!$H$29:$H$41,0))*((INDEX('SA Power Bond Prices'!$H$1:$U$96,MATCH('Value of Debt (listed bonds)'!G$3,'SA Power Bond Prices'!$H$1:$H$96,0),MATCH('Value of Debt (listed bonds)'!$B94,'SA Power Bond Prices'!$H$1:$U$1,0))/100))</f>
        <v>0</v>
      </c>
      <c r="H94" s="171">
        <f>INDEX('SA Power Bonds'!$D$29:$D$41,MATCH('Value of Debt (listed bonds)'!$B94,'SA Power Bonds'!$H$29:$H$41,0))*((INDEX('SA Power Bond Prices'!$H$1:$U$96,MATCH('Value of Debt (listed bonds)'!H$3,'SA Power Bond Prices'!$H$1:$H$96,0),MATCH('Value of Debt (listed bonds)'!$B94,'SA Power Bond Prices'!$H$1:$U$1,0))/100))</f>
        <v>0</v>
      </c>
      <c r="I94" s="171">
        <f>INDEX('SA Power Bonds'!$D$29:$D$41,MATCH('Value of Debt (listed bonds)'!$B94,'SA Power Bonds'!$H$29:$H$41,0))*((INDEX('SA Power Bond Prices'!$H$1:$U$96,MATCH('Value of Debt (listed bonds)'!I$3,'SA Power Bond Prices'!$H$1:$H$96,0),MATCH('Value of Debt (listed bonds)'!$B94,'SA Power Bond Prices'!$H$1:$U$1,0))/100))</f>
        <v>0</v>
      </c>
      <c r="J94" s="171">
        <f>INDEX('SA Power Bonds'!$D$29:$D$41,MATCH('Value of Debt (listed bonds)'!$B94,'SA Power Bonds'!$H$29:$H$41,0))*((INDEX('SA Power Bond Prices'!$H$1:$U$96,MATCH('Value of Debt (listed bonds)'!J$3,'SA Power Bond Prices'!$H$1:$H$96,0),MATCH('Value of Debt (listed bonds)'!$B94,'SA Power Bond Prices'!$H$1:$U$1,0))/100))</f>
        <v>0</v>
      </c>
      <c r="K94" s="171">
        <f>INDEX('SA Power Bonds'!$D$29:$D$41,MATCH('Value of Debt (listed bonds)'!$B94,'SA Power Bonds'!$H$29:$H$41,0))*((INDEX('SA Power Bond Prices'!$H$1:$U$96,MATCH('Value of Debt (listed bonds)'!K$3,'SA Power Bond Prices'!$H$1:$H$96,0),MATCH('Value of Debt (listed bonds)'!$B94,'SA Power Bond Prices'!$H$1:$U$1,0))/100))</f>
        <v>0</v>
      </c>
      <c r="L94" s="171">
        <f>INDEX('SA Power Bonds'!$D$29:$D$41,MATCH('Value of Debt (listed bonds)'!$B94,'SA Power Bonds'!$H$29:$H$41,0))*((INDEX('SA Power Bond Prices'!$H$1:$U$96,MATCH('Value of Debt (listed bonds)'!L$3,'SA Power Bond Prices'!$H$1:$H$96,0),MATCH('Value of Debt (listed bonds)'!$B94,'SA Power Bond Prices'!$H$1:$U$1,0))/100))</f>
        <v>0</v>
      </c>
      <c r="M94" s="171" t="e">
        <f>INDEX('SA Power Bonds'!$D$29:$D$41,MATCH('Value of Debt (listed bonds)'!$B94,'SA Power Bonds'!$H$29:$H$41,0))*((INDEX('SA Power Bond Prices'!$H$1:$U$96,MATCH('Value of Debt (listed bonds)'!M$3,'SA Power Bond Prices'!$H$1:$H$96,0),MATCH('Value of Debt (listed bonds)'!$B94,'SA Power Bond Prices'!$H$1:$U$1,0))/100))</f>
        <v>#N/A</v>
      </c>
      <c r="N94" s="171" t="e">
        <f>INDEX('SA Power Bonds'!$D$29:$D$41,MATCH('Value of Debt (listed bonds)'!$B94,'SA Power Bonds'!$H$29:$H$41,0))*((INDEX('SA Power Bond Prices'!$H$1:$U$96,MATCH('Value of Debt (listed bonds)'!N$3,'SA Power Bond Prices'!$H$1:$H$96,0),MATCH('Value of Debt (listed bonds)'!$B94,'SA Power Bond Prices'!$H$1:$U$1,0))/100))</f>
        <v>#N/A</v>
      </c>
      <c r="O94" s="171" t="e">
        <f>INDEX('SA Power Bonds'!$D$29:$D$41,MATCH('Value of Debt (listed bonds)'!$B94,'SA Power Bonds'!$H$29:$H$41,0))*((INDEX('SA Power Bond Prices'!$H$1:$U$96,MATCH('Value of Debt (listed bonds)'!O$3,'SA Power Bond Prices'!$H$1:$H$96,0),MATCH('Value of Debt (listed bonds)'!$B94,'SA Power Bond Prices'!$H$1:$U$1,0))/100))</f>
        <v>#N/A</v>
      </c>
      <c r="P94" s="171" t="e">
        <f>INDEX('SA Power Bonds'!$D$29:$D$41,MATCH('Value of Debt (listed bonds)'!$B94,'SA Power Bonds'!$H$29:$H$41,0))*((INDEX('SA Power Bond Prices'!$H$1:$U$96,MATCH('Value of Debt (listed bonds)'!P$3,'SA Power Bond Prices'!$H$1:$H$96,0),MATCH('Value of Debt (listed bonds)'!$B94,'SA Power Bond Prices'!$H$1:$U$1,0))/100))</f>
        <v>#N/A</v>
      </c>
      <c r="Q94" s="171" t="e">
        <f>INDEX('SA Power Bonds'!$D$29:$D$41,MATCH('Value of Debt (listed bonds)'!$B94,'SA Power Bonds'!$H$29:$H$41,0))*((INDEX('SA Power Bond Prices'!$H$1:$U$96,MATCH('Value of Debt (listed bonds)'!Q$3,'SA Power Bond Prices'!$H$1:$H$96,0),MATCH('Value of Debt (listed bonds)'!$B94,'SA Power Bond Prices'!$H$1:$U$1,0))/100))</f>
        <v>#N/A</v>
      </c>
    </row>
    <row r="95" spans="2:17">
      <c r="B95" s="172" t="s">
        <v>291</v>
      </c>
      <c r="F95" s="171">
        <f>INDEX('SA Power Bonds'!$D$29:$D$41,MATCH('Value of Debt (listed bonds)'!$B95,'SA Power Bonds'!$H$29:$H$41,0))*((INDEX('SA Power Bond Prices'!$H$1:$U$96,MATCH('Value of Debt (listed bonds)'!F$3,'SA Power Bond Prices'!$H$1:$H$96,0),MATCH('Value of Debt (listed bonds)'!$B95,'SA Power Bond Prices'!$H$1:$U$1,0))/100))</f>
        <v>0</v>
      </c>
      <c r="G95" s="171">
        <f>INDEX('SA Power Bonds'!$D$29:$D$41,MATCH('Value of Debt (listed bonds)'!$B95,'SA Power Bonds'!$H$29:$H$41,0))*((INDEX('SA Power Bond Prices'!$H$1:$U$96,MATCH('Value of Debt (listed bonds)'!G$3,'SA Power Bond Prices'!$H$1:$H$96,0),MATCH('Value of Debt (listed bonds)'!$B95,'SA Power Bond Prices'!$H$1:$U$1,0))/100))</f>
        <v>0</v>
      </c>
      <c r="H95" s="171">
        <f>INDEX('SA Power Bonds'!$D$29:$D$41,MATCH('Value of Debt (listed bonds)'!$B95,'SA Power Bonds'!$H$29:$H$41,0))*((INDEX('SA Power Bond Prices'!$H$1:$U$96,MATCH('Value of Debt (listed bonds)'!H$3,'SA Power Bond Prices'!$H$1:$H$96,0),MATCH('Value of Debt (listed bonds)'!$B95,'SA Power Bond Prices'!$H$1:$U$1,0))/100))</f>
        <v>0</v>
      </c>
      <c r="I95" s="171">
        <f>INDEX('SA Power Bonds'!$D$29:$D$41,MATCH('Value of Debt (listed bonds)'!$B95,'SA Power Bonds'!$H$29:$H$41,0))*((INDEX('SA Power Bond Prices'!$H$1:$U$96,MATCH('Value of Debt (listed bonds)'!I$3,'SA Power Bond Prices'!$H$1:$H$96,0),MATCH('Value of Debt (listed bonds)'!$B95,'SA Power Bond Prices'!$H$1:$U$1,0))/100))</f>
        <v>0</v>
      </c>
      <c r="J95" s="171">
        <f>INDEX('SA Power Bonds'!$D$29:$D$41,MATCH('Value of Debt (listed bonds)'!$B95,'SA Power Bonds'!$H$29:$H$41,0))*((INDEX('SA Power Bond Prices'!$H$1:$U$96,MATCH('Value of Debt (listed bonds)'!J$3,'SA Power Bond Prices'!$H$1:$H$96,0),MATCH('Value of Debt (listed bonds)'!$B95,'SA Power Bond Prices'!$H$1:$U$1,0))/100))</f>
        <v>0</v>
      </c>
      <c r="K95" s="171">
        <f>INDEX('SA Power Bonds'!$D$29:$D$41,MATCH('Value of Debt (listed bonds)'!$B95,'SA Power Bonds'!$H$29:$H$41,0))*((INDEX('SA Power Bond Prices'!$H$1:$U$96,MATCH('Value of Debt (listed bonds)'!K$3,'SA Power Bond Prices'!$H$1:$H$96,0),MATCH('Value of Debt (listed bonds)'!$B95,'SA Power Bond Prices'!$H$1:$U$1,0))/100))</f>
        <v>0</v>
      </c>
      <c r="L95" s="171">
        <f>INDEX('SA Power Bonds'!$D$29:$D$41,MATCH('Value of Debt (listed bonds)'!$B95,'SA Power Bonds'!$H$29:$H$41,0))*((INDEX('SA Power Bond Prices'!$H$1:$U$96,MATCH('Value of Debt (listed bonds)'!L$3,'SA Power Bond Prices'!$H$1:$H$96,0),MATCH('Value of Debt (listed bonds)'!$B95,'SA Power Bond Prices'!$H$1:$U$1,0))/100))</f>
        <v>0</v>
      </c>
      <c r="M95" s="171" cm="1">
        <f t="array" ref="M95">INDEX('SA Power Bonds'!$D$29:$D$41,MATCH('Value of Debt (listed bonds)'!$B95,'SA Power Bonds'!$H$29:$H$41,0))*(VLOOKUP(INDEX('Bloomberg Bond Prices'!$E$4:$E$419,MATCH(MIN(ABS('Bloomberg Bond Prices'!$E$4:$E$419-'Value of Debt (listed bonds)'!M3)),ABS('Bloomberg Bond Prices'!$E$4:$E$419-'Value of Debt (listed bonds)'!M3),0)),'Bloomberg Bond Prices'!$E$4:$F$419,2,FALSE)/100)</f>
        <v>297660000</v>
      </c>
      <c r="N95" s="171" cm="1">
        <f t="array" ref="N95">INDEX('SA Power Bonds'!$D$29:$D$41,MATCH('Value of Debt (listed bonds)'!$B95,'SA Power Bonds'!$H$29:$H$41,0))*(VLOOKUP(INDEX('Bloomberg Bond Prices'!$E$4:$E$419,MATCH(MIN(ABS('Bloomberg Bond Prices'!$E$4:$E$419-'Value of Debt (listed bonds)'!N3)),ABS('Bloomberg Bond Prices'!$E$4:$E$419-'Value of Debt (listed bonds)'!N3),0)),'Bloomberg Bond Prices'!$E$4:$F$419,2,FALSE)/100)</f>
        <v>299685000</v>
      </c>
      <c r="O95" s="171"/>
      <c r="P95" s="171"/>
      <c r="Q95" s="171"/>
    </row>
    <row r="98" spans="2:16384">
      <c r="B98" s="1" t="s">
        <v>292</v>
      </c>
      <c r="F98" s="171">
        <f>SUM(F83:F95)</f>
        <v>262188000</v>
      </c>
      <c r="G98" s="171">
        <f t="shared" ref="G98:L98" si="4">SUM(G83:G95)</f>
        <v>650757698.5</v>
      </c>
      <c r="H98" s="171">
        <f t="shared" si="4"/>
        <v>819702104</v>
      </c>
      <c r="I98" s="171">
        <f t="shared" si="4"/>
        <v>823136867</v>
      </c>
      <c r="J98" s="171">
        <f t="shared" si="4"/>
        <v>822539750</v>
      </c>
      <c r="K98" s="171">
        <f t="shared" si="4"/>
        <v>513232250</v>
      </c>
      <c r="L98" s="171">
        <f t="shared" si="4"/>
        <v>502504825.00000012</v>
      </c>
      <c r="M98" s="171">
        <f>SUM(M79:M81)+M95</f>
        <v>946619524</v>
      </c>
      <c r="N98" s="171">
        <f t="shared" ref="N98:Q98" si="5">SUM(N79:N81)+N95</f>
        <v>974504039</v>
      </c>
      <c r="O98" s="171">
        <f t="shared" si="5"/>
        <v>680049438.25</v>
      </c>
      <c r="P98" s="171">
        <f t="shared" si="5"/>
        <v>679811441</v>
      </c>
      <c r="Q98" s="171">
        <f t="shared" si="5"/>
        <v>669638381</v>
      </c>
    </row>
    <row r="99" spans="2:16384">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c r="IO99" s="8"/>
      <c r="IP99" s="8"/>
      <c r="IQ99" s="8"/>
      <c r="IR99" s="8"/>
      <c r="IS99" s="8"/>
      <c r="IT99" s="8"/>
      <c r="IU99" s="8"/>
      <c r="IV99" s="8"/>
      <c r="IW99" s="8"/>
      <c r="IX99" s="8"/>
      <c r="IY99" s="8"/>
      <c r="IZ99" s="8"/>
      <c r="JA99" s="8"/>
      <c r="JB99" s="8"/>
      <c r="JC99" s="8"/>
      <c r="JD99" s="8"/>
      <c r="JE99" s="8"/>
      <c r="JF99" s="8"/>
      <c r="JG99" s="8"/>
      <c r="JH99" s="8"/>
      <c r="JI99" s="8"/>
      <c r="JJ99" s="8"/>
      <c r="JK99" s="8"/>
      <c r="JL99" s="8"/>
      <c r="JM99" s="8"/>
      <c r="JN99" s="8"/>
      <c r="JO99" s="8"/>
      <c r="JP99" s="8"/>
      <c r="JQ99" s="8"/>
      <c r="JR99" s="8"/>
      <c r="JS99" s="8"/>
      <c r="JT99" s="8"/>
      <c r="JU99" s="8"/>
      <c r="JV99" s="8"/>
      <c r="JW99" s="8"/>
      <c r="JX99" s="8"/>
      <c r="JY99" s="8"/>
      <c r="JZ99" s="8"/>
      <c r="KA99" s="8"/>
      <c r="KB99" s="8"/>
      <c r="KC99" s="8"/>
      <c r="KD99" s="8"/>
      <c r="KE99" s="8"/>
      <c r="KF99" s="8"/>
      <c r="KG99" s="8"/>
      <c r="KH99" s="8"/>
      <c r="KI99" s="8"/>
      <c r="KJ99" s="8"/>
      <c r="KK99" s="8"/>
      <c r="KL99" s="8"/>
      <c r="KM99" s="8"/>
      <c r="KN99" s="8"/>
      <c r="KO99" s="8"/>
      <c r="KP99" s="8"/>
      <c r="KQ99" s="8"/>
      <c r="KR99" s="8"/>
      <c r="KS99" s="8"/>
      <c r="KT99" s="8"/>
      <c r="KU99" s="8"/>
      <c r="KV99" s="8"/>
      <c r="KW99" s="8"/>
      <c r="KX99" s="8"/>
      <c r="KY99" s="8"/>
      <c r="KZ99" s="8"/>
      <c r="LA99" s="8"/>
      <c r="LB99" s="8"/>
      <c r="LC99" s="8"/>
      <c r="LD99" s="8"/>
      <c r="LE99" s="8"/>
      <c r="LF99" s="8"/>
      <c r="LG99" s="8"/>
      <c r="LH99" s="8"/>
      <c r="LI99" s="8"/>
      <c r="LJ99" s="8"/>
      <c r="LK99" s="8"/>
      <c r="LL99" s="8"/>
      <c r="LM99" s="8"/>
      <c r="LN99" s="8"/>
      <c r="LO99" s="8"/>
      <c r="LP99" s="8"/>
      <c r="LQ99" s="8"/>
      <c r="LR99" s="8"/>
      <c r="LS99" s="8"/>
      <c r="LT99" s="8"/>
      <c r="LU99" s="8"/>
      <c r="LV99" s="8"/>
      <c r="LW99" s="8"/>
      <c r="LX99" s="8"/>
      <c r="LY99" s="8"/>
      <c r="LZ99" s="8"/>
      <c r="MA99" s="8"/>
      <c r="MB99" s="8"/>
      <c r="MC99" s="8"/>
      <c r="MD99" s="8"/>
      <c r="ME99" s="8"/>
      <c r="MF99" s="8"/>
      <c r="MG99" s="8"/>
      <c r="MH99" s="8"/>
      <c r="MI99" s="8"/>
      <c r="MJ99" s="8"/>
      <c r="MK99" s="8"/>
      <c r="ML99" s="8"/>
      <c r="MM99" s="8"/>
      <c r="MN99" s="8"/>
      <c r="MO99" s="8"/>
      <c r="MP99" s="8"/>
      <c r="MQ99" s="8"/>
      <c r="MR99" s="8"/>
      <c r="MS99" s="8"/>
      <c r="MT99" s="8"/>
      <c r="MU99" s="8"/>
      <c r="MV99" s="8"/>
      <c r="MW99" s="8"/>
      <c r="MX99" s="8"/>
      <c r="MY99" s="8"/>
      <c r="MZ99" s="8"/>
      <c r="NA99" s="8"/>
      <c r="NB99" s="8"/>
      <c r="NC99" s="8"/>
      <c r="ND99" s="8"/>
      <c r="NE99" s="8"/>
      <c r="NF99" s="8"/>
      <c r="NG99" s="8"/>
      <c r="NH99" s="8"/>
      <c r="NI99" s="8"/>
      <c r="NJ99" s="8"/>
      <c r="NK99" s="8"/>
      <c r="NL99" s="8"/>
      <c r="NM99" s="8"/>
      <c r="NN99" s="8"/>
      <c r="NO99" s="8"/>
      <c r="NP99" s="8"/>
      <c r="NQ99" s="8"/>
      <c r="NR99" s="8"/>
      <c r="NS99" s="8"/>
      <c r="NT99" s="8"/>
      <c r="NU99" s="8"/>
      <c r="NV99" s="8"/>
      <c r="NW99" s="8"/>
      <c r="NX99" s="8"/>
      <c r="NY99" s="8"/>
      <c r="NZ99" s="8"/>
      <c r="OA99" s="8"/>
      <c r="OB99" s="8"/>
      <c r="OC99" s="8"/>
      <c r="OD99" s="8"/>
      <c r="OE99" s="8"/>
      <c r="OF99" s="8"/>
      <c r="OG99" s="8"/>
      <c r="OH99" s="8"/>
      <c r="OI99" s="8"/>
      <c r="OJ99" s="8"/>
      <c r="OK99" s="8"/>
      <c r="OL99" s="8"/>
      <c r="OM99" s="8"/>
      <c r="ON99" s="8"/>
      <c r="OO99" s="8"/>
      <c r="OP99" s="8"/>
      <c r="OQ99" s="8"/>
      <c r="OR99" s="8"/>
      <c r="OS99" s="8"/>
      <c r="OT99" s="8"/>
      <c r="OU99" s="8"/>
      <c r="OV99" s="8"/>
      <c r="OW99" s="8"/>
      <c r="OX99" s="8"/>
      <c r="OY99" s="8"/>
      <c r="OZ99" s="8"/>
      <c r="PA99" s="8"/>
      <c r="PB99" s="8"/>
      <c r="PC99" s="8"/>
      <c r="PD99" s="8"/>
      <c r="PE99" s="8"/>
      <c r="PF99" s="8"/>
      <c r="PG99" s="8"/>
      <c r="PH99" s="8"/>
      <c r="PI99" s="8"/>
      <c r="PJ99" s="8"/>
      <c r="PK99" s="8"/>
      <c r="PL99" s="8"/>
      <c r="PM99" s="8"/>
      <c r="PN99" s="8"/>
      <c r="PO99" s="8"/>
      <c r="PP99" s="8"/>
      <c r="PQ99" s="8"/>
      <c r="PR99" s="8"/>
      <c r="PS99" s="8"/>
      <c r="PT99" s="8"/>
      <c r="PU99" s="8"/>
      <c r="PV99" s="8"/>
      <c r="PW99" s="8"/>
      <c r="PX99" s="8"/>
      <c r="PY99" s="8"/>
      <c r="PZ99" s="8"/>
      <c r="QA99" s="8"/>
      <c r="QB99" s="8"/>
      <c r="QC99" s="8"/>
      <c r="QD99" s="8"/>
      <c r="QE99" s="8"/>
      <c r="QF99" s="8"/>
      <c r="QG99" s="8"/>
      <c r="QH99" s="8"/>
      <c r="QI99" s="8"/>
      <c r="QJ99" s="8"/>
      <c r="QK99" s="8"/>
      <c r="QL99" s="8"/>
      <c r="QM99" s="8"/>
      <c r="QN99" s="8"/>
      <c r="QO99" s="8"/>
      <c r="QP99" s="8"/>
      <c r="QQ99" s="8"/>
      <c r="QR99" s="8"/>
      <c r="QS99" s="8"/>
      <c r="QT99" s="8"/>
      <c r="QU99" s="8"/>
      <c r="QV99" s="8"/>
      <c r="QW99" s="8"/>
      <c r="QX99" s="8"/>
      <c r="QY99" s="8"/>
      <c r="QZ99" s="8"/>
      <c r="RA99" s="8"/>
      <c r="RB99" s="8"/>
      <c r="RC99" s="8"/>
      <c r="RD99" s="8"/>
      <c r="RE99" s="8"/>
      <c r="RF99" s="8"/>
      <c r="RG99" s="8"/>
      <c r="RH99" s="8"/>
      <c r="RI99" s="8"/>
      <c r="RJ99" s="8"/>
      <c r="RK99" s="8"/>
      <c r="RL99" s="8"/>
      <c r="RM99" s="8"/>
      <c r="RN99" s="8"/>
      <c r="RO99" s="8"/>
      <c r="RP99" s="8"/>
      <c r="RQ99" s="8"/>
      <c r="RR99" s="8"/>
      <c r="RS99" s="8"/>
      <c r="RT99" s="8"/>
      <c r="RU99" s="8"/>
      <c r="RV99" s="8"/>
      <c r="RW99" s="8"/>
      <c r="RX99" s="8"/>
      <c r="RY99" s="8"/>
      <c r="RZ99" s="8"/>
      <c r="SA99" s="8"/>
      <c r="SB99" s="8"/>
      <c r="SC99" s="8"/>
      <c r="SD99" s="8"/>
      <c r="SE99" s="8"/>
      <c r="SF99" s="8"/>
      <c r="SG99" s="8"/>
      <c r="SH99" s="8"/>
      <c r="SI99" s="8"/>
      <c r="SJ99" s="8"/>
      <c r="SK99" s="8"/>
      <c r="SL99" s="8"/>
      <c r="SM99" s="8"/>
      <c r="SN99" s="8"/>
      <c r="SO99" s="8"/>
      <c r="SP99" s="8"/>
      <c r="SQ99" s="8"/>
      <c r="SR99" s="8"/>
      <c r="SS99" s="8"/>
      <c r="ST99" s="8"/>
      <c r="SU99" s="8"/>
      <c r="SV99" s="8"/>
      <c r="SW99" s="8"/>
      <c r="SX99" s="8"/>
      <c r="SY99" s="8"/>
      <c r="SZ99" s="8"/>
      <c r="TA99" s="8"/>
      <c r="TB99" s="8"/>
      <c r="TC99" s="8"/>
      <c r="TD99" s="8"/>
      <c r="TE99" s="8"/>
      <c r="TF99" s="8"/>
      <c r="TG99" s="8"/>
      <c r="TH99" s="8"/>
      <c r="TI99" s="8"/>
      <c r="TJ99" s="8"/>
      <c r="TK99" s="8"/>
      <c r="TL99" s="8"/>
      <c r="TM99" s="8"/>
      <c r="TN99" s="8"/>
      <c r="TO99" s="8"/>
      <c r="TP99" s="8"/>
      <c r="TQ99" s="8"/>
      <c r="TR99" s="8"/>
      <c r="TS99" s="8"/>
      <c r="TT99" s="8"/>
      <c r="TU99" s="8"/>
      <c r="TV99" s="8"/>
      <c r="TW99" s="8"/>
      <c r="TX99" s="8"/>
      <c r="TY99" s="8"/>
      <c r="TZ99" s="8"/>
      <c r="UA99" s="8"/>
      <c r="UB99" s="8"/>
      <c r="UC99" s="8"/>
      <c r="UD99" s="8"/>
      <c r="UE99" s="8"/>
      <c r="UF99" s="8"/>
      <c r="UG99" s="8"/>
      <c r="UH99" s="8"/>
      <c r="UI99" s="8"/>
      <c r="UJ99" s="8"/>
      <c r="UK99" s="8"/>
      <c r="UL99" s="8"/>
      <c r="UM99" s="8"/>
      <c r="UN99" s="8"/>
      <c r="UO99" s="8"/>
      <c r="UP99" s="8"/>
      <c r="UQ99" s="8"/>
      <c r="UR99" s="8"/>
      <c r="US99" s="8"/>
      <c r="UT99" s="8"/>
      <c r="UU99" s="8"/>
      <c r="UV99" s="8"/>
      <c r="UW99" s="8"/>
      <c r="UX99" s="8"/>
      <c r="UY99" s="8"/>
      <c r="UZ99" s="8"/>
      <c r="VA99" s="8"/>
      <c r="VB99" s="8"/>
      <c r="VC99" s="8"/>
      <c r="VD99" s="8"/>
      <c r="VE99" s="8"/>
      <c r="VF99" s="8"/>
      <c r="VG99" s="8"/>
      <c r="VH99" s="8"/>
      <c r="VI99" s="8"/>
      <c r="VJ99" s="8"/>
      <c r="VK99" s="8"/>
      <c r="VL99" s="8"/>
      <c r="VM99" s="8"/>
      <c r="VN99" s="8"/>
      <c r="VO99" s="8"/>
      <c r="VP99" s="8"/>
      <c r="VQ99" s="8"/>
      <c r="VR99" s="8"/>
      <c r="VS99" s="8"/>
      <c r="VT99" s="8"/>
      <c r="VU99" s="8"/>
      <c r="VV99" s="8"/>
      <c r="VW99" s="8"/>
      <c r="VX99" s="8"/>
      <c r="VY99" s="8"/>
      <c r="VZ99" s="8"/>
      <c r="WA99" s="8"/>
      <c r="WB99" s="8"/>
      <c r="WC99" s="8"/>
      <c r="WD99" s="8"/>
      <c r="WE99" s="8"/>
      <c r="WF99" s="8"/>
      <c r="WG99" s="8"/>
      <c r="WH99" s="8"/>
      <c r="WI99" s="8"/>
      <c r="WJ99" s="8"/>
      <c r="WK99" s="8"/>
      <c r="WL99" s="8"/>
      <c r="WM99" s="8"/>
      <c r="WN99" s="8"/>
      <c r="WO99" s="8"/>
      <c r="WP99" s="8"/>
      <c r="WQ99" s="8"/>
      <c r="WR99" s="8"/>
      <c r="WS99" s="8"/>
      <c r="WT99" s="8"/>
      <c r="WU99" s="8"/>
      <c r="WV99" s="8"/>
      <c r="WW99" s="8"/>
      <c r="WX99" s="8"/>
      <c r="WY99" s="8"/>
      <c r="WZ99" s="8"/>
      <c r="XA99" s="8"/>
      <c r="XB99" s="8"/>
      <c r="XC99" s="8"/>
      <c r="XD99" s="8"/>
      <c r="XE99" s="8"/>
      <c r="XF99" s="8"/>
      <c r="XG99" s="8"/>
      <c r="XH99" s="8"/>
      <c r="XI99" s="8"/>
      <c r="XJ99" s="8"/>
      <c r="XK99" s="8"/>
      <c r="XL99" s="8"/>
      <c r="XM99" s="8"/>
      <c r="XN99" s="8"/>
      <c r="XO99" s="8"/>
      <c r="XP99" s="8"/>
      <c r="XQ99" s="8"/>
      <c r="XR99" s="8"/>
      <c r="XS99" s="8"/>
      <c r="XT99" s="8"/>
      <c r="XU99" s="8"/>
      <c r="XV99" s="8"/>
      <c r="XW99" s="8"/>
      <c r="XX99" s="8"/>
      <c r="XY99" s="8"/>
      <c r="XZ99" s="8"/>
      <c r="YA99" s="8"/>
      <c r="YB99" s="8"/>
      <c r="YC99" s="8"/>
      <c r="YD99" s="8"/>
      <c r="YE99" s="8"/>
      <c r="YF99" s="8"/>
      <c r="YG99" s="8"/>
      <c r="YH99" s="8"/>
      <c r="YI99" s="8"/>
      <c r="YJ99" s="8"/>
      <c r="YK99" s="8"/>
      <c r="YL99" s="8"/>
      <c r="YM99" s="8"/>
      <c r="YN99" s="8"/>
      <c r="YO99" s="8"/>
      <c r="YP99" s="8"/>
      <c r="YQ99" s="8"/>
      <c r="YR99" s="8"/>
      <c r="YS99" s="8"/>
      <c r="YT99" s="8"/>
      <c r="YU99" s="8"/>
      <c r="YV99" s="8"/>
      <c r="YW99" s="8"/>
      <c r="YX99" s="8"/>
      <c r="YY99" s="8"/>
      <c r="YZ99" s="8"/>
      <c r="ZA99" s="8"/>
      <c r="ZB99" s="8"/>
      <c r="ZC99" s="8"/>
      <c r="ZD99" s="8"/>
      <c r="ZE99" s="8"/>
      <c r="ZF99" s="8"/>
      <c r="ZG99" s="8"/>
      <c r="ZH99" s="8"/>
      <c r="ZI99" s="8"/>
      <c r="ZJ99" s="8"/>
      <c r="ZK99" s="8"/>
      <c r="ZL99" s="8"/>
      <c r="ZM99" s="8"/>
      <c r="ZN99" s="8"/>
      <c r="ZO99" s="8"/>
      <c r="ZP99" s="8"/>
      <c r="ZQ99" s="8"/>
      <c r="ZR99" s="8"/>
      <c r="ZS99" s="8"/>
      <c r="ZT99" s="8"/>
      <c r="ZU99" s="8"/>
      <c r="ZV99" s="8"/>
      <c r="ZW99" s="8"/>
      <c r="ZX99" s="8"/>
      <c r="ZY99" s="8"/>
      <c r="ZZ99" s="8"/>
      <c r="AAA99" s="8"/>
      <c r="AAB99" s="8"/>
      <c r="AAC99" s="8"/>
      <c r="AAD99" s="8"/>
      <c r="AAE99" s="8"/>
      <c r="AAF99" s="8"/>
      <c r="AAG99" s="8"/>
      <c r="AAH99" s="8"/>
      <c r="AAI99" s="8"/>
      <c r="AAJ99" s="8"/>
      <c r="AAK99" s="8"/>
      <c r="AAL99" s="8"/>
      <c r="AAM99" s="8"/>
      <c r="AAN99" s="8"/>
      <c r="AAO99" s="8"/>
      <c r="AAP99" s="8"/>
      <c r="AAQ99" s="8"/>
      <c r="AAR99" s="8"/>
      <c r="AAS99" s="8"/>
      <c r="AAT99" s="8"/>
      <c r="AAU99" s="8"/>
      <c r="AAV99" s="8"/>
      <c r="AAW99" s="8"/>
      <c r="AAX99" s="8"/>
      <c r="AAY99" s="8"/>
      <c r="AAZ99" s="8"/>
      <c r="ABA99" s="8"/>
      <c r="ABB99" s="8"/>
      <c r="ABC99" s="8"/>
      <c r="ABD99" s="8"/>
      <c r="ABE99" s="8"/>
      <c r="ABF99" s="8"/>
      <c r="ABG99" s="8"/>
      <c r="ABH99" s="8"/>
      <c r="ABI99" s="8"/>
      <c r="ABJ99" s="8"/>
      <c r="ABK99" s="8"/>
      <c r="ABL99" s="8"/>
      <c r="ABM99" s="8"/>
      <c r="ABN99" s="8"/>
      <c r="ABO99" s="8"/>
      <c r="ABP99" s="8"/>
      <c r="ABQ99" s="8"/>
      <c r="ABR99" s="8"/>
      <c r="ABS99" s="8"/>
      <c r="ABT99" s="8"/>
      <c r="ABU99" s="8"/>
      <c r="ABV99" s="8"/>
      <c r="ABW99" s="8"/>
      <c r="ABX99" s="8"/>
      <c r="ABY99" s="8"/>
      <c r="ABZ99" s="8"/>
      <c r="ACA99" s="8"/>
      <c r="ACB99" s="8"/>
      <c r="ACC99" s="8"/>
      <c r="ACD99" s="8"/>
      <c r="ACE99" s="8"/>
      <c r="ACF99" s="8"/>
      <c r="ACG99" s="8"/>
      <c r="ACH99" s="8"/>
      <c r="ACI99" s="8"/>
      <c r="ACJ99" s="8"/>
      <c r="ACK99" s="8"/>
      <c r="ACL99" s="8"/>
      <c r="ACM99" s="8"/>
      <c r="ACN99" s="8"/>
      <c r="ACO99" s="8"/>
      <c r="ACP99" s="8"/>
      <c r="ACQ99" s="8"/>
      <c r="ACR99" s="8"/>
      <c r="ACS99" s="8"/>
      <c r="ACT99" s="8"/>
      <c r="ACU99" s="8"/>
      <c r="ACV99" s="8"/>
      <c r="ACW99" s="8"/>
      <c r="ACX99" s="8"/>
      <c r="ACY99" s="8"/>
      <c r="ACZ99" s="8"/>
      <c r="ADA99" s="8"/>
      <c r="ADB99" s="8"/>
      <c r="ADC99" s="8"/>
      <c r="ADD99" s="8"/>
      <c r="ADE99" s="8"/>
      <c r="ADF99" s="8"/>
      <c r="ADG99" s="8"/>
      <c r="ADH99" s="8"/>
      <c r="ADI99" s="8"/>
      <c r="ADJ99" s="8"/>
      <c r="ADK99" s="8"/>
      <c r="ADL99" s="8"/>
      <c r="ADM99" s="8"/>
      <c r="ADN99" s="8"/>
      <c r="ADO99" s="8"/>
      <c r="ADP99" s="8"/>
      <c r="ADQ99" s="8"/>
      <c r="ADR99" s="8"/>
      <c r="ADS99" s="8"/>
      <c r="ADT99" s="8"/>
      <c r="ADU99" s="8"/>
      <c r="ADV99" s="8"/>
      <c r="ADW99" s="8"/>
      <c r="ADX99" s="8"/>
      <c r="ADY99" s="8"/>
      <c r="ADZ99" s="8"/>
      <c r="AEA99" s="8"/>
      <c r="AEB99" s="8"/>
      <c r="AEC99" s="8"/>
      <c r="AED99" s="8"/>
      <c r="AEE99" s="8"/>
      <c r="AEF99" s="8"/>
      <c r="AEG99" s="8"/>
      <c r="AEH99" s="8"/>
      <c r="AEI99" s="8"/>
      <c r="AEJ99" s="8"/>
      <c r="AEK99" s="8"/>
      <c r="AEL99" s="8"/>
      <c r="AEM99" s="8"/>
      <c r="AEN99" s="8"/>
      <c r="AEO99" s="8"/>
      <c r="AEP99" s="8"/>
      <c r="AEQ99" s="8"/>
      <c r="AER99" s="8"/>
      <c r="AES99" s="8"/>
      <c r="AET99" s="8"/>
      <c r="AEU99" s="8"/>
      <c r="AEV99" s="8"/>
      <c r="AEW99" s="8"/>
      <c r="AEX99" s="8"/>
      <c r="AEY99" s="8"/>
      <c r="AEZ99" s="8"/>
      <c r="AFA99" s="8"/>
      <c r="AFB99" s="8"/>
      <c r="AFC99" s="8"/>
      <c r="AFD99" s="8"/>
      <c r="AFE99" s="8"/>
      <c r="AFF99" s="8"/>
      <c r="AFG99" s="8"/>
      <c r="AFH99" s="8"/>
      <c r="AFI99" s="8"/>
      <c r="AFJ99" s="8"/>
      <c r="AFK99" s="8"/>
      <c r="AFL99" s="8"/>
      <c r="AFM99" s="8"/>
      <c r="AFN99" s="8"/>
      <c r="AFO99" s="8"/>
      <c r="AFP99" s="8"/>
      <c r="AFQ99" s="8"/>
      <c r="AFR99" s="8"/>
      <c r="AFS99" s="8"/>
      <c r="AFT99" s="8"/>
      <c r="AFU99" s="8"/>
      <c r="AFV99" s="8"/>
      <c r="AFW99" s="8"/>
      <c r="AFX99" s="8"/>
      <c r="AFY99" s="8"/>
      <c r="AFZ99" s="8"/>
      <c r="AGA99" s="8"/>
      <c r="AGB99" s="8"/>
      <c r="AGC99" s="8"/>
      <c r="AGD99" s="8"/>
      <c r="AGE99" s="8"/>
      <c r="AGF99" s="8"/>
      <c r="AGG99" s="8"/>
      <c r="AGH99" s="8"/>
      <c r="AGI99" s="8"/>
      <c r="AGJ99" s="8"/>
      <c r="AGK99" s="8"/>
      <c r="AGL99" s="8"/>
      <c r="AGM99" s="8"/>
      <c r="AGN99" s="8"/>
      <c r="AGO99" s="8"/>
      <c r="AGP99" s="8"/>
      <c r="AGQ99" s="8"/>
      <c r="AGR99" s="8"/>
      <c r="AGS99" s="8"/>
      <c r="AGT99" s="8"/>
      <c r="AGU99" s="8"/>
      <c r="AGV99" s="8"/>
      <c r="AGW99" s="8"/>
      <c r="AGX99" s="8"/>
      <c r="AGY99" s="8"/>
      <c r="AGZ99" s="8"/>
      <c r="AHA99" s="8"/>
      <c r="AHB99" s="8"/>
      <c r="AHC99" s="8"/>
      <c r="AHD99" s="8"/>
      <c r="AHE99" s="8"/>
      <c r="AHF99" s="8"/>
      <c r="AHG99" s="8"/>
      <c r="AHH99" s="8"/>
      <c r="AHI99" s="8"/>
      <c r="AHJ99" s="8"/>
      <c r="AHK99" s="8"/>
      <c r="AHL99" s="8"/>
      <c r="AHM99" s="8"/>
      <c r="AHN99" s="8"/>
      <c r="AHO99" s="8"/>
      <c r="AHP99" s="8"/>
      <c r="AHQ99" s="8"/>
      <c r="AHR99" s="8"/>
      <c r="AHS99" s="8"/>
      <c r="AHT99" s="8"/>
      <c r="AHU99" s="8"/>
      <c r="AHV99" s="8"/>
      <c r="AHW99" s="8"/>
      <c r="AHX99" s="8"/>
      <c r="AHY99" s="8"/>
      <c r="AHZ99" s="8"/>
      <c r="AIA99" s="8"/>
      <c r="AIB99" s="8"/>
      <c r="AIC99" s="8"/>
      <c r="AID99" s="8"/>
      <c r="AIE99" s="8"/>
      <c r="AIF99" s="8"/>
      <c r="AIG99" s="8"/>
      <c r="AIH99" s="8"/>
      <c r="AII99" s="8"/>
      <c r="AIJ99" s="8"/>
      <c r="AIK99" s="8"/>
      <c r="AIL99" s="8"/>
      <c r="AIM99" s="8"/>
      <c r="AIN99" s="8"/>
      <c r="AIO99" s="8"/>
      <c r="AIP99" s="8"/>
      <c r="AIQ99" s="8"/>
      <c r="AIR99" s="8"/>
      <c r="AIS99" s="8"/>
      <c r="AIT99" s="8"/>
      <c r="AIU99" s="8"/>
      <c r="AIV99" s="8"/>
      <c r="AIW99" s="8"/>
      <c r="AIX99" s="8"/>
      <c r="AIY99" s="8"/>
      <c r="AIZ99" s="8"/>
      <c r="AJA99" s="8"/>
      <c r="AJB99" s="8"/>
      <c r="AJC99" s="8"/>
      <c r="AJD99" s="8"/>
      <c r="AJE99" s="8"/>
      <c r="AJF99" s="8"/>
      <c r="AJG99" s="8"/>
      <c r="AJH99" s="8"/>
      <c r="AJI99" s="8"/>
      <c r="AJJ99" s="8"/>
      <c r="AJK99" s="8"/>
      <c r="AJL99" s="8"/>
      <c r="AJM99" s="8"/>
      <c r="AJN99" s="8"/>
      <c r="AJO99" s="8"/>
      <c r="AJP99" s="8"/>
      <c r="AJQ99" s="8"/>
      <c r="AJR99" s="8"/>
      <c r="AJS99" s="8"/>
      <c r="AJT99" s="8"/>
      <c r="AJU99" s="8"/>
      <c r="AJV99" s="8"/>
      <c r="AJW99" s="8"/>
      <c r="AJX99" s="8"/>
      <c r="AJY99" s="8"/>
      <c r="AJZ99" s="8"/>
      <c r="AKA99" s="8"/>
      <c r="AKB99" s="8"/>
      <c r="AKC99" s="8"/>
      <c r="AKD99" s="8"/>
      <c r="AKE99" s="8"/>
      <c r="AKF99" s="8"/>
      <c r="AKG99" s="8"/>
      <c r="AKH99" s="8"/>
      <c r="AKI99" s="8"/>
      <c r="AKJ99" s="8"/>
      <c r="AKK99" s="8"/>
      <c r="AKL99" s="8"/>
      <c r="AKM99" s="8"/>
      <c r="AKN99" s="8"/>
      <c r="AKO99" s="8"/>
      <c r="AKP99" s="8"/>
      <c r="AKQ99" s="8"/>
      <c r="AKR99" s="8"/>
      <c r="AKS99" s="8"/>
      <c r="AKT99" s="8"/>
      <c r="AKU99" s="8"/>
      <c r="AKV99" s="8"/>
      <c r="AKW99" s="8"/>
      <c r="AKX99" s="8"/>
      <c r="AKY99" s="8"/>
      <c r="AKZ99" s="8"/>
      <c r="ALA99" s="8"/>
      <c r="ALB99" s="8"/>
      <c r="ALC99" s="8"/>
      <c r="ALD99" s="8"/>
      <c r="ALE99" s="8"/>
      <c r="ALF99" s="8"/>
      <c r="ALG99" s="8"/>
      <c r="ALH99" s="8"/>
      <c r="ALI99" s="8"/>
      <c r="ALJ99" s="8"/>
      <c r="ALK99" s="8"/>
      <c r="ALL99" s="8"/>
      <c r="ALM99" s="8"/>
      <c r="ALN99" s="8"/>
      <c r="ALO99" s="8"/>
      <c r="ALP99" s="8"/>
      <c r="ALQ99" s="8"/>
      <c r="ALR99" s="8"/>
      <c r="ALS99" s="8"/>
      <c r="ALT99" s="8"/>
      <c r="ALU99" s="8"/>
      <c r="ALV99" s="8"/>
      <c r="ALW99" s="8"/>
      <c r="ALX99" s="8"/>
      <c r="ALY99" s="8"/>
      <c r="ALZ99" s="8"/>
      <c r="AMA99" s="8"/>
      <c r="AMB99" s="8"/>
      <c r="AMC99" s="8"/>
      <c r="AMD99" s="8"/>
      <c r="AME99" s="8"/>
      <c r="AMF99" s="8"/>
      <c r="AMG99" s="8"/>
      <c r="AMH99" s="8"/>
      <c r="AMI99" s="8"/>
      <c r="AMJ99" s="8"/>
      <c r="AMK99" s="8"/>
      <c r="AML99" s="8"/>
      <c r="AMM99" s="8"/>
      <c r="AMN99" s="8"/>
      <c r="AMO99" s="8"/>
      <c r="AMP99" s="8"/>
      <c r="AMQ99" s="8"/>
      <c r="AMR99" s="8"/>
      <c r="AMS99" s="8"/>
      <c r="AMT99" s="8"/>
      <c r="AMU99" s="8"/>
      <c r="AMV99" s="8"/>
      <c r="AMW99" s="8"/>
      <c r="AMX99" s="8"/>
      <c r="AMY99" s="8"/>
      <c r="AMZ99" s="8"/>
      <c r="ANA99" s="8"/>
      <c r="ANB99" s="8"/>
      <c r="ANC99" s="8"/>
      <c r="AND99" s="8"/>
      <c r="ANE99" s="8"/>
      <c r="ANF99" s="8"/>
      <c r="ANG99" s="8"/>
      <c r="ANH99" s="8"/>
      <c r="ANI99" s="8"/>
      <c r="ANJ99" s="8"/>
      <c r="ANK99" s="8"/>
      <c r="ANL99" s="8"/>
      <c r="ANM99" s="8"/>
      <c r="ANN99" s="8"/>
      <c r="ANO99" s="8"/>
      <c r="ANP99" s="8"/>
      <c r="ANQ99" s="8"/>
      <c r="ANR99" s="8"/>
      <c r="ANS99" s="8"/>
      <c r="ANT99" s="8"/>
      <c r="ANU99" s="8"/>
      <c r="ANV99" s="8"/>
      <c r="ANW99" s="8"/>
      <c r="ANX99" s="8"/>
      <c r="ANY99" s="8"/>
      <c r="ANZ99" s="8"/>
      <c r="AOA99" s="8"/>
      <c r="AOB99" s="8"/>
      <c r="AOC99" s="8"/>
      <c r="AOD99" s="8"/>
      <c r="AOE99" s="8"/>
      <c r="AOF99" s="8"/>
      <c r="AOG99" s="8"/>
      <c r="AOH99" s="8"/>
      <c r="AOI99" s="8"/>
      <c r="AOJ99" s="8"/>
      <c r="AOK99" s="8"/>
      <c r="AOL99" s="8"/>
      <c r="AOM99" s="8"/>
      <c r="AON99" s="8"/>
      <c r="AOO99" s="8"/>
      <c r="AOP99" s="8"/>
      <c r="AOQ99" s="8"/>
      <c r="AOR99" s="8"/>
      <c r="AOS99" s="8"/>
      <c r="AOT99" s="8"/>
      <c r="AOU99" s="8"/>
      <c r="AOV99" s="8"/>
      <c r="AOW99" s="8"/>
      <c r="AOX99" s="8"/>
      <c r="AOY99" s="8"/>
      <c r="AOZ99" s="8"/>
      <c r="APA99" s="8"/>
      <c r="APB99" s="8"/>
      <c r="APC99" s="8"/>
      <c r="APD99" s="8"/>
      <c r="APE99" s="8"/>
      <c r="APF99" s="8"/>
      <c r="APG99" s="8"/>
      <c r="APH99" s="8"/>
      <c r="API99" s="8"/>
      <c r="APJ99" s="8"/>
      <c r="APK99" s="8"/>
      <c r="APL99" s="8"/>
      <c r="APM99" s="8"/>
      <c r="APN99" s="8"/>
      <c r="APO99" s="8"/>
      <c r="APP99" s="8"/>
      <c r="APQ99" s="8"/>
      <c r="APR99" s="8"/>
      <c r="APS99" s="8"/>
      <c r="APT99" s="8"/>
      <c r="APU99" s="8"/>
      <c r="APV99" s="8"/>
      <c r="APW99" s="8"/>
      <c r="APX99" s="8"/>
      <c r="APY99" s="8"/>
      <c r="APZ99" s="8"/>
      <c r="AQA99" s="8"/>
      <c r="AQB99" s="8"/>
      <c r="AQC99" s="8"/>
      <c r="AQD99" s="8"/>
      <c r="AQE99" s="8"/>
      <c r="AQF99" s="8"/>
      <c r="AQG99" s="8"/>
      <c r="AQH99" s="8"/>
      <c r="AQI99" s="8"/>
      <c r="AQJ99" s="8"/>
      <c r="AQK99" s="8"/>
      <c r="AQL99" s="8"/>
      <c r="AQM99" s="8"/>
      <c r="AQN99" s="8"/>
      <c r="AQO99" s="8"/>
      <c r="AQP99" s="8"/>
      <c r="AQQ99" s="8"/>
      <c r="AQR99" s="8"/>
      <c r="AQS99" s="8"/>
      <c r="AQT99" s="8"/>
      <c r="AQU99" s="8"/>
      <c r="AQV99" s="8"/>
      <c r="AQW99" s="8"/>
      <c r="AQX99" s="8"/>
      <c r="AQY99" s="8"/>
      <c r="AQZ99" s="8"/>
      <c r="ARA99" s="8"/>
      <c r="ARB99" s="8"/>
      <c r="ARC99" s="8"/>
      <c r="ARD99" s="8"/>
      <c r="ARE99" s="8"/>
      <c r="ARF99" s="8"/>
      <c r="ARG99" s="8"/>
      <c r="ARH99" s="8"/>
      <c r="ARI99" s="8"/>
      <c r="ARJ99" s="8"/>
      <c r="ARK99" s="8"/>
      <c r="ARL99" s="8"/>
      <c r="ARM99" s="8"/>
      <c r="ARN99" s="8"/>
      <c r="ARO99" s="8"/>
      <c r="ARP99" s="8"/>
      <c r="ARQ99" s="8"/>
      <c r="ARR99" s="8"/>
      <c r="ARS99" s="8"/>
      <c r="ART99" s="8"/>
      <c r="ARU99" s="8"/>
      <c r="ARV99" s="8"/>
      <c r="ARW99" s="8"/>
      <c r="ARX99" s="8"/>
      <c r="ARY99" s="8"/>
      <c r="ARZ99" s="8"/>
      <c r="ASA99" s="8"/>
      <c r="ASB99" s="8"/>
      <c r="ASC99" s="8"/>
      <c r="ASD99" s="8"/>
      <c r="ASE99" s="8"/>
      <c r="ASF99" s="8"/>
      <c r="ASG99" s="8"/>
      <c r="ASH99" s="8"/>
      <c r="ASI99" s="8"/>
      <c r="ASJ99" s="8"/>
      <c r="ASK99" s="8"/>
      <c r="ASL99" s="8"/>
      <c r="ASM99" s="8"/>
      <c r="ASN99" s="8"/>
      <c r="ASO99" s="8"/>
      <c r="ASP99" s="8"/>
      <c r="ASQ99" s="8"/>
      <c r="ASR99" s="8"/>
      <c r="ASS99" s="8"/>
      <c r="AST99" s="8"/>
      <c r="ASU99" s="8"/>
      <c r="ASV99" s="8"/>
      <c r="ASW99" s="8"/>
      <c r="ASX99" s="8"/>
      <c r="ASY99" s="8"/>
      <c r="ASZ99" s="8"/>
      <c r="ATA99" s="8"/>
      <c r="ATB99" s="8"/>
      <c r="ATC99" s="8"/>
      <c r="ATD99" s="8"/>
      <c r="ATE99" s="8"/>
      <c r="ATF99" s="8"/>
      <c r="ATG99" s="8"/>
      <c r="ATH99" s="8"/>
      <c r="ATI99" s="8"/>
      <c r="ATJ99" s="8"/>
      <c r="ATK99" s="8"/>
      <c r="ATL99" s="8"/>
      <c r="ATM99" s="8"/>
      <c r="ATN99" s="8"/>
      <c r="ATO99" s="8"/>
      <c r="ATP99" s="8"/>
      <c r="ATQ99" s="8"/>
      <c r="ATR99" s="8"/>
      <c r="ATS99" s="8"/>
      <c r="ATT99" s="8"/>
      <c r="ATU99" s="8"/>
      <c r="ATV99" s="8"/>
      <c r="ATW99" s="8"/>
      <c r="ATX99" s="8"/>
      <c r="ATY99" s="8"/>
      <c r="ATZ99" s="8"/>
      <c r="AUA99" s="8"/>
      <c r="AUB99" s="8"/>
      <c r="AUC99" s="8"/>
      <c r="AUD99" s="8"/>
      <c r="AUE99" s="8"/>
      <c r="AUF99" s="8"/>
      <c r="AUG99" s="8"/>
      <c r="AUH99" s="8"/>
      <c r="AUI99" s="8"/>
      <c r="AUJ99" s="8"/>
      <c r="AUK99" s="8"/>
      <c r="AUL99" s="8"/>
      <c r="AUM99" s="8"/>
      <c r="AUN99" s="8"/>
      <c r="AUO99" s="8"/>
      <c r="AUP99" s="8"/>
      <c r="AUQ99" s="8"/>
      <c r="AUR99" s="8"/>
      <c r="AUS99" s="8"/>
      <c r="AUT99" s="8"/>
      <c r="AUU99" s="8"/>
      <c r="AUV99" s="8"/>
      <c r="AUW99" s="8"/>
      <c r="AUX99" s="8"/>
      <c r="AUY99" s="8"/>
      <c r="AUZ99" s="8"/>
      <c r="AVA99" s="8"/>
      <c r="AVB99" s="8"/>
      <c r="AVC99" s="8"/>
      <c r="AVD99" s="8"/>
      <c r="AVE99" s="8"/>
      <c r="AVF99" s="8"/>
      <c r="AVG99" s="8"/>
      <c r="AVH99" s="8"/>
      <c r="AVI99" s="8"/>
      <c r="AVJ99" s="8"/>
      <c r="AVK99" s="8"/>
      <c r="AVL99" s="8"/>
      <c r="AVM99" s="8"/>
      <c r="AVN99" s="8"/>
      <c r="AVO99" s="8"/>
      <c r="AVP99" s="8"/>
      <c r="AVQ99" s="8"/>
      <c r="AVR99" s="8"/>
      <c r="AVS99" s="8"/>
      <c r="AVT99" s="8"/>
      <c r="AVU99" s="8"/>
      <c r="AVV99" s="8"/>
      <c r="AVW99" s="8"/>
      <c r="AVX99" s="8"/>
      <c r="AVY99" s="8"/>
      <c r="AVZ99" s="8"/>
      <c r="AWA99" s="8"/>
      <c r="AWB99" s="8"/>
      <c r="AWC99" s="8"/>
      <c r="AWD99" s="8"/>
      <c r="AWE99" s="8"/>
      <c r="AWF99" s="8"/>
      <c r="AWG99" s="8"/>
      <c r="AWH99" s="8"/>
      <c r="AWI99" s="8"/>
      <c r="AWJ99" s="8"/>
      <c r="AWK99" s="8"/>
      <c r="AWL99" s="8"/>
      <c r="AWM99" s="8"/>
      <c r="AWN99" s="8"/>
      <c r="AWO99" s="8"/>
      <c r="AWP99" s="8"/>
      <c r="AWQ99" s="8"/>
      <c r="AWR99" s="8"/>
      <c r="AWS99" s="8"/>
      <c r="AWT99" s="8"/>
      <c r="AWU99" s="8"/>
      <c r="AWV99" s="8"/>
      <c r="AWW99" s="8"/>
      <c r="AWX99" s="8"/>
      <c r="AWY99" s="8"/>
      <c r="AWZ99" s="8"/>
      <c r="AXA99" s="8"/>
      <c r="AXB99" s="8"/>
      <c r="AXC99" s="8"/>
      <c r="AXD99" s="8"/>
      <c r="AXE99" s="8"/>
      <c r="AXF99" s="8"/>
      <c r="AXG99" s="8"/>
      <c r="AXH99" s="8"/>
      <c r="AXI99" s="8"/>
      <c r="AXJ99" s="8"/>
      <c r="AXK99" s="8"/>
      <c r="AXL99" s="8"/>
      <c r="AXM99" s="8"/>
      <c r="AXN99" s="8"/>
      <c r="AXO99" s="8"/>
      <c r="AXP99" s="8"/>
      <c r="AXQ99" s="8"/>
      <c r="AXR99" s="8"/>
      <c r="AXS99" s="8"/>
      <c r="AXT99" s="8"/>
      <c r="AXU99" s="8"/>
      <c r="AXV99" s="8"/>
      <c r="AXW99" s="8"/>
      <c r="AXX99" s="8"/>
      <c r="AXY99" s="8"/>
      <c r="AXZ99" s="8"/>
      <c r="AYA99" s="8"/>
      <c r="AYB99" s="8"/>
      <c r="AYC99" s="8"/>
      <c r="AYD99" s="8"/>
      <c r="AYE99" s="8"/>
      <c r="AYF99" s="8"/>
      <c r="AYG99" s="8"/>
      <c r="AYH99" s="8"/>
      <c r="AYI99" s="8"/>
      <c r="AYJ99" s="8"/>
      <c r="AYK99" s="8"/>
      <c r="AYL99" s="8"/>
      <c r="AYM99" s="8"/>
      <c r="AYN99" s="8"/>
      <c r="AYO99" s="8"/>
      <c r="AYP99" s="8"/>
      <c r="AYQ99" s="8"/>
      <c r="AYR99" s="8"/>
      <c r="AYS99" s="8"/>
      <c r="AYT99" s="8"/>
      <c r="AYU99" s="8"/>
      <c r="AYV99" s="8"/>
      <c r="AYW99" s="8"/>
      <c r="AYX99" s="8"/>
      <c r="AYY99" s="8"/>
      <c r="AYZ99" s="8"/>
      <c r="AZA99" s="8"/>
      <c r="AZB99" s="8"/>
      <c r="AZC99" s="8"/>
      <c r="AZD99" s="8"/>
      <c r="AZE99" s="8"/>
      <c r="AZF99" s="8"/>
      <c r="AZG99" s="8"/>
      <c r="AZH99" s="8"/>
      <c r="AZI99" s="8"/>
      <c r="AZJ99" s="8"/>
      <c r="AZK99" s="8"/>
      <c r="AZL99" s="8"/>
      <c r="AZM99" s="8"/>
      <c r="AZN99" s="8"/>
      <c r="AZO99" s="8"/>
      <c r="AZP99" s="8"/>
      <c r="AZQ99" s="8"/>
      <c r="AZR99" s="8"/>
      <c r="AZS99" s="8"/>
      <c r="AZT99" s="8"/>
      <c r="AZU99" s="8"/>
      <c r="AZV99" s="8"/>
      <c r="AZW99" s="8"/>
      <c r="AZX99" s="8"/>
      <c r="AZY99" s="8"/>
      <c r="AZZ99" s="8"/>
      <c r="BAA99" s="8"/>
      <c r="BAB99" s="8"/>
      <c r="BAC99" s="8"/>
      <c r="BAD99" s="8"/>
      <c r="BAE99" s="8"/>
      <c r="BAF99" s="8"/>
      <c r="BAG99" s="8"/>
      <c r="BAH99" s="8"/>
      <c r="BAI99" s="8"/>
      <c r="BAJ99" s="8"/>
      <c r="BAK99" s="8"/>
      <c r="BAL99" s="8"/>
      <c r="BAM99" s="8"/>
      <c r="BAN99" s="8"/>
      <c r="BAO99" s="8"/>
      <c r="BAP99" s="8"/>
      <c r="BAQ99" s="8"/>
      <c r="BAR99" s="8"/>
      <c r="BAS99" s="8"/>
      <c r="BAT99" s="8"/>
      <c r="BAU99" s="8"/>
      <c r="BAV99" s="8"/>
      <c r="BAW99" s="8"/>
      <c r="BAX99" s="8"/>
      <c r="BAY99" s="8"/>
      <c r="BAZ99" s="8"/>
      <c r="BBA99" s="8"/>
      <c r="BBB99" s="8"/>
      <c r="BBC99" s="8"/>
      <c r="BBD99" s="8"/>
      <c r="BBE99" s="8"/>
      <c r="BBF99" s="8"/>
      <c r="BBG99" s="8"/>
      <c r="BBH99" s="8"/>
      <c r="BBI99" s="8"/>
      <c r="BBJ99" s="8"/>
      <c r="BBK99" s="8"/>
      <c r="BBL99" s="8"/>
      <c r="BBM99" s="8"/>
      <c r="BBN99" s="8"/>
      <c r="BBO99" s="8"/>
      <c r="BBP99" s="8"/>
      <c r="BBQ99" s="8"/>
      <c r="BBR99" s="8"/>
      <c r="BBS99" s="8"/>
      <c r="BBT99" s="8"/>
      <c r="BBU99" s="8"/>
      <c r="BBV99" s="8"/>
      <c r="BBW99" s="8"/>
      <c r="BBX99" s="8"/>
      <c r="BBY99" s="8"/>
      <c r="BBZ99" s="8"/>
      <c r="BCA99" s="8"/>
      <c r="BCB99" s="8"/>
      <c r="BCC99" s="8"/>
      <c r="BCD99" s="8"/>
      <c r="BCE99" s="8"/>
      <c r="BCF99" s="8"/>
      <c r="BCG99" s="8"/>
      <c r="BCH99" s="8"/>
      <c r="BCI99" s="8"/>
      <c r="BCJ99" s="8"/>
      <c r="BCK99" s="8"/>
      <c r="BCL99" s="8"/>
      <c r="BCM99" s="8"/>
      <c r="BCN99" s="8"/>
      <c r="BCO99" s="8"/>
      <c r="BCP99" s="8"/>
      <c r="BCQ99" s="8"/>
      <c r="BCR99" s="8"/>
      <c r="BCS99" s="8"/>
      <c r="BCT99" s="8"/>
      <c r="BCU99" s="8"/>
      <c r="BCV99" s="8"/>
      <c r="BCW99" s="8"/>
      <c r="BCX99" s="8"/>
      <c r="BCY99" s="8"/>
      <c r="BCZ99" s="8"/>
      <c r="BDA99" s="8"/>
      <c r="BDB99" s="8"/>
      <c r="BDC99" s="8"/>
      <c r="BDD99" s="8"/>
      <c r="BDE99" s="8"/>
      <c r="BDF99" s="8"/>
      <c r="BDG99" s="8"/>
      <c r="BDH99" s="8"/>
      <c r="BDI99" s="8"/>
      <c r="BDJ99" s="8"/>
      <c r="BDK99" s="8"/>
      <c r="BDL99" s="8"/>
      <c r="BDM99" s="8"/>
      <c r="BDN99" s="8"/>
      <c r="BDO99" s="8"/>
      <c r="BDP99" s="8"/>
      <c r="BDQ99" s="8"/>
      <c r="BDR99" s="8"/>
      <c r="BDS99" s="8"/>
      <c r="BDT99" s="8"/>
      <c r="BDU99" s="8"/>
      <c r="BDV99" s="8"/>
      <c r="BDW99" s="8"/>
      <c r="BDX99" s="8"/>
      <c r="BDY99" s="8"/>
      <c r="BDZ99" s="8"/>
      <c r="BEA99" s="8"/>
      <c r="BEB99" s="8"/>
      <c r="BEC99" s="8"/>
      <c r="BED99" s="8"/>
      <c r="BEE99" s="8"/>
      <c r="BEF99" s="8"/>
      <c r="BEG99" s="8"/>
      <c r="BEH99" s="8"/>
      <c r="BEI99" s="8"/>
      <c r="BEJ99" s="8"/>
      <c r="BEK99" s="8"/>
      <c r="BEL99" s="8"/>
      <c r="BEM99" s="8"/>
      <c r="BEN99" s="8"/>
      <c r="BEO99" s="8"/>
      <c r="BEP99" s="8"/>
      <c r="BEQ99" s="8"/>
      <c r="BER99" s="8"/>
      <c r="BES99" s="8"/>
      <c r="BET99" s="8"/>
      <c r="BEU99" s="8"/>
      <c r="BEV99" s="8"/>
      <c r="BEW99" s="8"/>
      <c r="BEX99" s="8"/>
      <c r="BEY99" s="8"/>
      <c r="BEZ99" s="8"/>
      <c r="BFA99" s="8"/>
      <c r="BFB99" s="8"/>
      <c r="BFC99" s="8"/>
      <c r="BFD99" s="8"/>
      <c r="BFE99" s="8"/>
      <c r="BFF99" s="8"/>
      <c r="BFG99" s="8"/>
      <c r="BFH99" s="8"/>
      <c r="BFI99" s="8"/>
      <c r="BFJ99" s="8"/>
      <c r="BFK99" s="8"/>
      <c r="BFL99" s="8"/>
      <c r="BFM99" s="8"/>
      <c r="BFN99" s="8"/>
      <c r="BFO99" s="8"/>
      <c r="BFP99" s="8"/>
      <c r="BFQ99" s="8"/>
      <c r="BFR99" s="8"/>
      <c r="BFS99" s="8"/>
      <c r="BFT99" s="8"/>
      <c r="BFU99" s="8"/>
      <c r="BFV99" s="8"/>
      <c r="BFW99" s="8"/>
      <c r="BFX99" s="8"/>
      <c r="BFY99" s="8"/>
      <c r="BFZ99" s="8"/>
      <c r="BGA99" s="8"/>
      <c r="BGB99" s="8"/>
      <c r="BGC99" s="8"/>
      <c r="BGD99" s="8"/>
      <c r="BGE99" s="8"/>
      <c r="BGF99" s="8"/>
      <c r="BGG99" s="8"/>
      <c r="BGH99" s="8"/>
      <c r="BGI99" s="8"/>
      <c r="BGJ99" s="8"/>
      <c r="BGK99" s="8"/>
      <c r="BGL99" s="8"/>
      <c r="BGM99" s="8"/>
      <c r="BGN99" s="8"/>
      <c r="BGO99" s="8"/>
      <c r="BGP99" s="8"/>
      <c r="BGQ99" s="8"/>
      <c r="BGR99" s="8"/>
      <c r="BGS99" s="8"/>
      <c r="BGT99" s="8"/>
      <c r="BGU99" s="8"/>
      <c r="BGV99" s="8"/>
      <c r="BGW99" s="8"/>
      <c r="BGX99" s="8"/>
      <c r="BGY99" s="8"/>
      <c r="BGZ99" s="8"/>
      <c r="BHA99" s="8"/>
      <c r="BHB99" s="8"/>
      <c r="BHC99" s="8"/>
      <c r="BHD99" s="8"/>
      <c r="BHE99" s="8"/>
      <c r="BHF99" s="8"/>
      <c r="BHG99" s="8"/>
      <c r="BHH99" s="8"/>
      <c r="BHI99" s="8"/>
      <c r="BHJ99" s="8"/>
      <c r="BHK99" s="8"/>
      <c r="BHL99" s="8"/>
      <c r="BHM99" s="8"/>
      <c r="BHN99" s="8"/>
      <c r="BHO99" s="8"/>
      <c r="BHP99" s="8"/>
      <c r="BHQ99" s="8"/>
      <c r="BHR99" s="8"/>
      <c r="BHS99" s="8"/>
      <c r="BHT99" s="8"/>
      <c r="BHU99" s="8"/>
      <c r="BHV99" s="8"/>
      <c r="BHW99" s="8"/>
      <c r="BHX99" s="8"/>
      <c r="BHY99" s="8"/>
      <c r="BHZ99" s="8"/>
      <c r="BIA99" s="8"/>
      <c r="BIB99" s="8"/>
      <c r="BIC99" s="8"/>
      <c r="BID99" s="8"/>
      <c r="BIE99" s="8"/>
      <c r="BIF99" s="8"/>
      <c r="BIG99" s="8"/>
      <c r="BIH99" s="8"/>
      <c r="BII99" s="8"/>
      <c r="BIJ99" s="8"/>
      <c r="BIK99" s="8"/>
      <c r="BIL99" s="8"/>
      <c r="BIM99" s="8"/>
      <c r="BIN99" s="8"/>
      <c r="BIO99" s="8"/>
      <c r="BIP99" s="8"/>
      <c r="BIQ99" s="8"/>
      <c r="BIR99" s="8"/>
      <c r="BIS99" s="8"/>
      <c r="BIT99" s="8"/>
      <c r="BIU99" s="8"/>
      <c r="BIV99" s="8"/>
      <c r="BIW99" s="8"/>
      <c r="BIX99" s="8"/>
      <c r="BIY99" s="8"/>
      <c r="BIZ99" s="8"/>
      <c r="BJA99" s="8"/>
      <c r="BJB99" s="8"/>
      <c r="BJC99" s="8"/>
      <c r="BJD99" s="8"/>
      <c r="BJE99" s="8"/>
      <c r="BJF99" s="8"/>
      <c r="BJG99" s="8"/>
      <c r="BJH99" s="8"/>
      <c r="BJI99" s="8"/>
      <c r="BJJ99" s="8"/>
      <c r="BJK99" s="8"/>
      <c r="BJL99" s="8"/>
      <c r="BJM99" s="8"/>
      <c r="BJN99" s="8"/>
      <c r="BJO99" s="8"/>
      <c r="BJP99" s="8"/>
      <c r="BJQ99" s="8"/>
      <c r="BJR99" s="8"/>
      <c r="BJS99" s="8"/>
      <c r="BJT99" s="8"/>
      <c r="BJU99" s="8"/>
      <c r="BJV99" s="8"/>
      <c r="BJW99" s="8"/>
      <c r="BJX99" s="8"/>
      <c r="BJY99" s="8"/>
      <c r="BJZ99" s="8"/>
      <c r="BKA99" s="8"/>
      <c r="BKB99" s="8"/>
      <c r="BKC99" s="8"/>
      <c r="BKD99" s="8"/>
      <c r="BKE99" s="8"/>
      <c r="BKF99" s="8"/>
      <c r="BKG99" s="8"/>
      <c r="BKH99" s="8"/>
      <c r="BKI99" s="8"/>
      <c r="BKJ99" s="8"/>
      <c r="BKK99" s="8"/>
      <c r="BKL99" s="8"/>
      <c r="BKM99" s="8"/>
      <c r="BKN99" s="8"/>
      <c r="BKO99" s="8"/>
      <c r="BKP99" s="8"/>
      <c r="BKQ99" s="8"/>
      <c r="BKR99" s="8"/>
      <c r="BKS99" s="8"/>
      <c r="BKT99" s="8"/>
      <c r="BKU99" s="8"/>
      <c r="BKV99" s="8"/>
      <c r="BKW99" s="8"/>
      <c r="BKX99" s="8"/>
      <c r="BKY99" s="8"/>
      <c r="BKZ99" s="8"/>
      <c r="BLA99" s="8"/>
      <c r="BLB99" s="8"/>
      <c r="BLC99" s="8"/>
      <c r="BLD99" s="8"/>
      <c r="BLE99" s="8"/>
      <c r="BLF99" s="8"/>
      <c r="BLG99" s="8"/>
      <c r="BLH99" s="8"/>
      <c r="BLI99" s="8"/>
      <c r="BLJ99" s="8"/>
      <c r="BLK99" s="8"/>
      <c r="BLL99" s="8"/>
      <c r="BLM99" s="8"/>
      <c r="BLN99" s="8"/>
      <c r="BLO99" s="8"/>
      <c r="BLP99" s="8"/>
      <c r="BLQ99" s="8"/>
      <c r="BLR99" s="8"/>
      <c r="BLS99" s="8"/>
      <c r="BLT99" s="8"/>
      <c r="BLU99" s="8"/>
      <c r="BLV99" s="8"/>
      <c r="BLW99" s="8"/>
      <c r="BLX99" s="8"/>
      <c r="BLY99" s="8"/>
      <c r="BLZ99" s="8"/>
      <c r="BMA99" s="8"/>
      <c r="BMB99" s="8"/>
      <c r="BMC99" s="8"/>
      <c r="BMD99" s="8"/>
      <c r="BME99" s="8"/>
      <c r="BMF99" s="8"/>
      <c r="BMG99" s="8"/>
      <c r="BMH99" s="8"/>
      <c r="BMI99" s="8"/>
      <c r="BMJ99" s="8"/>
      <c r="BMK99" s="8"/>
      <c r="BML99" s="8"/>
      <c r="BMM99" s="8"/>
      <c r="BMN99" s="8"/>
      <c r="BMO99" s="8"/>
      <c r="BMP99" s="8"/>
      <c r="BMQ99" s="8"/>
      <c r="BMR99" s="8"/>
      <c r="BMS99" s="8"/>
      <c r="BMT99" s="8"/>
      <c r="BMU99" s="8"/>
      <c r="BMV99" s="8"/>
      <c r="BMW99" s="8"/>
      <c r="BMX99" s="8"/>
      <c r="BMY99" s="8"/>
      <c r="BMZ99" s="8"/>
      <c r="BNA99" s="8"/>
      <c r="BNB99" s="8"/>
      <c r="BNC99" s="8"/>
      <c r="BND99" s="8"/>
      <c r="BNE99" s="8"/>
      <c r="BNF99" s="8"/>
      <c r="BNG99" s="8"/>
      <c r="BNH99" s="8"/>
      <c r="BNI99" s="8"/>
      <c r="BNJ99" s="8"/>
      <c r="BNK99" s="8"/>
      <c r="BNL99" s="8"/>
      <c r="BNM99" s="8"/>
      <c r="BNN99" s="8"/>
      <c r="BNO99" s="8"/>
      <c r="BNP99" s="8"/>
      <c r="BNQ99" s="8"/>
      <c r="BNR99" s="8"/>
      <c r="BNS99" s="8"/>
      <c r="BNT99" s="8"/>
      <c r="BNU99" s="8"/>
      <c r="BNV99" s="8"/>
      <c r="BNW99" s="8"/>
      <c r="BNX99" s="8"/>
      <c r="BNY99" s="8"/>
      <c r="BNZ99" s="8"/>
      <c r="BOA99" s="8"/>
      <c r="BOB99" s="8"/>
      <c r="BOC99" s="8"/>
      <c r="BOD99" s="8"/>
      <c r="BOE99" s="8"/>
      <c r="BOF99" s="8"/>
      <c r="BOG99" s="8"/>
      <c r="BOH99" s="8"/>
      <c r="BOI99" s="8"/>
      <c r="BOJ99" s="8"/>
      <c r="BOK99" s="8"/>
      <c r="BOL99" s="8"/>
      <c r="BOM99" s="8"/>
      <c r="BON99" s="8"/>
      <c r="BOO99" s="8"/>
      <c r="BOP99" s="8"/>
      <c r="BOQ99" s="8"/>
      <c r="BOR99" s="8"/>
      <c r="BOS99" s="8"/>
      <c r="BOT99" s="8"/>
      <c r="BOU99" s="8"/>
      <c r="BOV99" s="8"/>
      <c r="BOW99" s="8"/>
      <c r="BOX99" s="8"/>
      <c r="BOY99" s="8"/>
      <c r="BOZ99" s="8"/>
      <c r="BPA99" s="8"/>
      <c r="BPB99" s="8"/>
      <c r="BPC99" s="8"/>
      <c r="BPD99" s="8"/>
      <c r="BPE99" s="8"/>
      <c r="BPF99" s="8"/>
      <c r="BPG99" s="8"/>
      <c r="BPH99" s="8"/>
      <c r="BPI99" s="8"/>
      <c r="BPJ99" s="8"/>
      <c r="BPK99" s="8"/>
      <c r="BPL99" s="8"/>
      <c r="BPM99" s="8"/>
      <c r="BPN99" s="8"/>
      <c r="BPO99" s="8"/>
      <c r="BPP99" s="8"/>
      <c r="BPQ99" s="8"/>
      <c r="BPR99" s="8"/>
      <c r="BPS99" s="8"/>
      <c r="BPT99" s="8"/>
      <c r="BPU99" s="8"/>
      <c r="BPV99" s="8"/>
      <c r="BPW99" s="8"/>
      <c r="BPX99" s="8"/>
      <c r="BPY99" s="8"/>
      <c r="BPZ99" s="8"/>
      <c r="BQA99" s="8"/>
      <c r="BQB99" s="8"/>
      <c r="BQC99" s="8"/>
      <c r="BQD99" s="8"/>
      <c r="BQE99" s="8"/>
      <c r="BQF99" s="8"/>
      <c r="BQG99" s="8"/>
      <c r="BQH99" s="8"/>
      <c r="BQI99" s="8"/>
      <c r="BQJ99" s="8"/>
      <c r="BQK99" s="8"/>
      <c r="BQL99" s="8"/>
      <c r="BQM99" s="8"/>
      <c r="BQN99" s="8"/>
      <c r="BQO99" s="8"/>
      <c r="BQP99" s="8"/>
      <c r="BQQ99" s="8"/>
      <c r="BQR99" s="8"/>
      <c r="BQS99" s="8"/>
      <c r="BQT99" s="8"/>
      <c r="BQU99" s="8"/>
      <c r="BQV99" s="8"/>
      <c r="BQW99" s="8"/>
      <c r="BQX99" s="8"/>
      <c r="BQY99" s="8"/>
      <c r="BQZ99" s="8"/>
      <c r="BRA99" s="8"/>
      <c r="BRB99" s="8"/>
      <c r="BRC99" s="8"/>
      <c r="BRD99" s="8"/>
      <c r="BRE99" s="8"/>
      <c r="BRF99" s="8"/>
      <c r="BRG99" s="8"/>
      <c r="BRH99" s="8"/>
      <c r="BRI99" s="8"/>
      <c r="BRJ99" s="8"/>
      <c r="BRK99" s="8"/>
      <c r="BRL99" s="8"/>
      <c r="BRM99" s="8"/>
      <c r="BRN99" s="8"/>
      <c r="BRO99" s="8"/>
      <c r="BRP99" s="8"/>
      <c r="BRQ99" s="8"/>
      <c r="BRR99" s="8"/>
      <c r="BRS99" s="8"/>
      <c r="BRT99" s="8"/>
      <c r="BRU99" s="8"/>
      <c r="BRV99" s="8"/>
      <c r="BRW99" s="8"/>
      <c r="BRX99" s="8"/>
      <c r="BRY99" s="8"/>
      <c r="BRZ99" s="8"/>
      <c r="BSA99" s="8"/>
      <c r="BSB99" s="8"/>
      <c r="BSC99" s="8"/>
      <c r="BSD99" s="8"/>
      <c r="BSE99" s="8"/>
      <c r="BSF99" s="8"/>
      <c r="BSG99" s="8"/>
      <c r="BSH99" s="8"/>
      <c r="BSI99" s="8"/>
      <c r="BSJ99" s="8"/>
      <c r="BSK99" s="8"/>
      <c r="BSL99" s="8"/>
      <c r="BSM99" s="8"/>
      <c r="BSN99" s="8"/>
      <c r="BSO99" s="8"/>
      <c r="BSP99" s="8"/>
      <c r="BSQ99" s="8"/>
      <c r="BSR99" s="8"/>
      <c r="BSS99" s="8"/>
      <c r="BST99" s="8"/>
      <c r="BSU99" s="8"/>
      <c r="BSV99" s="8"/>
      <c r="BSW99" s="8"/>
      <c r="BSX99" s="8"/>
      <c r="BSY99" s="8"/>
      <c r="BSZ99" s="8"/>
      <c r="BTA99" s="8"/>
      <c r="BTB99" s="8"/>
      <c r="BTC99" s="8"/>
      <c r="BTD99" s="8"/>
      <c r="BTE99" s="8"/>
      <c r="BTF99" s="8"/>
      <c r="BTG99" s="8"/>
      <c r="BTH99" s="8"/>
      <c r="BTI99" s="8"/>
      <c r="BTJ99" s="8"/>
      <c r="BTK99" s="8"/>
      <c r="BTL99" s="8"/>
      <c r="BTM99" s="8"/>
      <c r="BTN99" s="8"/>
      <c r="BTO99" s="8"/>
      <c r="BTP99" s="8"/>
      <c r="BTQ99" s="8"/>
      <c r="BTR99" s="8"/>
      <c r="BTS99" s="8"/>
      <c r="BTT99" s="8"/>
      <c r="BTU99" s="8"/>
      <c r="BTV99" s="8"/>
      <c r="BTW99" s="8"/>
      <c r="BTX99" s="8"/>
      <c r="BTY99" s="8"/>
      <c r="BTZ99" s="8"/>
      <c r="BUA99" s="8"/>
      <c r="BUB99" s="8"/>
      <c r="BUC99" s="8"/>
      <c r="BUD99" s="8"/>
      <c r="BUE99" s="8"/>
      <c r="BUF99" s="8"/>
      <c r="BUG99" s="8"/>
      <c r="BUH99" s="8"/>
      <c r="BUI99" s="8"/>
      <c r="BUJ99" s="8"/>
      <c r="BUK99" s="8"/>
      <c r="BUL99" s="8"/>
      <c r="BUM99" s="8"/>
      <c r="BUN99" s="8"/>
      <c r="BUO99" s="8"/>
      <c r="BUP99" s="8"/>
      <c r="BUQ99" s="8"/>
      <c r="BUR99" s="8"/>
      <c r="BUS99" s="8"/>
      <c r="BUT99" s="8"/>
      <c r="BUU99" s="8"/>
      <c r="BUV99" s="8"/>
      <c r="BUW99" s="8"/>
      <c r="BUX99" s="8"/>
      <c r="BUY99" s="8"/>
      <c r="BUZ99" s="8"/>
      <c r="BVA99" s="8"/>
      <c r="BVB99" s="8"/>
      <c r="BVC99" s="8"/>
      <c r="BVD99" s="8"/>
      <c r="BVE99" s="8"/>
      <c r="BVF99" s="8"/>
      <c r="BVG99" s="8"/>
      <c r="BVH99" s="8"/>
      <c r="BVI99" s="8"/>
      <c r="BVJ99" s="8"/>
      <c r="BVK99" s="8"/>
      <c r="BVL99" s="8"/>
      <c r="BVM99" s="8"/>
      <c r="BVN99" s="8"/>
      <c r="BVO99" s="8"/>
      <c r="BVP99" s="8"/>
      <c r="BVQ99" s="8"/>
      <c r="BVR99" s="8"/>
      <c r="BVS99" s="8"/>
      <c r="BVT99" s="8"/>
      <c r="BVU99" s="8"/>
      <c r="BVV99" s="8"/>
      <c r="BVW99" s="8"/>
      <c r="BVX99" s="8"/>
      <c r="BVY99" s="8"/>
      <c r="BVZ99" s="8"/>
      <c r="BWA99" s="8"/>
      <c r="BWB99" s="8"/>
      <c r="BWC99" s="8"/>
      <c r="BWD99" s="8"/>
      <c r="BWE99" s="8"/>
      <c r="BWF99" s="8"/>
      <c r="BWG99" s="8"/>
      <c r="BWH99" s="8"/>
      <c r="BWI99" s="8"/>
      <c r="BWJ99" s="8"/>
      <c r="BWK99" s="8"/>
      <c r="BWL99" s="8"/>
      <c r="BWM99" s="8"/>
      <c r="BWN99" s="8"/>
      <c r="BWO99" s="8"/>
      <c r="BWP99" s="8"/>
      <c r="BWQ99" s="8"/>
      <c r="BWR99" s="8"/>
      <c r="BWS99" s="8"/>
      <c r="BWT99" s="8"/>
      <c r="BWU99" s="8"/>
      <c r="BWV99" s="8"/>
      <c r="BWW99" s="8"/>
      <c r="BWX99" s="8"/>
      <c r="BWY99" s="8"/>
      <c r="BWZ99" s="8"/>
      <c r="BXA99" s="8"/>
      <c r="BXB99" s="8"/>
      <c r="BXC99" s="8"/>
      <c r="BXD99" s="8"/>
      <c r="BXE99" s="8"/>
      <c r="BXF99" s="8"/>
      <c r="BXG99" s="8"/>
      <c r="BXH99" s="8"/>
      <c r="BXI99" s="8"/>
      <c r="BXJ99" s="8"/>
      <c r="BXK99" s="8"/>
      <c r="BXL99" s="8"/>
      <c r="BXM99" s="8"/>
      <c r="BXN99" s="8"/>
      <c r="BXO99" s="8"/>
      <c r="BXP99" s="8"/>
      <c r="BXQ99" s="8"/>
      <c r="BXR99" s="8"/>
      <c r="BXS99" s="8"/>
      <c r="BXT99" s="8"/>
      <c r="BXU99" s="8"/>
      <c r="BXV99" s="8"/>
      <c r="BXW99" s="8"/>
      <c r="BXX99" s="8"/>
      <c r="BXY99" s="8"/>
      <c r="BXZ99" s="8"/>
      <c r="BYA99" s="8"/>
      <c r="BYB99" s="8"/>
      <c r="BYC99" s="8"/>
      <c r="BYD99" s="8"/>
      <c r="BYE99" s="8"/>
      <c r="BYF99" s="8"/>
      <c r="BYG99" s="8"/>
      <c r="BYH99" s="8"/>
      <c r="BYI99" s="8"/>
      <c r="BYJ99" s="8"/>
      <c r="BYK99" s="8"/>
      <c r="BYL99" s="8"/>
      <c r="BYM99" s="8"/>
      <c r="BYN99" s="8"/>
      <c r="BYO99" s="8"/>
      <c r="BYP99" s="8"/>
      <c r="BYQ99" s="8"/>
      <c r="BYR99" s="8"/>
      <c r="BYS99" s="8"/>
      <c r="BYT99" s="8"/>
      <c r="BYU99" s="8"/>
      <c r="BYV99" s="8"/>
      <c r="BYW99" s="8"/>
      <c r="BYX99" s="8"/>
      <c r="BYY99" s="8"/>
      <c r="BYZ99" s="8"/>
      <c r="BZA99" s="8"/>
      <c r="BZB99" s="8"/>
      <c r="BZC99" s="8"/>
      <c r="BZD99" s="8"/>
      <c r="BZE99" s="8"/>
      <c r="BZF99" s="8"/>
      <c r="BZG99" s="8"/>
      <c r="BZH99" s="8"/>
      <c r="BZI99" s="8"/>
      <c r="BZJ99" s="8"/>
      <c r="BZK99" s="8"/>
      <c r="BZL99" s="8"/>
      <c r="BZM99" s="8"/>
      <c r="BZN99" s="8"/>
      <c r="BZO99" s="8"/>
      <c r="BZP99" s="8"/>
      <c r="BZQ99" s="8"/>
      <c r="BZR99" s="8"/>
      <c r="BZS99" s="8"/>
      <c r="BZT99" s="8"/>
      <c r="BZU99" s="8"/>
      <c r="BZV99" s="8"/>
      <c r="BZW99" s="8"/>
      <c r="BZX99" s="8"/>
      <c r="BZY99" s="8"/>
      <c r="BZZ99" s="8"/>
      <c r="CAA99" s="8"/>
      <c r="CAB99" s="8"/>
      <c r="CAC99" s="8"/>
      <c r="CAD99" s="8"/>
      <c r="CAE99" s="8"/>
      <c r="CAF99" s="8"/>
      <c r="CAG99" s="8"/>
      <c r="CAH99" s="8"/>
      <c r="CAI99" s="8"/>
      <c r="CAJ99" s="8"/>
      <c r="CAK99" s="8"/>
      <c r="CAL99" s="8"/>
      <c r="CAM99" s="8"/>
      <c r="CAN99" s="8"/>
      <c r="CAO99" s="8"/>
      <c r="CAP99" s="8"/>
      <c r="CAQ99" s="8"/>
      <c r="CAR99" s="8"/>
      <c r="CAS99" s="8"/>
      <c r="CAT99" s="8"/>
      <c r="CAU99" s="8"/>
      <c r="CAV99" s="8"/>
      <c r="CAW99" s="8"/>
      <c r="CAX99" s="8"/>
      <c r="CAY99" s="8"/>
      <c r="CAZ99" s="8"/>
      <c r="CBA99" s="8"/>
      <c r="CBB99" s="8"/>
      <c r="CBC99" s="8"/>
      <c r="CBD99" s="8"/>
      <c r="CBE99" s="8"/>
      <c r="CBF99" s="8"/>
      <c r="CBG99" s="8"/>
      <c r="CBH99" s="8"/>
      <c r="CBI99" s="8"/>
      <c r="CBJ99" s="8"/>
      <c r="CBK99" s="8"/>
      <c r="CBL99" s="8"/>
      <c r="CBM99" s="8"/>
      <c r="CBN99" s="8"/>
      <c r="CBO99" s="8"/>
      <c r="CBP99" s="8"/>
      <c r="CBQ99" s="8"/>
      <c r="CBR99" s="8"/>
      <c r="CBS99" s="8"/>
      <c r="CBT99" s="8"/>
      <c r="CBU99" s="8"/>
      <c r="CBV99" s="8"/>
      <c r="CBW99" s="8"/>
      <c r="CBX99" s="8"/>
      <c r="CBY99" s="8"/>
      <c r="CBZ99" s="8"/>
      <c r="CCA99" s="8"/>
      <c r="CCB99" s="8"/>
      <c r="CCC99" s="8"/>
      <c r="CCD99" s="8"/>
      <c r="CCE99" s="8"/>
      <c r="CCF99" s="8"/>
      <c r="CCG99" s="8"/>
      <c r="CCH99" s="8"/>
      <c r="CCI99" s="8"/>
      <c r="CCJ99" s="8"/>
      <c r="CCK99" s="8"/>
      <c r="CCL99" s="8"/>
      <c r="CCM99" s="8"/>
      <c r="CCN99" s="8"/>
      <c r="CCO99" s="8"/>
      <c r="CCP99" s="8"/>
      <c r="CCQ99" s="8"/>
      <c r="CCR99" s="8"/>
      <c r="CCS99" s="8"/>
      <c r="CCT99" s="8"/>
      <c r="CCU99" s="8"/>
      <c r="CCV99" s="8"/>
      <c r="CCW99" s="8"/>
      <c r="CCX99" s="8"/>
      <c r="CCY99" s="8"/>
      <c r="CCZ99" s="8"/>
      <c r="CDA99" s="8"/>
      <c r="CDB99" s="8"/>
      <c r="CDC99" s="8"/>
      <c r="CDD99" s="8"/>
      <c r="CDE99" s="8"/>
      <c r="CDF99" s="8"/>
      <c r="CDG99" s="8"/>
      <c r="CDH99" s="8"/>
      <c r="CDI99" s="8"/>
      <c r="CDJ99" s="8"/>
      <c r="CDK99" s="8"/>
      <c r="CDL99" s="8"/>
      <c r="CDM99" s="8"/>
      <c r="CDN99" s="8"/>
      <c r="CDO99" s="8"/>
      <c r="CDP99" s="8"/>
      <c r="CDQ99" s="8"/>
      <c r="CDR99" s="8"/>
      <c r="CDS99" s="8"/>
      <c r="CDT99" s="8"/>
      <c r="CDU99" s="8"/>
      <c r="CDV99" s="8"/>
      <c r="CDW99" s="8"/>
      <c r="CDX99" s="8"/>
      <c r="CDY99" s="8"/>
      <c r="CDZ99" s="8"/>
      <c r="CEA99" s="8"/>
      <c r="CEB99" s="8"/>
      <c r="CEC99" s="8"/>
      <c r="CED99" s="8"/>
      <c r="CEE99" s="8"/>
      <c r="CEF99" s="8"/>
      <c r="CEG99" s="8"/>
      <c r="CEH99" s="8"/>
      <c r="CEI99" s="8"/>
      <c r="CEJ99" s="8"/>
      <c r="CEK99" s="8"/>
      <c r="CEL99" s="8"/>
      <c r="CEM99" s="8"/>
      <c r="CEN99" s="8"/>
      <c r="CEO99" s="8"/>
      <c r="CEP99" s="8"/>
      <c r="CEQ99" s="8"/>
      <c r="CER99" s="8"/>
      <c r="CES99" s="8"/>
      <c r="CET99" s="8"/>
      <c r="CEU99" s="8"/>
      <c r="CEV99" s="8"/>
      <c r="CEW99" s="8"/>
      <c r="CEX99" s="8"/>
      <c r="CEY99" s="8"/>
      <c r="CEZ99" s="8"/>
      <c r="CFA99" s="8"/>
      <c r="CFB99" s="8"/>
      <c r="CFC99" s="8"/>
      <c r="CFD99" s="8"/>
      <c r="CFE99" s="8"/>
      <c r="CFF99" s="8"/>
      <c r="CFG99" s="8"/>
      <c r="CFH99" s="8"/>
      <c r="CFI99" s="8"/>
      <c r="CFJ99" s="8"/>
      <c r="CFK99" s="8"/>
      <c r="CFL99" s="8"/>
      <c r="CFM99" s="8"/>
      <c r="CFN99" s="8"/>
      <c r="CFO99" s="8"/>
      <c r="CFP99" s="8"/>
      <c r="CFQ99" s="8"/>
      <c r="CFR99" s="8"/>
      <c r="CFS99" s="8"/>
      <c r="CFT99" s="8"/>
      <c r="CFU99" s="8"/>
      <c r="CFV99" s="8"/>
      <c r="CFW99" s="8"/>
      <c r="CFX99" s="8"/>
      <c r="CFY99" s="8"/>
      <c r="CFZ99" s="8"/>
      <c r="CGA99" s="8"/>
      <c r="CGB99" s="8"/>
      <c r="CGC99" s="8"/>
      <c r="CGD99" s="8"/>
      <c r="CGE99" s="8"/>
      <c r="CGF99" s="8"/>
      <c r="CGG99" s="8"/>
      <c r="CGH99" s="8"/>
      <c r="CGI99" s="8"/>
      <c r="CGJ99" s="8"/>
      <c r="CGK99" s="8"/>
      <c r="CGL99" s="8"/>
      <c r="CGM99" s="8"/>
      <c r="CGN99" s="8"/>
      <c r="CGO99" s="8"/>
      <c r="CGP99" s="8"/>
      <c r="CGQ99" s="8"/>
      <c r="CGR99" s="8"/>
      <c r="CGS99" s="8"/>
      <c r="CGT99" s="8"/>
      <c r="CGU99" s="8"/>
      <c r="CGV99" s="8"/>
      <c r="CGW99" s="8"/>
      <c r="CGX99" s="8"/>
      <c r="CGY99" s="8"/>
      <c r="CGZ99" s="8"/>
      <c r="CHA99" s="8"/>
      <c r="CHB99" s="8"/>
      <c r="CHC99" s="8"/>
      <c r="CHD99" s="8"/>
      <c r="CHE99" s="8"/>
      <c r="CHF99" s="8"/>
      <c r="CHG99" s="8"/>
      <c r="CHH99" s="8"/>
      <c r="CHI99" s="8"/>
      <c r="CHJ99" s="8"/>
      <c r="CHK99" s="8"/>
      <c r="CHL99" s="8"/>
      <c r="CHM99" s="8"/>
      <c r="CHN99" s="8"/>
      <c r="CHO99" s="8"/>
      <c r="CHP99" s="8"/>
      <c r="CHQ99" s="8"/>
      <c r="CHR99" s="8"/>
      <c r="CHS99" s="8"/>
      <c r="CHT99" s="8"/>
      <c r="CHU99" s="8"/>
      <c r="CHV99" s="8"/>
      <c r="CHW99" s="8"/>
      <c r="CHX99" s="8"/>
      <c r="CHY99" s="8"/>
      <c r="CHZ99" s="8"/>
      <c r="CIA99" s="8"/>
      <c r="CIB99" s="8"/>
      <c r="CIC99" s="8"/>
      <c r="CID99" s="8"/>
      <c r="CIE99" s="8"/>
      <c r="CIF99" s="8"/>
      <c r="CIG99" s="8"/>
      <c r="CIH99" s="8"/>
      <c r="CII99" s="8"/>
      <c r="CIJ99" s="8"/>
      <c r="CIK99" s="8"/>
      <c r="CIL99" s="8"/>
      <c r="CIM99" s="8"/>
      <c r="CIN99" s="8"/>
      <c r="CIO99" s="8"/>
      <c r="CIP99" s="8"/>
      <c r="CIQ99" s="8"/>
      <c r="CIR99" s="8"/>
      <c r="CIS99" s="8"/>
      <c r="CIT99" s="8"/>
      <c r="CIU99" s="8"/>
      <c r="CIV99" s="8"/>
      <c r="CIW99" s="8"/>
      <c r="CIX99" s="8"/>
      <c r="CIY99" s="8"/>
      <c r="CIZ99" s="8"/>
      <c r="CJA99" s="8"/>
      <c r="CJB99" s="8"/>
      <c r="CJC99" s="8"/>
      <c r="CJD99" s="8"/>
      <c r="CJE99" s="8"/>
      <c r="CJF99" s="8"/>
      <c r="CJG99" s="8"/>
      <c r="CJH99" s="8"/>
      <c r="CJI99" s="8"/>
      <c r="CJJ99" s="8"/>
      <c r="CJK99" s="8"/>
      <c r="CJL99" s="8"/>
      <c r="CJM99" s="8"/>
      <c r="CJN99" s="8"/>
      <c r="CJO99" s="8"/>
      <c r="CJP99" s="8"/>
      <c r="CJQ99" s="8"/>
      <c r="CJR99" s="8"/>
      <c r="CJS99" s="8"/>
      <c r="CJT99" s="8"/>
      <c r="CJU99" s="8"/>
      <c r="CJV99" s="8"/>
      <c r="CJW99" s="8"/>
      <c r="CJX99" s="8"/>
      <c r="CJY99" s="8"/>
      <c r="CJZ99" s="8"/>
      <c r="CKA99" s="8"/>
      <c r="CKB99" s="8"/>
      <c r="CKC99" s="8"/>
      <c r="CKD99" s="8"/>
      <c r="CKE99" s="8"/>
      <c r="CKF99" s="8"/>
      <c r="CKG99" s="8"/>
      <c r="CKH99" s="8"/>
      <c r="CKI99" s="8"/>
      <c r="CKJ99" s="8"/>
      <c r="CKK99" s="8"/>
      <c r="CKL99" s="8"/>
      <c r="CKM99" s="8"/>
      <c r="CKN99" s="8"/>
      <c r="CKO99" s="8"/>
      <c r="CKP99" s="8"/>
      <c r="CKQ99" s="8"/>
      <c r="CKR99" s="8"/>
      <c r="CKS99" s="8"/>
      <c r="CKT99" s="8"/>
      <c r="CKU99" s="8"/>
      <c r="CKV99" s="8"/>
      <c r="CKW99" s="8"/>
      <c r="CKX99" s="8"/>
      <c r="CKY99" s="8"/>
      <c r="CKZ99" s="8"/>
      <c r="CLA99" s="8"/>
      <c r="CLB99" s="8"/>
      <c r="CLC99" s="8"/>
      <c r="CLD99" s="8"/>
      <c r="CLE99" s="8"/>
      <c r="CLF99" s="8"/>
      <c r="CLG99" s="8"/>
      <c r="CLH99" s="8"/>
      <c r="CLI99" s="8"/>
      <c r="CLJ99" s="8"/>
      <c r="CLK99" s="8"/>
      <c r="CLL99" s="8"/>
      <c r="CLM99" s="8"/>
      <c r="CLN99" s="8"/>
      <c r="CLO99" s="8"/>
      <c r="CLP99" s="8"/>
      <c r="CLQ99" s="8"/>
      <c r="CLR99" s="8"/>
      <c r="CLS99" s="8"/>
      <c r="CLT99" s="8"/>
      <c r="CLU99" s="8"/>
      <c r="CLV99" s="8"/>
      <c r="CLW99" s="8"/>
      <c r="CLX99" s="8"/>
      <c r="CLY99" s="8"/>
      <c r="CLZ99" s="8"/>
      <c r="CMA99" s="8"/>
      <c r="CMB99" s="8"/>
      <c r="CMC99" s="8"/>
      <c r="CMD99" s="8"/>
      <c r="CME99" s="8"/>
      <c r="CMF99" s="8"/>
      <c r="CMG99" s="8"/>
      <c r="CMH99" s="8"/>
      <c r="CMI99" s="8"/>
      <c r="CMJ99" s="8"/>
      <c r="CMK99" s="8"/>
      <c r="CML99" s="8"/>
      <c r="CMM99" s="8"/>
      <c r="CMN99" s="8"/>
      <c r="CMO99" s="8"/>
      <c r="CMP99" s="8"/>
      <c r="CMQ99" s="8"/>
      <c r="CMR99" s="8"/>
      <c r="CMS99" s="8"/>
      <c r="CMT99" s="8"/>
      <c r="CMU99" s="8"/>
      <c r="CMV99" s="8"/>
      <c r="CMW99" s="8"/>
      <c r="CMX99" s="8"/>
      <c r="CMY99" s="8"/>
      <c r="CMZ99" s="8"/>
      <c r="CNA99" s="8"/>
      <c r="CNB99" s="8"/>
      <c r="CNC99" s="8"/>
      <c r="CND99" s="8"/>
      <c r="CNE99" s="8"/>
      <c r="CNF99" s="8"/>
      <c r="CNG99" s="8"/>
      <c r="CNH99" s="8"/>
      <c r="CNI99" s="8"/>
      <c r="CNJ99" s="8"/>
      <c r="CNK99" s="8"/>
      <c r="CNL99" s="8"/>
      <c r="CNM99" s="8"/>
      <c r="CNN99" s="8"/>
      <c r="CNO99" s="8"/>
      <c r="CNP99" s="8"/>
      <c r="CNQ99" s="8"/>
      <c r="CNR99" s="8"/>
      <c r="CNS99" s="8"/>
      <c r="CNT99" s="8"/>
      <c r="CNU99" s="8"/>
      <c r="CNV99" s="8"/>
      <c r="CNW99" s="8"/>
      <c r="CNX99" s="8"/>
      <c r="CNY99" s="8"/>
      <c r="CNZ99" s="8"/>
      <c r="COA99" s="8"/>
      <c r="COB99" s="8"/>
      <c r="COC99" s="8"/>
      <c r="COD99" s="8"/>
      <c r="COE99" s="8"/>
      <c r="COF99" s="8"/>
      <c r="COG99" s="8"/>
      <c r="COH99" s="8"/>
      <c r="COI99" s="8"/>
      <c r="COJ99" s="8"/>
      <c r="COK99" s="8"/>
      <c r="COL99" s="8"/>
      <c r="COM99" s="8"/>
      <c r="CON99" s="8"/>
      <c r="COO99" s="8"/>
      <c r="COP99" s="8"/>
      <c r="COQ99" s="8"/>
      <c r="COR99" s="8"/>
      <c r="COS99" s="8"/>
      <c r="COT99" s="8"/>
      <c r="COU99" s="8"/>
      <c r="COV99" s="8"/>
      <c r="COW99" s="8"/>
      <c r="COX99" s="8"/>
      <c r="COY99" s="8"/>
      <c r="COZ99" s="8"/>
      <c r="CPA99" s="8"/>
      <c r="CPB99" s="8"/>
      <c r="CPC99" s="8"/>
      <c r="CPD99" s="8"/>
      <c r="CPE99" s="8"/>
      <c r="CPF99" s="8"/>
      <c r="CPG99" s="8"/>
      <c r="CPH99" s="8"/>
      <c r="CPI99" s="8"/>
      <c r="CPJ99" s="8"/>
      <c r="CPK99" s="8"/>
      <c r="CPL99" s="8"/>
      <c r="CPM99" s="8"/>
      <c r="CPN99" s="8"/>
      <c r="CPO99" s="8"/>
      <c r="CPP99" s="8"/>
      <c r="CPQ99" s="8"/>
      <c r="CPR99" s="8"/>
      <c r="CPS99" s="8"/>
      <c r="CPT99" s="8"/>
      <c r="CPU99" s="8"/>
      <c r="CPV99" s="8"/>
      <c r="CPW99" s="8"/>
      <c r="CPX99" s="8"/>
      <c r="CPY99" s="8"/>
      <c r="CPZ99" s="8"/>
      <c r="CQA99" s="8"/>
      <c r="CQB99" s="8"/>
      <c r="CQC99" s="8"/>
      <c r="CQD99" s="8"/>
      <c r="CQE99" s="8"/>
      <c r="CQF99" s="8"/>
      <c r="CQG99" s="8"/>
      <c r="CQH99" s="8"/>
      <c r="CQI99" s="8"/>
      <c r="CQJ99" s="8"/>
      <c r="CQK99" s="8"/>
      <c r="CQL99" s="8"/>
      <c r="CQM99" s="8"/>
      <c r="CQN99" s="8"/>
      <c r="CQO99" s="8"/>
      <c r="CQP99" s="8"/>
      <c r="CQQ99" s="8"/>
      <c r="CQR99" s="8"/>
      <c r="CQS99" s="8"/>
      <c r="CQT99" s="8"/>
      <c r="CQU99" s="8"/>
      <c r="CQV99" s="8"/>
      <c r="CQW99" s="8"/>
      <c r="CQX99" s="8"/>
      <c r="CQY99" s="8"/>
      <c r="CQZ99" s="8"/>
      <c r="CRA99" s="8"/>
      <c r="CRB99" s="8"/>
      <c r="CRC99" s="8"/>
      <c r="CRD99" s="8"/>
      <c r="CRE99" s="8"/>
      <c r="CRF99" s="8"/>
      <c r="CRG99" s="8"/>
      <c r="CRH99" s="8"/>
      <c r="CRI99" s="8"/>
      <c r="CRJ99" s="8"/>
      <c r="CRK99" s="8"/>
      <c r="CRL99" s="8"/>
      <c r="CRM99" s="8"/>
      <c r="CRN99" s="8"/>
      <c r="CRO99" s="8"/>
      <c r="CRP99" s="8"/>
      <c r="CRQ99" s="8"/>
      <c r="CRR99" s="8"/>
      <c r="CRS99" s="8"/>
      <c r="CRT99" s="8"/>
      <c r="CRU99" s="8"/>
      <c r="CRV99" s="8"/>
      <c r="CRW99" s="8"/>
      <c r="CRX99" s="8"/>
      <c r="CRY99" s="8"/>
      <c r="CRZ99" s="8"/>
      <c r="CSA99" s="8"/>
      <c r="CSB99" s="8"/>
      <c r="CSC99" s="8"/>
      <c r="CSD99" s="8"/>
      <c r="CSE99" s="8"/>
      <c r="CSF99" s="8"/>
      <c r="CSG99" s="8"/>
      <c r="CSH99" s="8"/>
      <c r="CSI99" s="8"/>
      <c r="CSJ99" s="8"/>
      <c r="CSK99" s="8"/>
      <c r="CSL99" s="8"/>
      <c r="CSM99" s="8"/>
      <c r="CSN99" s="8"/>
      <c r="CSO99" s="8"/>
      <c r="CSP99" s="8"/>
      <c r="CSQ99" s="8"/>
      <c r="CSR99" s="8"/>
      <c r="CSS99" s="8"/>
      <c r="CST99" s="8"/>
      <c r="CSU99" s="8"/>
      <c r="CSV99" s="8"/>
      <c r="CSW99" s="8"/>
      <c r="CSX99" s="8"/>
      <c r="CSY99" s="8"/>
      <c r="CSZ99" s="8"/>
      <c r="CTA99" s="8"/>
      <c r="CTB99" s="8"/>
      <c r="CTC99" s="8"/>
      <c r="CTD99" s="8"/>
      <c r="CTE99" s="8"/>
      <c r="CTF99" s="8"/>
      <c r="CTG99" s="8"/>
      <c r="CTH99" s="8"/>
      <c r="CTI99" s="8"/>
      <c r="CTJ99" s="8"/>
      <c r="CTK99" s="8"/>
      <c r="CTL99" s="8"/>
      <c r="CTM99" s="8"/>
      <c r="CTN99" s="8"/>
      <c r="CTO99" s="8"/>
      <c r="CTP99" s="8"/>
      <c r="CTQ99" s="8"/>
      <c r="CTR99" s="8"/>
      <c r="CTS99" s="8"/>
      <c r="CTT99" s="8"/>
      <c r="CTU99" s="8"/>
      <c r="CTV99" s="8"/>
      <c r="CTW99" s="8"/>
      <c r="CTX99" s="8"/>
      <c r="CTY99" s="8"/>
      <c r="CTZ99" s="8"/>
      <c r="CUA99" s="8"/>
      <c r="CUB99" s="8"/>
      <c r="CUC99" s="8"/>
      <c r="CUD99" s="8"/>
      <c r="CUE99" s="8"/>
      <c r="CUF99" s="8"/>
      <c r="CUG99" s="8"/>
      <c r="CUH99" s="8"/>
      <c r="CUI99" s="8"/>
      <c r="CUJ99" s="8"/>
      <c r="CUK99" s="8"/>
      <c r="CUL99" s="8"/>
      <c r="CUM99" s="8"/>
      <c r="CUN99" s="8"/>
      <c r="CUO99" s="8"/>
      <c r="CUP99" s="8"/>
      <c r="CUQ99" s="8"/>
      <c r="CUR99" s="8"/>
      <c r="CUS99" s="8"/>
      <c r="CUT99" s="8"/>
      <c r="CUU99" s="8"/>
      <c r="CUV99" s="8"/>
      <c r="CUW99" s="8"/>
      <c r="CUX99" s="8"/>
      <c r="CUY99" s="8"/>
      <c r="CUZ99" s="8"/>
      <c r="CVA99" s="8"/>
      <c r="CVB99" s="8"/>
      <c r="CVC99" s="8"/>
      <c r="CVD99" s="8"/>
      <c r="CVE99" s="8"/>
      <c r="CVF99" s="8"/>
      <c r="CVG99" s="8"/>
      <c r="CVH99" s="8"/>
      <c r="CVI99" s="8"/>
      <c r="CVJ99" s="8"/>
      <c r="CVK99" s="8"/>
      <c r="CVL99" s="8"/>
      <c r="CVM99" s="8"/>
      <c r="CVN99" s="8"/>
      <c r="CVO99" s="8"/>
      <c r="CVP99" s="8"/>
      <c r="CVQ99" s="8"/>
      <c r="CVR99" s="8"/>
      <c r="CVS99" s="8"/>
      <c r="CVT99" s="8"/>
      <c r="CVU99" s="8"/>
      <c r="CVV99" s="8"/>
      <c r="CVW99" s="8"/>
      <c r="CVX99" s="8"/>
      <c r="CVY99" s="8"/>
      <c r="CVZ99" s="8"/>
      <c r="CWA99" s="8"/>
      <c r="CWB99" s="8"/>
      <c r="CWC99" s="8"/>
      <c r="CWD99" s="8"/>
      <c r="CWE99" s="8"/>
      <c r="CWF99" s="8"/>
      <c r="CWG99" s="8"/>
      <c r="CWH99" s="8"/>
      <c r="CWI99" s="8"/>
      <c r="CWJ99" s="8"/>
      <c r="CWK99" s="8"/>
      <c r="CWL99" s="8"/>
      <c r="CWM99" s="8"/>
      <c r="CWN99" s="8"/>
      <c r="CWO99" s="8"/>
      <c r="CWP99" s="8"/>
      <c r="CWQ99" s="8"/>
      <c r="CWR99" s="8"/>
      <c r="CWS99" s="8"/>
      <c r="CWT99" s="8"/>
      <c r="CWU99" s="8"/>
      <c r="CWV99" s="8"/>
      <c r="CWW99" s="8"/>
      <c r="CWX99" s="8"/>
      <c r="CWY99" s="8"/>
      <c r="CWZ99" s="8"/>
      <c r="CXA99" s="8"/>
      <c r="CXB99" s="8"/>
      <c r="CXC99" s="8"/>
      <c r="CXD99" s="8"/>
      <c r="CXE99" s="8"/>
      <c r="CXF99" s="8"/>
      <c r="CXG99" s="8"/>
      <c r="CXH99" s="8"/>
      <c r="CXI99" s="8"/>
      <c r="CXJ99" s="8"/>
      <c r="CXK99" s="8"/>
      <c r="CXL99" s="8"/>
      <c r="CXM99" s="8"/>
      <c r="CXN99" s="8"/>
      <c r="CXO99" s="8"/>
      <c r="CXP99" s="8"/>
      <c r="CXQ99" s="8"/>
      <c r="CXR99" s="8"/>
      <c r="CXS99" s="8"/>
      <c r="CXT99" s="8"/>
      <c r="CXU99" s="8"/>
      <c r="CXV99" s="8"/>
      <c r="CXW99" s="8"/>
      <c r="CXX99" s="8"/>
      <c r="CXY99" s="8"/>
      <c r="CXZ99" s="8"/>
      <c r="CYA99" s="8"/>
      <c r="CYB99" s="8"/>
      <c r="CYC99" s="8"/>
      <c r="CYD99" s="8"/>
      <c r="CYE99" s="8"/>
      <c r="CYF99" s="8"/>
      <c r="CYG99" s="8"/>
      <c r="CYH99" s="8"/>
      <c r="CYI99" s="8"/>
      <c r="CYJ99" s="8"/>
      <c r="CYK99" s="8"/>
      <c r="CYL99" s="8"/>
      <c r="CYM99" s="8"/>
      <c r="CYN99" s="8"/>
      <c r="CYO99" s="8"/>
      <c r="CYP99" s="8"/>
      <c r="CYQ99" s="8"/>
      <c r="CYR99" s="8"/>
      <c r="CYS99" s="8"/>
      <c r="CYT99" s="8"/>
      <c r="CYU99" s="8"/>
      <c r="CYV99" s="8"/>
      <c r="CYW99" s="8"/>
      <c r="CYX99" s="8"/>
      <c r="CYY99" s="8"/>
      <c r="CYZ99" s="8"/>
      <c r="CZA99" s="8"/>
      <c r="CZB99" s="8"/>
      <c r="CZC99" s="8"/>
      <c r="CZD99" s="8"/>
      <c r="CZE99" s="8"/>
      <c r="CZF99" s="8"/>
      <c r="CZG99" s="8"/>
      <c r="CZH99" s="8"/>
      <c r="CZI99" s="8"/>
      <c r="CZJ99" s="8"/>
      <c r="CZK99" s="8"/>
      <c r="CZL99" s="8"/>
      <c r="CZM99" s="8"/>
      <c r="CZN99" s="8"/>
      <c r="CZO99" s="8"/>
      <c r="CZP99" s="8"/>
      <c r="CZQ99" s="8"/>
      <c r="CZR99" s="8"/>
      <c r="CZS99" s="8"/>
      <c r="CZT99" s="8"/>
      <c r="CZU99" s="8"/>
      <c r="CZV99" s="8"/>
      <c r="CZW99" s="8"/>
      <c r="CZX99" s="8"/>
      <c r="CZY99" s="8"/>
      <c r="CZZ99" s="8"/>
      <c r="DAA99" s="8"/>
      <c r="DAB99" s="8"/>
      <c r="DAC99" s="8"/>
      <c r="DAD99" s="8"/>
      <c r="DAE99" s="8"/>
      <c r="DAF99" s="8"/>
      <c r="DAG99" s="8"/>
      <c r="DAH99" s="8"/>
      <c r="DAI99" s="8"/>
      <c r="DAJ99" s="8"/>
      <c r="DAK99" s="8"/>
      <c r="DAL99" s="8"/>
      <c r="DAM99" s="8"/>
      <c r="DAN99" s="8"/>
      <c r="DAO99" s="8"/>
      <c r="DAP99" s="8"/>
      <c r="DAQ99" s="8"/>
      <c r="DAR99" s="8"/>
      <c r="DAS99" s="8"/>
      <c r="DAT99" s="8"/>
      <c r="DAU99" s="8"/>
      <c r="DAV99" s="8"/>
      <c r="DAW99" s="8"/>
      <c r="DAX99" s="8"/>
      <c r="DAY99" s="8"/>
      <c r="DAZ99" s="8"/>
      <c r="DBA99" s="8"/>
      <c r="DBB99" s="8"/>
      <c r="DBC99" s="8"/>
      <c r="DBD99" s="8"/>
      <c r="DBE99" s="8"/>
      <c r="DBF99" s="8"/>
      <c r="DBG99" s="8"/>
      <c r="DBH99" s="8"/>
      <c r="DBI99" s="8"/>
      <c r="DBJ99" s="8"/>
      <c r="DBK99" s="8"/>
      <c r="DBL99" s="8"/>
      <c r="DBM99" s="8"/>
      <c r="DBN99" s="8"/>
      <c r="DBO99" s="8"/>
      <c r="DBP99" s="8"/>
      <c r="DBQ99" s="8"/>
      <c r="DBR99" s="8"/>
      <c r="DBS99" s="8"/>
      <c r="DBT99" s="8"/>
      <c r="DBU99" s="8"/>
      <c r="DBV99" s="8"/>
      <c r="DBW99" s="8"/>
      <c r="DBX99" s="8"/>
      <c r="DBY99" s="8"/>
      <c r="DBZ99" s="8"/>
      <c r="DCA99" s="8"/>
      <c r="DCB99" s="8"/>
      <c r="DCC99" s="8"/>
      <c r="DCD99" s="8"/>
      <c r="DCE99" s="8"/>
      <c r="DCF99" s="8"/>
      <c r="DCG99" s="8"/>
      <c r="DCH99" s="8"/>
      <c r="DCI99" s="8"/>
      <c r="DCJ99" s="8"/>
      <c r="DCK99" s="8"/>
      <c r="DCL99" s="8"/>
      <c r="DCM99" s="8"/>
      <c r="DCN99" s="8"/>
      <c r="DCO99" s="8"/>
      <c r="DCP99" s="8"/>
      <c r="DCQ99" s="8"/>
      <c r="DCR99" s="8"/>
      <c r="DCS99" s="8"/>
      <c r="DCT99" s="8"/>
      <c r="DCU99" s="8"/>
      <c r="DCV99" s="8"/>
      <c r="DCW99" s="8"/>
      <c r="DCX99" s="8"/>
      <c r="DCY99" s="8"/>
      <c r="DCZ99" s="8"/>
      <c r="DDA99" s="8"/>
      <c r="DDB99" s="8"/>
      <c r="DDC99" s="8"/>
      <c r="DDD99" s="8"/>
      <c r="DDE99" s="8"/>
      <c r="DDF99" s="8"/>
      <c r="DDG99" s="8"/>
      <c r="DDH99" s="8"/>
      <c r="DDI99" s="8"/>
      <c r="DDJ99" s="8"/>
      <c r="DDK99" s="8"/>
      <c r="DDL99" s="8"/>
      <c r="DDM99" s="8"/>
      <c r="DDN99" s="8"/>
      <c r="DDO99" s="8"/>
      <c r="DDP99" s="8"/>
      <c r="DDQ99" s="8"/>
      <c r="DDR99" s="8"/>
      <c r="DDS99" s="8"/>
      <c r="DDT99" s="8"/>
      <c r="DDU99" s="8"/>
      <c r="DDV99" s="8"/>
      <c r="DDW99" s="8"/>
      <c r="DDX99" s="8"/>
      <c r="DDY99" s="8"/>
      <c r="DDZ99" s="8"/>
      <c r="DEA99" s="8"/>
      <c r="DEB99" s="8"/>
      <c r="DEC99" s="8"/>
      <c r="DED99" s="8"/>
      <c r="DEE99" s="8"/>
      <c r="DEF99" s="8"/>
      <c r="DEG99" s="8"/>
      <c r="DEH99" s="8"/>
      <c r="DEI99" s="8"/>
      <c r="DEJ99" s="8"/>
      <c r="DEK99" s="8"/>
      <c r="DEL99" s="8"/>
      <c r="DEM99" s="8"/>
      <c r="DEN99" s="8"/>
      <c r="DEO99" s="8"/>
      <c r="DEP99" s="8"/>
      <c r="DEQ99" s="8"/>
      <c r="DER99" s="8"/>
      <c r="DES99" s="8"/>
      <c r="DET99" s="8"/>
      <c r="DEU99" s="8"/>
      <c r="DEV99" s="8"/>
      <c r="DEW99" s="8"/>
      <c r="DEX99" s="8"/>
      <c r="DEY99" s="8"/>
      <c r="DEZ99" s="8"/>
      <c r="DFA99" s="8"/>
      <c r="DFB99" s="8"/>
      <c r="DFC99" s="8"/>
      <c r="DFD99" s="8"/>
      <c r="DFE99" s="8"/>
      <c r="DFF99" s="8"/>
      <c r="DFG99" s="8"/>
      <c r="DFH99" s="8"/>
      <c r="DFI99" s="8"/>
      <c r="DFJ99" s="8"/>
      <c r="DFK99" s="8"/>
      <c r="DFL99" s="8"/>
      <c r="DFM99" s="8"/>
      <c r="DFN99" s="8"/>
      <c r="DFO99" s="8"/>
      <c r="DFP99" s="8"/>
      <c r="DFQ99" s="8"/>
      <c r="DFR99" s="8"/>
      <c r="DFS99" s="8"/>
      <c r="DFT99" s="8"/>
      <c r="DFU99" s="8"/>
      <c r="DFV99" s="8"/>
      <c r="DFW99" s="8"/>
      <c r="DFX99" s="8"/>
      <c r="DFY99" s="8"/>
      <c r="DFZ99" s="8"/>
      <c r="DGA99" s="8"/>
      <c r="DGB99" s="8"/>
      <c r="DGC99" s="8"/>
      <c r="DGD99" s="8"/>
      <c r="DGE99" s="8"/>
      <c r="DGF99" s="8"/>
      <c r="DGG99" s="8"/>
      <c r="DGH99" s="8"/>
      <c r="DGI99" s="8"/>
      <c r="DGJ99" s="8"/>
      <c r="DGK99" s="8"/>
      <c r="DGL99" s="8"/>
      <c r="DGM99" s="8"/>
      <c r="DGN99" s="8"/>
      <c r="DGO99" s="8"/>
      <c r="DGP99" s="8"/>
      <c r="DGQ99" s="8"/>
      <c r="DGR99" s="8"/>
      <c r="DGS99" s="8"/>
      <c r="DGT99" s="8"/>
      <c r="DGU99" s="8"/>
      <c r="DGV99" s="8"/>
      <c r="DGW99" s="8"/>
      <c r="DGX99" s="8"/>
      <c r="DGY99" s="8"/>
      <c r="DGZ99" s="8"/>
      <c r="DHA99" s="8"/>
      <c r="DHB99" s="8"/>
      <c r="DHC99" s="8"/>
      <c r="DHD99" s="8"/>
      <c r="DHE99" s="8"/>
      <c r="DHF99" s="8"/>
      <c r="DHG99" s="8"/>
      <c r="DHH99" s="8"/>
      <c r="DHI99" s="8"/>
      <c r="DHJ99" s="8"/>
      <c r="DHK99" s="8"/>
      <c r="DHL99" s="8"/>
      <c r="DHM99" s="8"/>
      <c r="DHN99" s="8"/>
      <c r="DHO99" s="8"/>
      <c r="DHP99" s="8"/>
      <c r="DHQ99" s="8"/>
      <c r="DHR99" s="8"/>
      <c r="DHS99" s="8"/>
      <c r="DHT99" s="8"/>
      <c r="DHU99" s="8"/>
      <c r="DHV99" s="8"/>
      <c r="DHW99" s="8"/>
      <c r="DHX99" s="8"/>
      <c r="DHY99" s="8"/>
      <c r="DHZ99" s="8"/>
      <c r="DIA99" s="8"/>
      <c r="DIB99" s="8"/>
      <c r="DIC99" s="8"/>
      <c r="DID99" s="8"/>
      <c r="DIE99" s="8"/>
      <c r="DIF99" s="8"/>
      <c r="DIG99" s="8"/>
      <c r="DIH99" s="8"/>
      <c r="DII99" s="8"/>
      <c r="DIJ99" s="8"/>
      <c r="DIK99" s="8"/>
      <c r="DIL99" s="8"/>
      <c r="DIM99" s="8"/>
      <c r="DIN99" s="8"/>
      <c r="DIO99" s="8"/>
      <c r="DIP99" s="8"/>
      <c r="DIQ99" s="8"/>
      <c r="DIR99" s="8"/>
      <c r="DIS99" s="8"/>
      <c r="DIT99" s="8"/>
      <c r="DIU99" s="8"/>
      <c r="DIV99" s="8"/>
      <c r="DIW99" s="8"/>
      <c r="DIX99" s="8"/>
      <c r="DIY99" s="8"/>
      <c r="DIZ99" s="8"/>
      <c r="DJA99" s="8"/>
      <c r="DJB99" s="8"/>
      <c r="DJC99" s="8"/>
      <c r="DJD99" s="8"/>
      <c r="DJE99" s="8"/>
      <c r="DJF99" s="8"/>
      <c r="DJG99" s="8"/>
      <c r="DJH99" s="8"/>
      <c r="DJI99" s="8"/>
      <c r="DJJ99" s="8"/>
      <c r="DJK99" s="8"/>
      <c r="DJL99" s="8"/>
      <c r="DJM99" s="8"/>
      <c r="DJN99" s="8"/>
      <c r="DJO99" s="8"/>
      <c r="DJP99" s="8"/>
      <c r="DJQ99" s="8"/>
      <c r="DJR99" s="8"/>
      <c r="DJS99" s="8"/>
      <c r="DJT99" s="8"/>
      <c r="DJU99" s="8"/>
      <c r="DJV99" s="8"/>
      <c r="DJW99" s="8"/>
      <c r="DJX99" s="8"/>
      <c r="DJY99" s="8"/>
      <c r="DJZ99" s="8"/>
      <c r="DKA99" s="8"/>
      <c r="DKB99" s="8"/>
      <c r="DKC99" s="8"/>
      <c r="DKD99" s="8"/>
      <c r="DKE99" s="8"/>
      <c r="DKF99" s="8"/>
      <c r="DKG99" s="8"/>
      <c r="DKH99" s="8"/>
      <c r="DKI99" s="8"/>
      <c r="DKJ99" s="8"/>
      <c r="DKK99" s="8"/>
      <c r="DKL99" s="8"/>
      <c r="DKM99" s="8"/>
      <c r="DKN99" s="8"/>
      <c r="DKO99" s="8"/>
      <c r="DKP99" s="8"/>
      <c r="DKQ99" s="8"/>
      <c r="DKR99" s="8"/>
      <c r="DKS99" s="8"/>
      <c r="DKT99" s="8"/>
      <c r="DKU99" s="8"/>
      <c r="DKV99" s="8"/>
      <c r="DKW99" s="8"/>
      <c r="DKX99" s="8"/>
      <c r="DKY99" s="8"/>
      <c r="DKZ99" s="8"/>
      <c r="DLA99" s="8"/>
      <c r="DLB99" s="8"/>
      <c r="DLC99" s="8"/>
      <c r="DLD99" s="8"/>
      <c r="DLE99" s="8"/>
      <c r="DLF99" s="8"/>
      <c r="DLG99" s="8"/>
      <c r="DLH99" s="8"/>
      <c r="DLI99" s="8"/>
      <c r="DLJ99" s="8"/>
      <c r="DLK99" s="8"/>
      <c r="DLL99" s="8"/>
      <c r="DLM99" s="8"/>
      <c r="DLN99" s="8"/>
      <c r="DLO99" s="8"/>
      <c r="DLP99" s="8"/>
      <c r="DLQ99" s="8"/>
      <c r="DLR99" s="8"/>
      <c r="DLS99" s="8"/>
      <c r="DLT99" s="8"/>
      <c r="DLU99" s="8"/>
      <c r="DLV99" s="8"/>
      <c r="DLW99" s="8"/>
      <c r="DLX99" s="8"/>
      <c r="DLY99" s="8"/>
      <c r="DLZ99" s="8"/>
      <c r="DMA99" s="8"/>
      <c r="DMB99" s="8"/>
      <c r="DMC99" s="8"/>
      <c r="DMD99" s="8"/>
      <c r="DME99" s="8"/>
      <c r="DMF99" s="8"/>
      <c r="DMG99" s="8"/>
      <c r="DMH99" s="8"/>
      <c r="DMI99" s="8"/>
      <c r="DMJ99" s="8"/>
      <c r="DMK99" s="8"/>
      <c r="DML99" s="8"/>
      <c r="DMM99" s="8"/>
      <c r="DMN99" s="8"/>
      <c r="DMO99" s="8"/>
      <c r="DMP99" s="8"/>
      <c r="DMQ99" s="8"/>
      <c r="DMR99" s="8"/>
      <c r="DMS99" s="8"/>
      <c r="DMT99" s="8"/>
      <c r="DMU99" s="8"/>
      <c r="DMV99" s="8"/>
      <c r="DMW99" s="8"/>
      <c r="DMX99" s="8"/>
      <c r="DMY99" s="8"/>
      <c r="DMZ99" s="8"/>
      <c r="DNA99" s="8"/>
      <c r="DNB99" s="8"/>
      <c r="DNC99" s="8"/>
      <c r="DND99" s="8"/>
      <c r="DNE99" s="8"/>
      <c r="DNF99" s="8"/>
      <c r="DNG99" s="8"/>
      <c r="DNH99" s="8"/>
      <c r="DNI99" s="8"/>
      <c r="DNJ99" s="8"/>
      <c r="DNK99" s="8"/>
      <c r="DNL99" s="8"/>
      <c r="DNM99" s="8"/>
      <c r="DNN99" s="8"/>
      <c r="DNO99" s="8"/>
      <c r="DNP99" s="8"/>
      <c r="DNQ99" s="8"/>
      <c r="DNR99" s="8"/>
      <c r="DNS99" s="8"/>
      <c r="DNT99" s="8"/>
      <c r="DNU99" s="8"/>
      <c r="DNV99" s="8"/>
      <c r="DNW99" s="8"/>
      <c r="DNX99" s="8"/>
      <c r="DNY99" s="8"/>
      <c r="DNZ99" s="8"/>
      <c r="DOA99" s="8"/>
      <c r="DOB99" s="8"/>
      <c r="DOC99" s="8"/>
      <c r="DOD99" s="8"/>
      <c r="DOE99" s="8"/>
      <c r="DOF99" s="8"/>
      <c r="DOG99" s="8"/>
      <c r="DOH99" s="8"/>
      <c r="DOI99" s="8"/>
      <c r="DOJ99" s="8"/>
      <c r="DOK99" s="8"/>
      <c r="DOL99" s="8"/>
      <c r="DOM99" s="8"/>
      <c r="DON99" s="8"/>
      <c r="DOO99" s="8"/>
      <c r="DOP99" s="8"/>
      <c r="DOQ99" s="8"/>
      <c r="DOR99" s="8"/>
      <c r="DOS99" s="8"/>
      <c r="DOT99" s="8"/>
      <c r="DOU99" s="8"/>
      <c r="DOV99" s="8"/>
      <c r="DOW99" s="8"/>
      <c r="DOX99" s="8"/>
      <c r="DOY99" s="8"/>
      <c r="DOZ99" s="8"/>
      <c r="DPA99" s="8"/>
      <c r="DPB99" s="8"/>
      <c r="DPC99" s="8"/>
      <c r="DPD99" s="8"/>
      <c r="DPE99" s="8"/>
      <c r="DPF99" s="8"/>
      <c r="DPG99" s="8"/>
      <c r="DPH99" s="8"/>
      <c r="DPI99" s="8"/>
      <c r="DPJ99" s="8"/>
      <c r="DPK99" s="8"/>
      <c r="DPL99" s="8"/>
      <c r="DPM99" s="8"/>
      <c r="DPN99" s="8"/>
      <c r="DPO99" s="8"/>
      <c r="DPP99" s="8"/>
      <c r="DPQ99" s="8"/>
      <c r="DPR99" s="8"/>
      <c r="DPS99" s="8"/>
      <c r="DPT99" s="8"/>
      <c r="DPU99" s="8"/>
      <c r="DPV99" s="8"/>
      <c r="DPW99" s="8"/>
      <c r="DPX99" s="8"/>
      <c r="DPY99" s="8"/>
      <c r="DPZ99" s="8"/>
      <c r="DQA99" s="8"/>
      <c r="DQB99" s="8"/>
      <c r="DQC99" s="8"/>
      <c r="DQD99" s="8"/>
      <c r="DQE99" s="8"/>
      <c r="DQF99" s="8"/>
      <c r="DQG99" s="8"/>
      <c r="DQH99" s="8"/>
      <c r="DQI99" s="8"/>
      <c r="DQJ99" s="8"/>
      <c r="DQK99" s="8"/>
      <c r="DQL99" s="8"/>
      <c r="DQM99" s="8"/>
      <c r="DQN99" s="8"/>
      <c r="DQO99" s="8"/>
      <c r="DQP99" s="8"/>
      <c r="DQQ99" s="8"/>
      <c r="DQR99" s="8"/>
      <c r="DQS99" s="8"/>
      <c r="DQT99" s="8"/>
      <c r="DQU99" s="8"/>
      <c r="DQV99" s="8"/>
      <c r="DQW99" s="8"/>
      <c r="DQX99" s="8"/>
      <c r="DQY99" s="8"/>
      <c r="DQZ99" s="8"/>
      <c r="DRA99" s="8"/>
      <c r="DRB99" s="8"/>
      <c r="DRC99" s="8"/>
      <c r="DRD99" s="8"/>
      <c r="DRE99" s="8"/>
      <c r="DRF99" s="8"/>
      <c r="DRG99" s="8"/>
      <c r="DRH99" s="8"/>
      <c r="DRI99" s="8"/>
      <c r="DRJ99" s="8"/>
      <c r="DRK99" s="8"/>
      <c r="DRL99" s="8"/>
      <c r="DRM99" s="8"/>
      <c r="DRN99" s="8"/>
      <c r="DRO99" s="8"/>
      <c r="DRP99" s="8"/>
      <c r="DRQ99" s="8"/>
      <c r="DRR99" s="8"/>
      <c r="DRS99" s="8"/>
      <c r="DRT99" s="8"/>
      <c r="DRU99" s="8"/>
      <c r="DRV99" s="8"/>
      <c r="DRW99" s="8"/>
      <c r="DRX99" s="8"/>
      <c r="DRY99" s="8"/>
      <c r="DRZ99" s="8"/>
      <c r="DSA99" s="8"/>
      <c r="DSB99" s="8"/>
      <c r="DSC99" s="8"/>
      <c r="DSD99" s="8"/>
      <c r="DSE99" s="8"/>
      <c r="DSF99" s="8"/>
      <c r="DSG99" s="8"/>
      <c r="DSH99" s="8"/>
      <c r="DSI99" s="8"/>
      <c r="DSJ99" s="8"/>
      <c r="DSK99" s="8"/>
      <c r="DSL99" s="8"/>
      <c r="DSM99" s="8"/>
      <c r="DSN99" s="8"/>
      <c r="DSO99" s="8"/>
      <c r="DSP99" s="8"/>
      <c r="DSQ99" s="8"/>
      <c r="DSR99" s="8"/>
      <c r="DSS99" s="8"/>
      <c r="DST99" s="8"/>
      <c r="DSU99" s="8"/>
      <c r="DSV99" s="8"/>
      <c r="DSW99" s="8"/>
      <c r="DSX99" s="8"/>
      <c r="DSY99" s="8"/>
      <c r="DSZ99" s="8"/>
      <c r="DTA99" s="8"/>
      <c r="DTB99" s="8"/>
      <c r="DTC99" s="8"/>
      <c r="DTD99" s="8"/>
      <c r="DTE99" s="8"/>
      <c r="DTF99" s="8"/>
      <c r="DTG99" s="8"/>
      <c r="DTH99" s="8"/>
      <c r="DTI99" s="8"/>
      <c r="DTJ99" s="8"/>
      <c r="DTK99" s="8"/>
      <c r="DTL99" s="8"/>
      <c r="DTM99" s="8"/>
      <c r="DTN99" s="8"/>
      <c r="DTO99" s="8"/>
      <c r="DTP99" s="8"/>
      <c r="DTQ99" s="8"/>
      <c r="DTR99" s="8"/>
      <c r="DTS99" s="8"/>
      <c r="DTT99" s="8"/>
      <c r="DTU99" s="8"/>
      <c r="DTV99" s="8"/>
      <c r="DTW99" s="8"/>
      <c r="DTX99" s="8"/>
      <c r="DTY99" s="8"/>
      <c r="DTZ99" s="8"/>
      <c r="DUA99" s="8"/>
      <c r="DUB99" s="8"/>
      <c r="DUC99" s="8"/>
      <c r="DUD99" s="8"/>
      <c r="DUE99" s="8"/>
      <c r="DUF99" s="8"/>
      <c r="DUG99" s="8"/>
      <c r="DUH99" s="8"/>
      <c r="DUI99" s="8"/>
      <c r="DUJ99" s="8"/>
      <c r="DUK99" s="8"/>
      <c r="DUL99" s="8"/>
      <c r="DUM99" s="8"/>
      <c r="DUN99" s="8"/>
      <c r="DUO99" s="8"/>
      <c r="DUP99" s="8"/>
      <c r="DUQ99" s="8"/>
      <c r="DUR99" s="8"/>
      <c r="DUS99" s="8"/>
      <c r="DUT99" s="8"/>
      <c r="DUU99" s="8"/>
      <c r="DUV99" s="8"/>
      <c r="DUW99" s="8"/>
      <c r="DUX99" s="8"/>
      <c r="DUY99" s="8"/>
      <c r="DUZ99" s="8"/>
      <c r="DVA99" s="8"/>
      <c r="DVB99" s="8"/>
      <c r="DVC99" s="8"/>
      <c r="DVD99" s="8"/>
      <c r="DVE99" s="8"/>
      <c r="DVF99" s="8"/>
      <c r="DVG99" s="8"/>
      <c r="DVH99" s="8"/>
      <c r="DVI99" s="8"/>
      <c r="DVJ99" s="8"/>
      <c r="DVK99" s="8"/>
      <c r="DVL99" s="8"/>
      <c r="DVM99" s="8"/>
      <c r="DVN99" s="8"/>
      <c r="DVO99" s="8"/>
      <c r="DVP99" s="8"/>
      <c r="DVQ99" s="8"/>
      <c r="DVR99" s="8"/>
      <c r="DVS99" s="8"/>
      <c r="DVT99" s="8"/>
      <c r="DVU99" s="8"/>
      <c r="DVV99" s="8"/>
      <c r="DVW99" s="8"/>
      <c r="DVX99" s="8"/>
      <c r="DVY99" s="8"/>
      <c r="DVZ99" s="8"/>
      <c r="DWA99" s="8"/>
      <c r="DWB99" s="8"/>
      <c r="DWC99" s="8"/>
      <c r="DWD99" s="8"/>
      <c r="DWE99" s="8"/>
      <c r="DWF99" s="8"/>
      <c r="DWG99" s="8"/>
      <c r="DWH99" s="8"/>
      <c r="DWI99" s="8"/>
      <c r="DWJ99" s="8"/>
      <c r="DWK99" s="8"/>
      <c r="DWL99" s="8"/>
      <c r="DWM99" s="8"/>
      <c r="DWN99" s="8"/>
      <c r="DWO99" s="8"/>
      <c r="DWP99" s="8"/>
      <c r="DWQ99" s="8"/>
      <c r="DWR99" s="8"/>
      <c r="DWS99" s="8"/>
      <c r="DWT99" s="8"/>
      <c r="DWU99" s="8"/>
      <c r="DWV99" s="8"/>
      <c r="DWW99" s="8"/>
      <c r="DWX99" s="8"/>
      <c r="DWY99" s="8"/>
      <c r="DWZ99" s="8"/>
      <c r="DXA99" s="8"/>
      <c r="DXB99" s="8"/>
      <c r="DXC99" s="8"/>
      <c r="DXD99" s="8"/>
      <c r="DXE99" s="8"/>
      <c r="DXF99" s="8"/>
      <c r="DXG99" s="8"/>
      <c r="DXH99" s="8"/>
      <c r="DXI99" s="8"/>
      <c r="DXJ99" s="8"/>
      <c r="DXK99" s="8"/>
      <c r="DXL99" s="8"/>
      <c r="DXM99" s="8"/>
      <c r="DXN99" s="8"/>
      <c r="DXO99" s="8"/>
      <c r="DXP99" s="8"/>
      <c r="DXQ99" s="8"/>
      <c r="DXR99" s="8"/>
      <c r="DXS99" s="8"/>
      <c r="DXT99" s="8"/>
      <c r="DXU99" s="8"/>
      <c r="DXV99" s="8"/>
      <c r="DXW99" s="8"/>
      <c r="DXX99" s="8"/>
      <c r="DXY99" s="8"/>
      <c r="DXZ99" s="8"/>
      <c r="DYA99" s="8"/>
      <c r="DYB99" s="8"/>
      <c r="DYC99" s="8"/>
      <c r="DYD99" s="8"/>
      <c r="DYE99" s="8"/>
      <c r="DYF99" s="8"/>
      <c r="DYG99" s="8"/>
      <c r="DYH99" s="8"/>
      <c r="DYI99" s="8"/>
      <c r="DYJ99" s="8"/>
      <c r="DYK99" s="8"/>
      <c r="DYL99" s="8"/>
      <c r="DYM99" s="8"/>
      <c r="DYN99" s="8"/>
      <c r="DYO99" s="8"/>
      <c r="DYP99" s="8"/>
      <c r="DYQ99" s="8"/>
      <c r="DYR99" s="8"/>
      <c r="DYS99" s="8"/>
      <c r="DYT99" s="8"/>
      <c r="DYU99" s="8"/>
      <c r="DYV99" s="8"/>
      <c r="DYW99" s="8"/>
      <c r="DYX99" s="8"/>
      <c r="DYY99" s="8"/>
      <c r="DYZ99" s="8"/>
      <c r="DZA99" s="8"/>
      <c r="DZB99" s="8"/>
      <c r="DZC99" s="8"/>
      <c r="DZD99" s="8"/>
      <c r="DZE99" s="8"/>
      <c r="DZF99" s="8"/>
      <c r="DZG99" s="8"/>
      <c r="DZH99" s="8"/>
      <c r="DZI99" s="8"/>
      <c r="DZJ99" s="8"/>
      <c r="DZK99" s="8"/>
      <c r="DZL99" s="8"/>
      <c r="DZM99" s="8"/>
      <c r="DZN99" s="8"/>
      <c r="DZO99" s="8"/>
      <c r="DZP99" s="8"/>
      <c r="DZQ99" s="8"/>
      <c r="DZR99" s="8"/>
      <c r="DZS99" s="8"/>
      <c r="DZT99" s="8"/>
      <c r="DZU99" s="8"/>
      <c r="DZV99" s="8"/>
      <c r="DZW99" s="8"/>
      <c r="DZX99" s="8"/>
      <c r="DZY99" s="8"/>
      <c r="DZZ99" s="8"/>
      <c r="EAA99" s="8"/>
      <c r="EAB99" s="8"/>
      <c r="EAC99" s="8"/>
      <c r="EAD99" s="8"/>
      <c r="EAE99" s="8"/>
      <c r="EAF99" s="8"/>
      <c r="EAG99" s="8"/>
      <c r="EAH99" s="8"/>
      <c r="EAI99" s="8"/>
      <c r="EAJ99" s="8"/>
      <c r="EAK99" s="8"/>
      <c r="EAL99" s="8"/>
      <c r="EAM99" s="8"/>
      <c r="EAN99" s="8"/>
      <c r="EAO99" s="8"/>
      <c r="EAP99" s="8"/>
      <c r="EAQ99" s="8"/>
      <c r="EAR99" s="8"/>
      <c r="EAS99" s="8"/>
      <c r="EAT99" s="8"/>
      <c r="EAU99" s="8"/>
      <c r="EAV99" s="8"/>
      <c r="EAW99" s="8"/>
      <c r="EAX99" s="8"/>
      <c r="EAY99" s="8"/>
      <c r="EAZ99" s="8"/>
      <c r="EBA99" s="8"/>
      <c r="EBB99" s="8"/>
      <c r="EBC99" s="8"/>
      <c r="EBD99" s="8"/>
      <c r="EBE99" s="8"/>
      <c r="EBF99" s="8"/>
      <c r="EBG99" s="8"/>
      <c r="EBH99" s="8"/>
      <c r="EBI99" s="8"/>
      <c r="EBJ99" s="8"/>
      <c r="EBK99" s="8"/>
      <c r="EBL99" s="8"/>
      <c r="EBM99" s="8"/>
      <c r="EBN99" s="8"/>
      <c r="EBO99" s="8"/>
      <c r="EBP99" s="8"/>
      <c r="EBQ99" s="8"/>
      <c r="EBR99" s="8"/>
      <c r="EBS99" s="8"/>
      <c r="EBT99" s="8"/>
      <c r="EBU99" s="8"/>
      <c r="EBV99" s="8"/>
      <c r="EBW99" s="8"/>
      <c r="EBX99" s="8"/>
      <c r="EBY99" s="8"/>
      <c r="EBZ99" s="8"/>
      <c r="ECA99" s="8"/>
      <c r="ECB99" s="8"/>
      <c r="ECC99" s="8"/>
      <c r="ECD99" s="8"/>
      <c r="ECE99" s="8"/>
      <c r="ECF99" s="8"/>
      <c r="ECG99" s="8"/>
      <c r="ECH99" s="8"/>
      <c r="ECI99" s="8"/>
      <c r="ECJ99" s="8"/>
      <c r="ECK99" s="8"/>
      <c r="ECL99" s="8"/>
      <c r="ECM99" s="8"/>
      <c r="ECN99" s="8"/>
      <c r="ECO99" s="8"/>
      <c r="ECP99" s="8"/>
      <c r="ECQ99" s="8"/>
      <c r="ECR99" s="8"/>
      <c r="ECS99" s="8"/>
      <c r="ECT99" s="8"/>
      <c r="ECU99" s="8"/>
      <c r="ECV99" s="8"/>
      <c r="ECW99" s="8"/>
      <c r="ECX99" s="8"/>
      <c r="ECY99" s="8"/>
      <c r="ECZ99" s="8"/>
      <c r="EDA99" s="8"/>
      <c r="EDB99" s="8"/>
      <c r="EDC99" s="8"/>
      <c r="EDD99" s="8"/>
      <c r="EDE99" s="8"/>
      <c r="EDF99" s="8"/>
      <c r="EDG99" s="8"/>
      <c r="EDH99" s="8"/>
      <c r="EDI99" s="8"/>
      <c r="EDJ99" s="8"/>
      <c r="EDK99" s="8"/>
      <c r="EDL99" s="8"/>
      <c r="EDM99" s="8"/>
      <c r="EDN99" s="8"/>
      <c r="EDO99" s="8"/>
      <c r="EDP99" s="8"/>
      <c r="EDQ99" s="8"/>
      <c r="EDR99" s="8"/>
      <c r="EDS99" s="8"/>
      <c r="EDT99" s="8"/>
      <c r="EDU99" s="8"/>
      <c r="EDV99" s="8"/>
      <c r="EDW99" s="8"/>
      <c r="EDX99" s="8"/>
      <c r="EDY99" s="8"/>
      <c r="EDZ99" s="8"/>
      <c r="EEA99" s="8"/>
      <c r="EEB99" s="8"/>
      <c r="EEC99" s="8"/>
      <c r="EED99" s="8"/>
      <c r="EEE99" s="8"/>
      <c r="EEF99" s="8"/>
      <c r="EEG99" s="8"/>
      <c r="EEH99" s="8"/>
      <c r="EEI99" s="8"/>
      <c r="EEJ99" s="8"/>
      <c r="EEK99" s="8"/>
      <c r="EEL99" s="8"/>
      <c r="EEM99" s="8"/>
      <c r="EEN99" s="8"/>
      <c r="EEO99" s="8"/>
      <c r="EEP99" s="8"/>
      <c r="EEQ99" s="8"/>
      <c r="EER99" s="8"/>
      <c r="EES99" s="8"/>
      <c r="EET99" s="8"/>
      <c r="EEU99" s="8"/>
      <c r="EEV99" s="8"/>
      <c r="EEW99" s="8"/>
      <c r="EEX99" s="8"/>
      <c r="EEY99" s="8"/>
      <c r="EEZ99" s="8"/>
      <c r="EFA99" s="8"/>
      <c r="EFB99" s="8"/>
      <c r="EFC99" s="8"/>
      <c r="EFD99" s="8"/>
      <c r="EFE99" s="8"/>
      <c r="EFF99" s="8"/>
      <c r="EFG99" s="8"/>
      <c r="EFH99" s="8"/>
      <c r="EFI99" s="8"/>
      <c r="EFJ99" s="8"/>
      <c r="EFK99" s="8"/>
      <c r="EFL99" s="8"/>
      <c r="EFM99" s="8"/>
      <c r="EFN99" s="8"/>
      <c r="EFO99" s="8"/>
      <c r="EFP99" s="8"/>
      <c r="EFQ99" s="8"/>
      <c r="EFR99" s="8"/>
      <c r="EFS99" s="8"/>
      <c r="EFT99" s="8"/>
      <c r="EFU99" s="8"/>
      <c r="EFV99" s="8"/>
      <c r="EFW99" s="8"/>
      <c r="EFX99" s="8"/>
      <c r="EFY99" s="8"/>
      <c r="EFZ99" s="8"/>
      <c r="EGA99" s="8"/>
      <c r="EGB99" s="8"/>
      <c r="EGC99" s="8"/>
      <c r="EGD99" s="8"/>
      <c r="EGE99" s="8"/>
      <c r="EGF99" s="8"/>
      <c r="EGG99" s="8"/>
      <c r="EGH99" s="8"/>
      <c r="EGI99" s="8"/>
      <c r="EGJ99" s="8"/>
      <c r="EGK99" s="8"/>
      <c r="EGL99" s="8"/>
      <c r="EGM99" s="8"/>
      <c r="EGN99" s="8"/>
      <c r="EGO99" s="8"/>
      <c r="EGP99" s="8"/>
      <c r="EGQ99" s="8"/>
      <c r="EGR99" s="8"/>
      <c r="EGS99" s="8"/>
      <c r="EGT99" s="8"/>
      <c r="EGU99" s="8"/>
      <c r="EGV99" s="8"/>
      <c r="EGW99" s="8"/>
      <c r="EGX99" s="8"/>
      <c r="EGY99" s="8"/>
      <c r="EGZ99" s="8"/>
      <c r="EHA99" s="8"/>
      <c r="EHB99" s="8"/>
      <c r="EHC99" s="8"/>
      <c r="EHD99" s="8"/>
      <c r="EHE99" s="8"/>
      <c r="EHF99" s="8"/>
      <c r="EHG99" s="8"/>
      <c r="EHH99" s="8"/>
      <c r="EHI99" s="8"/>
      <c r="EHJ99" s="8"/>
      <c r="EHK99" s="8"/>
      <c r="EHL99" s="8"/>
      <c r="EHM99" s="8"/>
      <c r="EHN99" s="8"/>
      <c r="EHO99" s="8"/>
      <c r="EHP99" s="8"/>
      <c r="EHQ99" s="8"/>
      <c r="EHR99" s="8"/>
      <c r="EHS99" s="8"/>
      <c r="EHT99" s="8"/>
      <c r="EHU99" s="8"/>
      <c r="EHV99" s="8"/>
      <c r="EHW99" s="8"/>
      <c r="EHX99" s="8"/>
      <c r="EHY99" s="8"/>
      <c r="EHZ99" s="8"/>
      <c r="EIA99" s="8"/>
      <c r="EIB99" s="8"/>
      <c r="EIC99" s="8"/>
      <c r="EID99" s="8"/>
      <c r="EIE99" s="8"/>
      <c r="EIF99" s="8"/>
      <c r="EIG99" s="8"/>
      <c r="EIH99" s="8"/>
      <c r="EII99" s="8"/>
      <c r="EIJ99" s="8"/>
      <c r="EIK99" s="8"/>
      <c r="EIL99" s="8"/>
      <c r="EIM99" s="8"/>
      <c r="EIN99" s="8"/>
      <c r="EIO99" s="8"/>
      <c r="EIP99" s="8"/>
      <c r="EIQ99" s="8"/>
      <c r="EIR99" s="8"/>
      <c r="EIS99" s="8"/>
      <c r="EIT99" s="8"/>
      <c r="EIU99" s="8"/>
      <c r="EIV99" s="8"/>
      <c r="EIW99" s="8"/>
      <c r="EIX99" s="8"/>
      <c r="EIY99" s="8"/>
      <c r="EIZ99" s="8"/>
      <c r="EJA99" s="8"/>
      <c r="EJB99" s="8"/>
      <c r="EJC99" s="8"/>
      <c r="EJD99" s="8"/>
      <c r="EJE99" s="8"/>
      <c r="EJF99" s="8"/>
      <c r="EJG99" s="8"/>
      <c r="EJH99" s="8"/>
      <c r="EJI99" s="8"/>
      <c r="EJJ99" s="8"/>
      <c r="EJK99" s="8"/>
      <c r="EJL99" s="8"/>
      <c r="EJM99" s="8"/>
      <c r="EJN99" s="8"/>
      <c r="EJO99" s="8"/>
      <c r="EJP99" s="8"/>
      <c r="EJQ99" s="8"/>
      <c r="EJR99" s="8"/>
      <c r="EJS99" s="8"/>
      <c r="EJT99" s="8"/>
      <c r="EJU99" s="8"/>
      <c r="EJV99" s="8"/>
      <c r="EJW99" s="8"/>
      <c r="EJX99" s="8"/>
      <c r="EJY99" s="8"/>
      <c r="EJZ99" s="8"/>
      <c r="EKA99" s="8"/>
      <c r="EKB99" s="8"/>
      <c r="EKC99" s="8"/>
      <c r="EKD99" s="8"/>
      <c r="EKE99" s="8"/>
      <c r="EKF99" s="8"/>
      <c r="EKG99" s="8"/>
      <c r="EKH99" s="8"/>
      <c r="EKI99" s="8"/>
      <c r="EKJ99" s="8"/>
      <c r="EKK99" s="8"/>
      <c r="EKL99" s="8"/>
      <c r="EKM99" s="8"/>
      <c r="EKN99" s="8"/>
      <c r="EKO99" s="8"/>
      <c r="EKP99" s="8"/>
      <c r="EKQ99" s="8"/>
      <c r="EKR99" s="8"/>
      <c r="EKS99" s="8"/>
      <c r="EKT99" s="8"/>
      <c r="EKU99" s="8"/>
      <c r="EKV99" s="8"/>
      <c r="EKW99" s="8"/>
      <c r="EKX99" s="8"/>
      <c r="EKY99" s="8"/>
      <c r="EKZ99" s="8"/>
      <c r="ELA99" s="8"/>
      <c r="ELB99" s="8"/>
      <c r="ELC99" s="8"/>
      <c r="ELD99" s="8"/>
      <c r="ELE99" s="8"/>
      <c r="ELF99" s="8"/>
      <c r="ELG99" s="8"/>
      <c r="ELH99" s="8"/>
      <c r="ELI99" s="8"/>
      <c r="ELJ99" s="8"/>
      <c r="ELK99" s="8"/>
      <c r="ELL99" s="8"/>
      <c r="ELM99" s="8"/>
      <c r="ELN99" s="8"/>
      <c r="ELO99" s="8"/>
      <c r="ELP99" s="8"/>
      <c r="ELQ99" s="8"/>
      <c r="ELR99" s="8"/>
      <c r="ELS99" s="8"/>
      <c r="ELT99" s="8"/>
      <c r="ELU99" s="8"/>
      <c r="ELV99" s="8"/>
      <c r="ELW99" s="8"/>
      <c r="ELX99" s="8"/>
      <c r="ELY99" s="8"/>
      <c r="ELZ99" s="8"/>
      <c r="EMA99" s="8"/>
      <c r="EMB99" s="8"/>
      <c r="EMC99" s="8"/>
      <c r="EMD99" s="8"/>
      <c r="EME99" s="8"/>
      <c r="EMF99" s="8"/>
      <c r="EMG99" s="8"/>
      <c r="EMH99" s="8"/>
      <c r="EMI99" s="8"/>
      <c r="EMJ99" s="8"/>
      <c r="EMK99" s="8"/>
      <c r="EML99" s="8"/>
      <c r="EMM99" s="8"/>
      <c r="EMN99" s="8"/>
      <c r="EMO99" s="8"/>
      <c r="EMP99" s="8"/>
      <c r="EMQ99" s="8"/>
      <c r="EMR99" s="8"/>
      <c r="EMS99" s="8"/>
      <c r="EMT99" s="8"/>
      <c r="EMU99" s="8"/>
      <c r="EMV99" s="8"/>
      <c r="EMW99" s="8"/>
      <c r="EMX99" s="8"/>
      <c r="EMY99" s="8"/>
      <c r="EMZ99" s="8"/>
      <c r="ENA99" s="8"/>
      <c r="ENB99" s="8"/>
      <c r="ENC99" s="8"/>
      <c r="END99" s="8"/>
      <c r="ENE99" s="8"/>
      <c r="ENF99" s="8"/>
      <c r="ENG99" s="8"/>
      <c r="ENH99" s="8"/>
      <c r="ENI99" s="8"/>
      <c r="ENJ99" s="8"/>
      <c r="ENK99" s="8"/>
      <c r="ENL99" s="8"/>
      <c r="ENM99" s="8"/>
      <c r="ENN99" s="8"/>
      <c r="ENO99" s="8"/>
      <c r="ENP99" s="8"/>
      <c r="ENQ99" s="8"/>
      <c r="ENR99" s="8"/>
      <c r="ENS99" s="8"/>
      <c r="ENT99" s="8"/>
      <c r="ENU99" s="8"/>
      <c r="ENV99" s="8"/>
      <c r="ENW99" s="8"/>
      <c r="ENX99" s="8"/>
      <c r="ENY99" s="8"/>
      <c r="ENZ99" s="8"/>
      <c r="EOA99" s="8"/>
      <c r="EOB99" s="8"/>
      <c r="EOC99" s="8"/>
      <c r="EOD99" s="8"/>
      <c r="EOE99" s="8"/>
      <c r="EOF99" s="8"/>
      <c r="EOG99" s="8"/>
      <c r="EOH99" s="8"/>
      <c r="EOI99" s="8"/>
      <c r="EOJ99" s="8"/>
      <c r="EOK99" s="8"/>
      <c r="EOL99" s="8"/>
      <c r="EOM99" s="8"/>
      <c r="EON99" s="8"/>
      <c r="EOO99" s="8"/>
      <c r="EOP99" s="8"/>
      <c r="EOQ99" s="8"/>
      <c r="EOR99" s="8"/>
      <c r="EOS99" s="8"/>
      <c r="EOT99" s="8"/>
      <c r="EOU99" s="8"/>
      <c r="EOV99" s="8"/>
      <c r="EOW99" s="8"/>
      <c r="EOX99" s="8"/>
      <c r="EOY99" s="8"/>
      <c r="EOZ99" s="8"/>
      <c r="EPA99" s="8"/>
      <c r="EPB99" s="8"/>
      <c r="EPC99" s="8"/>
      <c r="EPD99" s="8"/>
      <c r="EPE99" s="8"/>
      <c r="EPF99" s="8"/>
      <c r="EPG99" s="8"/>
      <c r="EPH99" s="8"/>
      <c r="EPI99" s="8"/>
      <c r="EPJ99" s="8"/>
      <c r="EPK99" s="8"/>
      <c r="EPL99" s="8"/>
      <c r="EPM99" s="8"/>
      <c r="EPN99" s="8"/>
      <c r="EPO99" s="8"/>
      <c r="EPP99" s="8"/>
      <c r="EPQ99" s="8"/>
      <c r="EPR99" s="8"/>
      <c r="EPS99" s="8"/>
      <c r="EPT99" s="8"/>
      <c r="EPU99" s="8"/>
      <c r="EPV99" s="8"/>
      <c r="EPW99" s="8"/>
      <c r="EPX99" s="8"/>
      <c r="EPY99" s="8"/>
      <c r="EPZ99" s="8"/>
      <c r="EQA99" s="8"/>
      <c r="EQB99" s="8"/>
      <c r="EQC99" s="8"/>
      <c r="EQD99" s="8"/>
      <c r="EQE99" s="8"/>
      <c r="EQF99" s="8"/>
      <c r="EQG99" s="8"/>
      <c r="EQH99" s="8"/>
      <c r="EQI99" s="8"/>
      <c r="EQJ99" s="8"/>
      <c r="EQK99" s="8"/>
      <c r="EQL99" s="8"/>
      <c r="EQM99" s="8"/>
      <c r="EQN99" s="8"/>
      <c r="EQO99" s="8"/>
      <c r="EQP99" s="8"/>
      <c r="EQQ99" s="8"/>
      <c r="EQR99" s="8"/>
      <c r="EQS99" s="8"/>
      <c r="EQT99" s="8"/>
      <c r="EQU99" s="8"/>
      <c r="EQV99" s="8"/>
      <c r="EQW99" s="8"/>
      <c r="EQX99" s="8"/>
      <c r="EQY99" s="8"/>
      <c r="EQZ99" s="8"/>
      <c r="ERA99" s="8"/>
      <c r="ERB99" s="8"/>
      <c r="ERC99" s="8"/>
      <c r="ERD99" s="8"/>
      <c r="ERE99" s="8"/>
      <c r="ERF99" s="8"/>
      <c r="ERG99" s="8"/>
      <c r="ERH99" s="8"/>
      <c r="ERI99" s="8"/>
      <c r="ERJ99" s="8"/>
      <c r="ERK99" s="8"/>
      <c r="ERL99" s="8"/>
      <c r="ERM99" s="8"/>
      <c r="ERN99" s="8"/>
      <c r="ERO99" s="8"/>
      <c r="ERP99" s="8"/>
      <c r="ERQ99" s="8"/>
      <c r="ERR99" s="8"/>
      <c r="ERS99" s="8"/>
      <c r="ERT99" s="8"/>
      <c r="ERU99" s="8"/>
      <c r="ERV99" s="8"/>
      <c r="ERW99" s="8"/>
      <c r="ERX99" s="8"/>
      <c r="ERY99" s="8"/>
      <c r="ERZ99" s="8"/>
      <c r="ESA99" s="8"/>
      <c r="ESB99" s="8"/>
      <c r="ESC99" s="8"/>
      <c r="ESD99" s="8"/>
      <c r="ESE99" s="8"/>
      <c r="ESF99" s="8"/>
      <c r="ESG99" s="8"/>
      <c r="ESH99" s="8"/>
      <c r="ESI99" s="8"/>
      <c r="ESJ99" s="8"/>
      <c r="ESK99" s="8"/>
      <c r="ESL99" s="8"/>
      <c r="ESM99" s="8"/>
      <c r="ESN99" s="8"/>
      <c r="ESO99" s="8"/>
      <c r="ESP99" s="8"/>
      <c r="ESQ99" s="8"/>
      <c r="ESR99" s="8"/>
      <c r="ESS99" s="8"/>
      <c r="EST99" s="8"/>
      <c r="ESU99" s="8"/>
      <c r="ESV99" s="8"/>
      <c r="ESW99" s="8"/>
      <c r="ESX99" s="8"/>
      <c r="ESY99" s="8"/>
      <c r="ESZ99" s="8"/>
      <c r="ETA99" s="8"/>
      <c r="ETB99" s="8"/>
      <c r="ETC99" s="8"/>
      <c r="ETD99" s="8"/>
      <c r="ETE99" s="8"/>
      <c r="ETF99" s="8"/>
      <c r="ETG99" s="8"/>
      <c r="ETH99" s="8"/>
      <c r="ETI99" s="8"/>
      <c r="ETJ99" s="8"/>
      <c r="ETK99" s="8"/>
      <c r="ETL99" s="8"/>
      <c r="ETM99" s="8"/>
      <c r="ETN99" s="8"/>
      <c r="ETO99" s="8"/>
      <c r="ETP99" s="8"/>
      <c r="ETQ99" s="8"/>
      <c r="ETR99" s="8"/>
      <c r="ETS99" s="8"/>
      <c r="ETT99" s="8"/>
      <c r="ETU99" s="8"/>
      <c r="ETV99" s="8"/>
      <c r="ETW99" s="8"/>
      <c r="ETX99" s="8"/>
      <c r="ETY99" s="8"/>
      <c r="ETZ99" s="8"/>
      <c r="EUA99" s="8"/>
      <c r="EUB99" s="8"/>
      <c r="EUC99" s="8"/>
      <c r="EUD99" s="8"/>
      <c r="EUE99" s="8"/>
      <c r="EUF99" s="8"/>
      <c r="EUG99" s="8"/>
      <c r="EUH99" s="8"/>
      <c r="EUI99" s="8"/>
      <c r="EUJ99" s="8"/>
      <c r="EUK99" s="8"/>
      <c r="EUL99" s="8"/>
      <c r="EUM99" s="8"/>
      <c r="EUN99" s="8"/>
      <c r="EUO99" s="8"/>
      <c r="EUP99" s="8"/>
      <c r="EUQ99" s="8"/>
      <c r="EUR99" s="8"/>
      <c r="EUS99" s="8"/>
      <c r="EUT99" s="8"/>
      <c r="EUU99" s="8"/>
      <c r="EUV99" s="8"/>
      <c r="EUW99" s="8"/>
      <c r="EUX99" s="8"/>
      <c r="EUY99" s="8"/>
      <c r="EUZ99" s="8"/>
      <c r="EVA99" s="8"/>
      <c r="EVB99" s="8"/>
      <c r="EVC99" s="8"/>
      <c r="EVD99" s="8"/>
      <c r="EVE99" s="8"/>
      <c r="EVF99" s="8"/>
      <c r="EVG99" s="8"/>
      <c r="EVH99" s="8"/>
      <c r="EVI99" s="8"/>
      <c r="EVJ99" s="8"/>
      <c r="EVK99" s="8"/>
      <c r="EVL99" s="8"/>
      <c r="EVM99" s="8"/>
      <c r="EVN99" s="8"/>
      <c r="EVO99" s="8"/>
      <c r="EVP99" s="8"/>
      <c r="EVQ99" s="8"/>
      <c r="EVR99" s="8"/>
      <c r="EVS99" s="8"/>
      <c r="EVT99" s="8"/>
      <c r="EVU99" s="8"/>
      <c r="EVV99" s="8"/>
      <c r="EVW99" s="8"/>
      <c r="EVX99" s="8"/>
      <c r="EVY99" s="8"/>
      <c r="EVZ99" s="8"/>
      <c r="EWA99" s="8"/>
      <c r="EWB99" s="8"/>
      <c r="EWC99" s="8"/>
      <c r="EWD99" s="8"/>
      <c r="EWE99" s="8"/>
      <c r="EWF99" s="8"/>
      <c r="EWG99" s="8"/>
      <c r="EWH99" s="8"/>
      <c r="EWI99" s="8"/>
      <c r="EWJ99" s="8"/>
      <c r="EWK99" s="8"/>
      <c r="EWL99" s="8"/>
      <c r="EWM99" s="8"/>
      <c r="EWN99" s="8"/>
      <c r="EWO99" s="8"/>
      <c r="EWP99" s="8"/>
      <c r="EWQ99" s="8"/>
      <c r="EWR99" s="8"/>
      <c r="EWS99" s="8"/>
      <c r="EWT99" s="8"/>
      <c r="EWU99" s="8"/>
      <c r="EWV99" s="8"/>
      <c r="EWW99" s="8"/>
      <c r="EWX99" s="8"/>
      <c r="EWY99" s="8"/>
      <c r="EWZ99" s="8"/>
      <c r="EXA99" s="8"/>
      <c r="EXB99" s="8"/>
      <c r="EXC99" s="8"/>
      <c r="EXD99" s="8"/>
      <c r="EXE99" s="8"/>
      <c r="EXF99" s="8"/>
      <c r="EXG99" s="8"/>
      <c r="EXH99" s="8"/>
      <c r="EXI99" s="8"/>
      <c r="EXJ99" s="8"/>
      <c r="EXK99" s="8"/>
      <c r="EXL99" s="8"/>
      <c r="EXM99" s="8"/>
      <c r="EXN99" s="8"/>
      <c r="EXO99" s="8"/>
      <c r="EXP99" s="8"/>
      <c r="EXQ99" s="8"/>
      <c r="EXR99" s="8"/>
      <c r="EXS99" s="8"/>
      <c r="EXT99" s="8"/>
      <c r="EXU99" s="8"/>
      <c r="EXV99" s="8"/>
      <c r="EXW99" s="8"/>
      <c r="EXX99" s="8"/>
      <c r="EXY99" s="8"/>
      <c r="EXZ99" s="8"/>
      <c r="EYA99" s="8"/>
      <c r="EYB99" s="8"/>
      <c r="EYC99" s="8"/>
      <c r="EYD99" s="8"/>
      <c r="EYE99" s="8"/>
      <c r="EYF99" s="8"/>
      <c r="EYG99" s="8"/>
      <c r="EYH99" s="8"/>
      <c r="EYI99" s="8"/>
      <c r="EYJ99" s="8"/>
      <c r="EYK99" s="8"/>
      <c r="EYL99" s="8"/>
      <c r="EYM99" s="8"/>
      <c r="EYN99" s="8"/>
      <c r="EYO99" s="8"/>
      <c r="EYP99" s="8"/>
      <c r="EYQ99" s="8"/>
      <c r="EYR99" s="8"/>
      <c r="EYS99" s="8"/>
      <c r="EYT99" s="8"/>
      <c r="EYU99" s="8"/>
      <c r="EYV99" s="8"/>
      <c r="EYW99" s="8"/>
      <c r="EYX99" s="8"/>
      <c r="EYY99" s="8"/>
      <c r="EYZ99" s="8"/>
      <c r="EZA99" s="8"/>
      <c r="EZB99" s="8"/>
      <c r="EZC99" s="8"/>
      <c r="EZD99" s="8"/>
      <c r="EZE99" s="8"/>
      <c r="EZF99" s="8"/>
      <c r="EZG99" s="8"/>
      <c r="EZH99" s="8"/>
      <c r="EZI99" s="8"/>
      <c r="EZJ99" s="8"/>
      <c r="EZK99" s="8"/>
      <c r="EZL99" s="8"/>
      <c r="EZM99" s="8"/>
      <c r="EZN99" s="8"/>
      <c r="EZO99" s="8"/>
      <c r="EZP99" s="8"/>
      <c r="EZQ99" s="8"/>
      <c r="EZR99" s="8"/>
      <c r="EZS99" s="8"/>
      <c r="EZT99" s="8"/>
      <c r="EZU99" s="8"/>
      <c r="EZV99" s="8"/>
      <c r="EZW99" s="8"/>
      <c r="EZX99" s="8"/>
      <c r="EZY99" s="8"/>
      <c r="EZZ99" s="8"/>
      <c r="FAA99" s="8"/>
      <c r="FAB99" s="8"/>
      <c r="FAC99" s="8"/>
      <c r="FAD99" s="8"/>
      <c r="FAE99" s="8"/>
      <c r="FAF99" s="8"/>
      <c r="FAG99" s="8"/>
      <c r="FAH99" s="8"/>
      <c r="FAI99" s="8"/>
      <c r="FAJ99" s="8"/>
      <c r="FAK99" s="8"/>
      <c r="FAL99" s="8"/>
      <c r="FAM99" s="8"/>
      <c r="FAN99" s="8"/>
      <c r="FAO99" s="8"/>
      <c r="FAP99" s="8"/>
      <c r="FAQ99" s="8"/>
      <c r="FAR99" s="8"/>
      <c r="FAS99" s="8"/>
      <c r="FAT99" s="8"/>
      <c r="FAU99" s="8"/>
      <c r="FAV99" s="8"/>
      <c r="FAW99" s="8"/>
      <c r="FAX99" s="8"/>
      <c r="FAY99" s="8"/>
      <c r="FAZ99" s="8"/>
      <c r="FBA99" s="8"/>
      <c r="FBB99" s="8"/>
      <c r="FBC99" s="8"/>
      <c r="FBD99" s="8"/>
      <c r="FBE99" s="8"/>
      <c r="FBF99" s="8"/>
      <c r="FBG99" s="8"/>
      <c r="FBH99" s="8"/>
      <c r="FBI99" s="8"/>
      <c r="FBJ99" s="8"/>
      <c r="FBK99" s="8"/>
      <c r="FBL99" s="8"/>
      <c r="FBM99" s="8"/>
      <c r="FBN99" s="8"/>
      <c r="FBO99" s="8"/>
      <c r="FBP99" s="8"/>
      <c r="FBQ99" s="8"/>
      <c r="FBR99" s="8"/>
      <c r="FBS99" s="8"/>
      <c r="FBT99" s="8"/>
      <c r="FBU99" s="8"/>
      <c r="FBV99" s="8"/>
      <c r="FBW99" s="8"/>
      <c r="FBX99" s="8"/>
      <c r="FBY99" s="8"/>
      <c r="FBZ99" s="8"/>
      <c r="FCA99" s="8"/>
      <c r="FCB99" s="8"/>
      <c r="FCC99" s="8"/>
      <c r="FCD99" s="8"/>
      <c r="FCE99" s="8"/>
      <c r="FCF99" s="8"/>
      <c r="FCG99" s="8"/>
      <c r="FCH99" s="8"/>
      <c r="FCI99" s="8"/>
      <c r="FCJ99" s="8"/>
      <c r="FCK99" s="8"/>
      <c r="FCL99" s="8"/>
      <c r="FCM99" s="8"/>
      <c r="FCN99" s="8"/>
      <c r="FCO99" s="8"/>
      <c r="FCP99" s="8"/>
      <c r="FCQ99" s="8"/>
      <c r="FCR99" s="8"/>
      <c r="FCS99" s="8"/>
      <c r="FCT99" s="8"/>
      <c r="FCU99" s="8"/>
      <c r="FCV99" s="8"/>
      <c r="FCW99" s="8"/>
      <c r="FCX99" s="8"/>
      <c r="FCY99" s="8"/>
      <c r="FCZ99" s="8"/>
      <c r="FDA99" s="8"/>
      <c r="FDB99" s="8"/>
      <c r="FDC99" s="8"/>
      <c r="FDD99" s="8"/>
      <c r="FDE99" s="8"/>
      <c r="FDF99" s="8"/>
      <c r="FDG99" s="8"/>
      <c r="FDH99" s="8"/>
      <c r="FDI99" s="8"/>
      <c r="FDJ99" s="8"/>
      <c r="FDK99" s="8"/>
      <c r="FDL99" s="8"/>
      <c r="FDM99" s="8"/>
      <c r="FDN99" s="8"/>
      <c r="FDO99" s="8"/>
      <c r="FDP99" s="8"/>
      <c r="FDQ99" s="8"/>
      <c r="FDR99" s="8"/>
      <c r="FDS99" s="8"/>
      <c r="FDT99" s="8"/>
      <c r="FDU99" s="8"/>
      <c r="FDV99" s="8"/>
      <c r="FDW99" s="8"/>
      <c r="FDX99" s="8"/>
      <c r="FDY99" s="8"/>
      <c r="FDZ99" s="8"/>
      <c r="FEA99" s="8"/>
      <c r="FEB99" s="8"/>
      <c r="FEC99" s="8"/>
      <c r="FED99" s="8"/>
      <c r="FEE99" s="8"/>
      <c r="FEF99" s="8"/>
      <c r="FEG99" s="8"/>
      <c r="FEH99" s="8"/>
      <c r="FEI99" s="8"/>
      <c r="FEJ99" s="8"/>
      <c r="FEK99" s="8"/>
      <c r="FEL99" s="8"/>
      <c r="FEM99" s="8"/>
      <c r="FEN99" s="8"/>
      <c r="FEO99" s="8"/>
      <c r="FEP99" s="8"/>
      <c r="FEQ99" s="8"/>
      <c r="FER99" s="8"/>
      <c r="FES99" s="8"/>
      <c r="FET99" s="8"/>
      <c r="FEU99" s="8"/>
      <c r="FEV99" s="8"/>
      <c r="FEW99" s="8"/>
      <c r="FEX99" s="8"/>
      <c r="FEY99" s="8"/>
      <c r="FEZ99" s="8"/>
      <c r="FFA99" s="8"/>
      <c r="FFB99" s="8"/>
      <c r="FFC99" s="8"/>
      <c r="FFD99" s="8"/>
      <c r="FFE99" s="8"/>
      <c r="FFF99" s="8"/>
      <c r="FFG99" s="8"/>
      <c r="FFH99" s="8"/>
      <c r="FFI99" s="8"/>
      <c r="FFJ99" s="8"/>
      <c r="FFK99" s="8"/>
      <c r="FFL99" s="8"/>
      <c r="FFM99" s="8"/>
      <c r="FFN99" s="8"/>
      <c r="FFO99" s="8"/>
      <c r="FFP99" s="8"/>
      <c r="FFQ99" s="8"/>
      <c r="FFR99" s="8"/>
      <c r="FFS99" s="8"/>
      <c r="FFT99" s="8"/>
      <c r="FFU99" s="8"/>
      <c r="FFV99" s="8"/>
      <c r="FFW99" s="8"/>
      <c r="FFX99" s="8"/>
      <c r="FFY99" s="8"/>
      <c r="FFZ99" s="8"/>
      <c r="FGA99" s="8"/>
      <c r="FGB99" s="8"/>
      <c r="FGC99" s="8"/>
      <c r="FGD99" s="8"/>
      <c r="FGE99" s="8"/>
      <c r="FGF99" s="8"/>
      <c r="FGG99" s="8"/>
      <c r="FGH99" s="8"/>
      <c r="FGI99" s="8"/>
      <c r="FGJ99" s="8"/>
      <c r="FGK99" s="8"/>
      <c r="FGL99" s="8"/>
      <c r="FGM99" s="8"/>
      <c r="FGN99" s="8"/>
      <c r="FGO99" s="8"/>
      <c r="FGP99" s="8"/>
      <c r="FGQ99" s="8"/>
      <c r="FGR99" s="8"/>
      <c r="FGS99" s="8"/>
      <c r="FGT99" s="8"/>
      <c r="FGU99" s="8"/>
      <c r="FGV99" s="8"/>
      <c r="FGW99" s="8"/>
      <c r="FGX99" s="8"/>
      <c r="FGY99" s="8"/>
      <c r="FGZ99" s="8"/>
      <c r="FHA99" s="8"/>
      <c r="FHB99" s="8"/>
      <c r="FHC99" s="8"/>
      <c r="FHD99" s="8"/>
      <c r="FHE99" s="8"/>
      <c r="FHF99" s="8"/>
      <c r="FHG99" s="8"/>
      <c r="FHH99" s="8"/>
      <c r="FHI99" s="8"/>
      <c r="FHJ99" s="8"/>
      <c r="FHK99" s="8"/>
      <c r="FHL99" s="8"/>
      <c r="FHM99" s="8"/>
      <c r="FHN99" s="8"/>
      <c r="FHO99" s="8"/>
      <c r="FHP99" s="8"/>
      <c r="FHQ99" s="8"/>
      <c r="FHR99" s="8"/>
      <c r="FHS99" s="8"/>
      <c r="FHT99" s="8"/>
      <c r="FHU99" s="8"/>
      <c r="FHV99" s="8"/>
      <c r="FHW99" s="8"/>
      <c r="FHX99" s="8"/>
      <c r="FHY99" s="8"/>
      <c r="FHZ99" s="8"/>
      <c r="FIA99" s="8"/>
      <c r="FIB99" s="8"/>
      <c r="FIC99" s="8"/>
      <c r="FID99" s="8"/>
      <c r="FIE99" s="8"/>
      <c r="FIF99" s="8"/>
      <c r="FIG99" s="8"/>
      <c r="FIH99" s="8"/>
      <c r="FII99" s="8"/>
      <c r="FIJ99" s="8"/>
      <c r="FIK99" s="8"/>
      <c r="FIL99" s="8"/>
      <c r="FIM99" s="8"/>
      <c r="FIN99" s="8"/>
      <c r="FIO99" s="8"/>
      <c r="FIP99" s="8"/>
      <c r="FIQ99" s="8"/>
      <c r="FIR99" s="8"/>
      <c r="FIS99" s="8"/>
      <c r="FIT99" s="8"/>
      <c r="FIU99" s="8"/>
      <c r="FIV99" s="8"/>
      <c r="FIW99" s="8"/>
      <c r="FIX99" s="8"/>
      <c r="FIY99" s="8"/>
      <c r="FIZ99" s="8"/>
      <c r="FJA99" s="8"/>
      <c r="FJB99" s="8"/>
      <c r="FJC99" s="8"/>
      <c r="FJD99" s="8"/>
      <c r="FJE99" s="8"/>
      <c r="FJF99" s="8"/>
      <c r="FJG99" s="8"/>
      <c r="FJH99" s="8"/>
      <c r="FJI99" s="8"/>
      <c r="FJJ99" s="8"/>
      <c r="FJK99" s="8"/>
      <c r="FJL99" s="8"/>
      <c r="FJM99" s="8"/>
      <c r="FJN99" s="8"/>
      <c r="FJO99" s="8"/>
      <c r="FJP99" s="8"/>
      <c r="FJQ99" s="8"/>
      <c r="FJR99" s="8"/>
      <c r="FJS99" s="8"/>
      <c r="FJT99" s="8"/>
      <c r="FJU99" s="8"/>
      <c r="FJV99" s="8"/>
      <c r="FJW99" s="8"/>
      <c r="FJX99" s="8"/>
      <c r="FJY99" s="8"/>
      <c r="FJZ99" s="8"/>
      <c r="FKA99" s="8"/>
      <c r="FKB99" s="8"/>
      <c r="FKC99" s="8"/>
      <c r="FKD99" s="8"/>
      <c r="FKE99" s="8"/>
      <c r="FKF99" s="8"/>
      <c r="FKG99" s="8"/>
      <c r="FKH99" s="8"/>
      <c r="FKI99" s="8"/>
      <c r="FKJ99" s="8"/>
      <c r="FKK99" s="8"/>
      <c r="FKL99" s="8"/>
      <c r="FKM99" s="8"/>
      <c r="FKN99" s="8"/>
      <c r="FKO99" s="8"/>
      <c r="FKP99" s="8"/>
      <c r="FKQ99" s="8"/>
      <c r="FKR99" s="8"/>
      <c r="FKS99" s="8"/>
      <c r="FKT99" s="8"/>
      <c r="FKU99" s="8"/>
      <c r="FKV99" s="8"/>
      <c r="FKW99" s="8"/>
      <c r="FKX99" s="8"/>
      <c r="FKY99" s="8"/>
      <c r="FKZ99" s="8"/>
      <c r="FLA99" s="8"/>
      <c r="FLB99" s="8"/>
      <c r="FLC99" s="8"/>
      <c r="FLD99" s="8"/>
      <c r="FLE99" s="8"/>
      <c r="FLF99" s="8"/>
      <c r="FLG99" s="8"/>
      <c r="FLH99" s="8"/>
      <c r="FLI99" s="8"/>
      <c r="FLJ99" s="8"/>
      <c r="FLK99" s="8"/>
      <c r="FLL99" s="8"/>
      <c r="FLM99" s="8"/>
      <c r="FLN99" s="8"/>
      <c r="FLO99" s="8"/>
      <c r="FLP99" s="8"/>
      <c r="FLQ99" s="8"/>
      <c r="FLR99" s="8"/>
      <c r="FLS99" s="8"/>
      <c r="FLT99" s="8"/>
      <c r="FLU99" s="8"/>
      <c r="FLV99" s="8"/>
      <c r="FLW99" s="8"/>
      <c r="FLX99" s="8"/>
      <c r="FLY99" s="8"/>
      <c r="FLZ99" s="8"/>
      <c r="FMA99" s="8"/>
      <c r="FMB99" s="8"/>
      <c r="FMC99" s="8"/>
      <c r="FMD99" s="8"/>
      <c r="FME99" s="8"/>
      <c r="FMF99" s="8"/>
      <c r="FMG99" s="8"/>
      <c r="FMH99" s="8"/>
      <c r="FMI99" s="8"/>
      <c r="FMJ99" s="8"/>
      <c r="FMK99" s="8"/>
      <c r="FML99" s="8"/>
      <c r="FMM99" s="8"/>
      <c r="FMN99" s="8"/>
      <c r="FMO99" s="8"/>
      <c r="FMP99" s="8"/>
      <c r="FMQ99" s="8"/>
      <c r="FMR99" s="8"/>
      <c r="FMS99" s="8"/>
      <c r="FMT99" s="8"/>
      <c r="FMU99" s="8"/>
      <c r="FMV99" s="8"/>
      <c r="FMW99" s="8"/>
      <c r="FMX99" s="8"/>
      <c r="FMY99" s="8"/>
      <c r="FMZ99" s="8"/>
      <c r="FNA99" s="8"/>
      <c r="FNB99" s="8"/>
      <c r="FNC99" s="8"/>
      <c r="FND99" s="8"/>
      <c r="FNE99" s="8"/>
      <c r="FNF99" s="8"/>
      <c r="FNG99" s="8"/>
      <c r="FNH99" s="8"/>
      <c r="FNI99" s="8"/>
      <c r="FNJ99" s="8"/>
      <c r="FNK99" s="8"/>
      <c r="FNL99" s="8"/>
      <c r="FNM99" s="8"/>
      <c r="FNN99" s="8"/>
      <c r="FNO99" s="8"/>
      <c r="FNP99" s="8"/>
      <c r="FNQ99" s="8"/>
      <c r="FNR99" s="8"/>
      <c r="FNS99" s="8"/>
      <c r="FNT99" s="8"/>
      <c r="FNU99" s="8"/>
      <c r="FNV99" s="8"/>
      <c r="FNW99" s="8"/>
      <c r="FNX99" s="8"/>
      <c r="FNY99" s="8"/>
      <c r="FNZ99" s="8"/>
      <c r="FOA99" s="8"/>
      <c r="FOB99" s="8"/>
      <c r="FOC99" s="8"/>
      <c r="FOD99" s="8"/>
      <c r="FOE99" s="8"/>
      <c r="FOF99" s="8"/>
      <c r="FOG99" s="8"/>
      <c r="FOH99" s="8"/>
      <c r="FOI99" s="8"/>
      <c r="FOJ99" s="8"/>
      <c r="FOK99" s="8"/>
      <c r="FOL99" s="8"/>
      <c r="FOM99" s="8"/>
      <c r="FON99" s="8"/>
      <c r="FOO99" s="8"/>
      <c r="FOP99" s="8"/>
      <c r="FOQ99" s="8"/>
      <c r="FOR99" s="8"/>
      <c r="FOS99" s="8"/>
      <c r="FOT99" s="8"/>
      <c r="FOU99" s="8"/>
      <c r="FOV99" s="8"/>
      <c r="FOW99" s="8"/>
      <c r="FOX99" s="8"/>
      <c r="FOY99" s="8"/>
      <c r="FOZ99" s="8"/>
      <c r="FPA99" s="8"/>
      <c r="FPB99" s="8"/>
      <c r="FPC99" s="8"/>
      <c r="FPD99" s="8"/>
      <c r="FPE99" s="8"/>
      <c r="FPF99" s="8"/>
      <c r="FPG99" s="8"/>
      <c r="FPH99" s="8"/>
      <c r="FPI99" s="8"/>
      <c r="FPJ99" s="8"/>
      <c r="FPK99" s="8"/>
      <c r="FPL99" s="8"/>
      <c r="FPM99" s="8"/>
      <c r="FPN99" s="8"/>
      <c r="FPO99" s="8"/>
      <c r="FPP99" s="8"/>
      <c r="FPQ99" s="8"/>
      <c r="FPR99" s="8"/>
      <c r="FPS99" s="8"/>
      <c r="FPT99" s="8"/>
      <c r="FPU99" s="8"/>
      <c r="FPV99" s="8"/>
      <c r="FPW99" s="8"/>
      <c r="FPX99" s="8"/>
      <c r="FPY99" s="8"/>
      <c r="FPZ99" s="8"/>
      <c r="FQA99" s="8"/>
      <c r="FQB99" s="8"/>
      <c r="FQC99" s="8"/>
      <c r="FQD99" s="8"/>
      <c r="FQE99" s="8"/>
      <c r="FQF99" s="8"/>
      <c r="FQG99" s="8"/>
      <c r="FQH99" s="8"/>
      <c r="FQI99" s="8"/>
      <c r="FQJ99" s="8"/>
      <c r="FQK99" s="8"/>
      <c r="FQL99" s="8"/>
      <c r="FQM99" s="8"/>
      <c r="FQN99" s="8"/>
      <c r="FQO99" s="8"/>
      <c r="FQP99" s="8"/>
      <c r="FQQ99" s="8"/>
      <c r="FQR99" s="8"/>
      <c r="FQS99" s="8"/>
      <c r="FQT99" s="8"/>
      <c r="FQU99" s="8"/>
      <c r="FQV99" s="8"/>
      <c r="FQW99" s="8"/>
      <c r="FQX99" s="8"/>
      <c r="FQY99" s="8"/>
      <c r="FQZ99" s="8"/>
      <c r="FRA99" s="8"/>
      <c r="FRB99" s="8"/>
      <c r="FRC99" s="8"/>
      <c r="FRD99" s="8"/>
      <c r="FRE99" s="8"/>
      <c r="FRF99" s="8"/>
      <c r="FRG99" s="8"/>
      <c r="FRH99" s="8"/>
      <c r="FRI99" s="8"/>
      <c r="FRJ99" s="8"/>
      <c r="FRK99" s="8"/>
      <c r="FRL99" s="8"/>
      <c r="FRM99" s="8"/>
      <c r="FRN99" s="8"/>
      <c r="FRO99" s="8"/>
      <c r="FRP99" s="8"/>
      <c r="FRQ99" s="8"/>
      <c r="FRR99" s="8"/>
      <c r="FRS99" s="8"/>
      <c r="FRT99" s="8"/>
      <c r="FRU99" s="8"/>
      <c r="FRV99" s="8"/>
      <c r="FRW99" s="8"/>
      <c r="FRX99" s="8"/>
      <c r="FRY99" s="8"/>
      <c r="FRZ99" s="8"/>
      <c r="FSA99" s="8"/>
      <c r="FSB99" s="8"/>
      <c r="FSC99" s="8"/>
      <c r="FSD99" s="8"/>
      <c r="FSE99" s="8"/>
      <c r="FSF99" s="8"/>
      <c r="FSG99" s="8"/>
      <c r="FSH99" s="8"/>
      <c r="FSI99" s="8"/>
      <c r="FSJ99" s="8"/>
      <c r="FSK99" s="8"/>
      <c r="FSL99" s="8"/>
      <c r="FSM99" s="8"/>
      <c r="FSN99" s="8"/>
      <c r="FSO99" s="8"/>
      <c r="FSP99" s="8"/>
      <c r="FSQ99" s="8"/>
      <c r="FSR99" s="8"/>
      <c r="FSS99" s="8"/>
      <c r="FST99" s="8"/>
      <c r="FSU99" s="8"/>
      <c r="FSV99" s="8"/>
      <c r="FSW99" s="8"/>
      <c r="FSX99" s="8"/>
      <c r="FSY99" s="8"/>
      <c r="FSZ99" s="8"/>
      <c r="FTA99" s="8"/>
      <c r="FTB99" s="8"/>
      <c r="FTC99" s="8"/>
      <c r="FTD99" s="8"/>
      <c r="FTE99" s="8"/>
      <c r="FTF99" s="8"/>
      <c r="FTG99" s="8"/>
      <c r="FTH99" s="8"/>
      <c r="FTI99" s="8"/>
      <c r="FTJ99" s="8"/>
      <c r="FTK99" s="8"/>
      <c r="FTL99" s="8"/>
      <c r="FTM99" s="8"/>
      <c r="FTN99" s="8"/>
      <c r="FTO99" s="8"/>
      <c r="FTP99" s="8"/>
      <c r="FTQ99" s="8"/>
      <c r="FTR99" s="8"/>
      <c r="FTS99" s="8"/>
      <c r="FTT99" s="8"/>
      <c r="FTU99" s="8"/>
      <c r="FTV99" s="8"/>
      <c r="FTW99" s="8"/>
      <c r="FTX99" s="8"/>
      <c r="FTY99" s="8"/>
      <c r="FTZ99" s="8"/>
      <c r="FUA99" s="8"/>
      <c r="FUB99" s="8"/>
      <c r="FUC99" s="8"/>
      <c r="FUD99" s="8"/>
      <c r="FUE99" s="8"/>
      <c r="FUF99" s="8"/>
      <c r="FUG99" s="8"/>
      <c r="FUH99" s="8"/>
      <c r="FUI99" s="8"/>
      <c r="FUJ99" s="8"/>
      <c r="FUK99" s="8"/>
      <c r="FUL99" s="8"/>
      <c r="FUM99" s="8"/>
      <c r="FUN99" s="8"/>
      <c r="FUO99" s="8"/>
      <c r="FUP99" s="8"/>
      <c r="FUQ99" s="8"/>
      <c r="FUR99" s="8"/>
      <c r="FUS99" s="8"/>
      <c r="FUT99" s="8"/>
      <c r="FUU99" s="8"/>
      <c r="FUV99" s="8"/>
      <c r="FUW99" s="8"/>
      <c r="FUX99" s="8"/>
      <c r="FUY99" s="8"/>
      <c r="FUZ99" s="8"/>
      <c r="FVA99" s="8"/>
      <c r="FVB99" s="8"/>
      <c r="FVC99" s="8"/>
      <c r="FVD99" s="8"/>
      <c r="FVE99" s="8"/>
      <c r="FVF99" s="8"/>
      <c r="FVG99" s="8"/>
      <c r="FVH99" s="8"/>
      <c r="FVI99" s="8"/>
      <c r="FVJ99" s="8"/>
      <c r="FVK99" s="8"/>
      <c r="FVL99" s="8"/>
      <c r="FVM99" s="8"/>
      <c r="FVN99" s="8"/>
      <c r="FVO99" s="8"/>
      <c r="FVP99" s="8"/>
      <c r="FVQ99" s="8"/>
      <c r="FVR99" s="8"/>
      <c r="FVS99" s="8"/>
      <c r="FVT99" s="8"/>
      <c r="FVU99" s="8"/>
      <c r="FVV99" s="8"/>
      <c r="FVW99" s="8"/>
      <c r="FVX99" s="8"/>
      <c r="FVY99" s="8"/>
      <c r="FVZ99" s="8"/>
      <c r="FWA99" s="8"/>
      <c r="FWB99" s="8"/>
      <c r="FWC99" s="8"/>
      <c r="FWD99" s="8"/>
      <c r="FWE99" s="8"/>
      <c r="FWF99" s="8"/>
      <c r="FWG99" s="8"/>
      <c r="FWH99" s="8"/>
      <c r="FWI99" s="8"/>
      <c r="FWJ99" s="8"/>
      <c r="FWK99" s="8"/>
      <c r="FWL99" s="8"/>
      <c r="FWM99" s="8"/>
      <c r="FWN99" s="8"/>
      <c r="FWO99" s="8"/>
      <c r="FWP99" s="8"/>
      <c r="FWQ99" s="8"/>
      <c r="FWR99" s="8"/>
      <c r="FWS99" s="8"/>
      <c r="FWT99" s="8"/>
      <c r="FWU99" s="8"/>
      <c r="FWV99" s="8"/>
      <c r="FWW99" s="8"/>
      <c r="FWX99" s="8"/>
      <c r="FWY99" s="8"/>
      <c r="FWZ99" s="8"/>
      <c r="FXA99" s="8"/>
      <c r="FXB99" s="8"/>
      <c r="FXC99" s="8"/>
      <c r="FXD99" s="8"/>
      <c r="FXE99" s="8"/>
      <c r="FXF99" s="8"/>
      <c r="FXG99" s="8"/>
      <c r="FXH99" s="8"/>
      <c r="FXI99" s="8"/>
      <c r="FXJ99" s="8"/>
      <c r="FXK99" s="8"/>
      <c r="FXL99" s="8"/>
      <c r="FXM99" s="8"/>
      <c r="FXN99" s="8"/>
      <c r="FXO99" s="8"/>
      <c r="FXP99" s="8"/>
      <c r="FXQ99" s="8"/>
      <c r="FXR99" s="8"/>
      <c r="FXS99" s="8"/>
      <c r="FXT99" s="8"/>
      <c r="FXU99" s="8"/>
      <c r="FXV99" s="8"/>
      <c r="FXW99" s="8"/>
      <c r="FXX99" s="8"/>
      <c r="FXY99" s="8"/>
      <c r="FXZ99" s="8"/>
      <c r="FYA99" s="8"/>
      <c r="FYB99" s="8"/>
      <c r="FYC99" s="8"/>
      <c r="FYD99" s="8"/>
      <c r="FYE99" s="8"/>
      <c r="FYF99" s="8"/>
      <c r="FYG99" s="8"/>
      <c r="FYH99" s="8"/>
      <c r="FYI99" s="8"/>
      <c r="FYJ99" s="8"/>
      <c r="FYK99" s="8"/>
      <c r="FYL99" s="8"/>
      <c r="FYM99" s="8"/>
      <c r="FYN99" s="8"/>
      <c r="FYO99" s="8"/>
      <c r="FYP99" s="8"/>
      <c r="FYQ99" s="8"/>
      <c r="FYR99" s="8"/>
      <c r="FYS99" s="8"/>
      <c r="FYT99" s="8"/>
      <c r="FYU99" s="8"/>
      <c r="FYV99" s="8"/>
      <c r="FYW99" s="8"/>
      <c r="FYX99" s="8"/>
      <c r="FYY99" s="8"/>
      <c r="FYZ99" s="8"/>
      <c r="FZA99" s="8"/>
      <c r="FZB99" s="8"/>
      <c r="FZC99" s="8"/>
      <c r="FZD99" s="8"/>
      <c r="FZE99" s="8"/>
      <c r="FZF99" s="8"/>
      <c r="FZG99" s="8"/>
      <c r="FZH99" s="8"/>
      <c r="FZI99" s="8"/>
      <c r="FZJ99" s="8"/>
      <c r="FZK99" s="8"/>
      <c r="FZL99" s="8"/>
      <c r="FZM99" s="8"/>
      <c r="FZN99" s="8"/>
      <c r="FZO99" s="8"/>
      <c r="FZP99" s="8"/>
      <c r="FZQ99" s="8"/>
      <c r="FZR99" s="8"/>
      <c r="FZS99" s="8"/>
      <c r="FZT99" s="8"/>
      <c r="FZU99" s="8"/>
      <c r="FZV99" s="8"/>
      <c r="FZW99" s="8"/>
      <c r="FZX99" s="8"/>
      <c r="FZY99" s="8"/>
      <c r="FZZ99" s="8"/>
      <c r="GAA99" s="8"/>
      <c r="GAB99" s="8"/>
      <c r="GAC99" s="8"/>
      <c r="GAD99" s="8"/>
      <c r="GAE99" s="8"/>
      <c r="GAF99" s="8"/>
      <c r="GAG99" s="8"/>
      <c r="GAH99" s="8"/>
      <c r="GAI99" s="8"/>
      <c r="GAJ99" s="8"/>
      <c r="GAK99" s="8"/>
      <c r="GAL99" s="8"/>
      <c r="GAM99" s="8"/>
      <c r="GAN99" s="8"/>
      <c r="GAO99" s="8"/>
      <c r="GAP99" s="8"/>
      <c r="GAQ99" s="8"/>
      <c r="GAR99" s="8"/>
      <c r="GAS99" s="8"/>
      <c r="GAT99" s="8"/>
      <c r="GAU99" s="8"/>
      <c r="GAV99" s="8"/>
      <c r="GAW99" s="8"/>
      <c r="GAX99" s="8"/>
      <c r="GAY99" s="8"/>
      <c r="GAZ99" s="8"/>
      <c r="GBA99" s="8"/>
      <c r="GBB99" s="8"/>
      <c r="GBC99" s="8"/>
      <c r="GBD99" s="8"/>
      <c r="GBE99" s="8"/>
      <c r="GBF99" s="8"/>
      <c r="GBG99" s="8"/>
      <c r="GBH99" s="8"/>
      <c r="GBI99" s="8"/>
      <c r="GBJ99" s="8"/>
      <c r="GBK99" s="8"/>
      <c r="GBL99" s="8"/>
      <c r="GBM99" s="8"/>
      <c r="GBN99" s="8"/>
      <c r="GBO99" s="8"/>
      <c r="GBP99" s="8"/>
      <c r="GBQ99" s="8"/>
      <c r="GBR99" s="8"/>
      <c r="GBS99" s="8"/>
      <c r="GBT99" s="8"/>
      <c r="GBU99" s="8"/>
      <c r="GBV99" s="8"/>
      <c r="GBW99" s="8"/>
      <c r="GBX99" s="8"/>
      <c r="GBY99" s="8"/>
      <c r="GBZ99" s="8"/>
      <c r="GCA99" s="8"/>
      <c r="GCB99" s="8"/>
      <c r="GCC99" s="8"/>
      <c r="GCD99" s="8"/>
      <c r="GCE99" s="8"/>
      <c r="GCF99" s="8"/>
      <c r="GCG99" s="8"/>
      <c r="GCH99" s="8"/>
      <c r="GCI99" s="8"/>
      <c r="GCJ99" s="8"/>
      <c r="GCK99" s="8"/>
      <c r="GCL99" s="8"/>
      <c r="GCM99" s="8"/>
      <c r="GCN99" s="8"/>
      <c r="GCO99" s="8"/>
      <c r="GCP99" s="8"/>
      <c r="GCQ99" s="8"/>
      <c r="GCR99" s="8"/>
      <c r="GCS99" s="8"/>
      <c r="GCT99" s="8"/>
      <c r="GCU99" s="8"/>
      <c r="GCV99" s="8"/>
      <c r="GCW99" s="8"/>
      <c r="GCX99" s="8"/>
      <c r="GCY99" s="8"/>
      <c r="GCZ99" s="8"/>
      <c r="GDA99" s="8"/>
      <c r="GDB99" s="8"/>
      <c r="GDC99" s="8"/>
      <c r="GDD99" s="8"/>
      <c r="GDE99" s="8"/>
      <c r="GDF99" s="8"/>
      <c r="GDG99" s="8"/>
      <c r="GDH99" s="8"/>
      <c r="GDI99" s="8"/>
      <c r="GDJ99" s="8"/>
      <c r="GDK99" s="8"/>
      <c r="GDL99" s="8"/>
      <c r="GDM99" s="8"/>
      <c r="GDN99" s="8"/>
      <c r="GDO99" s="8"/>
      <c r="GDP99" s="8"/>
      <c r="GDQ99" s="8"/>
      <c r="GDR99" s="8"/>
      <c r="GDS99" s="8"/>
      <c r="GDT99" s="8"/>
      <c r="GDU99" s="8"/>
      <c r="GDV99" s="8"/>
      <c r="GDW99" s="8"/>
      <c r="GDX99" s="8"/>
      <c r="GDY99" s="8"/>
      <c r="GDZ99" s="8"/>
      <c r="GEA99" s="8"/>
      <c r="GEB99" s="8"/>
      <c r="GEC99" s="8"/>
      <c r="GED99" s="8"/>
      <c r="GEE99" s="8"/>
      <c r="GEF99" s="8"/>
      <c r="GEG99" s="8"/>
      <c r="GEH99" s="8"/>
      <c r="GEI99" s="8"/>
      <c r="GEJ99" s="8"/>
      <c r="GEK99" s="8"/>
      <c r="GEL99" s="8"/>
      <c r="GEM99" s="8"/>
      <c r="GEN99" s="8"/>
      <c r="GEO99" s="8"/>
      <c r="GEP99" s="8"/>
      <c r="GEQ99" s="8"/>
      <c r="GER99" s="8"/>
      <c r="GES99" s="8"/>
      <c r="GET99" s="8"/>
      <c r="GEU99" s="8"/>
      <c r="GEV99" s="8"/>
      <c r="GEW99" s="8"/>
      <c r="GEX99" s="8"/>
      <c r="GEY99" s="8"/>
      <c r="GEZ99" s="8"/>
      <c r="GFA99" s="8"/>
      <c r="GFB99" s="8"/>
      <c r="GFC99" s="8"/>
      <c r="GFD99" s="8"/>
      <c r="GFE99" s="8"/>
      <c r="GFF99" s="8"/>
      <c r="GFG99" s="8"/>
      <c r="GFH99" s="8"/>
      <c r="GFI99" s="8"/>
      <c r="GFJ99" s="8"/>
      <c r="GFK99" s="8"/>
      <c r="GFL99" s="8"/>
      <c r="GFM99" s="8"/>
      <c r="GFN99" s="8"/>
      <c r="GFO99" s="8"/>
      <c r="GFP99" s="8"/>
      <c r="GFQ99" s="8"/>
      <c r="GFR99" s="8"/>
      <c r="GFS99" s="8"/>
      <c r="GFT99" s="8"/>
      <c r="GFU99" s="8"/>
      <c r="GFV99" s="8"/>
      <c r="GFW99" s="8"/>
      <c r="GFX99" s="8"/>
      <c r="GFY99" s="8"/>
      <c r="GFZ99" s="8"/>
      <c r="GGA99" s="8"/>
      <c r="GGB99" s="8"/>
      <c r="GGC99" s="8"/>
      <c r="GGD99" s="8"/>
      <c r="GGE99" s="8"/>
      <c r="GGF99" s="8"/>
      <c r="GGG99" s="8"/>
      <c r="GGH99" s="8"/>
      <c r="GGI99" s="8"/>
      <c r="GGJ99" s="8"/>
      <c r="GGK99" s="8"/>
      <c r="GGL99" s="8"/>
      <c r="GGM99" s="8"/>
      <c r="GGN99" s="8"/>
      <c r="GGO99" s="8"/>
      <c r="GGP99" s="8"/>
      <c r="GGQ99" s="8"/>
      <c r="GGR99" s="8"/>
      <c r="GGS99" s="8"/>
      <c r="GGT99" s="8"/>
      <c r="GGU99" s="8"/>
      <c r="GGV99" s="8"/>
      <c r="GGW99" s="8"/>
      <c r="GGX99" s="8"/>
      <c r="GGY99" s="8"/>
      <c r="GGZ99" s="8"/>
      <c r="GHA99" s="8"/>
      <c r="GHB99" s="8"/>
      <c r="GHC99" s="8"/>
      <c r="GHD99" s="8"/>
      <c r="GHE99" s="8"/>
      <c r="GHF99" s="8"/>
      <c r="GHG99" s="8"/>
      <c r="GHH99" s="8"/>
      <c r="GHI99" s="8"/>
      <c r="GHJ99" s="8"/>
      <c r="GHK99" s="8"/>
      <c r="GHL99" s="8"/>
      <c r="GHM99" s="8"/>
      <c r="GHN99" s="8"/>
      <c r="GHO99" s="8"/>
      <c r="GHP99" s="8"/>
      <c r="GHQ99" s="8"/>
      <c r="GHR99" s="8"/>
      <c r="GHS99" s="8"/>
      <c r="GHT99" s="8"/>
      <c r="GHU99" s="8"/>
      <c r="GHV99" s="8"/>
      <c r="GHW99" s="8"/>
      <c r="GHX99" s="8"/>
      <c r="GHY99" s="8"/>
      <c r="GHZ99" s="8"/>
      <c r="GIA99" s="8"/>
      <c r="GIB99" s="8"/>
      <c r="GIC99" s="8"/>
      <c r="GID99" s="8"/>
      <c r="GIE99" s="8"/>
      <c r="GIF99" s="8"/>
      <c r="GIG99" s="8"/>
      <c r="GIH99" s="8"/>
      <c r="GII99" s="8"/>
      <c r="GIJ99" s="8"/>
      <c r="GIK99" s="8"/>
      <c r="GIL99" s="8"/>
      <c r="GIM99" s="8"/>
      <c r="GIN99" s="8"/>
      <c r="GIO99" s="8"/>
      <c r="GIP99" s="8"/>
      <c r="GIQ99" s="8"/>
      <c r="GIR99" s="8"/>
      <c r="GIS99" s="8"/>
      <c r="GIT99" s="8"/>
      <c r="GIU99" s="8"/>
      <c r="GIV99" s="8"/>
      <c r="GIW99" s="8"/>
      <c r="GIX99" s="8"/>
      <c r="GIY99" s="8"/>
      <c r="GIZ99" s="8"/>
      <c r="GJA99" s="8"/>
      <c r="GJB99" s="8"/>
      <c r="GJC99" s="8"/>
      <c r="GJD99" s="8"/>
      <c r="GJE99" s="8"/>
      <c r="GJF99" s="8"/>
      <c r="GJG99" s="8"/>
      <c r="GJH99" s="8"/>
      <c r="GJI99" s="8"/>
      <c r="GJJ99" s="8"/>
      <c r="GJK99" s="8"/>
      <c r="GJL99" s="8"/>
      <c r="GJM99" s="8"/>
      <c r="GJN99" s="8"/>
      <c r="GJO99" s="8"/>
      <c r="GJP99" s="8"/>
      <c r="GJQ99" s="8"/>
      <c r="GJR99" s="8"/>
      <c r="GJS99" s="8"/>
      <c r="GJT99" s="8"/>
      <c r="GJU99" s="8"/>
      <c r="GJV99" s="8"/>
      <c r="GJW99" s="8"/>
      <c r="GJX99" s="8"/>
      <c r="GJY99" s="8"/>
      <c r="GJZ99" s="8"/>
      <c r="GKA99" s="8"/>
      <c r="GKB99" s="8"/>
      <c r="GKC99" s="8"/>
      <c r="GKD99" s="8"/>
      <c r="GKE99" s="8"/>
      <c r="GKF99" s="8"/>
      <c r="GKG99" s="8"/>
      <c r="GKH99" s="8"/>
      <c r="GKI99" s="8"/>
      <c r="GKJ99" s="8"/>
      <c r="GKK99" s="8"/>
      <c r="GKL99" s="8"/>
      <c r="GKM99" s="8"/>
      <c r="GKN99" s="8"/>
      <c r="GKO99" s="8"/>
      <c r="GKP99" s="8"/>
      <c r="GKQ99" s="8"/>
      <c r="GKR99" s="8"/>
      <c r="GKS99" s="8"/>
      <c r="GKT99" s="8"/>
      <c r="GKU99" s="8"/>
      <c r="GKV99" s="8"/>
      <c r="GKW99" s="8"/>
      <c r="GKX99" s="8"/>
      <c r="GKY99" s="8"/>
      <c r="GKZ99" s="8"/>
      <c r="GLA99" s="8"/>
      <c r="GLB99" s="8"/>
      <c r="GLC99" s="8"/>
      <c r="GLD99" s="8"/>
      <c r="GLE99" s="8"/>
      <c r="GLF99" s="8"/>
      <c r="GLG99" s="8"/>
      <c r="GLH99" s="8"/>
      <c r="GLI99" s="8"/>
      <c r="GLJ99" s="8"/>
      <c r="GLK99" s="8"/>
      <c r="GLL99" s="8"/>
      <c r="GLM99" s="8"/>
      <c r="GLN99" s="8"/>
      <c r="GLO99" s="8"/>
      <c r="GLP99" s="8"/>
      <c r="GLQ99" s="8"/>
      <c r="GLR99" s="8"/>
      <c r="GLS99" s="8"/>
      <c r="GLT99" s="8"/>
      <c r="GLU99" s="8"/>
      <c r="GLV99" s="8"/>
      <c r="GLW99" s="8"/>
      <c r="GLX99" s="8"/>
      <c r="GLY99" s="8"/>
      <c r="GLZ99" s="8"/>
      <c r="GMA99" s="8"/>
      <c r="GMB99" s="8"/>
      <c r="GMC99" s="8"/>
      <c r="GMD99" s="8"/>
      <c r="GME99" s="8"/>
      <c r="GMF99" s="8"/>
      <c r="GMG99" s="8"/>
      <c r="GMH99" s="8"/>
      <c r="GMI99" s="8"/>
      <c r="GMJ99" s="8"/>
      <c r="GMK99" s="8"/>
      <c r="GML99" s="8"/>
      <c r="GMM99" s="8"/>
      <c r="GMN99" s="8"/>
      <c r="GMO99" s="8"/>
      <c r="GMP99" s="8"/>
      <c r="GMQ99" s="8"/>
      <c r="GMR99" s="8"/>
      <c r="GMS99" s="8"/>
      <c r="GMT99" s="8"/>
      <c r="GMU99" s="8"/>
      <c r="GMV99" s="8"/>
      <c r="GMW99" s="8"/>
      <c r="GMX99" s="8"/>
      <c r="GMY99" s="8"/>
      <c r="GMZ99" s="8"/>
      <c r="GNA99" s="8"/>
      <c r="GNB99" s="8"/>
      <c r="GNC99" s="8"/>
      <c r="GND99" s="8"/>
      <c r="GNE99" s="8"/>
      <c r="GNF99" s="8"/>
      <c r="GNG99" s="8"/>
      <c r="GNH99" s="8"/>
      <c r="GNI99" s="8"/>
      <c r="GNJ99" s="8"/>
      <c r="GNK99" s="8"/>
      <c r="GNL99" s="8"/>
      <c r="GNM99" s="8"/>
      <c r="GNN99" s="8"/>
      <c r="GNO99" s="8"/>
      <c r="GNP99" s="8"/>
      <c r="GNQ99" s="8"/>
      <c r="GNR99" s="8"/>
      <c r="GNS99" s="8"/>
      <c r="GNT99" s="8"/>
      <c r="GNU99" s="8"/>
      <c r="GNV99" s="8"/>
      <c r="GNW99" s="8"/>
      <c r="GNX99" s="8"/>
      <c r="GNY99" s="8"/>
      <c r="GNZ99" s="8"/>
      <c r="GOA99" s="8"/>
      <c r="GOB99" s="8"/>
      <c r="GOC99" s="8"/>
      <c r="GOD99" s="8"/>
      <c r="GOE99" s="8"/>
      <c r="GOF99" s="8"/>
      <c r="GOG99" s="8"/>
      <c r="GOH99" s="8"/>
      <c r="GOI99" s="8"/>
      <c r="GOJ99" s="8"/>
      <c r="GOK99" s="8"/>
      <c r="GOL99" s="8"/>
      <c r="GOM99" s="8"/>
      <c r="GON99" s="8"/>
      <c r="GOO99" s="8"/>
      <c r="GOP99" s="8"/>
      <c r="GOQ99" s="8"/>
      <c r="GOR99" s="8"/>
      <c r="GOS99" s="8"/>
      <c r="GOT99" s="8"/>
      <c r="GOU99" s="8"/>
      <c r="GOV99" s="8"/>
      <c r="GOW99" s="8"/>
      <c r="GOX99" s="8"/>
      <c r="GOY99" s="8"/>
      <c r="GOZ99" s="8"/>
      <c r="GPA99" s="8"/>
      <c r="GPB99" s="8"/>
      <c r="GPC99" s="8"/>
      <c r="GPD99" s="8"/>
      <c r="GPE99" s="8"/>
      <c r="GPF99" s="8"/>
      <c r="GPG99" s="8"/>
      <c r="GPH99" s="8"/>
      <c r="GPI99" s="8"/>
      <c r="GPJ99" s="8"/>
      <c r="GPK99" s="8"/>
      <c r="GPL99" s="8"/>
      <c r="GPM99" s="8"/>
      <c r="GPN99" s="8"/>
      <c r="GPO99" s="8"/>
      <c r="GPP99" s="8"/>
      <c r="GPQ99" s="8"/>
      <c r="GPR99" s="8"/>
      <c r="GPS99" s="8"/>
      <c r="GPT99" s="8"/>
      <c r="GPU99" s="8"/>
      <c r="GPV99" s="8"/>
      <c r="GPW99" s="8"/>
      <c r="GPX99" s="8"/>
      <c r="GPY99" s="8"/>
      <c r="GPZ99" s="8"/>
      <c r="GQA99" s="8"/>
      <c r="GQB99" s="8"/>
      <c r="GQC99" s="8"/>
      <c r="GQD99" s="8"/>
      <c r="GQE99" s="8"/>
      <c r="GQF99" s="8"/>
      <c r="GQG99" s="8"/>
      <c r="GQH99" s="8"/>
      <c r="GQI99" s="8"/>
      <c r="GQJ99" s="8"/>
      <c r="GQK99" s="8"/>
      <c r="GQL99" s="8"/>
      <c r="GQM99" s="8"/>
      <c r="GQN99" s="8"/>
      <c r="GQO99" s="8"/>
      <c r="GQP99" s="8"/>
      <c r="GQQ99" s="8"/>
      <c r="GQR99" s="8"/>
      <c r="GQS99" s="8"/>
      <c r="GQT99" s="8"/>
      <c r="GQU99" s="8"/>
      <c r="GQV99" s="8"/>
      <c r="GQW99" s="8"/>
      <c r="GQX99" s="8"/>
      <c r="GQY99" s="8"/>
      <c r="GQZ99" s="8"/>
      <c r="GRA99" s="8"/>
      <c r="GRB99" s="8"/>
      <c r="GRC99" s="8"/>
      <c r="GRD99" s="8"/>
      <c r="GRE99" s="8"/>
      <c r="GRF99" s="8"/>
      <c r="GRG99" s="8"/>
      <c r="GRH99" s="8"/>
      <c r="GRI99" s="8"/>
      <c r="GRJ99" s="8"/>
      <c r="GRK99" s="8"/>
      <c r="GRL99" s="8"/>
      <c r="GRM99" s="8"/>
      <c r="GRN99" s="8"/>
      <c r="GRO99" s="8"/>
      <c r="GRP99" s="8"/>
      <c r="GRQ99" s="8"/>
      <c r="GRR99" s="8"/>
      <c r="GRS99" s="8"/>
      <c r="GRT99" s="8"/>
      <c r="GRU99" s="8"/>
      <c r="GRV99" s="8"/>
      <c r="GRW99" s="8"/>
      <c r="GRX99" s="8"/>
      <c r="GRY99" s="8"/>
      <c r="GRZ99" s="8"/>
      <c r="GSA99" s="8"/>
      <c r="GSB99" s="8"/>
      <c r="GSC99" s="8"/>
      <c r="GSD99" s="8"/>
      <c r="GSE99" s="8"/>
      <c r="GSF99" s="8"/>
      <c r="GSG99" s="8"/>
      <c r="GSH99" s="8"/>
      <c r="GSI99" s="8"/>
      <c r="GSJ99" s="8"/>
      <c r="GSK99" s="8"/>
      <c r="GSL99" s="8"/>
      <c r="GSM99" s="8"/>
      <c r="GSN99" s="8"/>
      <c r="GSO99" s="8"/>
      <c r="GSP99" s="8"/>
      <c r="GSQ99" s="8"/>
      <c r="GSR99" s="8"/>
      <c r="GSS99" s="8"/>
      <c r="GST99" s="8"/>
      <c r="GSU99" s="8"/>
      <c r="GSV99" s="8"/>
      <c r="GSW99" s="8"/>
      <c r="GSX99" s="8"/>
      <c r="GSY99" s="8"/>
      <c r="GSZ99" s="8"/>
      <c r="GTA99" s="8"/>
      <c r="GTB99" s="8"/>
      <c r="GTC99" s="8"/>
      <c r="GTD99" s="8"/>
      <c r="GTE99" s="8"/>
      <c r="GTF99" s="8"/>
      <c r="GTG99" s="8"/>
      <c r="GTH99" s="8"/>
      <c r="GTI99" s="8"/>
      <c r="GTJ99" s="8"/>
      <c r="GTK99" s="8"/>
      <c r="GTL99" s="8"/>
      <c r="GTM99" s="8"/>
      <c r="GTN99" s="8"/>
      <c r="GTO99" s="8"/>
      <c r="GTP99" s="8"/>
      <c r="GTQ99" s="8"/>
      <c r="GTR99" s="8"/>
      <c r="GTS99" s="8"/>
      <c r="GTT99" s="8"/>
      <c r="GTU99" s="8"/>
      <c r="GTV99" s="8"/>
      <c r="GTW99" s="8"/>
      <c r="GTX99" s="8"/>
      <c r="GTY99" s="8"/>
      <c r="GTZ99" s="8"/>
      <c r="GUA99" s="8"/>
      <c r="GUB99" s="8"/>
      <c r="GUC99" s="8"/>
      <c r="GUD99" s="8"/>
      <c r="GUE99" s="8"/>
      <c r="GUF99" s="8"/>
      <c r="GUG99" s="8"/>
      <c r="GUH99" s="8"/>
      <c r="GUI99" s="8"/>
      <c r="GUJ99" s="8"/>
      <c r="GUK99" s="8"/>
      <c r="GUL99" s="8"/>
      <c r="GUM99" s="8"/>
      <c r="GUN99" s="8"/>
      <c r="GUO99" s="8"/>
      <c r="GUP99" s="8"/>
      <c r="GUQ99" s="8"/>
      <c r="GUR99" s="8"/>
      <c r="GUS99" s="8"/>
      <c r="GUT99" s="8"/>
      <c r="GUU99" s="8"/>
      <c r="GUV99" s="8"/>
      <c r="GUW99" s="8"/>
      <c r="GUX99" s="8"/>
      <c r="GUY99" s="8"/>
      <c r="GUZ99" s="8"/>
      <c r="GVA99" s="8"/>
      <c r="GVB99" s="8"/>
      <c r="GVC99" s="8"/>
      <c r="GVD99" s="8"/>
      <c r="GVE99" s="8"/>
      <c r="GVF99" s="8"/>
      <c r="GVG99" s="8"/>
      <c r="GVH99" s="8"/>
      <c r="GVI99" s="8"/>
      <c r="GVJ99" s="8"/>
      <c r="GVK99" s="8"/>
      <c r="GVL99" s="8"/>
      <c r="GVM99" s="8"/>
      <c r="GVN99" s="8"/>
      <c r="GVO99" s="8"/>
      <c r="GVP99" s="8"/>
      <c r="GVQ99" s="8"/>
      <c r="GVR99" s="8"/>
      <c r="GVS99" s="8"/>
      <c r="GVT99" s="8"/>
      <c r="GVU99" s="8"/>
      <c r="GVV99" s="8"/>
      <c r="GVW99" s="8"/>
      <c r="GVX99" s="8"/>
      <c r="GVY99" s="8"/>
      <c r="GVZ99" s="8"/>
      <c r="GWA99" s="8"/>
      <c r="GWB99" s="8"/>
      <c r="GWC99" s="8"/>
      <c r="GWD99" s="8"/>
      <c r="GWE99" s="8"/>
      <c r="GWF99" s="8"/>
      <c r="GWG99" s="8"/>
      <c r="GWH99" s="8"/>
      <c r="GWI99" s="8"/>
      <c r="GWJ99" s="8"/>
      <c r="GWK99" s="8"/>
      <c r="GWL99" s="8"/>
      <c r="GWM99" s="8"/>
      <c r="GWN99" s="8"/>
      <c r="GWO99" s="8"/>
      <c r="GWP99" s="8"/>
      <c r="GWQ99" s="8"/>
      <c r="GWR99" s="8"/>
      <c r="GWS99" s="8"/>
      <c r="GWT99" s="8"/>
      <c r="GWU99" s="8"/>
      <c r="GWV99" s="8"/>
      <c r="GWW99" s="8"/>
      <c r="GWX99" s="8"/>
      <c r="GWY99" s="8"/>
      <c r="GWZ99" s="8"/>
      <c r="GXA99" s="8"/>
      <c r="GXB99" s="8"/>
      <c r="GXC99" s="8"/>
      <c r="GXD99" s="8"/>
      <c r="GXE99" s="8"/>
      <c r="GXF99" s="8"/>
      <c r="GXG99" s="8"/>
      <c r="GXH99" s="8"/>
      <c r="GXI99" s="8"/>
      <c r="GXJ99" s="8"/>
      <c r="GXK99" s="8"/>
      <c r="GXL99" s="8"/>
      <c r="GXM99" s="8"/>
      <c r="GXN99" s="8"/>
      <c r="GXO99" s="8"/>
      <c r="GXP99" s="8"/>
      <c r="GXQ99" s="8"/>
      <c r="GXR99" s="8"/>
      <c r="GXS99" s="8"/>
      <c r="GXT99" s="8"/>
      <c r="GXU99" s="8"/>
      <c r="GXV99" s="8"/>
      <c r="GXW99" s="8"/>
      <c r="GXX99" s="8"/>
      <c r="GXY99" s="8"/>
      <c r="GXZ99" s="8"/>
      <c r="GYA99" s="8"/>
      <c r="GYB99" s="8"/>
      <c r="GYC99" s="8"/>
      <c r="GYD99" s="8"/>
      <c r="GYE99" s="8"/>
      <c r="GYF99" s="8"/>
      <c r="GYG99" s="8"/>
      <c r="GYH99" s="8"/>
      <c r="GYI99" s="8"/>
      <c r="GYJ99" s="8"/>
      <c r="GYK99" s="8"/>
      <c r="GYL99" s="8"/>
      <c r="GYM99" s="8"/>
      <c r="GYN99" s="8"/>
      <c r="GYO99" s="8"/>
      <c r="GYP99" s="8"/>
      <c r="GYQ99" s="8"/>
      <c r="GYR99" s="8"/>
      <c r="GYS99" s="8"/>
      <c r="GYT99" s="8"/>
      <c r="GYU99" s="8"/>
      <c r="GYV99" s="8"/>
      <c r="GYW99" s="8"/>
      <c r="GYX99" s="8"/>
      <c r="GYY99" s="8"/>
      <c r="GYZ99" s="8"/>
      <c r="GZA99" s="8"/>
      <c r="GZB99" s="8"/>
      <c r="GZC99" s="8"/>
      <c r="GZD99" s="8"/>
      <c r="GZE99" s="8"/>
      <c r="GZF99" s="8"/>
      <c r="GZG99" s="8"/>
      <c r="GZH99" s="8"/>
      <c r="GZI99" s="8"/>
      <c r="GZJ99" s="8"/>
      <c r="GZK99" s="8"/>
      <c r="GZL99" s="8"/>
      <c r="GZM99" s="8"/>
      <c r="GZN99" s="8"/>
      <c r="GZO99" s="8"/>
      <c r="GZP99" s="8"/>
      <c r="GZQ99" s="8"/>
      <c r="GZR99" s="8"/>
      <c r="GZS99" s="8"/>
      <c r="GZT99" s="8"/>
      <c r="GZU99" s="8"/>
      <c r="GZV99" s="8"/>
      <c r="GZW99" s="8"/>
      <c r="GZX99" s="8"/>
      <c r="GZY99" s="8"/>
      <c r="GZZ99" s="8"/>
      <c r="HAA99" s="8"/>
      <c r="HAB99" s="8"/>
      <c r="HAC99" s="8"/>
      <c r="HAD99" s="8"/>
      <c r="HAE99" s="8"/>
      <c r="HAF99" s="8"/>
      <c r="HAG99" s="8"/>
      <c r="HAH99" s="8"/>
      <c r="HAI99" s="8"/>
      <c r="HAJ99" s="8"/>
      <c r="HAK99" s="8"/>
      <c r="HAL99" s="8"/>
      <c r="HAM99" s="8"/>
      <c r="HAN99" s="8"/>
      <c r="HAO99" s="8"/>
      <c r="HAP99" s="8"/>
      <c r="HAQ99" s="8"/>
      <c r="HAR99" s="8"/>
      <c r="HAS99" s="8"/>
      <c r="HAT99" s="8"/>
      <c r="HAU99" s="8"/>
      <c r="HAV99" s="8"/>
      <c r="HAW99" s="8"/>
      <c r="HAX99" s="8"/>
      <c r="HAY99" s="8"/>
      <c r="HAZ99" s="8"/>
      <c r="HBA99" s="8"/>
      <c r="HBB99" s="8"/>
      <c r="HBC99" s="8"/>
      <c r="HBD99" s="8"/>
      <c r="HBE99" s="8"/>
      <c r="HBF99" s="8"/>
      <c r="HBG99" s="8"/>
      <c r="HBH99" s="8"/>
      <c r="HBI99" s="8"/>
      <c r="HBJ99" s="8"/>
      <c r="HBK99" s="8"/>
      <c r="HBL99" s="8"/>
      <c r="HBM99" s="8"/>
      <c r="HBN99" s="8"/>
      <c r="HBO99" s="8"/>
      <c r="HBP99" s="8"/>
      <c r="HBQ99" s="8"/>
      <c r="HBR99" s="8"/>
      <c r="HBS99" s="8"/>
      <c r="HBT99" s="8"/>
      <c r="HBU99" s="8"/>
      <c r="HBV99" s="8"/>
      <c r="HBW99" s="8"/>
      <c r="HBX99" s="8"/>
      <c r="HBY99" s="8"/>
      <c r="HBZ99" s="8"/>
      <c r="HCA99" s="8"/>
      <c r="HCB99" s="8"/>
      <c r="HCC99" s="8"/>
      <c r="HCD99" s="8"/>
      <c r="HCE99" s="8"/>
      <c r="HCF99" s="8"/>
      <c r="HCG99" s="8"/>
      <c r="HCH99" s="8"/>
      <c r="HCI99" s="8"/>
      <c r="HCJ99" s="8"/>
      <c r="HCK99" s="8"/>
      <c r="HCL99" s="8"/>
      <c r="HCM99" s="8"/>
      <c r="HCN99" s="8"/>
      <c r="HCO99" s="8"/>
      <c r="HCP99" s="8"/>
      <c r="HCQ99" s="8"/>
      <c r="HCR99" s="8"/>
      <c r="HCS99" s="8"/>
      <c r="HCT99" s="8"/>
      <c r="HCU99" s="8"/>
      <c r="HCV99" s="8"/>
      <c r="HCW99" s="8"/>
      <c r="HCX99" s="8"/>
      <c r="HCY99" s="8"/>
      <c r="HCZ99" s="8"/>
      <c r="HDA99" s="8"/>
      <c r="HDB99" s="8"/>
      <c r="HDC99" s="8"/>
      <c r="HDD99" s="8"/>
      <c r="HDE99" s="8"/>
      <c r="HDF99" s="8"/>
      <c r="HDG99" s="8"/>
      <c r="HDH99" s="8"/>
      <c r="HDI99" s="8"/>
      <c r="HDJ99" s="8"/>
      <c r="HDK99" s="8"/>
      <c r="HDL99" s="8"/>
      <c r="HDM99" s="8"/>
      <c r="HDN99" s="8"/>
      <c r="HDO99" s="8"/>
      <c r="HDP99" s="8"/>
      <c r="HDQ99" s="8"/>
      <c r="HDR99" s="8"/>
      <c r="HDS99" s="8"/>
      <c r="HDT99" s="8"/>
      <c r="HDU99" s="8"/>
      <c r="HDV99" s="8"/>
      <c r="HDW99" s="8"/>
      <c r="HDX99" s="8"/>
      <c r="HDY99" s="8"/>
      <c r="HDZ99" s="8"/>
      <c r="HEA99" s="8"/>
      <c r="HEB99" s="8"/>
      <c r="HEC99" s="8"/>
      <c r="HED99" s="8"/>
      <c r="HEE99" s="8"/>
      <c r="HEF99" s="8"/>
      <c r="HEG99" s="8"/>
      <c r="HEH99" s="8"/>
      <c r="HEI99" s="8"/>
      <c r="HEJ99" s="8"/>
      <c r="HEK99" s="8"/>
      <c r="HEL99" s="8"/>
      <c r="HEM99" s="8"/>
      <c r="HEN99" s="8"/>
      <c r="HEO99" s="8"/>
      <c r="HEP99" s="8"/>
      <c r="HEQ99" s="8"/>
      <c r="HER99" s="8"/>
      <c r="HES99" s="8"/>
      <c r="HET99" s="8"/>
      <c r="HEU99" s="8"/>
      <c r="HEV99" s="8"/>
      <c r="HEW99" s="8"/>
      <c r="HEX99" s="8"/>
      <c r="HEY99" s="8"/>
      <c r="HEZ99" s="8"/>
      <c r="HFA99" s="8"/>
      <c r="HFB99" s="8"/>
      <c r="HFC99" s="8"/>
      <c r="HFD99" s="8"/>
      <c r="HFE99" s="8"/>
      <c r="HFF99" s="8"/>
      <c r="HFG99" s="8"/>
      <c r="HFH99" s="8"/>
      <c r="HFI99" s="8"/>
      <c r="HFJ99" s="8"/>
      <c r="HFK99" s="8"/>
      <c r="HFL99" s="8"/>
      <c r="HFM99" s="8"/>
      <c r="HFN99" s="8"/>
      <c r="HFO99" s="8"/>
      <c r="HFP99" s="8"/>
      <c r="HFQ99" s="8"/>
      <c r="HFR99" s="8"/>
      <c r="HFS99" s="8"/>
      <c r="HFT99" s="8"/>
      <c r="HFU99" s="8"/>
      <c r="HFV99" s="8"/>
      <c r="HFW99" s="8"/>
      <c r="HFX99" s="8"/>
      <c r="HFY99" s="8"/>
      <c r="HFZ99" s="8"/>
      <c r="HGA99" s="8"/>
      <c r="HGB99" s="8"/>
      <c r="HGC99" s="8"/>
      <c r="HGD99" s="8"/>
      <c r="HGE99" s="8"/>
      <c r="HGF99" s="8"/>
      <c r="HGG99" s="8"/>
      <c r="HGH99" s="8"/>
      <c r="HGI99" s="8"/>
      <c r="HGJ99" s="8"/>
      <c r="HGK99" s="8"/>
      <c r="HGL99" s="8"/>
      <c r="HGM99" s="8"/>
      <c r="HGN99" s="8"/>
      <c r="HGO99" s="8"/>
      <c r="HGP99" s="8"/>
      <c r="HGQ99" s="8"/>
      <c r="HGR99" s="8"/>
      <c r="HGS99" s="8"/>
      <c r="HGT99" s="8"/>
      <c r="HGU99" s="8"/>
      <c r="HGV99" s="8"/>
      <c r="HGW99" s="8"/>
      <c r="HGX99" s="8"/>
      <c r="HGY99" s="8"/>
      <c r="HGZ99" s="8"/>
      <c r="HHA99" s="8"/>
      <c r="HHB99" s="8"/>
      <c r="HHC99" s="8"/>
      <c r="HHD99" s="8"/>
      <c r="HHE99" s="8"/>
      <c r="HHF99" s="8"/>
      <c r="HHG99" s="8"/>
      <c r="HHH99" s="8"/>
      <c r="HHI99" s="8"/>
      <c r="HHJ99" s="8"/>
      <c r="HHK99" s="8"/>
      <c r="HHL99" s="8"/>
      <c r="HHM99" s="8"/>
      <c r="HHN99" s="8"/>
      <c r="HHO99" s="8"/>
      <c r="HHP99" s="8"/>
      <c r="HHQ99" s="8"/>
      <c r="HHR99" s="8"/>
      <c r="HHS99" s="8"/>
      <c r="HHT99" s="8"/>
      <c r="HHU99" s="8"/>
      <c r="HHV99" s="8"/>
      <c r="HHW99" s="8"/>
      <c r="HHX99" s="8"/>
      <c r="HHY99" s="8"/>
      <c r="HHZ99" s="8"/>
      <c r="HIA99" s="8"/>
      <c r="HIB99" s="8"/>
      <c r="HIC99" s="8"/>
      <c r="HID99" s="8"/>
      <c r="HIE99" s="8"/>
      <c r="HIF99" s="8"/>
      <c r="HIG99" s="8"/>
      <c r="HIH99" s="8"/>
      <c r="HII99" s="8"/>
      <c r="HIJ99" s="8"/>
      <c r="HIK99" s="8"/>
      <c r="HIL99" s="8"/>
      <c r="HIM99" s="8"/>
      <c r="HIN99" s="8"/>
      <c r="HIO99" s="8"/>
      <c r="HIP99" s="8"/>
      <c r="HIQ99" s="8"/>
      <c r="HIR99" s="8"/>
      <c r="HIS99" s="8"/>
      <c r="HIT99" s="8"/>
      <c r="HIU99" s="8"/>
      <c r="HIV99" s="8"/>
      <c r="HIW99" s="8"/>
      <c r="HIX99" s="8"/>
      <c r="HIY99" s="8"/>
      <c r="HIZ99" s="8"/>
      <c r="HJA99" s="8"/>
      <c r="HJB99" s="8"/>
      <c r="HJC99" s="8"/>
      <c r="HJD99" s="8"/>
      <c r="HJE99" s="8"/>
      <c r="HJF99" s="8"/>
      <c r="HJG99" s="8"/>
      <c r="HJH99" s="8"/>
      <c r="HJI99" s="8"/>
      <c r="HJJ99" s="8"/>
      <c r="HJK99" s="8"/>
      <c r="HJL99" s="8"/>
      <c r="HJM99" s="8"/>
      <c r="HJN99" s="8"/>
      <c r="HJO99" s="8"/>
      <c r="HJP99" s="8"/>
      <c r="HJQ99" s="8"/>
      <c r="HJR99" s="8"/>
      <c r="HJS99" s="8"/>
      <c r="HJT99" s="8"/>
      <c r="HJU99" s="8"/>
      <c r="HJV99" s="8"/>
      <c r="HJW99" s="8"/>
      <c r="HJX99" s="8"/>
      <c r="HJY99" s="8"/>
      <c r="HJZ99" s="8"/>
      <c r="HKA99" s="8"/>
      <c r="HKB99" s="8"/>
      <c r="HKC99" s="8"/>
      <c r="HKD99" s="8"/>
      <c r="HKE99" s="8"/>
      <c r="HKF99" s="8"/>
      <c r="HKG99" s="8"/>
      <c r="HKH99" s="8"/>
      <c r="HKI99" s="8"/>
      <c r="HKJ99" s="8"/>
      <c r="HKK99" s="8"/>
      <c r="HKL99" s="8"/>
      <c r="HKM99" s="8"/>
      <c r="HKN99" s="8"/>
      <c r="HKO99" s="8"/>
      <c r="HKP99" s="8"/>
      <c r="HKQ99" s="8"/>
      <c r="HKR99" s="8"/>
      <c r="HKS99" s="8"/>
      <c r="HKT99" s="8"/>
      <c r="HKU99" s="8"/>
      <c r="HKV99" s="8"/>
      <c r="HKW99" s="8"/>
      <c r="HKX99" s="8"/>
      <c r="HKY99" s="8"/>
      <c r="HKZ99" s="8"/>
      <c r="HLA99" s="8"/>
      <c r="HLB99" s="8"/>
      <c r="HLC99" s="8"/>
      <c r="HLD99" s="8"/>
      <c r="HLE99" s="8"/>
      <c r="HLF99" s="8"/>
      <c r="HLG99" s="8"/>
      <c r="HLH99" s="8"/>
      <c r="HLI99" s="8"/>
      <c r="HLJ99" s="8"/>
      <c r="HLK99" s="8"/>
      <c r="HLL99" s="8"/>
      <c r="HLM99" s="8"/>
      <c r="HLN99" s="8"/>
      <c r="HLO99" s="8"/>
      <c r="HLP99" s="8"/>
      <c r="HLQ99" s="8"/>
      <c r="HLR99" s="8"/>
      <c r="HLS99" s="8"/>
      <c r="HLT99" s="8"/>
      <c r="HLU99" s="8"/>
      <c r="HLV99" s="8"/>
      <c r="HLW99" s="8"/>
      <c r="HLX99" s="8"/>
      <c r="HLY99" s="8"/>
      <c r="HLZ99" s="8"/>
      <c r="HMA99" s="8"/>
      <c r="HMB99" s="8"/>
      <c r="HMC99" s="8"/>
      <c r="HMD99" s="8"/>
      <c r="HME99" s="8"/>
      <c r="HMF99" s="8"/>
      <c r="HMG99" s="8"/>
      <c r="HMH99" s="8"/>
      <c r="HMI99" s="8"/>
      <c r="HMJ99" s="8"/>
      <c r="HMK99" s="8"/>
      <c r="HML99" s="8"/>
      <c r="HMM99" s="8"/>
      <c r="HMN99" s="8"/>
      <c r="HMO99" s="8"/>
      <c r="HMP99" s="8"/>
      <c r="HMQ99" s="8"/>
      <c r="HMR99" s="8"/>
      <c r="HMS99" s="8"/>
      <c r="HMT99" s="8"/>
      <c r="HMU99" s="8"/>
      <c r="HMV99" s="8"/>
      <c r="HMW99" s="8"/>
      <c r="HMX99" s="8"/>
      <c r="HMY99" s="8"/>
      <c r="HMZ99" s="8"/>
      <c r="HNA99" s="8"/>
      <c r="HNB99" s="8"/>
      <c r="HNC99" s="8"/>
      <c r="HND99" s="8"/>
      <c r="HNE99" s="8"/>
      <c r="HNF99" s="8"/>
      <c r="HNG99" s="8"/>
      <c r="HNH99" s="8"/>
      <c r="HNI99" s="8"/>
      <c r="HNJ99" s="8"/>
      <c r="HNK99" s="8"/>
      <c r="HNL99" s="8"/>
      <c r="HNM99" s="8"/>
      <c r="HNN99" s="8"/>
      <c r="HNO99" s="8"/>
      <c r="HNP99" s="8"/>
      <c r="HNQ99" s="8"/>
      <c r="HNR99" s="8"/>
      <c r="HNS99" s="8"/>
      <c r="HNT99" s="8"/>
      <c r="HNU99" s="8"/>
      <c r="HNV99" s="8"/>
      <c r="HNW99" s="8"/>
      <c r="HNX99" s="8"/>
      <c r="HNY99" s="8"/>
      <c r="HNZ99" s="8"/>
      <c r="HOA99" s="8"/>
      <c r="HOB99" s="8"/>
      <c r="HOC99" s="8"/>
      <c r="HOD99" s="8"/>
      <c r="HOE99" s="8"/>
      <c r="HOF99" s="8"/>
      <c r="HOG99" s="8"/>
      <c r="HOH99" s="8"/>
      <c r="HOI99" s="8"/>
      <c r="HOJ99" s="8"/>
      <c r="HOK99" s="8"/>
      <c r="HOL99" s="8"/>
      <c r="HOM99" s="8"/>
      <c r="HON99" s="8"/>
      <c r="HOO99" s="8"/>
      <c r="HOP99" s="8"/>
      <c r="HOQ99" s="8"/>
      <c r="HOR99" s="8"/>
      <c r="HOS99" s="8"/>
      <c r="HOT99" s="8"/>
      <c r="HOU99" s="8"/>
      <c r="HOV99" s="8"/>
      <c r="HOW99" s="8"/>
      <c r="HOX99" s="8"/>
      <c r="HOY99" s="8"/>
      <c r="HOZ99" s="8"/>
      <c r="HPA99" s="8"/>
      <c r="HPB99" s="8"/>
      <c r="HPC99" s="8"/>
      <c r="HPD99" s="8"/>
      <c r="HPE99" s="8"/>
      <c r="HPF99" s="8"/>
      <c r="HPG99" s="8"/>
      <c r="HPH99" s="8"/>
      <c r="HPI99" s="8"/>
      <c r="HPJ99" s="8"/>
      <c r="HPK99" s="8"/>
      <c r="HPL99" s="8"/>
      <c r="HPM99" s="8"/>
      <c r="HPN99" s="8"/>
      <c r="HPO99" s="8"/>
      <c r="HPP99" s="8"/>
      <c r="HPQ99" s="8"/>
      <c r="HPR99" s="8"/>
      <c r="HPS99" s="8"/>
      <c r="HPT99" s="8"/>
      <c r="HPU99" s="8"/>
      <c r="HPV99" s="8"/>
      <c r="HPW99" s="8"/>
      <c r="HPX99" s="8"/>
      <c r="HPY99" s="8"/>
      <c r="HPZ99" s="8"/>
      <c r="HQA99" s="8"/>
      <c r="HQB99" s="8"/>
      <c r="HQC99" s="8"/>
      <c r="HQD99" s="8"/>
      <c r="HQE99" s="8"/>
      <c r="HQF99" s="8"/>
      <c r="HQG99" s="8"/>
      <c r="HQH99" s="8"/>
      <c r="HQI99" s="8"/>
      <c r="HQJ99" s="8"/>
      <c r="HQK99" s="8"/>
      <c r="HQL99" s="8"/>
      <c r="HQM99" s="8"/>
      <c r="HQN99" s="8"/>
      <c r="HQO99" s="8"/>
      <c r="HQP99" s="8"/>
      <c r="HQQ99" s="8"/>
      <c r="HQR99" s="8"/>
      <c r="HQS99" s="8"/>
      <c r="HQT99" s="8"/>
      <c r="HQU99" s="8"/>
      <c r="HQV99" s="8"/>
      <c r="HQW99" s="8"/>
      <c r="HQX99" s="8"/>
      <c r="HQY99" s="8"/>
      <c r="HQZ99" s="8"/>
      <c r="HRA99" s="8"/>
      <c r="HRB99" s="8"/>
      <c r="HRC99" s="8"/>
      <c r="HRD99" s="8"/>
      <c r="HRE99" s="8"/>
      <c r="HRF99" s="8"/>
      <c r="HRG99" s="8"/>
      <c r="HRH99" s="8"/>
      <c r="HRI99" s="8"/>
      <c r="HRJ99" s="8"/>
      <c r="HRK99" s="8"/>
      <c r="HRL99" s="8"/>
      <c r="HRM99" s="8"/>
      <c r="HRN99" s="8"/>
      <c r="HRO99" s="8"/>
      <c r="HRP99" s="8"/>
      <c r="HRQ99" s="8"/>
      <c r="HRR99" s="8"/>
      <c r="HRS99" s="8"/>
      <c r="HRT99" s="8"/>
      <c r="HRU99" s="8"/>
      <c r="HRV99" s="8"/>
      <c r="HRW99" s="8"/>
      <c r="HRX99" s="8"/>
      <c r="HRY99" s="8"/>
      <c r="HRZ99" s="8"/>
      <c r="HSA99" s="8"/>
      <c r="HSB99" s="8"/>
      <c r="HSC99" s="8"/>
      <c r="HSD99" s="8"/>
      <c r="HSE99" s="8"/>
      <c r="HSF99" s="8"/>
      <c r="HSG99" s="8"/>
      <c r="HSH99" s="8"/>
      <c r="HSI99" s="8"/>
      <c r="HSJ99" s="8"/>
      <c r="HSK99" s="8"/>
      <c r="HSL99" s="8"/>
      <c r="HSM99" s="8"/>
      <c r="HSN99" s="8"/>
      <c r="HSO99" s="8"/>
      <c r="HSP99" s="8"/>
      <c r="HSQ99" s="8"/>
      <c r="HSR99" s="8"/>
      <c r="HSS99" s="8"/>
      <c r="HST99" s="8"/>
      <c r="HSU99" s="8"/>
      <c r="HSV99" s="8"/>
      <c r="HSW99" s="8"/>
      <c r="HSX99" s="8"/>
      <c r="HSY99" s="8"/>
      <c r="HSZ99" s="8"/>
      <c r="HTA99" s="8"/>
      <c r="HTB99" s="8"/>
      <c r="HTC99" s="8"/>
      <c r="HTD99" s="8"/>
      <c r="HTE99" s="8"/>
      <c r="HTF99" s="8"/>
      <c r="HTG99" s="8"/>
      <c r="HTH99" s="8"/>
      <c r="HTI99" s="8"/>
      <c r="HTJ99" s="8"/>
      <c r="HTK99" s="8"/>
      <c r="HTL99" s="8"/>
      <c r="HTM99" s="8"/>
      <c r="HTN99" s="8"/>
      <c r="HTO99" s="8"/>
      <c r="HTP99" s="8"/>
      <c r="HTQ99" s="8"/>
      <c r="HTR99" s="8"/>
      <c r="HTS99" s="8"/>
      <c r="HTT99" s="8"/>
      <c r="HTU99" s="8"/>
      <c r="HTV99" s="8"/>
      <c r="HTW99" s="8"/>
      <c r="HTX99" s="8"/>
      <c r="HTY99" s="8"/>
      <c r="HTZ99" s="8"/>
      <c r="HUA99" s="8"/>
      <c r="HUB99" s="8"/>
      <c r="HUC99" s="8"/>
      <c r="HUD99" s="8"/>
      <c r="HUE99" s="8"/>
      <c r="HUF99" s="8"/>
      <c r="HUG99" s="8"/>
      <c r="HUH99" s="8"/>
      <c r="HUI99" s="8"/>
      <c r="HUJ99" s="8"/>
      <c r="HUK99" s="8"/>
      <c r="HUL99" s="8"/>
      <c r="HUM99" s="8"/>
      <c r="HUN99" s="8"/>
      <c r="HUO99" s="8"/>
      <c r="HUP99" s="8"/>
      <c r="HUQ99" s="8"/>
      <c r="HUR99" s="8"/>
      <c r="HUS99" s="8"/>
      <c r="HUT99" s="8"/>
      <c r="HUU99" s="8"/>
      <c r="HUV99" s="8"/>
      <c r="HUW99" s="8"/>
      <c r="HUX99" s="8"/>
      <c r="HUY99" s="8"/>
      <c r="HUZ99" s="8"/>
      <c r="HVA99" s="8"/>
      <c r="HVB99" s="8"/>
      <c r="HVC99" s="8"/>
      <c r="HVD99" s="8"/>
      <c r="HVE99" s="8"/>
      <c r="HVF99" s="8"/>
      <c r="HVG99" s="8"/>
      <c r="HVH99" s="8"/>
      <c r="HVI99" s="8"/>
      <c r="HVJ99" s="8"/>
      <c r="HVK99" s="8"/>
      <c r="HVL99" s="8"/>
      <c r="HVM99" s="8"/>
      <c r="HVN99" s="8"/>
      <c r="HVO99" s="8"/>
      <c r="HVP99" s="8"/>
      <c r="HVQ99" s="8"/>
      <c r="HVR99" s="8"/>
      <c r="HVS99" s="8"/>
      <c r="HVT99" s="8"/>
      <c r="HVU99" s="8"/>
      <c r="HVV99" s="8"/>
      <c r="HVW99" s="8"/>
      <c r="HVX99" s="8"/>
      <c r="HVY99" s="8"/>
      <c r="HVZ99" s="8"/>
      <c r="HWA99" s="8"/>
      <c r="HWB99" s="8"/>
      <c r="HWC99" s="8"/>
      <c r="HWD99" s="8"/>
      <c r="HWE99" s="8"/>
      <c r="HWF99" s="8"/>
      <c r="HWG99" s="8"/>
      <c r="HWH99" s="8"/>
      <c r="HWI99" s="8"/>
      <c r="HWJ99" s="8"/>
      <c r="HWK99" s="8"/>
      <c r="HWL99" s="8"/>
      <c r="HWM99" s="8"/>
      <c r="HWN99" s="8"/>
      <c r="HWO99" s="8"/>
      <c r="HWP99" s="8"/>
      <c r="HWQ99" s="8"/>
      <c r="HWR99" s="8"/>
      <c r="HWS99" s="8"/>
      <c r="HWT99" s="8"/>
      <c r="HWU99" s="8"/>
      <c r="HWV99" s="8"/>
      <c r="HWW99" s="8"/>
      <c r="HWX99" s="8"/>
      <c r="HWY99" s="8"/>
      <c r="HWZ99" s="8"/>
      <c r="HXA99" s="8"/>
      <c r="HXB99" s="8"/>
      <c r="HXC99" s="8"/>
      <c r="HXD99" s="8"/>
      <c r="HXE99" s="8"/>
      <c r="HXF99" s="8"/>
      <c r="HXG99" s="8"/>
      <c r="HXH99" s="8"/>
      <c r="HXI99" s="8"/>
      <c r="HXJ99" s="8"/>
      <c r="HXK99" s="8"/>
      <c r="HXL99" s="8"/>
      <c r="HXM99" s="8"/>
      <c r="HXN99" s="8"/>
      <c r="HXO99" s="8"/>
      <c r="HXP99" s="8"/>
      <c r="HXQ99" s="8"/>
      <c r="HXR99" s="8"/>
      <c r="HXS99" s="8"/>
      <c r="HXT99" s="8"/>
      <c r="HXU99" s="8"/>
      <c r="HXV99" s="8"/>
      <c r="HXW99" s="8"/>
      <c r="HXX99" s="8"/>
      <c r="HXY99" s="8"/>
      <c r="HXZ99" s="8"/>
      <c r="HYA99" s="8"/>
      <c r="HYB99" s="8"/>
      <c r="HYC99" s="8"/>
      <c r="HYD99" s="8"/>
      <c r="HYE99" s="8"/>
      <c r="HYF99" s="8"/>
      <c r="HYG99" s="8"/>
      <c r="HYH99" s="8"/>
      <c r="HYI99" s="8"/>
      <c r="HYJ99" s="8"/>
      <c r="HYK99" s="8"/>
      <c r="HYL99" s="8"/>
      <c r="HYM99" s="8"/>
      <c r="HYN99" s="8"/>
      <c r="HYO99" s="8"/>
      <c r="HYP99" s="8"/>
      <c r="HYQ99" s="8"/>
      <c r="HYR99" s="8"/>
      <c r="HYS99" s="8"/>
      <c r="HYT99" s="8"/>
      <c r="HYU99" s="8"/>
      <c r="HYV99" s="8"/>
      <c r="HYW99" s="8"/>
      <c r="HYX99" s="8"/>
      <c r="HYY99" s="8"/>
      <c r="HYZ99" s="8"/>
      <c r="HZA99" s="8"/>
      <c r="HZB99" s="8"/>
      <c r="HZC99" s="8"/>
      <c r="HZD99" s="8"/>
      <c r="HZE99" s="8"/>
      <c r="HZF99" s="8"/>
      <c r="HZG99" s="8"/>
      <c r="HZH99" s="8"/>
      <c r="HZI99" s="8"/>
      <c r="HZJ99" s="8"/>
      <c r="HZK99" s="8"/>
      <c r="HZL99" s="8"/>
      <c r="HZM99" s="8"/>
      <c r="HZN99" s="8"/>
      <c r="HZO99" s="8"/>
      <c r="HZP99" s="8"/>
      <c r="HZQ99" s="8"/>
      <c r="HZR99" s="8"/>
      <c r="HZS99" s="8"/>
      <c r="HZT99" s="8"/>
      <c r="HZU99" s="8"/>
      <c r="HZV99" s="8"/>
      <c r="HZW99" s="8"/>
      <c r="HZX99" s="8"/>
      <c r="HZY99" s="8"/>
      <c r="HZZ99" s="8"/>
      <c r="IAA99" s="8"/>
      <c r="IAB99" s="8"/>
      <c r="IAC99" s="8"/>
      <c r="IAD99" s="8"/>
      <c r="IAE99" s="8"/>
      <c r="IAF99" s="8"/>
      <c r="IAG99" s="8"/>
      <c r="IAH99" s="8"/>
      <c r="IAI99" s="8"/>
      <c r="IAJ99" s="8"/>
      <c r="IAK99" s="8"/>
      <c r="IAL99" s="8"/>
      <c r="IAM99" s="8"/>
      <c r="IAN99" s="8"/>
      <c r="IAO99" s="8"/>
      <c r="IAP99" s="8"/>
      <c r="IAQ99" s="8"/>
      <c r="IAR99" s="8"/>
      <c r="IAS99" s="8"/>
      <c r="IAT99" s="8"/>
      <c r="IAU99" s="8"/>
      <c r="IAV99" s="8"/>
      <c r="IAW99" s="8"/>
      <c r="IAX99" s="8"/>
      <c r="IAY99" s="8"/>
      <c r="IAZ99" s="8"/>
      <c r="IBA99" s="8"/>
      <c r="IBB99" s="8"/>
      <c r="IBC99" s="8"/>
      <c r="IBD99" s="8"/>
      <c r="IBE99" s="8"/>
      <c r="IBF99" s="8"/>
      <c r="IBG99" s="8"/>
      <c r="IBH99" s="8"/>
      <c r="IBI99" s="8"/>
      <c r="IBJ99" s="8"/>
      <c r="IBK99" s="8"/>
      <c r="IBL99" s="8"/>
      <c r="IBM99" s="8"/>
      <c r="IBN99" s="8"/>
      <c r="IBO99" s="8"/>
      <c r="IBP99" s="8"/>
      <c r="IBQ99" s="8"/>
      <c r="IBR99" s="8"/>
      <c r="IBS99" s="8"/>
      <c r="IBT99" s="8"/>
      <c r="IBU99" s="8"/>
      <c r="IBV99" s="8"/>
      <c r="IBW99" s="8"/>
      <c r="IBX99" s="8"/>
      <c r="IBY99" s="8"/>
      <c r="IBZ99" s="8"/>
      <c r="ICA99" s="8"/>
      <c r="ICB99" s="8"/>
      <c r="ICC99" s="8"/>
      <c r="ICD99" s="8"/>
      <c r="ICE99" s="8"/>
      <c r="ICF99" s="8"/>
      <c r="ICG99" s="8"/>
      <c r="ICH99" s="8"/>
      <c r="ICI99" s="8"/>
      <c r="ICJ99" s="8"/>
      <c r="ICK99" s="8"/>
      <c r="ICL99" s="8"/>
      <c r="ICM99" s="8"/>
      <c r="ICN99" s="8"/>
      <c r="ICO99" s="8"/>
      <c r="ICP99" s="8"/>
      <c r="ICQ99" s="8"/>
      <c r="ICR99" s="8"/>
      <c r="ICS99" s="8"/>
      <c r="ICT99" s="8"/>
      <c r="ICU99" s="8"/>
      <c r="ICV99" s="8"/>
      <c r="ICW99" s="8"/>
      <c r="ICX99" s="8"/>
      <c r="ICY99" s="8"/>
      <c r="ICZ99" s="8"/>
      <c r="IDA99" s="8"/>
      <c r="IDB99" s="8"/>
      <c r="IDC99" s="8"/>
      <c r="IDD99" s="8"/>
      <c r="IDE99" s="8"/>
      <c r="IDF99" s="8"/>
      <c r="IDG99" s="8"/>
      <c r="IDH99" s="8"/>
      <c r="IDI99" s="8"/>
      <c r="IDJ99" s="8"/>
      <c r="IDK99" s="8"/>
      <c r="IDL99" s="8"/>
      <c r="IDM99" s="8"/>
      <c r="IDN99" s="8"/>
      <c r="IDO99" s="8"/>
      <c r="IDP99" s="8"/>
      <c r="IDQ99" s="8"/>
      <c r="IDR99" s="8"/>
      <c r="IDS99" s="8"/>
      <c r="IDT99" s="8"/>
      <c r="IDU99" s="8"/>
      <c r="IDV99" s="8"/>
      <c r="IDW99" s="8"/>
      <c r="IDX99" s="8"/>
      <c r="IDY99" s="8"/>
      <c r="IDZ99" s="8"/>
      <c r="IEA99" s="8"/>
      <c r="IEB99" s="8"/>
      <c r="IEC99" s="8"/>
      <c r="IED99" s="8"/>
      <c r="IEE99" s="8"/>
      <c r="IEF99" s="8"/>
      <c r="IEG99" s="8"/>
      <c r="IEH99" s="8"/>
      <c r="IEI99" s="8"/>
      <c r="IEJ99" s="8"/>
      <c r="IEK99" s="8"/>
      <c r="IEL99" s="8"/>
      <c r="IEM99" s="8"/>
      <c r="IEN99" s="8"/>
      <c r="IEO99" s="8"/>
      <c r="IEP99" s="8"/>
      <c r="IEQ99" s="8"/>
      <c r="IER99" s="8"/>
      <c r="IES99" s="8"/>
      <c r="IET99" s="8"/>
      <c r="IEU99" s="8"/>
      <c r="IEV99" s="8"/>
      <c r="IEW99" s="8"/>
      <c r="IEX99" s="8"/>
      <c r="IEY99" s="8"/>
      <c r="IEZ99" s="8"/>
      <c r="IFA99" s="8"/>
      <c r="IFB99" s="8"/>
      <c r="IFC99" s="8"/>
      <c r="IFD99" s="8"/>
      <c r="IFE99" s="8"/>
      <c r="IFF99" s="8"/>
      <c r="IFG99" s="8"/>
      <c r="IFH99" s="8"/>
      <c r="IFI99" s="8"/>
      <c r="IFJ99" s="8"/>
      <c r="IFK99" s="8"/>
      <c r="IFL99" s="8"/>
      <c r="IFM99" s="8"/>
      <c r="IFN99" s="8"/>
      <c r="IFO99" s="8"/>
      <c r="IFP99" s="8"/>
      <c r="IFQ99" s="8"/>
      <c r="IFR99" s="8"/>
      <c r="IFS99" s="8"/>
      <c r="IFT99" s="8"/>
      <c r="IFU99" s="8"/>
      <c r="IFV99" s="8"/>
      <c r="IFW99" s="8"/>
      <c r="IFX99" s="8"/>
      <c r="IFY99" s="8"/>
      <c r="IFZ99" s="8"/>
      <c r="IGA99" s="8"/>
      <c r="IGB99" s="8"/>
      <c r="IGC99" s="8"/>
      <c r="IGD99" s="8"/>
      <c r="IGE99" s="8"/>
      <c r="IGF99" s="8"/>
      <c r="IGG99" s="8"/>
      <c r="IGH99" s="8"/>
      <c r="IGI99" s="8"/>
      <c r="IGJ99" s="8"/>
      <c r="IGK99" s="8"/>
      <c r="IGL99" s="8"/>
      <c r="IGM99" s="8"/>
      <c r="IGN99" s="8"/>
      <c r="IGO99" s="8"/>
      <c r="IGP99" s="8"/>
      <c r="IGQ99" s="8"/>
      <c r="IGR99" s="8"/>
      <c r="IGS99" s="8"/>
      <c r="IGT99" s="8"/>
      <c r="IGU99" s="8"/>
      <c r="IGV99" s="8"/>
      <c r="IGW99" s="8"/>
      <c r="IGX99" s="8"/>
      <c r="IGY99" s="8"/>
      <c r="IGZ99" s="8"/>
      <c r="IHA99" s="8"/>
      <c r="IHB99" s="8"/>
      <c r="IHC99" s="8"/>
      <c r="IHD99" s="8"/>
      <c r="IHE99" s="8"/>
      <c r="IHF99" s="8"/>
      <c r="IHG99" s="8"/>
      <c r="IHH99" s="8"/>
      <c r="IHI99" s="8"/>
      <c r="IHJ99" s="8"/>
      <c r="IHK99" s="8"/>
      <c r="IHL99" s="8"/>
      <c r="IHM99" s="8"/>
      <c r="IHN99" s="8"/>
      <c r="IHO99" s="8"/>
      <c r="IHP99" s="8"/>
      <c r="IHQ99" s="8"/>
      <c r="IHR99" s="8"/>
      <c r="IHS99" s="8"/>
      <c r="IHT99" s="8"/>
      <c r="IHU99" s="8"/>
      <c r="IHV99" s="8"/>
      <c r="IHW99" s="8"/>
      <c r="IHX99" s="8"/>
      <c r="IHY99" s="8"/>
      <c r="IHZ99" s="8"/>
      <c r="IIA99" s="8"/>
      <c r="IIB99" s="8"/>
      <c r="IIC99" s="8"/>
      <c r="IID99" s="8"/>
      <c r="IIE99" s="8"/>
      <c r="IIF99" s="8"/>
      <c r="IIG99" s="8"/>
      <c r="IIH99" s="8"/>
      <c r="III99" s="8"/>
      <c r="IIJ99" s="8"/>
      <c r="IIK99" s="8"/>
      <c r="IIL99" s="8"/>
      <c r="IIM99" s="8"/>
      <c r="IIN99" s="8"/>
      <c r="IIO99" s="8"/>
      <c r="IIP99" s="8"/>
      <c r="IIQ99" s="8"/>
      <c r="IIR99" s="8"/>
      <c r="IIS99" s="8"/>
      <c r="IIT99" s="8"/>
      <c r="IIU99" s="8"/>
      <c r="IIV99" s="8"/>
      <c r="IIW99" s="8"/>
      <c r="IIX99" s="8"/>
      <c r="IIY99" s="8"/>
      <c r="IIZ99" s="8"/>
      <c r="IJA99" s="8"/>
      <c r="IJB99" s="8"/>
      <c r="IJC99" s="8"/>
      <c r="IJD99" s="8"/>
      <c r="IJE99" s="8"/>
      <c r="IJF99" s="8"/>
      <c r="IJG99" s="8"/>
      <c r="IJH99" s="8"/>
      <c r="IJI99" s="8"/>
      <c r="IJJ99" s="8"/>
      <c r="IJK99" s="8"/>
      <c r="IJL99" s="8"/>
      <c r="IJM99" s="8"/>
      <c r="IJN99" s="8"/>
      <c r="IJO99" s="8"/>
      <c r="IJP99" s="8"/>
      <c r="IJQ99" s="8"/>
      <c r="IJR99" s="8"/>
      <c r="IJS99" s="8"/>
      <c r="IJT99" s="8"/>
      <c r="IJU99" s="8"/>
      <c r="IJV99" s="8"/>
      <c r="IJW99" s="8"/>
      <c r="IJX99" s="8"/>
      <c r="IJY99" s="8"/>
      <c r="IJZ99" s="8"/>
      <c r="IKA99" s="8"/>
      <c r="IKB99" s="8"/>
      <c r="IKC99" s="8"/>
      <c r="IKD99" s="8"/>
      <c r="IKE99" s="8"/>
      <c r="IKF99" s="8"/>
      <c r="IKG99" s="8"/>
      <c r="IKH99" s="8"/>
      <c r="IKI99" s="8"/>
      <c r="IKJ99" s="8"/>
      <c r="IKK99" s="8"/>
      <c r="IKL99" s="8"/>
      <c r="IKM99" s="8"/>
      <c r="IKN99" s="8"/>
      <c r="IKO99" s="8"/>
      <c r="IKP99" s="8"/>
      <c r="IKQ99" s="8"/>
      <c r="IKR99" s="8"/>
      <c r="IKS99" s="8"/>
      <c r="IKT99" s="8"/>
      <c r="IKU99" s="8"/>
      <c r="IKV99" s="8"/>
      <c r="IKW99" s="8"/>
      <c r="IKX99" s="8"/>
      <c r="IKY99" s="8"/>
      <c r="IKZ99" s="8"/>
      <c r="ILA99" s="8"/>
      <c r="ILB99" s="8"/>
      <c r="ILC99" s="8"/>
      <c r="ILD99" s="8"/>
      <c r="ILE99" s="8"/>
      <c r="ILF99" s="8"/>
      <c r="ILG99" s="8"/>
      <c r="ILH99" s="8"/>
      <c r="ILI99" s="8"/>
      <c r="ILJ99" s="8"/>
      <c r="ILK99" s="8"/>
      <c r="ILL99" s="8"/>
      <c r="ILM99" s="8"/>
      <c r="ILN99" s="8"/>
      <c r="ILO99" s="8"/>
      <c r="ILP99" s="8"/>
      <c r="ILQ99" s="8"/>
      <c r="ILR99" s="8"/>
      <c r="ILS99" s="8"/>
      <c r="ILT99" s="8"/>
      <c r="ILU99" s="8"/>
      <c r="ILV99" s="8"/>
      <c r="ILW99" s="8"/>
      <c r="ILX99" s="8"/>
      <c r="ILY99" s="8"/>
      <c r="ILZ99" s="8"/>
      <c r="IMA99" s="8"/>
      <c r="IMB99" s="8"/>
      <c r="IMC99" s="8"/>
      <c r="IMD99" s="8"/>
      <c r="IME99" s="8"/>
      <c r="IMF99" s="8"/>
      <c r="IMG99" s="8"/>
      <c r="IMH99" s="8"/>
      <c r="IMI99" s="8"/>
      <c r="IMJ99" s="8"/>
      <c r="IMK99" s="8"/>
      <c r="IML99" s="8"/>
      <c r="IMM99" s="8"/>
      <c r="IMN99" s="8"/>
      <c r="IMO99" s="8"/>
      <c r="IMP99" s="8"/>
      <c r="IMQ99" s="8"/>
      <c r="IMR99" s="8"/>
      <c r="IMS99" s="8"/>
      <c r="IMT99" s="8"/>
      <c r="IMU99" s="8"/>
      <c r="IMV99" s="8"/>
      <c r="IMW99" s="8"/>
      <c r="IMX99" s="8"/>
      <c r="IMY99" s="8"/>
      <c r="IMZ99" s="8"/>
      <c r="INA99" s="8"/>
      <c r="INB99" s="8"/>
      <c r="INC99" s="8"/>
      <c r="IND99" s="8"/>
      <c r="INE99" s="8"/>
      <c r="INF99" s="8"/>
      <c r="ING99" s="8"/>
      <c r="INH99" s="8"/>
      <c r="INI99" s="8"/>
      <c r="INJ99" s="8"/>
      <c r="INK99" s="8"/>
      <c r="INL99" s="8"/>
      <c r="INM99" s="8"/>
      <c r="INN99" s="8"/>
      <c r="INO99" s="8"/>
      <c r="INP99" s="8"/>
      <c r="INQ99" s="8"/>
      <c r="INR99" s="8"/>
      <c r="INS99" s="8"/>
      <c r="INT99" s="8"/>
      <c r="INU99" s="8"/>
      <c r="INV99" s="8"/>
      <c r="INW99" s="8"/>
      <c r="INX99" s="8"/>
      <c r="INY99" s="8"/>
      <c r="INZ99" s="8"/>
      <c r="IOA99" s="8"/>
      <c r="IOB99" s="8"/>
      <c r="IOC99" s="8"/>
      <c r="IOD99" s="8"/>
      <c r="IOE99" s="8"/>
      <c r="IOF99" s="8"/>
      <c r="IOG99" s="8"/>
      <c r="IOH99" s="8"/>
      <c r="IOI99" s="8"/>
      <c r="IOJ99" s="8"/>
      <c r="IOK99" s="8"/>
      <c r="IOL99" s="8"/>
      <c r="IOM99" s="8"/>
      <c r="ION99" s="8"/>
      <c r="IOO99" s="8"/>
      <c r="IOP99" s="8"/>
      <c r="IOQ99" s="8"/>
      <c r="IOR99" s="8"/>
      <c r="IOS99" s="8"/>
      <c r="IOT99" s="8"/>
      <c r="IOU99" s="8"/>
      <c r="IOV99" s="8"/>
      <c r="IOW99" s="8"/>
      <c r="IOX99" s="8"/>
      <c r="IOY99" s="8"/>
      <c r="IOZ99" s="8"/>
      <c r="IPA99" s="8"/>
      <c r="IPB99" s="8"/>
      <c r="IPC99" s="8"/>
      <c r="IPD99" s="8"/>
      <c r="IPE99" s="8"/>
      <c r="IPF99" s="8"/>
      <c r="IPG99" s="8"/>
      <c r="IPH99" s="8"/>
      <c r="IPI99" s="8"/>
      <c r="IPJ99" s="8"/>
      <c r="IPK99" s="8"/>
      <c r="IPL99" s="8"/>
      <c r="IPM99" s="8"/>
      <c r="IPN99" s="8"/>
      <c r="IPO99" s="8"/>
      <c r="IPP99" s="8"/>
      <c r="IPQ99" s="8"/>
      <c r="IPR99" s="8"/>
      <c r="IPS99" s="8"/>
      <c r="IPT99" s="8"/>
      <c r="IPU99" s="8"/>
      <c r="IPV99" s="8"/>
      <c r="IPW99" s="8"/>
      <c r="IPX99" s="8"/>
      <c r="IPY99" s="8"/>
      <c r="IPZ99" s="8"/>
      <c r="IQA99" s="8"/>
      <c r="IQB99" s="8"/>
      <c r="IQC99" s="8"/>
      <c r="IQD99" s="8"/>
      <c r="IQE99" s="8"/>
      <c r="IQF99" s="8"/>
      <c r="IQG99" s="8"/>
      <c r="IQH99" s="8"/>
      <c r="IQI99" s="8"/>
      <c r="IQJ99" s="8"/>
      <c r="IQK99" s="8"/>
      <c r="IQL99" s="8"/>
      <c r="IQM99" s="8"/>
      <c r="IQN99" s="8"/>
      <c r="IQO99" s="8"/>
      <c r="IQP99" s="8"/>
      <c r="IQQ99" s="8"/>
      <c r="IQR99" s="8"/>
      <c r="IQS99" s="8"/>
      <c r="IQT99" s="8"/>
      <c r="IQU99" s="8"/>
      <c r="IQV99" s="8"/>
      <c r="IQW99" s="8"/>
      <c r="IQX99" s="8"/>
      <c r="IQY99" s="8"/>
      <c r="IQZ99" s="8"/>
      <c r="IRA99" s="8"/>
      <c r="IRB99" s="8"/>
      <c r="IRC99" s="8"/>
      <c r="IRD99" s="8"/>
      <c r="IRE99" s="8"/>
      <c r="IRF99" s="8"/>
      <c r="IRG99" s="8"/>
      <c r="IRH99" s="8"/>
      <c r="IRI99" s="8"/>
      <c r="IRJ99" s="8"/>
      <c r="IRK99" s="8"/>
      <c r="IRL99" s="8"/>
      <c r="IRM99" s="8"/>
      <c r="IRN99" s="8"/>
      <c r="IRO99" s="8"/>
      <c r="IRP99" s="8"/>
      <c r="IRQ99" s="8"/>
      <c r="IRR99" s="8"/>
      <c r="IRS99" s="8"/>
      <c r="IRT99" s="8"/>
      <c r="IRU99" s="8"/>
      <c r="IRV99" s="8"/>
      <c r="IRW99" s="8"/>
      <c r="IRX99" s="8"/>
      <c r="IRY99" s="8"/>
      <c r="IRZ99" s="8"/>
      <c r="ISA99" s="8"/>
      <c r="ISB99" s="8"/>
      <c r="ISC99" s="8"/>
      <c r="ISD99" s="8"/>
      <c r="ISE99" s="8"/>
      <c r="ISF99" s="8"/>
      <c r="ISG99" s="8"/>
      <c r="ISH99" s="8"/>
      <c r="ISI99" s="8"/>
      <c r="ISJ99" s="8"/>
      <c r="ISK99" s="8"/>
      <c r="ISL99" s="8"/>
      <c r="ISM99" s="8"/>
      <c r="ISN99" s="8"/>
      <c r="ISO99" s="8"/>
      <c r="ISP99" s="8"/>
      <c r="ISQ99" s="8"/>
      <c r="ISR99" s="8"/>
      <c r="ISS99" s="8"/>
      <c r="IST99" s="8"/>
      <c r="ISU99" s="8"/>
      <c r="ISV99" s="8"/>
      <c r="ISW99" s="8"/>
      <c r="ISX99" s="8"/>
      <c r="ISY99" s="8"/>
      <c r="ISZ99" s="8"/>
      <c r="ITA99" s="8"/>
      <c r="ITB99" s="8"/>
      <c r="ITC99" s="8"/>
      <c r="ITD99" s="8"/>
      <c r="ITE99" s="8"/>
      <c r="ITF99" s="8"/>
      <c r="ITG99" s="8"/>
      <c r="ITH99" s="8"/>
      <c r="ITI99" s="8"/>
      <c r="ITJ99" s="8"/>
      <c r="ITK99" s="8"/>
      <c r="ITL99" s="8"/>
      <c r="ITM99" s="8"/>
      <c r="ITN99" s="8"/>
      <c r="ITO99" s="8"/>
      <c r="ITP99" s="8"/>
      <c r="ITQ99" s="8"/>
      <c r="ITR99" s="8"/>
      <c r="ITS99" s="8"/>
      <c r="ITT99" s="8"/>
      <c r="ITU99" s="8"/>
      <c r="ITV99" s="8"/>
      <c r="ITW99" s="8"/>
      <c r="ITX99" s="8"/>
      <c r="ITY99" s="8"/>
      <c r="ITZ99" s="8"/>
      <c r="IUA99" s="8"/>
      <c r="IUB99" s="8"/>
      <c r="IUC99" s="8"/>
      <c r="IUD99" s="8"/>
      <c r="IUE99" s="8"/>
      <c r="IUF99" s="8"/>
      <c r="IUG99" s="8"/>
      <c r="IUH99" s="8"/>
      <c r="IUI99" s="8"/>
      <c r="IUJ99" s="8"/>
      <c r="IUK99" s="8"/>
      <c r="IUL99" s="8"/>
      <c r="IUM99" s="8"/>
      <c r="IUN99" s="8"/>
      <c r="IUO99" s="8"/>
      <c r="IUP99" s="8"/>
      <c r="IUQ99" s="8"/>
      <c r="IUR99" s="8"/>
      <c r="IUS99" s="8"/>
      <c r="IUT99" s="8"/>
      <c r="IUU99" s="8"/>
      <c r="IUV99" s="8"/>
      <c r="IUW99" s="8"/>
      <c r="IUX99" s="8"/>
      <c r="IUY99" s="8"/>
      <c r="IUZ99" s="8"/>
      <c r="IVA99" s="8"/>
      <c r="IVB99" s="8"/>
      <c r="IVC99" s="8"/>
      <c r="IVD99" s="8"/>
      <c r="IVE99" s="8"/>
      <c r="IVF99" s="8"/>
      <c r="IVG99" s="8"/>
      <c r="IVH99" s="8"/>
      <c r="IVI99" s="8"/>
      <c r="IVJ99" s="8"/>
      <c r="IVK99" s="8"/>
      <c r="IVL99" s="8"/>
      <c r="IVM99" s="8"/>
      <c r="IVN99" s="8"/>
      <c r="IVO99" s="8"/>
      <c r="IVP99" s="8"/>
      <c r="IVQ99" s="8"/>
      <c r="IVR99" s="8"/>
      <c r="IVS99" s="8"/>
      <c r="IVT99" s="8"/>
      <c r="IVU99" s="8"/>
      <c r="IVV99" s="8"/>
      <c r="IVW99" s="8"/>
      <c r="IVX99" s="8"/>
      <c r="IVY99" s="8"/>
      <c r="IVZ99" s="8"/>
      <c r="IWA99" s="8"/>
      <c r="IWB99" s="8"/>
      <c r="IWC99" s="8"/>
      <c r="IWD99" s="8"/>
      <c r="IWE99" s="8"/>
      <c r="IWF99" s="8"/>
      <c r="IWG99" s="8"/>
      <c r="IWH99" s="8"/>
      <c r="IWI99" s="8"/>
      <c r="IWJ99" s="8"/>
      <c r="IWK99" s="8"/>
      <c r="IWL99" s="8"/>
      <c r="IWM99" s="8"/>
      <c r="IWN99" s="8"/>
      <c r="IWO99" s="8"/>
      <c r="IWP99" s="8"/>
      <c r="IWQ99" s="8"/>
      <c r="IWR99" s="8"/>
      <c r="IWS99" s="8"/>
      <c r="IWT99" s="8"/>
      <c r="IWU99" s="8"/>
      <c r="IWV99" s="8"/>
      <c r="IWW99" s="8"/>
      <c r="IWX99" s="8"/>
      <c r="IWY99" s="8"/>
      <c r="IWZ99" s="8"/>
      <c r="IXA99" s="8"/>
      <c r="IXB99" s="8"/>
      <c r="IXC99" s="8"/>
      <c r="IXD99" s="8"/>
      <c r="IXE99" s="8"/>
      <c r="IXF99" s="8"/>
      <c r="IXG99" s="8"/>
      <c r="IXH99" s="8"/>
      <c r="IXI99" s="8"/>
      <c r="IXJ99" s="8"/>
      <c r="IXK99" s="8"/>
      <c r="IXL99" s="8"/>
      <c r="IXM99" s="8"/>
      <c r="IXN99" s="8"/>
      <c r="IXO99" s="8"/>
      <c r="IXP99" s="8"/>
      <c r="IXQ99" s="8"/>
      <c r="IXR99" s="8"/>
      <c r="IXS99" s="8"/>
      <c r="IXT99" s="8"/>
      <c r="IXU99" s="8"/>
      <c r="IXV99" s="8"/>
      <c r="IXW99" s="8"/>
      <c r="IXX99" s="8"/>
      <c r="IXY99" s="8"/>
      <c r="IXZ99" s="8"/>
      <c r="IYA99" s="8"/>
      <c r="IYB99" s="8"/>
      <c r="IYC99" s="8"/>
      <c r="IYD99" s="8"/>
      <c r="IYE99" s="8"/>
      <c r="IYF99" s="8"/>
      <c r="IYG99" s="8"/>
      <c r="IYH99" s="8"/>
      <c r="IYI99" s="8"/>
      <c r="IYJ99" s="8"/>
      <c r="IYK99" s="8"/>
      <c r="IYL99" s="8"/>
      <c r="IYM99" s="8"/>
      <c r="IYN99" s="8"/>
      <c r="IYO99" s="8"/>
      <c r="IYP99" s="8"/>
      <c r="IYQ99" s="8"/>
      <c r="IYR99" s="8"/>
      <c r="IYS99" s="8"/>
      <c r="IYT99" s="8"/>
      <c r="IYU99" s="8"/>
      <c r="IYV99" s="8"/>
      <c r="IYW99" s="8"/>
      <c r="IYX99" s="8"/>
      <c r="IYY99" s="8"/>
      <c r="IYZ99" s="8"/>
      <c r="IZA99" s="8"/>
      <c r="IZB99" s="8"/>
      <c r="IZC99" s="8"/>
      <c r="IZD99" s="8"/>
      <c r="IZE99" s="8"/>
      <c r="IZF99" s="8"/>
      <c r="IZG99" s="8"/>
      <c r="IZH99" s="8"/>
      <c r="IZI99" s="8"/>
      <c r="IZJ99" s="8"/>
      <c r="IZK99" s="8"/>
      <c r="IZL99" s="8"/>
      <c r="IZM99" s="8"/>
      <c r="IZN99" s="8"/>
      <c r="IZO99" s="8"/>
      <c r="IZP99" s="8"/>
      <c r="IZQ99" s="8"/>
      <c r="IZR99" s="8"/>
      <c r="IZS99" s="8"/>
      <c r="IZT99" s="8"/>
      <c r="IZU99" s="8"/>
      <c r="IZV99" s="8"/>
      <c r="IZW99" s="8"/>
      <c r="IZX99" s="8"/>
      <c r="IZY99" s="8"/>
      <c r="IZZ99" s="8"/>
      <c r="JAA99" s="8"/>
      <c r="JAB99" s="8"/>
      <c r="JAC99" s="8"/>
      <c r="JAD99" s="8"/>
      <c r="JAE99" s="8"/>
      <c r="JAF99" s="8"/>
      <c r="JAG99" s="8"/>
      <c r="JAH99" s="8"/>
      <c r="JAI99" s="8"/>
      <c r="JAJ99" s="8"/>
      <c r="JAK99" s="8"/>
      <c r="JAL99" s="8"/>
      <c r="JAM99" s="8"/>
      <c r="JAN99" s="8"/>
      <c r="JAO99" s="8"/>
      <c r="JAP99" s="8"/>
      <c r="JAQ99" s="8"/>
      <c r="JAR99" s="8"/>
      <c r="JAS99" s="8"/>
      <c r="JAT99" s="8"/>
      <c r="JAU99" s="8"/>
      <c r="JAV99" s="8"/>
      <c r="JAW99" s="8"/>
      <c r="JAX99" s="8"/>
      <c r="JAY99" s="8"/>
      <c r="JAZ99" s="8"/>
      <c r="JBA99" s="8"/>
      <c r="JBB99" s="8"/>
      <c r="JBC99" s="8"/>
      <c r="JBD99" s="8"/>
      <c r="JBE99" s="8"/>
      <c r="JBF99" s="8"/>
      <c r="JBG99" s="8"/>
      <c r="JBH99" s="8"/>
      <c r="JBI99" s="8"/>
      <c r="JBJ99" s="8"/>
      <c r="JBK99" s="8"/>
      <c r="JBL99" s="8"/>
      <c r="JBM99" s="8"/>
      <c r="JBN99" s="8"/>
      <c r="JBO99" s="8"/>
      <c r="JBP99" s="8"/>
      <c r="JBQ99" s="8"/>
      <c r="JBR99" s="8"/>
      <c r="JBS99" s="8"/>
      <c r="JBT99" s="8"/>
      <c r="JBU99" s="8"/>
      <c r="JBV99" s="8"/>
      <c r="JBW99" s="8"/>
      <c r="JBX99" s="8"/>
      <c r="JBY99" s="8"/>
      <c r="JBZ99" s="8"/>
      <c r="JCA99" s="8"/>
      <c r="JCB99" s="8"/>
      <c r="JCC99" s="8"/>
      <c r="JCD99" s="8"/>
      <c r="JCE99" s="8"/>
      <c r="JCF99" s="8"/>
      <c r="JCG99" s="8"/>
      <c r="JCH99" s="8"/>
      <c r="JCI99" s="8"/>
      <c r="JCJ99" s="8"/>
      <c r="JCK99" s="8"/>
      <c r="JCL99" s="8"/>
      <c r="JCM99" s="8"/>
      <c r="JCN99" s="8"/>
      <c r="JCO99" s="8"/>
      <c r="JCP99" s="8"/>
      <c r="JCQ99" s="8"/>
      <c r="JCR99" s="8"/>
      <c r="JCS99" s="8"/>
      <c r="JCT99" s="8"/>
      <c r="JCU99" s="8"/>
      <c r="JCV99" s="8"/>
      <c r="JCW99" s="8"/>
      <c r="JCX99" s="8"/>
      <c r="JCY99" s="8"/>
      <c r="JCZ99" s="8"/>
      <c r="JDA99" s="8"/>
      <c r="JDB99" s="8"/>
      <c r="JDC99" s="8"/>
      <c r="JDD99" s="8"/>
      <c r="JDE99" s="8"/>
      <c r="JDF99" s="8"/>
      <c r="JDG99" s="8"/>
      <c r="JDH99" s="8"/>
      <c r="JDI99" s="8"/>
      <c r="JDJ99" s="8"/>
      <c r="JDK99" s="8"/>
      <c r="JDL99" s="8"/>
      <c r="JDM99" s="8"/>
      <c r="JDN99" s="8"/>
      <c r="JDO99" s="8"/>
      <c r="JDP99" s="8"/>
      <c r="JDQ99" s="8"/>
      <c r="JDR99" s="8"/>
      <c r="JDS99" s="8"/>
      <c r="JDT99" s="8"/>
      <c r="JDU99" s="8"/>
      <c r="JDV99" s="8"/>
      <c r="JDW99" s="8"/>
      <c r="JDX99" s="8"/>
      <c r="JDY99" s="8"/>
      <c r="JDZ99" s="8"/>
      <c r="JEA99" s="8"/>
      <c r="JEB99" s="8"/>
      <c r="JEC99" s="8"/>
      <c r="JED99" s="8"/>
      <c r="JEE99" s="8"/>
      <c r="JEF99" s="8"/>
      <c r="JEG99" s="8"/>
      <c r="JEH99" s="8"/>
      <c r="JEI99" s="8"/>
      <c r="JEJ99" s="8"/>
      <c r="JEK99" s="8"/>
      <c r="JEL99" s="8"/>
      <c r="JEM99" s="8"/>
      <c r="JEN99" s="8"/>
      <c r="JEO99" s="8"/>
      <c r="JEP99" s="8"/>
      <c r="JEQ99" s="8"/>
      <c r="JER99" s="8"/>
      <c r="JES99" s="8"/>
      <c r="JET99" s="8"/>
      <c r="JEU99" s="8"/>
      <c r="JEV99" s="8"/>
      <c r="JEW99" s="8"/>
      <c r="JEX99" s="8"/>
      <c r="JEY99" s="8"/>
      <c r="JEZ99" s="8"/>
      <c r="JFA99" s="8"/>
      <c r="JFB99" s="8"/>
      <c r="JFC99" s="8"/>
      <c r="JFD99" s="8"/>
      <c r="JFE99" s="8"/>
      <c r="JFF99" s="8"/>
      <c r="JFG99" s="8"/>
      <c r="JFH99" s="8"/>
      <c r="JFI99" s="8"/>
      <c r="JFJ99" s="8"/>
      <c r="JFK99" s="8"/>
      <c r="JFL99" s="8"/>
      <c r="JFM99" s="8"/>
      <c r="JFN99" s="8"/>
      <c r="JFO99" s="8"/>
      <c r="JFP99" s="8"/>
      <c r="JFQ99" s="8"/>
      <c r="JFR99" s="8"/>
      <c r="JFS99" s="8"/>
      <c r="JFT99" s="8"/>
      <c r="JFU99" s="8"/>
      <c r="JFV99" s="8"/>
      <c r="JFW99" s="8"/>
      <c r="JFX99" s="8"/>
      <c r="JFY99" s="8"/>
      <c r="JFZ99" s="8"/>
      <c r="JGA99" s="8"/>
      <c r="JGB99" s="8"/>
      <c r="JGC99" s="8"/>
      <c r="JGD99" s="8"/>
      <c r="JGE99" s="8"/>
      <c r="JGF99" s="8"/>
      <c r="JGG99" s="8"/>
      <c r="JGH99" s="8"/>
      <c r="JGI99" s="8"/>
      <c r="JGJ99" s="8"/>
      <c r="JGK99" s="8"/>
      <c r="JGL99" s="8"/>
      <c r="JGM99" s="8"/>
      <c r="JGN99" s="8"/>
      <c r="JGO99" s="8"/>
      <c r="JGP99" s="8"/>
      <c r="JGQ99" s="8"/>
      <c r="JGR99" s="8"/>
      <c r="JGS99" s="8"/>
      <c r="JGT99" s="8"/>
      <c r="JGU99" s="8"/>
      <c r="JGV99" s="8"/>
      <c r="JGW99" s="8"/>
      <c r="JGX99" s="8"/>
      <c r="JGY99" s="8"/>
      <c r="JGZ99" s="8"/>
      <c r="JHA99" s="8"/>
      <c r="JHB99" s="8"/>
      <c r="JHC99" s="8"/>
      <c r="JHD99" s="8"/>
      <c r="JHE99" s="8"/>
      <c r="JHF99" s="8"/>
      <c r="JHG99" s="8"/>
      <c r="JHH99" s="8"/>
      <c r="JHI99" s="8"/>
      <c r="JHJ99" s="8"/>
      <c r="JHK99" s="8"/>
      <c r="JHL99" s="8"/>
      <c r="JHM99" s="8"/>
      <c r="JHN99" s="8"/>
      <c r="JHO99" s="8"/>
      <c r="JHP99" s="8"/>
      <c r="JHQ99" s="8"/>
      <c r="JHR99" s="8"/>
      <c r="JHS99" s="8"/>
      <c r="JHT99" s="8"/>
      <c r="JHU99" s="8"/>
      <c r="JHV99" s="8"/>
      <c r="JHW99" s="8"/>
      <c r="JHX99" s="8"/>
      <c r="JHY99" s="8"/>
      <c r="JHZ99" s="8"/>
      <c r="JIA99" s="8"/>
      <c r="JIB99" s="8"/>
      <c r="JIC99" s="8"/>
      <c r="JID99" s="8"/>
      <c r="JIE99" s="8"/>
      <c r="JIF99" s="8"/>
      <c r="JIG99" s="8"/>
      <c r="JIH99" s="8"/>
      <c r="JII99" s="8"/>
      <c r="JIJ99" s="8"/>
      <c r="JIK99" s="8"/>
      <c r="JIL99" s="8"/>
      <c r="JIM99" s="8"/>
      <c r="JIN99" s="8"/>
      <c r="JIO99" s="8"/>
      <c r="JIP99" s="8"/>
      <c r="JIQ99" s="8"/>
      <c r="JIR99" s="8"/>
      <c r="JIS99" s="8"/>
      <c r="JIT99" s="8"/>
      <c r="JIU99" s="8"/>
      <c r="JIV99" s="8"/>
      <c r="JIW99" s="8"/>
      <c r="JIX99" s="8"/>
      <c r="JIY99" s="8"/>
      <c r="JIZ99" s="8"/>
      <c r="JJA99" s="8"/>
      <c r="JJB99" s="8"/>
      <c r="JJC99" s="8"/>
      <c r="JJD99" s="8"/>
      <c r="JJE99" s="8"/>
      <c r="JJF99" s="8"/>
      <c r="JJG99" s="8"/>
      <c r="JJH99" s="8"/>
      <c r="JJI99" s="8"/>
      <c r="JJJ99" s="8"/>
      <c r="JJK99" s="8"/>
      <c r="JJL99" s="8"/>
      <c r="JJM99" s="8"/>
      <c r="JJN99" s="8"/>
      <c r="JJO99" s="8"/>
      <c r="JJP99" s="8"/>
      <c r="JJQ99" s="8"/>
      <c r="JJR99" s="8"/>
      <c r="JJS99" s="8"/>
      <c r="JJT99" s="8"/>
      <c r="JJU99" s="8"/>
      <c r="JJV99" s="8"/>
      <c r="JJW99" s="8"/>
      <c r="JJX99" s="8"/>
      <c r="JJY99" s="8"/>
      <c r="JJZ99" s="8"/>
      <c r="JKA99" s="8"/>
      <c r="JKB99" s="8"/>
      <c r="JKC99" s="8"/>
      <c r="JKD99" s="8"/>
      <c r="JKE99" s="8"/>
      <c r="JKF99" s="8"/>
      <c r="JKG99" s="8"/>
      <c r="JKH99" s="8"/>
      <c r="JKI99" s="8"/>
      <c r="JKJ99" s="8"/>
      <c r="JKK99" s="8"/>
      <c r="JKL99" s="8"/>
      <c r="JKM99" s="8"/>
      <c r="JKN99" s="8"/>
      <c r="JKO99" s="8"/>
      <c r="JKP99" s="8"/>
      <c r="JKQ99" s="8"/>
      <c r="JKR99" s="8"/>
      <c r="JKS99" s="8"/>
      <c r="JKT99" s="8"/>
      <c r="JKU99" s="8"/>
      <c r="JKV99" s="8"/>
      <c r="JKW99" s="8"/>
      <c r="JKX99" s="8"/>
      <c r="JKY99" s="8"/>
      <c r="JKZ99" s="8"/>
      <c r="JLA99" s="8"/>
      <c r="JLB99" s="8"/>
      <c r="JLC99" s="8"/>
      <c r="JLD99" s="8"/>
      <c r="JLE99" s="8"/>
      <c r="JLF99" s="8"/>
      <c r="JLG99" s="8"/>
      <c r="JLH99" s="8"/>
      <c r="JLI99" s="8"/>
      <c r="JLJ99" s="8"/>
      <c r="JLK99" s="8"/>
      <c r="JLL99" s="8"/>
      <c r="JLM99" s="8"/>
      <c r="JLN99" s="8"/>
      <c r="JLO99" s="8"/>
      <c r="JLP99" s="8"/>
      <c r="JLQ99" s="8"/>
      <c r="JLR99" s="8"/>
      <c r="JLS99" s="8"/>
      <c r="JLT99" s="8"/>
      <c r="JLU99" s="8"/>
      <c r="JLV99" s="8"/>
      <c r="JLW99" s="8"/>
      <c r="JLX99" s="8"/>
      <c r="JLY99" s="8"/>
      <c r="JLZ99" s="8"/>
      <c r="JMA99" s="8"/>
      <c r="JMB99" s="8"/>
      <c r="JMC99" s="8"/>
      <c r="JMD99" s="8"/>
      <c r="JME99" s="8"/>
      <c r="JMF99" s="8"/>
      <c r="JMG99" s="8"/>
      <c r="JMH99" s="8"/>
      <c r="JMI99" s="8"/>
      <c r="JMJ99" s="8"/>
      <c r="JMK99" s="8"/>
      <c r="JML99" s="8"/>
      <c r="JMM99" s="8"/>
      <c r="JMN99" s="8"/>
      <c r="JMO99" s="8"/>
      <c r="JMP99" s="8"/>
      <c r="JMQ99" s="8"/>
      <c r="JMR99" s="8"/>
      <c r="JMS99" s="8"/>
      <c r="JMT99" s="8"/>
      <c r="JMU99" s="8"/>
      <c r="JMV99" s="8"/>
      <c r="JMW99" s="8"/>
      <c r="JMX99" s="8"/>
      <c r="JMY99" s="8"/>
      <c r="JMZ99" s="8"/>
      <c r="JNA99" s="8"/>
      <c r="JNB99" s="8"/>
      <c r="JNC99" s="8"/>
      <c r="JND99" s="8"/>
      <c r="JNE99" s="8"/>
      <c r="JNF99" s="8"/>
      <c r="JNG99" s="8"/>
      <c r="JNH99" s="8"/>
      <c r="JNI99" s="8"/>
      <c r="JNJ99" s="8"/>
      <c r="JNK99" s="8"/>
      <c r="JNL99" s="8"/>
      <c r="JNM99" s="8"/>
      <c r="JNN99" s="8"/>
      <c r="JNO99" s="8"/>
      <c r="JNP99" s="8"/>
      <c r="JNQ99" s="8"/>
      <c r="JNR99" s="8"/>
      <c r="JNS99" s="8"/>
      <c r="JNT99" s="8"/>
      <c r="JNU99" s="8"/>
      <c r="JNV99" s="8"/>
      <c r="JNW99" s="8"/>
      <c r="JNX99" s="8"/>
      <c r="JNY99" s="8"/>
      <c r="JNZ99" s="8"/>
      <c r="JOA99" s="8"/>
      <c r="JOB99" s="8"/>
      <c r="JOC99" s="8"/>
      <c r="JOD99" s="8"/>
      <c r="JOE99" s="8"/>
      <c r="JOF99" s="8"/>
      <c r="JOG99" s="8"/>
      <c r="JOH99" s="8"/>
      <c r="JOI99" s="8"/>
      <c r="JOJ99" s="8"/>
      <c r="JOK99" s="8"/>
      <c r="JOL99" s="8"/>
      <c r="JOM99" s="8"/>
      <c r="JON99" s="8"/>
      <c r="JOO99" s="8"/>
      <c r="JOP99" s="8"/>
      <c r="JOQ99" s="8"/>
      <c r="JOR99" s="8"/>
      <c r="JOS99" s="8"/>
      <c r="JOT99" s="8"/>
      <c r="JOU99" s="8"/>
      <c r="JOV99" s="8"/>
      <c r="JOW99" s="8"/>
      <c r="JOX99" s="8"/>
      <c r="JOY99" s="8"/>
      <c r="JOZ99" s="8"/>
      <c r="JPA99" s="8"/>
      <c r="JPB99" s="8"/>
      <c r="JPC99" s="8"/>
      <c r="JPD99" s="8"/>
      <c r="JPE99" s="8"/>
      <c r="JPF99" s="8"/>
      <c r="JPG99" s="8"/>
      <c r="JPH99" s="8"/>
      <c r="JPI99" s="8"/>
      <c r="JPJ99" s="8"/>
      <c r="JPK99" s="8"/>
      <c r="JPL99" s="8"/>
      <c r="JPM99" s="8"/>
      <c r="JPN99" s="8"/>
      <c r="JPO99" s="8"/>
      <c r="JPP99" s="8"/>
      <c r="JPQ99" s="8"/>
      <c r="JPR99" s="8"/>
      <c r="JPS99" s="8"/>
      <c r="JPT99" s="8"/>
      <c r="JPU99" s="8"/>
      <c r="JPV99" s="8"/>
      <c r="JPW99" s="8"/>
      <c r="JPX99" s="8"/>
      <c r="JPY99" s="8"/>
      <c r="JPZ99" s="8"/>
      <c r="JQA99" s="8"/>
      <c r="JQB99" s="8"/>
      <c r="JQC99" s="8"/>
      <c r="JQD99" s="8"/>
      <c r="JQE99" s="8"/>
      <c r="JQF99" s="8"/>
      <c r="JQG99" s="8"/>
      <c r="JQH99" s="8"/>
      <c r="JQI99" s="8"/>
      <c r="JQJ99" s="8"/>
      <c r="JQK99" s="8"/>
      <c r="JQL99" s="8"/>
      <c r="JQM99" s="8"/>
      <c r="JQN99" s="8"/>
      <c r="JQO99" s="8"/>
      <c r="JQP99" s="8"/>
      <c r="JQQ99" s="8"/>
      <c r="JQR99" s="8"/>
      <c r="JQS99" s="8"/>
      <c r="JQT99" s="8"/>
      <c r="JQU99" s="8"/>
      <c r="JQV99" s="8"/>
      <c r="JQW99" s="8"/>
      <c r="JQX99" s="8"/>
      <c r="JQY99" s="8"/>
      <c r="JQZ99" s="8"/>
      <c r="JRA99" s="8"/>
      <c r="JRB99" s="8"/>
      <c r="JRC99" s="8"/>
      <c r="JRD99" s="8"/>
      <c r="JRE99" s="8"/>
      <c r="JRF99" s="8"/>
      <c r="JRG99" s="8"/>
      <c r="JRH99" s="8"/>
      <c r="JRI99" s="8"/>
      <c r="JRJ99" s="8"/>
      <c r="JRK99" s="8"/>
      <c r="JRL99" s="8"/>
      <c r="JRM99" s="8"/>
      <c r="JRN99" s="8"/>
      <c r="JRO99" s="8"/>
      <c r="JRP99" s="8"/>
      <c r="JRQ99" s="8"/>
      <c r="JRR99" s="8"/>
      <c r="JRS99" s="8"/>
      <c r="JRT99" s="8"/>
      <c r="JRU99" s="8"/>
      <c r="JRV99" s="8"/>
      <c r="JRW99" s="8"/>
      <c r="JRX99" s="8"/>
      <c r="JRY99" s="8"/>
      <c r="JRZ99" s="8"/>
      <c r="JSA99" s="8"/>
      <c r="JSB99" s="8"/>
      <c r="JSC99" s="8"/>
      <c r="JSD99" s="8"/>
      <c r="JSE99" s="8"/>
      <c r="JSF99" s="8"/>
      <c r="JSG99" s="8"/>
      <c r="JSH99" s="8"/>
      <c r="JSI99" s="8"/>
      <c r="JSJ99" s="8"/>
      <c r="JSK99" s="8"/>
      <c r="JSL99" s="8"/>
      <c r="JSM99" s="8"/>
      <c r="JSN99" s="8"/>
      <c r="JSO99" s="8"/>
      <c r="JSP99" s="8"/>
      <c r="JSQ99" s="8"/>
      <c r="JSR99" s="8"/>
      <c r="JSS99" s="8"/>
      <c r="JST99" s="8"/>
      <c r="JSU99" s="8"/>
      <c r="JSV99" s="8"/>
      <c r="JSW99" s="8"/>
      <c r="JSX99" s="8"/>
      <c r="JSY99" s="8"/>
      <c r="JSZ99" s="8"/>
      <c r="JTA99" s="8"/>
      <c r="JTB99" s="8"/>
      <c r="JTC99" s="8"/>
      <c r="JTD99" s="8"/>
      <c r="JTE99" s="8"/>
      <c r="JTF99" s="8"/>
      <c r="JTG99" s="8"/>
      <c r="JTH99" s="8"/>
      <c r="JTI99" s="8"/>
      <c r="JTJ99" s="8"/>
      <c r="JTK99" s="8"/>
      <c r="JTL99" s="8"/>
      <c r="JTM99" s="8"/>
      <c r="JTN99" s="8"/>
      <c r="JTO99" s="8"/>
      <c r="JTP99" s="8"/>
      <c r="JTQ99" s="8"/>
      <c r="JTR99" s="8"/>
      <c r="JTS99" s="8"/>
      <c r="JTT99" s="8"/>
      <c r="JTU99" s="8"/>
      <c r="JTV99" s="8"/>
      <c r="JTW99" s="8"/>
      <c r="JTX99" s="8"/>
      <c r="JTY99" s="8"/>
      <c r="JTZ99" s="8"/>
      <c r="JUA99" s="8"/>
      <c r="JUB99" s="8"/>
      <c r="JUC99" s="8"/>
      <c r="JUD99" s="8"/>
      <c r="JUE99" s="8"/>
      <c r="JUF99" s="8"/>
      <c r="JUG99" s="8"/>
      <c r="JUH99" s="8"/>
      <c r="JUI99" s="8"/>
      <c r="JUJ99" s="8"/>
      <c r="JUK99" s="8"/>
      <c r="JUL99" s="8"/>
      <c r="JUM99" s="8"/>
      <c r="JUN99" s="8"/>
      <c r="JUO99" s="8"/>
      <c r="JUP99" s="8"/>
      <c r="JUQ99" s="8"/>
      <c r="JUR99" s="8"/>
      <c r="JUS99" s="8"/>
      <c r="JUT99" s="8"/>
      <c r="JUU99" s="8"/>
      <c r="JUV99" s="8"/>
      <c r="JUW99" s="8"/>
      <c r="JUX99" s="8"/>
      <c r="JUY99" s="8"/>
      <c r="JUZ99" s="8"/>
      <c r="JVA99" s="8"/>
      <c r="JVB99" s="8"/>
      <c r="JVC99" s="8"/>
      <c r="JVD99" s="8"/>
      <c r="JVE99" s="8"/>
      <c r="JVF99" s="8"/>
      <c r="JVG99" s="8"/>
      <c r="JVH99" s="8"/>
      <c r="JVI99" s="8"/>
      <c r="JVJ99" s="8"/>
      <c r="JVK99" s="8"/>
      <c r="JVL99" s="8"/>
      <c r="JVM99" s="8"/>
      <c r="JVN99" s="8"/>
      <c r="JVO99" s="8"/>
      <c r="JVP99" s="8"/>
      <c r="JVQ99" s="8"/>
      <c r="JVR99" s="8"/>
      <c r="JVS99" s="8"/>
      <c r="JVT99" s="8"/>
      <c r="JVU99" s="8"/>
      <c r="JVV99" s="8"/>
      <c r="JVW99" s="8"/>
      <c r="JVX99" s="8"/>
      <c r="JVY99" s="8"/>
      <c r="JVZ99" s="8"/>
      <c r="JWA99" s="8"/>
      <c r="JWB99" s="8"/>
      <c r="JWC99" s="8"/>
      <c r="JWD99" s="8"/>
      <c r="JWE99" s="8"/>
      <c r="JWF99" s="8"/>
      <c r="JWG99" s="8"/>
      <c r="JWH99" s="8"/>
      <c r="JWI99" s="8"/>
      <c r="JWJ99" s="8"/>
      <c r="JWK99" s="8"/>
      <c r="JWL99" s="8"/>
      <c r="JWM99" s="8"/>
      <c r="JWN99" s="8"/>
      <c r="JWO99" s="8"/>
      <c r="JWP99" s="8"/>
      <c r="JWQ99" s="8"/>
      <c r="JWR99" s="8"/>
      <c r="JWS99" s="8"/>
      <c r="JWT99" s="8"/>
      <c r="JWU99" s="8"/>
      <c r="JWV99" s="8"/>
      <c r="JWW99" s="8"/>
      <c r="JWX99" s="8"/>
      <c r="JWY99" s="8"/>
      <c r="JWZ99" s="8"/>
      <c r="JXA99" s="8"/>
      <c r="JXB99" s="8"/>
      <c r="JXC99" s="8"/>
      <c r="JXD99" s="8"/>
      <c r="JXE99" s="8"/>
      <c r="JXF99" s="8"/>
      <c r="JXG99" s="8"/>
      <c r="JXH99" s="8"/>
      <c r="JXI99" s="8"/>
      <c r="JXJ99" s="8"/>
      <c r="JXK99" s="8"/>
      <c r="JXL99" s="8"/>
      <c r="JXM99" s="8"/>
      <c r="JXN99" s="8"/>
      <c r="JXO99" s="8"/>
      <c r="JXP99" s="8"/>
      <c r="JXQ99" s="8"/>
      <c r="JXR99" s="8"/>
      <c r="JXS99" s="8"/>
      <c r="JXT99" s="8"/>
      <c r="JXU99" s="8"/>
      <c r="JXV99" s="8"/>
      <c r="JXW99" s="8"/>
      <c r="JXX99" s="8"/>
      <c r="JXY99" s="8"/>
      <c r="JXZ99" s="8"/>
      <c r="JYA99" s="8"/>
      <c r="JYB99" s="8"/>
      <c r="JYC99" s="8"/>
      <c r="JYD99" s="8"/>
      <c r="JYE99" s="8"/>
      <c r="JYF99" s="8"/>
      <c r="JYG99" s="8"/>
      <c r="JYH99" s="8"/>
      <c r="JYI99" s="8"/>
      <c r="JYJ99" s="8"/>
      <c r="JYK99" s="8"/>
      <c r="JYL99" s="8"/>
      <c r="JYM99" s="8"/>
      <c r="JYN99" s="8"/>
      <c r="JYO99" s="8"/>
      <c r="JYP99" s="8"/>
      <c r="JYQ99" s="8"/>
      <c r="JYR99" s="8"/>
      <c r="JYS99" s="8"/>
      <c r="JYT99" s="8"/>
      <c r="JYU99" s="8"/>
      <c r="JYV99" s="8"/>
      <c r="JYW99" s="8"/>
      <c r="JYX99" s="8"/>
      <c r="JYY99" s="8"/>
      <c r="JYZ99" s="8"/>
      <c r="JZA99" s="8"/>
      <c r="JZB99" s="8"/>
      <c r="JZC99" s="8"/>
      <c r="JZD99" s="8"/>
      <c r="JZE99" s="8"/>
      <c r="JZF99" s="8"/>
      <c r="JZG99" s="8"/>
      <c r="JZH99" s="8"/>
      <c r="JZI99" s="8"/>
      <c r="JZJ99" s="8"/>
      <c r="JZK99" s="8"/>
      <c r="JZL99" s="8"/>
      <c r="JZM99" s="8"/>
      <c r="JZN99" s="8"/>
      <c r="JZO99" s="8"/>
      <c r="JZP99" s="8"/>
      <c r="JZQ99" s="8"/>
      <c r="JZR99" s="8"/>
      <c r="JZS99" s="8"/>
      <c r="JZT99" s="8"/>
      <c r="JZU99" s="8"/>
      <c r="JZV99" s="8"/>
      <c r="JZW99" s="8"/>
      <c r="JZX99" s="8"/>
      <c r="JZY99" s="8"/>
      <c r="JZZ99" s="8"/>
      <c r="KAA99" s="8"/>
      <c r="KAB99" s="8"/>
      <c r="KAC99" s="8"/>
      <c r="KAD99" s="8"/>
      <c r="KAE99" s="8"/>
      <c r="KAF99" s="8"/>
      <c r="KAG99" s="8"/>
      <c r="KAH99" s="8"/>
      <c r="KAI99" s="8"/>
      <c r="KAJ99" s="8"/>
      <c r="KAK99" s="8"/>
      <c r="KAL99" s="8"/>
      <c r="KAM99" s="8"/>
      <c r="KAN99" s="8"/>
      <c r="KAO99" s="8"/>
      <c r="KAP99" s="8"/>
      <c r="KAQ99" s="8"/>
      <c r="KAR99" s="8"/>
      <c r="KAS99" s="8"/>
      <c r="KAT99" s="8"/>
      <c r="KAU99" s="8"/>
      <c r="KAV99" s="8"/>
      <c r="KAW99" s="8"/>
      <c r="KAX99" s="8"/>
      <c r="KAY99" s="8"/>
      <c r="KAZ99" s="8"/>
      <c r="KBA99" s="8"/>
      <c r="KBB99" s="8"/>
      <c r="KBC99" s="8"/>
      <c r="KBD99" s="8"/>
      <c r="KBE99" s="8"/>
      <c r="KBF99" s="8"/>
      <c r="KBG99" s="8"/>
      <c r="KBH99" s="8"/>
      <c r="KBI99" s="8"/>
      <c r="KBJ99" s="8"/>
      <c r="KBK99" s="8"/>
      <c r="KBL99" s="8"/>
      <c r="KBM99" s="8"/>
      <c r="KBN99" s="8"/>
      <c r="KBO99" s="8"/>
      <c r="KBP99" s="8"/>
      <c r="KBQ99" s="8"/>
      <c r="KBR99" s="8"/>
      <c r="KBS99" s="8"/>
      <c r="KBT99" s="8"/>
      <c r="KBU99" s="8"/>
      <c r="KBV99" s="8"/>
      <c r="KBW99" s="8"/>
      <c r="KBX99" s="8"/>
      <c r="KBY99" s="8"/>
      <c r="KBZ99" s="8"/>
      <c r="KCA99" s="8"/>
      <c r="KCB99" s="8"/>
      <c r="KCC99" s="8"/>
      <c r="KCD99" s="8"/>
      <c r="KCE99" s="8"/>
      <c r="KCF99" s="8"/>
      <c r="KCG99" s="8"/>
      <c r="KCH99" s="8"/>
      <c r="KCI99" s="8"/>
      <c r="KCJ99" s="8"/>
      <c r="KCK99" s="8"/>
      <c r="KCL99" s="8"/>
      <c r="KCM99" s="8"/>
      <c r="KCN99" s="8"/>
      <c r="KCO99" s="8"/>
      <c r="KCP99" s="8"/>
      <c r="KCQ99" s="8"/>
      <c r="KCR99" s="8"/>
      <c r="KCS99" s="8"/>
      <c r="KCT99" s="8"/>
      <c r="KCU99" s="8"/>
      <c r="KCV99" s="8"/>
      <c r="KCW99" s="8"/>
      <c r="KCX99" s="8"/>
      <c r="KCY99" s="8"/>
      <c r="KCZ99" s="8"/>
      <c r="KDA99" s="8"/>
      <c r="KDB99" s="8"/>
      <c r="KDC99" s="8"/>
      <c r="KDD99" s="8"/>
      <c r="KDE99" s="8"/>
      <c r="KDF99" s="8"/>
      <c r="KDG99" s="8"/>
      <c r="KDH99" s="8"/>
      <c r="KDI99" s="8"/>
      <c r="KDJ99" s="8"/>
      <c r="KDK99" s="8"/>
      <c r="KDL99" s="8"/>
      <c r="KDM99" s="8"/>
      <c r="KDN99" s="8"/>
      <c r="KDO99" s="8"/>
      <c r="KDP99" s="8"/>
      <c r="KDQ99" s="8"/>
      <c r="KDR99" s="8"/>
      <c r="KDS99" s="8"/>
      <c r="KDT99" s="8"/>
      <c r="KDU99" s="8"/>
      <c r="KDV99" s="8"/>
      <c r="KDW99" s="8"/>
      <c r="KDX99" s="8"/>
      <c r="KDY99" s="8"/>
      <c r="KDZ99" s="8"/>
      <c r="KEA99" s="8"/>
      <c r="KEB99" s="8"/>
      <c r="KEC99" s="8"/>
      <c r="KED99" s="8"/>
      <c r="KEE99" s="8"/>
      <c r="KEF99" s="8"/>
      <c r="KEG99" s="8"/>
      <c r="KEH99" s="8"/>
      <c r="KEI99" s="8"/>
      <c r="KEJ99" s="8"/>
      <c r="KEK99" s="8"/>
      <c r="KEL99" s="8"/>
      <c r="KEM99" s="8"/>
      <c r="KEN99" s="8"/>
      <c r="KEO99" s="8"/>
      <c r="KEP99" s="8"/>
      <c r="KEQ99" s="8"/>
      <c r="KER99" s="8"/>
      <c r="KES99" s="8"/>
      <c r="KET99" s="8"/>
      <c r="KEU99" s="8"/>
      <c r="KEV99" s="8"/>
      <c r="KEW99" s="8"/>
      <c r="KEX99" s="8"/>
      <c r="KEY99" s="8"/>
      <c r="KEZ99" s="8"/>
      <c r="KFA99" s="8"/>
      <c r="KFB99" s="8"/>
      <c r="KFC99" s="8"/>
      <c r="KFD99" s="8"/>
      <c r="KFE99" s="8"/>
      <c r="KFF99" s="8"/>
      <c r="KFG99" s="8"/>
      <c r="KFH99" s="8"/>
      <c r="KFI99" s="8"/>
      <c r="KFJ99" s="8"/>
      <c r="KFK99" s="8"/>
      <c r="KFL99" s="8"/>
      <c r="KFM99" s="8"/>
      <c r="KFN99" s="8"/>
      <c r="KFO99" s="8"/>
      <c r="KFP99" s="8"/>
      <c r="KFQ99" s="8"/>
      <c r="KFR99" s="8"/>
      <c r="KFS99" s="8"/>
      <c r="KFT99" s="8"/>
      <c r="KFU99" s="8"/>
      <c r="KFV99" s="8"/>
      <c r="KFW99" s="8"/>
      <c r="KFX99" s="8"/>
      <c r="KFY99" s="8"/>
      <c r="KFZ99" s="8"/>
      <c r="KGA99" s="8"/>
      <c r="KGB99" s="8"/>
      <c r="KGC99" s="8"/>
      <c r="KGD99" s="8"/>
      <c r="KGE99" s="8"/>
      <c r="KGF99" s="8"/>
      <c r="KGG99" s="8"/>
      <c r="KGH99" s="8"/>
      <c r="KGI99" s="8"/>
      <c r="KGJ99" s="8"/>
      <c r="KGK99" s="8"/>
      <c r="KGL99" s="8"/>
      <c r="KGM99" s="8"/>
      <c r="KGN99" s="8"/>
      <c r="KGO99" s="8"/>
      <c r="KGP99" s="8"/>
      <c r="KGQ99" s="8"/>
      <c r="KGR99" s="8"/>
      <c r="KGS99" s="8"/>
      <c r="KGT99" s="8"/>
      <c r="KGU99" s="8"/>
      <c r="KGV99" s="8"/>
      <c r="KGW99" s="8"/>
      <c r="KGX99" s="8"/>
      <c r="KGY99" s="8"/>
      <c r="KGZ99" s="8"/>
      <c r="KHA99" s="8"/>
      <c r="KHB99" s="8"/>
      <c r="KHC99" s="8"/>
      <c r="KHD99" s="8"/>
      <c r="KHE99" s="8"/>
      <c r="KHF99" s="8"/>
      <c r="KHG99" s="8"/>
      <c r="KHH99" s="8"/>
      <c r="KHI99" s="8"/>
      <c r="KHJ99" s="8"/>
      <c r="KHK99" s="8"/>
      <c r="KHL99" s="8"/>
      <c r="KHM99" s="8"/>
      <c r="KHN99" s="8"/>
      <c r="KHO99" s="8"/>
      <c r="KHP99" s="8"/>
      <c r="KHQ99" s="8"/>
      <c r="KHR99" s="8"/>
      <c r="KHS99" s="8"/>
      <c r="KHT99" s="8"/>
      <c r="KHU99" s="8"/>
      <c r="KHV99" s="8"/>
      <c r="KHW99" s="8"/>
      <c r="KHX99" s="8"/>
      <c r="KHY99" s="8"/>
      <c r="KHZ99" s="8"/>
      <c r="KIA99" s="8"/>
      <c r="KIB99" s="8"/>
      <c r="KIC99" s="8"/>
      <c r="KID99" s="8"/>
      <c r="KIE99" s="8"/>
      <c r="KIF99" s="8"/>
      <c r="KIG99" s="8"/>
      <c r="KIH99" s="8"/>
      <c r="KII99" s="8"/>
      <c r="KIJ99" s="8"/>
      <c r="KIK99" s="8"/>
      <c r="KIL99" s="8"/>
      <c r="KIM99" s="8"/>
      <c r="KIN99" s="8"/>
      <c r="KIO99" s="8"/>
      <c r="KIP99" s="8"/>
      <c r="KIQ99" s="8"/>
      <c r="KIR99" s="8"/>
      <c r="KIS99" s="8"/>
      <c r="KIT99" s="8"/>
      <c r="KIU99" s="8"/>
      <c r="KIV99" s="8"/>
      <c r="KIW99" s="8"/>
      <c r="KIX99" s="8"/>
      <c r="KIY99" s="8"/>
      <c r="KIZ99" s="8"/>
      <c r="KJA99" s="8"/>
      <c r="KJB99" s="8"/>
      <c r="KJC99" s="8"/>
      <c r="KJD99" s="8"/>
      <c r="KJE99" s="8"/>
      <c r="KJF99" s="8"/>
      <c r="KJG99" s="8"/>
      <c r="KJH99" s="8"/>
      <c r="KJI99" s="8"/>
      <c r="KJJ99" s="8"/>
      <c r="KJK99" s="8"/>
      <c r="KJL99" s="8"/>
      <c r="KJM99" s="8"/>
      <c r="KJN99" s="8"/>
      <c r="KJO99" s="8"/>
      <c r="KJP99" s="8"/>
      <c r="KJQ99" s="8"/>
      <c r="KJR99" s="8"/>
      <c r="KJS99" s="8"/>
      <c r="KJT99" s="8"/>
      <c r="KJU99" s="8"/>
      <c r="KJV99" s="8"/>
      <c r="KJW99" s="8"/>
      <c r="KJX99" s="8"/>
      <c r="KJY99" s="8"/>
      <c r="KJZ99" s="8"/>
      <c r="KKA99" s="8"/>
      <c r="KKB99" s="8"/>
      <c r="KKC99" s="8"/>
      <c r="KKD99" s="8"/>
      <c r="KKE99" s="8"/>
      <c r="KKF99" s="8"/>
      <c r="KKG99" s="8"/>
      <c r="KKH99" s="8"/>
      <c r="KKI99" s="8"/>
      <c r="KKJ99" s="8"/>
      <c r="KKK99" s="8"/>
      <c r="KKL99" s="8"/>
      <c r="KKM99" s="8"/>
      <c r="KKN99" s="8"/>
      <c r="KKO99" s="8"/>
      <c r="KKP99" s="8"/>
      <c r="KKQ99" s="8"/>
      <c r="KKR99" s="8"/>
      <c r="KKS99" s="8"/>
      <c r="KKT99" s="8"/>
      <c r="KKU99" s="8"/>
      <c r="KKV99" s="8"/>
      <c r="KKW99" s="8"/>
      <c r="KKX99" s="8"/>
      <c r="KKY99" s="8"/>
      <c r="KKZ99" s="8"/>
      <c r="KLA99" s="8"/>
      <c r="KLB99" s="8"/>
      <c r="KLC99" s="8"/>
      <c r="KLD99" s="8"/>
      <c r="KLE99" s="8"/>
      <c r="KLF99" s="8"/>
      <c r="KLG99" s="8"/>
      <c r="KLH99" s="8"/>
      <c r="KLI99" s="8"/>
      <c r="KLJ99" s="8"/>
      <c r="KLK99" s="8"/>
      <c r="KLL99" s="8"/>
      <c r="KLM99" s="8"/>
      <c r="KLN99" s="8"/>
      <c r="KLO99" s="8"/>
      <c r="KLP99" s="8"/>
      <c r="KLQ99" s="8"/>
      <c r="KLR99" s="8"/>
      <c r="KLS99" s="8"/>
      <c r="KLT99" s="8"/>
      <c r="KLU99" s="8"/>
      <c r="KLV99" s="8"/>
      <c r="KLW99" s="8"/>
      <c r="KLX99" s="8"/>
      <c r="KLY99" s="8"/>
      <c r="KLZ99" s="8"/>
      <c r="KMA99" s="8"/>
      <c r="KMB99" s="8"/>
      <c r="KMC99" s="8"/>
      <c r="KMD99" s="8"/>
      <c r="KME99" s="8"/>
      <c r="KMF99" s="8"/>
      <c r="KMG99" s="8"/>
      <c r="KMH99" s="8"/>
      <c r="KMI99" s="8"/>
      <c r="KMJ99" s="8"/>
      <c r="KMK99" s="8"/>
      <c r="KML99" s="8"/>
      <c r="KMM99" s="8"/>
      <c r="KMN99" s="8"/>
      <c r="KMO99" s="8"/>
      <c r="KMP99" s="8"/>
      <c r="KMQ99" s="8"/>
      <c r="KMR99" s="8"/>
      <c r="KMS99" s="8"/>
      <c r="KMT99" s="8"/>
      <c r="KMU99" s="8"/>
      <c r="KMV99" s="8"/>
      <c r="KMW99" s="8"/>
      <c r="KMX99" s="8"/>
      <c r="KMY99" s="8"/>
      <c r="KMZ99" s="8"/>
      <c r="KNA99" s="8"/>
      <c r="KNB99" s="8"/>
      <c r="KNC99" s="8"/>
      <c r="KND99" s="8"/>
      <c r="KNE99" s="8"/>
      <c r="KNF99" s="8"/>
      <c r="KNG99" s="8"/>
      <c r="KNH99" s="8"/>
      <c r="KNI99" s="8"/>
      <c r="KNJ99" s="8"/>
      <c r="KNK99" s="8"/>
      <c r="KNL99" s="8"/>
      <c r="KNM99" s="8"/>
      <c r="KNN99" s="8"/>
      <c r="KNO99" s="8"/>
      <c r="KNP99" s="8"/>
      <c r="KNQ99" s="8"/>
      <c r="KNR99" s="8"/>
      <c r="KNS99" s="8"/>
      <c r="KNT99" s="8"/>
      <c r="KNU99" s="8"/>
      <c r="KNV99" s="8"/>
      <c r="KNW99" s="8"/>
      <c r="KNX99" s="8"/>
      <c r="KNY99" s="8"/>
      <c r="KNZ99" s="8"/>
      <c r="KOA99" s="8"/>
      <c r="KOB99" s="8"/>
      <c r="KOC99" s="8"/>
      <c r="KOD99" s="8"/>
      <c r="KOE99" s="8"/>
      <c r="KOF99" s="8"/>
      <c r="KOG99" s="8"/>
      <c r="KOH99" s="8"/>
      <c r="KOI99" s="8"/>
      <c r="KOJ99" s="8"/>
      <c r="KOK99" s="8"/>
      <c r="KOL99" s="8"/>
      <c r="KOM99" s="8"/>
      <c r="KON99" s="8"/>
      <c r="KOO99" s="8"/>
      <c r="KOP99" s="8"/>
      <c r="KOQ99" s="8"/>
      <c r="KOR99" s="8"/>
      <c r="KOS99" s="8"/>
      <c r="KOT99" s="8"/>
      <c r="KOU99" s="8"/>
      <c r="KOV99" s="8"/>
      <c r="KOW99" s="8"/>
      <c r="KOX99" s="8"/>
      <c r="KOY99" s="8"/>
      <c r="KOZ99" s="8"/>
      <c r="KPA99" s="8"/>
      <c r="KPB99" s="8"/>
      <c r="KPC99" s="8"/>
      <c r="KPD99" s="8"/>
      <c r="KPE99" s="8"/>
      <c r="KPF99" s="8"/>
      <c r="KPG99" s="8"/>
      <c r="KPH99" s="8"/>
      <c r="KPI99" s="8"/>
      <c r="KPJ99" s="8"/>
      <c r="KPK99" s="8"/>
      <c r="KPL99" s="8"/>
      <c r="KPM99" s="8"/>
      <c r="KPN99" s="8"/>
      <c r="KPO99" s="8"/>
      <c r="KPP99" s="8"/>
      <c r="KPQ99" s="8"/>
      <c r="KPR99" s="8"/>
      <c r="KPS99" s="8"/>
      <c r="KPT99" s="8"/>
      <c r="KPU99" s="8"/>
      <c r="KPV99" s="8"/>
      <c r="KPW99" s="8"/>
      <c r="KPX99" s="8"/>
      <c r="KPY99" s="8"/>
      <c r="KPZ99" s="8"/>
      <c r="KQA99" s="8"/>
      <c r="KQB99" s="8"/>
      <c r="KQC99" s="8"/>
      <c r="KQD99" s="8"/>
      <c r="KQE99" s="8"/>
      <c r="KQF99" s="8"/>
      <c r="KQG99" s="8"/>
      <c r="KQH99" s="8"/>
      <c r="KQI99" s="8"/>
      <c r="KQJ99" s="8"/>
      <c r="KQK99" s="8"/>
      <c r="KQL99" s="8"/>
      <c r="KQM99" s="8"/>
      <c r="KQN99" s="8"/>
      <c r="KQO99" s="8"/>
      <c r="KQP99" s="8"/>
      <c r="KQQ99" s="8"/>
      <c r="KQR99" s="8"/>
      <c r="KQS99" s="8"/>
      <c r="KQT99" s="8"/>
      <c r="KQU99" s="8"/>
      <c r="KQV99" s="8"/>
      <c r="KQW99" s="8"/>
      <c r="KQX99" s="8"/>
      <c r="KQY99" s="8"/>
      <c r="KQZ99" s="8"/>
      <c r="KRA99" s="8"/>
      <c r="KRB99" s="8"/>
      <c r="KRC99" s="8"/>
      <c r="KRD99" s="8"/>
      <c r="KRE99" s="8"/>
      <c r="KRF99" s="8"/>
      <c r="KRG99" s="8"/>
      <c r="KRH99" s="8"/>
      <c r="KRI99" s="8"/>
      <c r="KRJ99" s="8"/>
      <c r="KRK99" s="8"/>
      <c r="KRL99" s="8"/>
      <c r="KRM99" s="8"/>
      <c r="KRN99" s="8"/>
      <c r="KRO99" s="8"/>
      <c r="KRP99" s="8"/>
      <c r="KRQ99" s="8"/>
      <c r="KRR99" s="8"/>
      <c r="KRS99" s="8"/>
      <c r="KRT99" s="8"/>
      <c r="KRU99" s="8"/>
      <c r="KRV99" s="8"/>
      <c r="KRW99" s="8"/>
      <c r="KRX99" s="8"/>
      <c r="KRY99" s="8"/>
      <c r="KRZ99" s="8"/>
      <c r="KSA99" s="8"/>
      <c r="KSB99" s="8"/>
      <c r="KSC99" s="8"/>
      <c r="KSD99" s="8"/>
      <c r="KSE99" s="8"/>
      <c r="KSF99" s="8"/>
      <c r="KSG99" s="8"/>
      <c r="KSH99" s="8"/>
      <c r="KSI99" s="8"/>
      <c r="KSJ99" s="8"/>
      <c r="KSK99" s="8"/>
      <c r="KSL99" s="8"/>
      <c r="KSM99" s="8"/>
      <c r="KSN99" s="8"/>
      <c r="KSO99" s="8"/>
      <c r="KSP99" s="8"/>
      <c r="KSQ99" s="8"/>
      <c r="KSR99" s="8"/>
      <c r="KSS99" s="8"/>
      <c r="KST99" s="8"/>
      <c r="KSU99" s="8"/>
      <c r="KSV99" s="8"/>
      <c r="KSW99" s="8"/>
      <c r="KSX99" s="8"/>
      <c r="KSY99" s="8"/>
      <c r="KSZ99" s="8"/>
      <c r="KTA99" s="8"/>
      <c r="KTB99" s="8"/>
      <c r="KTC99" s="8"/>
      <c r="KTD99" s="8"/>
      <c r="KTE99" s="8"/>
      <c r="KTF99" s="8"/>
      <c r="KTG99" s="8"/>
      <c r="KTH99" s="8"/>
      <c r="KTI99" s="8"/>
      <c r="KTJ99" s="8"/>
      <c r="KTK99" s="8"/>
      <c r="KTL99" s="8"/>
      <c r="KTM99" s="8"/>
      <c r="KTN99" s="8"/>
      <c r="KTO99" s="8"/>
      <c r="KTP99" s="8"/>
      <c r="KTQ99" s="8"/>
      <c r="KTR99" s="8"/>
      <c r="KTS99" s="8"/>
      <c r="KTT99" s="8"/>
      <c r="KTU99" s="8"/>
      <c r="KTV99" s="8"/>
      <c r="KTW99" s="8"/>
      <c r="KTX99" s="8"/>
      <c r="KTY99" s="8"/>
      <c r="KTZ99" s="8"/>
      <c r="KUA99" s="8"/>
      <c r="KUB99" s="8"/>
      <c r="KUC99" s="8"/>
      <c r="KUD99" s="8"/>
      <c r="KUE99" s="8"/>
      <c r="KUF99" s="8"/>
      <c r="KUG99" s="8"/>
      <c r="KUH99" s="8"/>
      <c r="KUI99" s="8"/>
      <c r="KUJ99" s="8"/>
      <c r="KUK99" s="8"/>
      <c r="KUL99" s="8"/>
      <c r="KUM99" s="8"/>
      <c r="KUN99" s="8"/>
      <c r="KUO99" s="8"/>
      <c r="KUP99" s="8"/>
      <c r="KUQ99" s="8"/>
      <c r="KUR99" s="8"/>
      <c r="KUS99" s="8"/>
      <c r="KUT99" s="8"/>
      <c r="KUU99" s="8"/>
      <c r="KUV99" s="8"/>
      <c r="KUW99" s="8"/>
      <c r="KUX99" s="8"/>
      <c r="KUY99" s="8"/>
      <c r="KUZ99" s="8"/>
      <c r="KVA99" s="8"/>
      <c r="KVB99" s="8"/>
      <c r="KVC99" s="8"/>
      <c r="KVD99" s="8"/>
      <c r="KVE99" s="8"/>
      <c r="KVF99" s="8"/>
      <c r="KVG99" s="8"/>
      <c r="KVH99" s="8"/>
      <c r="KVI99" s="8"/>
      <c r="KVJ99" s="8"/>
      <c r="KVK99" s="8"/>
      <c r="KVL99" s="8"/>
      <c r="KVM99" s="8"/>
      <c r="KVN99" s="8"/>
      <c r="KVO99" s="8"/>
      <c r="KVP99" s="8"/>
      <c r="KVQ99" s="8"/>
      <c r="KVR99" s="8"/>
      <c r="KVS99" s="8"/>
      <c r="KVT99" s="8"/>
      <c r="KVU99" s="8"/>
      <c r="KVV99" s="8"/>
      <c r="KVW99" s="8"/>
      <c r="KVX99" s="8"/>
      <c r="KVY99" s="8"/>
      <c r="KVZ99" s="8"/>
      <c r="KWA99" s="8"/>
      <c r="KWB99" s="8"/>
      <c r="KWC99" s="8"/>
      <c r="KWD99" s="8"/>
      <c r="KWE99" s="8"/>
      <c r="KWF99" s="8"/>
      <c r="KWG99" s="8"/>
      <c r="KWH99" s="8"/>
      <c r="KWI99" s="8"/>
      <c r="KWJ99" s="8"/>
      <c r="KWK99" s="8"/>
      <c r="KWL99" s="8"/>
      <c r="KWM99" s="8"/>
      <c r="KWN99" s="8"/>
      <c r="KWO99" s="8"/>
      <c r="KWP99" s="8"/>
      <c r="KWQ99" s="8"/>
      <c r="KWR99" s="8"/>
      <c r="KWS99" s="8"/>
      <c r="KWT99" s="8"/>
      <c r="KWU99" s="8"/>
      <c r="KWV99" s="8"/>
      <c r="KWW99" s="8"/>
      <c r="KWX99" s="8"/>
      <c r="KWY99" s="8"/>
      <c r="KWZ99" s="8"/>
      <c r="KXA99" s="8"/>
      <c r="KXB99" s="8"/>
      <c r="KXC99" s="8"/>
      <c r="KXD99" s="8"/>
      <c r="KXE99" s="8"/>
      <c r="KXF99" s="8"/>
      <c r="KXG99" s="8"/>
      <c r="KXH99" s="8"/>
      <c r="KXI99" s="8"/>
      <c r="KXJ99" s="8"/>
      <c r="KXK99" s="8"/>
      <c r="KXL99" s="8"/>
      <c r="KXM99" s="8"/>
      <c r="KXN99" s="8"/>
      <c r="KXO99" s="8"/>
      <c r="KXP99" s="8"/>
      <c r="KXQ99" s="8"/>
      <c r="KXR99" s="8"/>
      <c r="KXS99" s="8"/>
      <c r="KXT99" s="8"/>
      <c r="KXU99" s="8"/>
      <c r="KXV99" s="8"/>
      <c r="KXW99" s="8"/>
      <c r="KXX99" s="8"/>
      <c r="KXY99" s="8"/>
      <c r="KXZ99" s="8"/>
      <c r="KYA99" s="8"/>
      <c r="KYB99" s="8"/>
      <c r="KYC99" s="8"/>
      <c r="KYD99" s="8"/>
      <c r="KYE99" s="8"/>
      <c r="KYF99" s="8"/>
      <c r="KYG99" s="8"/>
      <c r="KYH99" s="8"/>
      <c r="KYI99" s="8"/>
      <c r="KYJ99" s="8"/>
      <c r="KYK99" s="8"/>
      <c r="KYL99" s="8"/>
      <c r="KYM99" s="8"/>
      <c r="KYN99" s="8"/>
      <c r="KYO99" s="8"/>
      <c r="KYP99" s="8"/>
      <c r="KYQ99" s="8"/>
      <c r="KYR99" s="8"/>
      <c r="KYS99" s="8"/>
      <c r="KYT99" s="8"/>
      <c r="KYU99" s="8"/>
      <c r="KYV99" s="8"/>
      <c r="KYW99" s="8"/>
      <c r="KYX99" s="8"/>
      <c r="KYY99" s="8"/>
      <c r="KYZ99" s="8"/>
      <c r="KZA99" s="8"/>
      <c r="KZB99" s="8"/>
      <c r="KZC99" s="8"/>
      <c r="KZD99" s="8"/>
      <c r="KZE99" s="8"/>
      <c r="KZF99" s="8"/>
      <c r="KZG99" s="8"/>
      <c r="KZH99" s="8"/>
      <c r="KZI99" s="8"/>
      <c r="KZJ99" s="8"/>
      <c r="KZK99" s="8"/>
      <c r="KZL99" s="8"/>
      <c r="KZM99" s="8"/>
      <c r="KZN99" s="8"/>
      <c r="KZO99" s="8"/>
      <c r="KZP99" s="8"/>
      <c r="KZQ99" s="8"/>
      <c r="KZR99" s="8"/>
      <c r="KZS99" s="8"/>
      <c r="KZT99" s="8"/>
      <c r="KZU99" s="8"/>
      <c r="KZV99" s="8"/>
      <c r="KZW99" s="8"/>
      <c r="KZX99" s="8"/>
      <c r="KZY99" s="8"/>
      <c r="KZZ99" s="8"/>
      <c r="LAA99" s="8"/>
      <c r="LAB99" s="8"/>
      <c r="LAC99" s="8"/>
      <c r="LAD99" s="8"/>
      <c r="LAE99" s="8"/>
      <c r="LAF99" s="8"/>
      <c r="LAG99" s="8"/>
      <c r="LAH99" s="8"/>
      <c r="LAI99" s="8"/>
      <c r="LAJ99" s="8"/>
      <c r="LAK99" s="8"/>
      <c r="LAL99" s="8"/>
      <c r="LAM99" s="8"/>
      <c r="LAN99" s="8"/>
      <c r="LAO99" s="8"/>
      <c r="LAP99" s="8"/>
      <c r="LAQ99" s="8"/>
      <c r="LAR99" s="8"/>
      <c r="LAS99" s="8"/>
      <c r="LAT99" s="8"/>
      <c r="LAU99" s="8"/>
      <c r="LAV99" s="8"/>
      <c r="LAW99" s="8"/>
      <c r="LAX99" s="8"/>
      <c r="LAY99" s="8"/>
      <c r="LAZ99" s="8"/>
      <c r="LBA99" s="8"/>
      <c r="LBB99" s="8"/>
      <c r="LBC99" s="8"/>
      <c r="LBD99" s="8"/>
      <c r="LBE99" s="8"/>
      <c r="LBF99" s="8"/>
      <c r="LBG99" s="8"/>
      <c r="LBH99" s="8"/>
      <c r="LBI99" s="8"/>
      <c r="LBJ99" s="8"/>
      <c r="LBK99" s="8"/>
      <c r="LBL99" s="8"/>
      <c r="LBM99" s="8"/>
      <c r="LBN99" s="8"/>
      <c r="LBO99" s="8"/>
      <c r="LBP99" s="8"/>
      <c r="LBQ99" s="8"/>
      <c r="LBR99" s="8"/>
      <c r="LBS99" s="8"/>
      <c r="LBT99" s="8"/>
      <c r="LBU99" s="8"/>
      <c r="LBV99" s="8"/>
      <c r="LBW99" s="8"/>
      <c r="LBX99" s="8"/>
      <c r="LBY99" s="8"/>
      <c r="LBZ99" s="8"/>
      <c r="LCA99" s="8"/>
      <c r="LCB99" s="8"/>
      <c r="LCC99" s="8"/>
      <c r="LCD99" s="8"/>
      <c r="LCE99" s="8"/>
      <c r="LCF99" s="8"/>
      <c r="LCG99" s="8"/>
      <c r="LCH99" s="8"/>
      <c r="LCI99" s="8"/>
      <c r="LCJ99" s="8"/>
      <c r="LCK99" s="8"/>
      <c r="LCL99" s="8"/>
      <c r="LCM99" s="8"/>
      <c r="LCN99" s="8"/>
      <c r="LCO99" s="8"/>
      <c r="LCP99" s="8"/>
      <c r="LCQ99" s="8"/>
      <c r="LCR99" s="8"/>
      <c r="LCS99" s="8"/>
      <c r="LCT99" s="8"/>
      <c r="LCU99" s="8"/>
      <c r="LCV99" s="8"/>
      <c r="LCW99" s="8"/>
      <c r="LCX99" s="8"/>
      <c r="LCY99" s="8"/>
      <c r="LCZ99" s="8"/>
      <c r="LDA99" s="8"/>
      <c r="LDB99" s="8"/>
      <c r="LDC99" s="8"/>
      <c r="LDD99" s="8"/>
      <c r="LDE99" s="8"/>
      <c r="LDF99" s="8"/>
      <c r="LDG99" s="8"/>
      <c r="LDH99" s="8"/>
      <c r="LDI99" s="8"/>
      <c r="LDJ99" s="8"/>
      <c r="LDK99" s="8"/>
      <c r="LDL99" s="8"/>
      <c r="LDM99" s="8"/>
      <c r="LDN99" s="8"/>
      <c r="LDO99" s="8"/>
      <c r="LDP99" s="8"/>
      <c r="LDQ99" s="8"/>
      <c r="LDR99" s="8"/>
      <c r="LDS99" s="8"/>
      <c r="LDT99" s="8"/>
      <c r="LDU99" s="8"/>
      <c r="LDV99" s="8"/>
      <c r="LDW99" s="8"/>
      <c r="LDX99" s="8"/>
      <c r="LDY99" s="8"/>
      <c r="LDZ99" s="8"/>
      <c r="LEA99" s="8"/>
      <c r="LEB99" s="8"/>
      <c r="LEC99" s="8"/>
      <c r="LED99" s="8"/>
      <c r="LEE99" s="8"/>
      <c r="LEF99" s="8"/>
      <c r="LEG99" s="8"/>
      <c r="LEH99" s="8"/>
      <c r="LEI99" s="8"/>
      <c r="LEJ99" s="8"/>
      <c r="LEK99" s="8"/>
      <c r="LEL99" s="8"/>
      <c r="LEM99" s="8"/>
      <c r="LEN99" s="8"/>
      <c r="LEO99" s="8"/>
      <c r="LEP99" s="8"/>
      <c r="LEQ99" s="8"/>
      <c r="LER99" s="8"/>
      <c r="LES99" s="8"/>
      <c r="LET99" s="8"/>
      <c r="LEU99" s="8"/>
      <c r="LEV99" s="8"/>
      <c r="LEW99" s="8"/>
      <c r="LEX99" s="8"/>
      <c r="LEY99" s="8"/>
      <c r="LEZ99" s="8"/>
      <c r="LFA99" s="8"/>
      <c r="LFB99" s="8"/>
      <c r="LFC99" s="8"/>
      <c r="LFD99" s="8"/>
      <c r="LFE99" s="8"/>
      <c r="LFF99" s="8"/>
      <c r="LFG99" s="8"/>
      <c r="LFH99" s="8"/>
      <c r="LFI99" s="8"/>
      <c r="LFJ99" s="8"/>
      <c r="LFK99" s="8"/>
      <c r="LFL99" s="8"/>
      <c r="LFM99" s="8"/>
      <c r="LFN99" s="8"/>
      <c r="LFO99" s="8"/>
      <c r="LFP99" s="8"/>
      <c r="LFQ99" s="8"/>
      <c r="LFR99" s="8"/>
      <c r="LFS99" s="8"/>
      <c r="LFT99" s="8"/>
      <c r="LFU99" s="8"/>
      <c r="LFV99" s="8"/>
      <c r="LFW99" s="8"/>
      <c r="LFX99" s="8"/>
      <c r="LFY99" s="8"/>
      <c r="LFZ99" s="8"/>
      <c r="LGA99" s="8"/>
      <c r="LGB99" s="8"/>
      <c r="LGC99" s="8"/>
      <c r="LGD99" s="8"/>
      <c r="LGE99" s="8"/>
      <c r="LGF99" s="8"/>
      <c r="LGG99" s="8"/>
      <c r="LGH99" s="8"/>
      <c r="LGI99" s="8"/>
      <c r="LGJ99" s="8"/>
      <c r="LGK99" s="8"/>
      <c r="LGL99" s="8"/>
      <c r="LGM99" s="8"/>
      <c r="LGN99" s="8"/>
      <c r="LGO99" s="8"/>
      <c r="LGP99" s="8"/>
      <c r="LGQ99" s="8"/>
      <c r="LGR99" s="8"/>
      <c r="LGS99" s="8"/>
      <c r="LGT99" s="8"/>
      <c r="LGU99" s="8"/>
      <c r="LGV99" s="8"/>
      <c r="LGW99" s="8"/>
      <c r="LGX99" s="8"/>
      <c r="LGY99" s="8"/>
      <c r="LGZ99" s="8"/>
      <c r="LHA99" s="8"/>
      <c r="LHB99" s="8"/>
      <c r="LHC99" s="8"/>
      <c r="LHD99" s="8"/>
      <c r="LHE99" s="8"/>
      <c r="LHF99" s="8"/>
      <c r="LHG99" s="8"/>
      <c r="LHH99" s="8"/>
      <c r="LHI99" s="8"/>
      <c r="LHJ99" s="8"/>
      <c r="LHK99" s="8"/>
      <c r="LHL99" s="8"/>
      <c r="LHM99" s="8"/>
      <c r="LHN99" s="8"/>
      <c r="LHO99" s="8"/>
      <c r="LHP99" s="8"/>
      <c r="LHQ99" s="8"/>
      <c r="LHR99" s="8"/>
      <c r="LHS99" s="8"/>
      <c r="LHT99" s="8"/>
      <c r="LHU99" s="8"/>
      <c r="LHV99" s="8"/>
      <c r="LHW99" s="8"/>
      <c r="LHX99" s="8"/>
      <c r="LHY99" s="8"/>
      <c r="LHZ99" s="8"/>
      <c r="LIA99" s="8"/>
      <c r="LIB99" s="8"/>
      <c r="LIC99" s="8"/>
      <c r="LID99" s="8"/>
      <c r="LIE99" s="8"/>
      <c r="LIF99" s="8"/>
      <c r="LIG99" s="8"/>
      <c r="LIH99" s="8"/>
      <c r="LII99" s="8"/>
      <c r="LIJ99" s="8"/>
      <c r="LIK99" s="8"/>
      <c r="LIL99" s="8"/>
      <c r="LIM99" s="8"/>
      <c r="LIN99" s="8"/>
      <c r="LIO99" s="8"/>
      <c r="LIP99" s="8"/>
      <c r="LIQ99" s="8"/>
      <c r="LIR99" s="8"/>
      <c r="LIS99" s="8"/>
      <c r="LIT99" s="8"/>
      <c r="LIU99" s="8"/>
      <c r="LIV99" s="8"/>
      <c r="LIW99" s="8"/>
      <c r="LIX99" s="8"/>
      <c r="LIY99" s="8"/>
      <c r="LIZ99" s="8"/>
      <c r="LJA99" s="8"/>
      <c r="LJB99" s="8"/>
      <c r="LJC99" s="8"/>
      <c r="LJD99" s="8"/>
      <c r="LJE99" s="8"/>
      <c r="LJF99" s="8"/>
      <c r="LJG99" s="8"/>
      <c r="LJH99" s="8"/>
      <c r="LJI99" s="8"/>
      <c r="LJJ99" s="8"/>
      <c r="LJK99" s="8"/>
      <c r="LJL99" s="8"/>
      <c r="LJM99" s="8"/>
      <c r="LJN99" s="8"/>
      <c r="LJO99" s="8"/>
      <c r="LJP99" s="8"/>
      <c r="LJQ99" s="8"/>
      <c r="LJR99" s="8"/>
      <c r="LJS99" s="8"/>
      <c r="LJT99" s="8"/>
      <c r="LJU99" s="8"/>
      <c r="LJV99" s="8"/>
      <c r="LJW99" s="8"/>
      <c r="LJX99" s="8"/>
      <c r="LJY99" s="8"/>
      <c r="LJZ99" s="8"/>
      <c r="LKA99" s="8"/>
      <c r="LKB99" s="8"/>
      <c r="LKC99" s="8"/>
      <c r="LKD99" s="8"/>
      <c r="LKE99" s="8"/>
      <c r="LKF99" s="8"/>
      <c r="LKG99" s="8"/>
      <c r="LKH99" s="8"/>
      <c r="LKI99" s="8"/>
      <c r="LKJ99" s="8"/>
      <c r="LKK99" s="8"/>
      <c r="LKL99" s="8"/>
      <c r="LKM99" s="8"/>
      <c r="LKN99" s="8"/>
      <c r="LKO99" s="8"/>
      <c r="LKP99" s="8"/>
      <c r="LKQ99" s="8"/>
      <c r="LKR99" s="8"/>
      <c r="LKS99" s="8"/>
      <c r="LKT99" s="8"/>
      <c r="LKU99" s="8"/>
      <c r="LKV99" s="8"/>
      <c r="LKW99" s="8"/>
      <c r="LKX99" s="8"/>
      <c r="LKY99" s="8"/>
      <c r="LKZ99" s="8"/>
      <c r="LLA99" s="8"/>
      <c r="LLB99" s="8"/>
      <c r="LLC99" s="8"/>
      <c r="LLD99" s="8"/>
      <c r="LLE99" s="8"/>
      <c r="LLF99" s="8"/>
      <c r="LLG99" s="8"/>
      <c r="LLH99" s="8"/>
      <c r="LLI99" s="8"/>
      <c r="LLJ99" s="8"/>
      <c r="LLK99" s="8"/>
      <c r="LLL99" s="8"/>
      <c r="LLM99" s="8"/>
      <c r="LLN99" s="8"/>
      <c r="LLO99" s="8"/>
      <c r="LLP99" s="8"/>
      <c r="LLQ99" s="8"/>
      <c r="LLR99" s="8"/>
      <c r="LLS99" s="8"/>
      <c r="LLT99" s="8"/>
      <c r="LLU99" s="8"/>
      <c r="LLV99" s="8"/>
      <c r="LLW99" s="8"/>
      <c r="LLX99" s="8"/>
      <c r="LLY99" s="8"/>
      <c r="LLZ99" s="8"/>
      <c r="LMA99" s="8"/>
      <c r="LMB99" s="8"/>
      <c r="LMC99" s="8"/>
      <c r="LMD99" s="8"/>
      <c r="LME99" s="8"/>
      <c r="LMF99" s="8"/>
      <c r="LMG99" s="8"/>
      <c r="LMH99" s="8"/>
      <c r="LMI99" s="8"/>
      <c r="LMJ99" s="8"/>
      <c r="LMK99" s="8"/>
      <c r="LML99" s="8"/>
      <c r="LMM99" s="8"/>
      <c r="LMN99" s="8"/>
      <c r="LMO99" s="8"/>
      <c r="LMP99" s="8"/>
      <c r="LMQ99" s="8"/>
      <c r="LMR99" s="8"/>
      <c r="LMS99" s="8"/>
      <c r="LMT99" s="8"/>
      <c r="LMU99" s="8"/>
      <c r="LMV99" s="8"/>
      <c r="LMW99" s="8"/>
      <c r="LMX99" s="8"/>
      <c r="LMY99" s="8"/>
      <c r="LMZ99" s="8"/>
      <c r="LNA99" s="8"/>
      <c r="LNB99" s="8"/>
      <c r="LNC99" s="8"/>
      <c r="LND99" s="8"/>
      <c r="LNE99" s="8"/>
      <c r="LNF99" s="8"/>
      <c r="LNG99" s="8"/>
      <c r="LNH99" s="8"/>
      <c r="LNI99" s="8"/>
      <c r="LNJ99" s="8"/>
      <c r="LNK99" s="8"/>
      <c r="LNL99" s="8"/>
      <c r="LNM99" s="8"/>
      <c r="LNN99" s="8"/>
      <c r="LNO99" s="8"/>
      <c r="LNP99" s="8"/>
      <c r="LNQ99" s="8"/>
      <c r="LNR99" s="8"/>
      <c r="LNS99" s="8"/>
      <c r="LNT99" s="8"/>
      <c r="LNU99" s="8"/>
      <c r="LNV99" s="8"/>
      <c r="LNW99" s="8"/>
      <c r="LNX99" s="8"/>
      <c r="LNY99" s="8"/>
      <c r="LNZ99" s="8"/>
      <c r="LOA99" s="8"/>
      <c r="LOB99" s="8"/>
      <c r="LOC99" s="8"/>
      <c r="LOD99" s="8"/>
      <c r="LOE99" s="8"/>
      <c r="LOF99" s="8"/>
      <c r="LOG99" s="8"/>
      <c r="LOH99" s="8"/>
      <c r="LOI99" s="8"/>
      <c r="LOJ99" s="8"/>
      <c r="LOK99" s="8"/>
      <c r="LOL99" s="8"/>
      <c r="LOM99" s="8"/>
      <c r="LON99" s="8"/>
      <c r="LOO99" s="8"/>
      <c r="LOP99" s="8"/>
      <c r="LOQ99" s="8"/>
      <c r="LOR99" s="8"/>
      <c r="LOS99" s="8"/>
      <c r="LOT99" s="8"/>
      <c r="LOU99" s="8"/>
      <c r="LOV99" s="8"/>
      <c r="LOW99" s="8"/>
      <c r="LOX99" s="8"/>
      <c r="LOY99" s="8"/>
      <c r="LOZ99" s="8"/>
      <c r="LPA99" s="8"/>
      <c r="LPB99" s="8"/>
      <c r="LPC99" s="8"/>
      <c r="LPD99" s="8"/>
      <c r="LPE99" s="8"/>
      <c r="LPF99" s="8"/>
      <c r="LPG99" s="8"/>
      <c r="LPH99" s="8"/>
      <c r="LPI99" s="8"/>
      <c r="LPJ99" s="8"/>
      <c r="LPK99" s="8"/>
      <c r="LPL99" s="8"/>
      <c r="LPM99" s="8"/>
      <c r="LPN99" s="8"/>
      <c r="LPO99" s="8"/>
      <c r="LPP99" s="8"/>
      <c r="LPQ99" s="8"/>
      <c r="LPR99" s="8"/>
      <c r="LPS99" s="8"/>
      <c r="LPT99" s="8"/>
      <c r="LPU99" s="8"/>
      <c r="LPV99" s="8"/>
      <c r="LPW99" s="8"/>
      <c r="LPX99" s="8"/>
      <c r="LPY99" s="8"/>
      <c r="LPZ99" s="8"/>
      <c r="LQA99" s="8"/>
      <c r="LQB99" s="8"/>
      <c r="LQC99" s="8"/>
      <c r="LQD99" s="8"/>
      <c r="LQE99" s="8"/>
      <c r="LQF99" s="8"/>
      <c r="LQG99" s="8"/>
      <c r="LQH99" s="8"/>
      <c r="LQI99" s="8"/>
      <c r="LQJ99" s="8"/>
      <c r="LQK99" s="8"/>
      <c r="LQL99" s="8"/>
      <c r="LQM99" s="8"/>
      <c r="LQN99" s="8"/>
      <c r="LQO99" s="8"/>
      <c r="LQP99" s="8"/>
      <c r="LQQ99" s="8"/>
      <c r="LQR99" s="8"/>
      <c r="LQS99" s="8"/>
      <c r="LQT99" s="8"/>
      <c r="LQU99" s="8"/>
      <c r="LQV99" s="8"/>
      <c r="LQW99" s="8"/>
      <c r="LQX99" s="8"/>
      <c r="LQY99" s="8"/>
      <c r="LQZ99" s="8"/>
      <c r="LRA99" s="8"/>
      <c r="LRB99" s="8"/>
      <c r="LRC99" s="8"/>
      <c r="LRD99" s="8"/>
      <c r="LRE99" s="8"/>
      <c r="LRF99" s="8"/>
      <c r="LRG99" s="8"/>
      <c r="LRH99" s="8"/>
      <c r="LRI99" s="8"/>
      <c r="LRJ99" s="8"/>
      <c r="LRK99" s="8"/>
      <c r="LRL99" s="8"/>
      <c r="LRM99" s="8"/>
      <c r="LRN99" s="8"/>
      <c r="LRO99" s="8"/>
      <c r="LRP99" s="8"/>
      <c r="LRQ99" s="8"/>
      <c r="LRR99" s="8"/>
      <c r="LRS99" s="8"/>
      <c r="LRT99" s="8"/>
      <c r="LRU99" s="8"/>
      <c r="LRV99" s="8"/>
      <c r="LRW99" s="8"/>
      <c r="LRX99" s="8"/>
      <c r="LRY99" s="8"/>
      <c r="LRZ99" s="8"/>
      <c r="LSA99" s="8"/>
      <c r="LSB99" s="8"/>
      <c r="LSC99" s="8"/>
      <c r="LSD99" s="8"/>
      <c r="LSE99" s="8"/>
      <c r="LSF99" s="8"/>
      <c r="LSG99" s="8"/>
      <c r="LSH99" s="8"/>
      <c r="LSI99" s="8"/>
      <c r="LSJ99" s="8"/>
      <c r="LSK99" s="8"/>
      <c r="LSL99" s="8"/>
      <c r="LSM99" s="8"/>
      <c r="LSN99" s="8"/>
      <c r="LSO99" s="8"/>
      <c r="LSP99" s="8"/>
      <c r="LSQ99" s="8"/>
      <c r="LSR99" s="8"/>
      <c r="LSS99" s="8"/>
      <c r="LST99" s="8"/>
      <c r="LSU99" s="8"/>
      <c r="LSV99" s="8"/>
      <c r="LSW99" s="8"/>
      <c r="LSX99" s="8"/>
      <c r="LSY99" s="8"/>
      <c r="LSZ99" s="8"/>
      <c r="LTA99" s="8"/>
      <c r="LTB99" s="8"/>
      <c r="LTC99" s="8"/>
      <c r="LTD99" s="8"/>
      <c r="LTE99" s="8"/>
      <c r="LTF99" s="8"/>
      <c r="LTG99" s="8"/>
      <c r="LTH99" s="8"/>
      <c r="LTI99" s="8"/>
      <c r="LTJ99" s="8"/>
      <c r="LTK99" s="8"/>
      <c r="LTL99" s="8"/>
      <c r="LTM99" s="8"/>
      <c r="LTN99" s="8"/>
      <c r="LTO99" s="8"/>
      <c r="LTP99" s="8"/>
      <c r="LTQ99" s="8"/>
      <c r="LTR99" s="8"/>
      <c r="LTS99" s="8"/>
      <c r="LTT99" s="8"/>
      <c r="LTU99" s="8"/>
      <c r="LTV99" s="8"/>
      <c r="LTW99" s="8"/>
      <c r="LTX99" s="8"/>
      <c r="LTY99" s="8"/>
      <c r="LTZ99" s="8"/>
      <c r="LUA99" s="8"/>
      <c r="LUB99" s="8"/>
      <c r="LUC99" s="8"/>
      <c r="LUD99" s="8"/>
      <c r="LUE99" s="8"/>
      <c r="LUF99" s="8"/>
      <c r="LUG99" s="8"/>
      <c r="LUH99" s="8"/>
      <c r="LUI99" s="8"/>
      <c r="LUJ99" s="8"/>
      <c r="LUK99" s="8"/>
      <c r="LUL99" s="8"/>
      <c r="LUM99" s="8"/>
      <c r="LUN99" s="8"/>
      <c r="LUO99" s="8"/>
      <c r="LUP99" s="8"/>
      <c r="LUQ99" s="8"/>
      <c r="LUR99" s="8"/>
      <c r="LUS99" s="8"/>
      <c r="LUT99" s="8"/>
      <c r="LUU99" s="8"/>
      <c r="LUV99" s="8"/>
      <c r="LUW99" s="8"/>
      <c r="LUX99" s="8"/>
      <c r="LUY99" s="8"/>
      <c r="LUZ99" s="8"/>
      <c r="LVA99" s="8"/>
      <c r="LVB99" s="8"/>
      <c r="LVC99" s="8"/>
      <c r="LVD99" s="8"/>
      <c r="LVE99" s="8"/>
      <c r="LVF99" s="8"/>
      <c r="LVG99" s="8"/>
      <c r="LVH99" s="8"/>
      <c r="LVI99" s="8"/>
      <c r="LVJ99" s="8"/>
      <c r="LVK99" s="8"/>
      <c r="LVL99" s="8"/>
      <c r="LVM99" s="8"/>
      <c r="LVN99" s="8"/>
      <c r="LVO99" s="8"/>
      <c r="LVP99" s="8"/>
      <c r="LVQ99" s="8"/>
      <c r="LVR99" s="8"/>
      <c r="LVS99" s="8"/>
      <c r="LVT99" s="8"/>
      <c r="LVU99" s="8"/>
      <c r="LVV99" s="8"/>
      <c r="LVW99" s="8"/>
      <c r="LVX99" s="8"/>
      <c r="LVY99" s="8"/>
      <c r="LVZ99" s="8"/>
      <c r="LWA99" s="8"/>
      <c r="LWB99" s="8"/>
      <c r="LWC99" s="8"/>
      <c r="LWD99" s="8"/>
      <c r="LWE99" s="8"/>
      <c r="LWF99" s="8"/>
      <c r="LWG99" s="8"/>
      <c r="LWH99" s="8"/>
      <c r="LWI99" s="8"/>
      <c r="LWJ99" s="8"/>
      <c r="LWK99" s="8"/>
      <c r="LWL99" s="8"/>
      <c r="LWM99" s="8"/>
      <c r="LWN99" s="8"/>
      <c r="LWO99" s="8"/>
      <c r="LWP99" s="8"/>
      <c r="LWQ99" s="8"/>
      <c r="LWR99" s="8"/>
      <c r="LWS99" s="8"/>
      <c r="LWT99" s="8"/>
      <c r="LWU99" s="8"/>
      <c r="LWV99" s="8"/>
      <c r="LWW99" s="8"/>
      <c r="LWX99" s="8"/>
      <c r="LWY99" s="8"/>
      <c r="LWZ99" s="8"/>
      <c r="LXA99" s="8"/>
      <c r="LXB99" s="8"/>
      <c r="LXC99" s="8"/>
      <c r="LXD99" s="8"/>
      <c r="LXE99" s="8"/>
      <c r="LXF99" s="8"/>
      <c r="LXG99" s="8"/>
      <c r="LXH99" s="8"/>
      <c r="LXI99" s="8"/>
      <c r="LXJ99" s="8"/>
      <c r="LXK99" s="8"/>
      <c r="LXL99" s="8"/>
      <c r="LXM99" s="8"/>
      <c r="LXN99" s="8"/>
      <c r="LXO99" s="8"/>
      <c r="LXP99" s="8"/>
      <c r="LXQ99" s="8"/>
      <c r="LXR99" s="8"/>
      <c r="LXS99" s="8"/>
      <c r="LXT99" s="8"/>
      <c r="LXU99" s="8"/>
      <c r="LXV99" s="8"/>
      <c r="LXW99" s="8"/>
      <c r="LXX99" s="8"/>
      <c r="LXY99" s="8"/>
      <c r="LXZ99" s="8"/>
      <c r="LYA99" s="8"/>
      <c r="LYB99" s="8"/>
      <c r="LYC99" s="8"/>
      <c r="LYD99" s="8"/>
      <c r="LYE99" s="8"/>
      <c r="LYF99" s="8"/>
      <c r="LYG99" s="8"/>
      <c r="LYH99" s="8"/>
      <c r="LYI99" s="8"/>
      <c r="LYJ99" s="8"/>
      <c r="LYK99" s="8"/>
      <c r="LYL99" s="8"/>
      <c r="LYM99" s="8"/>
      <c r="LYN99" s="8"/>
      <c r="LYO99" s="8"/>
      <c r="LYP99" s="8"/>
      <c r="LYQ99" s="8"/>
      <c r="LYR99" s="8"/>
      <c r="LYS99" s="8"/>
      <c r="LYT99" s="8"/>
      <c r="LYU99" s="8"/>
      <c r="LYV99" s="8"/>
      <c r="LYW99" s="8"/>
      <c r="LYX99" s="8"/>
      <c r="LYY99" s="8"/>
      <c r="LYZ99" s="8"/>
      <c r="LZA99" s="8"/>
      <c r="LZB99" s="8"/>
      <c r="LZC99" s="8"/>
      <c r="LZD99" s="8"/>
      <c r="LZE99" s="8"/>
      <c r="LZF99" s="8"/>
      <c r="LZG99" s="8"/>
      <c r="LZH99" s="8"/>
      <c r="LZI99" s="8"/>
      <c r="LZJ99" s="8"/>
      <c r="LZK99" s="8"/>
      <c r="LZL99" s="8"/>
      <c r="LZM99" s="8"/>
      <c r="LZN99" s="8"/>
      <c r="LZO99" s="8"/>
      <c r="LZP99" s="8"/>
      <c r="LZQ99" s="8"/>
      <c r="LZR99" s="8"/>
      <c r="LZS99" s="8"/>
      <c r="LZT99" s="8"/>
      <c r="LZU99" s="8"/>
      <c r="LZV99" s="8"/>
      <c r="LZW99" s="8"/>
      <c r="LZX99" s="8"/>
      <c r="LZY99" s="8"/>
      <c r="LZZ99" s="8"/>
      <c r="MAA99" s="8"/>
      <c r="MAB99" s="8"/>
      <c r="MAC99" s="8"/>
      <c r="MAD99" s="8"/>
      <c r="MAE99" s="8"/>
      <c r="MAF99" s="8"/>
      <c r="MAG99" s="8"/>
      <c r="MAH99" s="8"/>
      <c r="MAI99" s="8"/>
      <c r="MAJ99" s="8"/>
      <c r="MAK99" s="8"/>
      <c r="MAL99" s="8"/>
      <c r="MAM99" s="8"/>
      <c r="MAN99" s="8"/>
      <c r="MAO99" s="8"/>
      <c r="MAP99" s="8"/>
      <c r="MAQ99" s="8"/>
      <c r="MAR99" s="8"/>
      <c r="MAS99" s="8"/>
      <c r="MAT99" s="8"/>
      <c r="MAU99" s="8"/>
      <c r="MAV99" s="8"/>
      <c r="MAW99" s="8"/>
      <c r="MAX99" s="8"/>
      <c r="MAY99" s="8"/>
      <c r="MAZ99" s="8"/>
      <c r="MBA99" s="8"/>
      <c r="MBB99" s="8"/>
      <c r="MBC99" s="8"/>
      <c r="MBD99" s="8"/>
      <c r="MBE99" s="8"/>
      <c r="MBF99" s="8"/>
      <c r="MBG99" s="8"/>
      <c r="MBH99" s="8"/>
      <c r="MBI99" s="8"/>
      <c r="MBJ99" s="8"/>
      <c r="MBK99" s="8"/>
      <c r="MBL99" s="8"/>
      <c r="MBM99" s="8"/>
      <c r="MBN99" s="8"/>
      <c r="MBO99" s="8"/>
      <c r="MBP99" s="8"/>
      <c r="MBQ99" s="8"/>
      <c r="MBR99" s="8"/>
      <c r="MBS99" s="8"/>
      <c r="MBT99" s="8"/>
      <c r="MBU99" s="8"/>
      <c r="MBV99" s="8"/>
      <c r="MBW99" s="8"/>
      <c r="MBX99" s="8"/>
      <c r="MBY99" s="8"/>
      <c r="MBZ99" s="8"/>
      <c r="MCA99" s="8"/>
      <c r="MCB99" s="8"/>
      <c r="MCC99" s="8"/>
      <c r="MCD99" s="8"/>
      <c r="MCE99" s="8"/>
      <c r="MCF99" s="8"/>
      <c r="MCG99" s="8"/>
      <c r="MCH99" s="8"/>
      <c r="MCI99" s="8"/>
      <c r="MCJ99" s="8"/>
      <c r="MCK99" s="8"/>
      <c r="MCL99" s="8"/>
      <c r="MCM99" s="8"/>
      <c r="MCN99" s="8"/>
      <c r="MCO99" s="8"/>
      <c r="MCP99" s="8"/>
      <c r="MCQ99" s="8"/>
      <c r="MCR99" s="8"/>
      <c r="MCS99" s="8"/>
      <c r="MCT99" s="8"/>
      <c r="MCU99" s="8"/>
      <c r="MCV99" s="8"/>
      <c r="MCW99" s="8"/>
      <c r="MCX99" s="8"/>
      <c r="MCY99" s="8"/>
      <c r="MCZ99" s="8"/>
      <c r="MDA99" s="8"/>
      <c r="MDB99" s="8"/>
      <c r="MDC99" s="8"/>
      <c r="MDD99" s="8"/>
      <c r="MDE99" s="8"/>
      <c r="MDF99" s="8"/>
      <c r="MDG99" s="8"/>
      <c r="MDH99" s="8"/>
      <c r="MDI99" s="8"/>
      <c r="MDJ99" s="8"/>
      <c r="MDK99" s="8"/>
      <c r="MDL99" s="8"/>
      <c r="MDM99" s="8"/>
      <c r="MDN99" s="8"/>
      <c r="MDO99" s="8"/>
      <c r="MDP99" s="8"/>
      <c r="MDQ99" s="8"/>
      <c r="MDR99" s="8"/>
      <c r="MDS99" s="8"/>
      <c r="MDT99" s="8"/>
      <c r="MDU99" s="8"/>
      <c r="MDV99" s="8"/>
      <c r="MDW99" s="8"/>
      <c r="MDX99" s="8"/>
      <c r="MDY99" s="8"/>
      <c r="MDZ99" s="8"/>
      <c r="MEA99" s="8"/>
      <c r="MEB99" s="8"/>
      <c r="MEC99" s="8"/>
      <c r="MED99" s="8"/>
      <c r="MEE99" s="8"/>
      <c r="MEF99" s="8"/>
      <c r="MEG99" s="8"/>
      <c r="MEH99" s="8"/>
      <c r="MEI99" s="8"/>
      <c r="MEJ99" s="8"/>
      <c r="MEK99" s="8"/>
      <c r="MEL99" s="8"/>
      <c r="MEM99" s="8"/>
      <c r="MEN99" s="8"/>
      <c r="MEO99" s="8"/>
      <c r="MEP99" s="8"/>
      <c r="MEQ99" s="8"/>
      <c r="MER99" s="8"/>
      <c r="MES99" s="8"/>
      <c r="MET99" s="8"/>
      <c r="MEU99" s="8"/>
      <c r="MEV99" s="8"/>
      <c r="MEW99" s="8"/>
      <c r="MEX99" s="8"/>
      <c r="MEY99" s="8"/>
      <c r="MEZ99" s="8"/>
      <c r="MFA99" s="8"/>
      <c r="MFB99" s="8"/>
      <c r="MFC99" s="8"/>
      <c r="MFD99" s="8"/>
      <c r="MFE99" s="8"/>
      <c r="MFF99" s="8"/>
      <c r="MFG99" s="8"/>
      <c r="MFH99" s="8"/>
      <c r="MFI99" s="8"/>
      <c r="MFJ99" s="8"/>
      <c r="MFK99" s="8"/>
      <c r="MFL99" s="8"/>
      <c r="MFM99" s="8"/>
      <c r="MFN99" s="8"/>
      <c r="MFO99" s="8"/>
      <c r="MFP99" s="8"/>
      <c r="MFQ99" s="8"/>
      <c r="MFR99" s="8"/>
      <c r="MFS99" s="8"/>
      <c r="MFT99" s="8"/>
      <c r="MFU99" s="8"/>
      <c r="MFV99" s="8"/>
      <c r="MFW99" s="8"/>
      <c r="MFX99" s="8"/>
      <c r="MFY99" s="8"/>
      <c r="MFZ99" s="8"/>
      <c r="MGA99" s="8"/>
      <c r="MGB99" s="8"/>
      <c r="MGC99" s="8"/>
      <c r="MGD99" s="8"/>
      <c r="MGE99" s="8"/>
      <c r="MGF99" s="8"/>
      <c r="MGG99" s="8"/>
      <c r="MGH99" s="8"/>
      <c r="MGI99" s="8"/>
      <c r="MGJ99" s="8"/>
      <c r="MGK99" s="8"/>
      <c r="MGL99" s="8"/>
      <c r="MGM99" s="8"/>
      <c r="MGN99" s="8"/>
      <c r="MGO99" s="8"/>
      <c r="MGP99" s="8"/>
      <c r="MGQ99" s="8"/>
      <c r="MGR99" s="8"/>
      <c r="MGS99" s="8"/>
      <c r="MGT99" s="8"/>
      <c r="MGU99" s="8"/>
      <c r="MGV99" s="8"/>
      <c r="MGW99" s="8"/>
      <c r="MGX99" s="8"/>
      <c r="MGY99" s="8"/>
      <c r="MGZ99" s="8"/>
      <c r="MHA99" s="8"/>
      <c r="MHB99" s="8"/>
      <c r="MHC99" s="8"/>
      <c r="MHD99" s="8"/>
      <c r="MHE99" s="8"/>
      <c r="MHF99" s="8"/>
      <c r="MHG99" s="8"/>
      <c r="MHH99" s="8"/>
      <c r="MHI99" s="8"/>
      <c r="MHJ99" s="8"/>
      <c r="MHK99" s="8"/>
      <c r="MHL99" s="8"/>
      <c r="MHM99" s="8"/>
      <c r="MHN99" s="8"/>
      <c r="MHO99" s="8"/>
      <c r="MHP99" s="8"/>
      <c r="MHQ99" s="8"/>
      <c r="MHR99" s="8"/>
      <c r="MHS99" s="8"/>
      <c r="MHT99" s="8"/>
      <c r="MHU99" s="8"/>
      <c r="MHV99" s="8"/>
      <c r="MHW99" s="8"/>
      <c r="MHX99" s="8"/>
      <c r="MHY99" s="8"/>
      <c r="MHZ99" s="8"/>
      <c r="MIA99" s="8"/>
      <c r="MIB99" s="8"/>
      <c r="MIC99" s="8"/>
      <c r="MID99" s="8"/>
      <c r="MIE99" s="8"/>
      <c r="MIF99" s="8"/>
      <c r="MIG99" s="8"/>
      <c r="MIH99" s="8"/>
      <c r="MII99" s="8"/>
      <c r="MIJ99" s="8"/>
      <c r="MIK99" s="8"/>
      <c r="MIL99" s="8"/>
      <c r="MIM99" s="8"/>
      <c r="MIN99" s="8"/>
      <c r="MIO99" s="8"/>
      <c r="MIP99" s="8"/>
      <c r="MIQ99" s="8"/>
      <c r="MIR99" s="8"/>
      <c r="MIS99" s="8"/>
      <c r="MIT99" s="8"/>
      <c r="MIU99" s="8"/>
      <c r="MIV99" s="8"/>
      <c r="MIW99" s="8"/>
      <c r="MIX99" s="8"/>
      <c r="MIY99" s="8"/>
      <c r="MIZ99" s="8"/>
      <c r="MJA99" s="8"/>
      <c r="MJB99" s="8"/>
      <c r="MJC99" s="8"/>
      <c r="MJD99" s="8"/>
      <c r="MJE99" s="8"/>
      <c r="MJF99" s="8"/>
      <c r="MJG99" s="8"/>
      <c r="MJH99" s="8"/>
      <c r="MJI99" s="8"/>
      <c r="MJJ99" s="8"/>
      <c r="MJK99" s="8"/>
      <c r="MJL99" s="8"/>
      <c r="MJM99" s="8"/>
      <c r="MJN99" s="8"/>
      <c r="MJO99" s="8"/>
      <c r="MJP99" s="8"/>
      <c r="MJQ99" s="8"/>
      <c r="MJR99" s="8"/>
      <c r="MJS99" s="8"/>
      <c r="MJT99" s="8"/>
      <c r="MJU99" s="8"/>
      <c r="MJV99" s="8"/>
      <c r="MJW99" s="8"/>
      <c r="MJX99" s="8"/>
      <c r="MJY99" s="8"/>
      <c r="MJZ99" s="8"/>
      <c r="MKA99" s="8"/>
      <c r="MKB99" s="8"/>
      <c r="MKC99" s="8"/>
      <c r="MKD99" s="8"/>
      <c r="MKE99" s="8"/>
      <c r="MKF99" s="8"/>
      <c r="MKG99" s="8"/>
      <c r="MKH99" s="8"/>
      <c r="MKI99" s="8"/>
      <c r="MKJ99" s="8"/>
      <c r="MKK99" s="8"/>
      <c r="MKL99" s="8"/>
      <c r="MKM99" s="8"/>
      <c r="MKN99" s="8"/>
      <c r="MKO99" s="8"/>
      <c r="MKP99" s="8"/>
      <c r="MKQ99" s="8"/>
      <c r="MKR99" s="8"/>
      <c r="MKS99" s="8"/>
      <c r="MKT99" s="8"/>
      <c r="MKU99" s="8"/>
      <c r="MKV99" s="8"/>
      <c r="MKW99" s="8"/>
      <c r="MKX99" s="8"/>
      <c r="MKY99" s="8"/>
      <c r="MKZ99" s="8"/>
      <c r="MLA99" s="8"/>
      <c r="MLB99" s="8"/>
      <c r="MLC99" s="8"/>
      <c r="MLD99" s="8"/>
      <c r="MLE99" s="8"/>
      <c r="MLF99" s="8"/>
      <c r="MLG99" s="8"/>
      <c r="MLH99" s="8"/>
      <c r="MLI99" s="8"/>
      <c r="MLJ99" s="8"/>
      <c r="MLK99" s="8"/>
      <c r="MLL99" s="8"/>
      <c r="MLM99" s="8"/>
      <c r="MLN99" s="8"/>
      <c r="MLO99" s="8"/>
      <c r="MLP99" s="8"/>
      <c r="MLQ99" s="8"/>
      <c r="MLR99" s="8"/>
      <c r="MLS99" s="8"/>
      <c r="MLT99" s="8"/>
      <c r="MLU99" s="8"/>
      <c r="MLV99" s="8"/>
      <c r="MLW99" s="8"/>
      <c r="MLX99" s="8"/>
      <c r="MLY99" s="8"/>
      <c r="MLZ99" s="8"/>
      <c r="MMA99" s="8"/>
      <c r="MMB99" s="8"/>
      <c r="MMC99" s="8"/>
      <c r="MMD99" s="8"/>
      <c r="MME99" s="8"/>
      <c r="MMF99" s="8"/>
      <c r="MMG99" s="8"/>
      <c r="MMH99" s="8"/>
      <c r="MMI99" s="8"/>
      <c r="MMJ99" s="8"/>
      <c r="MMK99" s="8"/>
      <c r="MML99" s="8"/>
      <c r="MMM99" s="8"/>
      <c r="MMN99" s="8"/>
      <c r="MMO99" s="8"/>
      <c r="MMP99" s="8"/>
      <c r="MMQ99" s="8"/>
      <c r="MMR99" s="8"/>
      <c r="MMS99" s="8"/>
      <c r="MMT99" s="8"/>
      <c r="MMU99" s="8"/>
      <c r="MMV99" s="8"/>
      <c r="MMW99" s="8"/>
      <c r="MMX99" s="8"/>
      <c r="MMY99" s="8"/>
      <c r="MMZ99" s="8"/>
      <c r="MNA99" s="8"/>
      <c r="MNB99" s="8"/>
      <c r="MNC99" s="8"/>
      <c r="MND99" s="8"/>
      <c r="MNE99" s="8"/>
      <c r="MNF99" s="8"/>
      <c r="MNG99" s="8"/>
      <c r="MNH99" s="8"/>
      <c r="MNI99" s="8"/>
      <c r="MNJ99" s="8"/>
      <c r="MNK99" s="8"/>
      <c r="MNL99" s="8"/>
      <c r="MNM99" s="8"/>
      <c r="MNN99" s="8"/>
      <c r="MNO99" s="8"/>
      <c r="MNP99" s="8"/>
      <c r="MNQ99" s="8"/>
      <c r="MNR99" s="8"/>
      <c r="MNS99" s="8"/>
      <c r="MNT99" s="8"/>
      <c r="MNU99" s="8"/>
      <c r="MNV99" s="8"/>
      <c r="MNW99" s="8"/>
      <c r="MNX99" s="8"/>
      <c r="MNY99" s="8"/>
      <c r="MNZ99" s="8"/>
      <c r="MOA99" s="8"/>
      <c r="MOB99" s="8"/>
      <c r="MOC99" s="8"/>
      <c r="MOD99" s="8"/>
      <c r="MOE99" s="8"/>
      <c r="MOF99" s="8"/>
      <c r="MOG99" s="8"/>
      <c r="MOH99" s="8"/>
      <c r="MOI99" s="8"/>
      <c r="MOJ99" s="8"/>
      <c r="MOK99" s="8"/>
      <c r="MOL99" s="8"/>
      <c r="MOM99" s="8"/>
      <c r="MON99" s="8"/>
      <c r="MOO99" s="8"/>
      <c r="MOP99" s="8"/>
      <c r="MOQ99" s="8"/>
      <c r="MOR99" s="8"/>
      <c r="MOS99" s="8"/>
      <c r="MOT99" s="8"/>
      <c r="MOU99" s="8"/>
      <c r="MOV99" s="8"/>
      <c r="MOW99" s="8"/>
      <c r="MOX99" s="8"/>
      <c r="MOY99" s="8"/>
      <c r="MOZ99" s="8"/>
      <c r="MPA99" s="8"/>
      <c r="MPB99" s="8"/>
      <c r="MPC99" s="8"/>
      <c r="MPD99" s="8"/>
      <c r="MPE99" s="8"/>
      <c r="MPF99" s="8"/>
      <c r="MPG99" s="8"/>
      <c r="MPH99" s="8"/>
      <c r="MPI99" s="8"/>
      <c r="MPJ99" s="8"/>
      <c r="MPK99" s="8"/>
      <c r="MPL99" s="8"/>
      <c r="MPM99" s="8"/>
      <c r="MPN99" s="8"/>
      <c r="MPO99" s="8"/>
      <c r="MPP99" s="8"/>
      <c r="MPQ99" s="8"/>
      <c r="MPR99" s="8"/>
      <c r="MPS99" s="8"/>
      <c r="MPT99" s="8"/>
      <c r="MPU99" s="8"/>
      <c r="MPV99" s="8"/>
      <c r="MPW99" s="8"/>
      <c r="MPX99" s="8"/>
      <c r="MPY99" s="8"/>
      <c r="MPZ99" s="8"/>
      <c r="MQA99" s="8"/>
      <c r="MQB99" s="8"/>
      <c r="MQC99" s="8"/>
      <c r="MQD99" s="8"/>
      <c r="MQE99" s="8"/>
      <c r="MQF99" s="8"/>
      <c r="MQG99" s="8"/>
      <c r="MQH99" s="8"/>
      <c r="MQI99" s="8"/>
      <c r="MQJ99" s="8"/>
      <c r="MQK99" s="8"/>
      <c r="MQL99" s="8"/>
      <c r="MQM99" s="8"/>
      <c r="MQN99" s="8"/>
      <c r="MQO99" s="8"/>
      <c r="MQP99" s="8"/>
      <c r="MQQ99" s="8"/>
      <c r="MQR99" s="8"/>
      <c r="MQS99" s="8"/>
      <c r="MQT99" s="8"/>
      <c r="MQU99" s="8"/>
      <c r="MQV99" s="8"/>
      <c r="MQW99" s="8"/>
      <c r="MQX99" s="8"/>
      <c r="MQY99" s="8"/>
      <c r="MQZ99" s="8"/>
      <c r="MRA99" s="8"/>
      <c r="MRB99" s="8"/>
      <c r="MRC99" s="8"/>
      <c r="MRD99" s="8"/>
      <c r="MRE99" s="8"/>
      <c r="MRF99" s="8"/>
      <c r="MRG99" s="8"/>
      <c r="MRH99" s="8"/>
      <c r="MRI99" s="8"/>
      <c r="MRJ99" s="8"/>
      <c r="MRK99" s="8"/>
      <c r="MRL99" s="8"/>
      <c r="MRM99" s="8"/>
      <c r="MRN99" s="8"/>
      <c r="MRO99" s="8"/>
      <c r="MRP99" s="8"/>
      <c r="MRQ99" s="8"/>
      <c r="MRR99" s="8"/>
      <c r="MRS99" s="8"/>
      <c r="MRT99" s="8"/>
      <c r="MRU99" s="8"/>
      <c r="MRV99" s="8"/>
      <c r="MRW99" s="8"/>
      <c r="MRX99" s="8"/>
      <c r="MRY99" s="8"/>
      <c r="MRZ99" s="8"/>
      <c r="MSA99" s="8"/>
      <c r="MSB99" s="8"/>
      <c r="MSC99" s="8"/>
      <c r="MSD99" s="8"/>
      <c r="MSE99" s="8"/>
      <c r="MSF99" s="8"/>
      <c r="MSG99" s="8"/>
      <c r="MSH99" s="8"/>
      <c r="MSI99" s="8"/>
      <c r="MSJ99" s="8"/>
      <c r="MSK99" s="8"/>
      <c r="MSL99" s="8"/>
      <c r="MSM99" s="8"/>
      <c r="MSN99" s="8"/>
      <c r="MSO99" s="8"/>
      <c r="MSP99" s="8"/>
      <c r="MSQ99" s="8"/>
      <c r="MSR99" s="8"/>
      <c r="MSS99" s="8"/>
      <c r="MST99" s="8"/>
      <c r="MSU99" s="8"/>
      <c r="MSV99" s="8"/>
      <c r="MSW99" s="8"/>
      <c r="MSX99" s="8"/>
      <c r="MSY99" s="8"/>
      <c r="MSZ99" s="8"/>
      <c r="MTA99" s="8"/>
      <c r="MTB99" s="8"/>
      <c r="MTC99" s="8"/>
      <c r="MTD99" s="8"/>
      <c r="MTE99" s="8"/>
      <c r="MTF99" s="8"/>
      <c r="MTG99" s="8"/>
      <c r="MTH99" s="8"/>
      <c r="MTI99" s="8"/>
      <c r="MTJ99" s="8"/>
      <c r="MTK99" s="8"/>
      <c r="MTL99" s="8"/>
      <c r="MTM99" s="8"/>
      <c r="MTN99" s="8"/>
      <c r="MTO99" s="8"/>
      <c r="MTP99" s="8"/>
      <c r="MTQ99" s="8"/>
      <c r="MTR99" s="8"/>
      <c r="MTS99" s="8"/>
      <c r="MTT99" s="8"/>
      <c r="MTU99" s="8"/>
      <c r="MTV99" s="8"/>
      <c r="MTW99" s="8"/>
      <c r="MTX99" s="8"/>
      <c r="MTY99" s="8"/>
      <c r="MTZ99" s="8"/>
      <c r="MUA99" s="8"/>
      <c r="MUB99" s="8"/>
      <c r="MUC99" s="8"/>
      <c r="MUD99" s="8"/>
      <c r="MUE99" s="8"/>
      <c r="MUF99" s="8"/>
      <c r="MUG99" s="8"/>
      <c r="MUH99" s="8"/>
      <c r="MUI99" s="8"/>
      <c r="MUJ99" s="8"/>
      <c r="MUK99" s="8"/>
      <c r="MUL99" s="8"/>
      <c r="MUM99" s="8"/>
      <c r="MUN99" s="8"/>
      <c r="MUO99" s="8"/>
      <c r="MUP99" s="8"/>
      <c r="MUQ99" s="8"/>
      <c r="MUR99" s="8"/>
      <c r="MUS99" s="8"/>
      <c r="MUT99" s="8"/>
      <c r="MUU99" s="8"/>
      <c r="MUV99" s="8"/>
      <c r="MUW99" s="8"/>
      <c r="MUX99" s="8"/>
      <c r="MUY99" s="8"/>
      <c r="MUZ99" s="8"/>
      <c r="MVA99" s="8"/>
      <c r="MVB99" s="8"/>
      <c r="MVC99" s="8"/>
      <c r="MVD99" s="8"/>
      <c r="MVE99" s="8"/>
      <c r="MVF99" s="8"/>
      <c r="MVG99" s="8"/>
      <c r="MVH99" s="8"/>
      <c r="MVI99" s="8"/>
      <c r="MVJ99" s="8"/>
      <c r="MVK99" s="8"/>
      <c r="MVL99" s="8"/>
      <c r="MVM99" s="8"/>
      <c r="MVN99" s="8"/>
      <c r="MVO99" s="8"/>
      <c r="MVP99" s="8"/>
      <c r="MVQ99" s="8"/>
      <c r="MVR99" s="8"/>
      <c r="MVS99" s="8"/>
      <c r="MVT99" s="8"/>
      <c r="MVU99" s="8"/>
      <c r="MVV99" s="8"/>
      <c r="MVW99" s="8"/>
      <c r="MVX99" s="8"/>
      <c r="MVY99" s="8"/>
      <c r="MVZ99" s="8"/>
      <c r="MWA99" s="8"/>
      <c r="MWB99" s="8"/>
      <c r="MWC99" s="8"/>
      <c r="MWD99" s="8"/>
      <c r="MWE99" s="8"/>
      <c r="MWF99" s="8"/>
      <c r="MWG99" s="8"/>
      <c r="MWH99" s="8"/>
      <c r="MWI99" s="8"/>
      <c r="MWJ99" s="8"/>
      <c r="MWK99" s="8"/>
      <c r="MWL99" s="8"/>
      <c r="MWM99" s="8"/>
      <c r="MWN99" s="8"/>
      <c r="MWO99" s="8"/>
      <c r="MWP99" s="8"/>
      <c r="MWQ99" s="8"/>
      <c r="MWR99" s="8"/>
      <c r="MWS99" s="8"/>
      <c r="MWT99" s="8"/>
      <c r="MWU99" s="8"/>
      <c r="MWV99" s="8"/>
      <c r="MWW99" s="8"/>
      <c r="MWX99" s="8"/>
      <c r="MWY99" s="8"/>
      <c r="MWZ99" s="8"/>
      <c r="MXA99" s="8"/>
      <c r="MXB99" s="8"/>
      <c r="MXC99" s="8"/>
      <c r="MXD99" s="8"/>
      <c r="MXE99" s="8"/>
      <c r="MXF99" s="8"/>
      <c r="MXG99" s="8"/>
      <c r="MXH99" s="8"/>
      <c r="MXI99" s="8"/>
      <c r="MXJ99" s="8"/>
      <c r="MXK99" s="8"/>
      <c r="MXL99" s="8"/>
      <c r="MXM99" s="8"/>
      <c r="MXN99" s="8"/>
      <c r="MXO99" s="8"/>
      <c r="MXP99" s="8"/>
      <c r="MXQ99" s="8"/>
      <c r="MXR99" s="8"/>
      <c r="MXS99" s="8"/>
      <c r="MXT99" s="8"/>
      <c r="MXU99" s="8"/>
      <c r="MXV99" s="8"/>
      <c r="MXW99" s="8"/>
      <c r="MXX99" s="8"/>
      <c r="MXY99" s="8"/>
      <c r="MXZ99" s="8"/>
      <c r="MYA99" s="8"/>
      <c r="MYB99" s="8"/>
      <c r="MYC99" s="8"/>
      <c r="MYD99" s="8"/>
      <c r="MYE99" s="8"/>
      <c r="MYF99" s="8"/>
      <c r="MYG99" s="8"/>
      <c r="MYH99" s="8"/>
      <c r="MYI99" s="8"/>
      <c r="MYJ99" s="8"/>
      <c r="MYK99" s="8"/>
      <c r="MYL99" s="8"/>
      <c r="MYM99" s="8"/>
      <c r="MYN99" s="8"/>
      <c r="MYO99" s="8"/>
      <c r="MYP99" s="8"/>
      <c r="MYQ99" s="8"/>
      <c r="MYR99" s="8"/>
      <c r="MYS99" s="8"/>
      <c r="MYT99" s="8"/>
      <c r="MYU99" s="8"/>
      <c r="MYV99" s="8"/>
      <c r="MYW99" s="8"/>
      <c r="MYX99" s="8"/>
      <c r="MYY99" s="8"/>
      <c r="MYZ99" s="8"/>
      <c r="MZA99" s="8"/>
      <c r="MZB99" s="8"/>
      <c r="MZC99" s="8"/>
      <c r="MZD99" s="8"/>
      <c r="MZE99" s="8"/>
      <c r="MZF99" s="8"/>
      <c r="MZG99" s="8"/>
      <c r="MZH99" s="8"/>
      <c r="MZI99" s="8"/>
      <c r="MZJ99" s="8"/>
      <c r="MZK99" s="8"/>
      <c r="MZL99" s="8"/>
      <c r="MZM99" s="8"/>
      <c r="MZN99" s="8"/>
      <c r="MZO99" s="8"/>
      <c r="MZP99" s="8"/>
      <c r="MZQ99" s="8"/>
      <c r="MZR99" s="8"/>
      <c r="MZS99" s="8"/>
      <c r="MZT99" s="8"/>
      <c r="MZU99" s="8"/>
      <c r="MZV99" s="8"/>
      <c r="MZW99" s="8"/>
      <c r="MZX99" s="8"/>
      <c r="MZY99" s="8"/>
      <c r="MZZ99" s="8"/>
      <c r="NAA99" s="8"/>
      <c r="NAB99" s="8"/>
      <c r="NAC99" s="8"/>
      <c r="NAD99" s="8"/>
      <c r="NAE99" s="8"/>
      <c r="NAF99" s="8"/>
      <c r="NAG99" s="8"/>
      <c r="NAH99" s="8"/>
      <c r="NAI99" s="8"/>
      <c r="NAJ99" s="8"/>
      <c r="NAK99" s="8"/>
      <c r="NAL99" s="8"/>
      <c r="NAM99" s="8"/>
      <c r="NAN99" s="8"/>
      <c r="NAO99" s="8"/>
      <c r="NAP99" s="8"/>
      <c r="NAQ99" s="8"/>
      <c r="NAR99" s="8"/>
      <c r="NAS99" s="8"/>
      <c r="NAT99" s="8"/>
      <c r="NAU99" s="8"/>
      <c r="NAV99" s="8"/>
      <c r="NAW99" s="8"/>
      <c r="NAX99" s="8"/>
      <c r="NAY99" s="8"/>
      <c r="NAZ99" s="8"/>
      <c r="NBA99" s="8"/>
      <c r="NBB99" s="8"/>
      <c r="NBC99" s="8"/>
      <c r="NBD99" s="8"/>
      <c r="NBE99" s="8"/>
      <c r="NBF99" s="8"/>
      <c r="NBG99" s="8"/>
      <c r="NBH99" s="8"/>
      <c r="NBI99" s="8"/>
      <c r="NBJ99" s="8"/>
      <c r="NBK99" s="8"/>
      <c r="NBL99" s="8"/>
      <c r="NBM99" s="8"/>
      <c r="NBN99" s="8"/>
      <c r="NBO99" s="8"/>
      <c r="NBP99" s="8"/>
      <c r="NBQ99" s="8"/>
      <c r="NBR99" s="8"/>
      <c r="NBS99" s="8"/>
      <c r="NBT99" s="8"/>
      <c r="NBU99" s="8"/>
      <c r="NBV99" s="8"/>
      <c r="NBW99" s="8"/>
      <c r="NBX99" s="8"/>
      <c r="NBY99" s="8"/>
      <c r="NBZ99" s="8"/>
      <c r="NCA99" s="8"/>
      <c r="NCB99" s="8"/>
      <c r="NCC99" s="8"/>
      <c r="NCD99" s="8"/>
      <c r="NCE99" s="8"/>
      <c r="NCF99" s="8"/>
      <c r="NCG99" s="8"/>
      <c r="NCH99" s="8"/>
      <c r="NCI99" s="8"/>
      <c r="NCJ99" s="8"/>
      <c r="NCK99" s="8"/>
      <c r="NCL99" s="8"/>
      <c r="NCM99" s="8"/>
      <c r="NCN99" s="8"/>
      <c r="NCO99" s="8"/>
      <c r="NCP99" s="8"/>
      <c r="NCQ99" s="8"/>
      <c r="NCR99" s="8"/>
      <c r="NCS99" s="8"/>
      <c r="NCT99" s="8"/>
      <c r="NCU99" s="8"/>
      <c r="NCV99" s="8"/>
      <c r="NCW99" s="8"/>
      <c r="NCX99" s="8"/>
      <c r="NCY99" s="8"/>
      <c r="NCZ99" s="8"/>
      <c r="NDA99" s="8"/>
      <c r="NDB99" s="8"/>
      <c r="NDC99" s="8"/>
      <c r="NDD99" s="8"/>
      <c r="NDE99" s="8"/>
      <c r="NDF99" s="8"/>
      <c r="NDG99" s="8"/>
      <c r="NDH99" s="8"/>
      <c r="NDI99" s="8"/>
      <c r="NDJ99" s="8"/>
      <c r="NDK99" s="8"/>
      <c r="NDL99" s="8"/>
      <c r="NDM99" s="8"/>
      <c r="NDN99" s="8"/>
      <c r="NDO99" s="8"/>
      <c r="NDP99" s="8"/>
      <c r="NDQ99" s="8"/>
      <c r="NDR99" s="8"/>
      <c r="NDS99" s="8"/>
      <c r="NDT99" s="8"/>
      <c r="NDU99" s="8"/>
      <c r="NDV99" s="8"/>
      <c r="NDW99" s="8"/>
      <c r="NDX99" s="8"/>
      <c r="NDY99" s="8"/>
      <c r="NDZ99" s="8"/>
      <c r="NEA99" s="8"/>
      <c r="NEB99" s="8"/>
      <c r="NEC99" s="8"/>
      <c r="NED99" s="8"/>
      <c r="NEE99" s="8"/>
      <c r="NEF99" s="8"/>
      <c r="NEG99" s="8"/>
      <c r="NEH99" s="8"/>
      <c r="NEI99" s="8"/>
      <c r="NEJ99" s="8"/>
      <c r="NEK99" s="8"/>
      <c r="NEL99" s="8"/>
      <c r="NEM99" s="8"/>
      <c r="NEN99" s="8"/>
      <c r="NEO99" s="8"/>
      <c r="NEP99" s="8"/>
      <c r="NEQ99" s="8"/>
      <c r="NER99" s="8"/>
      <c r="NES99" s="8"/>
      <c r="NET99" s="8"/>
      <c r="NEU99" s="8"/>
      <c r="NEV99" s="8"/>
      <c r="NEW99" s="8"/>
      <c r="NEX99" s="8"/>
      <c r="NEY99" s="8"/>
      <c r="NEZ99" s="8"/>
      <c r="NFA99" s="8"/>
      <c r="NFB99" s="8"/>
      <c r="NFC99" s="8"/>
      <c r="NFD99" s="8"/>
      <c r="NFE99" s="8"/>
      <c r="NFF99" s="8"/>
      <c r="NFG99" s="8"/>
      <c r="NFH99" s="8"/>
      <c r="NFI99" s="8"/>
      <c r="NFJ99" s="8"/>
      <c r="NFK99" s="8"/>
      <c r="NFL99" s="8"/>
      <c r="NFM99" s="8"/>
      <c r="NFN99" s="8"/>
      <c r="NFO99" s="8"/>
      <c r="NFP99" s="8"/>
      <c r="NFQ99" s="8"/>
      <c r="NFR99" s="8"/>
      <c r="NFS99" s="8"/>
      <c r="NFT99" s="8"/>
      <c r="NFU99" s="8"/>
      <c r="NFV99" s="8"/>
      <c r="NFW99" s="8"/>
      <c r="NFX99" s="8"/>
      <c r="NFY99" s="8"/>
      <c r="NFZ99" s="8"/>
      <c r="NGA99" s="8"/>
      <c r="NGB99" s="8"/>
      <c r="NGC99" s="8"/>
      <c r="NGD99" s="8"/>
      <c r="NGE99" s="8"/>
      <c r="NGF99" s="8"/>
      <c r="NGG99" s="8"/>
      <c r="NGH99" s="8"/>
      <c r="NGI99" s="8"/>
      <c r="NGJ99" s="8"/>
      <c r="NGK99" s="8"/>
      <c r="NGL99" s="8"/>
      <c r="NGM99" s="8"/>
      <c r="NGN99" s="8"/>
      <c r="NGO99" s="8"/>
      <c r="NGP99" s="8"/>
      <c r="NGQ99" s="8"/>
      <c r="NGR99" s="8"/>
      <c r="NGS99" s="8"/>
      <c r="NGT99" s="8"/>
      <c r="NGU99" s="8"/>
      <c r="NGV99" s="8"/>
      <c r="NGW99" s="8"/>
      <c r="NGX99" s="8"/>
      <c r="NGY99" s="8"/>
      <c r="NGZ99" s="8"/>
      <c r="NHA99" s="8"/>
      <c r="NHB99" s="8"/>
      <c r="NHC99" s="8"/>
      <c r="NHD99" s="8"/>
      <c r="NHE99" s="8"/>
      <c r="NHF99" s="8"/>
      <c r="NHG99" s="8"/>
      <c r="NHH99" s="8"/>
      <c r="NHI99" s="8"/>
      <c r="NHJ99" s="8"/>
      <c r="NHK99" s="8"/>
      <c r="NHL99" s="8"/>
      <c r="NHM99" s="8"/>
      <c r="NHN99" s="8"/>
      <c r="NHO99" s="8"/>
      <c r="NHP99" s="8"/>
      <c r="NHQ99" s="8"/>
      <c r="NHR99" s="8"/>
      <c r="NHS99" s="8"/>
      <c r="NHT99" s="8"/>
      <c r="NHU99" s="8"/>
      <c r="NHV99" s="8"/>
      <c r="NHW99" s="8"/>
      <c r="NHX99" s="8"/>
      <c r="NHY99" s="8"/>
      <c r="NHZ99" s="8"/>
      <c r="NIA99" s="8"/>
      <c r="NIB99" s="8"/>
      <c r="NIC99" s="8"/>
      <c r="NID99" s="8"/>
      <c r="NIE99" s="8"/>
      <c r="NIF99" s="8"/>
      <c r="NIG99" s="8"/>
      <c r="NIH99" s="8"/>
      <c r="NII99" s="8"/>
      <c r="NIJ99" s="8"/>
      <c r="NIK99" s="8"/>
      <c r="NIL99" s="8"/>
      <c r="NIM99" s="8"/>
      <c r="NIN99" s="8"/>
      <c r="NIO99" s="8"/>
      <c r="NIP99" s="8"/>
      <c r="NIQ99" s="8"/>
      <c r="NIR99" s="8"/>
      <c r="NIS99" s="8"/>
      <c r="NIT99" s="8"/>
      <c r="NIU99" s="8"/>
      <c r="NIV99" s="8"/>
      <c r="NIW99" s="8"/>
      <c r="NIX99" s="8"/>
      <c r="NIY99" s="8"/>
      <c r="NIZ99" s="8"/>
      <c r="NJA99" s="8"/>
      <c r="NJB99" s="8"/>
      <c r="NJC99" s="8"/>
      <c r="NJD99" s="8"/>
      <c r="NJE99" s="8"/>
      <c r="NJF99" s="8"/>
      <c r="NJG99" s="8"/>
      <c r="NJH99" s="8"/>
      <c r="NJI99" s="8"/>
      <c r="NJJ99" s="8"/>
      <c r="NJK99" s="8"/>
      <c r="NJL99" s="8"/>
      <c r="NJM99" s="8"/>
      <c r="NJN99" s="8"/>
      <c r="NJO99" s="8"/>
      <c r="NJP99" s="8"/>
      <c r="NJQ99" s="8"/>
      <c r="NJR99" s="8"/>
      <c r="NJS99" s="8"/>
      <c r="NJT99" s="8"/>
      <c r="NJU99" s="8"/>
      <c r="NJV99" s="8"/>
      <c r="NJW99" s="8"/>
      <c r="NJX99" s="8"/>
      <c r="NJY99" s="8"/>
      <c r="NJZ99" s="8"/>
      <c r="NKA99" s="8"/>
      <c r="NKB99" s="8"/>
      <c r="NKC99" s="8"/>
      <c r="NKD99" s="8"/>
      <c r="NKE99" s="8"/>
      <c r="NKF99" s="8"/>
      <c r="NKG99" s="8"/>
      <c r="NKH99" s="8"/>
      <c r="NKI99" s="8"/>
      <c r="NKJ99" s="8"/>
      <c r="NKK99" s="8"/>
      <c r="NKL99" s="8"/>
      <c r="NKM99" s="8"/>
      <c r="NKN99" s="8"/>
      <c r="NKO99" s="8"/>
      <c r="NKP99" s="8"/>
      <c r="NKQ99" s="8"/>
      <c r="NKR99" s="8"/>
      <c r="NKS99" s="8"/>
      <c r="NKT99" s="8"/>
      <c r="NKU99" s="8"/>
      <c r="NKV99" s="8"/>
      <c r="NKW99" s="8"/>
      <c r="NKX99" s="8"/>
      <c r="NKY99" s="8"/>
      <c r="NKZ99" s="8"/>
      <c r="NLA99" s="8"/>
      <c r="NLB99" s="8"/>
      <c r="NLC99" s="8"/>
      <c r="NLD99" s="8"/>
      <c r="NLE99" s="8"/>
      <c r="NLF99" s="8"/>
      <c r="NLG99" s="8"/>
      <c r="NLH99" s="8"/>
      <c r="NLI99" s="8"/>
      <c r="NLJ99" s="8"/>
      <c r="NLK99" s="8"/>
      <c r="NLL99" s="8"/>
      <c r="NLM99" s="8"/>
      <c r="NLN99" s="8"/>
      <c r="NLO99" s="8"/>
      <c r="NLP99" s="8"/>
      <c r="NLQ99" s="8"/>
      <c r="NLR99" s="8"/>
      <c r="NLS99" s="8"/>
      <c r="NLT99" s="8"/>
      <c r="NLU99" s="8"/>
      <c r="NLV99" s="8"/>
      <c r="NLW99" s="8"/>
      <c r="NLX99" s="8"/>
      <c r="NLY99" s="8"/>
      <c r="NLZ99" s="8"/>
      <c r="NMA99" s="8"/>
      <c r="NMB99" s="8"/>
      <c r="NMC99" s="8"/>
      <c r="NMD99" s="8"/>
      <c r="NME99" s="8"/>
      <c r="NMF99" s="8"/>
      <c r="NMG99" s="8"/>
      <c r="NMH99" s="8"/>
      <c r="NMI99" s="8"/>
      <c r="NMJ99" s="8"/>
      <c r="NMK99" s="8"/>
      <c r="NML99" s="8"/>
      <c r="NMM99" s="8"/>
      <c r="NMN99" s="8"/>
      <c r="NMO99" s="8"/>
      <c r="NMP99" s="8"/>
      <c r="NMQ99" s="8"/>
      <c r="NMR99" s="8"/>
      <c r="NMS99" s="8"/>
      <c r="NMT99" s="8"/>
      <c r="NMU99" s="8"/>
      <c r="NMV99" s="8"/>
      <c r="NMW99" s="8"/>
      <c r="NMX99" s="8"/>
      <c r="NMY99" s="8"/>
      <c r="NMZ99" s="8"/>
      <c r="NNA99" s="8"/>
      <c r="NNB99" s="8"/>
      <c r="NNC99" s="8"/>
      <c r="NND99" s="8"/>
      <c r="NNE99" s="8"/>
      <c r="NNF99" s="8"/>
      <c r="NNG99" s="8"/>
      <c r="NNH99" s="8"/>
      <c r="NNI99" s="8"/>
      <c r="NNJ99" s="8"/>
      <c r="NNK99" s="8"/>
      <c r="NNL99" s="8"/>
      <c r="NNM99" s="8"/>
      <c r="NNN99" s="8"/>
      <c r="NNO99" s="8"/>
      <c r="NNP99" s="8"/>
      <c r="NNQ99" s="8"/>
      <c r="NNR99" s="8"/>
      <c r="NNS99" s="8"/>
      <c r="NNT99" s="8"/>
      <c r="NNU99" s="8"/>
      <c r="NNV99" s="8"/>
      <c r="NNW99" s="8"/>
      <c r="NNX99" s="8"/>
      <c r="NNY99" s="8"/>
      <c r="NNZ99" s="8"/>
      <c r="NOA99" s="8"/>
      <c r="NOB99" s="8"/>
      <c r="NOC99" s="8"/>
      <c r="NOD99" s="8"/>
      <c r="NOE99" s="8"/>
      <c r="NOF99" s="8"/>
      <c r="NOG99" s="8"/>
      <c r="NOH99" s="8"/>
      <c r="NOI99" s="8"/>
      <c r="NOJ99" s="8"/>
      <c r="NOK99" s="8"/>
      <c r="NOL99" s="8"/>
      <c r="NOM99" s="8"/>
      <c r="NON99" s="8"/>
      <c r="NOO99" s="8"/>
      <c r="NOP99" s="8"/>
      <c r="NOQ99" s="8"/>
      <c r="NOR99" s="8"/>
      <c r="NOS99" s="8"/>
      <c r="NOT99" s="8"/>
      <c r="NOU99" s="8"/>
      <c r="NOV99" s="8"/>
      <c r="NOW99" s="8"/>
      <c r="NOX99" s="8"/>
      <c r="NOY99" s="8"/>
      <c r="NOZ99" s="8"/>
      <c r="NPA99" s="8"/>
      <c r="NPB99" s="8"/>
      <c r="NPC99" s="8"/>
      <c r="NPD99" s="8"/>
      <c r="NPE99" s="8"/>
      <c r="NPF99" s="8"/>
      <c r="NPG99" s="8"/>
      <c r="NPH99" s="8"/>
      <c r="NPI99" s="8"/>
      <c r="NPJ99" s="8"/>
      <c r="NPK99" s="8"/>
      <c r="NPL99" s="8"/>
      <c r="NPM99" s="8"/>
      <c r="NPN99" s="8"/>
      <c r="NPO99" s="8"/>
      <c r="NPP99" s="8"/>
      <c r="NPQ99" s="8"/>
      <c r="NPR99" s="8"/>
      <c r="NPS99" s="8"/>
      <c r="NPT99" s="8"/>
      <c r="NPU99" s="8"/>
      <c r="NPV99" s="8"/>
      <c r="NPW99" s="8"/>
      <c r="NPX99" s="8"/>
      <c r="NPY99" s="8"/>
      <c r="NPZ99" s="8"/>
      <c r="NQA99" s="8"/>
      <c r="NQB99" s="8"/>
      <c r="NQC99" s="8"/>
      <c r="NQD99" s="8"/>
      <c r="NQE99" s="8"/>
      <c r="NQF99" s="8"/>
      <c r="NQG99" s="8"/>
      <c r="NQH99" s="8"/>
      <c r="NQI99" s="8"/>
      <c r="NQJ99" s="8"/>
      <c r="NQK99" s="8"/>
      <c r="NQL99" s="8"/>
      <c r="NQM99" s="8"/>
      <c r="NQN99" s="8"/>
      <c r="NQO99" s="8"/>
      <c r="NQP99" s="8"/>
      <c r="NQQ99" s="8"/>
      <c r="NQR99" s="8"/>
      <c r="NQS99" s="8"/>
      <c r="NQT99" s="8"/>
      <c r="NQU99" s="8"/>
      <c r="NQV99" s="8"/>
      <c r="NQW99" s="8"/>
      <c r="NQX99" s="8"/>
      <c r="NQY99" s="8"/>
      <c r="NQZ99" s="8"/>
      <c r="NRA99" s="8"/>
      <c r="NRB99" s="8"/>
      <c r="NRC99" s="8"/>
      <c r="NRD99" s="8"/>
      <c r="NRE99" s="8"/>
      <c r="NRF99" s="8"/>
      <c r="NRG99" s="8"/>
      <c r="NRH99" s="8"/>
      <c r="NRI99" s="8"/>
      <c r="NRJ99" s="8"/>
      <c r="NRK99" s="8"/>
      <c r="NRL99" s="8"/>
      <c r="NRM99" s="8"/>
      <c r="NRN99" s="8"/>
      <c r="NRO99" s="8"/>
      <c r="NRP99" s="8"/>
      <c r="NRQ99" s="8"/>
      <c r="NRR99" s="8"/>
      <c r="NRS99" s="8"/>
      <c r="NRT99" s="8"/>
      <c r="NRU99" s="8"/>
      <c r="NRV99" s="8"/>
      <c r="NRW99" s="8"/>
      <c r="NRX99" s="8"/>
      <c r="NRY99" s="8"/>
      <c r="NRZ99" s="8"/>
      <c r="NSA99" s="8"/>
      <c r="NSB99" s="8"/>
      <c r="NSC99" s="8"/>
      <c r="NSD99" s="8"/>
      <c r="NSE99" s="8"/>
      <c r="NSF99" s="8"/>
      <c r="NSG99" s="8"/>
      <c r="NSH99" s="8"/>
      <c r="NSI99" s="8"/>
      <c r="NSJ99" s="8"/>
      <c r="NSK99" s="8"/>
      <c r="NSL99" s="8"/>
      <c r="NSM99" s="8"/>
      <c r="NSN99" s="8"/>
      <c r="NSO99" s="8"/>
      <c r="NSP99" s="8"/>
      <c r="NSQ99" s="8"/>
      <c r="NSR99" s="8"/>
      <c r="NSS99" s="8"/>
      <c r="NST99" s="8"/>
      <c r="NSU99" s="8"/>
      <c r="NSV99" s="8"/>
      <c r="NSW99" s="8"/>
      <c r="NSX99" s="8"/>
      <c r="NSY99" s="8"/>
      <c r="NSZ99" s="8"/>
      <c r="NTA99" s="8"/>
      <c r="NTB99" s="8"/>
      <c r="NTC99" s="8"/>
      <c r="NTD99" s="8"/>
      <c r="NTE99" s="8"/>
      <c r="NTF99" s="8"/>
      <c r="NTG99" s="8"/>
      <c r="NTH99" s="8"/>
      <c r="NTI99" s="8"/>
      <c r="NTJ99" s="8"/>
      <c r="NTK99" s="8"/>
      <c r="NTL99" s="8"/>
      <c r="NTM99" s="8"/>
      <c r="NTN99" s="8"/>
      <c r="NTO99" s="8"/>
      <c r="NTP99" s="8"/>
      <c r="NTQ99" s="8"/>
      <c r="NTR99" s="8"/>
      <c r="NTS99" s="8"/>
      <c r="NTT99" s="8"/>
      <c r="NTU99" s="8"/>
      <c r="NTV99" s="8"/>
      <c r="NTW99" s="8"/>
      <c r="NTX99" s="8"/>
      <c r="NTY99" s="8"/>
      <c r="NTZ99" s="8"/>
      <c r="NUA99" s="8"/>
      <c r="NUB99" s="8"/>
      <c r="NUC99" s="8"/>
      <c r="NUD99" s="8"/>
      <c r="NUE99" s="8"/>
      <c r="NUF99" s="8"/>
      <c r="NUG99" s="8"/>
      <c r="NUH99" s="8"/>
      <c r="NUI99" s="8"/>
      <c r="NUJ99" s="8"/>
      <c r="NUK99" s="8"/>
      <c r="NUL99" s="8"/>
      <c r="NUM99" s="8"/>
      <c r="NUN99" s="8"/>
      <c r="NUO99" s="8"/>
      <c r="NUP99" s="8"/>
      <c r="NUQ99" s="8"/>
      <c r="NUR99" s="8"/>
      <c r="NUS99" s="8"/>
      <c r="NUT99" s="8"/>
      <c r="NUU99" s="8"/>
      <c r="NUV99" s="8"/>
      <c r="NUW99" s="8"/>
      <c r="NUX99" s="8"/>
      <c r="NUY99" s="8"/>
      <c r="NUZ99" s="8"/>
      <c r="NVA99" s="8"/>
      <c r="NVB99" s="8"/>
      <c r="NVC99" s="8"/>
      <c r="NVD99" s="8"/>
      <c r="NVE99" s="8"/>
      <c r="NVF99" s="8"/>
      <c r="NVG99" s="8"/>
      <c r="NVH99" s="8"/>
      <c r="NVI99" s="8"/>
      <c r="NVJ99" s="8"/>
      <c r="NVK99" s="8"/>
      <c r="NVL99" s="8"/>
      <c r="NVM99" s="8"/>
      <c r="NVN99" s="8"/>
      <c r="NVO99" s="8"/>
      <c r="NVP99" s="8"/>
      <c r="NVQ99" s="8"/>
      <c r="NVR99" s="8"/>
      <c r="NVS99" s="8"/>
      <c r="NVT99" s="8"/>
      <c r="NVU99" s="8"/>
      <c r="NVV99" s="8"/>
      <c r="NVW99" s="8"/>
      <c r="NVX99" s="8"/>
      <c r="NVY99" s="8"/>
      <c r="NVZ99" s="8"/>
      <c r="NWA99" s="8"/>
      <c r="NWB99" s="8"/>
      <c r="NWC99" s="8"/>
      <c r="NWD99" s="8"/>
      <c r="NWE99" s="8"/>
      <c r="NWF99" s="8"/>
      <c r="NWG99" s="8"/>
      <c r="NWH99" s="8"/>
      <c r="NWI99" s="8"/>
      <c r="NWJ99" s="8"/>
      <c r="NWK99" s="8"/>
      <c r="NWL99" s="8"/>
      <c r="NWM99" s="8"/>
      <c r="NWN99" s="8"/>
      <c r="NWO99" s="8"/>
      <c r="NWP99" s="8"/>
      <c r="NWQ99" s="8"/>
      <c r="NWR99" s="8"/>
      <c r="NWS99" s="8"/>
      <c r="NWT99" s="8"/>
      <c r="NWU99" s="8"/>
      <c r="NWV99" s="8"/>
      <c r="NWW99" s="8"/>
      <c r="NWX99" s="8"/>
      <c r="NWY99" s="8"/>
      <c r="NWZ99" s="8"/>
      <c r="NXA99" s="8"/>
      <c r="NXB99" s="8"/>
      <c r="NXC99" s="8"/>
      <c r="NXD99" s="8"/>
      <c r="NXE99" s="8"/>
      <c r="NXF99" s="8"/>
      <c r="NXG99" s="8"/>
      <c r="NXH99" s="8"/>
      <c r="NXI99" s="8"/>
      <c r="NXJ99" s="8"/>
      <c r="NXK99" s="8"/>
      <c r="NXL99" s="8"/>
      <c r="NXM99" s="8"/>
      <c r="NXN99" s="8"/>
      <c r="NXO99" s="8"/>
      <c r="NXP99" s="8"/>
      <c r="NXQ99" s="8"/>
      <c r="NXR99" s="8"/>
      <c r="NXS99" s="8"/>
      <c r="NXT99" s="8"/>
      <c r="NXU99" s="8"/>
      <c r="NXV99" s="8"/>
      <c r="NXW99" s="8"/>
      <c r="NXX99" s="8"/>
      <c r="NXY99" s="8"/>
      <c r="NXZ99" s="8"/>
      <c r="NYA99" s="8"/>
      <c r="NYB99" s="8"/>
      <c r="NYC99" s="8"/>
      <c r="NYD99" s="8"/>
      <c r="NYE99" s="8"/>
      <c r="NYF99" s="8"/>
      <c r="NYG99" s="8"/>
      <c r="NYH99" s="8"/>
      <c r="NYI99" s="8"/>
      <c r="NYJ99" s="8"/>
      <c r="NYK99" s="8"/>
      <c r="NYL99" s="8"/>
      <c r="NYM99" s="8"/>
      <c r="NYN99" s="8"/>
      <c r="NYO99" s="8"/>
      <c r="NYP99" s="8"/>
      <c r="NYQ99" s="8"/>
      <c r="NYR99" s="8"/>
      <c r="NYS99" s="8"/>
      <c r="NYT99" s="8"/>
      <c r="NYU99" s="8"/>
      <c r="NYV99" s="8"/>
      <c r="NYW99" s="8"/>
      <c r="NYX99" s="8"/>
      <c r="NYY99" s="8"/>
      <c r="NYZ99" s="8"/>
      <c r="NZA99" s="8"/>
      <c r="NZB99" s="8"/>
      <c r="NZC99" s="8"/>
      <c r="NZD99" s="8"/>
      <c r="NZE99" s="8"/>
      <c r="NZF99" s="8"/>
      <c r="NZG99" s="8"/>
      <c r="NZH99" s="8"/>
      <c r="NZI99" s="8"/>
      <c r="NZJ99" s="8"/>
      <c r="NZK99" s="8"/>
      <c r="NZL99" s="8"/>
      <c r="NZM99" s="8"/>
      <c r="NZN99" s="8"/>
      <c r="NZO99" s="8"/>
      <c r="NZP99" s="8"/>
      <c r="NZQ99" s="8"/>
      <c r="NZR99" s="8"/>
      <c r="NZS99" s="8"/>
      <c r="NZT99" s="8"/>
      <c r="NZU99" s="8"/>
      <c r="NZV99" s="8"/>
      <c r="NZW99" s="8"/>
      <c r="NZX99" s="8"/>
      <c r="NZY99" s="8"/>
      <c r="NZZ99" s="8"/>
      <c r="OAA99" s="8"/>
      <c r="OAB99" s="8"/>
      <c r="OAC99" s="8"/>
      <c r="OAD99" s="8"/>
      <c r="OAE99" s="8"/>
      <c r="OAF99" s="8"/>
      <c r="OAG99" s="8"/>
      <c r="OAH99" s="8"/>
      <c r="OAI99" s="8"/>
      <c r="OAJ99" s="8"/>
      <c r="OAK99" s="8"/>
      <c r="OAL99" s="8"/>
      <c r="OAM99" s="8"/>
      <c r="OAN99" s="8"/>
      <c r="OAO99" s="8"/>
      <c r="OAP99" s="8"/>
      <c r="OAQ99" s="8"/>
      <c r="OAR99" s="8"/>
      <c r="OAS99" s="8"/>
      <c r="OAT99" s="8"/>
      <c r="OAU99" s="8"/>
      <c r="OAV99" s="8"/>
      <c r="OAW99" s="8"/>
      <c r="OAX99" s="8"/>
      <c r="OAY99" s="8"/>
      <c r="OAZ99" s="8"/>
      <c r="OBA99" s="8"/>
      <c r="OBB99" s="8"/>
      <c r="OBC99" s="8"/>
      <c r="OBD99" s="8"/>
      <c r="OBE99" s="8"/>
      <c r="OBF99" s="8"/>
      <c r="OBG99" s="8"/>
      <c r="OBH99" s="8"/>
      <c r="OBI99" s="8"/>
      <c r="OBJ99" s="8"/>
      <c r="OBK99" s="8"/>
      <c r="OBL99" s="8"/>
      <c r="OBM99" s="8"/>
      <c r="OBN99" s="8"/>
      <c r="OBO99" s="8"/>
      <c r="OBP99" s="8"/>
      <c r="OBQ99" s="8"/>
      <c r="OBR99" s="8"/>
      <c r="OBS99" s="8"/>
      <c r="OBT99" s="8"/>
      <c r="OBU99" s="8"/>
      <c r="OBV99" s="8"/>
      <c r="OBW99" s="8"/>
      <c r="OBX99" s="8"/>
      <c r="OBY99" s="8"/>
      <c r="OBZ99" s="8"/>
      <c r="OCA99" s="8"/>
      <c r="OCB99" s="8"/>
      <c r="OCC99" s="8"/>
      <c r="OCD99" s="8"/>
      <c r="OCE99" s="8"/>
      <c r="OCF99" s="8"/>
      <c r="OCG99" s="8"/>
      <c r="OCH99" s="8"/>
      <c r="OCI99" s="8"/>
      <c r="OCJ99" s="8"/>
      <c r="OCK99" s="8"/>
      <c r="OCL99" s="8"/>
      <c r="OCM99" s="8"/>
      <c r="OCN99" s="8"/>
      <c r="OCO99" s="8"/>
      <c r="OCP99" s="8"/>
      <c r="OCQ99" s="8"/>
      <c r="OCR99" s="8"/>
      <c r="OCS99" s="8"/>
      <c r="OCT99" s="8"/>
      <c r="OCU99" s="8"/>
      <c r="OCV99" s="8"/>
      <c r="OCW99" s="8"/>
      <c r="OCX99" s="8"/>
      <c r="OCY99" s="8"/>
      <c r="OCZ99" s="8"/>
      <c r="ODA99" s="8"/>
      <c r="ODB99" s="8"/>
      <c r="ODC99" s="8"/>
      <c r="ODD99" s="8"/>
      <c r="ODE99" s="8"/>
      <c r="ODF99" s="8"/>
      <c r="ODG99" s="8"/>
      <c r="ODH99" s="8"/>
      <c r="ODI99" s="8"/>
      <c r="ODJ99" s="8"/>
      <c r="ODK99" s="8"/>
      <c r="ODL99" s="8"/>
      <c r="ODM99" s="8"/>
      <c r="ODN99" s="8"/>
      <c r="ODO99" s="8"/>
      <c r="ODP99" s="8"/>
      <c r="ODQ99" s="8"/>
      <c r="ODR99" s="8"/>
      <c r="ODS99" s="8"/>
      <c r="ODT99" s="8"/>
      <c r="ODU99" s="8"/>
      <c r="ODV99" s="8"/>
      <c r="ODW99" s="8"/>
      <c r="ODX99" s="8"/>
      <c r="ODY99" s="8"/>
      <c r="ODZ99" s="8"/>
      <c r="OEA99" s="8"/>
      <c r="OEB99" s="8"/>
      <c r="OEC99" s="8"/>
      <c r="OED99" s="8"/>
      <c r="OEE99" s="8"/>
      <c r="OEF99" s="8"/>
      <c r="OEG99" s="8"/>
      <c r="OEH99" s="8"/>
      <c r="OEI99" s="8"/>
      <c r="OEJ99" s="8"/>
      <c r="OEK99" s="8"/>
      <c r="OEL99" s="8"/>
      <c r="OEM99" s="8"/>
      <c r="OEN99" s="8"/>
      <c r="OEO99" s="8"/>
      <c r="OEP99" s="8"/>
      <c r="OEQ99" s="8"/>
      <c r="OER99" s="8"/>
      <c r="OES99" s="8"/>
      <c r="OET99" s="8"/>
      <c r="OEU99" s="8"/>
      <c r="OEV99" s="8"/>
      <c r="OEW99" s="8"/>
      <c r="OEX99" s="8"/>
      <c r="OEY99" s="8"/>
      <c r="OEZ99" s="8"/>
      <c r="OFA99" s="8"/>
      <c r="OFB99" s="8"/>
      <c r="OFC99" s="8"/>
      <c r="OFD99" s="8"/>
      <c r="OFE99" s="8"/>
      <c r="OFF99" s="8"/>
      <c r="OFG99" s="8"/>
      <c r="OFH99" s="8"/>
      <c r="OFI99" s="8"/>
      <c r="OFJ99" s="8"/>
      <c r="OFK99" s="8"/>
      <c r="OFL99" s="8"/>
      <c r="OFM99" s="8"/>
      <c r="OFN99" s="8"/>
      <c r="OFO99" s="8"/>
      <c r="OFP99" s="8"/>
      <c r="OFQ99" s="8"/>
      <c r="OFR99" s="8"/>
      <c r="OFS99" s="8"/>
      <c r="OFT99" s="8"/>
      <c r="OFU99" s="8"/>
      <c r="OFV99" s="8"/>
      <c r="OFW99" s="8"/>
      <c r="OFX99" s="8"/>
      <c r="OFY99" s="8"/>
      <c r="OFZ99" s="8"/>
      <c r="OGA99" s="8"/>
      <c r="OGB99" s="8"/>
      <c r="OGC99" s="8"/>
      <c r="OGD99" s="8"/>
      <c r="OGE99" s="8"/>
      <c r="OGF99" s="8"/>
      <c r="OGG99" s="8"/>
      <c r="OGH99" s="8"/>
      <c r="OGI99" s="8"/>
      <c r="OGJ99" s="8"/>
      <c r="OGK99" s="8"/>
      <c r="OGL99" s="8"/>
      <c r="OGM99" s="8"/>
      <c r="OGN99" s="8"/>
      <c r="OGO99" s="8"/>
      <c r="OGP99" s="8"/>
      <c r="OGQ99" s="8"/>
      <c r="OGR99" s="8"/>
      <c r="OGS99" s="8"/>
      <c r="OGT99" s="8"/>
      <c r="OGU99" s="8"/>
      <c r="OGV99" s="8"/>
      <c r="OGW99" s="8"/>
      <c r="OGX99" s="8"/>
      <c r="OGY99" s="8"/>
      <c r="OGZ99" s="8"/>
      <c r="OHA99" s="8"/>
      <c r="OHB99" s="8"/>
      <c r="OHC99" s="8"/>
      <c r="OHD99" s="8"/>
      <c r="OHE99" s="8"/>
      <c r="OHF99" s="8"/>
      <c r="OHG99" s="8"/>
      <c r="OHH99" s="8"/>
      <c r="OHI99" s="8"/>
      <c r="OHJ99" s="8"/>
      <c r="OHK99" s="8"/>
      <c r="OHL99" s="8"/>
      <c r="OHM99" s="8"/>
      <c r="OHN99" s="8"/>
      <c r="OHO99" s="8"/>
      <c r="OHP99" s="8"/>
      <c r="OHQ99" s="8"/>
      <c r="OHR99" s="8"/>
      <c r="OHS99" s="8"/>
      <c r="OHT99" s="8"/>
      <c r="OHU99" s="8"/>
      <c r="OHV99" s="8"/>
      <c r="OHW99" s="8"/>
      <c r="OHX99" s="8"/>
      <c r="OHY99" s="8"/>
      <c r="OHZ99" s="8"/>
      <c r="OIA99" s="8"/>
      <c r="OIB99" s="8"/>
      <c r="OIC99" s="8"/>
      <c r="OID99" s="8"/>
      <c r="OIE99" s="8"/>
      <c r="OIF99" s="8"/>
      <c r="OIG99" s="8"/>
      <c r="OIH99" s="8"/>
      <c r="OII99" s="8"/>
      <c r="OIJ99" s="8"/>
      <c r="OIK99" s="8"/>
      <c r="OIL99" s="8"/>
      <c r="OIM99" s="8"/>
      <c r="OIN99" s="8"/>
      <c r="OIO99" s="8"/>
      <c r="OIP99" s="8"/>
      <c r="OIQ99" s="8"/>
      <c r="OIR99" s="8"/>
      <c r="OIS99" s="8"/>
      <c r="OIT99" s="8"/>
      <c r="OIU99" s="8"/>
      <c r="OIV99" s="8"/>
      <c r="OIW99" s="8"/>
      <c r="OIX99" s="8"/>
      <c r="OIY99" s="8"/>
      <c r="OIZ99" s="8"/>
      <c r="OJA99" s="8"/>
      <c r="OJB99" s="8"/>
      <c r="OJC99" s="8"/>
      <c r="OJD99" s="8"/>
      <c r="OJE99" s="8"/>
      <c r="OJF99" s="8"/>
      <c r="OJG99" s="8"/>
      <c r="OJH99" s="8"/>
      <c r="OJI99" s="8"/>
      <c r="OJJ99" s="8"/>
      <c r="OJK99" s="8"/>
      <c r="OJL99" s="8"/>
      <c r="OJM99" s="8"/>
      <c r="OJN99" s="8"/>
      <c r="OJO99" s="8"/>
      <c r="OJP99" s="8"/>
      <c r="OJQ99" s="8"/>
      <c r="OJR99" s="8"/>
      <c r="OJS99" s="8"/>
      <c r="OJT99" s="8"/>
      <c r="OJU99" s="8"/>
      <c r="OJV99" s="8"/>
      <c r="OJW99" s="8"/>
      <c r="OJX99" s="8"/>
      <c r="OJY99" s="8"/>
      <c r="OJZ99" s="8"/>
      <c r="OKA99" s="8"/>
      <c r="OKB99" s="8"/>
      <c r="OKC99" s="8"/>
      <c r="OKD99" s="8"/>
      <c r="OKE99" s="8"/>
      <c r="OKF99" s="8"/>
      <c r="OKG99" s="8"/>
      <c r="OKH99" s="8"/>
      <c r="OKI99" s="8"/>
      <c r="OKJ99" s="8"/>
      <c r="OKK99" s="8"/>
      <c r="OKL99" s="8"/>
      <c r="OKM99" s="8"/>
      <c r="OKN99" s="8"/>
      <c r="OKO99" s="8"/>
      <c r="OKP99" s="8"/>
      <c r="OKQ99" s="8"/>
      <c r="OKR99" s="8"/>
      <c r="OKS99" s="8"/>
      <c r="OKT99" s="8"/>
      <c r="OKU99" s="8"/>
      <c r="OKV99" s="8"/>
      <c r="OKW99" s="8"/>
      <c r="OKX99" s="8"/>
      <c r="OKY99" s="8"/>
      <c r="OKZ99" s="8"/>
      <c r="OLA99" s="8"/>
      <c r="OLB99" s="8"/>
      <c r="OLC99" s="8"/>
      <c r="OLD99" s="8"/>
      <c r="OLE99" s="8"/>
      <c r="OLF99" s="8"/>
      <c r="OLG99" s="8"/>
      <c r="OLH99" s="8"/>
      <c r="OLI99" s="8"/>
      <c r="OLJ99" s="8"/>
      <c r="OLK99" s="8"/>
      <c r="OLL99" s="8"/>
      <c r="OLM99" s="8"/>
      <c r="OLN99" s="8"/>
      <c r="OLO99" s="8"/>
      <c r="OLP99" s="8"/>
      <c r="OLQ99" s="8"/>
      <c r="OLR99" s="8"/>
      <c r="OLS99" s="8"/>
      <c r="OLT99" s="8"/>
      <c r="OLU99" s="8"/>
      <c r="OLV99" s="8"/>
      <c r="OLW99" s="8"/>
      <c r="OLX99" s="8"/>
      <c r="OLY99" s="8"/>
      <c r="OLZ99" s="8"/>
      <c r="OMA99" s="8"/>
      <c r="OMB99" s="8"/>
      <c r="OMC99" s="8"/>
      <c r="OMD99" s="8"/>
      <c r="OME99" s="8"/>
      <c r="OMF99" s="8"/>
      <c r="OMG99" s="8"/>
      <c r="OMH99" s="8"/>
      <c r="OMI99" s="8"/>
      <c r="OMJ99" s="8"/>
      <c r="OMK99" s="8"/>
      <c r="OML99" s="8"/>
      <c r="OMM99" s="8"/>
      <c r="OMN99" s="8"/>
      <c r="OMO99" s="8"/>
      <c r="OMP99" s="8"/>
      <c r="OMQ99" s="8"/>
      <c r="OMR99" s="8"/>
      <c r="OMS99" s="8"/>
      <c r="OMT99" s="8"/>
      <c r="OMU99" s="8"/>
      <c r="OMV99" s="8"/>
      <c r="OMW99" s="8"/>
      <c r="OMX99" s="8"/>
      <c r="OMY99" s="8"/>
      <c r="OMZ99" s="8"/>
      <c r="ONA99" s="8"/>
      <c r="ONB99" s="8"/>
      <c r="ONC99" s="8"/>
      <c r="OND99" s="8"/>
      <c r="ONE99" s="8"/>
      <c r="ONF99" s="8"/>
      <c r="ONG99" s="8"/>
      <c r="ONH99" s="8"/>
      <c r="ONI99" s="8"/>
      <c r="ONJ99" s="8"/>
      <c r="ONK99" s="8"/>
      <c r="ONL99" s="8"/>
      <c r="ONM99" s="8"/>
      <c r="ONN99" s="8"/>
      <c r="ONO99" s="8"/>
      <c r="ONP99" s="8"/>
      <c r="ONQ99" s="8"/>
      <c r="ONR99" s="8"/>
      <c r="ONS99" s="8"/>
      <c r="ONT99" s="8"/>
      <c r="ONU99" s="8"/>
      <c r="ONV99" s="8"/>
      <c r="ONW99" s="8"/>
      <c r="ONX99" s="8"/>
      <c r="ONY99" s="8"/>
      <c r="ONZ99" s="8"/>
      <c r="OOA99" s="8"/>
      <c r="OOB99" s="8"/>
      <c r="OOC99" s="8"/>
      <c r="OOD99" s="8"/>
      <c r="OOE99" s="8"/>
      <c r="OOF99" s="8"/>
      <c r="OOG99" s="8"/>
      <c r="OOH99" s="8"/>
      <c r="OOI99" s="8"/>
      <c r="OOJ99" s="8"/>
      <c r="OOK99" s="8"/>
      <c r="OOL99" s="8"/>
      <c r="OOM99" s="8"/>
      <c r="OON99" s="8"/>
      <c r="OOO99" s="8"/>
      <c r="OOP99" s="8"/>
      <c r="OOQ99" s="8"/>
      <c r="OOR99" s="8"/>
      <c r="OOS99" s="8"/>
      <c r="OOT99" s="8"/>
      <c r="OOU99" s="8"/>
      <c r="OOV99" s="8"/>
      <c r="OOW99" s="8"/>
      <c r="OOX99" s="8"/>
      <c r="OOY99" s="8"/>
      <c r="OOZ99" s="8"/>
      <c r="OPA99" s="8"/>
      <c r="OPB99" s="8"/>
      <c r="OPC99" s="8"/>
      <c r="OPD99" s="8"/>
      <c r="OPE99" s="8"/>
      <c r="OPF99" s="8"/>
      <c r="OPG99" s="8"/>
      <c r="OPH99" s="8"/>
      <c r="OPI99" s="8"/>
      <c r="OPJ99" s="8"/>
      <c r="OPK99" s="8"/>
      <c r="OPL99" s="8"/>
      <c r="OPM99" s="8"/>
      <c r="OPN99" s="8"/>
      <c r="OPO99" s="8"/>
      <c r="OPP99" s="8"/>
      <c r="OPQ99" s="8"/>
      <c r="OPR99" s="8"/>
      <c r="OPS99" s="8"/>
      <c r="OPT99" s="8"/>
      <c r="OPU99" s="8"/>
      <c r="OPV99" s="8"/>
      <c r="OPW99" s="8"/>
      <c r="OPX99" s="8"/>
      <c r="OPY99" s="8"/>
      <c r="OPZ99" s="8"/>
      <c r="OQA99" s="8"/>
      <c r="OQB99" s="8"/>
      <c r="OQC99" s="8"/>
      <c r="OQD99" s="8"/>
      <c r="OQE99" s="8"/>
      <c r="OQF99" s="8"/>
      <c r="OQG99" s="8"/>
      <c r="OQH99" s="8"/>
      <c r="OQI99" s="8"/>
      <c r="OQJ99" s="8"/>
      <c r="OQK99" s="8"/>
      <c r="OQL99" s="8"/>
      <c r="OQM99" s="8"/>
      <c r="OQN99" s="8"/>
      <c r="OQO99" s="8"/>
      <c r="OQP99" s="8"/>
      <c r="OQQ99" s="8"/>
      <c r="OQR99" s="8"/>
      <c r="OQS99" s="8"/>
      <c r="OQT99" s="8"/>
      <c r="OQU99" s="8"/>
      <c r="OQV99" s="8"/>
      <c r="OQW99" s="8"/>
      <c r="OQX99" s="8"/>
      <c r="OQY99" s="8"/>
      <c r="OQZ99" s="8"/>
      <c r="ORA99" s="8"/>
      <c r="ORB99" s="8"/>
      <c r="ORC99" s="8"/>
      <c r="ORD99" s="8"/>
      <c r="ORE99" s="8"/>
      <c r="ORF99" s="8"/>
      <c r="ORG99" s="8"/>
      <c r="ORH99" s="8"/>
      <c r="ORI99" s="8"/>
      <c r="ORJ99" s="8"/>
      <c r="ORK99" s="8"/>
      <c r="ORL99" s="8"/>
      <c r="ORM99" s="8"/>
      <c r="ORN99" s="8"/>
      <c r="ORO99" s="8"/>
      <c r="ORP99" s="8"/>
      <c r="ORQ99" s="8"/>
      <c r="ORR99" s="8"/>
      <c r="ORS99" s="8"/>
      <c r="ORT99" s="8"/>
      <c r="ORU99" s="8"/>
      <c r="ORV99" s="8"/>
      <c r="ORW99" s="8"/>
      <c r="ORX99" s="8"/>
      <c r="ORY99" s="8"/>
      <c r="ORZ99" s="8"/>
      <c r="OSA99" s="8"/>
      <c r="OSB99" s="8"/>
      <c r="OSC99" s="8"/>
      <c r="OSD99" s="8"/>
      <c r="OSE99" s="8"/>
      <c r="OSF99" s="8"/>
      <c r="OSG99" s="8"/>
      <c r="OSH99" s="8"/>
      <c r="OSI99" s="8"/>
      <c r="OSJ99" s="8"/>
      <c r="OSK99" s="8"/>
      <c r="OSL99" s="8"/>
      <c r="OSM99" s="8"/>
      <c r="OSN99" s="8"/>
      <c r="OSO99" s="8"/>
      <c r="OSP99" s="8"/>
      <c r="OSQ99" s="8"/>
      <c r="OSR99" s="8"/>
      <c r="OSS99" s="8"/>
      <c r="OST99" s="8"/>
      <c r="OSU99" s="8"/>
      <c r="OSV99" s="8"/>
      <c r="OSW99" s="8"/>
      <c r="OSX99" s="8"/>
      <c r="OSY99" s="8"/>
      <c r="OSZ99" s="8"/>
      <c r="OTA99" s="8"/>
      <c r="OTB99" s="8"/>
      <c r="OTC99" s="8"/>
      <c r="OTD99" s="8"/>
      <c r="OTE99" s="8"/>
      <c r="OTF99" s="8"/>
      <c r="OTG99" s="8"/>
      <c r="OTH99" s="8"/>
      <c r="OTI99" s="8"/>
      <c r="OTJ99" s="8"/>
      <c r="OTK99" s="8"/>
      <c r="OTL99" s="8"/>
      <c r="OTM99" s="8"/>
      <c r="OTN99" s="8"/>
      <c r="OTO99" s="8"/>
      <c r="OTP99" s="8"/>
      <c r="OTQ99" s="8"/>
      <c r="OTR99" s="8"/>
      <c r="OTS99" s="8"/>
      <c r="OTT99" s="8"/>
      <c r="OTU99" s="8"/>
      <c r="OTV99" s="8"/>
      <c r="OTW99" s="8"/>
      <c r="OTX99" s="8"/>
      <c r="OTY99" s="8"/>
      <c r="OTZ99" s="8"/>
      <c r="OUA99" s="8"/>
      <c r="OUB99" s="8"/>
      <c r="OUC99" s="8"/>
      <c r="OUD99" s="8"/>
      <c r="OUE99" s="8"/>
      <c r="OUF99" s="8"/>
      <c r="OUG99" s="8"/>
      <c r="OUH99" s="8"/>
      <c r="OUI99" s="8"/>
      <c r="OUJ99" s="8"/>
      <c r="OUK99" s="8"/>
      <c r="OUL99" s="8"/>
      <c r="OUM99" s="8"/>
      <c r="OUN99" s="8"/>
      <c r="OUO99" s="8"/>
      <c r="OUP99" s="8"/>
      <c r="OUQ99" s="8"/>
      <c r="OUR99" s="8"/>
      <c r="OUS99" s="8"/>
      <c r="OUT99" s="8"/>
      <c r="OUU99" s="8"/>
      <c r="OUV99" s="8"/>
      <c r="OUW99" s="8"/>
      <c r="OUX99" s="8"/>
      <c r="OUY99" s="8"/>
      <c r="OUZ99" s="8"/>
      <c r="OVA99" s="8"/>
      <c r="OVB99" s="8"/>
      <c r="OVC99" s="8"/>
      <c r="OVD99" s="8"/>
      <c r="OVE99" s="8"/>
      <c r="OVF99" s="8"/>
      <c r="OVG99" s="8"/>
      <c r="OVH99" s="8"/>
      <c r="OVI99" s="8"/>
      <c r="OVJ99" s="8"/>
      <c r="OVK99" s="8"/>
      <c r="OVL99" s="8"/>
      <c r="OVM99" s="8"/>
      <c r="OVN99" s="8"/>
      <c r="OVO99" s="8"/>
      <c r="OVP99" s="8"/>
      <c r="OVQ99" s="8"/>
      <c r="OVR99" s="8"/>
      <c r="OVS99" s="8"/>
      <c r="OVT99" s="8"/>
      <c r="OVU99" s="8"/>
      <c r="OVV99" s="8"/>
      <c r="OVW99" s="8"/>
      <c r="OVX99" s="8"/>
      <c r="OVY99" s="8"/>
      <c r="OVZ99" s="8"/>
      <c r="OWA99" s="8"/>
      <c r="OWB99" s="8"/>
      <c r="OWC99" s="8"/>
      <c r="OWD99" s="8"/>
      <c r="OWE99" s="8"/>
      <c r="OWF99" s="8"/>
      <c r="OWG99" s="8"/>
      <c r="OWH99" s="8"/>
      <c r="OWI99" s="8"/>
      <c r="OWJ99" s="8"/>
      <c r="OWK99" s="8"/>
      <c r="OWL99" s="8"/>
      <c r="OWM99" s="8"/>
      <c r="OWN99" s="8"/>
      <c r="OWO99" s="8"/>
      <c r="OWP99" s="8"/>
      <c r="OWQ99" s="8"/>
      <c r="OWR99" s="8"/>
      <c r="OWS99" s="8"/>
      <c r="OWT99" s="8"/>
      <c r="OWU99" s="8"/>
      <c r="OWV99" s="8"/>
      <c r="OWW99" s="8"/>
      <c r="OWX99" s="8"/>
      <c r="OWY99" s="8"/>
      <c r="OWZ99" s="8"/>
      <c r="OXA99" s="8"/>
      <c r="OXB99" s="8"/>
      <c r="OXC99" s="8"/>
      <c r="OXD99" s="8"/>
      <c r="OXE99" s="8"/>
      <c r="OXF99" s="8"/>
      <c r="OXG99" s="8"/>
      <c r="OXH99" s="8"/>
      <c r="OXI99" s="8"/>
      <c r="OXJ99" s="8"/>
      <c r="OXK99" s="8"/>
      <c r="OXL99" s="8"/>
      <c r="OXM99" s="8"/>
      <c r="OXN99" s="8"/>
      <c r="OXO99" s="8"/>
      <c r="OXP99" s="8"/>
      <c r="OXQ99" s="8"/>
      <c r="OXR99" s="8"/>
      <c r="OXS99" s="8"/>
      <c r="OXT99" s="8"/>
      <c r="OXU99" s="8"/>
      <c r="OXV99" s="8"/>
      <c r="OXW99" s="8"/>
      <c r="OXX99" s="8"/>
      <c r="OXY99" s="8"/>
      <c r="OXZ99" s="8"/>
      <c r="OYA99" s="8"/>
      <c r="OYB99" s="8"/>
      <c r="OYC99" s="8"/>
      <c r="OYD99" s="8"/>
      <c r="OYE99" s="8"/>
      <c r="OYF99" s="8"/>
      <c r="OYG99" s="8"/>
      <c r="OYH99" s="8"/>
      <c r="OYI99" s="8"/>
      <c r="OYJ99" s="8"/>
      <c r="OYK99" s="8"/>
      <c r="OYL99" s="8"/>
      <c r="OYM99" s="8"/>
      <c r="OYN99" s="8"/>
      <c r="OYO99" s="8"/>
      <c r="OYP99" s="8"/>
      <c r="OYQ99" s="8"/>
      <c r="OYR99" s="8"/>
      <c r="OYS99" s="8"/>
      <c r="OYT99" s="8"/>
      <c r="OYU99" s="8"/>
      <c r="OYV99" s="8"/>
      <c r="OYW99" s="8"/>
      <c r="OYX99" s="8"/>
      <c r="OYY99" s="8"/>
      <c r="OYZ99" s="8"/>
      <c r="OZA99" s="8"/>
      <c r="OZB99" s="8"/>
      <c r="OZC99" s="8"/>
      <c r="OZD99" s="8"/>
      <c r="OZE99" s="8"/>
      <c r="OZF99" s="8"/>
      <c r="OZG99" s="8"/>
      <c r="OZH99" s="8"/>
      <c r="OZI99" s="8"/>
      <c r="OZJ99" s="8"/>
      <c r="OZK99" s="8"/>
      <c r="OZL99" s="8"/>
      <c r="OZM99" s="8"/>
      <c r="OZN99" s="8"/>
      <c r="OZO99" s="8"/>
      <c r="OZP99" s="8"/>
      <c r="OZQ99" s="8"/>
      <c r="OZR99" s="8"/>
      <c r="OZS99" s="8"/>
      <c r="OZT99" s="8"/>
      <c r="OZU99" s="8"/>
      <c r="OZV99" s="8"/>
      <c r="OZW99" s="8"/>
      <c r="OZX99" s="8"/>
      <c r="OZY99" s="8"/>
      <c r="OZZ99" s="8"/>
      <c r="PAA99" s="8"/>
      <c r="PAB99" s="8"/>
      <c r="PAC99" s="8"/>
      <c r="PAD99" s="8"/>
      <c r="PAE99" s="8"/>
      <c r="PAF99" s="8"/>
      <c r="PAG99" s="8"/>
      <c r="PAH99" s="8"/>
      <c r="PAI99" s="8"/>
      <c r="PAJ99" s="8"/>
      <c r="PAK99" s="8"/>
      <c r="PAL99" s="8"/>
      <c r="PAM99" s="8"/>
      <c r="PAN99" s="8"/>
      <c r="PAO99" s="8"/>
      <c r="PAP99" s="8"/>
      <c r="PAQ99" s="8"/>
      <c r="PAR99" s="8"/>
      <c r="PAS99" s="8"/>
      <c r="PAT99" s="8"/>
      <c r="PAU99" s="8"/>
      <c r="PAV99" s="8"/>
      <c r="PAW99" s="8"/>
      <c r="PAX99" s="8"/>
      <c r="PAY99" s="8"/>
      <c r="PAZ99" s="8"/>
      <c r="PBA99" s="8"/>
      <c r="PBB99" s="8"/>
      <c r="PBC99" s="8"/>
      <c r="PBD99" s="8"/>
      <c r="PBE99" s="8"/>
      <c r="PBF99" s="8"/>
      <c r="PBG99" s="8"/>
      <c r="PBH99" s="8"/>
      <c r="PBI99" s="8"/>
      <c r="PBJ99" s="8"/>
      <c r="PBK99" s="8"/>
      <c r="PBL99" s="8"/>
      <c r="PBM99" s="8"/>
      <c r="PBN99" s="8"/>
      <c r="PBO99" s="8"/>
      <c r="PBP99" s="8"/>
      <c r="PBQ99" s="8"/>
      <c r="PBR99" s="8"/>
      <c r="PBS99" s="8"/>
      <c r="PBT99" s="8"/>
      <c r="PBU99" s="8"/>
      <c r="PBV99" s="8"/>
      <c r="PBW99" s="8"/>
      <c r="PBX99" s="8"/>
      <c r="PBY99" s="8"/>
      <c r="PBZ99" s="8"/>
      <c r="PCA99" s="8"/>
      <c r="PCB99" s="8"/>
      <c r="PCC99" s="8"/>
      <c r="PCD99" s="8"/>
      <c r="PCE99" s="8"/>
      <c r="PCF99" s="8"/>
      <c r="PCG99" s="8"/>
      <c r="PCH99" s="8"/>
      <c r="PCI99" s="8"/>
      <c r="PCJ99" s="8"/>
      <c r="PCK99" s="8"/>
      <c r="PCL99" s="8"/>
      <c r="PCM99" s="8"/>
      <c r="PCN99" s="8"/>
      <c r="PCO99" s="8"/>
      <c r="PCP99" s="8"/>
      <c r="PCQ99" s="8"/>
      <c r="PCR99" s="8"/>
      <c r="PCS99" s="8"/>
      <c r="PCT99" s="8"/>
      <c r="PCU99" s="8"/>
      <c r="PCV99" s="8"/>
      <c r="PCW99" s="8"/>
      <c r="PCX99" s="8"/>
      <c r="PCY99" s="8"/>
      <c r="PCZ99" s="8"/>
      <c r="PDA99" s="8"/>
      <c r="PDB99" s="8"/>
      <c r="PDC99" s="8"/>
      <c r="PDD99" s="8"/>
      <c r="PDE99" s="8"/>
      <c r="PDF99" s="8"/>
      <c r="PDG99" s="8"/>
      <c r="PDH99" s="8"/>
      <c r="PDI99" s="8"/>
      <c r="PDJ99" s="8"/>
      <c r="PDK99" s="8"/>
      <c r="PDL99" s="8"/>
      <c r="PDM99" s="8"/>
      <c r="PDN99" s="8"/>
      <c r="PDO99" s="8"/>
      <c r="PDP99" s="8"/>
      <c r="PDQ99" s="8"/>
      <c r="PDR99" s="8"/>
      <c r="PDS99" s="8"/>
      <c r="PDT99" s="8"/>
      <c r="PDU99" s="8"/>
      <c r="PDV99" s="8"/>
      <c r="PDW99" s="8"/>
      <c r="PDX99" s="8"/>
      <c r="PDY99" s="8"/>
      <c r="PDZ99" s="8"/>
      <c r="PEA99" s="8"/>
      <c r="PEB99" s="8"/>
      <c r="PEC99" s="8"/>
      <c r="PED99" s="8"/>
      <c r="PEE99" s="8"/>
      <c r="PEF99" s="8"/>
      <c r="PEG99" s="8"/>
      <c r="PEH99" s="8"/>
      <c r="PEI99" s="8"/>
      <c r="PEJ99" s="8"/>
      <c r="PEK99" s="8"/>
      <c r="PEL99" s="8"/>
      <c r="PEM99" s="8"/>
      <c r="PEN99" s="8"/>
      <c r="PEO99" s="8"/>
      <c r="PEP99" s="8"/>
      <c r="PEQ99" s="8"/>
      <c r="PER99" s="8"/>
      <c r="PES99" s="8"/>
      <c r="PET99" s="8"/>
      <c r="PEU99" s="8"/>
      <c r="PEV99" s="8"/>
      <c r="PEW99" s="8"/>
      <c r="PEX99" s="8"/>
      <c r="PEY99" s="8"/>
      <c r="PEZ99" s="8"/>
      <c r="PFA99" s="8"/>
      <c r="PFB99" s="8"/>
      <c r="PFC99" s="8"/>
      <c r="PFD99" s="8"/>
      <c r="PFE99" s="8"/>
      <c r="PFF99" s="8"/>
      <c r="PFG99" s="8"/>
      <c r="PFH99" s="8"/>
      <c r="PFI99" s="8"/>
      <c r="PFJ99" s="8"/>
      <c r="PFK99" s="8"/>
      <c r="PFL99" s="8"/>
      <c r="PFM99" s="8"/>
      <c r="PFN99" s="8"/>
      <c r="PFO99" s="8"/>
      <c r="PFP99" s="8"/>
      <c r="PFQ99" s="8"/>
      <c r="PFR99" s="8"/>
      <c r="PFS99" s="8"/>
      <c r="PFT99" s="8"/>
      <c r="PFU99" s="8"/>
      <c r="PFV99" s="8"/>
      <c r="PFW99" s="8"/>
      <c r="PFX99" s="8"/>
      <c r="PFY99" s="8"/>
      <c r="PFZ99" s="8"/>
      <c r="PGA99" s="8"/>
      <c r="PGB99" s="8"/>
      <c r="PGC99" s="8"/>
      <c r="PGD99" s="8"/>
      <c r="PGE99" s="8"/>
      <c r="PGF99" s="8"/>
      <c r="PGG99" s="8"/>
      <c r="PGH99" s="8"/>
      <c r="PGI99" s="8"/>
      <c r="PGJ99" s="8"/>
      <c r="PGK99" s="8"/>
      <c r="PGL99" s="8"/>
      <c r="PGM99" s="8"/>
      <c r="PGN99" s="8"/>
      <c r="PGO99" s="8"/>
      <c r="PGP99" s="8"/>
      <c r="PGQ99" s="8"/>
      <c r="PGR99" s="8"/>
      <c r="PGS99" s="8"/>
      <c r="PGT99" s="8"/>
      <c r="PGU99" s="8"/>
      <c r="PGV99" s="8"/>
      <c r="PGW99" s="8"/>
      <c r="PGX99" s="8"/>
      <c r="PGY99" s="8"/>
      <c r="PGZ99" s="8"/>
      <c r="PHA99" s="8"/>
      <c r="PHB99" s="8"/>
      <c r="PHC99" s="8"/>
      <c r="PHD99" s="8"/>
      <c r="PHE99" s="8"/>
      <c r="PHF99" s="8"/>
      <c r="PHG99" s="8"/>
      <c r="PHH99" s="8"/>
      <c r="PHI99" s="8"/>
      <c r="PHJ99" s="8"/>
      <c r="PHK99" s="8"/>
      <c r="PHL99" s="8"/>
      <c r="PHM99" s="8"/>
      <c r="PHN99" s="8"/>
      <c r="PHO99" s="8"/>
      <c r="PHP99" s="8"/>
      <c r="PHQ99" s="8"/>
      <c r="PHR99" s="8"/>
      <c r="PHS99" s="8"/>
      <c r="PHT99" s="8"/>
      <c r="PHU99" s="8"/>
      <c r="PHV99" s="8"/>
      <c r="PHW99" s="8"/>
      <c r="PHX99" s="8"/>
      <c r="PHY99" s="8"/>
      <c r="PHZ99" s="8"/>
      <c r="PIA99" s="8"/>
      <c r="PIB99" s="8"/>
      <c r="PIC99" s="8"/>
      <c r="PID99" s="8"/>
      <c r="PIE99" s="8"/>
      <c r="PIF99" s="8"/>
      <c r="PIG99" s="8"/>
      <c r="PIH99" s="8"/>
      <c r="PII99" s="8"/>
      <c r="PIJ99" s="8"/>
      <c r="PIK99" s="8"/>
      <c r="PIL99" s="8"/>
      <c r="PIM99" s="8"/>
      <c r="PIN99" s="8"/>
      <c r="PIO99" s="8"/>
      <c r="PIP99" s="8"/>
      <c r="PIQ99" s="8"/>
      <c r="PIR99" s="8"/>
      <c r="PIS99" s="8"/>
      <c r="PIT99" s="8"/>
      <c r="PIU99" s="8"/>
      <c r="PIV99" s="8"/>
      <c r="PIW99" s="8"/>
      <c r="PIX99" s="8"/>
      <c r="PIY99" s="8"/>
      <c r="PIZ99" s="8"/>
      <c r="PJA99" s="8"/>
      <c r="PJB99" s="8"/>
      <c r="PJC99" s="8"/>
      <c r="PJD99" s="8"/>
      <c r="PJE99" s="8"/>
      <c r="PJF99" s="8"/>
      <c r="PJG99" s="8"/>
      <c r="PJH99" s="8"/>
      <c r="PJI99" s="8"/>
      <c r="PJJ99" s="8"/>
      <c r="PJK99" s="8"/>
      <c r="PJL99" s="8"/>
      <c r="PJM99" s="8"/>
      <c r="PJN99" s="8"/>
      <c r="PJO99" s="8"/>
      <c r="PJP99" s="8"/>
      <c r="PJQ99" s="8"/>
      <c r="PJR99" s="8"/>
      <c r="PJS99" s="8"/>
      <c r="PJT99" s="8"/>
      <c r="PJU99" s="8"/>
      <c r="PJV99" s="8"/>
      <c r="PJW99" s="8"/>
      <c r="PJX99" s="8"/>
      <c r="PJY99" s="8"/>
      <c r="PJZ99" s="8"/>
      <c r="PKA99" s="8"/>
      <c r="PKB99" s="8"/>
      <c r="PKC99" s="8"/>
      <c r="PKD99" s="8"/>
      <c r="PKE99" s="8"/>
      <c r="PKF99" s="8"/>
      <c r="PKG99" s="8"/>
      <c r="PKH99" s="8"/>
      <c r="PKI99" s="8"/>
      <c r="PKJ99" s="8"/>
      <c r="PKK99" s="8"/>
      <c r="PKL99" s="8"/>
      <c r="PKM99" s="8"/>
      <c r="PKN99" s="8"/>
      <c r="PKO99" s="8"/>
      <c r="PKP99" s="8"/>
      <c r="PKQ99" s="8"/>
      <c r="PKR99" s="8"/>
      <c r="PKS99" s="8"/>
      <c r="PKT99" s="8"/>
      <c r="PKU99" s="8"/>
      <c r="PKV99" s="8"/>
      <c r="PKW99" s="8"/>
      <c r="PKX99" s="8"/>
      <c r="PKY99" s="8"/>
      <c r="PKZ99" s="8"/>
      <c r="PLA99" s="8"/>
      <c r="PLB99" s="8"/>
      <c r="PLC99" s="8"/>
      <c r="PLD99" s="8"/>
      <c r="PLE99" s="8"/>
      <c r="PLF99" s="8"/>
      <c r="PLG99" s="8"/>
      <c r="PLH99" s="8"/>
      <c r="PLI99" s="8"/>
      <c r="PLJ99" s="8"/>
      <c r="PLK99" s="8"/>
      <c r="PLL99" s="8"/>
      <c r="PLM99" s="8"/>
      <c r="PLN99" s="8"/>
      <c r="PLO99" s="8"/>
      <c r="PLP99" s="8"/>
      <c r="PLQ99" s="8"/>
      <c r="PLR99" s="8"/>
      <c r="PLS99" s="8"/>
      <c r="PLT99" s="8"/>
      <c r="PLU99" s="8"/>
      <c r="PLV99" s="8"/>
      <c r="PLW99" s="8"/>
      <c r="PLX99" s="8"/>
      <c r="PLY99" s="8"/>
      <c r="PLZ99" s="8"/>
      <c r="PMA99" s="8"/>
      <c r="PMB99" s="8"/>
      <c r="PMC99" s="8"/>
      <c r="PMD99" s="8"/>
      <c r="PME99" s="8"/>
      <c r="PMF99" s="8"/>
      <c r="PMG99" s="8"/>
      <c r="PMH99" s="8"/>
      <c r="PMI99" s="8"/>
      <c r="PMJ99" s="8"/>
      <c r="PMK99" s="8"/>
      <c r="PML99" s="8"/>
      <c r="PMM99" s="8"/>
      <c r="PMN99" s="8"/>
      <c r="PMO99" s="8"/>
      <c r="PMP99" s="8"/>
      <c r="PMQ99" s="8"/>
      <c r="PMR99" s="8"/>
      <c r="PMS99" s="8"/>
      <c r="PMT99" s="8"/>
      <c r="PMU99" s="8"/>
      <c r="PMV99" s="8"/>
      <c r="PMW99" s="8"/>
      <c r="PMX99" s="8"/>
      <c r="PMY99" s="8"/>
      <c r="PMZ99" s="8"/>
      <c r="PNA99" s="8"/>
      <c r="PNB99" s="8"/>
      <c r="PNC99" s="8"/>
      <c r="PND99" s="8"/>
      <c r="PNE99" s="8"/>
      <c r="PNF99" s="8"/>
      <c r="PNG99" s="8"/>
      <c r="PNH99" s="8"/>
      <c r="PNI99" s="8"/>
      <c r="PNJ99" s="8"/>
      <c r="PNK99" s="8"/>
      <c r="PNL99" s="8"/>
      <c r="PNM99" s="8"/>
      <c r="PNN99" s="8"/>
      <c r="PNO99" s="8"/>
      <c r="PNP99" s="8"/>
      <c r="PNQ99" s="8"/>
      <c r="PNR99" s="8"/>
      <c r="PNS99" s="8"/>
      <c r="PNT99" s="8"/>
      <c r="PNU99" s="8"/>
      <c r="PNV99" s="8"/>
      <c r="PNW99" s="8"/>
      <c r="PNX99" s="8"/>
      <c r="PNY99" s="8"/>
      <c r="PNZ99" s="8"/>
      <c r="POA99" s="8"/>
      <c r="POB99" s="8"/>
      <c r="POC99" s="8"/>
      <c r="POD99" s="8"/>
      <c r="POE99" s="8"/>
      <c r="POF99" s="8"/>
      <c r="POG99" s="8"/>
      <c r="POH99" s="8"/>
      <c r="POI99" s="8"/>
      <c r="POJ99" s="8"/>
      <c r="POK99" s="8"/>
      <c r="POL99" s="8"/>
      <c r="POM99" s="8"/>
      <c r="PON99" s="8"/>
      <c r="POO99" s="8"/>
      <c r="POP99" s="8"/>
      <c r="POQ99" s="8"/>
      <c r="POR99" s="8"/>
      <c r="POS99" s="8"/>
      <c r="POT99" s="8"/>
      <c r="POU99" s="8"/>
      <c r="POV99" s="8"/>
      <c r="POW99" s="8"/>
      <c r="POX99" s="8"/>
      <c r="POY99" s="8"/>
      <c r="POZ99" s="8"/>
      <c r="PPA99" s="8"/>
      <c r="PPB99" s="8"/>
      <c r="PPC99" s="8"/>
      <c r="PPD99" s="8"/>
      <c r="PPE99" s="8"/>
      <c r="PPF99" s="8"/>
      <c r="PPG99" s="8"/>
      <c r="PPH99" s="8"/>
      <c r="PPI99" s="8"/>
      <c r="PPJ99" s="8"/>
      <c r="PPK99" s="8"/>
      <c r="PPL99" s="8"/>
      <c r="PPM99" s="8"/>
      <c r="PPN99" s="8"/>
      <c r="PPO99" s="8"/>
      <c r="PPP99" s="8"/>
      <c r="PPQ99" s="8"/>
      <c r="PPR99" s="8"/>
      <c r="PPS99" s="8"/>
      <c r="PPT99" s="8"/>
      <c r="PPU99" s="8"/>
      <c r="PPV99" s="8"/>
      <c r="PPW99" s="8"/>
      <c r="PPX99" s="8"/>
      <c r="PPY99" s="8"/>
      <c r="PPZ99" s="8"/>
      <c r="PQA99" s="8"/>
      <c r="PQB99" s="8"/>
      <c r="PQC99" s="8"/>
      <c r="PQD99" s="8"/>
      <c r="PQE99" s="8"/>
      <c r="PQF99" s="8"/>
      <c r="PQG99" s="8"/>
      <c r="PQH99" s="8"/>
      <c r="PQI99" s="8"/>
      <c r="PQJ99" s="8"/>
      <c r="PQK99" s="8"/>
      <c r="PQL99" s="8"/>
      <c r="PQM99" s="8"/>
      <c r="PQN99" s="8"/>
      <c r="PQO99" s="8"/>
      <c r="PQP99" s="8"/>
      <c r="PQQ99" s="8"/>
      <c r="PQR99" s="8"/>
      <c r="PQS99" s="8"/>
      <c r="PQT99" s="8"/>
      <c r="PQU99" s="8"/>
      <c r="PQV99" s="8"/>
      <c r="PQW99" s="8"/>
      <c r="PQX99" s="8"/>
      <c r="PQY99" s="8"/>
      <c r="PQZ99" s="8"/>
      <c r="PRA99" s="8"/>
      <c r="PRB99" s="8"/>
      <c r="PRC99" s="8"/>
      <c r="PRD99" s="8"/>
      <c r="PRE99" s="8"/>
      <c r="PRF99" s="8"/>
      <c r="PRG99" s="8"/>
      <c r="PRH99" s="8"/>
      <c r="PRI99" s="8"/>
      <c r="PRJ99" s="8"/>
      <c r="PRK99" s="8"/>
      <c r="PRL99" s="8"/>
      <c r="PRM99" s="8"/>
      <c r="PRN99" s="8"/>
      <c r="PRO99" s="8"/>
      <c r="PRP99" s="8"/>
      <c r="PRQ99" s="8"/>
      <c r="PRR99" s="8"/>
      <c r="PRS99" s="8"/>
      <c r="PRT99" s="8"/>
      <c r="PRU99" s="8"/>
      <c r="PRV99" s="8"/>
      <c r="PRW99" s="8"/>
      <c r="PRX99" s="8"/>
      <c r="PRY99" s="8"/>
      <c r="PRZ99" s="8"/>
      <c r="PSA99" s="8"/>
      <c r="PSB99" s="8"/>
      <c r="PSC99" s="8"/>
      <c r="PSD99" s="8"/>
      <c r="PSE99" s="8"/>
      <c r="PSF99" s="8"/>
      <c r="PSG99" s="8"/>
      <c r="PSH99" s="8"/>
      <c r="PSI99" s="8"/>
      <c r="PSJ99" s="8"/>
      <c r="PSK99" s="8"/>
      <c r="PSL99" s="8"/>
      <c r="PSM99" s="8"/>
      <c r="PSN99" s="8"/>
      <c r="PSO99" s="8"/>
      <c r="PSP99" s="8"/>
      <c r="PSQ99" s="8"/>
      <c r="PSR99" s="8"/>
      <c r="PSS99" s="8"/>
      <c r="PST99" s="8"/>
      <c r="PSU99" s="8"/>
      <c r="PSV99" s="8"/>
      <c r="PSW99" s="8"/>
      <c r="PSX99" s="8"/>
      <c r="PSY99" s="8"/>
      <c r="PSZ99" s="8"/>
      <c r="PTA99" s="8"/>
      <c r="PTB99" s="8"/>
      <c r="PTC99" s="8"/>
      <c r="PTD99" s="8"/>
      <c r="PTE99" s="8"/>
      <c r="PTF99" s="8"/>
      <c r="PTG99" s="8"/>
      <c r="PTH99" s="8"/>
      <c r="PTI99" s="8"/>
      <c r="PTJ99" s="8"/>
      <c r="PTK99" s="8"/>
      <c r="PTL99" s="8"/>
      <c r="PTM99" s="8"/>
      <c r="PTN99" s="8"/>
      <c r="PTO99" s="8"/>
      <c r="PTP99" s="8"/>
      <c r="PTQ99" s="8"/>
      <c r="PTR99" s="8"/>
      <c r="PTS99" s="8"/>
      <c r="PTT99" s="8"/>
      <c r="PTU99" s="8"/>
      <c r="PTV99" s="8"/>
      <c r="PTW99" s="8"/>
      <c r="PTX99" s="8"/>
      <c r="PTY99" s="8"/>
      <c r="PTZ99" s="8"/>
      <c r="PUA99" s="8"/>
      <c r="PUB99" s="8"/>
      <c r="PUC99" s="8"/>
      <c r="PUD99" s="8"/>
      <c r="PUE99" s="8"/>
      <c r="PUF99" s="8"/>
      <c r="PUG99" s="8"/>
      <c r="PUH99" s="8"/>
      <c r="PUI99" s="8"/>
      <c r="PUJ99" s="8"/>
      <c r="PUK99" s="8"/>
      <c r="PUL99" s="8"/>
      <c r="PUM99" s="8"/>
      <c r="PUN99" s="8"/>
      <c r="PUO99" s="8"/>
      <c r="PUP99" s="8"/>
      <c r="PUQ99" s="8"/>
      <c r="PUR99" s="8"/>
      <c r="PUS99" s="8"/>
      <c r="PUT99" s="8"/>
      <c r="PUU99" s="8"/>
      <c r="PUV99" s="8"/>
      <c r="PUW99" s="8"/>
      <c r="PUX99" s="8"/>
      <c r="PUY99" s="8"/>
      <c r="PUZ99" s="8"/>
      <c r="PVA99" s="8"/>
      <c r="PVB99" s="8"/>
      <c r="PVC99" s="8"/>
      <c r="PVD99" s="8"/>
      <c r="PVE99" s="8"/>
      <c r="PVF99" s="8"/>
      <c r="PVG99" s="8"/>
      <c r="PVH99" s="8"/>
      <c r="PVI99" s="8"/>
      <c r="PVJ99" s="8"/>
      <c r="PVK99" s="8"/>
      <c r="PVL99" s="8"/>
      <c r="PVM99" s="8"/>
      <c r="PVN99" s="8"/>
      <c r="PVO99" s="8"/>
      <c r="PVP99" s="8"/>
      <c r="PVQ99" s="8"/>
      <c r="PVR99" s="8"/>
      <c r="PVS99" s="8"/>
      <c r="PVT99" s="8"/>
      <c r="PVU99" s="8"/>
      <c r="PVV99" s="8"/>
      <c r="PVW99" s="8"/>
      <c r="PVX99" s="8"/>
      <c r="PVY99" s="8"/>
      <c r="PVZ99" s="8"/>
      <c r="PWA99" s="8"/>
      <c r="PWB99" s="8"/>
      <c r="PWC99" s="8"/>
      <c r="PWD99" s="8"/>
      <c r="PWE99" s="8"/>
      <c r="PWF99" s="8"/>
      <c r="PWG99" s="8"/>
      <c r="PWH99" s="8"/>
      <c r="PWI99" s="8"/>
      <c r="PWJ99" s="8"/>
      <c r="PWK99" s="8"/>
      <c r="PWL99" s="8"/>
      <c r="PWM99" s="8"/>
      <c r="PWN99" s="8"/>
      <c r="PWO99" s="8"/>
      <c r="PWP99" s="8"/>
      <c r="PWQ99" s="8"/>
      <c r="PWR99" s="8"/>
      <c r="PWS99" s="8"/>
      <c r="PWT99" s="8"/>
      <c r="PWU99" s="8"/>
      <c r="PWV99" s="8"/>
      <c r="PWW99" s="8"/>
      <c r="PWX99" s="8"/>
      <c r="PWY99" s="8"/>
      <c r="PWZ99" s="8"/>
      <c r="PXA99" s="8"/>
      <c r="PXB99" s="8"/>
      <c r="PXC99" s="8"/>
      <c r="PXD99" s="8"/>
      <c r="PXE99" s="8"/>
      <c r="PXF99" s="8"/>
      <c r="PXG99" s="8"/>
      <c r="PXH99" s="8"/>
      <c r="PXI99" s="8"/>
      <c r="PXJ99" s="8"/>
      <c r="PXK99" s="8"/>
      <c r="PXL99" s="8"/>
      <c r="PXM99" s="8"/>
      <c r="PXN99" s="8"/>
      <c r="PXO99" s="8"/>
      <c r="PXP99" s="8"/>
      <c r="PXQ99" s="8"/>
      <c r="PXR99" s="8"/>
      <c r="PXS99" s="8"/>
      <c r="PXT99" s="8"/>
      <c r="PXU99" s="8"/>
      <c r="PXV99" s="8"/>
      <c r="PXW99" s="8"/>
      <c r="PXX99" s="8"/>
      <c r="PXY99" s="8"/>
      <c r="PXZ99" s="8"/>
      <c r="PYA99" s="8"/>
      <c r="PYB99" s="8"/>
      <c r="PYC99" s="8"/>
      <c r="PYD99" s="8"/>
      <c r="PYE99" s="8"/>
      <c r="PYF99" s="8"/>
      <c r="PYG99" s="8"/>
      <c r="PYH99" s="8"/>
      <c r="PYI99" s="8"/>
      <c r="PYJ99" s="8"/>
      <c r="PYK99" s="8"/>
      <c r="PYL99" s="8"/>
      <c r="PYM99" s="8"/>
      <c r="PYN99" s="8"/>
      <c r="PYO99" s="8"/>
      <c r="PYP99" s="8"/>
      <c r="PYQ99" s="8"/>
      <c r="PYR99" s="8"/>
      <c r="PYS99" s="8"/>
      <c r="PYT99" s="8"/>
      <c r="PYU99" s="8"/>
      <c r="PYV99" s="8"/>
      <c r="PYW99" s="8"/>
      <c r="PYX99" s="8"/>
      <c r="PYY99" s="8"/>
      <c r="PYZ99" s="8"/>
      <c r="PZA99" s="8"/>
      <c r="PZB99" s="8"/>
      <c r="PZC99" s="8"/>
      <c r="PZD99" s="8"/>
      <c r="PZE99" s="8"/>
      <c r="PZF99" s="8"/>
      <c r="PZG99" s="8"/>
      <c r="PZH99" s="8"/>
      <c r="PZI99" s="8"/>
      <c r="PZJ99" s="8"/>
      <c r="PZK99" s="8"/>
      <c r="PZL99" s="8"/>
      <c r="PZM99" s="8"/>
      <c r="PZN99" s="8"/>
      <c r="PZO99" s="8"/>
      <c r="PZP99" s="8"/>
      <c r="PZQ99" s="8"/>
      <c r="PZR99" s="8"/>
      <c r="PZS99" s="8"/>
      <c r="PZT99" s="8"/>
      <c r="PZU99" s="8"/>
      <c r="PZV99" s="8"/>
      <c r="PZW99" s="8"/>
      <c r="PZX99" s="8"/>
      <c r="PZY99" s="8"/>
      <c r="PZZ99" s="8"/>
      <c r="QAA99" s="8"/>
      <c r="QAB99" s="8"/>
      <c r="QAC99" s="8"/>
      <c r="QAD99" s="8"/>
      <c r="QAE99" s="8"/>
      <c r="QAF99" s="8"/>
      <c r="QAG99" s="8"/>
      <c r="QAH99" s="8"/>
      <c r="QAI99" s="8"/>
      <c r="QAJ99" s="8"/>
      <c r="QAK99" s="8"/>
      <c r="QAL99" s="8"/>
      <c r="QAM99" s="8"/>
      <c r="QAN99" s="8"/>
      <c r="QAO99" s="8"/>
      <c r="QAP99" s="8"/>
      <c r="QAQ99" s="8"/>
      <c r="QAR99" s="8"/>
      <c r="QAS99" s="8"/>
      <c r="QAT99" s="8"/>
      <c r="QAU99" s="8"/>
      <c r="QAV99" s="8"/>
      <c r="QAW99" s="8"/>
      <c r="QAX99" s="8"/>
      <c r="QAY99" s="8"/>
      <c r="QAZ99" s="8"/>
      <c r="QBA99" s="8"/>
      <c r="QBB99" s="8"/>
      <c r="QBC99" s="8"/>
      <c r="QBD99" s="8"/>
      <c r="QBE99" s="8"/>
      <c r="QBF99" s="8"/>
      <c r="QBG99" s="8"/>
      <c r="QBH99" s="8"/>
      <c r="QBI99" s="8"/>
      <c r="QBJ99" s="8"/>
      <c r="QBK99" s="8"/>
      <c r="QBL99" s="8"/>
      <c r="QBM99" s="8"/>
      <c r="QBN99" s="8"/>
      <c r="QBO99" s="8"/>
      <c r="QBP99" s="8"/>
      <c r="QBQ99" s="8"/>
      <c r="QBR99" s="8"/>
      <c r="QBS99" s="8"/>
      <c r="QBT99" s="8"/>
      <c r="QBU99" s="8"/>
      <c r="QBV99" s="8"/>
      <c r="QBW99" s="8"/>
      <c r="QBX99" s="8"/>
      <c r="QBY99" s="8"/>
      <c r="QBZ99" s="8"/>
      <c r="QCA99" s="8"/>
      <c r="QCB99" s="8"/>
      <c r="QCC99" s="8"/>
      <c r="QCD99" s="8"/>
      <c r="QCE99" s="8"/>
      <c r="QCF99" s="8"/>
      <c r="QCG99" s="8"/>
      <c r="QCH99" s="8"/>
      <c r="QCI99" s="8"/>
      <c r="QCJ99" s="8"/>
      <c r="QCK99" s="8"/>
      <c r="QCL99" s="8"/>
      <c r="QCM99" s="8"/>
      <c r="QCN99" s="8"/>
      <c r="QCO99" s="8"/>
      <c r="QCP99" s="8"/>
      <c r="QCQ99" s="8"/>
      <c r="QCR99" s="8"/>
      <c r="QCS99" s="8"/>
      <c r="QCT99" s="8"/>
      <c r="QCU99" s="8"/>
      <c r="QCV99" s="8"/>
      <c r="QCW99" s="8"/>
      <c r="QCX99" s="8"/>
      <c r="QCY99" s="8"/>
      <c r="QCZ99" s="8"/>
      <c r="QDA99" s="8"/>
      <c r="QDB99" s="8"/>
      <c r="QDC99" s="8"/>
      <c r="QDD99" s="8"/>
      <c r="QDE99" s="8"/>
      <c r="QDF99" s="8"/>
      <c r="QDG99" s="8"/>
      <c r="QDH99" s="8"/>
      <c r="QDI99" s="8"/>
      <c r="QDJ99" s="8"/>
      <c r="QDK99" s="8"/>
      <c r="QDL99" s="8"/>
      <c r="QDM99" s="8"/>
      <c r="QDN99" s="8"/>
      <c r="QDO99" s="8"/>
      <c r="QDP99" s="8"/>
      <c r="QDQ99" s="8"/>
      <c r="QDR99" s="8"/>
      <c r="QDS99" s="8"/>
      <c r="QDT99" s="8"/>
      <c r="QDU99" s="8"/>
      <c r="QDV99" s="8"/>
      <c r="QDW99" s="8"/>
      <c r="QDX99" s="8"/>
      <c r="QDY99" s="8"/>
      <c r="QDZ99" s="8"/>
      <c r="QEA99" s="8"/>
      <c r="QEB99" s="8"/>
      <c r="QEC99" s="8"/>
      <c r="QED99" s="8"/>
      <c r="QEE99" s="8"/>
      <c r="QEF99" s="8"/>
      <c r="QEG99" s="8"/>
      <c r="QEH99" s="8"/>
      <c r="QEI99" s="8"/>
      <c r="QEJ99" s="8"/>
      <c r="QEK99" s="8"/>
      <c r="QEL99" s="8"/>
      <c r="QEM99" s="8"/>
      <c r="QEN99" s="8"/>
      <c r="QEO99" s="8"/>
      <c r="QEP99" s="8"/>
      <c r="QEQ99" s="8"/>
      <c r="QER99" s="8"/>
      <c r="QES99" s="8"/>
      <c r="QET99" s="8"/>
      <c r="QEU99" s="8"/>
      <c r="QEV99" s="8"/>
      <c r="QEW99" s="8"/>
      <c r="QEX99" s="8"/>
      <c r="QEY99" s="8"/>
      <c r="QEZ99" s="8"/>
      <c r="QFA99" s="8"/>
      <c r="QFB99" s="8"/>
      <c r="QFC99" s="8"/>
      <c r="QFD99" s="8"/>
      <c r="QFE99" s="8"/>
      <c r="QFF99" s="8"/>
      <c r="QFG99" s="8"/>
      <c r="QFH99" s="8"/>
      <c r="QFI99" s="8"/>
      <c r="QFJ99" s="8"/>
      <c r="QFK99" s="8"/>
      <c r="QFL99" s="8"/>
      <c r="QFM99" s="8"/>
      <c r="QFN99" s="8"/>
      <c r="QFO99" s="8"/>
      <c r="QFP99" s="8"/>
      <c r="QFQ99" s="8"/>
      <c r="QFR99" s="8"/>
      <c r="QFS99" s="8"/>
      <c r="QFT99" s="8"/>
      <c r="QFU99" s="8"/>
      <c r="QFV99" s="8"/>
      <c r="QFW99" s="8"/>
      <c r="QFX99" s="8"/>
      <c r="QFY99" s="8"/>
      <c r="QFZ99" s="8"/>
      <c r="QGA99" s="8"/>
      <c r="QGB99" s="8"/>
      <c r="QGC99" s="8"/>
      <c r="QGD99" s="8"/>
      <c r="QGE99" s="8"/>
      <c r="QGF99" s="8"/>
      <c r="QGG99" s="8"/>
      <c r="QGH99" s="8"/>
      <c r="QGI99" s="8"/>
      <c r="QGJ99" s="8"/>
      <c r="QGK99" s="8"/>
      <c r="QGL99" s="8"/>
      <c r="QGM99" s="8"/>
      <c r="QGN99" s="8"/>
      <c r="QGO99" s="8"/>
      <c r="QGP99" s="8"/>
      <c r="QGQ99" s="8"/>
      <c r="QGR99" s="8"/>
      <c r="QGS99" s="8"/>
      <c r="QGT99" s="8"/>
      <c r="QGU99" s="8"/>
      <c r="QGV99" s="8"/>
      <c r="QGW99" s="8"/>
      <c r="QGX99" s="8"/>
      <c r="QGY99" s="8"/>
      <c r="QGZ99" s="8"/>
      <c r="QHA99" s="8"/>
      <c r="QHB99" s="8"/>
      <c r="QHC99" s="8"/>
      <c r="QHD99" s="8"/>
      <c r="QHE99" s="8"/>
      <c r="QHF99" s="8"/>
      <c r="QHG99" s="8"/>
      <c r="QHH99" s="8"/>
      <c r="QHI99" s="8"/>
      <c r="QHJ99" s="8"/>
      <c r="QHK99" s="8"/>
      <c r="QHL99" s="8"/>
      <c r="QHM99" s="8"/>
      <c r="QHN99" s="8"/>
      <c r="QHO99" s="8"/>
      <c r="QHP99" s="8"/>
      <c r="QHQ99" s="8"/>
      <c r="QHR99" s="8"/>
      <c r="QHS99" s="8"/>
      <c r="QHT99" s="8"/>
      <c r="QHU99" s="8"/>
      <c r="QHV99" s="8"/>
      <c r="QHW99" s="8"/>
      <c r="QHX99" s="8"/>
      <c r="QHY99" s="8"/>
      <c r="QHZ99" s="8"/>
      <c r="QIA99" s="8"/>
      <c r="QIB99" s="8"/>
      <c r="QIC99" s="8"/>
      <c r="QID99" s="8"/>
      <c r="QIE99" s="8"/>
      <c r="QIF99" s="8"/>
      <c r="QIG99" s="8"/>
      <c r="QIH99" s="8"/>
      <c r="QII99" s="8"/>
      <c r="QIJ99" s="8"/>
      <c r="QIK99" s="8"/>
      <c r="QIL99" s="8"/>
      <c r="QIM99" s="8"/>
      <c r="QIN99" s="8"/>
      <c r="QIO99" s="8"/>
      <c r="QIP99" s="8"/>
      <c r="QIQ99" s="8"/>
      <c r="QIR99" s="8"/>
      <c r="QIS99" s="8"/>
      <c r="QIT99" s="8"/>
      <c r="QIU99" s="8"/>
      <c r="QIV99" s="8"/>
      <c r="QIW99" s="8"/>
      <c r="QIX99" s="8"/>
      <c r="QIY99" s="8"/>
      <c r="QIZ99" s="8"/>
      <c r="QJA99" s="8"/>
      <c r="QJB99" s="8"/>
      <c r="QJC99" s="8"/>
      <c r="QJD99" s="8"/>
      <c r="QJE99" s="8"/>
      <c r="QJF99" s="8"/>
      <c r="QJG99" s="8"/>
      <c r="QJH99" s="8"/>
      <c r="QJI99" s="8"/>
      <c r="QJJ99" s="8"/>
      <c r="QJK99" s="8"/>
      <c r="QJL99" s="8"/>
      <c r="QJM99" s="8"/>
      <c r="QJN99" s="8"/>
      <c r="QJO99" s="8"/>
      <c r="QJP99" s="8"/>
      <c r="QJQ99" s="8"/>
      <c r="QJR99" s="8"/>
      <c r="QJS99" s="8"/>
      <c r="QJT99" s="8"/>
      <c r="QJU99" s="8"/>
      <c r="QJV99" s="8"/>
      <c r="QJW99" s="8"/>
      <c r="QJX99" s="8"/>
      <c r="QJY99" s="8"/>
      <c r="QJZ99" s="8"/>
      <c r="QKA99" s="8"/>
      <c r="QKB99" s="8"/>
      <c r="QKC99" s="8"/>
      <c r="QKD99" s="8"/>
      <c r="QKE99" s="8"/>
      <c r="QKF99" s="8"/>
      <c r="QKG99" s="8"/>
      <c r="QKH99" s="8"/>
      <c r="QKI99" s="8"/>
      <c r="QKJ99" s="8"/>
      <c r="QKK99" s="8"/>
      <c r="QKL99" s="8"/>
      <c r="QKM99" s="8"/>
      <c r="QKN99" s="8"/>
      <c r="QKO99" s="8"/>
      <c r="QKP99" s="8"/>
      <c r="QKQ99" s="8"/>
      <c r="QKR99" s="8"/>
      <c r="QKS99" s="8"/>
      <c r="QKT99" s="8"/>
      <c r="QKU99" s="8"/>
      <c r="QKV99" s="8"/>
      <c r="QKW99" s="8"/>
      <c r="QKX99" s="8"/>
      <c r="QKY99" s="8"/>
      <c r="QKZ99" s="8"/>
      <c r="QLA99" s="8"/>
      <c r="QLB99" s="8"/>
      <c r="QLC99" s="8"/>
      <c r="QLD99" s="8"/>
      <c r="QLE99" s="8"/>
      <c r="QLF99" s="8"/>
      <c r="QLG99" s="8"/>
      <c r="QLH99" s="8"/>
      <c r="QLI99" s="8"/>
      <c r="QLJ99" s="8"/>
      <c r="QLK99" s="8"/>
      <c r="QLL99" s="8"/>
      <c r="QLM99" s="8"/>
      <c r="QLN99" s="8"/>
      <c r="QLO99" s="8"/>
      <c r="QLP99" s="8"/>
      <c r="QLQ99" s="8"/>
      <c r="QLR99" s="8"/>
      <c r="QLS99" s="8"/>
      <c r="QLT99" s="8"/>
      <c r="QLU99" s="8"/>
      <c r="QLV99" s="8"/>
      <c r="QLW99" s="8"/>
      <c r="QLX99" s="8"/>
      <c r="QLY99" s="8"/>
      <c r="QLZ99" s="8"/>
      <c r="QMA99" s="8"/>
      <c r="QMB99" s="8"/>
      <c r="QMC99" s="8"/>
      <c r="QMD99" s="8"/>
      <c r="QME99" s="8"/>
      <c r="QMF99" s="8"/>
      <c r="QMG99" s="8"/>
      <c r="QMH99" s="8"/>
      <c r="QMI99" s="8"/>
      <c r="QMJ99" s="8"/>
      <c r="QMK99" s="8"/>
      <c r="QML99" s="8"/>
      <c r="QMM99" s="8"/>
      <c r="QMN99" s="8"/>
      <c r="QMO99" s="8"/>
      <c r="QMP99" s="8"/>
      <c r="QMQ99" s="8"/>
      <c r="QMR99" s="8"/>
      <c r="QMS99" s="8"/>
      <c r="QMT99" s="8"/>
      <c r="QMU99" s="8"/>
      <c r="QMV99" s="8"/>
      <c r="QMW99" s="8"/>
      <c r="QMX99" s="8"/>
      <c r="QMY99" s="8"/>
      <c r="QMZ99" s="8"/>
      <c r="QNA99" s="8"/>
      <c r="QNB99" s="8"/>
      <c r="QNC99" s="8"/>
      <c r="QND99" s="8"/>
      <c r="QNE99" s="8"/>
      <c r="QNF99" s="8"/>
      <c r="QNG99" s="8"/>
      <c r="QNH99" s="8"/>
      <c r="QNI99" s="8"/>
      <c r="QNJ99" s="8"/>
      <c r="QNK99" s="8"/>
      <c r="QNL99" s="8"/>
      <c r="QNM99" s="8"/>
      <c r="QNN99" s="8"/>
      <c r="QNO99" s="8"/>
      <c r="QNP99" s="8"/>
      <c r="QNQ99" s="8"/>
      <c r="QNR99" s="8"/>
      <c r="QNS99" s="8"/>
      <c r="QNT99" s="8"/>
      <c r="QNU99" s="8"/>
      <c r="QNV99" s="8"/>
      <c r="QNW99" s="8"/>
      <c r="QNX99" s="8"/>
      <c r="QNY99" s="8"/>
      <c r="QNZ99" s="8"/>
      <c r="QOA99" s="8"/>
      <c r="QOB99" s="8"/>
      <c r="QOC99" s="8"/>
      <c r="QOD99" s="8"/>
      <c r="QOE99" s="8"/>
      <c r="QOF99" s="8"/>
      <c r="QOG99" s="8"/>
      <c r="QOH99" s="8"/>
      <c r="QOI99" s="8"/>
      <c r="QOJ99" s="8"/>
      <c r="QOK99" s="8"/>
      <c r="QOL99" s="8"/>
      <c r="QOM99" s="8"/>
      <c r="QON99" s="8"/>
      <c r="QOO99" s="8"/>
      <c r="QOP99" s="8"/>
      <c r="QOQ99" s="8"/>
      <c r="QOR99" s="8"/>
      <c r="QOS99" s="8"/>
      <c r="QOT99" s="8"/>
      <c r="QOU99" s="8"/>
      <c r="QOV99" s="8"/>
      <c r="QOW99" s="8"/>
      <c r="QOX99" s="8"/>
      <c r="QOY99" s="8"/>
      <c r="QOZ99" s="8"/>
      <c r="QPA99" s="8"/>
      <c r="QPB99" s="8"/>
      <c r="QPC99" s="8"/>
      <c r="QPD99" s="8"/>
      <c r="QPE99" s="8"/>
      <c r="QPF99" s="8"/>
      <c r="QPG99" s="8"/>
      <c r="QPH99" s="8"/>
      <c r="QPI99" s="8"/>
      <c r="QPJ99" s="8"/>
      <c r="QPK99" s="8"/>
      <c r="QPL99" s="8"/>
      <c r="QPM99" s="8"/>
      <c r="QPN99" s="8"/>
      <c r="QPO99" s="8"/>
      <c r="QPP99" s="8"/>
      <c r="QPQ99" s="8"/>
      <c r="QPR99" s="8"/>
      <c r="QPS99" s="8"/>
      <c r="QPT99" s="8"/>
      <c r="QPU99" s="8"/>
      <c r="QPV99" s="8"/>
      <c r="QPW99" s="8"/>
      <c r="QPX99" s="8"/>
      <c r="QPY99" s="8"/>
      <c r="QPZ99" s="8"/>
      <c r="QQA99" s="8"/>
      <c r="QQB99" s="8"/>
      <c r="QQC99" s="8"/>
      <c r="QQD99" s="8"/>
      <c r="QQE99" s="8"/>
      <c r="QQF99" s="8"/>
      <c r="QQG99" s="8"/>
      <c r="QQH99" s="8"/>
      <c r="QQI99" s="8"/>
      <c r="QQJ99" s="8"/>
      <c r="QQK99" s="8"/>
      <c r="QQL99" s="8"/>
      <c r="QQM99" s="8"/>
      <c r="QQN99" s="8"/>
      <c r="QQO99" s="8"/>
      <c r="QQP99" s="8"/>
      <c r="QQQ99" s="8"/>
      <c r="QQR99" s="8"/>
      <c r="QQS99" s="8"/>
      <c r="QQT99" s="8"/>
      <c r="QQU99" s="8"/>
      <c r="QQV99" s="8"/>
      <c r="QQW99" s="8"/>
      <c r="QQX99" s="8"/>
      <c r="QQY99" s="8"/>
      <c r="QQZ99" s="8"/>
      <c r="QRA99" s="8"/>
      <c r="QRB99" s="8"/>
      <c r="QRC99" s="8"/>
      <c r="QRD99" s="8"/>
      <c r="QRE99" s="8"/>
      <c r="QRF99" s="8"/>
      <c r="QRG99" s="8"/>
      <c r="QRH99" s="8"/>
      <c r="QRI99" s="8"/>
      <c r="QRJ99" s="8"/>
      <c r="QRK99" s="8"/>
      <c r="QRL99" s="8"/>
      <c r="QRM99" s="8"/>
      <c r="QRN99" s="8"/>
      <c r="QRO99" s="8"/>
      <c r="QRP99" s="8"/>
      <c r="QRQ99" s="8"/>
      <c r="QRR99" s="8"/>
      <c r="QRS99" s="8"/>
      <c r="QRT99" s="8"/>
      <c r="QRU99" s="8"/>
      <c r="QRV99" s="8"/>
      <c r="QRW99" s="8"/>
      <c r="QRX99" s="8"/>
      <c r="QRY99" s="8"/>
      <c r="QRZ99" s="8"/>
      <c r="QSA99" s="8"/>
      <c r="QSB99" s="8"/>
      <c r="QSC99" s="8"/>
      <c r="QSD99" s="8"/>
      <c r="QSE99" s="8"/>
      <c r="QSF99" s="8"/>
      <c r="QSG99" s="8"/>
      <c r="QSH99" s="8"/>
      <c r="QSI99" s="8"/>
      <c r="QSJ99" s="8"/>
      <c r="QSK99" s="8"/>
      <c r="QSL99" s="8"/>
      <c r="QSM99" s="8"/>
      <c r="QSN99" s="8"/>
      <c r="QSO99" s="8"/>
      <c r="QSP99" s="8"/>
      <c r="QSQ99" s="8"/>
      <c r="QSR99" s="8"/>
      <c r="QSS99" s="8"/>
      <c r="QST99" s="8"/>
      <c r="QSU99" s="8"/>
      <c r="QSV99" s="8"/>
      <c r="QSW99" s="8"/>
      <c r="QSX99" s="8"/>
      <c r="QSY99" s="8"/>
      <c r="QSZ99" s="8"/>
      <c r="QTA99" s="8"/>
      <c r="QTB99" s="8"/>
      <c r="QTC99" s="8"/>
      <c r="QTD99" s="8"/>
      <c r="QTE99" s="8"/>
      <c r="QTF99" s="8"/>
      <c r="QTG99" s="8"/>
      <c r="QTH99" s="8"/>
      <c r="QTI99" s="8"/>
      <c r="QTJ99" s="8"/>
      <c r="QTK99" s="8"/>
      <c r="QTL99" s="8"/>
      <c r="QTM99" s="8"/>
      <c r="QTN99" s="8"/>
      <c r="QTO99" s="8"/>
      <c r="QTP99" s="8"/>
      <c r="QTQ99" s="8"/>
      <c r="QTR99" s="8"/>
      <c r="QTS99" s="8"/>
      <c r="QTT99" s="8"/>
      <c r="QTU99" s="8"/>
      <c r="QTV99" s="8"/>
      <c r="QTW99" s="8"/>
      <c r="QTX99" s="8"/>
      <c r="QTY99" s="8"/>
      <c r="QTZ99" s="8"/>
      <c r="QUA99" s="8"/>
      <c r="QUB99" s="8"/>
      <c r="QUC99" s="8"/>
      <c r="QUD99" s="8"/>
      <c r="QUE99" s="8"/>
      <c r="QUF99" s="8"/>
      <c r="QUG99" s="8"/>
      <c r="QUH99" s="8"/>
      <c r="QUI99" s="8"/>
      <c r="QUJ99" s="8"/>
      <c r="QUK99" s="8"/>
      <c r="QUL99" s="8"/>
      <c r="QUM99" s="8"/>
      <c r="QUN99" s="8"/>
      <c r="QUO99" s="8"/>
      <c r="QUP99" s="8"/>
      <c r="QUQ99" s="8"/>
      <c r="QUR99" s="8"/>
      <c r="QUS99" s="8"/>
      <c r="QUT99" s="8"/>
      <c r="QUU99" s="8"/>
      <c r="QUV99" s="8"/>
      <c r="QUW99" s="8"/>
      <c r="QUX99" s="8"/>
      <c r="QUY99" s="8"/>
      <c r="QUZ99" s="8"/>
      <c r="QVA99" s="8"/>
      <c r="QVB99" s="8"/>
      <c r="QVC99" s="8"/>
      <c r="QVD99" s="8"/>
      <c r="QVE99" s="8"/>
      <c r="QVF99" s="8"/>
      <c r="QVG99" s="8"/>
      <c r="QVH99" s="8"/>
      <c r="QVI99" s="8"/>
      <c r="QVJ99" s="8"/>
      <c r="QVK99" s="8"/>
      <c r="QVL99" s="8"/>
      <c r="QVM99" s="8"/>
      <c r="QVN99" s="8"/>
      <c r="QVO99" s="8"/>
      <c r="QVP99" s="8"/>
      <c r="QVQ99" s="8"/>
      <c r="QVR99" s="8"/>
      <c r="QVS99" s="8"/>
      <c r="QVT99" s="8"/>
      <c r="QVU99" s="8"/>
      <c r="QVV99" s="8"/>
      <c r="QVW99" s="8"/>
      <c r="QVX99" s="8"/>
      <c r="QVY99" s="8"/>
      <c r="QVZ99" s="8"/>
      <c r="QWA99" s="8"/>
      <c r="QWB99" s="8"/>
      <c r="QWC99" s="8"/>
      <c r="QWD99" s="8"/>
      <c r="QWE99" s="8"/>
      <c r="QWF99" s="8"/>
      <c r="QWG99" s="8"/>
      <c r="QWH99" s="8"/>
      <c r="QWI99" s="8"/>
      <c r="QWJ99" s="8"/>
      <c r="QWK99" s="8"/>
      <c r="QWL99" s="8"/>
      <c r="QWM99" s="8"/>
      <c r="QWN99" s="8"/>
      <c r="QWO99" s="8"/>
      <c r="QWP99" s="8"/>
      <c r="QWQ99" s="8"/>
      <c r="QWR99" s="8"/>
      <c r="QWS99" s="8"/>
      <c r="QWT99" s="8"/>
      <c r="QWU99" s="8"/>
      <c r="QWV99" s="8"/>
      <c r="QWW99" s="8"/>
      <c r="QWX99" s="8"/>
      <c r="QWY99" s="8"/>
      <c r="QWZ99" s="8"/>
      <c r="QXA99" s="8"/>
      <c r="QXB99" s="8"/>
      <c r="QXC99" s="8"/>
      <c r="QXD99" s="8"/>
      <c r="QXE99" s="8"/>
      <c r="QXF99" s="8"/>
      <c r="QXG99" s="8"/>
      <c r="QXH99" s="8"/>
      <c r="QXI99" s="8"/>
      <c r="QXJ99" s="8"/>
      <c r="QXK99" s="8"/>
      <c r="QXL99" s="8"/>
      <c r="QXM99" s="8"/>
      <c r="QXN99" s="8"/>
      <c r="QXO99" s="8"/>
      <c r="QXP99" s="8"/>
      <c r="QXQ99" s="8"/>
      <c r="QXR99" s="8"/>
      <c r="QXS99" s="8"/>
      <c r="QXT99" s="8"/>
      <c r="QXU99" s="8"/>
      <c r="QXV99" s="8"/>
      <c r="QXW99" s="8"/>
      <c r="QXX99" s="8"/>
      <c r="QXY99" s="8"/>
      <c r="QXZ99" s="8"/>
      <c r="QYA99" s="8"/>
      <c r="QYB99" s="8"/>
      <c r="QYC99" s="8"/>
      <c r="QYD99" s="8"/>
      <c r="QYE99" s="8"/>
      <c r="QYF99" s="8"/>
      <c r="QYG99" s="8"/>
      <c r="QYH99" s="8"/>
      <c r="QYI99" s="8"/>
      <c r="QYJ99" s="8"/>
      <c r="QYK99" s="8"/>
      <c r="QYL99" s="8"/>
      <c r="QYM99" s="8"/>
      <c r="QYN99" s="8"/>
      <c r="QYO99" s="8"/>
      <c r="QYP99" s="8"/>
      <c r="QYQ99" s="8"/>
      <c r="QYR99" s="8"/>
      <c r="QYS99" s="8"/>
      <c r="QYT99" s="8"/>
      <c r="QYU99" s="8"/>
      <c r="QYV99" s="8"/>
      <c r="QYW99" s="8"/>
      <c r="QYX99" s="8"/>
      <c r="QYY99" s="8"/>
      <c r="QYZ99" s="8"/>
      <c r="QZA99" s="8"/>
      <c r="QZB99" s="8"/>
      <c r="QZC99" s="8"/>
      <c r="QZD99" s="8"/>
      <c r="QZE99" s="8"/>
      <c r="QZF99" s="8"/>
      <c r="QZG99" s="8"/>
      <c r="QZH99" s="8"/>
      <c r="QZI99" s="8"/>
      <c r="QZJ99" s="8"/>
      <c r="QZK99" s="8"/>
      <c r="QZL99" s="8"/>
      <c r="QZM99" s="8"/>
      <c r="QZN99" s="8"/>
      <c r="QZO99" s="8"/>
      <c r="QZP99" s="8"/>
      <c r="QZQ99" s="8"/>
      <c r="QZR99" s="8"/>
      <c r="QZS99" s="8"/>
      <c r="QZT99" s="8"/>
      <c r="QZU99" s="8"/>
      <c r="QZV99" s="8"/>
      <c r="QZW99" s="8"/>
      <c r="QZX99" s="8"/>
      <c r="QZY99" s="8"/>
      <c r="QZZ99" s="8"/>
      <c r="RAA99" s="8"/>
      <c r="RAB99" s="8"/>
      <c r="RAC99" s="8"/>
      <c r="RAD99" s="8"/>
      <c r="RAE99" s="8"/>
      <c r="RAF99" s="8"/>
      <c r="RAG99" s="8"/>
      <c r="RAH99" s="8"/>
      <c r="RAI99" s="8"/>
      <c r="RAJ99" s="8"/>
      <c r="RAK99" s="8"/>
      <c r="RAL99" s="8"/>
      <c r="RAM99" s="8"/>
      <c r="RAN99" s="8"/>
      <c r="RAO99" s="8"/>
      <c r="RAP99" s="8"/>
      <c r="RAQ99" s="8"/>
      <c r="RAR99" s="8"/>
      <c r="RAS99" s="8"/>
      <c r="RAT99" s="8"/>
      <c r="RAU99" s="8"/>
      <c r="RAV99" s="8"/>
      <c r="RAW99" s="8"/>
      <c r="RAX99" s="8"/>
      <c r="RAY99" s="8"/>
      <c r="RAZ99" s="8"/>
      <c r="RBA99" s="8"/>
      <c r="RBB99" s="8"/>
      <c r="RBC99" s="8"/>
      <c r="RBD99" s="8"/>
      <c r="RBE99" s="8"/>
      <c r="RBF99" s="8"/>
      <c r="RBG99" s="8"/>
      <c r="RBH99" s="8"/>
      <c r="RBI99" s="8"/>
      <c r="RBJ99" s="8"/>
      <c r="RBK99" s="8"/>
      <c r="RBL99" s="8"/>
      <c r="RBM99" s="8"/>
      <c r="RBN99" s="8"/>
      <c r="RBO99" s="8"/>
      <c r="RBP99" s="8"/>
      <c r="RBQ99" s="8"/>
      <c r="RBR99" s="8"/>
      <c r="RBS99" s="8"/>
      <c r="RBT99" s="8"/>
      <c r="RBU99" s="8"/>
      <c r="RBV99" s="8"/>
      <c r="RBW99" s="8"/>
      <c r="RBX99" s="8"/>
      <c r="RBY99" s="8"/>
      <c r="RBZ99" s="8"/>
      <c r="RCA99" s="8"/>
      <c r="RCB99" s="8"/>
      <c r="RCC99" s="8"/>
      <c r="RCD99" s="8"/>
      <c r="RCE99" s="8"/>
      <c r="RCF99" s="8"/>
      <c r="RCG99" s="8"/>
      <c r="RCH99" s="8"/>
      <c r="RCI99" s="8"/>
      <c r="RCJ99" s="8"/>
      <c r="RCK99" s="8"/>
      <c r="RCL99" s="8"/>
      <c r="RCM99" s="8"/>
      <c r="RCN99" s="8"/>
      <c r="RCO99" s="8"/>
      <c r="RCP99" s="8"/>
      <c r="RCQ99" s="8"/>
      <c r="RCR99" s="8"/>
      <c r="RCS99" s="8"/>
      <c r="RCT99" s="8"/>
      <c r="RCU99" s="8"/>
      <c r="RCV99" s="8"/>
      <c r="RCW99" s="8"/>
      <c r="RCX99" s="8"/>
      <c r="RCY99" s="8"/>
      <c r="RCZ99" s="8"/>
      <c r="RDA99" s="8"/>
      <c r="RDB99" s="8"/>
      <c r="RDC99" s="8"/>
      <c r="RDD99" s="8"/>
      <c r="RDE99" s="8"/>
      <c r="RDF99" s="8"/>
      <c r="RDG99" s="8"/>
      <c r="RDH99" s="8"/>
      <c r="RDI99" s="8"/>
      <c r="RDJ99" s="8"/>
      <c r="RDK99" s="8"/>
      <c r="RDL99" s="8"/>
      <c r="RDM99" s="8"/>
      <c r="RDN99" s="8"/>
      <c r="RDO99" s="8"/>
      <c r="RDP99" s="8"/>
      <c r="RDQ99" s="8"/>
      <c r="RDR99" s="8"/>
      <c r="RDS99" s="8"/>
      <c r="RDT99" s="8"/>
      <c r="RDU99" s="8"/>
      <c r="RDV99" s="8"/>
      <c r="RDW99" s="8"/>
      <c r="RDX99" s="8"/>
      <c r="RDY99" s="8"/>
      <c r="RDZ99" s="8"/>
      <c r="REA99" s="8"/>
      <c r="REB99" s="8"/>
      <c r="REC99" s="8"/>
      <c r="RED99" s="8"/>
      <c r="REE99" s="8"/>
      <c r="REF99" s="8"/>
      <c r="REG99" s="8"/>
      <c r="REH99" s="8"/>
      <c r="REI99" s="8"/>
      <c r="REJ99" s="8"/>
      <c r="REK99" s="8"/>
      <c r="REL99" s="8"/>
      <c r="REM99" s="8"/>
      <c r="REN99" s="8"/>
      <c r="REO99" s="8"/>
      <c r="REP99" s="8"/>
      <c r="REQ99" s="8"/>
      <c r="RER99" s="8"/>
      <c r="RES99" s="8"/>
      <c r="RET99" s="8"/>
      <c r="REU99" s="8"/>
      <c r="REV99" s="8"/>
      <c r="REW99" s="8"/>
      <c r="REX99" s="8"/>
      <c r="REY99" s="8"/>
      <c r="REZ99" s="8"/>
      <c r="RFA99" s="8"/>
      <c r="RFB99" s="8"/>
      <c r="RFC99" s="8"/>
      <c r="RFD99" s="8"/>
      <c r="RFE99" s="8"/>
      <c r="RFF99" s="8"/>
      <c r="RFG99" s="8"/>
      <c r="RFH99" s="8"/>
      <c r="RFI99" s="8"/>
      <c r="RFJ99" s="8"/>
      <c r="RFK99" s="8"/>
      <c r="RFL99" s="8"/>
      <c r="RFM99" s="8"/>
      <c r="RFN99" s="8"/>
      <c r="RFO99" s="8"/>
      <c r="RFP99" s="8"/>
      <c r="RFQ99" s="8"/>
      <c r="RFR99" s="8"/>
      <c r="RFS99" s="8"/>
      <c r="RFT99" s="8"/>
      <c r="RFU99" s="8"/>
      <c r="RFV99" s="8"/>
      <c r="RFW99" s="8"/>
      <c r="RFX99" s="8"/>
      <c r="RFY99" s="8"/>
      <c r="RFZ99" s="8"/>
      <c r="RGA99" s="8"/>
      <c r="RGB99" s="8"/>
      <c r="RGC99" s="8"/>
      <c r="RGD99" s="8"/>
      <c r="RGE99" s="8"/>
      <c r="RGF99" s="8"/>
      <c r="RGG99" s="8"/>
      <c r="RGH99" s="8"/>
      <c r="RGI99" s="8"/>
      <c r="RGJ99" s="8"/>
      <c r="RGK99" s="8"/>
      <c r="RGL99" s="8"/>
      <c r="RGM99" s="8"/>
      <c r="RGN99" s="8"/>
      <c r="RGO99" s="8"/>
      <c r="RGP99" s="8"/>
      <c r="RGQ99" s="8"/>
      <c r="RGR99" s="8"/>
      <c r="RGS99" s="8"/>
      <c r="RGT99" s="8"/>
      <c r="RGU99" s="8"/>
      <c r="RGV99" s="8"/>
      <c r="RGW99" s="8"/>
      <c r="RGX99" s="8"/>
      <c r="RGY99" s="8"/>
      <c r="RGZ99" s="8"/>
      <c r="RHA99" s="8"/>
      <c r="RHB99" s="8"/>
      <c r="RHC99" s="8"/>
      <c r="RHD99" s="8"/>
      <c r="RHE99" s="8"/>
      <c r="RHF99" s="8"/>
      <c r="RHG99" s="8"/>
      <c r="RHH99" s="8"/>
      <c r="RHI99" s="8"/>
      <c r="RHJ99" s="8"/>
      <c r="RHK99" s="8"/>
      <c r="RHL99" s="8"/>
      <c r="RHM99" s="8"/>
      <c r="RHN99" s="8"/>
      <c r="RHO99" s="8"/>
      <c r="RHP99" s="8"/>
      <c r="RHQ99" s="8"/>
      <c r="RHR99" s="8"/>
      <c r="RHS99" s="8"/>
      <c r="RHT99" s="8"/>
      <c r="RHU99" s="8"/>
      <c r="RHV99" s="8"/>
      <c r="RHW99" s="8"/>
      <c r="RHX99" s="8"/>
      <c r="RHY99" s="8"/>
      <c r="RHZ99" s="8"/>
      <c r="RIA99" s="8"/>
      <c r="RIB99" s="8"/>
      <c r="RIC99" s="8"/>
      <c r="RID99" s="8"/>
      <c r="RIE99" s="8"/>
      <c r="RIF99" s="8"/>
      <c r="RIG99" s="8"/>
      <c r="RIH99" s="8"/>
      <c r="RII99" s="8"/>
      <c r="RIJ99" s="8"/>
      <c r="RIK99" s="8"/>
      <c r="RIL99" s="8"/>
      <c r="RIM99" s="8"/>
      <c r="RIN99" s="8"/>
      <c r="RIO99" s="8"/>
      <c r="RIP99" s="8"/>
      <c r="RIQ99" s="8"/>
      <c r="RIR99" s="8"/>
      <c r="RIS99" s="8"/>
      <c r="RIT99" s="8"/>
      <c r="RIU99" s="8"/>
      <c r="RIV99" s="8"/>
      <c r="RIW99" s="8"/>
      <c r="RIX99" s="8"/>
      <c r="RIY99" s="8"/>
      <c r="RIZ99" s="8"/>
      <c r="RJA99" s="8"/>
      <c r="RJB99" s="8"/>
      <c r="RJC99" s="8"/>
      <c r="RJD99" s="8"/>
      <c r="RJE99" s="8"/>
      <c r="RJF99" s="8"/>
      <c r="RJG99" s="8"/>
      <c r="RJH99" s="8"/>
      <c r="RJI99" s="8"/>
      <c r="RJJ99" s="8"/>
      <c r="RJK99" s="8"/>
      <c r="RJL99" s="8"/>
      <c r="RJM99" s="8"/>
      <c r="RJN99" s="8"/>
      <c r="RJO99" s="8"/>
      <c r="RJP99" s="8"/>
      <c r="RJQ99" s="8"/>
      <c r="RJR99" s="8"/>
      <c r="RJS99" s="8"/>
      <c r="RJT99" s="8"/>
      <c r="RJU99" s="8"/>
      <c r="RJV99" s="8"/>
      <c r="RJW99" s="8"/>
      <c r="RJX99" s="8"/>
      <c r="RJY99" s="8"/>
      <c r="RJZ99" s="8"/>
      <c r="RKA99" s="8"/>
      <c r="RKB99" s="8"/>
      <c r="RKC99" s="8"/>
      <c r="RKD99" s="8"/>
      <c r="RKE99" s="8"/>
      <c r="RKF99" s="8"/>
      <c r="RKG99" s="8"/>
      <c r="RKH99" s="8"/>
      <c r="RKI99" s="8"/>
      <c r="RKJ99" s="8"/>
      <c r="RKK99" s="8"/>
      <c r="RKL99" s="8"/>
      <c r="RKM99" s="8"/>
      <c r="RKN99" s="8"/>
      <c r="RKO99" s="8"/>
      <c r="RKP99" s="8"/>
      <c r="RKQ99" s="8"/>
      <c r="RKR99" s="8"/>
      <c r="RKS99" s="8"/>
      <c r="RKT99" s="8"/>
      <c r="RKU99" s="8"/>
      <c r="RKV99" s="8"/>
      <c r="RKW99" s="8"/>
      <c r="RKX99" s="8"/>
      <c r="RKY99" s="8"/>
      <c r="RKZ99" s="8"/>
      <c r="RLA99" s="8"/>
      <c r="RLB99" s="8"/>
      <c r="RLC99" s="8"/>
      <c r="RLD99" s="8"/>
      <c r="RLE99" s="8"/>
      <c r="RLF99" s="8"/>
      <c r="RLG99" s="8"/>
      <c r="RLH99" s="8"/>
      <c r="RLI99" s="8"/>
      <c r="RLJ99" s="8"/>
      <c r="RLK99" s="8"/>
      <c r="RLL99" s="8"/>
      <c r="RLM99" s="8"/>
      <c r="RLN99" s="8"/>
      <c r="RLO99" s="8"/>
      <c r="RLP99" s="8"/>
      <c r="RLQ99" s="8"/>
      <c r="RLR99" s="8"/>
      <c r="RLS99" s="8"/>
      <c r="RLT99" s="8"/>
      <c r="RLU99" s="8"/>
      <c r="RLV99" s="8"/>
      <c r="RLW99" s="8"/>
      <c r="RLX99" s="8"/>
      <c r="RLY99" s="8"/>
      <c r="RLZ99" s="8"/>
      <c r="RMA99" s="8"/>
      <c r="RMB99" s="8"/>
      <c r="RMC99" s="8"/>
      <c r="RMD99" s="8"/>
      <c r="RME99" s="8"/>
      <c r="RMF99" s="8"/>
      <c r="RMG99" s="8"/>
      <c r="RMH99" s="8"/>
      <c r="RMI99" s="8"/>
      <c r="RMJ99" s="8"/>
      <c r="RMK99" s="8"/>
      <c r="RML99" s="8"/>
      <c r="RMM99" s="8"/>
      <c r="RMN99" s="8"/>
      <c r="RMO99" s="8"/>
      <c r="RMP99" s="8"/>
      <c r="RMQ99" s="8"/>
      <c r="RMR99" s="8"/>
      <c r="RMS99" s="8"/>
      <c r="RMT99" s="8"/>
      <c r="RMU99" s="8"/>
      <c r="RMV99" s="8"/>
      <c r="RMW99" s="8"/>
      <c r="RMX99" s="8"/>
      <c r="RMY99" s="8"/>
      <c r="RMZ99" s="8"/>
      <c r="RNA99" s="8"/>
      <c r="RNB99" s="8"/>
      <c r="RNC99" s="8"/>
      <c r="RND99" s="8"/>
      <c r="RNE99" s="8"/>
      <c r="RNF99" s="8"/>
      <c r="RNG99" s="8"/>
      <c r="RNH99" s="8"/>
      <c r="RNI99" s="8"/>
      <c r="RNJ99" s="8"/>
      <c r="RNK99" s="8"/>
      <c r="RNL99" s="8"/>
      <c r="RNM99" s="8"/>
      <c r="RNN99" s="8"/>
      <c r="RNO99" s="8"/>
      <c r="RNP99" s="8"/>
      <c r="RNQ99" s="8"/>
      <c r="RNR99" s="8"/>
      <c r="RNS99" s="8"/>
      <c r="RNT99" s="8"/>
      <c r="RNU99" s="8"/>
      <c r="RNV99" s="8"/>
      <c r="RNW99" s="8"/>
      <c r="RNX99" s="8"/>
      <c r="RNY99" s="8"/>
      <c r="RNZ99" s="8"/>
      <c r="ROA99" s="8"/>
      <c r="ROB99" s="8"/>
      <c r="ROC99" s="8"/>
      <c r="ROD99" s="8"/>
      <c r="ROE99" s="8"/>
      <c r="ROF99" s="8"/>
      <c r="ROG99" s="8"/>
      <c r="ROH99" s="8"/>
      <c r="ROI99" s="8"/>
      <c r="ROJ99" s="8"/>
      <c r="ROK99" s="8"/>
      <c r="ROL99" s="8"/>
      <c r="ROM99" s="8"/>
      <c r="RON99" s="8"/>
      <c r="ROO99" s="8"/>
      <c r="ROP99" s="8"/>
      <c r="ROQ99" s="8"/>
      <c r="ROR99" s="8"/>
      <c r="ROS99" s="8"/>
      <c r="ROT99" s="8"/>
      <c r="ROU99" s="8"/>
      <c r="ROV99" s="8"/>
      <c r="ROW99" s="8"/>
      <c r="ROX99" s="8"/>
      <c r="ROY99" s="8"/>
      <c r="ROZ99" s="8"/>
      <c r="RPA99" s="8"/>
      <c r="RPB99" s="8"/>
      <c r="RPC99" s="8"/>
      <c r="RPD99" s="8"/>
      <c r="RPE99" s="8"/>
      <c r="RPF99" s="8"/>
      <c r="RPG99" s="8"/>
      <c r="RPH99" s="8"/>
      <c r="RPI99" s="8"/>
      <c r="RPJ99" s="8"/>
      <c r="RPK99" s="8"/>
      <c r="RPL99" s="8"/>
      <c r="RPM99" s="8"/>
      <c r="RPN99" s="8"/>
      <c r="RPO99" s="8"/>
      <c r="RPP99" s="8"/>
      <c r="RPQ99" s="8"/>
      <c r="RPR99" s="8"/>
      <c r="RPS99" s="8"/>
      <c r="RPT99" s="8"/>
      <c r="RPU99" s="8"/>
      <c r="RPV99" s="8"/>
      <c r="RPW99" s="8"/>
      <c r="RPX99" s="8"/>
      <c r="RPY99" s="8"/>
      <c r="RPZ99" s="8"/>
      <c r="RQA99" s="8"/>
      <c r="RQB99" s="8"/>
      <c r="RQC99" s="8"/>
      <c r="RQD99" s="8"/>
      <c r="RQE99" s="8"/>
      <c r="RQF99" s="8"/>
      <c r="RQG99" s="8"/>
      <c r="RQH99" s="8"/>
      <c r="RQI99" s="8"/>
      <c r="RQJ99" s="8"/>
      <c r="RQK99" s="8"/>
      <c r="RQL99" s="8"/>
      <c r="RQM99" s="8"/>
      <c r="RQN99" s="8"/>
      <c r="RQO99" s="8"/>
      <c r="RQP99" s="8"/>
      <c r="RQQ99" s="8"/>
      <c r="RQR99" s="8"/>
      <c r="RQS99" s="8"/>
      <c r="RQT99" s="8"/>
      <c r="RQU99" s="8"/>
      <c r="RQV99" s="8"/>
      <c r="RQW99" s="8"/>
      <c r="RQX99" s="8"/>
      <c r="RQY99" s="8"/>
      <c r="RQZ99" s="8"/>
      <c r="RRA99" s="8"/>
      <c r="RRB99" s="8"/>
      <c r="RRC99" s="8"/>
      <c r="RRD99" s="8"/>
      <c r="RRE99" s="8"/>
      <c r="RRF99" s="8"/>
      <c r="RRG99" s="8"/>
      <c r="RRH99" s="8"/>
      <c r="RRI99" s="8"/>
      <c r="RRJ99" s="8"/>
      <c r="RRK99" s="8"/>
      <c r="RRL99" s="8"/>
      <c r="RRM99" s="8"/>
      <c r="RRN99" s="8"/>
      <c r="RRO99" s="8"/>
      <c r="RRP99" s="8"/>
      <c r="RRQ99" s="8"/>
      <c r="RRR99" s="8"/>
      <c r="RRS99" s="8"/>
      <c r="RRT99" s="8"/>
      <c r="RRU99" s="8"/>
      <c r="RRV99" s="8"/>
      <c r="RRW99" s="8"/>
      <c r="RRX99" s="8"/>
      <c r="RRY99" s="8"/>
      <c r="RRZ99" s="8"/>
      <c r="RSA99" s="8"/>
      <c r="RSB99" s="8"/>
      <c r="RSC99" s="8"/>
      <c r="RSD99" s="8"/>
      <c r="RSE99" s="8"/>
      <c r="RSF99" s="8"/>
      <c r="RSG99" s="8"/>
      <c r="RSH99" s="8"/>
      <c r="RSI99" s="8"/>
      <c r="RSJ99" s="8"/>
      <c r="RSK99" s="8"/>
      <c r="RSL99" s="8"/>
      <c r="RSM99" s="8"/>
      <c r="RSN99" s="8"/>
      <c r="RSO99" s="8"/>
      <c r="RSP99" s="8"/>
      <c r="RSQ99" s="8"/>
      <c r="RSR99" s="8"/>
      <c r="RSS99" s="8"/>
      <c r="RST99" s="8"/>
      <c r="RSU99" s="8"/>
      <c r="RSV99" s="8"/>
      <c r="RSW99" s="8"/>
      <c r="RSX99" s="8"/>
      <c r="RSY99" s="8"/>
      <c r="RSZ99" s="8"/>
      <c r="RTA99" s="8"/>
      <c r="RTB99" s="8"/>
      <c r="RTC99" s="8"/>
      <c r="RTD99" s="8"/>
      <c r="RTE99" s="8"/>
      <c r="RTF99" s="8"/>
      <c r="RTG99" s="8"/>
      <c r="RTH99" s="8"/>
      <c r="RTI99" s="8"/>
      <c r="RTJ99" s="8"/>
      <c r="RTK99" s="8"/>
      <c r="RTL99" s="8"/>
      <c r="RTM99" s="8"/>
      <c r="RTN99" s="8"/>
      <c r="RTO99" s="8"/>
      <c r="RTP99" s="8"/>
      <c r="RTQ99" s="8"/>
      <c r="RTR99" s="8"/>
      <c r="RTS99" s="8"/>
      <c r="RTT99" s="8"/>
      <c r="RTU99" s="8"/>
      <c r="RTV99" s="8"/>
      <c r="RTW99" s="8"/>
      <c r="RTX99" s="8"/>
      <c r="RTY99" s="8"/>
      <c r="RTZ99" s="8"/>
      <c r="RUA99" s="8"/>
      <c r="RUB99" s="8"/>
      <c r="RUC99" s="8"/>
      <c r="RUD99" s="8"/>
      <c r="RUE99" s="8"/>
      <c r="RUF99" s="8"/>
      <c r="RUG99" s="8"/>
      <c r="RUH99" s="8"/>
      <c r="RUI99" s="8"/>
      <c r="RUJ99" s="8"/>
      <c r="RUK99" s="8"/>
      <c r="RUL99" s="8"/>
      <c r="RUM99" s="8"/>
      <c r="RUN99" s="8"/>
      <c r="RUO99" s="8"/>
      <c r="RUP99" s="8"/>
      <c r="RUQ99" s="8"/>
      <c r="RUR99" s="8"/>
      <c r="RUS99" s="8"/>
      <c r="RUT99" s="8"/>
      <c r="RUU99" s="8"/>
      <c r="RUV99" s="8"/>
      <c r="RUW99" s="8"/>
      <c r="RUX99" s="8"/>
      <c r="RUY99" s="8"/>
      <c r="RUZ99" s="8"/>
      <c r="RVA99" s="8"/>
      <c r="RVB99" s="8"/>
      <c r="RVC99" s="8"/>
      <c r="RVD99" s="8"/>
      <c r="RVE99" s="8"/>
      <c r="RVF99" s="8"/>
      <c r="RVG99" s="8"/>
      <c r="RVH99" s="8"/>
      <c r="RVI99" s="8"/>
      <c r="RVJ99" s="8"/>
      <c r="RVK99" s="8"/>
      <c r="RVL99" s="8"/>
      <c r="RVM99" s="8"/>
      <c r="RVN99" s="8"/>
      <c r="RVO99" s="8"/>
      <c r="RVP99" s="8"/>
      <c r="RVQ99" s="8"/>
      <c r="RVR99" s="8"/>
      <c r="RVS99" s="8"/>
      <c r="RVT99" s="8"/>
      <c r="RVU99" s="8"/>
      <c r="RVV99" s="8"/>
      <c r="RVW99" s="8"/>
      <c r="RVX99" s="8"/>
      <c r="RVY99" s="8"/>
      <c r="RVZ99" s="8"/>
      <c r="RWA99" s="8"/>
      <c r="RWB99" s="8"/>
      <c r="RWC99" s="8"/>
      <c r="RWD99" s="8"/>
      <c r="RWE99" s="8"/>
      <c r="RWF99" s="8"/>
      <c r="RWG99" s="8"/>
      <c r="RWH99" s="8"/>
      <c r="RWI99" s="8"/>
      <c r="RWJ99" s="8"/>
      <c r="RWK99" s="8"/>
      <c r="RWL99" s="8"/>
      <c r="RWM99" s="8"/>
      <c r="RWN99" s="8"/>
      <c r="RWO99" s="8"/>
      <c r="RWP99" s="8"/>
      <c r="RWQ99" s="8"/>
      <c r="RWR99" s="8"/>
      <c r="RWS99" s="8"/>
      <c r="RWT99" s="8"/>
      <c r="RWU99" s="8"/>
      <c r="RWV99" s="8"/>
      <c r="RWW99" s="8"/>
      <c r="RWX99" s="8"/>
      <c r="RWY99" s="8"/>
      <c r="RWZ99" s="8"/>
      <c r="RXA99" s="8"/>
      <c r="RXB99" s="8"/>
      <c r="RXC99" s="8"/>
      <c r="RXD99" s="8"/>
      <c r="RXE99" s="8"/>
      <c r="RXF99" s="8"/>
      <c r="RXG99" s="8"/>
      <c r="RXH99" s="8"/>
      <c r="RXI99" s="8"/>
      <c r="RXJ99" s="8"/>
      <c r="RXK99" s="8"/>
      <c r="RXL99" s="8"/>
      <c r="RXM99" s="8"/>
      <c r="RXN99" s="8"/>
      <c r="RXO99" s="8"/>
      <c r="RXP99" s="8"/>
      <c r="RXQ99" s="8"/>
      <c r="RXR99" s="8"/>
      <c r="RXS99" s="8"/>
      <c r="RXT99" s="8"/>
      <c r="RXU99" s="8"/>
      <c r="RXV99" s="8"/>
      <c r="RXW99" s="8"/>
      <c r="RXX99" s="8"/>
      <c r="RXY99" s="8"/>
      <c r="RXZ99" s="8"/>
      <c r="RYA99" s="8"/>
      <c r="RYB99" s="8"/>
      <c r="RYC99" s="8"/>
      <c r="RYD99" s="8"/>
      <c r="RYE99" s="8"/>
      <c r="RYF99" s="8"/>
      <c r="RYG99" s="8"/>
      <c r="RYH99" s="8"/>
      <c r="RYI99" s="8"/>
      <c r="RYJ99" s="8"/>
      <c r="RYK99" s="8"/>
      <c r="RYL99" s="8"/>
      <c r="RYM99" s="8"/>
      <c r="RYN99" s="8"/>
      <c r="RYO99" s="8"/>
      <c r="RYP99" s="8"/>
      <c r="RYQ99" s="8"/>
      <c r="RYR99" s="8"/>
      <c r="RYS99" s="8"/>
      <c r="RYT99" s="8"/>
      <c r="RYU99" s="8"/>
      <c r="RYV99" s="8"/>
      <c r="RYW99" s="8"/>
      <c r="RYX99" s="8"/>
      <c r="RYY99" s="8"/>
      <c r="RYZ99" s="8"/>
      <c r="RZA99" s="8"/>
      <c r="RZB99" s="8"/>
      <c r="RZC99" s="8"/>
      <c r="RZD99" s="8"/>
      <c r="RZE99" s="8"/>
      <c r="RZF99" s="8"/>
      <c r="RZG99" s="8"/>
      <c r="RZH99" s="8"/>
      <c r="RZI99" s="8"/>
      <c r="RZJ99" s="8"/>
      <c r="RZK99" s="8"/>
      <c r="RZL99" s="8"/>
      <c r="RZM99" s="8"/>
      <c r="RZN99" s="8"/>
      <c r="RZO99" s="8"/>
      <c r="RZP99" s="8"/>
      <c r="RZQ99" s="8"/>
      <c r="RZR99" s="8"/>
      <c r="RZS99" s="8"/>
      <c r="RZT99" s="8"/>
      <c r="RZU99" s="8"/>
      <c r="RZV99" s="8"/>
      <c r="RZW99" s="8"/>
      <c r="RZX99" s="8"/>
      <c r="RZY99" s="8"/>
      <c r="RZZ99" s="8"/>
      <c r="SAA99" s="8"/>
      <c r="SAB99" s="8"/>
      <c r="SAC99" s="8"/>
      <c r="SAD99" s="8"/>
      <c r="SAE99" s="8"/>
      <c r="SAF99" s="8"/>
      <c r="SAG99" s="8"/>
      <c r="SAH99" s="8"/>
      <c r="SAI99" s="8"/>
      <c r="SAJ99" s="8"/>
      <c r="SAK99" s="8"/>
      <c r="SAL99" s="8"/>
      <c r="SAM99" s="8"/>
      <c r="SAN99" s="8"/>
      <c r="SAO99" s="8"/>
      <c r="SAP99" s="8"/>
      <c r="SAQ99" s="8"/>
      <c r="SAR99" s="8"/>
      <c r="SAS99" s="8"/>
      <c r="SAT99" s="8"/>
      <c r="SAU99" s="8"/>
      <c r="SAV99" s="8"/>
      <c r="SAW99" s="8"/>
      <c r="SAX99" s="8"/>
      <c r="SAY99" s="8"/>
      <c r="SAZ99" s="8"/>
      <c r="SBA99" s="8"/>
      <c r="SBB99" s="8"/>
      <c r="SBC99" s="8"/>
      <c r="SBD99" s="8"/>
      <c r="SBE99" s="8"/>
      <c r="SBF99" s="8"/>
      <c r="SBG99" s="8"/>
      <c r="SBH99" s="8"/>
      <c r="SBI99" s="8"/>
      <c r="SBJ99" s="8"/>
      <c r="SBK99" s="8"/>
      <c r="SBL99" s="8"/>
      <c r="SBM99" s="8"/>
      <c r="SBN99" s="8"/>
      <c r="SBO99" s="8"/>
      <c r="SBP99" s="8"/>
      <c r="SBQ99" s="8"/>
      <c r="SBR99" s="8"/>
      <c r="SBS99" s="8"/>
      <c r="SBT99" s="8"/>
      <c r="SBU99" s="8"/>
      <c r="SBV99" s="8"/>
      <c r="SBW99" s="8"/>
      <c r="SBX99" s="8"/>
      <c r="SBY99" s="8"/>
      <c r="SBZ99" s="8"/>
      <c r="SCA99" s="8"/>
      <c r="SCB99" s="8"/>
      <c r="SCC99" s="8"/>
      <c r="SCD99" s="8"/>
      <c r="SCE99" s="8"/>
      <c r="SCF99" s="8"/>
      <c r="SCG99" s="8"/>
      <c r="SCH99" s="8"/>
      <c r="SCI99" s="8"/>
      <c r="SCJ99" s="8"/>
      <c r="SCK99" s="8"/>
      <c r="SCL99" s="8"/>
      <c r="SCM99" s="8"/>
      <c r="SCN99" s="8"/>
      <c r="SCO99" s="8"/>
      <c r="SCP99" s="8"/>
      <c r="SCQ99" s="8"/>
      <c r="SCR99" s="8"/>
      <c r="SCS99" s="8"/>
      <c r="SCT99" s="8"/>
      <c r="SCU99" s="8"/>
      <c r="SCV99" s="8"/>
      <c r="SCW99" s="8"/>
      <c r="SCX99" s="8"/>
      <c r="SCY99" s="8"/>
      <c r="SCZ99" s="8"/>
      <c r="SDA99" s="8"/>
      <c r="SDB99" s="8"/>
      <c r="SDC99" s="8"/>
      <c r="SDD99" s="8"/>
      <c r="SDE99" s="8"/>
      <c r="SDF99" s="8"/>
      <c r="SDG99" s="8"/>
      <c r="SDH99" s="8"/>
      <c r="SDI99" s="8"/>
      <c r="SDJ99" s="8"/>
      <c r="SDK99" s="8"/>
      <c r="SDL99" s="8"/>
      <c r="SDM99" s="8"/>
      <c r="SDN99" s="8"/>
      <c r="SDO99" s="8"/>
      <c r="SDP99" s="8"/>
      <c r="SDQ99" s="8"/>
      <c r="SDR99" s="8"/>
      <c r="SDS99" s="8"/>
      <c r="SDT99" s="8"/>
      <c r="SDU99" s="8"/>
      <c r="SDV99" s="8"/>
      <c r="SDW99" s="8"/>
      <c r="SDX99" s="8"/>
      <c r="SDY99" s="8"/>
      <c r="SDZ99" s="8"/>
      <c r="SEA99" s="8"/>
      <c r="SEB99" s="8"/>
      <c r="SEC99" s="8"/>
      <c r="SED99" s="8"/>
      <c r="SEE99" s="8"/>
      <c r="SEF99" s="8"/>
      <c r="SEG99" s="8"/>
      <c r="SEH99" s="8"/>
      <c r="SEI99" s="8"/>
      <c r="SEJ99" s="8"/>
      <c r="SEK99" s="8"/>
      <c r="SEL99" s="8"/>
      <c r="SEM99" s="8"/>
      <c r="SEN99" s="8"/>
      <c r="SEO99" s="8"/>
      <c r="SEP99" s="8"/>
      <c r="SEQ99" s="8"/>
      <c r="SER99" s="8"/>
      <c r="SES99" s="8"/>
      <c r="SET99" s="8"/>
      <c r="SEU99" s="8"/>
      <c r="SEV99" s="8"/>
      <c r="SEW99" s="8"/>
      <c r="SEX99" s="8"/>
      <c r="SEY99" s="8"/>
      <c r="SEZ99" s="8"/>
      <c r="SFA99" s="8"/>
      <c r="SFB99" s="8"/>
      <c r="SFC99" s="8"/>
      <c r="SFD99" s="8"/>
      <c r="SFE99" s="8"/>
      <c r="SFF99" s="8"/>
      <c r="SFG99" s="8"/>
      <c r="SFH99" s="8"/>
      <c r="SFI99" s="8"/>
      <c r="SFJ99" s="8"/>
      <c r="SFK99" s="8"/>
      <c r="SFL99" s="8"/>
      <c r="SFM99" s="8"/>
      <c r="SFN99" s="8"/>
      <c r="SFO99" s="8"/>
      <c r="SFP99" s="8"/>
      <c r="SFQ99" s="8"/>
      <c r="SFR99" s="8"/>
      <c r="SFS99" s="8"/>
      <c r="SFT99" s="8"/>
      <c r="SFU99" s="8"/>
      <c r="SFV99" s="8"/>
      <c r="SFW99" s="8"/>
      <c r="SFX99" s="8"/>
      <c r="SFY99" s="8"/>
      <c r="SFZ99" s="8"/>
      <c r="SGA99" s="8"/>
      <c r="SGB99" s="8"/>
      <c r="SGC99" s="8"/>
      <c r="SGD99" s="8"/>
      <c r="SGE99" s="8"/>
      <c r="SGF99" s="8"/>
      <c r="SGG99" s="8"/>
      <c r="SGH99" s="8"/>
      <c r="SGI99" s="8"/>
      <c r="SGJ99" s="8"/>
      <c r="SGK99" s="8"/>
      <c r="SGL99" s="8"/>
      <c r="SGM99" s="8"/>
      <c r="SGN99" s="8"/>
      <c r="SGO99" s="8"/>
      <c r="SGP99" s="8"/>
      <c r="SGQ99" s="8"/>
      <c r="SGR99" s="8"/>
      <c r="SGS99" s="8"/>
      <c r="SGT99" s="8"/>
      <c r="SGU99" s="8"/>
      <c r="SGV99" s="8"/>
      <c r="SGW99" s="8"/>
      <c r="SGX99" s="8"/>
      <c r="SGY99" s="8"/>
      <c r="SGZ99" s="8"/>
      <c r="SHA99" s="8"/>
      <c r="SHB99" s="8"/>
      <c r="SHC99" s="8"/>
      <c r="SHD99" s="8"/>
      <c r="SHE99" s="8"/>
      <c r="SHF99" s="8"/>
      <c r="SHG99" s="8"/>
      <c r="SHH99" s="8"/>
      <c r="SHI99" s="8"/>
      <c r="SHJ99" s="8"/>
      <c r="SHK99" s="8"/>
      <c r="SHL99" s="8"/>
      <c r="SHM99" s="8"/>
      <c r="SHN99" s="8"/>
      <c r="SHO99" s="8"/>
      <c r="SHP99" s="8"/>
      <c r="SHQ99" s="8"/>
      <c r="SHR99" s="8"/>
      <c r="SHS99" s="8"/>
      <c r="SHT99" s="8"/>
      <c r="SHU99" s="8"/>
      <c r="SHV99" s="8"/>
      <c r="SHW99" s="8"/>
      <c r="SHX99" s="8"/>
      <c r="SHY99" s="8"/>
      <c r="SHZ99" s="8"/>
      <c r="SIA99" s="8"/>
      <c r="SIB99" s="8"/>
      <c r="SIC99" s="8"/>
      <c r="SID99" s="8"/>
      <c r="SIE99" s="8"/>
      <c r="SIF99" s="8"/>
      <c r="SIG99" s="8"/>
      <c r="SIH99" s="8"/>
      <c r="SII99" s="8"/>
      <c r="SIJ99" s="8"/>
      <c r="SIK99" s="8"/>
      <c r="SIL99" s="8"/>
      <c r="SIM99" s="8"/>
      <c r="SIN99" s="8"/>
      <c r="SIO99" s="8"/>
      <c r="SIP99" s="8"/>
      <c r="SIQ99" s="8"/>
      <c r="SIR99" s="8"/>
      <c r="SIS99" s="8"/>
      <c r="SIT99" s="8"/>
      <c r="SIU99" s="8"/>
      <c r="SIV99" s="8"/>
      <c r="SIW99" s="8"/>
      <c r="SIX99" s="8"/>
      <c r="SIY99" s="8"/>
      <c r="SIZ99" s="8"/>
      <c r="SJA99" s="8"/>
      <c r="SJB99" s="8"/>
      <c r="SJC99" s="8"/>
      <c r="SJD99" s="8"/>
      <c r="SJE99" s="8"/>
      <c r="SJF99" s="8"/>
      <c r="SJG99" s="8"/>
      <c r="SJH99" s="8"/>
      <c r="SJI99" s="8"/>
      <c r="SJJ99" s="8"/>
      <c r="SJK99" s="8"/>
      <c r="SJL99" s="8"/>
      <c r="SJM99" s="8"/>
      <c r="SJN99" s="8"/>
      <c r="SJO99" s="8"/>
      <c r="SJP99" s="8"/>
      <c r="SJQ99" s="8"/>
      <c r="SJR99" s="8"/>
      <c r="SJS99" s="8"/>
      <c r="SJT99" s="8"/>
      <c r="SJU99" s="8"/>
      <c r="SJV99" s="8"/>
      <c r="SJW99" s="8"/>
      <c r="SJX99" s="8"/>
      <c r="SJY99" s="8"/>
      <c r="SJZ99" s="8"/>
      <c r="SKA99" s="8"/>
      <c r="SKB99" s="8"/>
      <c r="SKC99" s="8"/>
      <c r="SKD99" s="8"/>
      <c r="SKE99" s="8"/>
      <c r="SKF99" s="8"/>
      <c r="SKG99" s="8"/>
      <c r="SKH99" s="8"/>
      <c r="SKI99" s="8"/>
      <c r="SKJ99" s="8"/>
      <c r="SKK99" s="8"/>
      <c r="SKL99" s="8"/>
      <c r="SKM99" s="8"/>
      <c r="SKN99" s="8"/>
      <c r="SKO99" s="8"/>
      <c r="SKP99" s="8"/>
      <c r="SKQ99" s="8"/>
      <c r="SKR99" s="8"/>
      <c r="SKS99" s="8"/>
      <c r="SKT99" s="8"/>
      <c r="SKU99" s="8"/>
      <c r="SKV99" s="8"/>
      <c r="SKW99" s="8"/>
      <c r="SKX99" s="8"/>
      <c r="SKY99" s="8"/>
      <c r="SKZ99" s="8"/>
      <c r="SLA99" s="8"/>
      <c r="SLB99" s="8"/>
      <c r="SLC99" s="8"/>
      <c r="SLD99" s="8"/>
      <c r="SLE99" s="8"/>
      <c r="SLF99" s="8"/>
      <c r="SLG99" s="8"/>
      <c r="SLH99" s="8"/>
      <c r="SLI99" s="8"/>
      <c r="SLJ99" s="8"/>
      <c r="SLK99" s="8"/>
      <c r="SLL99" s="8"/>
      <c r="SLM99" s="8"/>
      <c r="SLN99" s="8"/>
      <c r="SLO99" s="8"/>
      <c r="SLP99" s="8"/>
      <c r="SLQ99" s="8"/>
      <c r="SLR99" s="8"/>
      <c r="SLS99" s="8"/>
      <c r="SLT99" s="8"/>
      <c r="SLU99" s="8"/>
      <c r="SLV99" s="8"/>
      <c r="SLW99" s="8"/>
      <c r="SLX99" s="8"/>
      <c r="SLY99" s="8"/>
      <c r="SLZ99" s="8"/>
      <c r="SMA99" s="8"/>
      <c r="SMB99" s="8"/>
      <c r="SMC99" s="8"/>
      <c r="SMD99" s="8"/>
      <c r="SME99" s="8"/>
      <c r="SMF99" s="8"/>
      <c r="SMG99" s="8"/>
      <c r="SMH99" s="8"/>
      <c r="SMI99" s="8"/>
      <c r="SMJ99" s="8"/>
      <c r="SMK99" s="8"/>
      <c r="SML99" s="8"/>
      <c r="SMM99" s="8"/>
      <c r="SMN99" s="8"/>
      <c r="SMO99" s="8"/>
      <c r="SMP99" s="8"/>
      <c r="SMQ99" s="8"/>
      <c r="SMR99" s="8"/>
      <c r="SMS99" s="8"/>
      <c r="SMT99" s="8"/>
      <c r="SMU99" s="8"/>
      <c r="SMV99" s="8"/>
      <c r="SMW99" s="8"/>
      <c r="SMX99" s="8"/>
      <c r="SMY99" s="8"/>
      <c r="SMZ99" s="8"/>
      <c r="SNA99" s="8"/>
      <c r="SNB99" s="8"/>
      <c r="SNC99" s="8"/>
      <c r="SND99" s="8"/>
      <c r="SNE99" s="8"/>
      <c r="SNF99" s="8"/>
      <c r="SNG99" s="8"/>
      <c r="SNH99" s="8"/>
      <c r="SNI99" s="8"/>
      <c r="SNJ99" s="8"/>
      <c r="SNK99" s="8"/>
      <c r="SNL99" s="8"/>
      <c r="SNM99" s="8"/>
      <c r="SNN99" s="8"/>
      <c r="SNO99" s="8"/>
      <c r="SNP99" s="8"/>
      <c r="SNQ99" s="8"/>
      <c r="SNR99" s="8"/>
      <c r="SNS99" s="8"/>
      <c r="SNT99" s="8"/>
      <c r="SNU99" s="8"/>
      <c r="SNV99" s="8"/>
      <c r="SNW99" s="8"/>
      <c r="SNX99" s="8"/>
      <c r="SNY99" s="8"/>
      <c r="SNZ99" s="8"/>
      <c r="SOA99" s="8"/>
      <c r="SOB99" s="8"/>
      <c r="SOC99" s="8"/>
      <c r="SOD99" s="8"/>
      <c r="SOE99" s="8"/>
      <c r="SOF99" s="8"/>
      <c r="SOG99" s="8"/>
      <c r="SOH99" s="8"/>
      <c r="SOI99" s="8"/>
      <c r="SOJ99" s="8"/>
      <c r="SOK99" s="8"/>
      <c r="SOL99" s="8"/>
      <c r="SOM99" s="8"/>
      <c r="SON99" s="8"/>
      <c r="SOO99" s="8"/>
      <c r="SOP99" s="8"/>
      <c r="SOQ99" s="8"/>
      <c r="SOR99" s="8"/>
      <c r="SOS99" s="8"/>
      <c r="SOT99" s="8"/>
      <c r="SOU99" s="8"/>
      <c r="SOV99" s="8"/>
      <c r="SOW99" s="8"/>
      <c r="SOX99" s="8"/>
      <c r="SOY99" s="8"/>
      <c r="SOZ99" s="8"/>
      <c r="SPA99" s="8"/>
      <c r="SPB99" s="8"/>
      <c r="SPC99" s="8"/>
      <c r="SPD99" s="8"/>
      <c r="SPE99" s="8"/>
      <c r="SPF99" s="8"/>
      <c r="SPG99" s="8"/>
      <c r="SPH99" s="8"/>
      <c r="SPI99" s="8"/>
      <c r="SPJ99" s="8"/>
      <c r="SPK99" s="8"/>
      <c r="SPL99" s="8"/>
      <c r="SPM99" s="8"/>
      <c r="SPN99" s="8"/>
      <c r="SPO99" s="8"/>
      <c r="SPP99" s="8"/>
      <c r="SPQ99" s="8"/>
      <c r="SPR99" s="8"/>
      <c r="SPS99" s="8"/>
      <c r="SPT99" s="8"/>
      <c r="SPU99" s="8"/>
      <c r="SPV99" s="8"/>
      <c r="SPW99" s="8"/>
      <c r="SPX99" s="8"/>
      <c r="SPY99" s="8"/>
      <c r="SPZ99" s="8"/>
      <c r="SQA99" s="8"/>
      <c r="SQB99" s="8"/>
      <c r="SQC99" s="8"/>
      <c r="SQD99" s="8"/>
      <c r="SQE99" s="8"/>
      <c r="SQF99" s="8"/>
      <c r="SQG99" s="8"/>
      <c r="SQH99" s="8"/>
      <c r="SQI99" s="8"/>
      <c r="SQJ99" s="8"/>
      <c r="SQK99" s="8"/>
      <c r="SQL99" s="8"/>
      <c r="SQM99" s="8"/>
      <c r="SQN99" s="8"/>
      <c r="SQO99" s="8"/>
      <c r="SQP99" s="8"/>
      <c r="SQQ99" s="8"/>
      <c r="SQR99" s="8"/>
      <c r="SQS99" s="8"/>
      <c r="SQT99" s="8"/>
      <c r="SQU99" s="8"/>
      <c r="SQV99" s="8"/>
      <c r="SQW99" s="8"/>
      <c r="SQX99" s="8"/>
      <c r="SQY99" s="8"/>
      <c r="SQZ99" s="8"/>
      <c r="SRA99" s="8"/>
      <c r="SRB99" s="8"/>
      <c r="SRC99" s="8"/>
      <c r="SRD99" s="8"/>
      <c r="SRE99" s="8"/>
      <c r="SRF99" s="8"/>
      <c r="SRG99" s="8"/>
      <c r="SRH99" s="8"/>
      <c r="SRI99" s="8"/>
      <c r="SRJ99" s="8"/>
      <c r="SRK99" s="8"/>
      <c r="SRL99" s="8"/>
      <c r="SRM99" s="8"/>
      <c r="SRN99" s="8"/>
      <c r="SRO99" s="8"/>
      <c r="SRP99" s="8"/>
      <c r="SRQ99" s="8"/>
      <c r="SRR99" s="8"/>
      <c r="SRS99" s="8"/>
      <c r="SRT99" s="8"/>
      <c r="SRU99" s="8"/>
      <c r="SRV99" s="8"/>
      <c r="SRW99" s="8"/>
      <c r="SRX99" s="8"/>
      <c r="SRY99" s="8"/>
      <c r="SRZ99" s="8"/>
      <c r="SSA99" s="8"/>
      <c r="SSB99" s="8"/>
      <c r="SSC99" s="8"/>
      <c r="SSD99" s="8"/>
      <c r="SSE99" s="8"/>
      <c r="SSF99" s="8"/>
      <c r="SSG99" s="8"/>
      <c r="SSH99" s="8"/>
      <c r="SSI99" s="8"/>
      <c r="SSJ99" s="8"/>
      <c r="SSK99" s="8"/>
      <c r="SSL99" s="8"/>
      <c r="SSM99" s="8"/>
      <c r="SSN99" s="8"/>
      <c r="SSO99" s="8"/>
      <c r="SSP99" s="8"/>
      <c r="SSQ99" s="8"/>
      <c r="SSR99" s="8"/>
      <c r="SSS99" s="8"/>
      <c r="SST99" s="8"/>
      <c r="SSU99" s="8"/>
      <c r="SSV99" s="8"/>
      <c r="SSW99" s="8"/>
      <c r="SSX99" s="8"/>
      <c r="SSY99" s="8"/>
      <c r="SSZ99" s="8"/>
      <c r="STA99" s="8"/>
      <c r="STB99" s="8"/>
      <c r="STC99" s="8"/>
      <c r="STD99" s="8"/>
      <c r="STE99" s="8"/>
      <c r="STF99" s="8"/>
      <c r="STG99" s="8"/>
      <c r="STH99" s="8"/>
      <c r="STI99" s="8"/>
      <c r="STJ99" s="8"/>
      <c r="STK99" s="8"/>
      <c r="STL99" s="8"/>
      <c r="STM99" s="8"/>
      <c r="STN99" s="8"/>
      <c r="STO99" s="8"/>
      <c r="STP99" s="8"/>
      <c r="STQ99" s="8"/>
      <c r="STR99" s="8"/>
      <c r="STS99" s="8"/>
      <c r="STT99" s="8"/>
      <c r="STU99" s="8"/>
      <c r="STV99" s="8"/>
      <c r="STW99" s="8"/>
      <c r="STX99" s="8"/>
      <c r="STY99" s="8"/>
      <c r="STZ99" s="8"/>
      <c r="SUA99" s="8"/>
      <c r="SUB99" s="8"/>
      <c r="SUC99" s="8"/>
      <c r="SUD99" s="8"/>
      <c r="SUE99" s="8"/>
      <c r="SUF99" s="8"/>
      <c r="SUG99" s="8"/>
      <c r="SUH99" s="8"/>
      <c r="SUI99" s="8"/>
      <c r="SUJ99" s="8"/>
      <c r="SUK99" s="8"/>
      <c r="SUL99" s="8"/>
      <c r="SUM99" s="8"/>
      <c r="SUN99" s="8"/>
      <c r="SUO99" s="8"/>
      <c r="SUP99" s="8"/>
      <c r="SUQ99" s="8"/>
      <c r="SUR99" s="8"/>
      <c r="SUS99" s="8"/>
      <c r="SUT99" s="8"/>
      <c r="SUU99" s="8"/>
      <c r="SUV99" s="8"/>
      <c r="SUW99" s="8"/>
      <c r="SUX99" s="8"/>
      <c r="SUY99" s="8"/>
      <c r="SUZ99" s="8"/>
      <c r="SVA99" s="8"/>
      <c r="SVB99" s="8"/>
      <c r="SVC99" s="8"/>
      <c r="SVD99" s="8"/>
      <c r="SVE99" s="8"/>
      <c r="SVF99" s="8"/>
      <c r="SVG99" s="8"/>
      <c r="SVH99" s="8"/>
      <c r="SVI99" s="8"/>
      <c r="SVJ99" s="8"/>
      <c r="SVK99" s="8"/>
      <c r="SVL99" s="8"/>
      <c r="SVM99" s="8"/>
      <c r="SVN99" s="8"/>
      <c r="SVO99" s="8"/>
      <c r="SVP99" s="8"/>
      <c r="SVQ99" s="8"/>
      <c r="SVR99" s="8"/>
      <c r="SVS99" s="8"/>
      <c r="SVT99" s="8"/>
      <c r="SVU99" s="8"/>
      <c r="SVV99" s="8"/>
      <c r="SVW99" s="8"/>
      <c r="SVX99" s="8"/>
      <c r="SVY99" s="8"/>
      <c r="SVZ99" s="8"/>
      <c r="SWA99" s="8"/>
      <c r="SWB99" s="8"/>
      <c r="SWC99" s="8"/>
      <c r="SWD99" s="8"/>
      <c r="SWE99" s="8"/>
      <c r="SWF99" s="8"/>
      <c r="SWG99" s="8"/>
      <c r="SWH99" s="8"/>
      <c r="SWI99" s="8"/>
      <c r="SWJ99" s="8"/>
      <c r="SWK99" s="8"/>
      <c r="SWL99" s="8"/>
      <c r="SWM99" s="8"/>
      <c r="SWN99" s="8"/>
      <c r="SWO99" s="8"/>
      <c r="SWP99" s="8"/>
      <c r="SWQ99" s="8"/>
      <c r="SWR99" s="8"/>
      <c r="SWS99" s="8"/>
      <c r="SWT99" s="8"/>
      <c r="SWU99" s="8"/>
      <c r="SWV99" s="8"/>
      <c r="SWW99" s="8"/>
      <c r="SWX99" s="8"/>
      <c r="SWY99" s="8"/>
      <c r="SWZ99" s="8"/>
      <c r="SXA99" s="8"/>
      <c r="SXB99" s="8"/>
      <c r="SXC99" s="8"/>
      <c r="SXD99" s="8"/>
      <c r="SXE99" s="8"/>
      <c r="SXF99" s="8"/>
      <c r="SXG99" s="8"/>
      <c r="SXH99" s="8"/>
      <c r="SXI99" s="8"/>
      <c r="SXJ99" s="8"/>
      <c r="SXK99" s="8"/>
      <c r="SXL99" s="8"/>
      <c r="SXM99" s="8"/>
      <c r="SXN99" s="8"/>
      <c r="SXO99" s="8"/>
      <c r="SXP99" s="8"/>
      <c r="SXQ99" s="8"/>
      <c r="SXR99" s="8"/>
      <c r="SXS99" s="8"/>
      <c r="SXT99" s="8"/>
      <c r="SXU99" s="8"/>
      <c r="SXV99" s="8"/>
      <c r="SXW99" s="8"/>
      <c r="SXX99" s="8"/>
      <c r="SXY99" s="8"/>
      <c r="SXZ99" s="8"/>
      <c r="SYA99" s="8"/>
      <c r="SYB99" s="8"/>
      <c r="SYC99" s="8"/>
      <c r="SYD99" s="8"/>
      <c r="SYE99" s="8"/>
      <c r="SYF99" s="8"/>
      <c r="SYG99" s="8"/>
      <c r="SYH99" s="8"/>
      <c r="SYI99" s="8"/>
      <c r="SYJ99" s="8"/>
      <c r="SYK99" s="8"/>
      <c r="SYL99" s="8"/>
      <c r="SYM99" s="8"/>
      <c r="SYN99" s="8"/>
      <c r="SYO99" s="8"/>
      <c r="SYP99" s="8"/>
      <c r="SYQ99" s="8"/>
      <c r="SYR99" s="8"/>
      <c r="SYS99" s="8"/>
      <c r="SYT99" s="8"/>
      <c r="SYU99" s="8"/>
      <c r="SYV99" s="8"/>
      <c r="SYW99" s="8"/>
      <c r="SYX99" s="8"/>
      <c r="SYY99" s="8"/>
      <c r="SYZ99" s="8"/>
      <c r="SZA99" s="8"/>
      <c r="SZB99" s="8"/>
      <c r="SZC99" s="8"/>
      <c r="SZD99" s="8"/>
      <c r="SZE99" s="8"/>
      <c r="SZF99" s="8"/>
      <c r="SZG99" s="8"/>
      <c r="SZH99" s="8"/>
      <c r="SZI99" s="8"/>
      <c r="SZJ99" s="8"/>
      <c r="SZK99" s="8"/>
      <c r="SZL99" s="8"/>
      <c r="SZM99" s="8"/>
      <c r="SZN99" s="8"/>
      <c r="SZO99" s="8"/>
      <c r="SZP99" s="8"/>
      <c r="SZQ99" s="8"/>
      <c r="SZR99" s="8"/>
      <c r="SZS99" s="8"/>
      <c r="SZT99" s="8"/>
      <c r="SZU99" s="8"/>
      <c r="SZV99" s="8"/>
      <c r="SZW99" s="8"/>
      <c r="SZX99" s="8"/>
      <c r="SZY99" s="8"/>
      <c r="SZZ99" s="8"/>
      <c r="TAA99" s="8"/>
      <c r="TAB99" s="8"/>
      <c r="TAC99" s="8"/>
      <c r="TAD99" s="8"/>
      <c r="TAE99" s="8"/>
      <c r="TAF99" s="8"/>
      <c r="TAG99" s="8"/>
      <c r="TAH99" s="8"/>
      <c r="TAI99" s="8"/>
      <c r="TAJ99" s="8"/>
      <c r="TAK99" s="8"/>
      <c r="TAL99" s="8"/>
      <c r="TAM99" s="8"/>
      <c r="TAN99" s="8"/>
      <c r="TAO99" s="8"/>
      <c r="TAP99" s="8"/>
      <c r="TAQ99" s="8"/>
      <c r="TAR99" s="8"/>
      <c r="TAS99" s="8"/>
      <c r="TAT99" s="8"/>
      <c r="TAU99" s="8"/>
      <c r="TAV99" s="8"/>
      <c r="TAW99" s="8"/>
      <c r="TAX99" s="8"/>
      <c r="TAY99" s="8"/>
      <c r="TAZ99" s="8"/>
      <c r="TBA99" s="8"/>
      <c r="TBB99" s="8"/>
      <c r="TBC99" s="8"/>
      <c r="TBD99" s="8"/>
      <c r="TBE99" s="8"/>
      <c r="TBF99" s="8"/>
      <c r="TBG99" s="8"/>
      <c r="TBH99" s="8"/>
      <c r="TBI99" s="8"/>
      <c r="TBJ99" s="8"/>
      <c r="TBK99" s="8"/>
      <c r="TBL99" s="8"/>
      <c r="TBM99" s="8"/>
      <c r="TBN99" s="8"/>
      <c r="TBO99" s="8"/>
      <c r="TBP99" s="8"/>
      <c r="TBQ99" s="8"/>
      <c r="TBR99" s="8"/>
      <c r="TBS99" s="8"/>
      <c r="TBT99" s="8"/>
      <c r="TBU99" s="8"/>
      <c r="TBV99" s="8"/>
      <c r="TBW99" s="8"/>
      <c r="TBX99" s="8"/>
      <c r="TBY99" s="8"/>
      <c r="TBZ99" s="8"/>
      <c r="TCA99" s="8"/>
      <c r="TCB99" s="8"/>
      <c r="TCC99" s="8"/>
      <c r="TCD99" s="8"/>
      <c r="TCE99" s="8"/>
      <c r="TCF99" s="8"/>
      <c r="TCG99" s="8"/>
      <c r="TCH99" s="8"/>
      <c r="TCI99" s="8"/>
      <c r="TCJ99" s="8"/>
      <c r="TCK99" s="8"/>
      <c r="TCL99" s="8"/>
      <c r="TCM99" s="8"/>
      <c r="TCN99" s="8"/>
      <c r="TCO99" s="8"/>
      <c r="TCP99" s="8"/>
      <c r="TCQ99" s="8"/>
      <c r="TCR99" s="8"/>
      <c r="TCS99" s="8"/>
      <c r="TCT99" s="8"/>
      <c r="TCU99" s="8"/>
      <c r="TCV99" s="8"/>
      <c r="TCW99" s="8"/>
      <c r="TCX99" s="8"/>
      <c r="TCY99" s="8"/>
      <c r="TCZ99" s="8"/>
      <c r="TDA99" s="8"/>
      <c r="TDB99" s="8"/>
      <c r="TDC99" s="8"/>
      <c r="TDD99" s="8"/>
      <c r="TDE99" s="8"/>
      <c r="TDF99" s="8"/>
      <c r="TDG99" s="8"/>
      <c r="TDH99" s="8"/>
      <c r="TDI99" s="8"/>
      <c r="TDJ99" s="8"/>
      <c r="TDK99" s="8"/>
      <c r="TDL99" s="8"/>
      <c r="TDM99" s="8"/>
      <c r="TDN99" s="8"/>
      <c r="TDO99" s="8"/>
      <c r="TDP99" s="8"/>
      <c r="TDQ99" s="8"/>
      <c r="TDR99" s="8"/>
      <c r="TDS99" s="8"/>
      <c r="TDT99" s="8"/>
      <c r="TDU99" s="8"/>
      <c r="TDV99" s="8"/>
      <c r="TDW99" s="8"/>
      <c r="TDX99" s="8"/>
      <c r="TDY99" s="8"/>
      <c r="TDZ99" s="8"/>
      <c r="TEA99" s="8"/>
      <c r="TEB99" s="8"/>
      <c r="TEC99" s="8"/>
      <c r="TED99" s="8"/>
      <c r="TEE99" s="8"/>
      <c r="TEF99" s="8"/>
      <c r="TEG99" s="8"/>
      <c r="TEH99" s="8"/>
      <c r="TEI99" s="8"/>
      <c r="TEJ99" s="8"/>
      <c r="TEK99" s="8"/>
      <c r="TEL99" s="8"/>
      <c r="TEM99" s="8"/>
      <c r="TEN99" s="8"/>
      <c r="TEO99" s="8"/>
      <c r="TEP99" s="8"/>
      <c r="TEQ99" s="8"/>
      <c r="TER99" s="8"/>
      <c r="TES99" s="8"/>
      <c r="TET99" s="8"/>
      <c r="TEU99" s="8"/>
      <c r="TEV99" s="8"/>
      <c r="TEW99" s="8"/>
      <c r="TEX99" s="8"/>
      <c r="TEY99" s="8"/>
      <c r="TEZ99" s="8"/>
      <c r="TFA99" s="8"/>
      <c r="TFB99" s="8"/>
      <c r="TFC99" s="8"/>
      <c r="TFD99" s="8"/>
      <c r="TFE99" s="8"/>
      <c r="TFF99" s="8"/>
      <c r="TFG99" s="8"/>
      <c r="TFH99" s="8"/>
      <c r="TFI99" s="8"/>
      <c r="TFJ99" s="8"/>
      <c r="TFK99" s="8"/>
      <c r="TFL99" s="8"/>
      <c r="TFM99" s="8"/>
      <c r="TFN99" s="8"/>
      <c r="TFO99" s="8"/>
      <c r="TFP99" s="8"/>
      <c r="TFQ99" s="8"/>
      <c r="TFR99" s="8"/>
      <c r="TFS99" s="8"/>
      <c r="TFT99" s="8"/>
      <c r="TFU99" s="8"/>
      <c r="TFV99" s="8"/>
      <c r="TFW99" s="8"/>
      <c r="TFX99" s="8"/>
      <c r="TFY99" s="8"/>
      <c r="TFZ99" s="8"/>
      <c r="TGA99" s="8"/>
      <c r="TGB99" s="8"/>
      <c r="TGC99" s="8"/>
      <c r="TGD99" s="8"/>
      <c r="TGE99" s="8"/>
      <c r="TGF99" s="8"/>
      <c r="TGG99" s="8"/>
      <c r="TGH99" s="8"/>
      <c r="TGI99" s="8"/>
      <c r="TGJ99" s="8"/>
      <c r="TGK99" s="8"/>
      <c r="TGL99" s="8"/>
      <c r="TGM99" s="8"/>
      <c r="TGN99" s="8"/>
      <c r="TGO99" s="8"/>
      <c r="TGP99" s="8"/>
      <c r="TGQ99" s="8"/>
      <c r="TGR99" s="8"/>
      <c r="TGS99" s="8"/>
      <c r="TGT99" s="8"/>
      <c r="TGU99" s="8"/>
      <c r="TGV99" s="8"/>
      <c r="TGW99" s="8"/>
      <c r="TGX99" s="8"/>
      <c r="TGY99" s="8"/>
      <c r="TGZ99" s="8"/>
      <c r="THA99" s="8"/>
      <c r="THB99" s="8"/>
      <c r="THC99" s="8"/>
      <c r="THD99" s="8"/>
      <c r="THE99" s="8"/>
      <c r="THF99" s="8"/>
      <c r="THG99" s="8"/>
      <c r="THH99" s="8"/>
      <c r="THI99" s="8"/>
      <c r="THJ99" s="8"/>
      <c r="THK99" s="8"/>
      <c r="THL99" s="8"/>
      <c r="THM99" s="8"/>
      <c r="THN99" s="8"/>
      <c r="THO99" s="8"/>
      <c r="THP99" s="8"/>
      <c r="THQ99" s="8"/>
      <c r="THR99" s="8"/>
      <c r="THS99" s="8"/>
      <c r="THT99" s="8"/>
      <c r="THU99" s="8"/>
      <c r="THV99" s="8"/>
      <c r="THW99" s="8"/>
      <c r="THX99" s="8"/>
      <c r="THY99" s="8"/>
      <c r="THZ99" s="8"/>
      <c r="TIA99" s="8"/>
      <c r="TIB99" s="8"/>
      <c r="TIC99" s="8"/>
      <c r="TID99" s="8"/>
      <c r="TIE99" s="8"/>
      <c r="TIF99" s="8"/>
      <c r="TIG99" s="8"/>
      <c r="TIH99" s="8"/>
      <c r="TII99" s="8"/>
      <c r="TIJ99" s="8"/>
      <c r="TIK99" s="8"/>
      <c r="TIL99" s="8"/>
      <c r="TIM99" s="8"/>
      <c r="TIN99" s="8"/>
      <c r="TIO99" s="8"/>
      <c r="TIP99" s="8"/>
      <c r="TIQ99" s="8"/>
      <c r="TIR99" s="8"/>
      <c r="TIS99" s="8"/>
      <c r="TIT99" s="8"/>
      <c r="TIU99" s="8"/>
      <c r="TIV99" s="8"/>
      <c r="TIW99" s="8"/>
      <c r="TIX99" s="8"/>
      <c r="TIY99" s="8"/>
      <c r="TIZ99" s="8"/>
      <c r="TJA99" s="8"/>
      <c r="TJB99" s="8"/>
      <c r="TJC99" s="8"/>
      <c r="TJD99" s="8"/>
      <c r="TJE99" s="8"/>
      <c r="TJF99" s="8"/>
      <c r="TJG99" s="8"/>
      <c r="TJH99" s="8"/>
      <c r="TJI99" s="8"/>
      <c r="TJJ99" s="8"/>
      <c r="TJK99" s="8"/>
      <c r="TJL99" s="8"/>
      <c r="TJM99" s="8"/>
      <c r="TJN99" s="8"/>
      <c r="TJO99" s="8"/>
      <c r="TJP99" s="8"/>
      <c r="TJQ99" s="8"/>
      <c r="TJR99" s="8"/>
      <c r="TJS99" s="8"/>
      <c r="TJT99" s="8"/>
      <c r="TJU99" s="8"/>
      <c r="TJV99" s="8"/>
      <c r="TJW99" s="8"/>
      <c r="TJX99" s="8"/>
      <c r="TJY99" s="8"/>
      <c r="TJZ99" s="8"/>
      <c r="TKA99" s="8"/>
      <c r="TKB99" s="8"/>
      <c r="TKC99" s="8"/>
      <c r="TKD99" s="8"/>
      <c r="TKE99" s="8"/>
      <c r="TKF99" s="8"/>
      <c r="TKG99" s="8"/>
      <c r="TKH99" s="8"/>
      <c r="TKI99" s="8"/>
      <c r="TKJ99" s="8"/>
      <c r="TKK99" s="8"/>
      <c r="TKL99" s="8"/>
      <c r="TKM99" s="8"/>
      <c r="TKN99" s="8"/>
      <c r="TKO99" s="8"/>
      <c r="TKP99" s="8"/>
      <c r="TKQ99" s="8"/>
      <c r="TKR99" s="8"/>
      <c r="TKS99" s="8"/>
      <c r="TKT99" s="8"/>
      <c r="TKU99" s="8"/>
      <c r="TKV99" s="8"/>
      <c r="TKW99" s="8"/>
      <c r="TKX99" s="8"/>
      <c r="TKY99" s="8"/>
      <c r="TKZ99" s="8"/>
      <c r="TLA99" s="8"/>
      <c r="TLB99" s="8"/>
      <c r="TLC99" s="8"/>
      <c r="TLD99" s="8"/>
      <c r="TLE99" s="8"/>
      <c r="TLF99" s="8"/>
      <c r="TLG99" s="8"/>
      <c r="TLH99" s="8"/>
      <c r="TLI99" s="8"/>
      <c r="TLJ99" s="8"/>
      <c r="TLK99" s="8"/>
      <c r="TLL99" s="8"/>
      <c r="TLM99" s="8"/>
      <c r="TLN99" s="8"/>
      <c r="TLO99" s="8"/>
      <c r="TLP99" s="8"/>
      <c r="TLQ99" s="8"/>
      <c r="TLR99" s="8"/>
      <c r="TLS99" s="8"/>
      <c r="TLT99" s="8"/>
      <c r="TLU99" s="8"/>
      <c r="TLV99" s="8"/>
      <c r="TLW99" s="8"/>
      <c r="TLX99" s="8"/>
      <c r="TLY99" s="8"/>
      <c r="TLZ99" s="8"/>
      <c r="TMA99" s="8"/>
      <c r="TMB99" s="8"/>
      <c r="TMC99" s="8"/>
      <c r="TMD99" s="8"/>
      <c r="TME99" s="8"/>
      <c r="TMF99" s="8"/>
      <c r="TMG99" s="8"/>
      <c r="TMH99" s="8"/>
      <c r="TMI99" s="8"/>
      <c r="TMJ99" s="8"/>
      <c r="TMK99" s="8"/>
      <c r="TML99" s="8"/>
      <c r="TMM99" s="8"/>
      <c r="TMN99" s="8"/>
      <c r="TMO99" s="8"/>
      <c r="TMP99" s="8"/>
      <c r="TMQ99" s="8"/>
      <c r="TMR99" s="8"/>
      <c r="TMS99" s="8"/>
      <c r="TMT99" s="8"/>
      <c r="TMU99" s="8"/>
      <c r="TMV99" s="8"/>
      <c r="TMW99" s="8"/>
      <c r="TMX99" s="8"/>
      <c r="TMY99" s="8"/>
      <c r="TMZ99" s="8"/>
      <c r="TNA99" s="8"/>
      <c r="TNB99" s="8"/>
      <c r="TNC99" s="8"/>
      <c r="TND99" s="8"/>
      <c r="TNE99" s="8"/>
      <c r="TNF99" s="8"/>
      <c r="TNG99" s="8"/>
      <c r="TNH99" s="8"/>
      <c r="TNI99" s="8"/>
      <c r="TNJ99" s="8"/>
      <c r="TNK99" s="8"/>
      <c r="TNL99" s="8"/>
      <c r="TNM99" s="8"/>
      <c r="TNN99" s="8"/>
      <c r="TNO99" s="8"/>
      <c r="TNP99" s="8"/>
      <c r="TNQ99" s="8"/>
      <c r="TNR99" s="8"/>
      <c r="TNS99" s="8"/>
      <c r="TNT99" s="8"/>
      <c r="TNU99" s="8"/>
      <c r="TNV99" s="8"/>
      <c r="TNW99" s="8"/>
      <c r="TNX99" s="8"/>
      <c r="TNY99" s="8"/>
      <c r="TNZ99" s="8"/>
      <c r="TOA99" s="8"/>
      <c r="TOB99" s="8"/>
      <c r="TOC99" s="8"/>
      <c r="TOD99" s="8"/>
      <c r="TOE99" s="8"/>
      <c r="TOF99" s="8"/>
      <c r="TOG99" s="8"/>
      <c r="TOH99" s="8"/>
      <c r="TOI99" s="8"/>
      <c r="TOJ99" s="8"/>
      <c r="TOK99" s="8"/>
      <c r="TOL99" s="8"/>
      <c r="TOM99" s="8"/>
      <c r="TON99" s="8"/>
      <c r="TOO99" s="8"/>
      <c r="TOP99" s="8"/>
      <c r="TOQ99" s="8"/>
      <c r="TOR99" s="8"/>
      <c r="TOS99" s="8"/>
      <c r="TOT99" s="8"/>
      <c r="TOU99" s="8"/>
      <c r="TOV99" s="8"/>
      <c r="TOW99" s="8"/>
      <c r="TOX99" s="8"/>
      <c r="TOY99" s="8"/>
      <c r="TOZ99" s="8"/>
      <c r="TPA99" s="8"/>
      <c r="TPB99" s="8"/>
      <c r="TPC99" s="8"/>
      <c r="TPD99" s="8"/>
      <c r="TPE99" s="8"/>
      <c r="TPF99" s="8"/>
      <c r="TPG99" s="8"/>
      <c r="TPH99" s="8"/>
      <c r="TPI99" s="8"/>
      <c r="TPJ99" s="8"/>
      <c r="TPK99" s="8"/>
      <c r="TPL99" s="8"/>
      <c r="TPM99" s="8"/>
      <c r="TPN99" s="8"/>
      <c r="TPO99" s="8"/>
      <c r="TPP99" s="8"/>
      <c r="TPQ99" s="8"/>
      <c r="TPR99" s="8"/>
      <c r="TPS99" s="8"/>
      <c r="TPT99" s="8"/>
      <c r="TPU99" s="8"/>
      <c r="TPV99" s="8"/>
      <c r="TPW99" s="8"/>
      <c r="TPX99" s="8"/>
      <c r="TPY99" s="8"/>
      <c r="TPZ99" s="8"/>
      <c r="TQA99" s="8"/>
      <c r="TQB99" s="8"/>
      <c r="TQC99" s="8"/>
      <c r="TQD99" s="8"/>
      <c r="TQE99" s="8"/>
      <c r="TQF99" s="8"/>
      <c r="TQG99" s="8"/>
      <c r="TQH99" s="8"/>
      <c r="TQI99" s="8"/>
      <c r="TQJ99" s="8"/>
      <c r="TQK99" s="8"/>
      <c r="TQL99" s="8"/>
      <c r="TQM99" s="8"/>
      <c r="TQN99" s="8"/>
      <c r="TQO99" s="8"/>
      <c r="TQP99" s="8"/>
      <c r="TQQ99" s="8"/>
      <c r="TQR99" s="8"/>
      <c r="TQS99" s="8"/>
      <c r="TQT99" s="8"/>
      <c r="TQU99" s="8"/>
      <c r="TQV99" s="8"/>
      <c r="TQW99" s="8"/>
      <c r="TQX99" s="8"/>
      <c r="TQY99" s="8"/>
      <c r="TQZ99" s="8"/>
      <c r="TRA99" s="8"/>
      <c r="TRB99" s="8"/>
      <c r="TRC99" s="8"/>
      <c r="TRD99" s="8"/>
      <c r="TRE99" s="8"/>
      <c r="TRF99" s="8"/>
      <c r="TRG99" s="8"/>
      <c r="TRH99" s="8"/>
      <c r="TRI99" s="8"/>
      <c r="TRJ99" s="8"/>
      <c r="TRK99" s="8"/>
      <c r="TRL99" s="8"/>
      <c r="TRM99" s="8"/>
      <c r="TRN99" s="8"/>
      <c r="TRO99" s="8"/>
      <c r="TRP99" s="8"/>
      <c r="TRQ99" s="8"/>
      <c r="TRR99" s="8"/>
      <c r="TRS99" s="8"/>
      <c r="TRT99" s="8"/>
      <c r="TRU99" s="8"/>
      <c r="TRV99" s="8"/>
      <c r="TRW99" s="8"/>
      <c r="TRX99" s="8"/>
      <c r="TRY99" s="8"/>
      <c r="TRZ99" s="8"/>
      <c r="TSA99" s="8"/>
      <c r="TSB99" s="8"/>
      <c r="TSC99" s="8"/>
      <c r="TSD99" s="8"/>
      <c r="TSE99" s="8"/>
      <c r="TSF99" s="8"/>
      <c r="TSG99" s="8"/>
      <c r="TSH99" s="8"/>
      <c r="TSI99" s="8"/>
      <c r="TSJ99" s="8"/>
      <c r="TSK99" s="8"/>
      <c r="TSL99" s="8"/>
      <c r="TSM99" s="8"/>
      <c r="TSN99" s="8"/>
      <c r="TSO99" s="8"/>
      <c r="TSP99" s="8"/>
      <c r="TSQ99" s="8"/>
      <c r="TSR99" s="8"/>
      <c r="TSS99" s="8"/>
      <c r="TST99" s="8"/>
      <c r="TSU99" s="8"/>
      <c r="TSV99" s="8"/>
      <c r="TSW99" s="8"/>
      <c r="TSX99" s="8"/>
      <c r="TSY99" s="8"/>
      <c r="TSZ99" s="8"/>
      <c r="TTA99" s="8"/>
      <c r="TTB99" s="8"/>
      <c r="TTC99" s="8"/>
      <c r="TTD99" s="8"/>
      <c r="TTE99" s="8"/>
      <c r="TTF99" s="8"/>
      <c r="TTG99" s="8"/>
      <c r="TTH99" s="8"/>
      <c r="TTI99" s="8"/>
      <c r="TTJ99" s="8"/>
      <c r="TTK99" s="8"/>
      <c r="TTL99" s="8"/>
      <c r="TTM99" s="8"/>
      <c r="TTN99" s="8"/>
      <c r="TTO99" s="8"/>
      <c r="TTP99" s="8"/>
      <c r="TTQ99" s="8"/>
      <c r="TTR99" s="8"/>
      <c r="TTS99" s="8"/>
      <c r="TTT99" s="8"/>
      <c r="TTU99" s="8"/>
      <c r="TTV99" s="8"/>
      <c r="TTW99" s="8"/>
      <c r="TTX99" s="8"/>
      <c r="TTY99" s="8"/>
      <c r="TTZ99" s="8"/>
      <c r="TUA99" s="8"/>
      <c r="TUB99" s="8"/>
      <c r="TUC99" s="8"/>
      <c r="TUD99" s="8"/>
      <c r="TUE99" s="8"/>
      <c r="TUF99" s="8"/>
      <c r="TUG99" s="8"/>
      <c r="TUH99" s="8"/>
      <c r="TUI99" s="8"/>
      <c r="TUJ99" s="8"/>
      <c r="TUK99" s="8"/>
      <c r="TUL99" s="8"/>
      <c r="TUM99" s="8"/>
      <c r="TUN99" s="8"/>
      <c r="TUO99" s="8"/>
      <c r="TUP99" s="8"/>
      <c r="TUQ99" s="8"/>
      <c r="TUR99" s="8"/>
      <c r="TUS99" s="8"/>
      <c r="TUT99" s="8"/>
      <c r="TUU99" s="8"/>
      <c r="TUV99" s="8"/>
      <c r="TUW99" s="8"/>
      <c r="TUX99" s="8"/>
      <c r="TUY99" s="8"/>
      <c r="TUZ99" s="8"/>
      <c r="TVA99" s="8"/>
      <c r="TVB99" s="8"/>
      <c r="TVC99" s="8"/>
      <c r="TVD99" s="8"/>
      <c r="TVE99" s="8"/>
      <c r="TVF99" s="8"/>
      <c r="TVG99" s="8"/>
      <c r="TVH99" s="8"/>
      <c r="TVI99" s="8"/>
      <c r="TVJ99" s="8"/>
      <c r="TVK99" s="8"/>
      <c r="TVL99" s="8"/>
      <c r="TVM99" s="8"/>
      <c r="TVN99" s="8"/>
      <c r="TVO99" s="8"/>
      <c r="TVP99" s="8"/>
      <c r="TVQ99" s="8"/>
      <c r="TVR99" s="8"/>
      <c r="TVS99" s="8"/>
      <c r="TVT99" s="8"/>
      <c r="TVU99" s="8"/>
      <c r="TVV99" s="8"/>
      <c r="TVW99" s="8"/>
      <c r="TVX99" s="8"/>
      <c r="TVY99" s="8"/>
      <c r="TVZ99" s="8"/>
      <c r="TWA99" s="8"/>
      <c r="TWB99" s="8"/>
      <c r="TWC99" s="8"/>
      <c r="TWD99" s="8"/>
      <c r="TWE99" s="8"/>
      <c r="TWF99" s="8"/>
      <c r="TWG99" s="8"/>
      <c r="TWH99" s="8"/>
      <c r="TWI99" s="8"/>
      <c r="TWJ99" s="8"/>
      <c r="TWK99" s="8"/>
      <c r="TWL99" s="8"/>
      <c r="TWM99" s="8"/>
      <c r="TWN99" s="8"/>
      <c r="TWO99" s="8"/>
      <c r="TWP99" s="8"/>
      <c r="TWQ99" s="8"/>
      <c r="TWR99" s="8"/>
      <c r="TWS99" s="8"/>
      <c r="TWT99" s="8"/>
      <c r="TWU99" s="8"/>
      <c r="TWV99" s="8"/>
      <c r="TWW99" s="8"/>
      <c r="TWX99" s="8"/>
      <c r="TWY99" s="8"/>
      <c r="TWZ99" s="8"/>
      <c r="TXA99" s="8"/>
      <c r="TXB99" s="8"/>
      <c r="TXC99" s="8"/>
      <c r="TXD99" s="8"/>
      <c r="TXE99" s="8"/>
      <c r="TXF99" s="8"/>
      <c r="TXG99" s="8"/>
      <c r="TXH99" s="8"/>
      <c r="TXI99" s="8"/>
      <c r="TXJ99" s="8"/>
      <c r="TXK99" s="8"/>
      <c r="TXL99" s="8"/>
      <c r="TXM99" s="8"/>
      <c r="TXN99" s="8"/>
      <c r="TXO99" s="8"/>
      <c r="TXP99" s="8"/>
      <c r="TXQ99" s="8"/>
      <c r="TXR99" s="8"/>
      <c r="TXS99" s="8"/>
      <c r="TXT99" s="8"/>
      <c r="TXU99" s="8"/>
      <c r="TXV99" s="8"/>
      <c r="TXW99" s="8"/>
      <c r="TXX99" s="8"/>
      <c r="TXY99" s="8"/>
      <c r="TXZ99" s="8"/>
      <c r="TYA99" s="8"/>
      <c r="TYB99" s="8"/>
      <c r="TYC99" s="8"/>
      <c r="TYD99" s="8"/>
      <c r="TYE99" s="8"/>
      <c r="TYF99" s="8"/>
      <c r="TYG99" s="8"/>
      <c r="TYH99" s="8"/>
      <c r="TYI99" s="8"/>
      <c r="TYJ99" s="8"/>
      <c r="TYK99" s="8"/>
      <c r="TYL99" s="8"/>
      <c r="TYM99" s="8"/>
      <c r="TYN99" s="8"/>
      <c r="TYO99" s="8"/>
      <c r="TYP99" s="8"/>
      <c r="TYQ99" s="8"/>
      <c r="TYR99" s="8"/>
      <c r="TYS99" s="8"/>
      <c r="TYT99" s="8"/>
      <c r="TYU99" s="8"/>
      <c r="TYV99" s="8"/>
      <c r="TYW99" s="8"/>
      <c r="TYX99" s="8"/>
      <c r="TYY99" s="8"/>
      <c r="TYZ99" s="8"/>
      <c r="TZA99" s="8"/>
      <c r="TZB99" s="8"/>
      <c r="TZC99" s="8"/>
      <c r="TZD99" s="8"/>
      <c r="TZE99" s="8"/>
      <c r="TZF99" s="8"/>
      <c r="TZG99" s="8"/>
      <c r="TZH99" s="8"/>
      <c r="TZI99" s="8"/>
      <c r="TZJ99" s="8"/>
      <c r="TZK99" s="8"/>
      <c r="TZL99" s="8"/>
      <c r="TZM99" s="8"/>
      <c r="TZN99" s="8"/>
      <c r="TZO99" s="8"/>
      <c r="TZP99" s="8"/>
      <c r="TZQ99" s="8"/>
      <c r="TZR99" s="8"/>
      <c r="TZS99" s="8"/>
      <c r="TZT99" s="8"/>
      <c r="TZU99" s="8"/>
      <c r="TZV99" s="8"/>
      <c r="TZW99" s="8"/>
      <c r="TZX99" s="8"/>
      <c r="TZY99" s="8"/>
      <c r="TZZ99" s="8"/>
      <c r="UAA99" s="8"/>
      <c r="UAB99" s="8"/>
      <c r="UAC99" s="8"/>
      <c r="UAD99" s="8"/>
      <c r="UAE99" s="8"/>
      <c r="UAF99" s="8"/>
      <c r="UAG99" s="8"/>
      <c r="UAH99" s="8"/>
      <c r="UAI99" s="8"/>
      <c r="UAJ99" s="8"/>
      <c r="UAK99" s="8"/>
      <c r="UAL99" s="8"/>
      <c r="UAM99" s="8"/>
      <c r="UAN99" s="8"/>
      <c r="UAO99" s="8"/>
      <c r="UAP99" s="8"/>
      <c r="UAQ99" s="8"/>
      <c r="UAR99" s="8"/>
      <c r="UAS99" s="8"/>
      <c r="UAT99" s="8"/>
      <c r="UAU99" s="8"/>
      <c r="UAV99" s="8"/>
      <c r="UAW99" s="8"/>
      <c r="UAX99" s="8"/>
      <c r="UAY99" s="8"/>
      <c r="UAZ99" s="8"/>
      <c r="UBA99" s="8"/>
      <c r="UBB99" s="8"/>
      <c r="UBC99" s="8"/>
      <c r="UBD99" s="8"/>
      <c r="UBE99" s="8"/>
      <c r="UBF99" s="8"/>
      <c r="UBG99" s="8"/>
      <c r="UBH99" s="8"/>
      <c r="UBI99" s="8"/>
      <c r="UBJ99" s="8"/>
      <c r="UBK99" s="8"/>
      <c r="UBL99" s="8"/>
      <c r="UBM99" s="8"/>
      <c r="UBN99" s="8"/>
      <c r="UBO99" s="8"/>
      <c r="UBP99" s="8"/>
      <c r="UBQ99" s="8"/>
      <c r="UBR99" s="8"/>
      <c r="UBS99" s="8"/>
      <c r="UBT99" s="8"/>
      <c r="UBU99" s="8"/>
      <c r="UBV99" s="8"/>
      <c r="UBW99" s="8"/>
      <c r="UBX99" s="8"/>
      <c r="UBY99" s="8"/>
      <c r="UBZ99" s="8"/>
      <c r="UCA99" s="8"/>
      <c r="UCB99" s="8"/>
      <c r="UCC99" s="8"/>
      <c r="UCD99" s="8"/>
      <c r="UCE99" s="8"/>
      <c r="UCF99" s="8"/>
      <c r="UCG99" s="8"/>
      <c r="UCH99" s="8"/>
      <c r="UCI99" s="8"/>
      <c r="UCJ99" s="8"/>
      <c r="UCK99" s="8"/>
      <c r="UCL99" s="8"/>
      <c r="UCM99" s="8"/>
      <c r="UCN99" s="8"/>
      <c r="UCO99" s="8"/>
      <c r="UCP99" s="8"/>
      <c r="UCQ99" s="8"/>
      <c r="UCR99" s="8"/>
      <c r="UCS99" s="8"/>
      <c r="UCT99" s="8"/>
      <c r="UCU99" s="8"/>
      <c r="UCV99" s="8"/>
      <c r="UCW99" s="8"/>
      <c r="UCX99" s="8"/>
      <c r="UCY99" s="8"/>
      <c r="UCZ99" s="8"/>
      <c r="UDA99" s="8"/>
      <c r="UDB99" s="8"/>
      <c r="UDC99" s="8"/>
      <c r="UDD99" s="8"/>
      <c r="UDE99" s="8"/>
      <c r="UDF99" s="8"/>
      <c r="UDG99" s="8"/>
      <c r="UDH99" s="8"/>
      <c r="UDI99" s="8"/>
      <c r="UDJ99" s="8"/>
      <c r="UDK99" s="8"/>
      <c r="UDL99" s="8"/>
      <c r="UDM99" s="8"/>
      <c r="UDN99" s="8"/>
      <c r="UDO99" s="8"/>
      <c r="UDP99" s="8"/>
      <c r="UDQ99" s="8"/>
      <c r="UDR99" s="8"/>
      <c r="UDS99" s="8"/>
      <c r="UDT99" s="8"/>
      <c r="UDU99" s="8"/>
      <c r="UDV99" s="8"/>
      <c r="UDW99" s="8"/>
      <c r="UDX99" s="8"/>
      <c r="UDY99" s="8"/>
      <c r="UDZ99" s="8"/>
      <c r="UEA99" s="8"/>
      <c r="UEB99" s="8"/>
      <c r="UEC99" s="8"/>
      <c r="UED99" s="8"/>
      <c r="UEE99" s="8"/>
      <c r="UEF99" s="8"/>
      <c r="UEG99" s="8"/>
      <c r="UEH99" s="8"/>
      <c r="UEI99" s="8"/>
      <c r="UEJ99" s="8"/>
      <c r="UEK99" s="8"/>
      <c r="UEL99" s="8"/>
      <c r="UEM99" s="8"/>
      <c r="UEN99" s="8"/>
      <c r="UEO99" s="8"/>
      <c r="UEP99" s="8"/>
      <c r="UEQ99" s="8"/>
      <c r="UER99" s="8"/>
      <c r="UES99" s="8"/>
      <c r="UET99" s="8"/>
      <c r="UEU99" s="8"/>
      <c r="UEV99" s="8"/>
      <c r="UEW99" s="8"/>
      <c r="UEX99" s="8"/>
      <c r="UEY99" s="8"/>
      <c r="UEZ99" s="8"/>
      <c r="UFA99" s="8"/>
      <c r="UFB99" s="8"/>
      <c r="UFC99" s="8"/>
      <c r="UFD99" s="8"/>
      <c r="UFE99" s="8"/>
      <c r="UFF99" s="8"/>
      <c r="UFG99" s="8"/>
      <c r="UFH99" s="8"/>
      <c r="UFI99" s="8"/>
      <c r="UFJ99" s="8"/>
      <c r="UFK99" s="8"/>
      <c r="UFL99" s="8"/>
      <c r="UFM99" s="8"/>
      <c r="UFN99" s="8"/>
      <c r="UFO99" s="8"/>
      <c r="UFP99" s="8"/>
      <c r="UFQ99" s="8"/>
      <c r="UFR99" s="8"/>
      <c r="UFS99" s="8"/>
      <c r="UFT99" s="8"/>
      <c r="UFU99" s="8"/>
      <c r="UFV99" s="8"/>
      <c r="UFW99" s="8"/>
      <c r="UFX99" s="8"/>
      <c r="UFY99" s="8"/>
      <c r="UFZ99" s="8"/>
      <c r="UGA99" s="8"/>
      <c r="UGB99" s="8"/>
      <c r="UGC99" s="8"/>
      <c r="UGD99" s="8"/>
      <c r="UGE99" s="8"/>
      <c r="UGF99" s="8"/>
      <c r="UGG99" s="8"/>
      <c r="UGH99" s="8"/>
      <c r="UGI99" s="8"/>
      <c r="UGJ99" s="8"/>
      <c r="UGK99" s="8"/>
      <c r="UGL99" s="8"/>
      <c r="UGM99" s="8"/>
      <c r="UGN99" s="8"/>
      <c r="UGO99" s="8"/>
      <c r="UGP99" s="8"/>
      <c r="UGQ99" s="8"/>
      <c r="UGR99" s="8"/>
      <c r="UGS99" s="8"/>
      <c r="UGT99" s="8"/>
      <c r="UGU99" s="8"/>
      <c r="UGV99" s="8"/>
      <c r="UGW99" s="8"/>
      <c r="UGX99" s="8"/>
      <c r="UGY99" s="8"/>
      <c r="UGZ99" s="8"/>
      <c r="UHA99" s="8"/>
      <c r="UHB99" s="8"/>
      <c r="UHC99" s="8"/>
      <c r="UHD99" s="8"/>
      <c r="UHE99" s="8"/>
      <c r="UHF99" s="8"/>
      <c r="UHG99" s="8"/>
      <c r="UHH99" s="8"/>
      <c r="UHI99" s="8"/>
      <c r="UHJ99" s="8"/>
      <c r="UHK99" s="8"/>
      <c r="UHL99" s="8"/>
      <c r="UHM99" s="8"/>
      <c r="UHN99" s="8"/>
      <c r="UHO99" s="8"/>
      <c r="UHP99" s="8"/>
      <c r="UHQ99" s="8"/>
      <c r="UHR99" s="8"/>
      <c r="UHS99" s="8"/>
      <c r="UHT99" s="8"/>
      <c r="UHU99" s="8"/>
      <c r="UHV99" s="8"/>
      <c r="UHW99" s="8"/>
      <c r="UHX99" s="8"/>
      <c r="UHY99" s="8"/>
      <c r="UHZ99" s="8"/>
      <c r="UIA99" s="8"/>
      <c r="UIB99" s="8"/>
      <c r="UIC99" s="8"/>
      <c r="UID99" s="8"/>
      <c r="UIE99" s="8"/>
      <c r="UIF99" s="8"/>
      <c r="UIG99" s="8"/>
      <c r="UIH99" s="8"/>
      <c r="UII99" s="8"/>
      <c r="UIJ99" s="8"/>
      <c r="UIK99" s="8"/>
      <c r="UIL99" s="8"/>
      <c r="UIM99" s="8"/>
      <c r="UIN99" s="8"/>
      <c r="UIO99" s="8"/>
      <c r="UIP99" s="8"/>
      <c r="UIQ99" s="8"/>
      <c r="UIR99" s="8"/>
      <c r="UIS99" s="8"/>
      <c r="UIT99" s="8"/>
      <c r="UIU99" s="8"/>
      <c r="UIV99" s="8"/>
      <c r="UIW99" s="8"/>
      <c r="UIX99" s="8"/>
      <c r="UIY99" s="8"/>
      <c r="UIZ99" s="8"/>
      <c r="UJA99" s="8"/>
      <c r="UJB99" s="8"/>
      <c r="UJC99" s="8"/>
      <c r="UJD99" s="8"/>
      <c r="UJE99" s="8"/>
      <c r="UJF99" s="8"/>
      <c r="UJG99" s="8"/>
      <c r="UJH99" s="8"/>
      <c r="UJI99" s="8"/>
      <c r="UJJ99" s="8"/>
      <c r="UJK99" s="8"/>
      <c r="UJL99" s="8"/>
      <c r="UJM99" s="8"/>
      <c r="UJN99" s="8"/>
      <c r="UJO99" s="8"/>
      <c r="UJP99" s="8"/>
      <c r="UJQ99" s="8"/>
      <c r="UJR99" s="8"/>
      <c r="UJS99" s="8"/>
      <c r="UJT99" s="8"/>
      <c r="UJU99" s="8"/>
      <c r="UJV99" s="8"/>
      <c r="UJW99" s="8"/>
      <c r="UJX99" s="8"/>
      <c r="UJY99" s="8"/>
      <c r="UJZ99" s="8"/>
      <c r="UKA99" s="8"/>
      <c r="UKB99" s="8"/>
      <c r="UKC99" s="8"/>
      <c r="UKD99" s="8"/>
      <c r="UKE99" s="8"/>
      <c r="UKF99" s="8"/>
      <c r="UKG99" s="8"/>
      <c r="UKH99" s="8"/>
      <c r="UKI99" s="8"/>
      <c r="UKJ99" s="8"/>
      <c r="UKK99" s="8"/>
      <c r="UKL99" s="8"/>
      <c r="UKM99" s="8"/>
      <c r="UKN99" s="8"/>
      <c r="UKO99" s="8"/>
      <c r="UKP99" s="8"/>
      <c r="UKQ99" s="8"/>
      <c r="UKR99" s="8"/>
      <c r="UKS99" s="8"/>
      <c r="UKT99" s="8"/>
      <c r="UKU99" s="8"/>
      <c r="UKV99" s="8"/>
      <c r="UKW99" s="8"/>
      <c r="UKX99" s="8"/>
      <c r="UKY99" s="8"/>
      <c r="UKZ99" s="8"/>
      <c r="ULA99" s="8"/>
      <c r="ULB99" s="8"/>
      <c r="ULC99" s="8"/>
      <c r="ULD99" s="8"/>
      <c r="ULE99" s="8"/>
      <c r="ULF99" s="8"/>
      <c r="ULG99" s="8"/>
      <c r="ULH99" s="8"/>
      <c r="ULI99" s="8"/>
      <c r="ULJ99" s="8"/>
      <c r="ULK99" s="8"/>
      <c r="ULL99" s="8"/>
      <c r="ULM99" s="8"/>
      <c r="ULN99" s="8"/>
      <c r="ULO99" s="8"/>
      <c r="ULP99" s="8"/>
      <c r="ULQ99" s="8"/>
      <c r="ULR99" s="8"/>
      <c r="ULS99" s="8"/>
      <c r="ULT99" s="8"/>
      <c r="ULU99" s="8"/>
      <c r="ULV99" s="8"/>
      <c r="ULW99" s="8"/>
      <c r="ULX99" s="8"/>
      <c r="ULY99" s="8"/>
      <c r="ULZ99" s="8"/>
      <c r="UMA99" s="8"/>
      <c r="UMB99" s="8"/>
      <c r="UMC99" s="8"/>
      <c r="UMD99" s="8"/>
      <c r="UME99" s="8"/>
      <c r="UMF99" s="8"/>
      <c r="UMG99" s="8"/>
      <c r="UMH99" s="8"/>
      <c r="UMI99" s="8"/>
      <c r="UMJ99" s="8"/>
      <c r="UMK99" s="8"/>
      <c r="UML99" s="8"/>
      <c r="UMM99" s="8"/>
      <c r="UMN99" s="8"/>
      <c r="UMO99" s="8"/>
      <c r="UMP99" s="8"/>
      <c r="UMQ99" s="8"/>
      <c r="UMR99" s="8"/>
      <c r="UMS99" s="8"/>
      <c r="UMT99" s="8"/>
      <c r="UMU99" s="8"/>
      <c r="UMV99" s="8"/>
      <c r="UMW99" s="8"/>
      <c r="UMX99" s="8"/>
      <c r="UMY99" s="8"/>
      <c r="UMZ99" s="8"/>
      <c r="UNA99" s="8"/>
      <c r="UNB99" s="8"/>
      <c r="UNC99" s="8"/>
      <c r="UND99" s="8"/>
      <c r="UNE99" s="8"/>
      <c r="UNF99" s="8"/>
      <c r="UNG99" s="8"/>
      <c r="UNH99" s="8"/>
      <c r="UNI99" s="8"/>
      <c r="UNJ99" s="8"/>
      <c r="UNK99" s="8"/>
      <c r="UNL99" s="8"/>
      <c r="UNM99" s="8"/>
      <c r="UNN99" s="8"/>
      <c r="UNO99" s="8"/>
      <c r="UNP99" s="8"/>
      <c r="UNQ99" s="8"/>
      <c r="UNR99" s="8"/>
      <c r="UNS99" s="8"/>
      <c r="UNT99" s="8"/>
      <c r="UNU99" s="8"/>
      <c r="UNV99" s="8"/>
      <c r="UNW99" s="8"/>
      <c r="UNX99" s="8"/>
      <c r="UNY99" s="8"/>
      <c r="UNZ99" s="8"/>
      <c r="UOA99" s="8"/>
      <c r="UOB99" s="8"/>
      <c r="UOC99" s="8"/>
      <c r="UOD99" s="8"/>
      <c r="UOE99" s="8"/>
      <c r="UOF99" s="8"/>
      <c r="UOG99" s="8"/>
      <c r="UOH99" s="8"/>
      <c r="UOI99" s="8"/>
      <c r="UOJ99" s="8"/>
      <c r="UOK99" s="8"/>
      <c r="UOL99" s="8"/>
      <c r="UOM99" s="8"/>
      <c r="UON99" s="8"/>
      <c r="UOO99" s="8"/>
      <c r="UOP99" s="8"/>
      <c r="UOQ99" s="8"/>
      <c r="UOR99" s="8"/>
      <c r="UOS99" s="8"/>
      <c r="UOT99" s="8"/>
      <c r="UOU99" s="8"/>
      <c r="UOV99" s="8"/>
      <c r="UOW99" s="8"/>
      <c r="UOX99" s="8"/>
      <c r="UOY99" s="8"/>
      <c r="UOZ99" s="8"/>
      <c r="UPA99" s="8"/>
      <c r="UPB99" s="8"/>
      <c r="UPC99" s="8"/>
      <c r="UPD99" s="8"/>
      <c r="UPE99" s="8"/>
      <c r="UPF99" s="8"/>
      <c r="UPG99" s="8"/>
      <c r="UPH99" s="8"/>
      <c r="UPI99" s="8"/>
      <c r="UPJ99" s="8"/>
      <c r="UPK99" s="8"/>
      <c r="UPL99" s="8"/>
      <c r="UPM99" s="8"/>
      <c r="UPN99" s="8"/>
      <c r="UPO99" s="8"/>
      <c r="UPP99" s="8"/>
      <c r="UPQ99" s="8"/>
      <c r="UPR99" s="8"/>
      <c r="UPS99" s="8"/>
      <c r="UPT99" s="8"/>
      <c r="UPU99" s="8"/>
      <c r="UPV99" s="8"/>
      <c r="UPW99" s="8"/>
      <c r="UPX99" s="8"/>
      <c r="UPY99" s="8"/>
      <c r="UPZ99" s="8"/>
      <c r="UQA99" s="8"/>
      <c r="UQB99" s="8"/>
      <c r="UQC99" s="8"/>
      <c r="UQD99" s="8"/>
      <c r="UQE99" s="8"/>
      <c r="UQF99" s="8"/>
      <c r="UQG99" s="8"/>
      <c r="UQH99" s="8"/>
      <c r="UQI99" s="8"/>
      <c r="UQJ99" s="8"/>
      <c r="UQK99" s="8"/>
      <c r="UQL99" s="8"/>
      <c r="UQM99" s="8"/>
      <c r="UQN99" s="8"/>
      <c r="UQO99" s="8"/>
      <c r="UQP99" s="8"/>
      <c r="UQQ99" s="8"/>
      <c r="UQR99" s="8"/>
      <c r="UQS99" s="8"/>
      <c r="UQT99" s="8"/>
      <c r="UQU99" s="8"/>
      <c r="UQV99" s="8"/>
      <c r="UQW99" s="8"/>
      <c r="UQX99" s="8"/>
      <c r="UQY99" s="8"/>
      <c r="UQZ99" s="8"/>
      <c r="URA99" s="8"/>
      <c r="URB99" s="8"/>
      <c r="URC99" s="8"/>
      <c r="URD99" s="8"/>
      <c r="URE99" s="8"/>
      <c r="URF99" s="8"/>
      <c r="URG99" s="8"/>
      <c r="URH99" s="8"/>
      <c r="URI99" s="8"/>
      <c r="URJ99" s="8"/>
      <c r="URK99" s="8"/>
      <c r="URL99" s="8"/>
      <c r="URM99" s="8"/>
      <c r="URN99" s="8"/>
      <c r="URO99" s="8"/>
      <c r="URP99" s="8"/>
      <c r="URQ99" s="8"/>
      <c r="URR99" s="8"/>
      <c r="URS99" s="8"/>
      <c r="URT99" s="8"/>
      <c r="URU99" s="8"/>
      <c r="URV99" s="8"/>
      <c r="URW99" s="8"/>
      <c r="URX99" s="8"/>
      <c r="URY99" s="8"/>
      <c r="URZ99" s="8"/>
      <c r="USA99" s="8"/>
      <c r="USB99" s="8"/>
      <c r="USC99" s="8"/>
      <c r="USD99" s="8"/>
      <c r="USE99" s="8"/>
      <c r="USF99" s="8"/>
      <c r="USG99" s="8"/>
      <c r="USH99" s="8"/>
      <c r="USI99" s="8"/>
      <c r="USJ99" s="8"/>
      <c r="USK99" s="8"/>
      <c r="USL99" s="8"/>
      <c r="USM99" s="8"/>
      <c r="USN99" s="8"/>
      <c r="USO99" s="8"/>
      <c r="USP99" s="8"/>
      <c r="USQ99" s="8"/>
      <c r="USR99" s="8"/>
      <c r="USS99" s="8"/>
      <c r="UST99" s="8"/>
      <c r="USU99" s="8"/>
      <c r="USV99" s="8"/>
      <c r="USW99" s="8"/>
      <c r="USX99" s="8"/>
      <c r="USY99" s="8"/>
      <c r="USZ99" s="8"/>
      <c r="UTA99" s="8"/>
      <c r="UTB99" s="8"/>
      <c r="UTC99" s="8"/>
      <c r="UTD99" s="8"/>
      <c r="UTE99" s="8"/>
      <c r="UTF99" s="8"/>
      <c r="UTG99" s="8"/>
      <c r="UTH99" s="8"/>
      <c r="UTI99" s="8"/>
      <c r="UTJ99" s="8"/>
      <c r="UTK99" s="8"/>
      <c r="UTL99" s="8"/>
      <c r="UTM99" s="8"/>
      <c r="UTN99" s="8"/>
      <c r="UTO99" s="8"/>
      <c r="UTP99" s="8"/>
      <c r="UTQ99" s="8"/>
      <c r="UTR99" s="8"/>
      <c r="UTS99" s="8"/>
      <c r="UTT99" s="8"/>
      <c r="UTU99" s="8"/>
      <c r="UTV99" s="8"/>
      <c r="UTW99" s="8"/>
      <c r="UTX99" s="8"/>
      <c r="UTY99" s="8"/>
      <c r="UTZ99" s="8"/>
      <c r="UUA99" s="8"/>
      <c r="UUB99" s="8"/>
      <c r="UUC99" s="8"/>
      <c r="UUD99" s="8"/>
      <c r="UUE99" s="8"/>
      <c r="UUF99" s="8"/>
      <c r="UUG99" s="8"/>
      <c r="UUH99" s="8"/>
      <c r="UUI99" s="8"/>
      <c r="UUJ99" s="8"/>
      <c r="UUK99" s="8"/>
      <c r="UUL99" s="8"/>
      <c r="UUM99" s="8"/>
      <c r="UUN99" s="8"/>
      <c r="UUO99" s="8"/>
      <c r="UUP99" s="8"/>
      <c r="UUQ99" s="8"/>
      <c r="UUR99" s="8"/>
      <c r="UUS99" s="8"/>
      <c r="UUT99" s="8"/>
      <c r="UUU99" s="8"/>
      <c r="UUV99" s="8"/>
      <c r="UUW99" s="8"/>
      <c r="UUX99" s="8"/>
      <c r="UUY99" s="8"/>
      <c r="UUZ99" s="8"/>
      <c r="UVA99" s="8"/>
      <c r="UVB99" s="8"/>
      <c r="UVC99" s="8"/>
      <c r="UVD99" s="8"/>
      <c r="UVE99" s="8"/>
      <c r="UVF99" s="8"/>
      <c r="UVG99" s="8"/>
      <c r="UVH99" s="8"/>
      <c r="UVI99" s="8"/>
      <c r="UVJ99" s="8"/>
      <c r="UVK99" s="8"/>
      <c r="UVL99" s="8"/>
      <c r="UVM99" s="8"/>
      <c r="UVN99" s="8"/>
      <c r="UVO99" s="8"/>
      <c r="UVP99" s="8"/>
      <c r="UVQ99" s="8"/>
      <c r="UVR99" s="8"/>
      <c r="UVS99" s="8"/>
      <c r="UVT99" s="8"/>
      <c r="UVU99" s="8"/>
      <c r="UVV99" s="8"/>
      <c r="UVW99" s="8"/>
      <c r="UVX99" s="8"/>
      <c r="UVY99" s="8"/>
      <c r="UVZ99" s="8"/>
      <c r="UWA99" s="8"/>
      <c r="UWB99" s="8"/>
      <c r="UWC99" s="8"/>
      <c r="UWD99" s="8"/>
      <c r="UWE99" s="8"/>
      <c r="UWF99" s="8"/>
      <c r="UWG99" s="8"/>
      <c r="UWH99" s="8"/>
      <c r="UWI99" s="8"/>
      <c r="UWJ99" s="8"/>
      <c r="UWK99" s="8"/>
      <c r="UWL99" s="8"/>
      <c r="UWM99" s="8"/>
      <c r="UWN99" s="8"/>
      <c r="UWO99" s="8"/>
      <c r="UWP99" s="8"/>
      <c r="UWQ99" s="8"/>
      <c r="UWR99" s="8"/>
      <c r="UWS99" s="8"/>
      <c r="UWT99" s="8"/>
      <c r="UWU99" s="8"/>
      <c r="UWV99" s="8"/>
      <c r="UWW99" s="8"/>
      <c r="UWX99" s="8"/>
      <c r="UWY99" s="8"/>
      <c r="UWZ99" s="8"/>
      <c r="UXA99" s="8"/>
      <c r="UXB99" s="8"/>
      <c r="UXC99" s="8"/>
      <c r="UXD99" s="8"/>
      <c r="UXE99" s="8"/>
      <c r="UXF99" s="8"/>
      <c r="UXG99" s="8"/>
      <c r="UXH99" s="8"/>
      <c r="UXI99" s="8"/>
      <c r="UXJ99" s="8"/>
      <c r="UXK99" s="8"/>
      <c r="UXL99" s="8"/>
      <c r="UXM99" s="8"/>
      <c r="UXN99" s="8"/>
      <c r="UXO99" s="8"/>
      <c r="UXP99" s="8"/>
      <c r="UXQ99" s="8"/>
      <c r="UXR99" s="8"/>
      <c r="UXS99" s="8"/>
      <c r="UXT99" s="8"/>
      <c r="UXU99" s="8"/>
      <c r="UXV99" s="8"/>
      <c r="UXW99" s="8"/>
      <c r="UXX99" s="8"/>
      <c r="UXY99" s="8"/>
      <c r="UXZ99" s="8"/>
      <c r="UYA99" s="8"/>
      <c r="UYB99" s="8"/>
      <c r="UYC99" s="8"/>
      <c r="UYD99" s="8"/>
      <c r="UYE99" s="8"/>
      <c r="UYF99" s="8"/>
      <c r="UYG99" s="8"/>
      <c r="UYH99" s="8"/>
      <c r="UYI99" s="8"/>
      <c r="UYJ99" s="8"/>
      <c r="UYK99" s="8"/>
      <c r="UYL99" s="8"/>
      <c r="UYM99" s="8"/>
      <c r="UYN99" s="8"/>
      <c r="UYO99" s="8"/>
      <c r="UYP99" s="8"/>
      <c r="UYQ99" s="8"/>
      <c r="UYR99" s="8"/>
      <c r="UYS99" s="8"/>
      <c r="UYT99" s="8"/>
      <c r="UYU99" s="8"/>
      <c r="UYV99" s="8"/>
      <c r="UYW99" s="8"/>
      <c r="UYX99" s="8"/>
      <c r="UYY99" s="8"/>
      <c r="UYZ99" s="8"/>
      <c r="UZA99" s="8"/>
      <c r="UZB99" s="8"/>
      <c r="UZC99" s="8"/>
      <c r="UZD99" s="8"/>
      <c r="UZE99" s="8"/>
      <c r="UZF99" s="8"/>
      <c r="UZG99" s="8"/>
      <c r="UZH99" s="8"/>
      <c r="UZI99" s="8"/>
      <c r="UZJ99" s="8"/>
      <c r="UZK99" s="8"/>
      <c r="UZL99" s="8"/>
      <c r="UZM99" s="8"/>
      <c r="UZN99" s="8"/>
      <c r="UZO99" s="8"/>
      <c r="UZP99" s="8"/>
      <c r="UZQ99" s="8"/>
      <c r="UZR99" s="8"/>
      <c r="UZS99" s="8"/>
      <c r="UZT99" s="8"/>
      <c r="UZU99" s="8"/>
      <c r="UZV99" s="8"/>
      <c r="UZW99" s="8"/>
      <c r="UZX99" s="8"/>
      <c r="UZY99" s="8"/>
      <c r="UZZ99" s="8"/>
      <c r="VAA99" s="8"/>
      <c r="VAB99" s="8"/>
      <c r="VAC99" s="8"/>
      <c r="VAD99" s="8"/>
      <c r="VAE99" s="8"/>
      <c r="VAF99" s="8"/>
      <c r="VAG99" s="8"/>
      <c r="VAH99" s="8"/>
      <c r="VAI99" s="8"/>
      <c r="VAJ99" s="8"/>
      <c r="VAK99" s="8"/>
      <c r="VAL99" s="8"/>
      <c r="VAM99" s="8"/>
      <c r="VAN99" s="8"/>
      <c r="VAO99" s="8"/>
      <c r="VAP99" s="8"/>
      <c r="VAQ99" s="8"/>
      <c r="VAR99" s="8"/>
      <c r="VAS99" s="8"/>
      <c r="VAT99" s="8"/>
      <c r="VAU99" s="8"/>
      <c r="VAV99" s="8"/>
      <c r="VAW99" s="8"/>
      <c r="VAX99" s="8"/>
      <c r="VAY99" s="8"/>
      <c r="VAZ99" s="8"/>
      <c r="VBA99" s="8"/>
      <c r="VBB99" s="8"/>
      <c r="VBC99" s="8"/>
      <c r="VBD99" s="8"/>
      <c r="VBE99" s="8"/>
      <c r="VBF99" s="8"/>
      <c r="VBG99" s="8"/>
      <c r="VBH99" s="8"/>
      <c r="VBI99" s="8"/>
      <c r="VBJ99" s="8"/>
      <c r="VBK99" s="8"/>
      <c r="VBL99" s="8"/>
      <c r="VBM99" s="8"/>
      <c r="VBN99" s="8"/>
      <c r="VBO99" s="8"/>
      <c r="VBP99" s="8"/>
      <c r="VBQ99" s="8"/>
      <c r="VBR99" s="8"/>
      <c r="VBS99" s="8"/>
      <c r="VBT99" s="8"/>
      <c r="VBU99" s="8"/>
      <c r="VBV99" s="8"/>
      <c r="VBW99" s="8"/>
      <c r="VBX99" s="8"/>
      <c r="VBY99" s="8"/>
      <c r="VBZ99" s="8"/>
      <c r="VCA99" s="8"/>
      <c r="VCB99" s="8"/>
      <c r="VCC99" s="8"/>
      <c r="VCD99" s="8"/>
      <c r="VCE99" s="8"/>
      <c r="VCF99" s="8"/>
      <c r="VCG99" s="8"/>
      <c r="VCH99" s="8"/>
      <c r="VCI99" s="8"/>
      <c r="VCJ99" s="8"/>
      <c r="VCK99" s="8"/>
      <c r="VCL99" s="8"/>
      <c r="VCM99" s="8"/>
      <c r="VCN99" s="8"/>
      <c r="VCO99" s="8"/>
      <c r="VCP99" s="8"/>
      <c r="VCQ99" s="8"/>
      <c r="VCR99" s="8"/>
      <c r="VCS99" s="8"/>
      <c r="VCT99" s="8"/>
      <c r="VCU99" s="8"/>
      <c r="VCV99" s="8"/>
      <c r="VCW99" s="8"/>
      <c r="VCX99" s="8"/>
      <c r="VCY99" s="8"/>
      <c r="VCZ99" s="8"/>
      <c r="VDA99" s="8"/>
      <c r="VDB99" s="8"/>
      <c r="VDC99" s="8"/>
      <c r="VDD99" s="8"/>
      <c r="VDE99" s="8"/>
      <c r="VDF99" s="8"/>
      <c r="VDG99" s="8"/>
      <c r="VDH99" s="8"/>
      <c r="VDI99" s="8"/>
      <c r="VDJ99" s="8"/>
      <c r="VDK99" s="8"/>
      <c r="VDL99" s="8"/>
      <c r="VDM99" s="8"/>
      <c r="VDN99" s="8"/>
      <c r="VDO99" s="8"/>
      <c r="VDP99" s="8"/>
      <c r="VDQ99" s="8"/>
      <c r="VDR99" s="8"/>
      <c r="VDS99" s="8"/>
      <c r="VDT99" s="8"/>
      <c r="VDU99" s="8"/>
      <c r="VDV99" s="8"/>
      <c r="VDW99" s="8"/>
      <c r="VDX99" s="8"/>
      <c r="VDY99" s="8"/>
      <c r="VDZ99" s="8"/>
      <c r="VEA99" s="8"/>
      <c r="VEB99" s="8"/>
      <c r="VEC99" s="8"/>
      <c r="VED99" s="8"/>
      <c r="VEE99" s="8"/>
      <c r="VEF99" s="8"/>
      <c r="VEG99" s="8"/>
      <c r="VEH99" s="8"/>
      <c r="VEI99" s="8"/>
      <c r="VEJ99" s="8"/>
      <c r="VEK99" s="8"/>
      <c r="VEL99" s="8"/>
      <c r="VEM99" s="8"/>
      <c r="VEN99" s="8"/>
      <c r="VEO99" s="8"/>
      <c r="VEP99" s="8"/>
      <c r="VEQ99" s="8"/>
      <c r="VER99" s="8"/>
      <c r="VES99" s="8"/>
      <c r="VET99" s="8"/>
      <c r="VEU99" s="8"/>
      <c r="VEV99" s="8"/>
      <c r="VEW99" s="8"/>
      <c r="VEX99" s="8"/>
      <c r="VEY99" s="8"/>
      <c r="VEZ99" s="8"/>
      <c r="VFA99" s="8"/>
      <c r="VFB99" s="8"/>
      <c r="VFC99" s="8"/>
      <c r="VFD99" s="8"/>
      <c r="VFE99" s="8"/>
      <c r="VFF99" s="8"/>
      <c r="VFG99" s="8"/>
      <c r="VFH99" s="8"/>
      <c r="VFI99" s="8"/>
      <c r="VFJ99" s="8"/>
      <c r="VFK99" s="8"/>
      <c r="VFL99" s="8"/>
      <c r="VFM99" s="8"/>
      <c r="VFN99" s="8"/>
      <c r="VFO99" s="8"/>
      <c r="VFP99" s="8"/>
      <c r="VFQ99" s="8"/>
      <c r="VFR99" s="8"/>
      <c r="VFS99" s="8"/>
      <c r="VFT99" s="8"/>
      <c r="VFU99" s="8"/>
      <c r="VFV99" s="8"/>
      <c r="VFW99" s="8"/>
      <c r="VFX99" s="8"/>
      <c r="VFY99" s="8"/>
      <c r="VFZ99" s="8"/>
      <c r="VGA99" s="8"/>
      <c r="VGB99" s="8"/>
      <c r="VGC99" s="8"/>
      <c r="VGD99" s="8"/>
      <c r="VGE99" s="8"/>
      <c r="VGF99" s="8"/>
      <c r="VGG99" s="8"/>
      <c r="VGH99" s="8"/>
      <c r="VGI99" s="8"/>
      <c r="VGJ99" s="8"/>
      <c r="VGK99" s="8"/>
      <c r="VGL99" s="8"/>
      <c r="VGM99" s="8"/>
      <c r="VGN99" s="8"/>
      <c r="VGO99" s="8"/>
      <c r="VGP99" s="8"/>
      <c r="VGQ99" s="8"/>
      <c r="VGR99" s="8"/>
      <c r="VGS99" s="8"/>
      <c r="VGT99" s="8"/>
      <c r="VGU99" s="8"/>
      <c r="VGV99" s="8"/>
      <c r="VGW99" s="8"/>
      <c r="VGX99" s="8"/>
      <c r="VGY99" s="8"/>
      <c r="VGZ99" s="8"/>
      <c r="VHA99" s="8"/>
      <c r="VHB99" s="8"/>
      <c r="VHC99" s="8"/>
      <c r="VHD99" s="8"/>
      <c r="VHE99" s="8"/>
      <c r="VHF99" s="8"/>
      <c r="VHG99" s="8"/>
      <c r="VHH99" s="8"/>
      <c r="VHI99" s="8"/>
      <c r="VHJ99" s="8"/>
      <c r="VHK99" s="8"/>
      <c r="VHL99" s="8"/>
      <c r="VHM99" s="8"/>
      <c r="VHN99" s="8"/>
      <c r="VHO99" s="8"/>
      <c r="VHP99" s="8"/>
      <c r="VHQ99" s="8"/>
      <c r="VHR99" s="8"/>
      <c r="VHS99" s="8"/>
      <c r="VHT99" s="8"/>
      <c r="VHU99" s="8"/>
      <c r="VHV99" s="8"/>
      <c r="VHW99" s="8"/>
      <c r="VHX99" s="8"/>
      <c r="VHY99" s="8"/>
      <c r="VHZ99" s="8"/>
      <c r="VIA99" s="8"/>
      <c r="VIB99" s="8"/>
      <c r="VIC99" s="8"/>
      <c r="VID99" s="8"/>
      <c r="VIE99" s="8"/>
      <c r="VIF99" s="8"/>
      <c r="VIG99" s="8"/>
      <c r="VIH99" s="8"/>
      <c r="VII99" s="8"/>
      <c r="VIJ99" s="8"/>
      <c r="VIK99" s="8"/>
      <c r="VIL99" s="8"/>
      <c r="VIM99" s="8"/>
      <c r="VIN99" s="8"/>
      <c r="VIO99" s="8"/>
      <c r="VIP99" s="8"/>
      <c r="VIQ99" s="8"/>
      <c r="VIR99" s="8"/>
      <c r="VIS99" s="8"/>
      <c r="VIT99" s="8"/>
      <c r="VIU99" s="8"/>
      <c r="VIV99" s="8"/>
      <c r="VIW99" s="8"/>
      <c r="VIX99" s="8"/>
      <c r="VIY99" s="8"/>
      <c r="VIZ99" s="8"/>
      <c r="VJA99" s="8"/>
      <c r="VJB99" s="8"/>
      <c r="VJC99" s="8"/>
      <c r="VJD99" s="8"/>
      <c r="VJE99" s="8"/>
      <c r="VJF99" s="8"/>
      <c r="VJG99" s="8"/>
      <c r="VJH99" s="8"/>
      <c r="VJI99" s="8"/>
      <c r="VJJ99" s="8"/>
      <c r="VJK99" s="8"/>
      <c r="VJL99" s="8"/>
      <c r="VJM99" s="8"/>
      <c r="VJN99" s="8"/>
      <c r="VJO99" s="8"/>
      <c r="VJP99" s="8"/>
      <c r="VJQ99" s="8"/>
      <c r="VJR99" s="8"/>
      <c r="VJS99" s="8"/>
      <c r="VJT99" s="8"/>
      <c r="VJU99" s="8"/>
      <c r="VJV99" s="8"/>
      <c r="VJW99" s="8"/>
      <c r="VJX99" s="8"/>
      <c r="VJY99" s="8"/>
      <c r="VJZ99" s="8"/>
      <c r="VKA99" s="8"/>
      <c r="VKB99" s="8"/>
      <c r="VKC99" s="8"/>
      <c r="VKD99" s="8"/>
      <c r="VKE99" s="8"/>
      <c r="VKF99" s="8"/>
      <c r="VKG99" s="8"/>
      <c r="VKH99" s="8"/>
      <c r="VKI99" s="8"/>
      <c r="VKJ99" s="8"/>
      <c r="VKK99" s="8"/>
      <c r="VKL99" s="8"/>
      <c r="VKM99" s="8"/>
      <c r="VKN99" s="8"/>
      <c r="VKO99" s="8"/>
      <c r="VKP99" s="8"/>
      <c r="VKQ99" s="8"/>
      <c r="VKR99" s="8"/>
      <c r="VKS99" s="8"/>
      <c r="VKT99" s="8"/>
      <c r="VKU99" s="8"/>
      <c r="VKV99" s="8"/>
      <c r="VKW99" s="8"/>
      <c r="VKX99" s="8"/>
      <c r="VKY99" s="8"/>
      <c r="VKZ99" s="8"/>
      <c r="VLA99" s="8"/>
      <c r="VLB99" s="8"/>
      <c r="VLC99" s="8"/>
      <c r="VLD99" s="8"/>
      <c r="VLE99" s="8"/>
      <c r="VLF99" s="8"/>
      <c r="VLG99" s="8"/>
      <c r="VLH99" s="8"/>
      <c r="VLI99" s="8"/>
      <c r="VLJ99" s="8"/>
      <c r="VLK99" s="8"/>
      <c r="VLL99" s="8"/>
      <c r="VLM99" s="8"/>
      <c r="VLN99" s="8"/>
      <c r="VLO99" s="8"/>
      <c r="VLP99" s="8"/>
      <c r="VLQ99" s="8"/>
      <c r="VLR99" s="8"/>
      <c r="VLS99" s="8"/>
      <c r="VLT99" s="8"/>
      <c r="VLU99" s="8"/>
      <c r="VLV99" s="8"/>
      <c r="VLW99" s="8"/>
      <c r="VLX99" s="8"/>
      <c r="VLY99" s="8"/>
      <c r="VLZ99" s="8"/>
      <c r="VMA99" s="8"/>
      <c r="VMB99" s="8"/>
      <c r="VMC99" s="8"/>
      <c r="VMD99" s="8"/>
      <c r="VME99" s="8"/>
      <c r="VMF99" s="8"/>
      <c r="VMG99" s="8"/>
      <c r="VMH99" s="8"/>
      <c r="VMI99" s="8"/>
      <c r="VMJ99" s="8"/>
      <c r="VMK99" s="8"/>
      <c r="VML99" s="8"/>
      <c r="VMM99" s="8"/>
      <c r="VMN99" s="8"/>
      <c r="VMO99" s="8"/>
      <c r="VMP99" s="8"/>
      <c r="VMQ99" s="8"/>
      <c r="VMR99" s="8"/>
      <c r="VMS99" s="8"/>
      <c r="VMT99" s="8"/>
      <c r="VMU99" s="8"/>
      <c r="VMV99" s="8"/>
      <c r="VMW99" s="8"/>
      <c r="VMX99" s="8"/>
      <c r="VMY99" s="8"/>
      <c r="VMZ99" s="8"/>
      <c r="VNA99" s="8"/>
      <c r="VNB99" s="8"/>
      <c r="VNC99" s="8"/>
      <c r="VND99" s="8"/>
      <c r="VNE99" s="8"/>
      <c r="VNF99" s="8"/>
      <c r="VNG99" s="8"/>
      <c r="VNH99" s="8"/>
      <c r="VNI99" s="8"/>
      <c r="VNJ99" s="8"/>
      <c r="VNK99" s="8"/>
      <c r="VNL99" s="8"/>
      <c r="VNM99" s="8"/>
      <c r="VNN99" s="8"/>
      <c r="VNO99" s="8"/>
      <c r="VNP99" s="8"/>
      <c r="VNQ99" s="8"/>
      <c r="VNR99" s="8"/>
      <c r="VNS99" s="8"/>
      <c r="VNT99" s="8"/>
      <c r="VNU99" s="8"/>
      <c r="VNV99" s="8"/>
      <c r="VNW99" s="8"/>
      <c r="VNX99" s="8"/>
      <c r="VNY99" s="8"/>
      <c r="VNZ99" s="8"/>
      <c r="VOA99" s="8"/>
      <c r="VOB99" s="8"/>
      <c r="VOC99" s="8"/>
      <c r="VOD99" s="8"/>
      <c r="VOE99" s="8"/>
      <c r="VOF99" s="8"/>
      <c r="VOG99" s="8"/>
      <c r="VOH99" s="8"/>
      <c r="VOI99" s="8"/>
      <c r="VOJ99" s="8"/>
      <c r="VOK99" s="8"/>
      <c r="VOL99" s="8"/>
      <c r="VOM99" s="8"/>
      <c r="VON99" s="8"/>
      <c r="VOO99" s="8"/>
      <c r="VOP99" s="8"/>
      <c r="VOQ99" s="8"/>
      <c r="VOR99" s="8"/>
      <c r="VOS99" s="8"/>
      <c r="VOT99" s="8"/>
      <c r="VOU99" s="8"/>
      <c r="VOV99" s="8"/>
      <c r="VOW99" s="8"/>
      <c r="VOX99" s="8"/>
      <c r="VOY99" s="8"/>
      <c r="VOZ99" s="8"/>
      <c r="VPA99" s="8"/>
      <c r="VPB99" s="8"/>
      <c r="VPC99" s="8"/>
      <c r="VPD99" s="8"/>
      <c r="VPE99" s="8"/>
      <c r="VPF99" s="8"/>
      <c r="VPG99" s="8"/>
      <c r="VPH99" s="8"/>
      <c r="VPI99" s="8"/>
      <c r="VPJ99" s="8"/>
      <c r="VPK99" s="8"/>
      <c r="VPL99" s="8"/>
      <c r="VPM99" s="8"/>
      <c r="VPN99" s="8"/>
      <c r="VPO99" s="8"/>
      <c r="VPP99" s="8"/>
      <c r="VPQ99" s="8"/>
      <c r="VPR99" s="8"/>
      <c r="VPS99" s="8"/>
      <c r="VPT99" s="8"/>
      <c r="VPU99" s="8"/>
      <c r="VPV99" s="8"/>
      <c r="VPW99" s="8"/>
      <c r="VPX99" s="8"/>
      <c r="VPY99" s="8"/>
      <c r="VPZ99" s="8"/>
      <c r="VQA99" s="8"/>
      <c r="VQB99" s="8"/>
      <c r="VQC99" s="8"/>
      <c r="VQD99" s="8"/>
      <c r="VQE99" s="8"/>
      <c r="VQF99" s="8"/>
      <c r="VQG99" s="8"/>
      <c r="VQH99" s="8"/>
      <c r="VQI99" s="8"/>
      <c r="VQJ99" s="8"/>
      <c r="VQK99" s="8"/>
      <c r="VQL99" s="8"/>
      <c r="VQM99" s="8"/>
      <c r="VQN99" s="8"/>
      <c r="VQO99" s="8"/>
      <c r="VQP99" s="8"/>
      <c r="VQQ99" s="8"/>
      <c r="VQR99" s="8"/>
      <c r="VQS99" s="8"/>
      <c r="VQT99" s="8"/>
      <c r="VQU99" s="8"/>
      <c r="VQV99" s="8"/>
      <c r="VQW99" s="8"/>
      <c r="VQX99" s="8"/>
      <c r="VQY99" s="8"/>
      <c r="VQZ99" s="8"/>
      <c r="VRA99" s="8"/>
      <c r="VRB99" s="8"/>
      <c r="VRC99" s="8"/>
      <c r="VRD99" s="8"/>
      <c r="VRE99" s="8"/>
      <c r="VRF99" s="8"/>
      <c r="VRG99" s="8"/>
      <c r="VRH99" s="8"/>
      <c r="VRI99" s="8"/>
      <c r="VRJ99" s="8"/>
      <c r="VRK99" s="8"/>
      <c r="VRL99" s="8"/>
      <c r="VRM99" s="8"/>
      <c r="VRN99" s="8"/>
      <c r="VRO99" s="8"/>
      <c r="VRP99" s="8"/>
      <c r="VRQ99" s="8"/>
      <c r="VRR99" s="8"/>
      <c r="VRS99" s="8"/>
      <c r="VRT99" s="8"/>
      <c r="VRU99" s="8"/>
      <c r="VRV99" s="8"/>
      <c r="VRW99" s="8"/>
      <c r="VRX99" s="8"/>
      <c r="VRY99" s="8"/>
      <c r="VRZ99" s="8"/>
      <c r="VSA99" s="8"/>
      <c r="VSB99" s="8"/>
      <c r="VSC99" s="8"/>
      <c r="VSD99" s="8"/>
      <c r="VSE99" s="8"/>
      <c r="VSF99" s="8"/>
      <c r="VSG99" s="8"/>
      <c r="VSH99" s="8"/>
      <c r="VSI99" s="8"/>
      <c r="VSJ99" s="8"/>
      <c r="VSK99" s="8"/>
      <c r="VSL99" s="8"/>
      <c r="VSM99" s="8"/>
      <c r="VSN99" s="8"/>
      <c r="VSO99" s="8"/>
      <c r="VSP99" s="8"/>
      <c r="VSQ99" s="8"/>
      <c r="VSR99" s="8"/>
      <c r="VSS99" s="8"/>
      <c r="VST99" s="8"/>
      <c r="VSU99" s="8"/>
      <c r="VSV99" s="8"/>
      <c r="VSW99" s="8"/>
      <c r="VSX99" s="8"/>
      <c r="VSY99" s="8"/>
      <c r="VSZ99" s="8"/>
      <c r="VTA99" s="8"/>
      <c r="VTB99" s="8"/>
      <c r="VTC99" s="8"/>
      <c r="VTD99" s="8"/>
      <c r="VTE99" s="8"/>
      <c r="VTF99" s="8"/>
      <c r="VTG99" s="8"/>
      <c r="VTH99" s="8"/>
      <c r="VTI99" s="8"/>
      <c r="VTJ99" s="8"/>
      <c r="VTK99" s="8"/>
      <c r="VTL99" s="8"/>
      <c r="VTM99" s="8"/>
      <c r="VTN99" s="8"/>
      <c r="VTO99" s="8"/>
      <c r="VTP99" s="8"/>
      <c r="VTQ99" s="8"/>
      <c r="VTR99" s="8"/>
      <c r="VTS99" s="8"/>
      <c r="VTT99" s="8"/>
      <c r="VTU99" s="8"/>
      <c r="VTV99" s="8"/>
      <c r="VTW99" s="8"/>
      <c r="VTX99" s="8"/>
      <c r="VTY99" s="8"/>
      <c r="VTZ99" s="8"/>
      <c r="VUA99" s="8"/>
      <c r="VUB99" s="8"/>
      <c r="VUC99" s="8"/>
      <c r="VUD99" s="8"/>
      <c r="VUE99" s="8"/>
      <c r="VUF99" s="8"/>
      <c r="VUG99" s="8"/>
      <c r="VUH99" s="8"/>
      <c r="VUI99" s="8"/>
      <c r="VUJ99" s="8"/>
      <c r="VUK99" s="8"/>
      <c r="VUL99" s="8"/>
      <c r="VUM99" s="8"/>
      <c r="VUN99" s="8"/>
      <c r="VUO99" s="8"/>
      <c r="VUP99" s="8"/>
      <c r="VUQ99" s="8"/>
      <c r="VUR99" s="8"/>
      <c r="VUS99" s="8"/>
      <c r="VUT99" s="8"/>
      <c r="VUU99" s="8"/>
      <c r="VUV99" s="8"/>
      <c r="VUW99" s="8"/>
      <c r="VUX99" s="8"/>
      <c r="VUY99" s="8"/>
      <c r="VUZ99" s="8"/>
      <c r="VVA99" s="8"/>
      <c r="VVB99" s="8"/>
      <c r="VVC99" s="8"/>
      <c r="VVD99" s="8"/>
      <c r="VVE99" s="8"/>
      <c r="VVF99" s="8"/>
      <c r="VVG99" s="8"/>
      <c r="VVH99" s="8"/>
      <c r="VVI99" s="8"/>
      <c r="VVJ99" s="8"/>
      <c r="VVK99" s="8"/>
      <c r="VVL99" s="8"/>
      <c r="VVM99" s="8"/>
      <c r="VVN99" s="8"/>
      <c r="VVO99" s="8"/>
      <c r="VVP99" s="8"/>
      <c r="VVQ99" s="8"/>
      <c r="VVR99" s="8"/>
      <c r="VVS99" s="8"/>
      <c r="VVT99" s="8"/>
      <c r="VVU99" s="8"/>
      <c r="VVV99" s="8"/>
      <c r="VVW99" s="8"/>
      <c r="VVX99" s="8"/>
      <c r="VVY99" s="8"/>
      <c r="VVZ99" s="8"/>
      <c r="VWA99" s="8"/>
      <c r="VWB99" s="8"/>
      <c r="VWC99" s="8"/>
      <c r="VWD99" s="8"/>
      <c r="VWE99" s="8"/>
      <c r="VWF99" s="8"/>
      <c r="VWG99" s="8"/>
      <c r="VWH99" s="8"/>
      <c r="VWI99" s="8"/>
      <c r="VWJ99" s="8"/>
      <c r="VWK99" s="8"/>
      <c r="VWL99" s="8"/>
      <c r="VWM99" s="8"/>
      <c r="VWN99" s="8"/>
      <c r="VWO99" s="8"/>
      <c r="VWP99" s="8"/>
      <c r="VWQ99" s="8"/>
      <c r="VWR99" s="8"/>
      <c r="VWS99" s="8"/>
      <c r="VWT99" s="8"/>
      <c r="VWU99" s="8"/>
      <c r="VWV99" s="8"/>
      <c r="VWW99" s="8"/>
      <c r="VWX99" s="8"/>
      <c r="VWY99" s="8"/>
      <c r="VWZ99" s="8"/>
      <c r="VXA99" s="8"/>
      <c r="VXB99" s="8"/>
      <c r="VXC99" s="8"/>
      <c r="VXD99" s="8"/>
      <c r="VXE99" s="8"/>
      <c r="VXF99" s="8"/>
      <c r="VXG99" s="8"/>
      <c r="VXH99" s="8"/>
      <c r="VXI99" s="8"/>
      <c r="VXJ99" s="8"/>
      <c r="VXK99" s="8"/>
      <c r="VXL99" s="8"/>
      <c r="VXM99" s="8"/>
      <c r="VXN99" s="8"/>
      <c r="VXO99" s="8"/>
      <c r="VXP99" s="8"/>
      <c r="VXQ99" s="8"/>
      <c r="VXR99" s="8"/>
      <c r="VXS99" s="8"/>
      <c r="VXT99" s="8"/>
      <c r="VXU99" s="8"/>
      <c r="VXV99" s="8"/>
      <c r="VXW99" s="8"/>
      <c r="VXX99" s="8"/>
      <c r="VXY99" s="8"/>
      <c r="VXZ99" s="8"/>
      <c r="VYA99" s="8"/>
      <c r="VYB99" s="8"/>
      <c r="VYC99" s="8"/>
      <c r="VYD99" s="8"/>
      <c r="VYE99" s="8"/>
      <c r="VYF99" s="8"/>
      <c r="VYG99" s="8"/>
      <c r="VYH99" s="8"/>
      <c r="VYI99" s="8"/>
      <c r="VYJ99" s="8"/>
      <c r="VYK99" s="8"/>
      <c r="VYL99" s="8"/>
      <c r="VYM99" s="8"/>
      <c r="VYN99" s="8"/>
      <c r="VYO99" s="8"/>
      <c r="VYP99" s="8"/>
      <c r="VYQ99" s="8"/>
      <c r="VYR99" s="8"/>
      <c r="VYS99" s="8"/>
      <c r="VYT99" s="8"/>
      <c r="VYU99" s="8"/>
      <c r="VYV99" s="8"/>
      <c r="VYW99" s="8"/>
      <c r="VYX99" s="8"/>
      <c r="VYY99" s="8"/>
      <c r="VYZ99" s="8"/>
      <c r="VZA99" s="8"/>
      <c r="VZB99" s="8"/>
      <c r="VZC99" s="8"/>
      <c r="VZD99" s="8"/>
      <c r="VZE99" s="8"/>
      <c r="VZF99" s="8"/>
      <c r="VZG99" s="8"/>
      <c r="VZH99" s="8"/>
      <c r="VZI99" s="8"/>
      <c r="VZJ99" s="8"/>
      <c r="VZK99" s="8"/>
      <c r="VZL99" s="8"/>
      <c r="VZM99" s="8"/>
      <c r="VZN99" s="8"/>
      <c r="VZO99" s="8"/>
      <c r="VZP99" s="8"/>
      <c r="VZQ99" s="8"/>
      <c r="VZR99" s="8"/>
      <c r="VZS99" s="8"/>
      <c r="VZT99" s="8"/>
      <c r="VZU99" s="8"/>
      <c r="VZV99" s="8"/>
      <c r="VZW99" s="8"/>
      <c r="VZX99" s="8"/>
      <c r="VZY99" s="8"/>
      <c r="VZZ99" s="8"/>
      <c r="WAA99" s="8"/>
      <c r="WAB99" s="8"/>
      <c r="WAC99" s="8"/>
      <c r="WAD99" s="8"/>
      <c r="WAE99" s="8"/>
      <c r="WAF99" s="8"/>
      <c r="WAG99" s="8"/>
      <c r="WAH99" s="8"/>
      <c r="WAI99" s="8"/>
      <c r="WAJ99" s="8"/>
      <c r="WAK99" s="8"/>
      <c r="WAL99" s="8"/>
      <c r="WAM99" s="8"/>
      <c r="WAN99" s="8"/>
      <c r="WAO99" s="8"/>
      <c r="WAP99" s="8"/>
      <c r="WAQ99" s="8"/>
      <c r="WAR99" s="8"/>
      <c r="WAS99" s="8"/>
      <c r="WAT99" s="8"/>
      <c r="WAU99" s="8"/>
      <c r="WAV99" s="8"/>
      <c r="WAW99" s="8"/>
      <c r="WAX99" s="8"/>
      <c r="WAY99" s="8"/>
      <c r="WAZ99" s="8"/>
      <c r="WBA99" s="8"/>
      <c r="WBB99" s="8"/>
      <c r="WBC99" s="8"/>
      <c r="WBD99" s="8"/>
      <c r="WBE99" s="8"/>
      <c r="WBF99" s="8"/>
      <c r="WBG99" s="8"/>
      <c r="WBH99" s="8"/>
      <c r="WBI99" s="8"/>
      <c r="WBJ99" s="8"/>
      <c r="WBK99" s="8"/>
      <c r="WBL99" s="8"/>
      <c r="WBM99" s="8"/>
      <c r="WBN99" s="8"/>
      <c r="WBO99" s="8"/>
      <c r="WBP99" s="8"/>
      <c r="WBQ99" s="8"/>
      <c r="WBR99" s="8"/>
      <c r="WBS99" s="8"/>
      <c r="WBT99" s="8"/>
      <c r="WBU99" s="8"/>
      <c r="WBV99" s="8"/>
      <c r="WBW99" s="8"/>
      <c r="WBX99" s="8"/>
      <c r="WBY99" s="8"/>
      <c r="WBZ99" s="8"/>
      <c r="WCA99" s="8"/>
      <c r="WCB99" s="8"/>
      <c r="WCC99" s="8"/>
      <c r="WCD99" s="8"/>
      <c r="WCE99" s="8"/>
      <c r="WCF99" s="8"/>
      <c r="WCG99" s="8"/>
      <c r="WCH99" s="8"/>
      <c r="WCI99" s="8"/>
      <c r="WCJ99" s="8"/>
      <c r="WCK99" s="8"/>
      <c r="WCL99" s="8"/>
      <c r="WCM99" s="8"/>
      <c r="WCN99" s="8"/>
      <c r="WCO99" s="8"/>
      <c r="WCP99" s="8"/>
      <c r="WCQ99" s="8"/>
      <c r="WCR99" s="8"/>
      <c r="WCS99" s="8"/>
      <c r="WCT99" s="8"/>
      <c r="WCU99" s="8"/>
      <c r="WCV99" s="8"/>
      <c r="WCW99" s="8"/>
      <c r="WCX99" s="8"/>
      <c r="WCY99" s="8"/>
      <c r="WCZ99" s="8"/>
      <c r="WDA99" s="8"/>
      <c r="WDB99" s="8"/>
      <c r="WDC99" s="8"/>
      <c r="WDD99" s="8"/>
      <c r="WDE99" s="8"/>
      <c r="WDF99" s="8"/>
      <c r="WDG99" s="8"/>
      <c r="WDH99" s="8"/>
      <c r="WDI99" s="8"/>
      <c r="WDJ99" s="8"/>
      <c r="WDK99" s="8"/>
      <c r="WDL99" s="8"/>
      <c r="WDM99" s="8"/>
      <c r="WDN99" s="8"/>
      <c r="WDO99" s="8"/>
      <c r="WDP99" s="8"/>
      <c r="WDQ99" s="8"/>
      <c r="WDR99" s="8"/>
      <c r="WDS99" s="8"/>
      <c r="WDT99" s="8"/>
      <c r="WDU99" s="8"/>
      <c r="WDV99" s="8"/>
      <c r="WDW99" s="8"/>
      <c r="WDX99" s="8"/>
      <c r="WDY99" s="8"/>
      <c r="WDZ99" s="8"/>
      <c r="WEA99" s="8"/>
      <c r="WEB99" s="8"/>
      <c r="WEC99" s="8"/>
      <c r="WED99" s="8"/>
      <c r="WEE99" s="8"/>
      <c r="WEF99" s="8"/>
      <c r="WEG99" s="8"/>
      <c r="WEH99" s="8"/>
      <c r="WEI99" s="8"/>
      <c r="WEJ99" s="8"/>
      <c r="WEK99" s="8"/>
      <c r="WEL99" s="8"/>
      <c r="WEM99" s="8"/>
      <c r="WEN99" s="8"/>
      <c r="WEO99" s="8"/>
      <c r="WEP99" s="8"/>
      <c r="WEQ99" s="8"/>
      <c r="WER99" s="8"/>
      <c r="WES99" s="8"/>
      <c r="WET99" s="8"/>
      <c r="WEU99" s="8"/>
      <c r="WEV99" s="8"/>
      <c r="WEW99" s="8"/>
      <c r="WEX99" s="8"/>
      <c r="WEY99" s="8"/>
      <c r="WEZ99" s="8"/>
      <c r="WFA99" s="8"/>
      <c r="WFB99" s="8"/>
      <c r="WFC99" s="8"/>
      <c r="WFD99" s="8"/>
      <c r="WFE99" s="8"/>
      <c r="WFF99" s="8"/>
      <c r="WFG99" s="8"/>
      <c r="WFH99" s="8"/>
      <c r="WFI99" s="8"/>
      <c r="WFJ99" s="8"/>
      <c r="WFK99" s="8"/>
      <c r="WFL99" s="8"/>
      <c r="WFM99" s="8"/>
      <c r="WFN99" s="8"/>
      <c r="WFO99" s="8"/>
      <c r="WFP99" s="8"/>
      <c r="WFQ99" s="8"/>
      <c r="WFR99" s="8"/>
      <c r="WFS99" s="8"/>
      <c r="WFT99" s="8"/>
      <c r="WFU99" s="8"/>
      <c r="WFV99" s="8"/>
      <c r="WFW99" s="8"/>
      <c r="WFX99" s="8"/>
      <c r="WFY99" s="8"/>
      <c r="WFZ99" s="8"/>
      <c r="WGA99" s="8"/>
      <c r="WGB99" s="8"/>
      <c r="WGC99" s="8"/>
      <c r="WGD99" s="8"/>
      <c r="WGE99" s="8"/>
      <c r="WGF99" s="8"/>
      <c r="WGG99" s="8"/>
      <c r="WGH99" s="8"/>
      <c r="WGI99" s="8"/>
      <c r="WGJ99" s="8"/>
      <c r="WGK99" s="8"/>
      <c r="WGL99" s="8"/>
      <c r="WGM99" s="8"/>
      <c r="WGN99" s="8"/>
      <c r="WGO99" s="8"/>
      <c r="WGP99" s="8"/>
      <c r="WGQ99" s="8"/>
      <c r="WGR99" s="8"/>
      <c r="WGS99" s="8"/>
      <c r="WGT99" s="8"/>
      <c r="WGU99" s="8"/>
      <c r="WGV99" s="8"/>
      <c r="WGW99" s="8"/>
      <c r="WGX99" s="8"/>
      <c r="WGY99" s="8"/>
      <c r="WGZ99" s="8"/>
      <c r="WHA99" s="8"/>
      <c r="WHB99" s="8"/>
      <c r="WHC99" s="8"/>
      <c r="WHD99" s="8"/>
      <c r="WHE99" s="8"/>
      <c r="WHF99" s="8"/>
      <c r="WHG99" s="8"/>
      <c r="WHH99" s="8"/>
      <c r="WHI99" s="8"/>
      <c r="WHJ99" s="8"/>
      <c r="WHK99" s="8"/>
      <c r="WHL99" s="8"/>
      <c r="WHM99" s="8"/>
      <c r="WHN99" s="8"/>
      <c r="WHO99" s="8"/>
      <c r="WHP99" s="8"/>
      <c r="WHQ99" s="8"/>
      <c r="WHR99" s="8"/>
      <c r="WHS99" s="8"/>
      <c r="WHT99" s="8"/>
      <c r="WHU99" s="8"/>
      <c r="WHV99" s="8"/>
      <c r="WHW99" s="8"/>
      <c r="WHX99" s="8"/>
      <c r="WHY99" s="8"/>
      <c r="WHZ99" s="8"/>
      <c r="WIA99" s="8"/>
      <c r="WIB99" s="8"/>
      <c r="WIC99" s="8"/>
      <c r="WID99" s="8"/>
      <c r="WIE99" s="8"/>
      <c r="WIF99" s="8"/>
      <c r="WIG99" s="8"/>
      <c r="WIH99" s="8"/>
      <c r="WII99" s="8"/>
      <c r="WIJ99" s="8"/>
      <c r="WIK99" s="8"/>
      <c r="WIL99" s="8"/>
      <c r="WIM99" s="8"/>
      <c r="WIN99" s="8"/>
      <c r="WIO99" s="8"/>
      <c r="WIP99" s="8"/>
      <c r="WIQ99" s="8"/>
      <c r="WIR99" s="8"/>
      <c r="WIS99" s="8"/>
      <c r="WIT99" s="8"/>
      <c r="WIU99" s="8"/>
      <c r="WIV99" s="8"/>
      <c r="WIW99" s="8"/>
      <c r="WIX99" s="8"/>
      <c r="WIY99" s="8"/>
      <c r="WIZ99" s="8"/>
      <c r="WJA99" s="8"/>
      <c r="WJB99" s="8"/>
      <c r="WJC99" s="8"/>
      <c r="WJD99" s="8"/>
      <c r="WJE99" s="8"/>
      <c r="WJF99" s="8"/>
      <c r="WJG99" s="8"/>
      <c r="WJH99" s="8"/>
      <c r="WJI99" s="8"/>
      <c r="WJJ99" s="8"/>
      <c r="WJK99" s="8"/>
      <c r="WJL99" s="8"/>
      <c r="WJM99" s="8"/>
      <c r="WJN99" s="8"/>
      <c r="WJO99" s="8"/>
      <c r="WJP99" s="8"/>
      <c r="WJQ99" s="8"/>
      <c r="WJR99" s="8"/>
      <c r="WJS99" s="8"/>
      <c r="WJT99" s="8"/>
      <c r="WJU99" s="8"/>
      <c r="WJV99" s="8"/>
      <c r="WJW99" s="8"/>
      <c r="WJX99" s="8"/>
      <c r="WJY99" s="8"/>
      <c r="WJZ99" s="8"/>
      <c r="WKA99" s="8"/>
      <c r="WKB99" s="8"/>
      <c r="WKC99" s="8"/>
      <c r="WKD99" s="8"/>
      <c r="WKE99" s="8"/>
      <c r="WKF99" s="8"/>
      <c r="WKG99" s="8"/>
      <c r="WKH99" s="8"/>
      <c r="WKI99" s="8"/>
      <c r="WKJ99" s="8"/>
      <c r="WKK99" s="8"/>
      <c r="WKL99" s="8"/>
      <c r="WKM99" s="8"/>
      <c r="WKN99" s="8"/>
      <c r="WKO99" s="8"/>
      <c r="WKP99" s="8"/>
      <c r="WKQ99" s="8"/>
      <c r="WKR99" s="8"/>
      <c r="WKS99" s="8"/>
      <c r="WKT99" s="8"/>
      <c r="WKU99" s="8"/>
      <c r="WKV99" s="8"/>
      <c r="WKW99" s="8"/>
      <c r="WKX99" s="8"/>
      <c r="WKY99" s="8"/>
      <c r="WKZ99" s="8"/>
      <c r="WLA99" s="8"/>
      <c r="WLB99" s="8"/>
      <c r="WLC99" s="8"/>
      <c r="WLD99" s="8"/>
      <c r="WLE99" s="8"/>
      <c r="WLF99" s="8"/>
      <c r="WLG99" s="8"/>
      <c r="WLH99" s="8"/>
      <c r="WLI99" s="8"/>
      <c r="WLJ99" s="8"/>
      <c r="WLK99" s="8"/>
      <c r="WLL99" s="8"/>
      <c r="WLM99" s="8"/>
      <c r="WLN99" s="8"/>
      <c r="WLO99" s="8"/>
      <c r="WLP99" s="8"/>
      <c r="WLQ99" s="8"/>
      <c r="WLR99" s="8"/>
      <c r="WLS99" s="8"/>
      <c r="WLT99" s="8"/>
      <c r="WLU99" s="8"/>
      <c r="WLV99" s="8"/>
      <c r="WLW99" s="8"/>
      <c r="WLX99" s="8"/>
      <c r="WLY99" s="8"/>
      <c r="WLZ99" s="8"/>
      <c r="WMA99" s="8"/>
      <c r="WMB99" s="8"/>
      <c r="WMC99" s="8"/>
      <c r="WMD99" s="8"/>
      <c r="WME99" s="8"/>
      <c r="WMF99" s="8"/>
      <c r="WMG99" s="8"/>
      <c r="WMH99" s="8"/>
      <c r="WMI99" s="8"/>
      <c r="WMJ99" s="8"/>
      <c r="WMK99" s="8"/>
      <c r="WML99" s="8"/>
      <c r="WMM99" s="8"/>
      <c r="WMN99" s="8"/>
      <c r="WMO99" s="8"/>
      <c r="WMP99" s="8"/>
      <c r="WMQ99" s="8"/>
      <c r="WMR99" s="8"/>
      <c r="WMS99" s="8"/>
      <c r="WMT99" s="8"/>
      <c r="WMU99" s="8"/>
      <c r="WMV99" s="8"/>
      <c r="WMW99" s="8"/>
      <c r="WMX99" s="8"/>
      <c r="WMY99" s="8"/>
      <c r="WMZ99" s="8"/>
      <c r="WNA99" s="8"/>
      <c r="WNB99" s="8"/>
      <c r="WNC99" s="8"/>
      <c r="WND99" s="8"/>
      <c r="WNE99" s="8"/>
      <c r="WNF99" s="8"/>
      <c r="WNG99" s="8"/>
      <c r="WNH99" s="8"/>
      <c r="WNI99" s="8"/>
      <c r="WNJ99" s="8"/>
      <c r="WNK99" s="8"/>
      <c r="WNL99" s="8"/>
      <c r="WNM99" s="8"/>
      <c r="WNN99" s="8"/>
      <c r="WNO99" s="8"/>
      <c r="WNP99" s="8"/>
      <c r="WNQ99" s="8"/>
      <c r="WNR99" s="8"/>
      <c r="WNS99" s="8"/>
      <c r="WNT99" s="8"/>
      <c r="WNU99" s="8"/>
      <c r="WNV99" s="8"/>
      <c r="WNW99" s="8"/>
      <c r="WNX99" s="8"/>
      <c r="WNY99" s="8"/>
      <c r="WNZ99" s="8"/>
      <c r="WOA99" s="8"/>
      <c r="WOB99" s="8"/>
      <c r="WOC99" s="8"/>
      <c r="WOD99" s="8"/>
      <c r="WOE99" s="8"/>
      <c r="WOF99" s="8"/>
      <c r="WOG99" s="8"/>
      <c r="WOH99" s="8"/>
      <c r="WOI99" s="8"/>
      <c r="WOJ99" s="8"/>
      <c r="WOK99" s="8"/>
      <c r="WOL99" s="8"/>
      <c r="WOM99" s="8"/>
      <c r="WON99" s="8"/>
      <c r="WOO99" s="8"/>
      <c r="WOP99" s="8"/>
      <c r="WOQ99" s="8"/>
      <c r="WOR99" s="8"/>
      <c r="WOS99" s="8"/>
      <c r="WOT99" s="8"/>
      <c r="WOU99" s="8"/>
      <c r="WOV99" s="8"/>
      <c r="WOW99" s="8"/>
      <c r="WOX99" s="8"/>
      <c r="WOY99" s="8"/>
      <c r="WOZ99" s="8"/>
      <c r="WPA99" s="8"/>
      <c r="WPB99" s="8"/>
      <c r="WPC99" s="8"/>
      <c r="WPD99" s="8"/>
      <c r="WPE99" s="8"/>
      <c r="WPF99" s="8"/>
      <c r="WPG99" s="8"/>
      <c r="WPH99" s="8"/>
      <c r="WPI99" s="8"/>
      <c r="WPJ99" s="8"/>
      <c r="WPK99" s="8"/>
      <c r="WPL99" s="8"/>
      <c r="WPM99" s="8"/>
      <c r="WPN99" s="8"/>
      <c r="WPO99" s="8"/>
      <c r="WPP99" s="8"/>
      <c r="WPQ99" s="8"/>
      <c r="WPR99" s="8"/>
      <c r="WPS99" s="8"/>
      <c r="WPT99" s="8"/>
      <c r="WPU99" s="8"/>
      <c r="WPV99" s="8"/>
      <c r="WPW99" s="8"/>
      <c r="WPX99" s="8"/>
      <c r="WPY99" s="8"/>
      <c r="WPZ99" s="8"/>
      <c r="WQA99" s="8"/>
      <c r="WQB99" s="8"/>
      <c r="WQC99" s="8"/>
      <c r="WQD99" s="8"/>
      <c r="WQE99" s="8"/>
      <c r="WQF99" s="8"/>
      <c r="WQG99" s="8"/>
      <c r="WQH99" s="8"/>
      <c r="WQI99" s="8"/>
      <c r="WQJ99" s="8"/>
      <c r="WQK99" s="8"/>
      <c r="WQL99" s="8"/>
      <c r="WQM99" s="8"/>
      <c r="WQN99" s="8"/>
      <c r="WQO99" s="8"/>
      <c r="WQP99" s="8"/>
      <c r="WQQ99" s="8"/>
      <c r="WQR99" s="8"/>
      <c r="WQS99" s="8"/>
      <c r="WQT99" s="8"/>
      <c r="WQU99" s="8"/>
      <c r="WQV99" s="8"/>
      <c r="WQW99" s="8"/>
      <c r="WQX99" s="8"/>
      <c r="WQY99" s="8"/>
      <c r="WQZ99" s="8"/>
      <c r="WRA99" s="8"/>
      <c r="WRB99" s="8"/>
      <c r="WRC99" s="8"/>
      <c r="WRD99" s="8"/>
      <c r="WRE99" s="8"/>
      <c r="WRF99" s="8"/>
      <c r="WRG99" s="8"/>
      <c r="WRH99" s="8"/>
      <c r="WRI99" s="8"/>
      <c r="WRJ99" s="8"/>
      <c r="WRK99" s="8"/>
      <c r="WRL99" s="8"/>
      <c r="WRM99" s="8"/>
      <c r="WRN99" s="8"/>
      <c r="WRO99" s="8"/>
      <c r="WRP99" s="8"/>
      <c r="WRQ99" s="8"/>
      <c r="WRR99" s="8"/>
      <c r="WRS99" s="8"/>
      <c r="WRT99" s="8"/>
      <c r="WRU99" s="8"/>
      <c r="WRV99" s="8"/>
      <c r="WRW99" s="8"/>
      <c r="WRX99" s="8"/>
      <c r="WRY99" s="8"/>
      <c r="WRZ99" s="8"/>
      <c r="WSA99" s="8"/>
      <c r="WSB99" s="8"/>
      <c r="WSC99" s="8"/>
      <c r="WSD99" s="8"/>
      <c r="WSE99" s="8"/>
      <c r="WSF99" s="8"/>
      <c r="WSG99" s="8"/>
      <c r="WSH99" s="8"/>
      <c r="WSI99" s="8"/>
      <c r="WSJ99" s="8"/>
      <c r="WSK99" s="8"/>
      <c r="WSL99" s="8"/>
      <c r="WSM99" s="8"/>
      <c r="WSN99" s="8"/>
      <c r="WSO99" s="8"/>
      <c r="WSP99" s="8"/>
      <c r="WSQ99" s="8"/>
      <c r="WSR99" s="8"/>
      <c r="WSS99" s="8"/>
      <c r="WST99" s="8"/>
      <c r="WSU99" s="8"/>
      <c r="WSV99" s="8"/>
      <c r="WSW99" s="8"/>
      <c r="WSX99" s="8"/>
      <c r="WSY99" s="8"/>
      <c r="WSZ99" s="8"/>
      <c r="WTA99" s="8"/>
      <c r="WTB99" s="8"/>
      <c r="WTC99" s="8"/>
      <c r="WTD99" s="8"/>
      <c r="WTE99" s="8"/>
      <c r="WTF99" s="8"/>
      <c r="WTG99" s="8"/>
      <c r="WTH99" s="8"/>
      <c r="WTI99" s="8"/>
      <c r="WTJ99" s="8"/>
      <c r="WTK99" s="8"/>
      <c r="WTL99" s="8"/>
      <c r="WTM99" s="8"/>
      <c r="WTN99" s="8"/>
      <c r="WTO99" s="8"/>
      <c r="WTP99" s="8"/>
      <c r="WTQ99" s="8"/>
      <c r="WTR99" s="8"/>
      <c r="WTS99" s="8"/>
      <c r="WTT99" s="8"/>
      <c r="WTU99" s="8"/>
      <c r="WTV99" s="8"/>
      <c r="WTW99" s="8"/>
      <c r="WTX99" s="8"/>
      <c r="WTY99" s="8"/>
      <c r="WTZ99" s="8"/>
      <c r="WUA99" s="8"/>
      <c r="WUB99" s="8"/>
      <c r="WUC99" s="8"/>
      <c r="WUD99" s="8"/>
      <c r="WUE99" s="8"/>
      <c r="WUF99" s="8"/>
      <c r="WUG99" s="8"/>
      <c r="WUH99" s="8"/>
      <c r="WUI99" s="8"/>
      <c r="WUJ99" s="8"/>
      <c r="WUK99" s="8"/>
      <c r="WUL99" s="8"/>
      <c r="WUM99" s="8"/>
      <c r="WUN99" s="8"/>
      <c r="WUO99" s="8"/>
      <c r="WUP99" s="8"/>
      <c r="WUQ99" s="8"/>
      <c r="WUR99" s="8"/>
      <c r="WUS99" s="8"/>
      <c r="WUT99" s="8"/>
      <c r="WUU99" s="8"/>
      <c r="WUV99" s="8"/>
      <c r="WUW99" s="8"/>
      <c r="WUX99" s="8"/>
      <c r="WUY99" s="8"/>
      <c r="WUZ99" s="8"/>
      <c r="WVA99" s="8"/>
      <c r="WVB99" s="8"/>
      <c r="WVC99" s="8"/>
      <c r="WVD99" s="8"/>
      <c r="WVE99" s="8"/>
      <c r="WVF99" s="8"/>
      <c r="WVG99" s="8"/>
      <c r="WVH99" s="8"/>
      <c r="WVI99" s="8"/>
      <c r="WVJ99" s="8"/>
      <c r="WVK99" s="8"/>
      <c r="WVL99" s="8"/>
      <c r="WVM99" s="8"/>
      <c r="WVN99" s="8"/>
      <c r="WVO99" s="8"/>
      <c r="WVP99" s="8"/>
      <c r="WVQ99" s="8"/>
      <c r="WVR99" s="8"/>
      <c r="WVS99" s="8"/>
      <c r="WVT99" s="8"/>
      <c r="WVU99" s="8"/>
      <c r="WVV99" s="8"/>
      <c r="WVW99" s="8"/>
      <c r="WVX99" s="8"/>
      <c r="WVY99" s="8"/>
      <c r="WVZ99" s="8"/>
      <c r="WWA99" s="8"/>
      <c r="WWB99" s="8"/>
      <c r="WWC99" s="8"/>
      <c r="WWD99" s="8"/>
      <c r="WWE99" s="8"/>
      <c r="WWF99" s="8"/>
      <c r="WWG99" s="8"/>
      <c r="WWH99" s="8"/>
      <c r="WWI99" s="8"/>
      <c r="WWJ99" s="8"/>
      <c r="WWK99" s="8"/>
      <c r="WWL99" s="8"/>
      <c r="WWM99" s="8"/>
      <c r="WWN99" s="8"/>
      <c r="WWO99" s="8"/>
      <c r="WWP99" s="8"/>
      <c r="WWQ99" s="8"/>
      <c r="WWR99" s="8"/>
      <c r="WWS99" s="8"/>
      <c r="WWT99" s="8"/>
      <c r="WWU99" s="8"/>
      <c r="WWV99" s="8"/>
      <c r="WWW99" s="8"/>
      <c r="WWX99" s="8"/>
      <c r="WWY99" s="8"/>
      <c r="WWZ99" s="8"/>
      <c r="WXA99" s="8"/>
      <c r="WXB99" s="8"/>
      <c r="WXC99" s="8"/>
      <c r="WXD99" s="8"/>
      <c r="WXE99" s="8"/>
      <c r="WXF99" s="8"/>
      <c r="WXG99" s="8"/>
      <c r="WXH99" s="8"/>
      <c r="WXI99" s="8"/>
      <c r="WXJ99" s="8"/>
      <c r="WXK99" s="8"/>
      <c r="WXL99" s="8"/>
      <c r="WXM99" s="8"/>
      <c r="WXN99" s="8"/>
      <c r="WXO99" s="8"/>
      <c r="WXP99" s="8"/>
      <c r="WXQ99" s="8"/>
      <c r="WXR99" s="8"/>
      <c r="WXS99" s="8"/>
      <c r="WXT99" s="8"/>
      <c r="WXU99" s="8"/>
      <c r="WXV99" s="8"/>
      <c r="WXW99" s="8"/>
      <c r="WXX99" s="8"/>
      <c r="WXY99" s="8"/>
      <c r="WXZ99" s="8"/>
      <c r="WYA99" s="8"/>
      <c r="WYB99" s="8"/>
      <c r="WYC99" s="8"/>
      <c r="WYD99" s="8"/>
      <c r="WYE99" s="8"/>
      <c r="WYF99" s="8"/>
      <c r="WYG99" s="8"/>
      <c r="WYH99" s="8"/>
      <c r="WYI99" s="8"/>
      <c r="WYJ99" s="8"/>
      <c r="WYK99" s="8"/>
      <c r="WYL99" s="8"/>
      <c r="WYM99" s="8"/>
      <c r="WYN99" s="8"/>
      <c r="WYO99" s="8"/>
      <c r="WYP99" s="8"/>
      <c r="WYQ99" s="8"/>
      <c r="WYR99" s="8"/>
      <c r="WYS99" s="8"/>
      <c r="WYT99" s="8"/>
      <c r="WYU99" s="8"/>
      <c r="WYV99" s="8"/>
      <c r="WYW99" s="8"/>
      <c r="WYX99" s="8"/>
      <c r="WYY99" s="8"/>
      <c r="WYZ99" s="8"/>
      <c r="WZA99" s="8"/>
      <c r="WZB99" s="8"/>
      <c r="WZC99" s="8"/>
      <c r="WZD99" s="8"/>
      <c r="WZE99" s="8"/>
      <c r="WZF99" s="8"/>
      <c r="WZG99" s="8"/>
      <c r="WZH99" s="8"/>
      <c r="WZI99" s="8"/>
      <c r="WZJ99" s="8"/>
      <c r="WZK99" s="8"/>
      <c r="WZL99" s="8"/>
      <c r="WZM99" s="8"/>
      <c r="WZN99" s="8"/>
      <c r="WZO99" s="8"/>
      <c r="WZP99" s="8"/>
      <c r="WZQ99" s="8"/>
      <c r="WZR99" s="8"/>
      <c r="WZS99" s="8"/>
      <c r="WZT99" s="8"/>
      <c r="WZU99" s="8"/>
      <c r="WZV99" s="8"/>
      <c r="WZW99" s="8"/>
      <c r="WZX99" s="8"/>
      <c r="WZY99" s="8"/>
      <c r="WZZ99" s="8"/>
      <c r="XAA99" s="8"/>
      <c r="XAB99" s="8"/>
      <c r="XAC99" s="8"/>
      <c r="XAD99" s="8"/>
      <c r="XAE99" s="8"/>
      <c r="XAF99" s="8"/>
      <c r="XAG99" s="8"/>
      <c r="XAH99" s="8"/>
      <c r="XAI99" s="8"/>
      <c r="XAJ99" s="8"/>
      <c r="XAK99" s="8"/>
      <c r="XAL99" s="8"/>
      <c r="XAM99" s="8"/>
      <c r="XAN99" s="8"/>
      <c r="XAO99" s="8"/>
      <c r="XAP99" s="8"/>
      <c r="XAQ99" s="8"/>
      <c r="XAR99" s="8"/>
      <c r="XAS99" s="8"/>
      <c r="XAT99" s="8"/>
      <c r="XAU99" s="8"/>
      <c r="XAV99" s="8"/>
      <c r="XAW99" s="8"/>
      <c r="XAX99" s="8"/>
      <c r="XAY99" s="8"/>
      <c r="XAZ99" s="8"/>
      <c r="XBA99" s="8"/>
      <c r="XBB99" s="8"/>
      <c r="XBC99" s="8"/>
      <c r="XBD99" s="8"/>
      <c r="XBE99" s="8"/>
      <c r="XBF99" s="8"/>
      <c r="XBG99" s="8"/>
      <c r="XBH99" s="8"/>
      <c r="XBI99" s="8"/>
      <c r="XBJ99" s="8"/>
      <c r="XBK99" s="8"/>
      <c r="XBL99" s="8"/>
      <c r="XBM99" s="8"/>
      <c r="XBN99" s="8"/>
      <c r="XBO99" s="8"/>
      <c r="XBP99" s="8"/>
      <c r="XBQ99" s="8"/>
      <c r="XBR99" s="8"/>
      <c r="XBS99" s="8"/>
      <c r="XBT99" s="8"/>
      <c r="XBU99" s="8"/>
      <c r="XBV99" s="8"/>
      <c r="XBW99" s="8"/>
      <c r="XBX99" s="8"/>
      <c r="XBY99" s="8"/>
      <c r="XBZ99" s="8"/>
      <c r="XCA99" s="8"/>
      <c r="XCB99" s="8"/>
      <c r="XCC99" s="8"/>
      <c r="XCD99" s="8"/>
      <c r="XCE99" s="8"/>
      <c r="XCF99" s="8"/>
      <c r="XCG99" s="8"/>
      <c r="XCH99" s="8"/>
      <c r="XCI99" s="8"/>
      <c r="XCJ99" s="8"/>
      <c r="XCK99" s="8"/>
      <c r="XCL99" s="8"/>
      <c r="XCM99" s="8"/>
      <c r="XCN99" s="8"/>
      <c r="XCO99" s="8"/>
      <c r="XCP99" s="8"/>
      <c r="XCQ99" s="8"/>
      <c r="XCR99" s="8"/>
      <c r="XCS99" s="8"/>
      <c r="XCT99" s="8"/>
      <c r="XCU99" s="8"/>
      <c r="XCV99" s="8"/>
      <c r="XCW99" s="8"/>
      <c r="XCX99" s="8"/>
      <c r="XCY99" s="8"/>
      <c r="XCZ99" s="8"/>
      <c r="XDA99" s="8"/>
      <c r="XDB99" s="8"/>
      <c r="XDC99" s="8"/>
      <c r="XDD99" s="8"/>
      <c r="XDE99" s="8"/>
      <c r="XDF99" s="8"/>
      <c r="XDG99" s="8"/>
      <c r="XDH99" s="8"/>
      <c r="XDI99" s="8"/>
      <c r="XDJ99" s="8"/>
      <c r="XDK99" s="8"/>
      <c r="XDL99" s="8"/>
      <c r="XDM99" s="8"/>
      <c r="XDN99" s="8"/>
      <c r="XDO99" s="8"/>
      <c r="XDP99" s="8"/>
      <c r="XDQ99" s="8"/>
      <c r="XDR99" s="8"/>
      <c r="XDS99" s="8"/>
      <c r="XDT99" s="8"/>
      <c r="XDU99" s="8"/>
      <c r="XDV99" s="8"/>
      <c r="XDW99" s="8"/>
      <c r="XDX99" s="8"/>
      <c r="XDY99" s="8"/>
      <c r="XDZ99" s="8"/>
      <c r="XEA99" s="8"/>
      <c r="XEB99" s="8"/>
      <c r="XEC99" s="8"/>
      <c r="XED99" s="8"/>
      <c r="XEE99" s="8"/>
      <c r="XEF99" s="8"/>
      <c r="XEG99" s="8"/>
      <c r="XEH99" s="8"/>
      <c r="XEI99" s="8"/>
      <c r="XEJ99" s="8"/>
      <c r="XEK99" s="8"/>
      <c r="XEL99" s="8"/>
      <c r="XEM99" s="8"/>
      <c r="XEN99" s="8"/>
      <c r="XEO99" s="8"/>
      <c r="XEP99" s="8"/>
      <c r="XEQ99" s="8"/>
      <c r="XER99" s="8"/>
      <c r="XES99" s="8"/>
      <c r="XET99" s="8"/>
      <c r="XEU99" s="8"/>
      <c r="XEV99" s="8"/>
      <c r="XEW99" s="8"/>
      <c r="XEX99" s="8"/>
      <c r="XEY99" s="8"/>
      <c r="XEZ99" s="8"/>
      <c r="XFA99" s="8"/>
      <c r="XFB99" s="8"/>
      <c r="XFC99" s="8"/>
      <c r="XFD99" s="8"/>
    </row>
    <row r="100" spans="2:16384">
      <c r="F100" s="8"/>
      <c r="G100" s="8"/>
      <c r="H100" s="8"/>
      <c r="I100" s="8"/>
      <c r="J100" s="8"/>
      <c r="K100" s="8"/>
      <c r="L100" s="8"/>
      <c r="M100" s="8"/>
      <c r="N100" s="8"/>
      <c r="O100" s="8"/>
      <c r="P100" s="8"/>
    </row>
    <row r="101" spans="2:16384">
      <c r="F101" s="8"/>
      <c r="G101" s="8"/>
      <c r="H101" s="8"/>
      <c r="I101" s="8"/>
      <c r="J101" s="8"/>
      <c r="K101" s="8"/>
      <c r="L101" s="8"/>
      <c r="M101" s="8"/>
      <c r="N101" s="8"/>
      <c r="O101" s="8"/>
      <c r="P101" s="8"/>
    </row>
    <row r="102" spans="2:16384">
      <c r="B102" s="1" t="s">
        <v>272</v>
      </c>
      <c r="F102" s="8"/>
      <c r="G102" s="8"/>
      <c r="H102" s="8"/>
      <c r="I102" s="8"/>
      <c r="J102" s="8"/>
      <c r="K102" s="8"/>
      <c r="L102" s="8"/>
      <c r="M102" s="8"/>
    </row>
    <row r="104" spans="2:16384" ht="14.75">
      <c r="B104" s="92" t="s">
        <v>276</v>
      </c>
      <c r="N104" s="183">
        <f>'SA Power Bonds'!$C$45</f>
        <v>350000000</v>
      </c>
      <c r="O104" s="183">
        <f>'SA Power Bonds'!$C$45</f>
        <v>350000000</v>
      </c>
      <c r="P104" s="183">
        <f>'SA Power Bonds'!$C$45</f>
        <v>350000000</v>
      </c>
      <c r="Q104" s="183">
        <f>'SA Power Bonds'!$C$45</f>
        <v>350000000</v>
      </c>
    </row>
    <row r="105" spans="2:16384" ht="14.75">
      <c r="B105" s="92" t="s">
        <v>275</v>
      </c>
      <c r="N105" s="183">
        <f>'SA Power Bonds'!$C$49</f>
        <v>200000000</v>
      </c>
      <c r="O105" s="183">
        <f>'SA Power Bonds'!$C$49</f>
        <v>200000000</v>
      </c>
      <c r="P105" s="183">
        <f>'SA Power Bonds'!$C$49</f>
        <v>200000000</v>
      </c>
      <c r="Q105" s="183">
        <f>'SA Power Bonds'!$C$49</f>
        <v>200000000</v>
      </c>
    </row>
    <row r="107" spans="2:16384">
      <c r="F107" s="171">
        <f>SUM(F104:F105)</f>
        <v>0</v>
      </c>
      <c r="G107" s="171">
        <f t="shared" ref="G107:P107" si="6">SUM(G104:G105)</f>
        <v>0</v>
      </c>
      <c r="H107" s="171">
        <f t="shared" si="6"/>
        <v>0</v>
      </c>
      <c r="I107" s="171">
        <f t="shared" si="6"/>
        <v>0</v>
      </c>
      <c r="J107" s="171">
        <f t="shared" si="6"/>
        <v>0</v>
      </c>
      <c r="K107" s="171">
        <f t="shared" si="6"/>
        <v>0</v>
      </c>
      <c r="L107" s="171">
        <f t="shared" si="6"/>
        <v>0</v>
      </c>
      <c r="M107" s="171">
        <f t="shared" si="6"/>
        <v>0</v>
      </c>
      <c r="N107" s="171">
        <f t="shared" si="6"/>
        <v>550000000</v>
      </c>
      <c r="O107" s="171">
        <f t="shared" si="6"/>
        <v>550000000</v>
      </c>
      <c r="P107" s="171">
        <f t="shared" si="6"/>
        <v>550000000</v>
      </c>
      <c r="Q107" s="171">
        <f t="shared" ref="Q107" si="7">SUM(Q104:Q105)</f>
        <v>550000000</v>
      </c>
    </row>
    <row r="109" spans="2:16384">
      <c r="B109" s="1" t="s">
        <v>77</v>
      </c>
      <c r="F109" s="171">
        <f>F107+F98</f>
        <v>262188000</v>
      </c>
      <c r="G109" s="171">
        <f t="shared" ref="G109:Q109" si="8">G107+G98</f>
        <v>650757698.5</v>
      </c>
      <c r="H109" s="171">
        <f t="shared" si="8"/>
        <v>819702104</v>
      </c>
      <c r="I109" s="171">
        <f t="shared" si="8"/>
        <v>823136867</v>
      </c>
      <c r="J109" s="171">
        <f t="shared" si="8"/>
        <v>822539750</v>
      </c>
      <c r="K109" s="171">
        <f t="shared" si="8"/>
        <v>513232250</v>
      </c>
      <c r="L109" s="171">
        <f t="shared" si="8"/>
        <v>502504825.00000012</v>
      </c>
      <c r="M109" s="171">
        <f t="shared" si="8"/>
        <v>946619524</v>
      </c>
      <c r="N109" s="171">
        <f t="shared" si="8"/>
        <v>1524504039</v>
      </c>
      <c r="O109" s="171">
        <f t="shared" si="8"/>
        <v>1230049438.25</v>
      </c>
      <c r="P109" s="171">
        <f t="shared" si="8"/>
        <v>1229811441</v>
      </c>
      <c r="Q109" s="171">
        <f t="shared" si="8"/>
        <v>1219638381</v>
      </c>
    </row>
    <row r="112" spans="2:16384">
      <c r="B112" s="5" t="s">
        <v>162</v>
      </c>
    </row>
    <row r="114" spans="2:18">
      <c r="B114" s="1" t="s">
        <v>241</v>
      </c>
    </row>
    <row r="116" spans="2:18">
      <c r="B116" s="172" t="s">
        <v>293</v>
      </c>
      <c r="F116" s="171" t="e">
        <f>INDEX('AST Bonds'!$E$54:$E$83,MATCH('Value of Debt (listed bonds)'!$B116,'AST Bonds'!$J$54:$J$83,0))*((INDEX('AST Bond Prices'!$B$1:$AG$120,MATCH('Value of Debt (listed bonds)'!F$3,'AST Bond Prices'!$B$1:$B$120,0),MATCH('Value of Debt (listed bonds)'!$B116,'AST Bond Prices'!$B$1:$AG$1,0))/100))</f>
        <v>#N/A</v>
      </c>
      <c r="G116" s="171">
        <f>INDEX('AST Bonds'!$E$54:$E$83,MATCH('Value of Debt (listed bonds)'!$B116,'AST Bonds'!$J$54:$J$83,0))*((INDEX('AST Bond Prices'!$B$1:$AG$120,MATCH('Value of Debt (listed bonds)'!G$3,'AST Bond Prices'!$B$1:$B$120,0),MATCH('Value of Debt (listed bonds)'!$B116,'AST Bond Prices'!$B$1:$AG$1,0))/100))</f>
        <v>302581349.99999994</v>
      </c>
      <c r="H116" s="171">
        <f>INDEX('AST Bonds'!$E$54:$E$83,MATCH('Value of Debt (listed bonds)'!$B116,'AST Bonds'!$J$54:$J$83,0))*((INDEX('AST Bond Prices'!$B$1:$AG$120,MATCH('Value of Debt (listed bonds)'!H$3,'AST Bond Prices'!$B$1:$B$120,0),MATCH('Value of Debt (listed bonds)'!$B116,'AST Bond Prices'!$B$1:$AG$1,0))/100))</f>
        <v>298105475</v>
      </c>
      <c r="I116" s="171">
        <f>INDEX('AST Bonds'!$E$54:$E$83,MATCH('Value of Debt (listed bonds)'!$B116,'AST Bonds'!$J$54:$J$83,0))*((INDEX('AST Bond Prices'!$B$1:$AG$120,MATCH('Value of Debt (listed bonds)'!I$3,'AST Bond Prices'!$B$1:$B$120,0),MATCH('Value of Debt (listed bonds)'!$B116,'AST Bond Prices'!$B$1:$AG$1,0))/100))</f>
        <v>319194700</v>
      </c>
      <c r="J116" s="171">
        <f>INDEX('AST Bonds'!$E$54:$E$83,MATCH('Value of Debt (listed bonds)'!$B116,'AST Bonds'!$J$54:$J$83,0))*((INDEX('AST Bond Prices'!$B$1:$AG$120,MATCH('Value of Debt (listed bonds)'!J$3,'AST Bond Prices'!$B$1:$B$120,0),MATCH('Value of Debt (listed bonds)'!$B116,'AST Bond Prices'!$B$1:$AG$1,0))/100))</f>
        <v>327862800</v>
      </c>
      <c r="K116" s="171">
        <f>INDEX('AST Bonds'!$E$54:$E$83,MATCH('Value of Debt (listed bonds)'!$B116,'AST Bonds'!$J$54:$J$83,0))*((INDEX('AST Bond Prices'!$B$1:$AG$120,MATCH('Value of Debt (listed bonds)'!K$3,'AST Bond Prices'!$B$1:$B$120,0),MATCH('Value of Debt (listed bonds)'!$B116,'AST Bond Prices'!$B$1:$AG$1,0))/100))</f>
        <v>337680750</v>
      </c>
      <c r="L116" s="171">
        <f>INDEX('AST Bonds'!$E$54:$E$83,MATCH('Value of Debt (listed bonds)'!$B116,'AST Bonds'!$J$54:$J$83,0))*((INDEX('AST Bond Prices'!$B$1:$AG$120,MATCH('Value of Debt (listed bonds)'!L$3,'AST Bond Prices'!$B$1:$B$120,0),MATCH('Value of Debt (listed bonds)'!$B116,'AST Bond Prices'!$B$1:$AG$1,0))/100))</f>
        <v>334905250</v>
      </c>
      <c r="M116" s="171">
        <f>INDEX('AST Bonds'!$E$54:$E$83,MATCH('Value of Debt (listed bonds)'!$B116,'AST Bonds'!$J$54:$J$83,0))*((INDEX('AST Bond Prices'!$B$1:$AG$120,MATCH('Value of Debt (listed bonds)'!M$3,'AST Bond Prices'!$B$1:$B$120,0),MATCH('Value of Debt (listed bonds)'!$B116,'AST Bond Prices'!$B$1:$AG$1,0))/100))</f>
        <v>333959750</v>
      </c>
      <c r="N116" s="171">
        <f>INDEX('AST Bonds'!$E$54:$E$83,MATCH('Value of Debt (listed bonds)'!$B116,'AST Bonds'!$J$54:$J$83,0))*((INDEX('AST Bond Prices'!$B$1:$AG$120,MATCH('Value of Debt (listed bonds)'!N$3,'AST Bond Prices'!$B$1:$B$120,0),MATCH('Value of Debt (listed bonds)'!$B116,'AST Bond Prices'!$B$1:$AG$1,0))/100))</f>
        <v>340675850</v>
      </c>
      <c r="O116" s="171">
        <f>INDEX('AST Bonds'!$E$54:$E$83,MATCH('Value of Debt (listed bonds)'!$B116,'AST Bonds'!$J$54:$J$83,0))*((INDEX('AST Bond Prices'!$B$1:$AG$120,MATCH('Value of Debt (listed bonds)'!O$3,'AST Bond Prices'!$B$1:$B$120,0),MATCH('Value of Debt (listed bonds)'!$B116,'AST Bond Prices'!$B$1:$AG$1,0))/100))</f>
        <v>333343650</v>
      </c>
      <c r="P116" s="171">
        <f>INDEX('AST Bonds'!$E$54:$E$83,MATCH('Value of Debt (listed bonds)'!$B116,'AST Bonds'!$J$54:$J$83,0))*((INDEX('AST Bond Prices'!$B$1:$AG$120,MATCH('Value of Debt (listed bonds)'!P$3,'AST Bond Prices'!$B$1:$B$120,0),MATCH('Value of Debt (listed bonds)'!$B116,'AST Bond Prices'!$B$1:$AG$1,0))/100))</f>
        <v>321143650.00000006</v>
      </c>
      <c r="Q116" s="171">
        <f>INDEX('AST Bonds'!$E$54:$E$83,MATCH('Value of Debt (listed bonds)'!$B116,'AST Bonds'!$J$54:$J$83,0))*((INDEX('AST Bond Prices'!$B$1:$AG$120,MATCH('Value of Debt (listed bonds)'!Q$3,'AST Bond Prices'!$B$1:$B$120,0),MATCH('Value of Debt (listed bonds)'!$B116,'AST Bond Prices'!$B$1:$AG$1,0))/100))</f>
        <v>312621949.99999994</v>
      </c>
      <c r="R116" s="171">
        <f>INDEX('AST Bonds'!$E$54:$E$83,MATCH('Value of Debt (listed bonds)'!$B116,'AST Bonds'!$J$54:$J$83,0))*((INDEX('AST Bond Prices'!$B$1:$AG$120,MATCH('Value of Debt (listed bonds)'!R$3,'AST Bond Prices'!$B$1:$B$120,0),MATCH('Value of Debt (listed bonds)'!$B116,'AST Bond Prices'!$B$1:$AG$1,0))/100))</f>
        <v>311380600</v>
      </c>
    </row>
    <row r="117" spans="2:18">
      <c r="B117" s="172" t="s">
        <v>294</v>
      </c>
      <c r="F117" s="171" t="e">
        <f>INDEX('AST Bonds'!$E$54:$E$83,MATCH('Value of Debt (listed bonds)'!$B117,'AST Bonds'!$J$54:$J$83,0))*((INDEX('AST Bond Prices'!$B$1:$AG$120,MATCH('Value of Debt (listed bonds)'!F$3,'AST Bond Prices'!$B$1:$B$120,0),MATCH('Value of Debt (listed bonds)'!$B117,'AST Bond Prices'!$B$1:$AG$1,0))/100))</f>
        <v>#N/A</v>
      </c>
      <c r="G117" s="171">
        <f>INDEX('AST Bonds'!$E$54:$E$83,MATCH('Value of Debt (listed bonds)'!$B117,'AST Bonds'!$J$54:$J$83,0))*((INDEX('AST Bond Prices'!$B$1:$AG$120,MATCH('Value of Debt (listed bonds)'!G$3,'AST Bond Prices'!$B$1:$B$120,0),MATCH('Value of Debt (listed bonds)'!$B117,'AST Bond Prices'!$B$1:$AG$1,0))/100))</f>
        <v>29740950</v>
      </c>
      <c r="H117" s="171">
        <f>INDEX('AST Bonds'!$E$54:$E$83,MATCH('Value of Debt (listed bonds)'!$B117,'AST Bonds'!$J$54:$J$83,0))*((INDEX('AST Bond Prices'!$B$1:$AG$120,MATCH('Value of Debt (listed bonds)'!H$3,'AST Bond Prices'!$B$1:$B$120,0),MATCH('Value of Debt (listed bonds)'!$B117,'AST Bond Prices'!$B$1:$AG$1,0))/100))</f>
        <v>28427550</v>
      </c>
      <c r="I117" s="171">
        <f>INDEX('AST Bonds'!$E$54:$E$83,MATCH('Value of Debt (listed bonds)'!$B117,'AST Bonds'!$J$54:$J$83,0))*((INDEX('AST Bond Prices'!$B$1:$AG$120,MATCH('Value of Debt (listed bonds)'!I$3,'AST Bond Prices'!$B$1:$B$120,0),MATCH('Value of Debt (listed bonds)'!$B117,'AST Bond Prices'!$B$1:$AG$1,0))/100))</f>
        <v>29168399.999999996</v>
      </c>
      <c r="J117" s="171">
        <f>INDEX('AST Bonds'!$E$54:$E$83,MATCH('Value of Debt (listed bonds)'!$B117,'AST Bonds'!$J$54:$J$83,0))*((INDEX('AST Bond Prices'!$B$1:$AG$120,MATCH('Value of Debt (listed bonds)'!J$3,'AST Bond Prices'!$B$1:$B$120,0),MATCH('Value of Debt (listed bonds)'!$B117,'AST Bond Prices'!$B$1:$AG$1,0))/100))</f>
        <v>30485399.999999996</v>
      </c>
      <c r="K117" s="171">
        <f>INDEX('AST Bonds'!$E$54:$E$83,MATCH('Value of Debt (listed bonds)'!$B117,'AST Bonds'!$J$54:$J$83,0))*((INDEX('AST Bond Prices'!$B$1:$AG$120,MATCH('Value of Debt (listed bonds)'!K$3,'AST Bond Prices'!$B$1:$B$120,0),MATCH('Value of Debt (listed bonds)'!$B117,'AST Bond Prices'!$B$1:$AG$1,0))/100))</f>
        <v>31810800</v>
      </c>
      <c r="L117" s="171">
        <f>INDEX('AST Bonds'!$E$54:$E$83,MATCH('Value of Debt (listed bonds)'!$B117,'AST Bonds'!$J$54:$J$83,0))*((INDEX('AST Bond Prices'!$B$1:$AG$120,MATCH('Value of Debt (listed bonds)'!L$3,'AST Bond Prices'!$B$1:$B$120,0),MATCH('Value of Debt (listed bonds)'!$B117,'AST Bond Prices'!$B$1:$AG$1,0))/100))</f>
        <v>30978900.000000004</v>
      </c>
      <c r="M117" s="171">
        <f>INDEX('AST Bonds'!$E$54:$E$83,MATCH('Value of Debt (listed bonds)'!$B117,'AST Bonds'!$J$54:$J$83,0))*((INDEX('AST Bond Prices'!$B$1:$AG$120,MATCH('Value of Debt (listed bonds)'!M$3,'AST Bond Prices'!$B$1:$B$120,0),MATCH('Value of Debt (listed bonds)'!$B117,'AST Bond Prices'!$B$1:$AG$1,0))/100))</f>
        <v>32923799.999999996</v>
      </c>
      <c r="N117" s="171">
        <f>INDEX('AST Bonds'!$E$54:$E$83,MATCH('Value of Debt (listed bonds)'!$B117,'AST Bonds'!$J$54:$J$83,0))*((INDEX('AST Bond Prices'!$B$1:$AG$120,MATCH('Value of Debt (listed bonds)'!N$3,'AST Bond Prices'!$B$1:$B$120,0),MATCH('Value of Debt (listed bonds)'!$B117,'AST Bond Prices'!$B$1:$AG$1,0))/100))</f>
        <v>33345300</v>
      </c>
      <c r="O117" s="171">
        <f>INDEX('AST Bonds'!$E$54:$E$83,MATCH('Value of Debt (listed bonds)'!$B117,'AST Bonds'!$J$54:$J$83,0))*((INDEX('AST Bond Prices'!$B$1:$AG$120,MATCH('Value of Debt (listed bonds)'!O$3,'AST Bond Prices'!$B$1:$B$120,0),MATCH('Value of Debt (listed bonds)'!$B117,'AST Bond Prices'!$B$1:$AG$1,0))/100))</f>
        <v>32779499.999999996</v>
      </c>
      <c r="P117" s="171">
        <f>INDEX('AST Bonds'!$E$54:$E$83,MATCH('Value of Debt (listed bonds)'!$B117,'AST Bonds'!$J$54:$J$83,0))*((INDEX('AST Bond Prices'!$B$1:$AG$120,MATCH('Value of Debt (listed bonds)'!P$3,'AST Bond Prices'!$B$1:$B$120,0),MATCH('Value of Debt (listed bonds)'!$B117,'AST Bond Prices'!$B$1:$AG$1,0))/100))</f>
        <v>31588200</v>
      </c>
      <c r="Q117" s="171">
        <f>INDEX('AST Bonds'!$E$54:$E$83,MATCH('Value of Debt (listed bonds)'!$B117,'AST Bonds'!$J$54:$J$83,0))*((INDEX('AST Bond Prices'!$B$1:$AG$120,MATCH('Value of Debt (listed bonds)'!Q$3,'AST Bond Prices'!$B$1:$B$120,0),MATCH('Value of Debt (listed bonds)'!$B117,'AST Bond Prices'!$B$1:$AG$1,0))/100))</f>
        <v>30749699.999999996</v>
      </c>
      <c r="R117" s="171">
        <f>INDEX('AST Bonds'!$E$54:$E$83,MATCH('Value of Debt (listed bonds)'!$B117,'AST Bonds'!$J$54:$J$83,0))*((INDEX('AST Bond Prices'!$B$1:$AG$120,MATCH('Value of Debt (listed bonds)'!R$3,'AST Bond Prices'!$B$1:$B$120,0),MATCH('Value of Debt (listed bonds)'!$B117,'AST Bond Prices'!$B$1:$AG$1,0))/100))</f>
        <v>30628800.000000004</v>
      </c>
    </row>
    <row r="118" spans="2:18">
      <c r="B118" s="172" t="s">
        <v>295</v>
      </c>
      <c r="F118" s="171" t="e">
        <f>INDEX('AST Bonds'!$E$54:$E$83,MATCH('Value of Debt (listed bonds)'!$B118,'AST Bonds'!$J$54:$J$83,0))*((INDEX('AST Bond Prices'!$B$1:$AG$120,MATCH('Value of Debt (listed bonds)'!F$3,'AST Bond Prices'!$B$1:$B$120,0),MATCH('Value of Debt (listed bonds)'!$B118,'AST Bond Prices'!$B$1:$AG$1,0))/100))</f>
        <v>#N/A</v>
      </c>
      <c r="G118" s="171">
        <f>INDEX('AST Bonds'!$E$54:$E$83,MATCH('Value of Debt (listed bonds)'!$B118,'AST Bonds'!$J$54:$J$83,0))*((INDEX('AST Bond Prices'!$B$1:$AG$120,MATCH('Value of Debt (listed bonds)'!G$3,'AST Bond Prices'!$B$1:$B$120,0),MATCH('Value of Debt (listed bonds)'!$B118,'AST Bond Prices'!$B$1:$AG$1,0))/100))</f>
        <v>0</v>
      </c>
      <c r="H118" s="171">
        <f>INDEX('AST Bonds'!$E$54:$E$83,MATCH('Value of Debt (listed bonds)'!$B118,'AST Bonds'!$J$54:$J$83,0))*((INDEX('AST Bond Prices'!$B$1:$AG$120,MATCH('Value of Debt (listed bonds)'!H$3,'AST Bond Prices'!$B$1:$B$120,0),MATCH('Value of Debt (listed bonds)'!$B118,'AST Bond Prices'!$B$1:$AG$1,0))/100))</f>
        <v>0</v>
      </c>
      <c r="I118" s="171">
        <f>INDEX('AST Bonds'!$E$54:$E$83,MATCH('Value of Debt (listed bonds)'!$B118,'AST Bonds'!$J$54:$J$83,0))*((INDEX('AST Bond Prices'!$B$1:$AG$120,MATCH('Value of Debt (listed bonds)'!I$3,'AST Bond Prices'!$B$1:$B$120,0),MATCH('Value of Debt (listed bonds)'!$B118,'AST Bond Prices'!$B$1:$AG$1,0))/100))</f>
        <v>560311075.70617998</v>
      </c>
      <c r="J118" s="171">
        <f>INDEX('AST Bonds'!$E$54:$E$83,MATCH('Value of Debt (listed bonds)'!$B118,'AST Bonds'!$J$54:$J$83,0))*((INDEX('AST Bond Prices'!$B$1:$AG$120,MATCH('Value of Debt (listed bonds)'!J$3,'AST Bond Prices'!$B$1:$B$120,0),MATCH('Value of Debt (listed bonds)'!$B118,'AST Bond Prices'!$B$1:$AG$1,0))/100))</f>
        <v>568924381.00197995</v>
      </c>
      <c r="K118" s="171">
        <f>INDEX('AST Bonds'!$E$54:$E$83,MATCH('Value of Debt (listed bonds)'!$B118,'AST Bonds'!$J$54:$J$83,0))*((INDEX('AST Bond Prices'!$B$1:$AG$120,MATCH('Value of Debt (listed bonds)'!K$3,'AST Bond Prices'!$B$1:$B$120,0),MATCH('Value of Debt (listed bonds)'!$B118,'AST Bond Prices'!$B$1:$AG$1,0))/100))</f>
        <v>600093130.94888997</v>
      </c>
      <c r="L118" s="171">
        <f>INDEX('AST Bonds'!$E$54:$E$83,MATCH('Value of Debt (listed bonds)'!$B118,'AST Bonds'!$J$54:$J$83,0))*((INDEX('AST Bond Prices'!$B$1:$AG$120,MATCH('Value of Debt (listed bonds)'!L$3,'AST Bond Prices'!$B$1:$B$120,0),MATCH('Value of Debt (listed bonds)'!$B118,'AST Bond Prices'!$B$1:$AG$1,0))/100))</f>
        <v>586337786.16626</v>
      </c>
      <c r="M118" s="171">
        <f>INDEX('AST Bonds'!$E$54:$E$83,MATCH('Value of Debt (listed bonds)'!$B118,'AST Bonds'!$J$54:$J$83,0))*((INDEX('AST Bond Prices'!$B$1:$AG$120,MATCH('Value of Debt (listed bonds)'!M$3,'AST Bond Prices'!$B$1:$B$120,0),MATCH('Value of Debt (listed bonds)'!$B118,'AST Bond Prices'!$B$1:$AG$1,0))/100))</f>
        <v>584729277.3459599</v>
      </c>
      <c r="N118" s="171">
        <f>INDEX('AST Bonds'!$E$54:$E$83,MATCH('Value of Debt (listed bonds)'!$B118,'AST Bonds'!$J$54:$J$83,0))*((INDEX('AST Bond Prices'!$B$1:$AG$120,MATCH('Value of Debt (listed bonds)'!N$3,'AST Bond Prices'!$B$1:$B$120,0),MATCH('Value of Debt (listed bonds)'!$B118,'AST Bond Prices'!$B$1:$AG$1,0))/100))</f>
        <v>587001944.64689994</v>
      </c>
      <c r="O118" s="171">
        <f>INDEX('AST Bonds'!$E$54:$E$83,MATCH('Value of Debt (listed bonds)'!$B118,'AST Bonds'!$J$54:$J$83,0))*((INDEX('AST Bond Prices'!$B$1:$AG$120,MATCH('Value of Debt (listed bonds)'!O$3,'AST Bond Prices'!$B$1:$B$120,0),MATCH('Value of Debt (listed bonds)'!$B118,'AST Bond Prices'!$B$1:$AG$1,0))/100))</f>
        <v>569080043.14587998</v>
      </c>
      <c r="P118" s="171">
        <f>INDEX('AST Bonds'!$E$54:$E$83,MATCH('Value of Debt (listed bonds)'!$B118,'AST Bonds'!$J$54:$J$83,0))*((INDEX('AST Bond Prices'!$B$1:$AG$120,MATCH('Value of Debt (listed bonds)'!P$3,'AST Bond Prices'!$B$1:$B$120,0),MATCH('Value of Debt (listed bonds)'!$B118,'AST Bond Prices'!$B$1:$AG$1,0))/100))</f>
        <v>560259188.32488</v>
      </c>
      <c r="Q118" s="171">
        <f>INDEX('AST Bonds'!$E$54:$E$83,MATCH('Value of Debt (listed bonds)'!$B118,'AST Bonds'!$J$54:$J$83,0))*((INDEX('AST Bond Prices'!$B$1:$AG$120,MATCH('Value of Debt (listed bonds)'!Q$3,'AST Bond Prices'!$B$1:$B$120,0),MATCH('Value of Debt (listed bonds)'!$B118,'AST Bond Prices'!$B$1:$AG$1,0))/100))</f>
        <v>552195889.27085996</v>
      </c>
      <c r="R118" s="171">
        <f>INDEX('AST Bonds'!$E$54:$E$83,MATCH('Value of Debt (listed bonds)'!$B118,'AST Bonds'!$J$54:$J$83,0))*((INDEX('AST Bond Prices'!$B$1:$AG$120,MATCH('Value of Debt (listed bonds)'!R$3,'AST Bond Prices'!$B$1:$B$120,0),MATCH('Value of Debt (listed bonds)'!$B118,'AST Bond Prices'!$B$1:$AG$1,0))/100))</f>
        <v>549419914.37131</v>
      </c>
    </row>
    <row r="119" spans="2:18">
      <c r="B119" s="172" t="s">
        <v>296</v>
      </c>
      <c r="F119" s="171" t="e">
        <f>INDEX('AST Bonds'!$E$54:$E$83,MATCH('Value of Debt (listed bonds)'!$B119,'AST Bonds'!$J$54:$J$83,0))*((INDEX('AST Bond Prices'!$B$1:$AG$120,MATCH('Value of Debt (listed bonds)'!F$3,'AST Bond Prices'!$B$1:$B$120,0),MATCH('Value of Debt (listed bonds)'!$B119,'AST Bond Prices'!$B$1:$AG$1,0))/100))</f>
        <v>#N/A</v>
      </c>
      <c r="G119" s="171">
        <f>INDEX('AST Bonds'!$E$54:$E$83,MATCH('Value of Debt (listed bonds)'!$B119,'AST Bonds'!$J$54:$J$83,0))*((INDEX('AST Bond Prices'!$B$1:$AG$120,MATCH('Value of Debt (listed bonds)'!G$3,'AST Bond Prices'!$B$1:$B$120,0),MATCH('Value of Debt (listed bonds)'!$B119,'AST Bond Prices'!$B$1:$AG$1,0))/100))</f>
        <v>0</v>
      </c>
      <c r="H119" s="171">
        <f>INDEX('AST Bonds'!$E$54:$E$83,MATCH('Value of Debt (listed bonds)'!$B119,'AST Bonds'!$J$54:$J$83,0))*((INDEX('AST Bond Prices'!$B$1:$AG$120,MATCH('Value of Debt (listed bonds)'!H$3,'AST Bond Prices'!$B$1:$B$120,0),MATCH('Value of Debt (listed bonds)'!$B119,'AST Bond Prices'!$B$1:$AG$1,0))/100))</f>
        <v>0</v>
      </c>
      <c r="I119" s="171">
        <f>INDEX('AST Bonds'!$E$54:$E$83,MATCH('Value of Debt (listed bonds)'!$B119,'AST Bonds'!$J$54:$J$83,0))*((INDEX('AST Bond Prices'!$B$1:$AG$120,MATCH('Value of Debt (listed bonds)'!I$3,'AST Bond Prices'!$B$1:$B$120,0),MATCH('Value of Debt (listed bonds)'!$B119,'AST Bond Prices'!$B$1:$AG$1,0))/100))</f>
        <v>0</v>
      </c>
      <c r="J119" s="171">
        <f>INDEX('AST Bonds'!$E$54:$E$83,MATCH('Value of Debt (listed bonds)'!$B119,'AST Bonds'!$J$54:$J$83,0))*((INDEX('AST Bond Prices'!$B$1:$AG$120,MATCH('Value of Debt (listed bonds)'!J$3,'AST Bond Prices'!$B$1:$B$120,0),MATCH('Value of Debt (listed bonds)'!$B119,'AST Bond Prices'!$B$1:$AG$1,0))/100))</f>
        <v>128578749.99999999</v>
      </c>
      <c r="K119" s="171">
        <f>INDEX('AST Bonds'!$E$54:$E$83,MATCH('Value of Debt (listed bonds)'!$B119,'AST Bonds'!$J$54:$J$83,0))*((INDEX('AST Bond Prices'!$B$1:$AG$120,MATCH('Value of Debt (listed bonds)'!K$3,'AST Bond Prices'!$B$1:$B$120,0),MATCH('Value of Debt (listed bonds)'!$B119,'AST Bond Prices'!$B$1:$AG$1,0))/100))</f>
        <v>136243750</v>
      </c>
      <c r="L119" s="171">
        <f>INDEX('AST Bonds'!$E$54:$E$83,MATCH('Value of Debt (listed bonds)'!$B119,'AST Bonds'!$J$54:$J$83,0))*((INDEX('AST Bond Prices'!$B$1:$AG$120,MATCH('Value of Debt (listed bonds)'!L$3,'AST Bond Prices'!$B$1:$B$120,0),MATCH('Value of Debt (listed bonds)'!$B119,'AST Bond Prices'!$B$1:$AG$1,0))/100))</f>
        <v>131361249.99999999</v>
      </c>
      <c r="M119" s="171">
        <f>INDEX('AST Bonds'!$E$54:$E$83,MATCH('Value of Debt (listed bonds)'!$B119,'AST Bonds'!$J$54:$J$83,0))*((INDEX('AST Bond Prices'!$B$1:$AG$120,MATCH('Value of Debt (listed bonds)'!M$3,'AST Bond Prices'!$B$1:$B$120,0),MATCH('Value of Debt (listed bonds)'!$B119,'AST Bond Prices'!$B$1:$AG$1,0))/100))</f>
        <v>135613750</v>
      </c>
      <c r="N119" s="171">
        <f>INDEX('AST Bonds'!$E$54:$E$83,MATCH('Value of Debt (listed bonds)'!$B119,'AST Bonds'!$J$54:$J$83,0))*((INDEX('AST Bond Prices'!$B$1:$AG$120,MATCH('Value of Debt (listed bonds)'!N$3,'AST Bond Prices'!$B$1:$B$120,0),MATCH('Value of Debt (listed bonds)'!$B119,'AST Bond Prices'!$B$1:$AG$1,0))/100))</f>
        <v>140550000</v>
      </c>
      <c r="O119" s="171">
        <f>INDEX('AST Bonds'!$E$54:$E$83,MATCH('Value of Debt (listed bonds)'!$B119,'AST Bonds'!$J$54:$J$83,0))*((INDEX('AST Bond Prices'!$B$1:$AG$120,MATCH('Value of Debt (listed bonds)'!O$3,'AST Bond Prices'!$B$1:$B$120,0),MATCH('Value of Debt (listed bonds)'!$B119,'AST Bond Prices'!$B$1:$AG$1,0))/100))</f>
        <v>141621250</v>
      </c>
      <c r="P119" s="171">
        <f>INDEX('AST Bonds'!$E$54:$E$83,MATCH('Value of Debt (listed bonds)'!$B119,'AST Bonds'!$J$54:$J$83,0))*((INDEX('AST Bond Prices'!$B$1:$AG$120,MATCH('Value of Debt (listed bonds)'!P$3,'AST Bond Prices'!$B$1:$B$120,0),MATCH('Value of Debt (listed bonds)'!$B119,'AST Bond Prices'!$B$1:$AG$1,0))/100))</f>
        <v>140946250</v>
      </c>
      <c r="Q119" s="171">
        <f>INDEX('AST Bonds'!$E$54:$E$83,MATCH('Value of Debt (listed bonds)'!$B119,'AST Bonds'!$J$54:$J$83,0))*((INDEX('AST Bond Prices'!$B$1:$AG$120,MATCH('Value of Debt (listed bonds)'!Q$3,'AST Bond Prices'!$B$1:$B$120,0),MATCH('Value of Debt (listed bonds)'!$B119,'AST Bond Prices'!$B$1:$AG$1,0))/100))</f>
        <v>135791250</v>
      </c>
      <c r="R119" s="171">
        <f>INDEX('AST Bonds'!$E$54:$E$83,MATCH('Value of Debt (listed bonds)'!$B119,'AST Bonds'!$J$54:$J$83,0))*((INDEX('AST Bond Prices'!$B$1:$AG$120,MATCH('Value of Debt (listed bonds)'!R$3,'AST Bond Prices'!$B$1:$B$120,0),MATCH('Value of Debt (listed bonds)'!$B119,'AST Bond Prices'!$B$1:$AG$1,0))/100))</f>
        <v>134792500</v>
      </c>
    </row>
    <row r="120" spans="2:18">
      <c r="B120" s="172" t="s">
        <v>297</v>
      </c>
      <c r="F120" s="171" t="e">
        <f>INDEX('AST Bonds'!$E$54:$E$83,MATCH('Value of Debt (listed bonds)'!$B120,'AST Bonds'!$J$54:$J$83,0))*((INDEX('AST Bond Prices'!$B$1:$AG$120,MATCH('Value of Debt (listed bonds)'!F$3,'AST Bond Prices'!$B$1:$B$120,0),MATCH('Value of Debt (listed bonds)'!$B120,'AST Bond Prices'!$B$1:$AG$1,0))/100))</f>
        <v>#N/A</v>
      </c>
      <c r="G120" s="171">
        <f>INDEX('AST Bonds'!$E$54:$E$83,MATCH('Value of Debt (listed bonds)'!$B120,'AST Bonds'!$J$54:$J$83,0))*((INDEX('AST Bond Prices'!$B$1:$AG$120,MATCH('Value of Debt (listed bonds)'!G$3,'AST Bond Prices'!$B$1:$B$120,0),MATCH('Value of Debt (listed bonds)'!$B120,'AST Bond Prices'!$B$1:$AG$1,0))/100))</f>
        <v>0</v>
      </c>
      <c r="H120" s="171">
        <f>INDEX('AST Bonds'!$E$54:$E$83,MATCH('Value of Debt (listed bonds)'!$B120,'AST Bonds'!$J$54:$J$83,0))*((INDEX('AST Bond Prices'!$B$1:$AG$120,MATCH('Value of Debt (listed bonds)'!H$3,'AST Bond Prices'!$B$1:$B$120,0),MATCH('Value of Debt (listed bonds)'!$B120,'AST Bond Prices'!$B$1:$AG$1,0))/100))</f>
        <v>0</v>
      </c>
      <c r="I120" s="171">
        <f>INDEX('AST Bonds'!$E$54:$E$83,MATCH('Value of Debt (listed bonds)'!$B120,'AST Bonds'!$J$54:$J$83,0))*((INDEX('AST Bond Prices'!$B$1:$AG$120,MATCH('Value of Debt (listed bonds)'!I$3,'AST Bond Prices'!$B$1:$B$120,0),MATCH('Value of Debt (listed bonds)'!$B120,'AST Bond Prices'!$B$1:$AG$1,0))/100))</f>
        <v>0</v>
      </c>
      <c r="J120" s="171">
        <f>INDEX('AST Bonds'!$E$54:$E$83,MATCH('Value of Debt (listed bonds)'!$B120,'AST Bonds'!$J$54:$J$83,0))*((INDEX('AST Bond Prices'!$B$1:$AG$120,MATCH('Value of Debt (listed bonds)'!J$3,'AST Bond Prices'!$B$1:$B$120,0),MATCH('Value of Debt (listed bonds)'!$B120,'AST Bond Prices'!$B$1:$AG$1,0))/100))</f>
        <v>0</v>
      </c>
      <c r="K120" s="171">
        <f>INDEX('AST Bonds'!$E$54:$E$83,MATCH('Value of Debt (listed bonds)'!$B120,'AST Bonds'!$J$54:$J$83,0))*((INDEX('AST Bond Prices'!$B$1:$AG$120,MATCH('Value of Debt (listed bonds)'!K$3,'AST Bond Prices'!$B$1:$B$120,0),MATCH('Value of Debt (listed bonds)'!$B120,'AST Bond Prices'!$B$1:$AG$1,0))/100))</f>
        <v>0</v>
      </c>
      <c r="L120" s="171">
        <f>INDEX('AST Bonds'!$E$54:$E$83,MATCH('Value of Debt (listed bonds)'!$B120,'AST Bonds'!$J$54:$J$83,0))*((INDEX('AST Bond Prices'!$B$1:$AG$120,MATCH('Value of Debt (listed bonds)'!L$3,'AST Bond Prices'!$B$1:$B$120,0),MATCH('Value of Debt (listed bonds)'!$B120,'AST Bond Prices'!$B$1:$AG$1,0))/100))</f>
        <v>100047242.27385001</v>
      </c>
      <c r="M120" s="171">
        <f>INDEX('AST Bonds'!$E$54:$E$83,MATCH('Value of Debt (listed bonds)'!$B120,'AST Bonds'!$J$54:$J$83,0))*((INDEX('AST Bond Prices'!$B$1:$AG$120,MATCH('Value of Debt (listed bonds)'!M$3,'AST Bond Prices'!$B$1:$B$120,0),MATCH('Value of Debt (listed bonds)'!$B120,'AST Bond Prices'!$B$1:$AG$1,0))/100))</f>
        <v>95335881.749099985</v>
      </c>
      <c r="N120" s="171">
        <f>INDEX('AST Bonds'!$E$54:$E$83,MATCH('Value of Debt (listed bonds)'!$B120,'AST Bonds'!$J$54:$J$83,0))*((INDEX('AST Bond Prices'!$B$1:$AG$120,MATCH('Value of Debt (listed bonds)'!N$3,'AST Bond Prices'!$B$1:$B$120,0),MATCH('Value of Debt (listed bonds)'!$B120,'AST Bond Prices'!$B$1:$AG$1,0))/100))</f>
        <v>102083416.47765002</v>
      </c>
      <c r="O120" s="171">
        <f>INDEX('AST Bonds'!$E$54:$E$83,MATCH('Value of Debt (listed bonds)'!$B120,'AST Bonds'!$J$54:$J$83,0))*((INDEX('AST Bond Prices'!$B$1:$AG$120,MATCH('Value of Debt (listed bonds)'!O$3,'AST Bond Prices'!$B$1:$B$120,0),MATCH('Value of Debt (listed bonds)'!$B120,'AST Bond Prices'!$B$1:$AG$1,0))/100))</f>
        <v>104946663.37545002</v>
      </c>
      <c r="P120" s="171">
        <f>INDEX('AST Bonds'!$E$54:$E$83,MATCH('Value of Debt (listed bonds)'!$B120,'AST Bonds'!$J$54:$J$83,0))*((INDEX('AST Bond Prices'!$B$1:$AG$120,MATCH('Value of Debt (listed bonds)'!P$3,'AST Bond Prices'!$B$1:$B$120,0),MATCH('Value of Debt (listed bonds)'!$B120,'AST Bond Prices'!$B$1:$AG$1,0))/100))</f>
        <v>105221369.66309999</v>
      </c>
      <c r="Q120" s="171">
        <f>INDEX('AST Bonds'!$E$54:$E$83,MATCH('Value of Debt (listed bonds)'!$B120,'AST Bonds'!$J$54:$J$83,0))*((INDEX('AST Bond Prices'!$B$1:$AG$120,MATCH('Value of Debt (listed bonds)'!Q$3,'AST Bond Prices'!$B$1:$B$120,0),MATCH('Value of Debt (listed bonds)'!$B120,'AST Bond Prices'!$B$1:$AG$1,0))/100))</f>
        <v>103233441.36645</v>
      </c>
      <c r="R120" s="171">
        <f>INDEX('AST Bonds'!$E$54:$E$83,MATCH('Value of Debt (listed bonds)'!$B120,'AST Bonds'!$J$54:$J$83,0))*((INDEX('AST Bond Prices'!$B$1:$AG$120,MATCH('Value of Debt (listed bonds)'!R$3,'AST Bond Prices'!$B$1:$B$120,0),MATCH('Value of Debt (listed bonds)'!$B120,'AST Bond Prices'!$B$1:$AG$1,0))/100))</f>
        <v>101790002.59334999</v>
      </c>
    </row>
    <row r="121" spans="2:18">
      <c r="B121" s="172" t="s">
        <v>298</v>
      </c>
      <c r="F121" s="171" t="e">
        <f>INDEX('AST Bonds'!$E$54:$E$83,MATCH('Value of Debt (listed bonds)'!$B121,'AST Bonds'!$J$54:$J$83,0))*((INDEX('AST Bond Prices'!$B$1:$AG$120,MATCH('Value of Debt (listed bonds)'!F$3,'AST Bond Prices'!$B$1:$B$120,0),MATCH('Value of Debt (listed bonds)'!$B121,'AST Bond Prices'!$B$1:$AG$1,0))/100))</f>
        <v>#N/A</v>
      </c>
      <c r="G121" s="171">
        <f>INDEX('AST Bonds'!$E$54:$E$83,MATCH('Value of Debt (listed bonds)'!$B121,'AST Bonds'!$J$54:$J$83,0))*((INDEX('AST Bond Prices'!$B$1:$AG$120,MATCH('Value of Debt (listed bonds)'!G$3,'AST Bond Prices'!$B$1:$B$120,0),MATCH('Value of Debt (listed bonds)'!$B121,'AST Bond Prices'!$B$1:$AG$1,0))/100))</f>
        <v>0</v>
      </c>
      <c r="H121" s="171">
        <f>INDEX('AST Bonds'!$E$54:$E$83,MATCH('Value of Debt (listed bonds)'!$B121,'AST Bonds'!$J$54:$J$83,0))*((INDEX('AST Bond Prices'!$B$1:$AG$120,MATCH('Value of Debt (listed bonds)'!H$3,'AST Bond Prices'!$B$1:$B$120,0),MATCH('Value of Debt (listed bonds)'!$B121,'AST Bond Prices'!$B$1:$AG$1,0))/100))</f>
        <v>0</v>
      </c>
      <c r="I121" s="171">
        <f>INDEX('AST Bonds'!$E$54:$E$83,MATCH('Value of Debt (listed bonds)'!$B121,'AST Bonds'!$J$54:$J$83,0))*((INDEX('AST Bond Prices'!$B$1:$AG$120,MATCH('Value of Debt (listed bonds)'!I$3,'AST Bond Prices'!$B$1:$B$120,0),MATCH('Value of Debt (listed bonds)'!$B121,'AST Bond Prices'!$B$1:$AG$1,0))/100))</f>
        <v>0</v>
      </c>
      <c r="J121" s="171">
        <f>INDEX('AST Bonds'!$E$54:$E$83,MATCH('Value of Debt (listed bonds)'!$B121,'AST Bonds'!$J$54:$J$83,0))*((INDEX('AST Bond Prices'!$B$1:$AG$120,MATCH('Value of Debt (listed bonds)'!J$3,'AST Bond Prices'!$B$1:$B$120,0),MATCH('Value of Debt (listed bonds)'!$B121,'AST Bond Prices'!$B$1:$AG$1,0))/100))</f>
        <v>0</v>
      </c>
      <c r="K121" s="171">
        <f>INDEX('AST Bonds'!$E$54:$E$83,MATCH('Value of Debt (listed bonds)'!$B121,'AST Bonds'!$J$54:$J$83,0))*((INDEX('AST Bond Prices'!$B$1:$AG$120,MATCH('Value of Debt (listed bonds)'!K$3,'AST Bond Prices'!$B$1:$B$120,0),MATCH('Value of Debt (listed bonds)'!$B121,'AST Bond Prices'!$B$1:$AG$1,0))/100))</f>
        <v>0</v>
      </c>
      <c r="L121" s="171">
        <f>INDEX('AST Bonds'!$E$54:$E$83,MATCH('Value of Debt (listed bonds)'!$B121,'AST Bonds'!$J$54:$J$83,0))*((INDEX('AST Bond Prices'!$B$1:$AG$120,MATCH('Value of Debt (listed bonds)'!L$3,'AST Bond Prices'!$B$1:$B$120,0),MATCH('Value of Debt (listed bonds)'!$B121,'AST Bond Prices'!$B$1:$AG$1,0))/100))</f>
        <v>111725929.79228</v>
      </c>
      <c r="M121" s="171">
        <f>INDEX('AST Bonds'!$E$54:$E$83,MATCH('Value of Debt (listed bonds)'!$B121,'AST Bonds'!$J$54:$J$83,0))*((INDEX('AST Bond Prices'!$B$1:$AG$120,MATCH('Value of Debt (listed bonds)'!M$3,'AST Bond Prices'!$B$1:$B$120,0),MATCH('Value of Debt (listed bonds)'!$B121,'AST Bond Prices'!$B$1:$AG$1,0))/100))</f>
        <v>106461760.04016</v>
      </c>
      <c r="N121" s="171">
        <f>INDEX('AST Bonds'!$E$54:$E$83,MATCH('Value of Debt (listed bonds)'!$B121,'AST Bonds'!$J$54:$J$83,0))*((INDEX('AST Bond Prices'!$B$1:$AG$120,MATCH('Value of Debt (listed bonds)'!N$3,'AST Bond Prices'!$B$1:$B$120,0),MATCH('Value of Debt (listed bonds)'!$B121,'AST Bond Prices'!$B$1:$AG$1,0))/100))</f>
        <v>113966142.35332002</v>
      </c>
      <c r="O121" s="171">
        <f>INDEX('AST Bonds'!$E$54:$E$83,MATCH('Value of Debt (listed bonds)'!$B121,'AST Bonds'!$J$54:$J$83,0))*((INDEX('AST Bond Prices'!$B$1:$AG$120,MATCH('Value of Debt (listed bonds)'!O$3,'AST Bond Prices'!$B$1:$B$120,0),MATCH('Value of Debt (listed bonds)'!$B121,'AST Bond Prices'!$B$1:$AG$1,0))/100))</f>
        <v>117162677.25396001</v>
      </c>
      <c r="P121" s="171">
        <f>INDEX('AST Bonds'!$E$54:$E$83,MATCH('Value of Debt (listed bonds)'!$B121,'AST Bonds'!$J$54:$J$83,0))*((INDEX('AST Bond Prices'!$B$1:$AG$120,MATCH('Value of Debt (listed bonds)'!P$3,'AST Bond Prices'!$B$1:$B$120,0),MATCH('Value of Debt (listed bonds)'!$B121,'AST Bond Prices'!$B$1:$AG$1,0))/100))</f>
        <v>117469359.93528</v>
      </c>
      <c r="Q121" s="171">
        <f>INDEX('AST Bonds'!$E$54:$E$83,MATCH('Value of Debt (listed bonds)'!$B121,'AST Bonds'!$J$54:$J$83,0))*((INDEX('AST Bond Prices'!$B$1:$AG$120,MATCH('Value of Debt (listed bonds)'!Q$3,'AST Bond Prices'!$B$1:$B$120,0),MATCH('Value of Debt (listed bonds)'!$B121,'AST Bond Prices'!$B$1:$AG$1,0))/100))</f>
        <v>115250032.57476</v>
      </c>
      <c r="R121" s="171">
        <f>INDEX('AST Bonds'!$E$54:$E$83,MATCH('Value of Debt (listed bonds)'!$B121,'AST Bonds'!$J$54:$J$83,0))*((INDEX('AST Bond Prices'!$B$1:$AG$120,MATCH('Value of Debt (listed bonds)'!R$3,'AST Bond Prices'!$B$1:$B$120,0),MATCH('Value of Debt (listed bonds)'!$B121,'AST Bond Prices'!$B$1:$AG$1,0))/100))</f>
        <v>113638574.47147998</v>
      </c>
    </row>
    <row r="122" spans="2:18">
      <c r="B122" s="172" t="s">
        <v>299</v>
      </c>
      <c r="F122" s="171" t="e">
        <f>INDEX('AST Bonds'!$E$54:$E$83,MATCH('Value of Debt (listed bonds)'!$B122,'AST Bonds'!$J$54:$J$83,0))*((INDEX('AST Bond Prices'!$B$1:$AG$120,MATCH('Value of Debt (listed bonds)'!F$3,'AST Bond Prices'!$B$1:$B$120,0),MATCH('Value of Debt (listed bonds)'!$B122,'AST Bond Prices'!$B$1:$AG$1,0))/100))</f>
        <v>#N/A</v>
      </c>
      <c r="G122" s="171">
        <f>INDEX('AST Bonds'!$E$54:$E$83,MATCH('Value of Debt (listed bonds)'!$B122,'AST Bonds'!$J$54:$J$83,0))*((INDEX('AST Bond Prices'!$B$1:$AG$120,MATCH('Value of Debt (listed bonds)'!G$3,'AST Bond Prices'!$B$1:$B$120,0),MATCH('Value of Debt (listed bonds)'!$B122,'AST Bond Prices'!$B$1:$AG$1,0))/100))</f>
        <v>0</v>
      </c>
      <c r="H122" s="171">
        <f>INDEX('AST Bonds'!$E$54:$E$83,MATCH('Value of Debt (listed bonds)'!$B122,'AST Bonds'!$J$54:$J$83,0))*((INDEX('AST Bond Prices'!$B$1:$AG$120,MATCH('Value of Debt (listed bonds)'!H$3,'AST Bond Prices'!$B$1:$B$120,0),MATCH('Value of Debt (listed bonds)'!$B122,'AST Bond Prices'!$B$1:$AG$1,0))/100))</f>
        <v>0</v>
      </c>
      <c r="I122" s="171">
        <f>INDEX('AST Bonds'!$E$54:$E$83,MATCH('Value of Debt (listed bonds)'!$B122,'AST Bonds'!$J$54:$J$83,0))*((INDEX('AST Bond Prices'!$B$1:$AG$120,MATCH('Value of Debt (listed bonds)'!I$3,'AST Bond Prices'!$B$1:$B$120,0),MATCH('Value of Debt (listed bonds)'!$B122,'AST Bond Prices'!$B$1:$AG$1,0))/100))</f>
        <v>0</v>
      </c>
      <c r="J122" s="171">
        <f>INDEX('AST Bonds'!$E$54:$E$83,MATCH('Value of Debt (listed bonds)'!$B122,'AST Bonds'!$J$54:$J$83,0))*((INDEX('AST Bond Prices'!$B$1:$AG$120,MATCH('Value of Debt (listed bonds)'!J$3,'AST Bond Prices'!$B$1:$B$120,0),MATCH('Value of Debt (listed bonds)'!$B122,'AST Bond Prices'!$B$1:$AG$1,0))/100))</f>
        <v>771536302.25399995</v>
      </c>
      <c r="K122" s="171">
        <f>INDEX('AST Bonds'!$E$54:$E$83,MATCH('Value of Debt (listed bonds)'!$B122,'AST Bonds'!$J$54:$J$83,0))*((INDEX('AST Bond Prices'!$B$1:$AG$120,MATCH('Value of Debt (listed bonds)'!K$3,'AST Bond Prices'!$B$1:$B$120,0),MATCH('Value of Debt (listed bonds)'!$B122,'AST Bond Prices'!$B$1:$AG$1,0))/100))</f>
        <v>863248286.36099994</v>
      </c>
      <c r="L122" s="171">
        <f>INDEX('AST Bonds'!$E$54:$E$83,MATCH('Value of Debt (listed bonds)'!$B122,'AST Bonds'!$J$54:$J$83,0))*((INDEX('AST Bond Prices'!$B$1:$AG$120,MATCH('Value of Debt (listed bonds)'!L$3,'AST Bond Prices'!$B$1:$B$120,0),MATCH('Value of Debt (listed bonds)'!$B122,'AST Bond Prices'!$B$1:$AG$1,0))/100))</f>
        <v>839371789.005</v>
      </c>
      <c r="M122" s="171">
        <f>INDEX('AST Bonds'!$E$54:$E$83,MATCH('Value of Debt (listed bonds)'!$B122,'AST Bonds'!$J$54:$J$83,0))*((INDEX('AST Bond Prices'!$B$1:$AG$120,MATCH('Value of Debt (listed bonds)'!M$3,'AST Bond Prices'!$B$1:$B$120,0),MATCH('Value of Debt (listed bonds)'!$B122,'AST Bond Prices'!$B$1:$AG$1,0))/100))</f>
        <v>854647434.04499996</v>
      </c>
      <c r="N122" s="171">
        <f>INDEX('AST Bonds'!$E$54:$E$83,MATCH('Value of Debt (listed bonds)'!$B122,'AST Bonds'!$J$54:$J$83,0))*((INDEX('AST Bond Prices'!$B$1:$AG$120,MATCH('Value of Debt (listed bonds)'!N$3,'AST Bond Prices'!$B$1:$B$120,0),MATCH('Value of Debt (listed bonds)'!$B122,'AST Bond Prices'!$B$1:$AG$1,0))/100))</f>
        <v>883214550.66600001</v>
      </c>
      <c r="O122" s="171">
        <f>INDEX('AST Bonds'!$E$54:$E$83,MATCH('Value of Debt (listed bonds)'!$B122,'AST Bonds'!$J$54:$J$83,0))*((INDEX('AST Bond Prices'!$B$1:$AG$120,MATCH('Value of Debt (listed bonds)'!O$3,'AST Bond Prices'!$B$1:$B$120,0),MATCH('Value of Debt (listed bonds)'!$B122,'AST Bond Prices'!$B$1:$AG$1,0))/100))</f>
        <v>892952774.37900007</v>
      </c>
      <c r="P122" s="171">
        <f>INDEX('AST Bonds'!$E$54:$E$83,MATCH('Value of Debt (listed bonds)'!$B122,'AST Bonds'!$J$54:$J$83,0))*((INDEX('AST Bond Prices'!$B$1:$AG$120,MATCH('Value of Debt (listed bonds)'!P$3,'AST Bond Prices'!$B$1:$B$120,0),MATCH('Value of Debt (listed bonds)'!$B122,'AST Bond Prices'!$B$1:$AG$1,0))/100))</f>
        <v>895244121.13499999</v>
      </c>
      <c r="Q122" s="171">
        <f>INDEX('AST Bonds'!$E$54:$E$83,MATCH('Value of Debt (listed bonds)'!$B122,'AST Bonds'!$J$54:$J$83,0))*((INDEX('AST Bond Prices'!$B$1:$AG$120,MATCH('Value of Debt (listed bonds)'!Q$3,'AST Bond Prices'!$B$1:$B$120,0),MATCH('Value of Debt (listed bonds)'!$B122,'AST Bond Prices'!$B$1:$AG$1,0))/100))</f>
        <v>874605396.36900008</v>
      </c>
      <c r="R122" s="171">
        <f>INDEX('AST Bonds'!$E$54:$E$83,MATCH('Value of Debt (listed bonds)'!$B122,'AST Bonds'!$J$54:$J$83,0))*((INDEX('AST Bond Prices'!$B$1:$AG$120,MATCH('Value of Debt (listed bonds)'!R$3,'AST Bond Prices'!$B$1:$B$120,0),MATCH('Value of Debt (listed bonds)'!$B122,'AST Bond Prices'!$B$1:$AG$1,0))/100))</f>
        <v>864833964.73199999</v>
      </c>
    </row>
    <row r="123" spans="2:18">
      <c r="B123" s="172" t="s">
        <v>300</v>
      </c>
      <c r="F123" s="171" t="e">
        <f>INDEX('AST Bonds'!$E$54:$E$83,MATCH('Value of Debt (listed bonds)'!$B123,'AST Bonds'!$J$54:$J$83,0))*((INDEX('AST Bond Prices'!$B$1:$AG$120,MATCH('Value of Debt (listed bonds)'!F$3,'AST Bond Prices'!$B$1:$B$120,0),MATCH('Value of Debt (listed bonds)'!$B123,'AST Bond Prices'!$B$1:$AG$1,0))/100))</f>
        <v>#N/A</v>
      </c>
      <c r="G123" s="171">
        <f>INDEX('AST Bonds'!$E$54:$E$83,MATCH('Value of Debt (listed bonds)'!$B123,'AST Bonds'!$J$54:$J$83,0))*((INDEX('AST Bond Prices'!$B$1:$AG$120,MATCH('Value of Debt (listed bonds)'!G$3,'AST Bond Prices'!$B$1:$B$120,0),MATCH('Value of Debt (listed bonds)'!$B123,'AST Bond Prices'!$B$1:$AG$1,0))/100))</f>
        <v>0</v>
      </c>
      <c r="H123" s="171">
        <f>INDEX('AST Bonds'!$E$54:$E$83,MATCH('Value of Debt (listed bonds)'!$B123,'AST Bonds'!$J$54:$J$83,0))*((INDEX('AST Bond Prices'!$B$1:$AG$120,MATCH('Value of Debt (listed bonds)'!H$3,'AST Bond Prices'!$B$1:$B$120,0),MATCH('Value of Debt (listed bonds)'!$B123,'AST Bond Prices'!$B$1:$AG$1,0))/100))</f>
        <v>0</v>
      </c>
      <c r="I123" s="171">
        <f>INDEX('AST Bonds'!$E$54:$E$83,MATCH('Value of Debt (listed bonds)'!$B123,'AST Bonds'!$J$54:$J$83,0))*((INDEX('AST Bond Prices'!$B$1:$AG$120,MATCH('Value of Debt (listed bonds)'!I$3,'AST Bond Prices'!$B$1:$B$120,0),MATCH('Value of Debt (listed bonds)'!$B123,'AST Bond Prices'!$B$1:$AG$1,0))/100))</f>
        <v>0</v>
      </c>
      <c r="J123" s="171">
        <f>INDEX('AST Bonds'!$E$54:$E$83,MATCH('Value of Debt (listed bonds)'!$B123,'AST Bonds'!$J$54:$J$83,0))*((INDEX('AST Bond Prices'!$B$1:$AG$120,MATCH('Value of Debt (listed bonds)'!J$3,'AST Bond Prices'!$B$1:$B$120,0),MATCH('Value of Debt (listed bonds)'!$B123,'AST Bond Prices'!$B$1:$AG$1,0))/100))</f>
        <v>0</v>
      </c>
      <c r="K123" s="171">
        <f>INDEX('AST Bonds'!$E$54:$E$83,MATCH('Value of Debt (listed bonds)'!$B123,'AST Bonds'!$J$54:$J$83,0))*((INDEX('AST Bond Prices'!$B$1:$AG$120,MATCH('Value of Debt (listed bonds)'!K$3,'AST Bond Prices'!$B$1:$B$120,0),MATCH('Value of Debt (listed bonds)'!$B123,'AST Bond Prices'!$B$1:$AG$1,0))/100))</f>
        <v>0</v>
      </c>
      <c r="L123" s="171">
        <f>INDEX('AST Bonds'!$E$54:$E$83,MATCH('Value of Debt (listed bonds)'!$B123,'AST Bonds'!$J$54:$J$83,0))*((INDEX('AST Bond Prices'!$B$1:$AG$120,MATCH('Value of Debt (listed bonds)'!L$3,'AST Bond Prices'!$B$1:$B$120,0),MATCH('Value of Debt (listed bonds)'!$B123,'AST Bond Prices'!$B$1:$AG$1,0))/100))</f>
        <v>0</v>
      </c>
      <c r="M123" s="171">
        <f>INDEX('AST Bonds'!$E$54:$E$83,MATCH('Value of Debt (listed bonds)'!$B123,'AST Bonds'!$J$54:$J$83,0))*((INDEX('AST Bond Prices'!$B$1:$AG$120,MATCH('Value of Debt (listed bonds)'!M$3,'AST Bond Prices'!$B$1:$B$120,0),MATCH('Value of Debt (listed bonds)'!$B123,'AST Bond Prices'!$B$1:$AG$1,0))/100))</f>
        <v>151748569.26605999</v>
      </c>
      <c r="N123" s="171">
        <f>INDEX('AST Bonds'!$E$54:$E$83,MATCH('Value of Debt (listed bonds)'!$B123,'AST Bonds'!$J$54:$J$83,0))*((INDEX('AST Bond Prices'!$B$1:$AG$120,MATCH('Value of Debt (listed bonds)'!N$3,'AST Bond Prices'!$B$1:$B$120,0),MATCH('Value of Debt (listed bonds)'!$B123,'AST Bond Prices'!$B$1:$AG$1,0))/100))</f>
        <v>152003206.39062002</v>
      </c>
      <c r="O123" s="171">
        <f>INDEX('AST Bonds'!$E$54:$E$83,MATCH('Value of Debt (listed bonds)'!$B123,'AST Bonds'!$J$54:$J$83,0))*((INDEX('AST Bond Prices'!$B$1:$AG$120,MATCH('Value of Debt (listed bonds)'!O$3,'AST Bond Prices'!$B$1:$B$120,0),MATCH('Value of Debt (listed bonds)'!$B123,'AST Bond Prices'!$B$1:$AG$1,0))/100))</f>
        <v>162229615.19661</v>
      </c>
      <c r="P123" s="171">
        <f>INDEX('AST Bonds'!$E$54:$E$83,MATCH('Value of Debt (listed bonds)'!$B123,'AST Bonds'!$J$54:$J$83,0))*((INDEX('AST Bond Prices'!$B$1:$AG$120,MATCH('Value of Debt (listed bonds)'!P$3,'AST Bond Prices'!$B$1:$B$120,0),MATCH('Value of Debt (listed bonds)'!$B123,'AST Bond Prices'!$B$1:$AG$1,0))/100))</f>
        <v>154752681.05699998</v>
      </c>
      <c r="Q123" s="171">
        <f>INDEX('AST Bonds'!$E$54:$E$83,MATCH('Value of Debt (listed bonds)'!$B123,'AST Bonds'!$J$54:$J$83,0))*((INDEX('AST Bond Prices'!$B$1:$AG$120,MATCH('Value of Debt (listed bonds)'!Q$3,'AST Bond Prices'!$B$1:$B$120,0),MATCH('Value of Debt (listed bonds)'!$B123,'AST Bond Prices'!$B$1:$AG$1,0))/100))</f>
        <v>150345033.68663999</v>
      </c>
      <c r="R123" s="171">
        <f>INDEX('AST Bonds'!$E$54:$E$83,MATCH('Value of Debt (listed bonds)'!$B123,'AST Bonds'!$J$54:$J$83,0))*((INDEX('AST Bond Prices'!$B$1:$AG$120,MATCH('Value of Debt (listed bonds)'!R$3,'AST Bond Prices'!$B$1:$B$120,0),MATCH('Value of Debt (listed bonds)'!$B123,'AST Bond Prices'!$B$1:$AG$1,0))/100))</f>
        <v>148356438.99959999</v>
      </c>
    </row>
    <row r="124" spans="2:18">
      <c r="B124" s="172" t="s">
        <v>301</v>
      </c>
      <c r="F124" s="171" t="e">
        <f>INDEX('AST Bonds'!$E$54:$E$83,MATCH('Value of Debt (listed bonds)'!$B124,'AST Bonds'!$J$54:$J$83,0))*((INDEX('AST Bond Prices'!$B$1:$AG$120,MATCH('Value of Debt (listed bonds)'!F$3,'AST Bond Prices'!$B$1:$B$120,0),MATCH('Value of Debt (listed bonds)'!$B124,'AST Bond Prices'!$B$1:$AG$1,0))/100))</f>
        <v>#N/A</v>
      </c>
      <c r="G124" s="171">
        <f>INDEX('AST Bonds'!$E$54:$E$83,MATCH('Value of Debt (listed bonds)'!$B124,'AST Bonds'!$J$54:$J$83,0))*((INDEX('AST Bond Prices'!$B$1:$AG$120,MATCH('Value of Debt (listed bonds)'!G$3,'AST Bond Prices'!$B$1:$B$120,0),MATCH('Value of Debt (listed bonds)'!$B124,'AST Bond Prices'!$B$1:$AG$1,0))/100))</f>
        <v>0</v>
      </c>
      <c r="H124" s="171">
        <f>INDEX('AST Bonds'!$E$54:$E$83,MATCH('Value of Debt (listed bonds)'!$B124,'AST Bonds'!$J$54:$J$83,0))*((INDEX('AST Bond Prices'!$B$1:$AG$120,MATCH('Value of Debt (listed bonds)'!H$3,'AST Bond Prices'!$B$1:$B$120,0),MATCH('Value of Debt (listed bonds)'!$B124,'AST Bond Prices'!$B$1:$AG$1,0))/100))</f>
        <v>0</v>
      </c>
      <c r="I124" s="171">
        <f>INDEX('AST Bonds'!$E$54:$E$83,MATCH('Value of Debt (listed bonds)'!$B124,'AST Bonds'!$J$54:$J$83,0))*((INDEX('AST Bond Prices'!$B$1:$AG$120,MATCH('Value of Debt (listed bonds)'!I$3,'AST Bond Prices'!$B$1:$B$120,0),MATCH('Value of Debt (listed bonds)'!$B124,'AST Bond Prices'!$B$1:$AG$1,0))/100))</f>
        <v>0</v>
      </c>
      <c r="J124" s="171">
        <f>INDEX('AST Bonds'!$E$54:$E$83,MATCH('Value of Debt (listed bonds)'!$B124,'AST Bonds'!$J$54:$J$83,0))*((INDEX('AST Bond Prices'!$B$1:$AG$120,MATCH('Value of Debt (listed bonds)'!J$3,'AST Bond Prices'!$B$1:$B$120,0),MATCH('Value of Debt (listed bonds)'!$B124,'AST Bond Prices'!$B$1:$AG$1,0))/100))</f>
        <v>0</v>
      </c>
      <c r="K124" s="171">
        <f>INDEX('AST Bonds'!$E$54:$E$83,MATCH('Value of Debt (listed bonds)'!$B124,'AST Bonds'!$J$54:$J$83,0))*((INDEX('AST Bond Prices'!$B$1:$AG$120,MATCH('Value of Debt (listed bonds)'!K$3,'AST Bond Prices'!$B$1:$B$120,0),MATCH('Value of Debt (listed bonds)'!$B124,'AST Bond Prices'!$B$1:$AG$1,0))/100))</f>
        <v>0</v>
      </c>
      <c r="L124" s="171">
        <f>INDEX('AST Bonds'!$E$54:$E$83,MATCH('Value of Debt (listed bonds)'!$B124,'AST Bonds'!$J$54:$J$83,0))*((INDEX('AST Bond Prices'!$B$1:$AG$120,MATCH('Value of Debt (listed bonds)'!L$3,'AST Bond Prices'!$B$1:$B$120,0),MATCH('Value of Debt (listed bonds)'!$B124,'AST Bond Prices'!$B$1:$AG$1,0))/100))</f>
        <v>435034250.00000006</v>
      </c>
      <c r="M124" s="171">
        <f>INDEX('AST Bonds'!$E$54:$E$83,MATCH('Value of Debt (listed bonds)'!$B124,'AST Bonds'!$J$54:$J$83,0))*((INDEX('AST Bond Prices'!$B$1:$AG$120,MATCH('Value of Debt (listed bonds)'!M$3,'AST Bond Prices'!$B$1:$B$120,0),MATCH('Value of Debt (listed bonds)'!$B124,'AST Bond Prices'!$B$1:$AG$1,0))/100))</f>
        <v>440125750</v>
      </c>
      <c r="N124" s="171">
        <f>INDEX('AST Bonds'!$E$54:$E$83,MATCH('Value of Debt (listed bonds)'!$B124,'AST Bonds'!$J$54:$J$83,0))*((INDEX('AST Bond Prices'!$B$1:$AG$120,MATCH('Value of Debt (listed bonds)'!N$3,'AST Bond Prices'!$B$1:$B$120,0),MATCH('Value of Debt (listed bonds)'!$B124,'AST Bond Prices'!$B$1:$AG$1,0))/100))</f>
        <v>487322000.00000006</v>
      </c>
      <c r="O124" s="171">
        <f>INDEX('AST Bonds'!$E$54:$E$83,MATCH('Value of Debt (listed bonds)'!$B124,'AST Bonds'!$J$54:$J$83,0))*((INDEX('AST Bond Prices'!$B$1:$AG$120,MATCH('Value of Debt (listed bonds)'!O$3,'AST Bond Prices'!$B$1:$B$120,0),MATCH('Value of Debt (listed bonds)'!$B124,'AST Bond Prices'!$B$1:$AG$1,0))/100))</f>
        <v>501359750</v>
      </c>
      <c r="P124" s="171">
        <f>INDEX('AST Bonds'!$E$54:$E$83,MATCH('Value of Debt (listed bonds)'!$B124,'AST Bonds'!$J$54:$J$83,0))*((INDEX('AST Bond Prices'!$B$1:$AG$120,MATCH('Value of Debt (listed bonds)'!P$3,'AST Bond Prices'!$B$1:$B$120,0),MATCH('Value of Debt (listed bonds)'!$B124,'AST Bond Prices'!$B$1:$AG$1,0))/100))</f>
        <v>490985500</v>
      </c>
      <c r="Q124" s="171">
        <f>INDEX('AST Bonds'!$E$54:$E$83,MATCH('Value of Debt (listed bonds)'!$B124,'AST Bonds'!$J$54:$J$83,0))*((INDEX('AST Bond Prices'!$B$1:$AG$120,MATCH('Value of Debt (listed bonds)'!Q$3,'AST Bond Prices'!$B$1:$B$120,0),MATCH('Value of Debt (listed bonds)'!$B124,'AST Bond Prices'!$B$1:$AG$1,0))/100))</f>
        <v>467160000</v>
      </c>
      <c r="R124" s="171">
        <f>INDEX('AST Bonds'!$E$54:$E$83,MATCH('Value of Debt (listed bonds)'!$B124,'AST Bonds'!$J$54:$J$83,0))*((INDEX('AST Bond Prices'!$B$1:$AG$120,MATCH('Value of Debt (listed bonds)'!R$3,'AST Bond Prices'!$B$1:$B$120,0),MATCH('Value of Debt (listed bonds)'!$B124,'AST Bond Prices'!$B$1:$AG$1,0))/100))</f>
        <v>461290750.00000006</v>
      </c>
    </row>
    <row r="125" spans="2:18">
      <c r="B125" s="172" t="s">
        <v>302</v>
      </c>
      <c r="F125" s="171" t="e">
        <f>INDEX('AST Bonds'!$E$54:$E$83,MATCH('Value of Debt (listed bonds)'!$B125,'AST Bonds'!$J$54:$J$83,0))*((INDEX('AST Bond Prices'!$B$1:$AG$120,MATCH('Value of Debt (listed bonds)'!F$3,'AST Bond Prices'!$B$1:$B$120,0),MATCH('Value of Debt (listed bonds)'!$B125,'AST Bond Prices'!$B$1:$AG$1,0))/100))</f>
        <v>#N/A</v>
      </c>
      <c r="G125" s="171">
        <f>INDEX('AST Bonds'!$E$54:$E$83,MATCH('Value of Debt (listed bonds)'!$B125,'AST Bonds'!$J$54:$J$83,0))*((INDEX('AST Bond Prices'!$B$1:$AG$120,MATCH('Value of Debt (listed bonds)'!G$3,'AST Bond Prices'!$B$1:$B$120,0),MATCH('Value of Debt (listed bonds)'!$B125,'AST Bond Prices'!$B$1:$AG$1,0))/100))</f>
        <v>0</v>
      </c>
      <c r="H125" s="171">
        <f>INDEX('AST Bonds'!$E$54:$E$83,MATCH('Value of Debt (listed bonds)'!$B125,'AST Bonds'!$J$54:$J$83,0))*((INDEX('AST Bond Prices'!$B$1:$AG$120,MATCH('Value of Debt (listed bonds)'!H$3,'AST Bond Prices'!$B$1:$B$120,0),MATCH('Value of Debt (listed bonds)'!$B125,'AST Bond Prices'!$B$1:$AG$1,0))/100))</f>
        <v>60517590.764759995</v>
      </c>
      <c r="I125" s="171">
        <f>INDEX('AST Bonds'!$E$54:$E$83,MATCH('Value of Debt (listed bonds)'!$B125,'AST Bonds'!$J$54:$J$83,0))*((INDEX('AST Bond Prices'!$B$1:$AG$120,MATCH('Value of Debt (listed bonds)'!I$3,'AST Bond Prices'!$B$1:$B$120,0),MATCH('Value of Debt (listed bonds)'!$B125,'AST Bond Prices'!$B$1:$AG$1,0))/100))</f>
        <v>61207686.276639998</v>
      </c>
      <c r="J125" s="171">
        <f>INDEX('AST Bonds'!$E$54:$E$83,MATCH('Value of Debt (listed bonds)'!$B125,'AST Bonds'!$J$54:$J$83,0))*((INDEX('AST Bond Prices'!$B$1:$AG$120,MATCH('Value of Debt (listed bonds)'!J$3,'AST Bond Prices'!$B$1:$B$120,0),MATCH('Value of Debt (listed bonds)'!$B125,'AST Bond Prices'!$B$1:$AG$1,0))/100))</f>
        <v>66237360.762319997</v>
      </c>
      <c r="K125" s="171">
        <f>INDEX('AST Bonds'!$E$54:$E$83,MATCH('Value of Debt (listed bonds)'!$B125,'AST Bonds'!$J$54:$J$83,0))*((INDEX('AST Bond Prices'!$B$1:$AG$120,MATCH('Value of Debt (listed bonds)'!K$3,'AST Bond Prices'!$B$1:$B$120,0),MATCH('Value of Debt (listed bonds)'!$B125,'AST Bond Prices'!$B$1:$AG$1,0))/100))</f>
        <v>72003322.356800005</v>
      </c>
      <c r="L125" s="171">
        <f>INDEX('AST Bonds'!$E$54:$E$83,MATCH('Value of Debt (listed bonds)'!$B125,'AST Bonds'!$J$54:$J$83,0))*((INDEX('AST Bond Prices'!$B$1:$AG$120,MATCH('Value of Debt (listed bonds)'!L$3,'AST Bond Prices'!$B$1:$B$120,0),MATCH('Value of Debt (listed bonds)'!$B125,'AST Bond Prices'!$B$1:$AG$1,0))/100))</f>
        <v>69785431.094159991</v>
      </c>
      <c r="M125" s="171">
        <f>INDEX('AST Bonds'!$E$54:$E$83,MATCH('Value of Debt (listed bonds)'!$B125,'AST Bonds'!$J$54:$J$83,0))*((INDEX('AST Bond Prices'!$B$1:$AG$120,MATCH('Value of Debt (listed bonds)'!M$3,'AST Bond Prices'!$B$1:$B$120,0),MATCH('Value of Debt (listed bonds)'!$B125,'AST Bond Prices'!$B$1:$AG$1,0))/100))</f>
        <v>67298725.575760007</v>
      </c>
      <c r="N125" s="171">
        <f>INDEX('AST Bonds'!$E$54:$E$83,MATCH('Value of Debt (listed bonds)'!$B125,'AST Bonds'!$J$54:$J$83,0))*((INDEX('AST Bond Prices'!$B$1:$AG$120,MATCH('Value of Debt (listed bonds)'!N$3,'AST Bond Prices'!$B$1:$B$120,0),MATCH('Value of Debt (listed bonds)'!$B125,'AST Bond Prices'!$B$1:$AG$1,0))/100))</f>
        <v>72468016.767919987</v>
      </c>
      <c r="O125" s="171">
        <f>INDEX('AST Bonds'!$E$54:$E$83,MATCH('Value of Debt (listed bonds)'!$B125,'AST Bonds'!$J$54:$J$83,0))*((INDEX('AST Bond Prices'!$B$1:$AG$120,MATCH('Value of Debt (listed bonds)'!O$3,'AST Bond Prices'!$B$1:$B$120,0),MATCH('Value of Debt (listed bonds)'!$B125,'AST Bond Prices'!$B$1:$AG$1,0))/100))</f>
        <v>75099201.266159996</v>
      </c>
      <c r="P125" s="171">
        <f>INDEX('AST Bonds'!$E$54:$E$83,MATCH('Value of Debt (listed bonds)'!$B125,'AST Bonds'!$J$54:$J$83,0))*((INDEX('AST Bond Prices'!$B$1:$AG$120,MATCH('Value of Debt (listed bonds)'!P$3,'AST Bond Prices'!$B$1:$B$120,0),MATCH('Value of Debt (listed bonds)'!$B125,'AST Bond Prices'!$B$1:$AG$1,0))/100))</f>
        <v>74810937.916960001</v>
      </c>
      <c r="Q125" s="171">
        <f>INDEX('AST Bonds'!$E$54:$E$83,MATCH('Value of Debt (listed bonds)'!$B125,'AST Bonds'!$J$54:$J$83,0))*((INDEX('AST Bond Prices'!$B$1:$AG$120,MATCH('Value of Debt (listed bonds)'!Q$3,'AST Bond Prices'!$B$1:$B$120,0),MATCH('Value of Debt (listed bonds)'!$B125,'AST Bond Prices'!$B$1:$AG$1,0))/100))</f>
        <v>73693309.654639989</v>
      </c>
      <c r="R125" s="171">
        <f>INDEX('AST Bonds'!$E$54:$E$83,MATCH('Value of Debt (listed bonds)'!$B125,'AST Bonds'!$J$54:$J$83,0))*((INDEX('AST Bond Prices'!$B$1:$AG$120,MATCH('Value of Debt (listed bonds)'!R$3,'AST Bond Prices'!$B$1:$B$120,0),MATCH('Value of Debt (listed bonds)'!$B125,'AST Bond Prices'!$B$1:$AG$1,0))/100))</f>
        <v>72399250.330400005</v>
      </c>
    </row>
    <row r="126" spans="2:18">
      <c r="B126" s="172" t="s">
        <v>303</v>
      </c>
      <c r="F126" s="171" t="e">
        <f>INDEX('AST Bonds'!$E$54:$E$83,MATCH('Value of Debt (listed bonds)'!$B126,'AST Bonds'!$J$54:$J$83,0))*((INDEX('AST Bond Prices'!$B$1:$AG$120,MATCH('Value of Debt (listed bonds)'!F$3,'AST Bond Prices'!$B$1:$B$120,0),MATCH('Value of Debt (listed bonds)'!$B126,'AST Bond Prices'!$B$1:$AG$1,0))/100))</f>
        <v>#N/A</v>
      </c>
      <c r="G126" s="171">
        <f>INDEX('AST Bonds'!$E$54:$E$83,MATCH('Value of Debt (listed bonds)'!$B126,'AST Bonds'!$J$54:$J$83,0))*((INDEX('AST Bond Prices'!$B$1:$AG$120,MATCH('Value of Debt (listed bonds)'!G$3,'AST Bond Prices'!$B$1:$B$120,0),MATCH('Value of Debt (listed bonds)'!$B126,'AST Bond Prices'!$B$1:$AG$1,0))/100))</f>
        <v>0</v>
      </c>
      <c r="H126" s="171">
        <f>INDEX('AST Bonds'!$E$54:$E$83,MATCH('Value of Debt (listed bonds)'!$B126,'AST Bonds'!$J$54:$J$83,0))*((INDEX('AST Bond Prices'!$B$1:$AG$120,MATCH('Value of Debt (listed bonds)'!H$3,'AST Bond Prices'!$B$1:$B$120,0),MATCH('Value of Debt (listed bonds)'!$B126,'AST Bond Prices'!$B$1:$AG$1,0))/100))</f>
        <v>105625594.46702</v>
      </c>
      <c r="I126" s="171">
        <f>INDEX('AST Bonds'!$E$54:$E$83,MATCH('Value of Debt (listed bonds)'!$B126,'AST Bonds'!$J$54:$J$83,0))*((INDEX('AST Bond Prices'!$B$1:$AG$120,MATCH('Value of Debt (listed bonds)'!I$3,'AST Bond Prices'!$B$1:$B$120,0),MATCH('Value of Debt (listed bonds)'!$B126,'AST Bond Prices'!$B$1:$AG$1,0))/100))</f>
        <v>106472845.59302999</v>
      </c>
      <c r="J126" s="171">
        <f>INDEX('AST Bonds'!$E$54:$E$83,MATCH('Value of Debt (listed bonds)'!$B126,'AST Bonds'!$J$54:$J$83,0))*((INDEX('AST Bond Prices'!$B$1:$AG$120,MATCH('Value of Debt (listed bonds)'!J$3,'AST Bond Prices'!$B$1:$B$120,0),MATCH('Value of Debt (listed bonds)'!$B126,'AST Bond Prices'!$B$1:$AG$1,0))/100))</f>
        <v>115609057.16131</v>
      </c>
      <c r="K126" s="171">
        <f>INDEX('AST Bonds'!$E$54:$E$83,MATCH('Value of Debt (listed bonds)'!$B126,'AST Bonds'!$J$54:$J$83,0))*((INDEX('AST Bond Prices'!$B$1:$AG$120,MATCH('Value of Debt (listed bonds)'!K$3,'AST Bond Prices'!$B$1:$B$120,0),MATCH('Value of Debt (listed bonds)'!$B126,'AST Bond Prices'!$B$1:$AG$1,0))/100))</f>
        <v>125934094.55633001</v>
      </c>
      <c r="L126" s="171">
        <f>INDEX('AST Bonds'!$E$54:$E$83,MATCH('Value of Debt (listed bonds)'!$B126,'AST Bonds'!$J$54:$J$83,0))*((INDEX('AST Bond Prices'!$B$1:$AG$120,MATCH('Value of Debt (listed bonds)'!L$3,'AST Bond Prices'!$B$1:$B$120,0),MATCH('Value of Debt (listed bonds)'!$B126,'AST Bond Prices'!$B$1:$AG$1,0))/100))</f>
        <v>121493623.44683999</v>
      </c>
      <c r="M126" s="171">
        <f>INDEX('AST Bonds'!$E$54:$E$83,MATCH('Value of Debt (listed bonds)'!$B126,'AST Bonds'!$J$54:$J$83,0))*((INDEX('AST Bond Prices'!$B$1:$AG$120,MATCH('Value of Debt (listed bonds)'!M$3,'AST Bond Prices'!$B$1:$B$120,0),MATCH('Value of Debt (listed bonds)'!$B126,'AST Bond Prices'!$B$1:$AG$1,0))/100))</f>
        <v>117220900.76689</v>
      </c>
      <c r="N126" s="171">
        <f>INDEX('AST Bonds'!$E$54:$E$83,MATCH('Value of Debt (listed bonds)'!$B126,'AST Bonds'!$J$54:$J$83,0))*((INDEX('AST Bond Prices'!$B$1:$AG$120,MATCH('Value of Debt (listed bonds)'!N$3,'AST Bond Prices'!$B$1:$B$120,0),MATCH('Value of Debt (listed bonds)'!$B126,'AST Bond Prices'!$B$1:$AG$1,0))/100))</f>
        <v>126838477.39385</v>
      </c>
      <c r="O126" s="171">
        <f>INDEX('AST Bonds'!$E$54:$E$83,MATCH('Value of Debt (listed bonds)'!$B126,'AST Bonds'!$J$54:$J$83,0))*((INDEX('AST Bond Prices'!$B$1:$AG$120,MATCH('Value of Debt (listed bonds)'!O$3,'AST Bond Prices'!$B$1:$B$120,0),MATCH('Value of Debt (listed bonds)'!$B126,'AST Bond Prices'!$B$1:$AG$1,0))/100))</f>
        <v>131419954.42962</v>
      </c>
      <c r="P126" s="171">
        <f>INDEX('AST Bonds'!$E$54:$E$83,MATCH('Value of Debt (listed bonds)'!$B126,'AST Bonds'!$J$54:$J$83,0))*((INDEX('AST Bond Prices'!$B$1:$AG$120,MATCH('Value of Debt (listed bonds)'!P$3,'AST Bond Prices'!$B$1:$B$120,0),MATCH('Value of Debt (listed bonds)'!$B126,'AST Bond Prices'!$B$1:$AG$1,0))/100))</f>
        <v>131227894.63348001</v>
      </c>
      <c r="Q126" s="171">
        <f>INDEX('AST Bonds'!$E$54:$E$83,MATCH('Value of Debt (listed bonds)'!$B126,'AST Bonds'!$J$54:$J$83,0))*((INDEX('AST Bond Prices'!$B$1:$AG$120,MATCH('Value of Debt (listed bonds)'!Q$3,'AST Bond Prices'!$B$1:$B$120,0),MATCH('Value of Debt (listed bonds)'!$B126,'AST Bond Prices'!$B$1:$AG$1,0))/100))</f>
        <v>129252596.09723</v>
      </c>
      <c r="R126" s="171">
        <f>INDEX('AST Bonds'!$E$54:$E$83,MATCH('Value of Debt (listed bonds)'!$B126,'AST Bonds'!$J$54:$J$83,0))*((INDEX('AST Bond Prices'!$B$1:$AG$120,MATCH('Value of Debt (listed bonds)'!R$3,'AST Bond Prices'!$B$1:$B$120,0),MATCH('Value of Debt (listed bonds)'!$B126,'AST Bond Prices'!$B$1:$AG$1,0))/100))</f>
        <v>126894393.53703001</v>
      </c>
    </row>
    <row r="127" spans="2:18">
      <c r="B127" s="172" t="s">
        <v>304</v>
      </c>
      <c r="F127" s="171" t="e">
        <f>INDEX('AST Bonds'!$E$54:$E$83,MATCH('Value of Debt (listed bonds)'!$B127,'AST Bonds'!$J$54:$J$83,0))*((INDEX('AST Bond Prices'!$B$1:$AG$120,MATCH('Value of Debt (listed bonds)'!F$3,'AST Bond Prices'!$B$1:$B$120,0),MATCH('Value of Debt (listed bonds)'!$B127,'AST Bond Prices'!$B$1:$AG$1,0))/100))</f>
        <v>#N/A</v>
      </c>
      <c r="G127" s="171">
        <f>INDEX('AST Bonds'!$E$54:$E$83,MATCH('Value of Debt (listed bonds)'!$B127,'AST Bonds'!$J$54:$J$83,0))*((INDEX('AST Bond Prices'!$B$1:$AG$120,MATCH('Value of Debt (listed bonds)'!G$3,'AST Bond Prices'!$B$1:$B$120,0),MATCH('Value of Debt (listed bonds)'!$B127,'AST Bond Prices'!$B$1:$AG$1,0))/100))</f>
        <v>0</v>
      </c>
      <c r="H127" s="171">
        <f>INDEX('AST Bonds'!$E$54:$E$83,MATCH('Value of Debt (listed bonds)'!$B127,'AST Bonds'!$J$54:$J$83,0))*((INDEX('AST Bond Prices'!$B$1:$AG$120,MATCH('Value of Debt (listed bonds)'!H$3,'AST Bond Prices'!$B$1:$B$120,0),MATCH('Value of Debt (listed bonds)'!$B127,'AST Bond Prices'!$B$1:$AG$1,0))/100))</f>
        <v>0</v>
      </c>
      <c r="I127" s="171">
        <f>INDEX('AST Bonds'!$E$54:$E$83,MATCH('Value of Debt (listed bonds)'!$B127,'AST Bonds'!$J$54:$J$83,0))*((INDEX('AST Bond Prices'!$B$1:$AG$120,MATCH('Value of Debt (listed bonds)'!I$3,'AST Bond Prices'!$B$1:$B$120,0),MATCH('Value of Debt (listed bonds)'!$B127,'AST Bond Prices'!$B$1:$AG$1,0))/100))</f>
        <v>0</v>
      </c>
      <c r="J127" s="171">
        <f>INDEX('AST Bonds'!$E$54:$E$83,MATCH('Value of Debt (listed bonds)'!$B127,'AST Bonds'!$J$54:$J$83,0))*((INDEX('AST Bond Prices'!$B$1:$AG$120,MATCH('Value of Debt (listed bonds)'!J$3,'AST Bond Prices'!$B$1:$B$120,0),MATCH('Value of Debt (listed bonds)'!$B127,'AST Bond Prices'!$B$1:$AG$1,0))/100))</f>
        <v>0</v>
      </c>
      <c r="K127" s="171">
        <f>INDEX('AST Bonds'!$E$54:$E$83,MATCH('Value of Debt (listed bonds)'!$B127,'AST Bonds'!$J$54:$J$83,0))*((INDEX('AST Bond Prices'!$B$1:$AG$120,MATCH('Value of Debt (listed bonds)'!K$3,'AST Bond Prices'!$B$1:$B$120,0),MATCH('Value of Debt (listed bonds)'!$B127,'AST Bond Prices'!$B$1:$AG$1,0))/100))</f>
        <v>152619162.96605998</v>
      </c>
      <c r="L127" s="171">
        <f>INDEX('AST Bonds'!$E$54:$E$83,MATCH('Value of Debt (listed bonds)'!$B127,'AST Bonds'!$J$54:$J$83,0))*((INDEX('AST Bond Prices'!$B$1:$AG$120,MATCH('Value of Debt (listed bonds)'!L$3,'AST Bond Prices'!$B$1:$B$120,0),MATCH('Value of Debt (listed bonds)'!$B127,'AST Bond Prices'!$B$1:$AG$1,0))/100))</f>
        <v>145164690.14554</v>
      </c>
      <c r="M127" s="171">
        <f>INDEX('AST Bonds'!$E$54:$E$83,MATCH('Value of Debt (listed bonds)'!$B127,'AST Bonds'!$J$54:$J$83,0))*((INDEX('AST Bond Prices'!$B$1:$AG$120,MATCH('Value of Debt (listed bonds)'!M$3,'AST Bond Prices'!$B$1:$B$120,0),MATCH('Value of Debt (listed bonds)'!$B127,'AST Bond Prices'!$B$1:$AG$1,0))/100))</f>
        <v>138726736.34599999</v>
      </c>
      <c r="N127" s="171">
        <f>INDEX('AST Bonds'!$E$54:$E$83,MATCH('Value of Debt (listed bonds)'!$B127,'AST Bonds'!$J$54:$J$83,0))*((INDEX('AST Bond Prices'!$B$1:$AG$120,MATCH('Value of Debt (listed bonds)'!N$3,'AST Bond Prices'!$B$1:$B$120,0),MATCH('Value of Debt (listed bonds)'!$B127,'AST Bond Prices'!$B$1:$AG$1,0))/100))</f>
        <v>151709006.17447999</v>
      </c>
      <c r="O127" s="171">
        <f>INDEX('AST Bonds'!$E$54:$E$83,MATCH('Value of Debt (listed bonds)'!$B127,'AST Bonds'!$J$54:$J$83,0))*((INDEX('AST Bond Prices'!$B$1:$AG$120,MATCH('Value of Debt (listed bonds)'!O$3,'AST Bond Prices'!$B$1:$B$120,0),MATCH('Value of Debt (listed bonds)'!$B127,'AST Bond Prices'!$B$1:$AG$1,0))/100))</f>
        <v>157914482.52976</v>
      </c>
      <c r="P127" s="171">
        <f>INDEX('AST Bonds'!$E$54:$E$83,MATCH('Value of Debt (listed bonds)'!$B127,'AST Bonds'!$J$54:$J$83,0))*((INDEX('AST Bond Prices'!$B$1:$AG$120,MATCH('Value of Debt (listed bonds)'!P$3,'AST Bond Prices'!$B$1:$B$120,0),MATCH('Value of Debt (listed bonds)'!$B127,'AST Bond Prices'!$B$1:$AG$1,0))/100))</f>
        <v>158289789.25349998</v>
      </c>
      <c r="Q127" s="171">
        <f>INDEX('AST Bonds'!$E$54:$E$83,MATCH('Value of Debt (listed bonds)'!$B127,'AST Bonds'!$J$54:$J$83,0))*((INDEX('AST Bond Prices'!$B$1:$AG$120,MATCH('Value of Debt (listed bonds)'!Q$3,'AST Bond Prices'!$B$1:$B$120,0),MATCH('Value of Debt (listed bonds)'!$B127,'AST Bond Prices'!$B$1:$AG$1,0))/100))</f>
        <v>156303854.48456001</v>
      </c>
      <c r="R127" s="171">
        <f>INDEX('AST Bonds'!$E$54:$E$83,MATCH('Value of Debt (listed bonds)'!$B127,'AST Bonds'!$J$54:$J$83,0))*((INDEX('AST Bond Prices'!$B$1:$AG$120,MATCH('Value of Debt (listed bonds)'!R$3,'AST Bond Prices'!$B$1:$B$120,0),MATCH('Value of Debt (listed bonds)'!$B127,'AST Bond Prices'!$B$1:$AG$1,0))/100))</f>
        <v>153377373.71564001</v>
      </c>
    </row>
    <row r="128" spans="2:18">
      <c r="B128" s="172" t="s">
        <v>305</v>
      </c>
      <c r="F128" s="171" t="e">
        <f>INDEX('AST Bonds'!$E$54:$E$83,MATCH('Value of Debt (listed bonds)'!$B128,'AST Bonds'!$J$54:$J$83,0))*((INDEX('AST Bond Prices'!$B$1:$AG$120,MATCH('Value of Debt (listed bonds)'!F$3,'AST Bond Prices'!$B$1:$B$120,0),MATCH('Value of Debt (listed bonds)'!$B128,'AST Bond Prices'!$B$1:$AG$1,0))/100))</f>
        <v>#N/A</v>
      </c>
      <c r="G128" s="171">
        <f>INDEX('AST Bonds'!$E$54:$E$83,MATCH('Value of Debt (listed bonds)'!$B128,'AST Bonds'!$J$54:$J$83,0))*((INDEX('AST Bond Prices'!$B$1:$AG$120,MATCH('Value of Debt (listed bonds)'!G$3,'AST Bond Prices'!$B$1:$B$120,0),MATCH('Value of Debt (listed bonds)'!$B128,'AST Bond Prices'!$B$1:$AG$1,0))/100))</f>
        <v>0</v>
      </c>
      <c r="H128" s="171">
        <f>INDEX('AST Bonds'!$E$54:$E$83,MATCH('Value of Debt (listed bonds)'!$B128,'AST Bonds'!$J$54:$J$83,0))*((INDEX('AST Bond Prices'!$B$1:$AG$120,MATCH('Value of Debt (listed bonds)'!H$3,'AST Bond Prices'!$B$1:$B$120,0),MATCH('Value of Debt (listed bonds)'!$B128,'AST Bond Prices'!$B$1:$AG$1,0))/100))</f>
        <v>0</v>
      </c>
      <c r="I128" s="171">
        <f>INDEX('AST Bonds'!$E$54:$E$83,MATCH('Value of Debt (listed bonds)'!$B128,'AST Bonds'!$J$54:$J$83,0))*((INDEX('AST Bond Prices'!$B$1:$AG$120,MATCH('Value of Debt (listed bonds)'!I$3,'AST Bond Prices'!$B$1:$B$120,0),MATCH('Value of Debt (listed bonds)'!$B128,'AST Bond Prices'!$B$1:$AG$1,0))/100))</f>
        <v>0</v>
      </c>
      <c r="J128" s="171">
        <f>INDEX('AST Bonds'!$E$54:$E$83,MATCH('Value of Debt (listed bonds)'!$B128,'AST Bonds'!$J$54:$J$83,0))*((INDEX('AST Bond Prices'!$B$1:$AG$120,MATCH('Value of Debt (listed bonds)'!J$3,'AST Bond Prices'!$B$1:$B$120,0),MATCH('Value of Debt (listed bonds)'!$B128,'AST Bond Prices'!$B$1:$AG$1,0))/100))</f>
        <v>0</v>
      </c>
      <c r="K128" s="171">
        <f>INDEX('AST Bonds'!$E$54:$E$83,MATCH('Value of Debt (listed bonds)'!$B128,'AST Bonds'!$J$54:$J$83,0))*((INDEX('AST Bond Prices'!$B$1:$AG$120,MATCH('Value of Debt (listed bonds)'!K$3,'AST Bond Prices'!$B$1:$B$120,0),MATCH('Value of Debt (listed bonds)'!$B128,'AST Bond Prices'!$B$1:$AG$1,0))/100))</f>
        <v>0</v>
      </c>
      <c r="L128" s="171">
        <f>INDEX('AST Bonds'!$E$54:$E$83,MATCH('Value of Debt (listed bonds)'!$B128,'AST Bonds'!$J$54:$J$83,0))*((INDEX('AST Bond Prices'!$B$1:$AG$120,MATCH('Value of Debt (listed bonds)'!L$3,'AST Bond Prices'!$B$1:$B$120,0),MATCH('Value of Debt (listed bonds)'!$B128,'AST Bond Prices'!$B$1:$AG$1,0))/100))</f>
        <v>0</v>
      </c>
      <c r="M128" s="171">
        <f>INDEX('AST Bonds'!$E$54:$E$83,MATCH('Value of Debt (listed bonds)'!$B128,'AST Bonds'!$J$54:$J$83,0))*((INDEX('AST Bond Prices'!$B$1:$AG$120,MATCH('Value of Debt (listed bonds)'!M$3,'AST Bond Prices'!$B$1:$B$120,0),MATCH('Value of Debt (listed bonds)'!$B128,'AST Bond Prices'!$B$1:$AG$1,0))/100))</f>
        <v>556556000</v>
      </c>
      <c r="N128" s="171">
        <f>INDEX('AST Bonds'!$E$54:$E$83,MATCH('Value of Debt (listed bonds)'!$B128,'AST Bonds'!$J$54:$J$83,0))*((INDEX('AST Bond Prices'!$B$1:$AG$120,MATCH('Value of Debt (listed bonds)'!N$3,'AST Bond Prices'!$B$1:$B$120,0),MATCH('Value of Debt (listed bonds)'!$B128,'AST Bond Prices'!$B$1:$AG$1,0))/100))</f>
        <v>622847500</v>
      </c>
      <c r="O128" s="171">
        <f>INDEX('AST Bonds'!$E$54:$E$83,MATCH('Value of Debt (listed bonds)'!$B128,'AST Bonds'!$J$54:$J$83,0))*((INDEX('AST Bond Prices'!$B$1:$AG$120,MATCH('Value of Debt (listed bonds)'!O$3,'AST Bond Prices'!$B$1:$B$120,0),MATCH('Value of Debt (listed bonds)'!$B128,'AST Bond Prices'!$B$1:$AG$1,0))/100))</f>
        <v>644990500</v>
      </c>
      <c r="P128" s="171">
        <f>INDEX('AST Bonds'!$E$54:$E$83,MATCH('Value of Debt (listed bonds)'!$B128,'AST Bonds'!$J$54:$J$83,0))*((INDEX('AST Bond Prices'!$B$1:$AG$120,MATCH('Value of Debt (listed bonds)'!P$3,'AST Bond Prices'!$B$1:$B$120,0),MATCH('Value of Debt (listed bonds)'!$B128,'AST Bond Prices'!$B$1:$AG$1,0))/100))</f>
        <v>633165499.99999988</v>
      </c>
      <c r="Q128" s="171">
        <f>INDEX('AST Bonds'!$E$54:$E$83,MATCH('Value of Debt (listed bonds)'!$B128,'AST Bonds'!$J$54:$J$83,0))*((INDEX('AST Bond Prices'!$B$1:$AG$120,MATCH('Value of Debt (listed bonds)'!Q$3,'AST Bond Prices'!$B$1:$B$120,0),MATCH('Value of Debt (listed bonds)'!$B128,'AST Bond Prices'!$B$1:$AG$1,0))/100))</f>
        <v>602470000.00000012</v>
      </c>
      <c r="R128" s="171">
        <f>INDEX('AST Bonds'!$E$54:$E$83,MATCH('Value of Debt (listed bonds)'!$B128,'AST Bonds'!$J$54:$J$83,0))*((INDEX('AST Bond Prices'!$B$1:$AG$120,MATCH('Value of Debt (listed bonds)'!R$3,'AST Bond Prices'!$B$1:$B$120,0),MATCH('Value of Debt (listed bonds)'!$B128,'AST Bond Prices'!$B$1:$AG$1,0))/100))</f>
        <v>593675500</v>
      </c>
    </row>
    <row r="129" spans="2:18">
      <c r="B129" s="172" t="s">
        <v>306</v>
      </c>
      <c r="F129" s="171" t="e">
        <f>INDEX('AST Bonds'!$E$54:$E$83,MATCH('Value of Debt (listed bonds)'!$B129,'AST Bonds'!$J$54:$J$83,0))*((INDEX('AST Bond Prices'!$B$1:$AG$120,MATCH('Value of Debt (listed bonds)'!F$3,'AST Bond Prices'!$B$1:$B$120,0),MATCH('Value of Debt (listed bonds)'!$B129,'AST Bond Prices'!$B$1:$AG$1,0))/100))</f>
        <v>#N/A</v>
      </c>
      <c r="G129" s="171">
        <f>INDEX('AST Bonds'!$E$54:$E$83,MATCH('Value of Debt (listed bonds)'!$B129,'AST Bonds'!$J$54:$J$83,0))*((INDEX('AST Bond Prices'!$B$1:$AG$120,MATCH('Value of Debt (listed bonds)'!G$3,'AST Bond Prices'!$B$1:$B$120,0),MATCH('Value of Debt (listed bonds)'!$B129,'AST Bond Prices'!$B$1:$AG$1,0))/100))</f>
        <v>0</v>
      </c>
      <c r="H129" s="171">
        <f>INDEX('AST Bonds'!$E$54:$E$83,MATCH('Value of Debt (listed bonds)'!$B129,'AST Bonds'!$J$54:$J$83,0))*((INDEX('AST Bond Prices'!$B$1:$AG$120,MATCH('Value of Debt (listed bonds)'!H$3,'AST Bond Prices'!$B$1:$B$120,0),MATCH('Value of Debt (listed bonds)'!$B129,'AST Bond Prices'!$B$1:$AG$1,0))/100))</f>
        <v>0</v>
      </c>
      <c r="I129" s="171">
        <f>INDEX('AST Bonds'!$E$54:$E$83,MATCH('Value of Debt (listed bonds)'!$B129,'AST Bonds'!$J$54:$J$83,0))*((INDEX('AST Bond Prices'!$B$1:$AG$120,MATCH('Value of Debt (listed bonds)'!I$3,'AST Bond Prices'!$B$1:$B$120,0),MATCH('Value of Debt (listed bonds)'!$B129,'AST Bond Prices'!$B$1:$AG$1,0))/100))</f>
        <v>0</v>
      </c>
      <c r="J129" s="171">
        <f>INDEX('AST Bonds'!$E$54:$E$83,MATCH('Value of Debt (listed bonds)'!$B129,'AST Bonds'!$J$54:$J$83,0))*((INDEX('AST Bond Prices'!$B$1:$AG$120,MATCH('Value of Debt (listed bonds)'!J$3,'AST Bond Prices'!$B$1:$B$120,0),MATCH('Value of Debt (listed bonds)'!$B129,'AST Bond Prices'!$B$1:$AG$1,0))/100))</f>
        <v>0</v>
      </c>
      <c r="K129" s="171">
        <f>INDEX('AST Bonds'!$E$54:$E$83,MATCH('Value of Debt (listed bonds)'!$B129,'AST Bonds'!$J$54:$J$83,0))*((INDEX('AST Bond Prices'!$B$1:$AG$120,MATCH('Value of Debt (listed bonds)'!K$3,'AST Bond Prices'!$B$1:$B$120,0),MATCH('Value of Debt (listed bonds)'!$B129,'AST Bond Prices'!$B$1:$AG$1,0))/100))</f>
        <v>0</v>
      </c>
      <c r="L129" s="171">
        <f>INDEX('AST Bonds'!$E$54:$E$83,MATCH('Value of Debt (listed bonds)'!$B129,'AST Bonds'!$J$54:$J$83,0))*((INDEX('AST Bond Prices'!$B$1:$AG$120,MATCH('Value of Debt (listed bonds)'!L$3,'AST Bond Prices'!$B$1:$B$120,0),MATCH('Value of Debt (listed bonds)'!$B129,'AST Bond Prices'!$B$1:$AG$1,0))/100))</f>
        <v>0</v>
      </c>
      <c r="M129" s="171">
        <f>INDEX('AST Bonds'!$E$54:$E$83,MATCH('Value of Debt (listed bonds)'!$B129,'AST Bonds'!$J$54:$J$83,0))*((INDEX('AST Bond Prices'!$B$1:$AG$120,MATCH('Value of Debt (listed bonds)'!M$3,'AST Bond Prices'!$B$1:$B$120,0),MATCH('Value of Debt (listed bonds)'!$B129,'AST Bond Prices'!$B$1:$AG$1,0))/100))</f>
        <v>0</v>
      </c>
      <c r="N129" s="171">
        <f>INDEX('AST Bonds'!$E$54:$E$83,MATCH('Value of Debt (listed bonds)'!$B129,'AST Bonds'!$J$54:$J$83,0))*((INDEX('AST Bond Prices'!$B$1:$AG$120,MATCH('Value of Debt (listed bonds)'!N$3,'AST Bond Prices'!$B$1:$B$120,0),MATCH('Value of Debt (listed bonds)'!$B129,'AST Bond Prices'!$B$1:$AG$1,0))/100))</f>
        <v>153899343.55029002</v>
      </c>
      <c r="O129" s="171">
        <f>INDEX('AST Bonds'!$E$54:$E$83,MATCH('Value of Debt (listed bonds)'!$B129,'AST Bonds'!$J$54:$J$83,0))*((INDEX('AST Bond Prices'!$B$1:$AG$120,MATCH('Value of Debt (listed bonds)'!O$3,'AST Bond Prices'!$B$1:$B$120,0),MATCH('Value of Debt (listed bonds)'!$B129,'AST Bond Prices'!$B$1:$AG$1,0))/100))</f>
        <v>164644120.78841999</v>
      </c>
      <c r="P129" s="171">
        <f>INDEX('AST Bonds'!$E$54:$E$83,MATCH('Value of Debt (listed bonds)'!$B129,'AST Bonds'!$J$54:$J$83,0))*((INDEX('AST Bond Prices'!$B$1:$AG$120,MATCH('Value of Debt (listed bonds)'!P$3,'AST Bond Prices'!$B$1:$B$120,0),MATCH('Value of Debt (listed bonds)'!$B129,'AST Bond Prices'!$B$1:$AG$1,0))/100))</f>
        <v>155234672.75706002</v>
      </c>
      <c r="Q129" s="171">
        <f>INDEX('AST Bonds'!$E$54:$E$83,MATCH('Value of Debt (listed bonds)'!$B129,'AST Bonds'!$J$54:$J$83,0))*((INDEX('AST Bond Prices'!$B$1:$AG$120,MATCH('Value of Debt (listed bonds)'!Q$3,'AST Bond Prices'!$B$1:$B$120,0),MATCH('Value of Debt (listed bonds)'!$B129,'AST Bond Prices'!$B$1:$AG$1,0))/100))</f>
        <v>150340486.59513</v>
      </c>
      <c r="R129" s="171">
        <f>INDEX('AST Bonds'!$E$54:$E$83,MATCH('Value of Debt (listed bonds)'!$B129,'AST Bonds'!$J$54:$J$83,0))*((INDEX('AST Bond Prices'!$B$1:$AG$120,MATCH('Value of Debt (listed bonds)'!R$3,'AST Bond Prices'!$B$1:$B$120,0),MATCH('Value of Debt (listed bonds)'!$B129,'AST Bond Prices'!$B$1:$AG$1,0))/100))</f>
        <v>147839586.26462999</v>
      </c>
    </row>
    <row r="130" spans="2:18">
      <c r="B130" s="172" t="s">
        <v>307</v>
      </c>
      <c r="F130" s="171" t="e">
        <f>INDEX('AST Bonds'!$E$54:$E$83,MATCH('Value of Debt (listed bonds)'!$B130,'AST Bonds'!$J$54:$J$83,0))*((INDEX('AST Bond Prices'!$B$1:$AG$120,MATCH('Value of Debt (listed bonds)'!F$3,'AST Bond Prices'!$B$1:$B$120,0),MATCH('Value of Debt (listed bonds)'!$B130,'AST Bond Prices'!$B$1:$AG$1,0))/100))</f>
        <v>#N/A</v>
      </c>
      <c r="G130" s="171">
        <f>INDEX('AST Bonds'!$E$54:$E$83,MATCH('Value of Debt (listed bonds)'!$B130,'AST Bonds'!$J$54:$J$83,0))*((INDEX('AST Bond Prices'!$B$1:$AG$120,MATCH('Value of Debt (listed bonds)'!G$3,'AST Bond Prices'!$B$1:$B$120,0),MATCH('Value of Debt (listed bonds)'!$B130,'AST Bond Prices'!$B$1:$AG$1,0))/100))</f>
        <v>0</v>
      </c>
      <c r="H130" s="171">
        <f>INDEX('AST Bonds'!$E$54:$E$83,MATCH('Value of Debt (listed bonds)'!$B130,'AST Bonds'!$J$54:$J$83,0))*((INDEX('AST Bond Prices'!$B$1:$AG$120,MATCH('Value of Debt (listed bonds)'!H$3,'AST Bond Prices'!$B$1:$B$120,0),MATCH('Value of Debt (listed bonds)'!$B130,'AST Bond Prices'!$B$1:$AG$1,0))/100))</f>
        <v>0</v>
      </c>
      <c r="I130" s="171">
        <f>INDEX('AST Bonds'!$E$54:$E$83,MATCH('Value of Debt (listed bonds)'!$B130,'AST Bonds'!$J$54:$J$83,0))*((INDEX('AST Bond Prices'!$B$1:$AG$120,MATCH('Value of Debt (listed bonds)'!I$3,'AST Bond Prices'!$B$1:$B$120,0),MATCH('Value of Debt (listed bonds)'!$B130,'AST Bond Prices'!$B$1:$AG$1,0))/100))</f>
        <v>0</v>
      </c>
      <c r="J130" s="171">
        <f>INDEX('AST Bonds'!$E$54:$E$83,MATCH('Value of Debt (listed bonds)'!$B130,'AST Bonds'!$J$54:$J$83,0))*((INDEX('AST Bond Prices'!$B$1:$AG$120,MATCH('Value of Debt (listed bonds)'!J$3,'AST Bond Prices'!$B$1:$B$120,0),MATCH('Value of Debt (listed bonds)'!$B130,'AST Bond Prices'!$B$1:$AG$1,0))/100))</f>
        <v>0</v>
      </c>
      <c r="K130" s="171">
        <f>INDEX('AST Bonds'!$E$54:$E$83,MATCH('Value of Debt (listed bonds)'!$B130,'AST Bonds'!$J$54:$J$83,0))*((INDEX('AST Bond Prices'!$B$1:$AG$120,MATCH('Value of Debt (listed bonds)'!K$3,'AST Bond Prices'!$B$1:$B$120,0),MATCH('Value of Debt (listed bonds)'!$B130,'AST Bond Prices'!$B$1:$AG$1,0))/100))</f>
        <v>0</v>
      </c>
      <c r="L130" s="171">
        <f>INDEX('AST Bonds'!$E$54:$E$83,MATCH('Value of Debt (listed bonds)'!$B130,'AST Bonds'!$J$54:$J$83,0))*((INDEX('AST Bond Prices'!$B$1:$AG$120,MATCH('Value of Debt (listed bonds)'!L$3,'AST Bond Prices'!$B$1:$B$120,0),MATCH('Value of Debt (listed bonds)'!$B130,'AST Bond Prices'!$B$1:$AG$1,0))/100))</f>
        <v>0</v>
      </c>
      <c r="M130" s="171">
        <f>INDEX('AST Bonds'!$E$54:$E$83,MATCH('Value of Debt (listed bonds)'!$B130,'AST Bonds'!$J$54:$J$83,0))*((INDEX('AST Bond Prices'!$B$1:$AG$120,MATCH('Value of Debt (listed bonds)'!M$3,'AST Bond Prices'!$B$1:$B$120,0),MATCH('Value of Debt (listed bonds)'!$B130,'AST Bond Prices'!$B$1:$AG$1,0))/100))</f>
        <v>0</v>
      </c>
      <c r="N130" s="171">
        <f>INDEX('AST Bonds'!$E$54:$E$83,MATCH('Value of Debt (listed bonds)'!$B130,'AST Bonds'!$J$54:$J$83,0))*((INDEX('AST Bond Prices'!$B$1:$AG$120,MATCH('Value of Debt (listed bonds)'!N$3,'AST Bond Prices'!$B$1:$B$120,0),MATCH('Value of Debt (listed bonds)'!$B130,'AST Bond Prices'!$B$1:$AG$1,0))/100))</f>
        <v>0</v>
      </c>
      <c r="O130" s="171">
        <f>INDEX('AST Bonds'!$E$54:$E$83,MATCH('Value of Debt (listed bonds)'!$B130,'AST Bonds'!$J$54:$J$83,0))*((INDEX('AST Bond Prices'!$B$1:$AG$120,MATCH('Value of Debt (listed bonds)'!O$3,'AST Bond Prices'!$B$1:$B$120,0),MATCH('Value of Debt (listed bonds)'!$B130,'AST Bond Prices'!$B$1:$AG$1,0))/100))</f>
        <v>0</v>
      </c>
      <c r="P130" s="171">
        <f>INDEX('AST Bonds'!$E$54:$E$83,MATCH('Value of Debt (listed bonds)'!$B130,'AST Bonds'!$J$54:$J$83,0))*((INDEX('AST Bond Prices'!$B$1:$AG$120,MATCH('Value of Debt (listed bonds)'!P$3,'AST Bond Prices'!$B$1:$B$120,0),MATCH('Value of Debt (listed bonds)'!$B130,'AST Bond Prices'!$B$1:$AG$1,0))/100))</f>
        <v>0</v>
      </c>
      <c r="Q130" s="171">
        <f>INDEX('AST Bonds'!$E$54:$E$83,MATCH('Value of Debt (listed bonds)'!$B130,'AST Bonds'!$J$54:$J$83,0))*((INDEX('AST Bond Prices'!$B$1:$AG$120,MATCH('Value of Debt (listed bonds)'!Q$3,'AST Bond Prices'!$B$1:$B$120,0),MATCH('Value of Debt (listed bonds)'!$B130,'AST Bond Prices'!$B$1:$AG$1,0))/100))</f>
        <v>75170242.801619992</v>
      </c>
      <c r="R130" s="171">
        <f>INDEX('AST Bonds'!$E$54:$E$83,MATCH('Value of Debt (listed bonds)'!$B130,'AST Bonds'!$J$54:$J$83,0))*((INDEX('AST Bond Prices'!$B$1:$AG$120,MATCH('Value of Debt (listed bonds)'!R$3,'AST Bond Prices'!$B$1:$B$120,0),MATCH('Value of Debt (listed bonds)'!$B130,'AST Bond Prices'!$B$1:$AG$1,0))/100))</f>
        <v>73919792.644620001</v>
      </c>
    </row>
    <row r="131" spans="2:18">
      <c r="B131" s="172" t="s">
        <v>308</v>
      </c>
      <c r="F131" s="171" t="e">
        <f>INDEX('AST Bonds'!$E$54:$E$83,MATCH('Value of Debt (listed bonds)'!$B131,'AST Bonds'!$J$54:$J$83,0))*((INDEX('AST Bond Prices'!$B$1:$AG$120,MATCH('Value of Debt (listed bonds)'!F$3,'AST Bond Prices'!$B$1:$B$120,0),MATCH('Value of Debt (listed bonds)'!$B131,'AST Bond Prices'!$B$1:$AG$1,0))/100))</f>
        <v>#N/A</v>
      </c>
      <c r="G131" s="171">
        <f>INDEX('AST Bonds'!$E$54:$E$83,MATCH('Value of Debt (listed bonds)'!$B131,'AST Bonds'!$J$54:$J$83,0))*((INDEX('AST Bond Prices'!$B$1:$AG$120,MATCH('Value of Debt (listed bonds)'!G$3,'AST Bond Prices'!$B$1:$B$120,0),MATCH('Value of Debt (listed bonds)'!$B131,'AST Bond Prices'!$B$1:$AG$1,0))/100))</f>
        <v>0</v>
      </c>
      <c r="H131" s="171">
        <f>INDEX('AST Bonds'!$E$54:$E$83,MATCH('Value of Debt (listed bonds)'!$B131,'AST Bonds'!$J$54:$J$83,0))*((INDEX('AST Bond Prices'!$B$1:$AG$120,MATCH('Value of Debt (listed bonds)'!H$3,'AST Bond Prices'!$B$1:$B$120,0),MATCH('Value of Debt (listed bonds)'!$B131,'AST Bond Prices'!$B$1:$AG$1,0))/100))</f>
        <v>0</v>
      </c>
      <c r="I131" s="171">
        <f>INDEX('AST Bonds'!$E$54:$E$83,MATCH('Value of Debt (listed bonds)'!$B131,'AST Bonds'!$J$54:$J$83,0))*((INDEX('AST Bond Prices'!$B$1:$AG$120,MATCH('Value of Debt (listed bonds)'!I$3,'AST Bond Prices'!$B$1:$B$120,0),MATCH('Value of Debt (listed bonds)'!$B131,'AST Bond Prices'!$B$1:$AG$1,0))/100))</f>
        <v>138171105.28305</v>
      </c>
      <c r="J131" s="171">
        <f>INDEX('AST Bonds'!$E$54:$E$83,MATCH('Value of Debt (listed bonds)'!$B131,'AST Bonds'!$J$54:$J$83,0))*((INDEX('AST Bond Prices'!$B$1:$AG$120,MATCH('Value of Debt (listed bonds)'!J$3,'AST Bond Prices'!$B$1:$B$120,0),MATCH('Value of Debt (listed bonds)'!$B131,'AST Bond Prices'!$B$1:$AG$1,0))/100))</f>
        <v>153539365.13475001</v>
      </c>
      <c r="K131" s="171">
        <f>INDEX('AST Bonds'!$E$54:$E$83,MATCH('Value of Debt (listed bonds)'!$B131,'AST Bonds'!$J$54:$J$83,0))*((INDEX('AST Bond Prices'!$B$1:$AG$120,MATCH('Value of Debt (listed bonds)'!K$3,'AST Bond Prices'!$B$1:$B$120,0),MATCH('Value of Debt (listed bonds)'!$B131,'AST Bond Prices'!$B$1:$AG$1,0))/100))</f>
        <v>169685177.63295001</v>
      </c>
      <c r="L131" s="171">
        <f>INDEX('AST Bonds'!$E$54:$E$83,MATCH('Value of Debt (listed bonds)'!$B131,'AST Bonds'!$J$54:$J$83,0))*((INDEX('AST Bond Prices'!$B$1:$AG$120,MATCH('Value of Debt (listed bonds)'!L$3,'AST Bond Prices'!$B$1:$B$120,0),MATCH('Value of Debt (listed bonds)'!$B131,'AST Bond Prices'!$B$1:$AG$1,0))/100))</f>
        <v>151479532.68524998</v>
      </c>
      <c r="M131" s="171">
        <f>INDEX('AST Bonds'!$E$54:$E$83,MATCH('Value of Debt (listed bonds)'!$B131,'AST Bonds'!$J$54:$J$83,0))*((INDEX('AST Bond Prices'!$B$1:$AG$120,MATCH('Value of Debt (listed bonds)'!M$3,'AST Bond Prices'!$B$1:$B$120,0),MATCH('Value of Debt (listed bonds)'!$B131,'AST Bond Prices'!$B$1:$AG$1,0))/100))</f>
        <v>150842485.1661</v>
      </c>
      <c r="N131" s="171">
        <f>INDEX('AST Bonds'!$E$54:$E$83,MATCH('Value of Debt (listed bonds)'!$B131,'AST Bonds'!$J$54:$J$83,0))*((INDEX('AST Bond Prices'!$B$1:$AG$120,MATCH('Value of Debt (listed bonds)'!N$3,'AST Bond Prices'!$B$1:$B$120,0),MATCH('Value of Debt (listed bonds)'!$B131,'AST Bond Prices'!$B$1:$AG$1,0))/100))</f>
        <v>149483814.22589999</v>
      </c>
      <c r="O131" s="171">
        <f>INDEX('AST Bonds'!$E$54:$E$83,MATCH('Value of Debt (listed bonds)'!$B131,'AST Bonds'!$J$54:$J$83,0))*((INDEX('AST Bond Prices'!$B$1:$AG$120,MATCH('Value of Debt (listed bonds)'!O$3,'AST Bond Prices'!$B$1:$B$120,0),MATCH('Value of Debt (listed bonds)'!$B131,'AST Bond Prices'!$B$1:$AG$1,0))/100))</f>
        <v>158763973.26825002</v>
      </c>
      <c r="P131" s="171">
        <f>INDEX('AST Bonds'!$E$54:$E$83,MATCH('Value of Debt (listed bonds)'!$B131,'AST Bonds'!$J$54:$J$83,0))*((INDEX('AST Bond Prices'!$B$1:$AG$120,MATCH('Value of Debt (listed bonds)'!P$3,'AST Bond Prices'!$B$1:$B$120,0),MATCH('Value of Debt (listed bonds)'!$B131,'AST Bond Prices'!$B$1:$AG$1,0))/100))</f>
        <v>148545294.54030001</v>
      </c>
      <c r="Q131" s="171">
        <f>INDEX('AST Bonds'!$E$54:$E$83,MATCH('Value of Debt (listed bonds)'!$B131,'AST Bonds'!$J$54:$J$83,0))*((INDEX('AST Bond Prices'!$B$1:$AG$120,MATCH('Value of Debt (listed bonds)'!Q$3,'AST Bond Prices'!$B$1:$B$120,0),MATCH('Value of Debt (listed bonds)'!$B131,'AST Bond Prices'!$B$1:$AG$1,0))/100))</f>
        <v>143413447.07339999</v>
      </c>
      <c r="R131" s="171">
        <f>INDEX('AST Bonds'!$E$54:$E$83,MATCH('Value of Debt (listed bonds)'!$B131,'AST Bonds'!$J$54:$J$83,0))*((INDEX('AST Bond Prices'!$B$1:$AG$120,MATCH('Value of Debt (listed bonds)'!R$3,'AST Bond Prices'!$B$1:$B$120,0),MATCH('Value of Debt (listed bonds)'!$B131,'AST Bond Prices'!$B$1:$AG$1,0))/100))</f>
        <v>140930735.1144</v>
      </c>
    </row>
    <row r="132" spans="2:18">
      <c r="B132" s="172" t="s">
        <v>309</v>
      </c>
      <c r="F132" s="171" t="e">
        <f>INDEX('AST Bonds'!$E$54:$E$83,MATCH('Value of Debt (listed bonds)'!$B132,'AST Bonds'!$J$54:$J$83,0))*((INDEX('AST Bond Prices'!$B$1:$AG$120,MATCH('Value of Debt (listed bonds)'!F$3,'AST Bond Prices'!$B$1:$B$120,0),MATCH('Value of Debt (listed bonds)'!$B132,'AST Bond Prices'!$B$1:$AG$1,0))/100))</f>
        <v>#N/A</v>
      </c>
      <c r="G132" s="171">
        <f>INDEX('AST Bonds'!$E$54:$E$83,MATCH('Value of Debt (listed bonds)'!$B132,'AST Bonds'!$J$54:$J$83,0))*((INDEX('AST Bond Prices'!$B$1:$AG$120,MATCH('Value of Debt (listed bonds)'!G$3,'AST Bond Prices'!$B$1:$B$120,0),MATCH('Value of Debt (listed bonds)'!$B132,'AST Bond Prices'!$B$1:$AG$1,0))/100))</f>
        <v>0</v>
      </c>
      <c r="H132" s="171">
        <f>INDEX('AST Bonds'!$E$54:$E$83,MATCH('Value of Debt (listed bonds)'!$B132,'AST Bonds'!$J$54:$J$83,0))*((INDEX('AST Bond Prices'!$B$1:$AG$120,MATCH('Value of Debt (listed bonds)'!H$3,'AST Bond Prices'!$B$1:$B$120,0),MATCH('Value of Debt (listed bonds)'!$B132,'AST Bond Prices'!$B$1:$AG$1,0))/100))</f>
        <v>0</v>
      </c>
      <c r="I132" s="171">
        <f>INDEX('AST Bonds'!$E$54:$E$83,MATCH('Value of Debt (listed bonds)'!$B132,'AST Bonds'!$J$54:$J$83,0))*((INDEX('AST Bond Prices'!$B$1:$AG$120,MATCH('Value of Debt (listed bonds)'!I$3,'AST Bond Prices'!$B$1:$B$120,0),MATCH('Value of Debt (listed bonds)'!$B132,'AST Bond Prices'!$B$1:$AG$1,0))/100))</f>
        <v>0</v>
      </c>
      <c r="J132" s="171">
        <f>INDEX('AST Bonds'!$E$54:$E$83,MATCH('Value of Debt (listed bonds)'!$B132,'AST Bonds'!$J$54:$J$83,0))*((INDEX('AST Bond Prices'!$B$1:$AG$120,MATCH('Value of Debt (listed bonds)'!J$3,'AST Bond Prices'!$B$1:$B$120,0),MATCH('Value of Debt (listed bonds)'!$B132,'AST Bond Prices'!$B$1:$AG$1,0))/100))</f>
        <v>0</v>
      </c>
      <c r="K132" s="171">
        <f>INDEX('AST Bonds'!$E$54:$E$83,MATCH('Value of Debt (listed bonds)'!$B132,'AST Bonds'!$J$54:$J$83,0))*((INDEX('AST Bond Prices'!$B$1:$AG$120,MATCH('Value of Debt (listed bonds)'!K$3,'AST Bond Prices'!$B$1:$B$120,0),MATCH('Value of Debt (listed bonds)'!$B132,'AST Bond Prices'!$B$1:$AG$1,0))/100))</f>
        <v>0</v>
      </c>
      <c r="L132" s="171">
        <f>INDEX('AST Bonds'!$E$54:$E$83,MATCH('Value of Debt (listed bonds)'!$B132,'AST Bonds'!$J$54:$J$83,0))*((INDEX('AST Bond Prices'!$B$1:$AG$120,MATCH('Value of Debt (listed bonds)'!L$3,'AST Bond Prices'!$B$1:$B$120,0),MATCH('Value of Debt (listed bonds)'!$B132,'AST Bond Prices'!$B$1:$AG$1,0))/100))</f>
        <v>0</v>
      </c>
      <c r="M132" s="171">
        <f>INDEX('AST Bonds'!$E$54:$E$83,MATCH('Value of Debt (listed bonds)'!$B132,'AST Bonds'!$J$54:$J$83,0))*((INDEX('AST Bond Prices'!$B$1:$AG$120,MATCH('Value of Debt (listed bonds)'!M$3,'AST Bond Prices'!$B$1:$B$120,0),MATCH('Value of Debt (listed bonds)'!$B132,'AST Bond Prices'!$B$1:$AG$1,0))/100))</f>
        <v>0</v>
      </c>
      <c r="N132" s="171">
        <f>INDEX('AST Bonds'!$E$54:$E$83,MATCH('Value of Debt (listed bonds)'!$B132,'AST Bonds'!$J$54:$J$83,0))*((INDEX('AST Bond Prices'!$B$1:$AG$120,MATCH('Value of Debt (listed bonds)'!N$3,'AST Bond Prices'!$B$1:$B$120,0),MATCH('Value of Debt (listed bonds)'!$B132,'AST Bond Prices'!$B$1:$AG$1,0))/100))</f>
        <v>0</v>
      </c>
      <c r="O132" s="171">
        <f>INDEX('AST Bonds'!$E$54:$E$83,MATCH('Value of Debt (listed bonds)'!$B132,'AST Bonds'!$J$54:$J$83,0))*((INDEX('AST Bond Prices'!$B$1:$AG$120,MATCH('Value of Debt (listed bonds)'!O$3,'AST Bond Prices'!$B$1:$B$120,0),MATCH('Value of Debt (listed bonds)'!$B132,'AST Bond Prices'!$B$1:$AG$1,0))/100))</f>
        <v>360762500</v>
      </c>
      <c r="P132" s="171">
        <f>INDEX('AST Bonds'!$E$54:$E$83,MATCH('Value of Debt (listed bonds)'!$B132,'AST Bonds'!$J$54:$J$83,0))*((INDEX('AST Bond Prices'!$B$1:$AG$120,MATCH('Value of Debt (listed bonds)'!P$3,'AST Bond Prices'!$B$1:$B$120,0),MATCH('Value of Debt (listed bonds)'!$B132,'AST Bond Prices'!$B$1:$AG$1,0))/100))</f>
        <v>360913000</v>
      </c>
      <c r="Q132" s="171">
        <f>INDEX('AST Bonds'!$E$54:$E$83,MATCH('Value of Debt (listed bonds)'!$B132,'AST Bonds'!$J$54:$J$83,0))*((INDEX('AST Bond Prices'!$B$1:$AG$120,MATCH('Value of Debt (listed bonds)'!Q$3,'AST Bond Prices'!$B$1:$B$120,0),MATCH('Value of Debt (listed bonds)'!$B132,'AST Bond Prices'!$B$1:$AG$1,0))/100))</f>
        <v>344127000</v>
      </c>
      <c r="R132" s="171">
        <f>INDEX('AST Bonds'!$E$54:$E$83,MATCH('Value of Debt (listed bonds)'!$B132,'AST Bonds'!$J$54:$J$83,0))*((INDEX('AST Bond Prices'!$B$1:$AG$120,MATCH('Value of Debt (listed bonds)'!R$3,'AST Bond Prices'!$B$1:$B$120,0),MATCH('Value of Debt (listed bonds)'!$B132,'AST Bond Prices'!$B$1:$AG$1,0))/100))</f>
        <v>339199000</v>
      </c>
    </row>
    <row r="133" spans="2:18">
      <c r="B133" s="172" t="s">
        <v>310</v>
      </c>
      <c r="F133" s="171" t="e">
        <f>INDEX('AST Bonds'!$E$54:$E$83,MATCH('Value of Debt (listed bonds)'!$B133,'AST Bonds'!$J$54:$J$83,0))*((INDEX('AST Bond Prices'!$B$1:$AG$120,MATCH('Value of Debt (listed bonds)'!F$3,'AST Bond Prices'!$B$1:$B$120,0),MATCH('Value of Debt (listed bonds)'!$B133,'AST Bond Prices'!$B$1:$AG$1,0))/100))</f>
        <v>#N/A</v>
      </c>
      <c r="G133" s="171">
        <f>INDEX('AST Bonds'!$E$54:$E$83,MATCH('Value of Debt (listed bonds)'!$B133,'AST Bonds'!$J$54:$J$83,0))*((INDEX('AST Bond Prices'!$B$1:$AG$120,MATCH('Value of Debt (listed bonds)'!G$3,'AST Bond Prices'!$B$1:$B$120,0),MATCH('Value of Debt (listed bonds)'!$B133,'AST Bond Prices'!$B$1:$AG$1,0))/100))</f>
        <v>0</v>
      </c>
      <c r="H133" s="171">
        <f>INDEX('AST Bonds'!$E$54:$E$83,MATCH('Value of Debt (listed bonds)'!$B133,'AST Bonds'!$J$54:$J$83,0))*((INDEX('AST Bond Prices'!$B$1:$AG$120,MATCH('Value of Debt (listed bonds)'!H$3,'AST Bond Prices'!$B$1:$B$120,0),MATCH('Value of Debt (listed bonds)'!$B133,'AST Bond Prices'!$B$1:$AG$1,0))/100))</f>
        <v>0</v>
      </c>
      <c r="I133" s="171">
        <f>INDEX('AST Bonds'!$E$54:$E$83,MATCH('Value of Debt (listed bonds)'!$B133,'AST Bonds'!$J$54:$J$83,0))*((INDEX('AST Bond Prices'!$B$1:$AG$120,MATCH('Value of Debt (listed bonds)'!I$3,'AST Bond Prices'!$B$1:$B$120,0),MATCH('Value of Debt (listed bonds)'!$B133,'AST Bond Prices'!$B$1:$AG$1,0))/100))</f>
        <v>0</v>
      </c>
      <c r="J133" s="171">
        <f>INDEX('AST Bonds'!$E$54:$E$83,MATCH('Value of Debt (listed bonds)'!$B133,'AST Bonds'!$J$54:$J$83,0))*((INDEX('AST Bond Prices'!$B$1:$AG$120,MATCH('Value of Debt (listed bonds)'!J$3,'AST Bond Prices'!$B$1:$B$120,0),MATCH('Value of Debt (listed bonds)'!$B133,'AST Bond Prices'!$B$1:$AG$1,0))/100))</f>
        <v>0</v>
      </c>
      <c r="K133" s="171">
        <f>INDEX('AST Bonds'!$E$54:$E$83,MATCH('Value of Debt (listed bonds)'!$B133,'AST Bonds'!$J$54:$J$83,0))*((INDEX('AST Bond Prices'!$B$1:$AG$120,MATCH('Value of Debt (listed bonds)'!K$3,'AST Bond Prices'!$B$1:$B$120,0),MATCH('Value of Debt (listed bonds)'!$B133,'AST Bond Prices'!$B$1:$AG$1,0))/100))</f>
        <v>0</v>
      </c>
      <c r="L133" s="171">
        <f>INDEX('AST Bonds'!$E$54:$E$83,MATCH('Value of Debt (listed bonds)'!$B133,'AST Bonds'!$J$54:$J$83,0))*((INDEX('AST Bond Prices'!$B$1:$AG$120,MATCH('Value of Debt (listed bonds)'!L$3,'AST Bond Prices'!$B$1:$B$120,0),MATCH('Value of Debt (listed bonds)'!$B133,'AST Bond Prices'!$B$1:$AG$1,0))/100))</f>
        <v>0</v>
      </c>
      <c r="M133" s="171">
        <f>INDEX('AST Bonds'!$E$54:$E$83,MATCH('Value of Debt (listed bonds)'!$B133,'AST Bonds'!$J$54:$J$83,0))*((INDEX('AST Bond Prices'!$B$1:$AG$120,MATCH('Value of Debt (listed bonds)'!M$3,'AST Bond Prices'!$B$1:$B$120,0),MATCH('Value of Debt (listed bonds)'!$B133,'AST Bond Prices'!$B$1:$AG$1,0))/100))</f>
        <v>227824889.77441001</v>
      </c>
      <c r="N133" s="171">
        <f>INDEX('AST Bonds'!$E$54:$E$83,MATCH('Value of Debt (listed bonds)'!$B133,'AST Bonds'!$J$54:$J$83,0))*((INDEX('AST Bond Prices'!$B$1:$AG$120,MATCH('Value of Debt (listed bonds)'!N$3,'AST Bond Prices'!$B$1:$B$120,0),MATCH('Value of Debt (listed bonds)'!$B133,'AST Bond Prices'!$B$1:$AG$1,0))/100))</f>
        <v>243633492.33960003</v>
      </c>
      <c r="O133" s="171">
        <f>INDEX('AST Bonds'!$E$54:$E$83,MATCH('Value of Debt (listed bonds)'!$B133,'AST Bonds'!$J$54:$J$83,0))*((INDEX('AST Bond Prices'!$B$1:$AG$120,MATCH('Value of Debt (listed bonds)'!O$3,'AST Bond Prices'!$B$1:$B$120,0),MATCH('Value of Debt (listed bonds)'!$B133,'AST Bond Prices'!$B$1:$AG$1,0))/100))</f>
        <v>247064730.73572999</v>
      </c>
      <c r="P133" s="171">
        <f>INDEX('AST Bonds'!$E$54:$E$83,MATCH('Value of Debt (listed bonds)'!$B133,'AST Bonds'!$J$54:$J$83,0))*((INDEX('AST Bond Prices'!$B$1:$AG$120,MATCH('Value of Debt (listed bonds)'!P$3,'AST Bond Prices'!$B$1:$B$120,0),MATCH('Value of Debt (listed bonds)'!$B133,'AST Bond Prices'!$B$1:$AG$1,0))/100))</f>
        <v>239592947.83812997</v>
      </c>
      <c r="Q133" s="171">
        <f>INDEX('AST Bonds'!$E$54:$E$83,MATCH('Value of Debt (listed bonds)'!$B133,'AST Bonds'!$J$54:$J$83,0))*((INDEX('AST Bond Prices'!$B$1:$AG$120,MATCH('Value of Debt (listed bonds)'!Q$3,'AST Bond Prices'!$B$1:$B$120,0),MATCH('Value of Debt (listed bonds)'!$B133,'AST Bond Prices'!$B$1:$AG$1,0))/100))</f>
        <v>233035124.09853998</v>
      </c>
      <c r="R133" s="171">
        <f>INDEX('AST Bonds'!$E$54:$E$83,MATCH('Value of Debt (listed bonds)'!$B133,'AST Bonds'!$J$54:$J$83,0))*((INDEX('AST Bond Prices'!$B$1:$AG$120,MATCH('Value of Debt (listed bonds)'!R$3,'AST Bond Prices'!$B$1:$B$120,0),MATCH('Value of Debt (listed bonds)'!$B133,'AST Bond Prices'!$B$1:$AG$1,0))/100))</f>
        <v>228487565.75759</v>
      </c>
    </row>
    <row r="134" spans="2:18">
      <c r="B134" s="172" t="s">
        <v>311</v>
      </c>
      <c r="F134" s="171" t="e">
        <f>INDEX('AST Bonds'!$E$54:$E$83,MATCH('Value of Debt (listed bonds)'!$B134,'AST Bonds'!$J$54:$J$83,0))*((INDEX('AST Bond Prices'!$B$1:$AG$120,MATCH('Value of Debt (listed bonds)'!F$3,'AST Bond Prices'!$B$1:$B$120,0),MATCH('Value of Debt (listed bonds)'!$B134,'AST Bond Prices'!$B$1:$AG$1,0))/100))</f>
        <v>#N/A</v>
      </c>
      <c r="G134" s="171">
        <f>INDEX('AST Bonds'!$E$54:$E$83,MATCH('Value of Debt (listed bonds)'!$B134,'AST Bonds'!$J$54:$J$83,0))*((INDEX('AST Bond Prices'!$B$1:$AG$120,MATCH('Value of Debt (listed bonds)'!G$3,'AST Bond Prices'!$B$1:$B$120,0),MATCH('Value of Debt (listed bonds)'!$B134,'AST Bond Prices'!$B$1:$AG$1,0))/100))</f>
        <v>0</v>
      </c>
      <c r="H134" s="171">
        <f>INDEX('AST Bonds'!$E$54:$E$83,MATCH('Value of Debt (listed bonds)'!$B134,'AST Bonds'!$J$54:$J$83,0))*((INDEX('AST Bond Prices'!$B$1:$AG$120,MATCH('Value of Debt (listed bonds)'!H$3,'AST Bond Prices'!$B$1:$B$120,0),MATCH('Value of Debt (listed bonds)'!$B134,'AST Bond Prices'!$B$1:$AG$1,0))/100))</f>
        <v>0</v>
      </c>
      <c r="I134" s="171">
        <f>INDEX('AST Bonds'!$E$54:$E$83,MATCH('Value of Debt (listed bonds)'!$B134,'AST Bonds'!$J$54:$J$83,0))*((INDEX('AST Bond Prices'!$B$1:$AG$120,MATCH('Value of Debt (listed bonds)'!I$3,'AST Bond Prices'!$B$1:$B$120,0),MATCH('Value of Debt (listed bonds)'!$B134,'AST Bond Prices'!$B$1:$AG$1,0))/100))</f>
        <v>0</v>
      </c>
      <c r="J134" s="171">
        <f>INDEX('AST Bonds'!$E$54:$E$83,MATCH('Value of Debt (listed bonds)'!$B134,'AST Bonds'!$J$54:$J$83,0))*((INDEX('AST Bond Prices'!$B$1:$AG$120,MATCH('Value of Debt (listed bonds)'!J$3,'AST Bond Prices'!$B$1:$B$120,0),MATCH('Value of Debt (listed bonds)'!$B134,'AST Bond Prices'!$B$1:$AG$1,0))/100))</f>
        <v>0</v>
      </c>
      <c r="K134" s="171">
        <f>INDEX('AST Bonds'!$E$54:$E$83,MATCH('Value of Debt (listed bonds)'!$B134,'AST Bonds'!$J$54:$J$83,0))*((INDEX('AST Bond Prices'!$B$1:$AG$120,MATCH('Value of Debt (listed bonds)'!K$3,'AST Bond Prices'!$B$1:$B$120,0),MATCH('Value of Debt (listed bonds)'!$B134,'AST Bond Prices'!$B$1:$AG$1,0))/100))</f>
        <v>0</v>
      </c>
      <c r="L134" s="171">
        <f>INDEX('AST Bonds'!$E$54:$E$83,MATCH('Value of Debt (listed bonds)'!$B134,'AST Bonds'!$J$54:$J$83,0))*((INDEX('AST Bond Prices'!$B$1:$AG$120,MATCH('Value of Debt (listed bonds)'!L$3,'AST Bond Prices'!$B$1:$B$120,0),MATCH('Value of Debt (listed bonds)'!$B134,'AST Bond Prices'!$B$1:$AG$1,0))/100))</f>
        <v>0</v>
      </c>
      <c r="M134" s="171">
        <f>INDEX('AST Bonds'!$E$54:$E$83,MATCH('Value of Debt (listed bonds)'!$B134,'AST Bonds'!$J$54:$J$83,0))*((INDEX('AST Bond Prices'!$B$1:$AG$120,MATCH('Value of Debt (listed bonds)'!M$3,'AST Bond Prices'!$B$1:$B$120,0),MATCH('Value of Debt (listed bonds)'!$B134,'AST Bond Prices'!$B$1:$AG$1,0))/100))</f>
        <v>0</v>
      </c>
      <c r="N134" s="171">
        <f>INDEX('AST Bonds'!$E$54:$E$83,MATCH('Value of Debt (listed bonds)'!$B134,'AST Bonds'!$J$54:$J$83,0))*((INDEX('AST Bond Prices'!$B$1:$AG$120,MATCH('Value of Debt (listed bonds)'!N$3,'AST Bond Prices'!$B$1:$B$120,0),MATCH('Value of Debt (listed bonds)'!$B134,'AST Bond Prices'!$B$1:$AG$1,0))/100))</f>
        <v>17991208.554749999</v>
      </c>
      <c r="O134" s="171">
        <f>INDEX('AST Bonds'!$E$54:$E$83,MATCH('Value of Debt (listed bonds)'!$B134,'AST Bonds'!$J$54:$J$83,0))*((INDEX('AST Bond Prices'!$B$1:$AG$120,MATCH('Value of Debt (listed bonds)'!O$3,'AST Bond Prices'!$B$1:$B$120,0),MATCH('Value of Debt (listed bonds)'!$B134,'AST Bond Prices'!$B$1:$AG$1,0))/100))</f>
        <v>18168470.677560002</v>
      </c>
      <c r="P134" s="171">
        <f>INDEX('AST Bonds'!$E$54:$E$83,MATCH('Value of Debt (listed bonds)'!$B134,'AST Bonds'!$J$54:$J$83,0))*((INDEX('AST Bond Prices'!$B$1:$AG$120,MATCH('Value of Debt (listed bonds)'!P$3,'AST Bond Prices'!$B$1:$B$120,0),MATCH('Value of Debt (listed bonds)'!$B134,'AST Bond Prices'!$B$1:$AG$1,0))/100))</f>
        <v>17665874.6679</v>
      </c>
      <c r="Q134" s="171">
        <f>INDEX('AST Bonds'!$E$54:$E$83,MATCH('Value of Debt (listed bonds)'!$B134,'AST Bonds'!$J$54:$J$83,0))*((INDEX('AST Bond Prices'!$B$1:$AG$120,MATCH('Value of Debt (listed bonds)'!Q$3,'AST Bond Prices'!$B$1:$B$120,0),MATCH('Value of Debt (listed bonds)'!$B134,'AST Bond Prices'!$B$1:$AG$1,0))/100))</f>
        <v>17191490.569230001</v>
      </c>
      <c r="R134" s="171">
        <f>INDEX('AST Bonds'!$E$54:$E$83,MATCH('Value of Debt (listed bonds)'!$B134,'AST Bonds'!$J$54:$J$83,0))*((INDEX('AST Bond Prices'!$B$1:$AG$120,MATCH('Value of Debt (listed bonds)'!R$3,'AST Bond Prices'!$B$1:$B$120,0),MATCH('Value of Debt (listed bonds)'!$B134,'AST Bond Prices'!$B$1:$AG$1,0))/100))</f>
        <v>16855393.7568</v>
      </c>
    </row>
    <row r="135" spans="2:18">
      <c r="B135" s="172" t="s">
        <v>312</v>
      </c>
      <c r="F135" s="171" t="e">
        <f>INDEX('AST Bonds'!$E$54:$E$83,MATCH('Value of Debt (listed bonds)'!$B135,'AST Bonds'!$J$54:$J$83,0))*((INDEX('AST Bond Prices'!$B$1:$AG$120,MATCH('Value of Debt (listed bonds)'!F$3,'AST Bond Prices'!$B$1:$B$120,0),MATCH('Value of Debt (listed bonds)'!$B135,'AST Bond Prices'!$B$1:$AG$1,0))/100))</f>
        <v>#N/A</v>
      </c>
      <c r="G135" s="171">
        <f>INDEX('AST Bonds'!$E$54:$E$83,MATCH('Value of Debt (listed bonds)'!$B135,'AST Bonds'!$J$54:$J$83,0))*((INDEX('AST Bond Prices'!$B$1:$AG$120,MATCH('Value of Debt (listed bonds)'!G$3,'AST Bond Prices'!$B$1:$B$120,0),MATCH('Value of Debt (listed bonds)'!$B135,'AST Bond Prices'!$B$1:$AG$1,0))/100))</f>
        <v>0</v>
      </c>
      <c r="H135" s="171">
        <f>INDEX('AST Bonds'!$E$54:$E$83,MATCH('Value of Debt (listed bonds)'!$B135,'AST Bonds'!$J$54:$J$83,0))*((INDEX('AST Bond Prices'!$B$1:$AG$120,MATCH('Value of Debt (listed bonds)'!H$3,'AST Bond Prices'!$B$1:$B$120,0),MATCH('Value of Debt (listed bonds)'!$B135,'AST Bond Prices'!$B$1:$AG$1,0))/100))</f>
        <v>0</v>
      </c>
      <c r="I135" s="171">
        <f>INDEX('AST Bonds'!$E$54:$E$83,MATCH('Value of Debt (listed bonds)'!$B135,'AST Bonds'!$J$54:$J$83,0))*((INDEX('AST Bond Prices'!$B$1:$AG$120,MATCH('Value of Debt (listed bonds)'!I$3,'AST Bond Prices'!$B$1:$B$120,0),MATCH('Value of Debt (listed bonds)'!$B135,'AST Bond Prices'!$B$1:$AG$1,0))/100))</f>
        <v>0</v>
      </c>
      <c r="J135" s="171">
        <f>INDEX('AST Bonds'!$E$54:$E$83,MATCH('Value of Debt (listed bonds)'!$B135,'AST Bonds'!$J$54:$J$83,0))*((INDEX('AST Bond Prices'!$B$1:$AG$120,MATCH('Value of Debt (listed bonds)'!J$3,'AST Bond Prices'!$B$1:$B$120,0),MATCH('Value of Debt (listed bonds)'!$B135,'AST Bond Prices'!$B$1:$AG$1,0))/100))</f>
        <v>0</v>
      </c>
      <c r="K135" s="171">
        <f>INDEX('AST Bonds'!$E$54:$E$83,MATCH('Value of Debt (listed bonds)'!$B135,'AST Bonds'!$J$54:$J$83,0))*((INDEX('AST Bond Prices'!$B$1:$AG$120,MATCH('Value of Debt (listed bonds)'!K$3,'AST Bond Prices'!$B$1:$B$120,0),MATCH('Value of Debt (listed bonds)'!$B135,'AST Bond Prices'!$B$1:$AG$1,0))/100))</f>
        <v>0</v>
      </c>
      <c r="L135" s="171">
        <f>INDEX('AST Bonds'!$E$54:$E$83,MATCH('Value of Debt (listed bonds)'!$B135,'AST Bonds'!$J$54:$J$83,0))*((INDEX('AST Bond Prices'!$B$1:$AG$120,MATCH('Value of Debt (listed bonds)'!L$3,'AST Bond Prices'!$B$1:$B$120,0),MATCH('Value of Debt (listed bonds)'!$B135,'AST Bond Prices'!$B$1:$AG$1,0))/100))</f>
        <v>0</v>
      </c>
      <c r="M135" s="171">
        <f>INDEX('AST Bonds'!$E$54:$E$83,MATCH('Value of Debt (listed bonds)'!$B135,'AST Bonds'!$J$54:$J$83,0))*((INDEX('AST Bond Prices'!$B$1:$AG$120,MATCH('Value of Debt (listed bonds)'!M$3,'AST Bond Prices'!$B$1:$B$120,0),MATCH('Value of Debt (listed bonds)'!$B135,'AST Bond Prices'!$B$1:$AG$1,0))/100))</f>
        <v>0</v>
      </c>
      <c r="N135" s="171">
        <f>INDEX('AST Bonds'!$E$54:$E$83,MATCH('Value of Debt (listed bonds)'!$B135,'AST Bonds'!$J$54:$J$83,0))*((INDEX('AST Bond Prices'!$B$1:$AG$120,MATCH('Value of Debt (listed bonds)'!N$3,'AST Bond Prices'!$B$1:$B$120,0),MATCH('Value of Debt (listed bonds)'!$B135,'AST Bond Prices'!$B$1:$AG$1,0))/100))</f>
        <v>0</v>
      </c>
      <c r="O135" s="171">
        <f>INDEX('AST Bonds'!$E$54:$E$83,MATCH('Value of Debt (listed bonds)'!$B135,'AST Bonds'!$J$54:$J$83,0))*((INDEX('AST Bond Prices'!$B$1:$AG$120,MATCH('Value of Debt (listed bonds)'!O$3,'AST Bond Prices'!$B$1:$B$120,0),MATCH('Value of Debt (listed bonds)'!$B135,'AST Bond Prices'!$B$1:$AG$1,0))/100))</f>
        <v>0</v>
      </c>
      <c r="P135" s="171">
        <f>INDEX('AST Bonds'!$E$54:$E$83,MATCH('Value of Debt (listed bonds)'!$B135,'AST Bonds'!$J$54:$J$83,0))*((INDEX('AST Bond Prices'!$B$1:$AG$120,MATCH('Value of Debt (listed bonds)'!P$3,'AST Bond Prices'!$B$1:$B$120,0),MATCH('Value of Debt (listed bonds)'!$B135,'AST Bond Prices'!$B$1:$AG$1,0))/100))</f>
        <v>98558000.000000015</v>
      </c>
      <c r="Q135" s="171">
        <f>INDEX('AST Bonds'!$E$54:$E$83,MATCH('Value of Debt (listed bonds)'!$B135,'AST Bonds'!$J$54:$J$83,0))*((INDEX('AST Bond Prices'!$B$1:$AG$120,MATCH('Value of Debt (listed bonds)'!Q$3,'AST Bond Prices'!$B$1:$B$120,0),MATCH('Value of Debt (listed bonds)'!$B135,'AST Bond Prices'!$B$1:$AG$1,0))/100))</f>
        <v>94534000</v>
      </c>
      <c r="R135" s="171">
        <f>INDEX('AST Bonds'!$E$54:$E$83,MATCH('Value of Debt (listed bonds)'!$B135,'AST Bonds'!$J$54:$J$83,0))*((INDEX('AST Bond Prices'!$B$1:$AG$120,MATCH('Value of Debt (listed bonds)'!R$3,'AST Bond Prices'!$B$1:$B$120,0),MATCH('Value of Debt (listed bonds)'!$B135,'AST Bond Prices'!$B$1:$AG$1,0))/100))</f>
        <v>93180000</v>
      </c>
    </row>
    <row r="136" spans="2:18">
      <c r="B136" s="172" t="s">
        <v>313</v>
      </c>
      <c r="F136" s="171" t="e">
        <f>INDEX('AST Bonds'!$E$54:$E$83,MATCH('Value of Debt (listed bonds)'!$B136,'AST Bonds'!$J$54:$J$83,0))*((INDEX('AST Bond Prices'!$B$1:$AG$120,MATCH('Value of Debt (listed bonds)'!F$3,'AST Bond Prices'!$B$1:$B$120,0),MATCH('Value of Debt (listed bonds)'!$B136,'AST Bond Prices'!$B$1:$AG$1,0))/100))</f>
        <v>#N/A</v>
      </c>
      <c r="G136" s="171">
        <f>INDEX('AST Bonds'!$E$54:$E$83,MATCH('Value of Debt (listed bonds)'!$B136,'AST Bonds'!$J$54:$J$83,0))*((INDEX('AST Bond Prices'!$B$1:$AG$120,MATCH('Value of Debt (listed bonds)'!G$3,'AST Bond Prices'!$B$1:$B$120,0),MATCH('Value of Debt (listed bonds)'!$B136,'AST Bond Prices'!$B$1:$AG$1,0))/100))</f>
        <v>0</v>
      </c>
      <c r="H136" s="171">
        <f>INDEX('AST Bonds'!$E$54:$E$83,MATCH('Value of Debt (listed bonds)'!$B136,'AST Bonds'!$J$54:$J$83,0))*((INDEX('AST Bond Prices'!$B$1:$AG$120,MATCH('Value of Debt (listed bonds)'!H$3,'AST Bond Prices'!$B$1:$B$120,0),MATCH('Value of Debt (listed bonds)'!$B136,'AST Bond Prices'!$B$1:$AG$1,0))/100))</f>
        <v>0</v>
      </c>
      <c r="I136" s="171">
        <f>INDEX('AST Bonds'!$E$54:$E$83,MATCH('Value of Debt (listed bonds)'!$B136,'AST Bonds'!$J$54:$J$83,0))*((INDEX('AST Bond Prices'!$B$1:$AG$120,MATCH('Value of Debt (listed bonds)'!I$3,'AST Bond Prices'!$B$1:$B$120,0),MATCH('Value of Debt (listed bonds)'!$B136,'AST Bond Prices'!$B$1:$AG$1,0))/100))</f>
        <v>0</v>
      </c>
      <c r="J136" s="171">
        <f>INDEX('AST Bonds'!$E$54:$E$83,MATCH('Value of Debt (listed bonds)'!$B136,'AST Bonds'!$J$54:$J$83,0))*((INDEX('AST Bond Prices'!$B$1:$AG$120,MATCH('Value of Debt (listed bonds)'!J$3,'AST Bond Prices'!$B$1:$B$120,0),MATCH('Value of Debt (listed bonds)'!$B136,'AST Bond Prices'!$B$1:$AG$1,0))/100))</f>
        <v>0</v>
      </c>
      <c r="K136" s="171">
        <f>INDEX('AST Bonds'!$E$54:$E$83,MATCH('Value of Debt (listed bonds)'!$B136,'AST Bonds'!$J$54:$J$83,0))*((INDEX('AST Bond Prices'!$B$1:$AG$120,MATCH('Value of Debt (listed bonds)'!K$3,'AST Bond Prices'!$B$1:$B$120,0),MATCH('Value of Debt (listed bonds)'!$B136,'AST Bond Prices'!$B$1:$AG$1,0))/100))</f>
        <v>0</v>
      </c>
      <c r="L136" s="171">
        <f>INDEX('AST Bonds'!$E$54:$E$83,MATCH('Value of Debt (listed bonds)'!$B136,'AST Bonds'!$J$54:$J$83,0))*((INDEX('AST Bond Prices'!$B$1:$AG$120,MATCH('Value of Debt (listed bonds)'!L$3,'AST Bond Prices'!$B$1:$B$120,0),MATCH('Value of Debt (listed bonds)'!$B136,'AST Bond Prices'!$B$1:$AG$1,0))/100))</f>
        <v>0</v>
      </c>
      <c r="M136" s="171">
        <f>INDEX('AST Bonds'!$E$54:$E$83,MATCH('Value of Debt (listed bonds)'!$B136,'AST Bonds'!$J$54:$J$83,0))*((INDEX('AST Bond Prices'!$B$1:$AG$120,MATCH('Value of Debt (listed bonds)'!M$3,'AST Bond Prices'!$B$1:$B$120,0),MATCH('Value of Debt (listed bonds)'!$B136,'AST Bond Prices'!$B$1:$AG$1,0))/100))</f>
        <v>0</v>
      </c>
      <c r="N136" s="171">
        <f>INDEX('AST Bonds'!$E$54:$E$83,MATCH('Value of Debt (listed bonds)'!$B136,'AST Bonds'!$J$54:$J$83,0))*((INDEX('AST Bond Prices'!$B$1:$AG$120,MATCH('Value of Debt (listed bonds)'!N$3,'AST Bond Prices'!$B$1:$B$120,0),MATCH('Value of Debt (listed bonds)'!$B136,'AST Bond Prices'!$B$1:$AG$1,0))/100))</f>
        <v>0</v>
      </c>
      <c r="O136" s="171">
        <f>INDEX('AST Bonds'!$E$54:$E$83,MATCH('Value of Debt (listed bonds)'!$B136,'AST Bonds'!$J$54:$J$83,0))*((INDEX('AST Bond Prices'!$B$1:$AG$120,MATCH('Value of Debt (listed bonds)'!O$3,'AST Bond Prices'!$B$1:$B$120,0),MATCH('Value of Debt (listed bonds)'!$B136,'AST Bond Prices'!$B$1:$AG$1,0))/100))</f>
        <v>746874378.62735999</v>
      </c>
      <c r="P136" s="171">
        <f>INDEX('AST Bonds'!$E$54:$E$83,MATCH('Value of Debt (listed bonds)'!$B136,'AST Bonds'!$J$54:$J$83,0))*((INDEX('AST Bond Prices'!$B$1:$AG$120,MATCH('Value of Debt (listed bonds)'!P$3,'AST Bond Prices'!$B$1:$B$120,0),MATCH('Value of Debt (listed bonds)'!$B136,'AST Bond Prices'!$B$1:$AG$1,0))/100))</f>
        <v>747726814.17695999</v>
      </c>
      <c r="Q136" s="171">
        <f>INDEX('AST Bonds'!$E$54:$E$83,MATCH('Value of Debt (listed bonds)'!$B136,'AST Bonds'!$J$54:$J$83,0))*((INDEX('AST Bond Prices'!$B$1:$AG$120,MATCH('Value of Debt (listed bonds)'!Q$3,'AST Bond Prices'!$B$1:$B$120,0),MATCH('Value of Debt (listed bonds)'!$B136,'AST Bond Prices'!$B$1:$AG$1,0))/100))</f>
        <v>730500203.59200001</v>
      </c>
      <c r="R136" s="171">
        <f>INDEX('AST Bonds'!$E$54:$E$83,MATCH('Value of Debt (listed bonds)'!$B136,'AST Bonds'!$J$54:$J$83,0))*((INDEX('AST Bond Prices'!$B$1:$AG$120,MATCH('Value of Debt (listed bonds)'!R$3,'AST Bond Prices'!$B$1:$B$120,0),MATCH('Value of Debt (listed bonds)'!$B136,'AST Bond Prices'!$B$1:$AG$1,0))/100))</f>
        <v>715312025.84303999</v>
      </c>
    </row>
    <row r="137" spans="2:18">
      <c r="B137" s="172" t="s">
        <v>314</v>
      </c>
      <c r="F137" s="171" t="e">
        <f>INDEX('AST Bonds'!$E$54:$E$83,MATCH('Value of Debt (listed bonds)'!$B137,'AST Bonds'!$J$54:$J$83,0))*((INDEX('AST Bond Prices'!$B$1:$AG$120,MATCH('Value of Debt (listed bonds)'!F$3,'AST Bond Prices'!$B$1:$B$120,0),MATCH('Value of Debt (listed bonds)'!$B137,'AST Bond Prices'!$B$1:$AG$1,0))/100))</f>
        <v>#N/A</v>
      </c>
      <c r="G137" s="171">
        <f>INDEX('AST Bonds'!$E$54:$E$83,MATCH('Value of Debt (listed bonds)'!$B137,'AST Bonds'!$J$54:$J$83,0))*((INDEX('AST Bond Prices'!$B$1:$AG$120,MATCH('Value of Debt (listed bonds)'!G$3,'AST Bond Prices'!$B$1:$B$120,0),MATCH('Value of Debt (listed bonds)'!$B137,'AST Bond Prices'!$B$1:$AG$1,0))/100))</f>
        <v>0</v>
      </c>
      <c r="H137" s="171">
        <f>INDEX('AST Bonds'!$E$54:$E$83,MATCH('Value of Debt (listed bonds)'!$B137,'AST Bonds'!$J$54:$J$83,0))*((INDEX('AST Bond Prices'!$B$1:$AG$120,MATCH('Value of Debt (listed bonds)'!H$3,'AST Bond Prices'!$B$1:$B$120,0),MATCH('Value of Debt (listed bonds)'!$B137,'AST Bond Prices'!$B$1:$AG$1,0))/100))</f>
        <v>0</v>
      </c>
      <c r="I137" s="171">
        <f>INDEX('AST Bonds'!$E$54:$E$83,MATCH('Value of Debt (listed bonds)'!$B137,'AST Bonds'!$J$54:$J$83,0))*((INDEX('AST Bond Prices'!$B$1:$AG$120,MATCH('Value of Debt (listed bonds)'!I$3,'AST Bond Prices'!$B$1:$B$120,0),MATCH('Value of Debt (listed bonds)'!$B137,'AST Bond Prices'!$B$1:$AG$1,0))/100))</f>
        <v>0</v>
      </c>
      <c r="J137" s="171">
        <f>INDEX('AST Bonds'!$E$54:$E$83,MATCH('Value of Debt (listed bonds)'!$B137,'AST Bonds'!$J$54:$J$83,0))*((INDEX('AST Bond Prices'!$B$1:$AG$120,MATCH('Value of Debt (listed bonds)'!J$3,'AST Bond Prices'!$B$1:$B$120,0),MATCH('Value of Debt (listed bonds)'!$B137,'AST Bond Prices'!$B$1:$AG$1,0))/100))</f>
        <v>0</v>
      </c>
      <c r="K137" s="171">
        <f>INDEX('AST Bonds'!$E$54:$E$83,MATCH('Value of Debt (listed bonds)'!$B137,'AST Bonds'!$J$54:$J$83,0))*((INDEX('AST Bond Prices'!$B$1:$AG$120,MATCH('Value of Debt (listed bonds)'!K$3,'AST Bond Prices'!$B$1:$B$120,0),MATCH('Value of Debt (listed bonds)'!$B137,'AST Bond Prices'!$B$1:$AG$1,0))/100))</f>
        <v>0</v>
      </c>
      <c r="L137" s="171">
        <f>INDEX('AST Bonds'!$E$54:$E$83,MATCH('Value of Debt (listed bonds)'!$B137,'AST Bonds'!$J$54:$J$83,0))*((INDEX('AST Bond Prices'!$B$1:$AG$120,MATCH('Value of Debt (listed bonds)'!L$3,'AST Bond Prices'!$B$1:$B$120,0),MATCH('Value of Debt (listed bonds)'!$B137,'AST Bond Prices'!$B$1:$AG$1,0))/100))</f>
        <v>0</v>
      </c>
      <c r="M137" s="171">
        <f>INDEX('AST Bonds'!$E$54:$E$83,MATCH('Value of Debt (listed bonds)'!$B137,'AST Bonds'!$J$54:$J$83,0))*((INDEX('AST Bond Prices'!$B$1:$AG$120,MATCH('Value of Debt (listed bonds)'!M$3,'AST Bond Prices'!$B$1:$B$120,0),MATCH('Value of Debt (listed bonds)'!$B137,'AST Bond Prices'!$B$1:$AG$1,0))/100))</f>
        <v>102634793.43318</v>
      </c>
      <c r="N137" s="171">
        <f>INDEX('AST Bonds'!$E$54:$E$83,MATCH('Value of Debt (listed bonds)'!$B137,'AST Bonds'!$J$54:$J$83,0))*((INDEX('AST Bond Prices'!$B$1:$AG$120,MATCH('Value of Debt (listed bonds)'!N$3,'AST Bond Prices'!$B$1:$B$120,0),MATCH('Value of Debt (listed bonds)'!$B137,'AST Bond Prices'!$B$1:$AG$1,0))/100))</f>
        <v>113461704.32975999</v>
      </c>
      <c r="O137" s="171">
        <f>INDEX('AST Bonds'!$E$54:$E$83,MATCH('Value of Debt (listed bonds)'!$B137,'AST Bonds'!$J$54:$J$83,0))*((INDEX('AST Bond Prices'!$B$1:$AG$120,MATCH('Value of Debt (listed bonds)'!O$3,'AST Bond Prices'!$B$1:$B$120,0),MATCH('Value of Debt (listed bonds)'!$B137,'AST Bond Prices'!$B$1:$AG$1,0))/100))</f>
        <v>118643706.88392001</v>
      </c>
      <c r="P137" s="171">
        <f>INDEX('AST Bonds'!$E$54:$E$83,MATCH('Value of Debt (listed bonds)'!$B137,'AST Bonds'!$J$54:$J$83,0))*((INDEX('AST Bond Prices'!$B$1:$AG$120,MATCH('Value of Debt (listed bonds)'!P$3,'AST Bond Prices'!$B$1:$B$120,0),MATCH('Value of Debt (listed bonds)'!$B137,'AST Bond Prices'!$B$1:$AG$1,0))/100))</f>
        <v>116474299.43688001</v>
      </c>
      <c r="Q137" s="171">
        <f>INDEX('AST Bonds'!$E$54:$E$83,MATCH('Value of Debt (listed bonds)'!$B137,'AST Bonds'!$J$54:$J$83,0))*((INDEX('AST Bond Prices'!$B$1:$AG$120,MATCH('Value of Debt (listed bonds)'!Q$3,'AST Bond Prices'!$B$1:$B$120,0),MATCH('Value of Debt (listed bonds)'!$B137,'AST Bond Prices'!$B$1:$AG$1,0))/100))</f>
        <v>115437263.35746001</v>
      </c>
      <c r="R137" s="171">
        <f>INDEX('AST Bonds'!$E$54:$E$83,MATCH('Value of Debt (listed bonds)'!$B137,'AST Bonds'!$J$54:$J$83,0))*((INDEX('AST Bond Prices'!$B$1:$AG$120,MATCH('Value of Debt (listed bonds)'!R$3,'AST Bond Prices'!$B$1:$B$120,0),MATCH('Value of Debt (listed bonds)'!$B137,'AST Bond Prices'!$B$1:$AG$1,0))/100))</f>
        <v>112050742.0644</v>
      </c>
    </row>
    <row r="138" spans="2:18">
      <c r="B138" s="172" t="s">
        <v>315</v>
      </c>
      <c r="F138" s="171" t="e">
        <f>INDEX('AST Bonds'!$E$54:$E$83,MATCH('Value of Debt (listed bonds)'!$B138,'AST Bonds'!$J$54:$J$83,0))*((INDEX('AST Bond Prices'!$B$1:$AG$120,MATCH('Value of Debt (listed bonds)'!F$3,'AST Bond Prices'!$B$1:$B$120,0),MATCH('Value of Debt (listed bonds)'!$B138,'AST Bond Prices'!$B$1:$AG$1,0))/100))</f>
        <v>#N/A</v>
      </c>
      <c r="G138" s="171">
        <f>INDEX('AST Bonds'!$E$54:$E$83,MATCH('Value of Debt (listed bonds)'!$B138,'AST Bonds'!$J$54:$J$83,0))*((INDEX('AST Bond Prices'!$B$1:$AG$120,MATCH('Value of Debt (listed bonds)'!G$3,'AST Bond Prices'!$B$1:$B$120,0),MATCH('Value of Debt (listed bonds)'!$B138,'AST Bond Prices'!$B$1:$AG$1,0))/100))</f>
        <v>0</v>
      </c>
      <c r="H138" s="171">
        <f>INDEX('AST Bonds'!$E$54:$E$83,MATCH('Value of Debt (listed bonds)'!$B138,'AST Bonds'!$J$54:$J$83,0))*((INDEX('AST Bond Prices'!$B$1:$AG$120,MATCH('Value of Debt (listed bonds)'!H$3,'AST Bond Prices'!$B$1:$B$120,0),MATCH('Value of Debt (listed bonds)'!$B138,'AST Bond Prices'!$B$1:$AG$1,0))/100))</f>
        <v>0</v>
      </c>
      <c r="I138" s="171">
        <f>INDEX('AST Bonds'!$E$54:$E$83,MATCH('Value of Debt (listed bonds)'!$B138,'AST Bonds'!$J$54:$J$83,0))*((INDEX('AST Bond Prices'!$B$1:$AG$120,MATCH('Value of Debt (listed bonds)'!I$3,'AST Bond Prices'!$B$1:$B$120,0),MATCH('Value of Debt (listed bonds)'!$B138,'AST Bond Prices'!$B$1:$AG$1,0))/100))</f>
        <v>0</v>
      </c>
      <c r="J138" s="171">
        <f>INDEX('AST Bonds'!$E$54:$E$83,MATCH('Value of Debt (listed bonds)'!$B138,'AST Bonds'!$J$54:$J$83,0))*((INDEX('AST Bond Prices'!$B$1:$AG$120,MATCH('Value of Debt (listed bonds)'!J$3,'AST Bond Prices'!$B$1:$B$120,0),MATCH('Value of Debt (listed bonds)'!$B138,'AST Bond Prices'!$B$1:$AG$1,0))/100))</f>
        <v>0</v>
      </c>
      <c r="K138" s="171">
        <f>INDEX('AST Bonds'!$E$54:$E$83,MATCH('Value of Debt (listed bonds)'!$B138,'AST Bonds'!$J$54:$J$83,0))*((INDEX('AST Bond Prices'!$B$1:$AG$120,MATCH('Value of Debt (listed bonds)'!K$3,'AST Bond Prices'!$B$1:$B$120,0),MATCH('Value of Debt (listed bonds)'!$B138,'AST Bond Prices'!$B$1:$AG$1,0))/100))</f>
        <v>0</v>
      </c>
      <c r="L138" s="171">
        <f>INDEX('AST Bonds'!$E$54:$E$83,MATCH('Value of Debt (listed bonds)'!$B138,'AST Bonds'!$J$54:$J$83,0))*((INDEX('AST Bond Prices'!$B$1:$AG$120,MATCH('Value of Debt (listed bonds)'!L$3,'AST Bond Prices'!$B$1:$B$120,0),MATCH('Value of Debt (listed bonds)'!$B138,'AST Bond Prices'!$B$1:$AG$1,0))/100))</f>
        <v>0</v>
      </c>
      <c r="M138" s="171">
        <f>INDEX('AST Bonds'!$E$54:$E$83,MATCH('Value of Debt (listed bonds)'!$B138,'AST Bonds'!$J$54:$J$83,0))*((INDEX('AST Bond Prices'!$B$1:$AG$120,MATCH('Value of Debt (listed bonds)'!M$3,'AST Bond Prices'!$B$1:$B$120,0),MATCH('Value of Debt (listed bonds)'!$B138,'AST Bond Prices'!$B$1:$AG$1,0))/100))</f>
        <v>0</v>
      </c>
      <c r="N138" s="171">
        <f>INDEX('AST Bonds'!$E$54:$E$83,MATCH('Value of Debt (listed bonds)'!$B138,'AST Bonds'!$J$54:$J$83,0))*((INDEX('AST Bond Prices'!$B$1:$AG$120,MATCH('Value of Debt (listed bonds)'!N$3,'AST Bond Prices'!$B$1:$B$120,0),MATCH('Value of Debt (listed bonds)'!$B138,'AST Bond Prices'!$B$1:$AG$1,0))/100))</f>
        <v>111821937.37271999</v>
      </c>
      <c r="O138" s="171">
        <f>INDEX('AST Bonds'!$E$54:$E$83,MATCH('Value of Debt (listed bonds)'!$B138,'AST Bonds'!$J$54:$J$83,0))*((INDEX('AST Bond Prices'!$B$1:$AG$120,MATCH('Value of Debt (listed bonds)'!O$3,'AST Bond Prices'!$B$1:$B$120,0),MATCH('Value of Debt (listed bonds)'!$B138,'AST Bond Prices'!$B$1:$AG$1,0))/100))</f>
        <v>118366175.26716001</v>
      </c>
      <c r="P138" s="171">
        <f>INDEX('AST Bonds'!$E$54:$E$83,MATCH('Value of Debt (listed bonds)'!$B138,'AST Bonds'!$J$54:$J$83,0))*((INDEX('AST Bond Prices'!$B$1:$AG$120,MATCH('Value of Debt (listed bonds)'!P$3,'AST Bond Prices'!$B$1:$B$120,0),MATCH('Value of Debt (listed bonds)'!$B138,'AST Bond Prices'!$B$1:$AG$1,0))/100))</f>
        <v>114883259.40491998</v>
      </c>
      <c r="Q138" s="171">
        <f>INDEX('AST Bonds'!$E$54:$E$83,MATCH('Value of Debt (listed bonds)'!$B138,'AST Bonds'!$J$54:$J$83,0))*((INDEX('AST Bond Prices'!$B$1:$AG$120,MATCH('Value of Debt (listed bonds)'!Q$3,'AST Bond Prices'!$B$1:$B$120,0),MATCH('Value of Debt (listed bonds)'!$B138,'AST Bond Prices'!$B$1:$AG$1,0))/100))</f>
        <v>114465902.6988</v>
      </c>
      <c r="R138" s="171">
        <f>INDEX('AST Bonds'!$E$54:$E$83,MATCH('Value of Debt (listed bonds)'!$B138,'AST Bonds'!$J$54:$J$83,0))*((INDEX('AST Bond Prices'!$B$1:$AG$120,MATCH('Value of Debt (listed bonds)'!R$3,'AST Bond Prices'!$B$1:$B$120,0),MATCH('Value of Debt (listed bonds)'!$B138,'AST Bond Prices'!$B$1:$AG$1,0))/100))</f>
        <v>110751004.30194001</v>
      </c>
    </row>
    <row r="139" spans="2:18">
      <c r="B139" s="172" t="s">
        <v>316</v>
      </c>
      <c r="F139" s="171" t="e">
        <f>INDEX('AST Bonds'!$E$54:$E$83,MATCH('Value of Debt (listed bonds)'!$B139,'AST Bonds'!$J$54:$J$83,0))*((INDEX('AST Bond Prices'!$B$1:$AG$120,MATCH('Value of Debt (listed bonds)'!F$3,'AST Bond Prices'!$B$1:$B$120,0),MATCH('Value of Debt (listed bonds)'!$B139,'AST Bond Prices'!$B$1:$AG$1,0))/100))</f>
        <v>#N/A</v>
      </c>
      <c r="G139" s="171">
        <f>INDEX('AST Bonds'!$E$54:$E$83,MATCH('Value of Debt (listed bonds)'!$B139,'AST Bonds'!$J$54:$J$83,0))*((INDEX('AST Bond Prices'!$B$1:$AG$120,MATCH('Value of Debt (listed bonds)'!G$3,'AST Bond Prices'!$B$1:$B$120,0),MATCH('Value of Debt (listed bonds)'!$B139,'AST Bond Prices'!$B$1:$AG$1,0))/100))</f>
        <v>0</v>
      </c>
      <c r="H139" s="171">
        <f>INDEX('AST Bonds'!$E$54:$E$83,MATCH('Value of Debt (listed bonds)'!$B139,'AST Bonds'!$J$54:$J$83,0))*((INDEX('AST Bond Prices'!$B$1:$AG$120,MATCH('Value of Debt (listed bonds)'!H$3,'AST Bond Prices'!$B$1:$B$120,0),MATCH('Value of Debt (listed bonds)'!$B139,'AST Bond Prices'!$B$1:$AG$1,0))/100))</f>
        <v>0</v>
      </c>
      <c r="I139" s="171">
        <f>INDEX('AST Bonds'!$E$54:$E$83,MATCH('Value of Debt (listed bonds)'!$B139,'AST Bonds'!$J$54:$J$83,0))*((INDEX('AST Bond Prices'!$B$1:$AG$120,MATCH('Value of Debt (listed bonds)'!I$3,'AST Bond Prices'!$B$1:$B$120,0),MATCH('Value of Debt (listed bonds)'!$B139,'AST Bond Prices'!$B$1:$AG$1,0))/100))</f>
        <v>0</v>
      </c>
      <c r="J139" s="171">
        <f>INDEX('AST Bonds'!$E$54:$E$83,MATCH('Value of Debt (listed bonds)'!$B139,'AST Bonds'!$J$54:$J$83,0))*((INDEX('AST Bond Prices'!$B$1:$AG$120,MATCH('Value of Debt (listed bonds)'!J$3,'AST Bond Prices'!$B$1:$B$120,0),MATCH('Value of Debt (listed bonds)'!$B139,'AST Bond Prices'!$B$1:$AG$1,0))/100))</f>
        <v>0</v>
      </c>
      <c r="K139" s="171">
        <f>INDEX('AST Bonds'!$E$54:$E$83,MATCH('Value of Debt (listed bonds)'!$B139,'AST Bonds'!$J$54:$J$83,0))*((INDEX('AST Bond Prices'!$B$1:$AG$120,MATCH('Value of Debt (listed bonds)'!K$3,'AST Bond Prices'!$B$1:$B$120,0),MATCH('Value of Debt (listed bonds)'!$B139,'AST Bond Prices'!$B$1:$AG$1,0))/100))</f>
        <v>0</v>
      </c>
      <c r="L139" s="171">
        <f>INDEX('AST Bonds'!$E$54:$E$83,MATCH('Value of Debt (listed bonds)'!$B139,'AST Bonds'!$J$54:$J$83,0))*((INDEX('AST Bond Prices'!$B$1:$AG$120,MATCH('Value of Debt (listed bonds)'!L$3,'AST Bond Prices'!$B$1:$B$120,0),MATCH('Value of Debt (listed bonds)'!$B139,'AST Bond Prices'!$B$1:$AG$1,0))/100))</f>
        <v>0</v>
      </c>
      <c r="M139" s="171">
        <f>INDEX('AST Bonds'!$E$54:$E$83,MATCH('Value of Debt (listed bonds)'!$B139,'AST Bonds'!$J$54:$J$83,0))*((INDEX('AST Bond Prices'!$B$1:$AG$120,MATCH('Value of Debt (listed bonds)'!M$3,'AST Bond Prices'!$B$1:$B$120,0),MATCH('Value of Debt (listed bonds)'!$B139,'AST Bond Prices'!$B$1:$AG$1,0))/100))</f>
        <v>0</v>
      </c>
      <c r="N139" s="171">
        <f>INDEX('AST Bonds'!$E$54:$E$83,MATCH('Value of Debt (listed bonds)'!$B139,'AST Bonds'!$J$54:$J$83,0))*((INDEX('AST Bond Prices'!$B$1:$AG$120,MATCH('Value of Debt (listed bonds)'!N$3,'AST Bond Prices'!$B$1:$B$120,0),MATCH('Value of Debt (listed bonds)'!$B139,'AST Bond Prices'!$B$1:$AG$1,0))/100))</f>
        <v>0</v>
      </c>
      <c r="O139" s="171">
        <f>INDEX('AST Bonds'!$E$54:$E$83,MATCH('Value of Debt (listed bonds)'!$B139,'AST Bonds'!$J$54:$J$83,0))*((INDEX('AST Bond Prices'!$B$1:$AG$120,MATCH('Value of Debt (listed bonds)'!O$3,'AST Bond Prices'!$B$1:$B$120,0),MATCH('Value of Debt (listed bonds)'!$B139,'AST Bond Prices'!$B$1:$AG$1,0))/100))</f>
        <v>0</v>
      </c>
      <c r="P139" s="171">
        <f>INDEX('AST Bonds'!$E$54:$E$83,MATCH('Value of Debt (listed bonds)'!$B139,'AST Bonds'!$J$54:$J$83,0))*((INDEX('AST Bond Prices'!$B$1:$AG$120,MATCH('Value of Debt (listed bonds)'!P$3,'AST Bond Prices'!$B$1:$B$120,0),MATCH('Value of Debt (listed bonds)'!$B139,'AST Bond Prices'!$B$1:$AG$1,0))/100))</f>
        <v>50549999.999999993</v>
      </c>
      <c r="Q139" s="171">
        <f>INDEX('AST Bonds'!$E$54:$E$83,MATCH('Value of Debt (listed bonds)'!$B139,'AST Bonds'!$J$54:$J$83,0))*((INDEX('AST Bond Prices'!$B$1:$AG$120,MATCH('Value of Debt (listed bonds)'!Q$3,'AST Bond Prices'!$B$1:$B$120,0),MATCH('Value of Debt (listed bonds)'!$B139,'AST Bond Prices'!$B$1:$AG$1,0))/100))</f>
        <v>48042500</v>
      </c>
      <c r="R139" s="171">
        <f>INDEX('AST Bonds'!$E$54:$E$83,MATCH('Value of Debt (listed bonds)'!$B139,'AST Bonds'!$J$54:$J$83,0))*((INDEX('AST Bond Prices'!$B$1:$AG$120,MATCH('Value of Debt (listed bonds)'!R$3,'AST Bond Prices'!$B$1:$B$120,0),MATCH('Value of Debt (listed bonds)'!$B139,'AST Bond Prices'!$B$1:$AG$1,0))/100))</f>
        <v>47002500</v>
      </c>
    </row>
    <row r="140" spans="2:18">
      <c r="B140" s="172" t="s">
        <v>317</v>
      </c>
      <c r="F140" s="171" t="e">
        <f>INDEX('AST Bonds'!$E$54:$E$83,MATCH('Value of Debt (listed bonds)'!$B140,'AST Bonds'!$J$54:$J$83,0))*((INDEX('AST Bond Prices'!$B$1:$AG$120,MATCH('Value of Debt (listed bonds)'!F$3,'AST Bond Prices'!$B$1:$B$120,0),MATCH('Value of Debt (listed bonds)'!$B140,'AST Bond Prices'!$B$1:$AG$1,0))/100))</f>
        <v>#N/A</v>
      </c>
      <c r="G140" s="171">
        <f>INDEX('AST Bonds'!$E$54:$E$83,MATCH('Value of Debt (listed bonds)'!$B140,'AST Bonds'!$J$54:$J$83,0))*((INDEX('AST Bond Prices'!$B$1:$AG$120,MATCH('Value of Debt (listed bonds)'!G$3,'AST Bond Prices'!$B$1:$B$120,0),MATCH('Value of Debt (listed bonds)'!$B140,'AST Bond Prices'!$B$1:$AG$1,0))/100))</f>
        <v>0</v>
      </c>
      <c r="H140" s="171">
        <f>INDEX('AST Bonds'!$E$54:$E$83,MATCH('Value of Debt (listed bonds)'!$B140,'AST Bonds'!$J$54:$J$83,0))*((INDEX('AST Bond Prices'!$B$1:$AG$120,MATCH('Value of Debt (listed bonds)'!H$3,'AST Bond Prices'!$B$1:$B$120,0),MATCH('Value of Debt (listed bonds)'!$B140,'AST Bond Prices'!$B$1:$AG$1,0))/100))</f>
        <v>0</v>
      </c>
      <c r="I140" s="171">
        <f>INDEX('AST Bonds'!$E$54:$E$83,MATCH('Value of Debt (listed bonds)'!$B140,'AST Bonds'!$J$54:$J$83,0))*((INDEX('AST Bond Prices'!$B$1:$AG$120,MATCH('Value of Debt (listed bonds)'!I$3,'AST Bond Prices'!$B$1:$B$120,0),MATCH('Value of Debt (listed bonds)'!$B140,'AST Bond Prices'!$B$1:$AG$1,0))/100))</f>
        <v>0</v>
      </c>
      <c r="J140" s="171">
        <f>INDEX('AST Bonds'!$E$54:$E$83,MATCH('Value of Debt (listed bonds)'!$B140,'AST Bonds'!$J$54:$J$83,0))*((INDEX('AST Bond Prices'!$B$1:$AG$120,MATCH('Value of Debt (listed bonds)'!J$3,'AST Bond Prices'!$B$1:$B$120,0),MATCH('Value of Debt (listed bonds)'!$B140,'AST Bond Prices'!$B$1:$AG$1,0))/100))</f>
        <v>0</v>
      </c>
      <c r="K140" s="171">
        <f>INDEX('AST Bonds'!$E$54:$E$83,MATCH('Value of Debt (listed bonds)'!$B140,'AST Bonds'!$J$54:$J$83,0))*((INDEX('AST Bond Prices'!$B$1:$AG$120,MATCH('Value of Debt (listed bonds)'!K$3,'AST Bond Prices'!$B$1:$B$120,0),MATCH('Value of Debt (listed bonds)'!$B140,'AST Bond Prices'!$B$1:$AG$1,0))/100))</f>
        <v>0</v>
      </c>
      <c r="L140" s="171">
        <f>INDEX('AST Bonds'!$E$54:$E$83,MATCH('Value of Debt (listed bonds)'!$B140,'AST Bonds'!$J$54:$J$83,0))*((INDEX('AST Bond Prices'!$B$1:$AG$120,MATCH('Value of Debt (listed bonds)'!L$3,'AST Bond Prices'!$B$1:$B$120,0),MATCH('Value of Debt (listed bonds)'!$B140,'AST Bond Prices'!$B$1:$AG$1,0))/100))</f>
        <v>0</v>
      </c>
      <c r="M140" s="171">
        <f>INDEX('AST Bonds'!$E$54:$E$83,MATCH('Value of Debt (listed bonds)'!$B140,'AST Bonds'!$J$54:$J$83,0))*((INDEX('AST Bond Prices'!$B$1:$AG$120,MATCH('Value of Debt (listed bonds)'!M$3,'AST Bond Prices'!$B$1:$B$120,0),MATCH('Value of Debt (listed bonds)'!$B140,'AST Bond Prices'!$B$1:$AG$1,0))/100))</f>
        <v>0</v>
      </c>
      <c r="N140" s="171">
        <f>INDEX('AST Bonds'!$E$54:$E$83,MATCH('Value of Debt (listed bonds)'!$B140,'AST Bonds'!$J$54:$J$83,0))*((INDEX('AST Bond Prices'!$B$1:$AG$120,MATCH('Value of Debt (listed bonds)'!N$3,'AST Bond Prices'!$B$1:$B$120,0),MATCH('Value of Debt (listed bonds)'!$B140,'AST Bond Prices'!$B$1:$AG$1,0))/100))</f>
        <v>0</v>
      </c>
      <c r="O140" s="171">
        <f>INDEX('AST Bonds'!$E$54:$E$83,MATCH('Value of Debt (listed bonds)'!$B140,'AST Bonds'!$J$54:$J$83,0))*((INDEX('AST Bond Prices'!$B$1:$AG$120,MATCH('Value of Debt (listed bonds)'!O$3,'AST Bond Prices'!$B$1:$B$120,0),MATCH('Value of Debt (listed bonds)'!$B140,'AST Bond Prices'!$B$1:$AG$1,0))/100))</f>
        <v>0</v>
      </c>
      <c r="P140" s="171">
        <f>INDEX('AST Bonds'!$E$54:$E$83,MATCH('Value of Debt (listed bonds)'!$B140,'AST Bonds'!$J$54:$J$83,0))*((INDEX('AST Bond Prices'!$B$1:$AG$120,MATCH('Value of Debt (listed bonds)'!P$3,'AST Bond Prices'!$B$1:$B$120,0),MATCH('Value of Debt (listed bonds)'!$B140,'AST Bond Prices'!$B$1:$AG$1,0))/100))</f>
        <v>0</v>
      </c>
      <c r="Q140" s="171">
        <f>INDEX('AST Bonds'!$E$54:$E$83,MATCH('Value of Debt (listed bonds)'!$B140,'AST Bonds'!$J$54:$J$83,0))*((INDEX('AST Bond Prices'!$B$1:$AG$120,MATCH('Value of Debt (listed bonds)'!Q$3,'AST Bond Prices'!$B$1:$B$120,0),MATCH('Value of Debt (listed bonds)'!$B140,'AST Bond Prices'!$B$1:$AG$1,0))/100))</f>
        <v>18815000</v>
      </c>
      <c r="R140" s="171">
        <f>INDEX('AST Bonds'!$E$54:$E$83,MATCH('Value of Debt (listed bonds)'!$B140,'AST Bonds'!$J$54:$J$83,0))*((INDEX('AST Bond Prices'!$B$1:$AG$120,MATCH('Value of Debt (listed bonds)'!R$3,'AST Bond Prices'!$B$1:$B$120,0),MATCH('Value of Debt (listed bonds)'!$B140,'AST Bond Prices'!$B$1:$AG$1,0))/100))</f>
        <v>18409000</v>
      </c>
    </row>
    <row r="141" spans="2:18">
      <c r="B141" s="172" t="s">
        <v>318</v>
      </c>
      <c r="F141" s="171" t="e">
        <f>INDEX('AST Bonds'!$E$54:$E$83,MATCH('Value of Debt (listed bonds)'!$B141,'AST Bonds'!$J$54:$J$83,0))*((INDEX('AST Bond Prices'!$B$1:$AG$120,MATCH('Value of Debt (listed bonds)'!F$3,'AST Bond Prices'!$B$1:$B$120,0),MATCH('Value of Debt (listed bonds)'!$B141,'AST Bond Prices'!$B$1:$AG$1,0))/100))</f>
        <v>#N/A</v>
      </c>
      <c r="G141" s="171">
        <f>INDEX('AST Bonds'!$E$54:$E$83,MATCH('Value of Debt (listed bonds)'!$B141,'AST Bonds'!$J$54:$J$83,0))*((INDEX('AST Bond Prices'!$B$1:$AG$120,MATCH('Value of Debt (listed bonds)'!G$3,'AST Bond Prices'!$B$1:$B$120,0),MATCH('Value of Debt (listed bonds)'!$B141,'AST Bond Prices'!$B$1:$AG$1,0))/100))</f>
        <v>0</v>
      </c>
      <c r="H141" s="171">
        <f>INDEX('AST Bonds'!$E$54:$E$83,MATCH('Value of Debt (listed bonds)'!$B141,'AST Bonds'!$J$54:$J$83,0))*((INDEX('AST Bond Prices'!$B$1:$AG$120,MATCH('Value of Debt (listed bonds)'!H$3,'AST Bond Prices'!$B$1:$B$120,0),MATCH('Value of Debt (listed bonds)'!$B141,'AST Bond Prices'!$B$1:$AG$1,0))/100))</f>
        <v>0</v>
      </c>
      <c r="I141" s="171">
        <f>INDEX('AST Bonds'!$E$54:$E$83,MATCH('Value of Debt (listed bonds)'!$B141,'AST Bonds'!$J$54:$J$83,0))*((INDEX('AST Bond Prices'!$B$1:$AG$120,MATCH('Value of Debt (listed bonds)'!I$3,'AST Bond Prices'!$B$1:$B$120,0),MATCH('Value of Debt (listed bonds)'!$B141,'AST Bond Prices'!$B$1:$AG$1,0))/100))</f>
        <v>0</v>
      </c>
      <c r="J141" s="171">
        <f>INDEX('AST Bonds'!$E$54:$E$83,MATCH('Value of Debt (listed bonds)'!$B141,'AST Bonds'!$J$54:$J$83,0))*((INDEX('AST Bond Prices'!$B$1:$AG$120,MATCH('Value of Debt (listed bonds)'!J$3,'AST Bond Prices'!$B$1:$B$120,0),MATCH('Value of Debt (listed bonds)'!$B141,'AST Bond Prices'!$B$1:$AG$1,0))/100))</f>
        <v>0</v>
      </c>
      <c r="K141" s="171">
        <f>INDEX('AST Bonds'!$E$54:$E$83,MATCH('Value of Debt (listed bonds)'!$B141,'AST Bonds'!$J$54:$J$83,0))*((INDEX('AST Bond Prices'!$B$1:$AG$120,MATCH('Value of Debt (listed bonds)'!K$3,'AST Bond Prices'!$B$1:$B$120,0),MATCH('Value of Debt (listed bonds)'!$B141,'AST Bond Prices'!$B$1:$AG$1,0))/100))</f>
        <v>0</v>
      </c>
      <c r="L141" s="171">
        <f>INDEX('AST Bonds'!$E$54:$E$83,MATCH('Value of Debt (listed bonds)'!$B141,'AST Bonds'!$J$54:$J$83,0))*((INDEX('AST Bond Prices'!$B$1:$AG$120,MATCH('Value of Debt (listed bonds)'!L$3,'AST Bond Prices'!$B$1:$B$120,0),MATCH('Value of Debt (listed bonds)'!$B141,'AST Bond Prices'!$B$1:$AG$1,0))/100))</f>
        <v>0</v>
      </c>
      <c r="M141" s="171">
        <f>INDEX('AST Bonds'!$E$54:$E$83,MATCH('Value of Debt (listed bonds)'!$B141,'AST Bonds'!$J$54:$J$83,0))*((INDEX('AST Bond Prices'!$B$1:$AG$120,MATCH('Value of Debt (listed bonds)'!M$3,'AST Bond Prices'!$B$1:$B$120,0),MATCH('Value of Debt (listed bonds)'!$B141,'AST Bond Prices'!$B$1:$AG$1,0))/100))</f>
        <v>0</v>
      </c>
      <c r="N141" s="171">
        <f>INDEX('AST Bonds'!$E$54:$E$83,MATCH('Value of Debt (listed bonds)'!$B141,'AST Bonds'!$J$54:$J$83,0))*((INDEX('AST Bond Prices'!$B$1:$AG$120,MATCH('Value of Debt (listed bonds)'!N$3,'AST Bond Prices'!$B$1:$B$120,0),MATCH('Value of Debt (listed bonds)'!$B141,'AST Bond Prices'!$B$1:$AG$1,0))/100))</f>
        <v>0</v>
      </c>
      <c r="O141" s="171">
        <f>INDEX('AST Bonds'!$E$54:$E$83,MATCH('Value of Debt (listed bonds)'!$B141,'AST Bonds'!$J$54:$J$83,0))*((INDEX('AST Bond Prices'!$B$1:$AG$120,MATCH('Value of Debt (listed bonds)'!O$3,'AST Bond Prices'!$B$1:$B$120,0),MATCH('Value of Debt (listed bonds)'!$B141,'AST Bond Prices'!$B$1:$AG$1,0))/100))</f>
        <v>0</v>
      </c>
      <c r="P141" s="171">
        <f>INDEX('AST Bonds'!$E$54:$E$83,MATCH('Value of Debt (listed bonds)'!$B141,'AST Bonds'!$J$54:$J$83,0))*((INDEX('AST Bond Prices'!$B$1:$AG$120,MATCH('Value of Debt (listed bonds)'!P$3,'AST Bond Prices'!$B$1:$B$120,0),MATCH('Value of Debt (listed bonds)'!$B141,'AST Bond Prices'!$B$1:$AG$1,0))/100))</f>
        <v>191849400</v>
      </c>
      <c r="Q141" s="171">
        <f>INDEX('AST Bonds'!$E$54:$E$83,MATCH('Value of Debt (listed bonds)'!$B141,'AST Bonds'!$J$54:$J$83,0))*((INDEX('AST Bond Prices'!$B$1:$AG$120,MATCH('Value of Debt (listed bonds)'!Q$3,'AST Bond Prices'!$B$1:$B$120,0),MATCH('Value of Debt (listed bonds)'!$B141,'AST Bond Prices'!$B$1:$AG$1,0))/100))</f>
        <v>184550400</v>
      </c>
      <c r="R141" s="171">
        <f>INDEX('AST Bonds'!$E$54:$E$83,MATCH('Value of Debt (listed bonds)'!$B141,'AST Bonds'!$J$54:$J$83,0))*((INDEX('AST Bond Prices'!$B$1:$AG$120,MATCH('Value of Debt (listed bonds)'!R$3,'AST Bond Prices'!$B$1:$B$120,0),MATCH('Value of Debt (listed bonds)'!$B141,'AST Bond Prices'!$B$1:$AG$1,0))/100))</f>
        <v>181283399.99999997</v>
      </c>
    </row>
    <row r="142" spans="2:18">
      <c r="B142" s="172" t="s">
        <v>319</v>
      </c>
      <c r="F142" s="171" t="e">
        <f>INDEX('AST Bonds'!$E$54:$E$83,MATCH('Value of Debt (listed bonds)'!$B142,'AST Bonds'!$J$54:$J$83,0))*((INDEX('AST Bond Prices'!$B$1:$AG$120,MATCH('Value of Debt (listed bonds)'!F$3,'AST Bond Prices'!$B$1:$B$120,0),MATCH('Value of Debt (listed bonds)'!$B142,'AST Bond Prices'!$B$1:$AG$1,0))/100))</f>
        <v>#N/A</v>
      </c>
      <c r="G142" s="171">
        <f>INDEX('AST Bonds'!$E$54:$E$83,MATCH('Value of Debt (listed bonds)'!$B142,'AST Bonds'!$J$54:$J$83,0))*((INDEX('AST Bond Prices'!$B$1:$AG$120,MATCH('Value of Debt (listed bonds)'!G$3,'AST Bond Prices'!$B$1:$B$120,0),MATCH('Value of Debt (listed bonds)'!$B142,'AST Bond Prices'!$B$1:$AG$1,0))/100))</f>
        <v>0</v>
      </c>
      <c r="H142" s="171">
        <f>INDEX('AST Bonds'!$E$54:$E$83,MATCH('Value of Debt (listed bonds)'!$B142,'AST Bonds'!$J$54:$J$83,0))*((INDEX('AST Bond Prices'!$B$1:$AG$120,MATCH('Value of Debt (listed bonds)'!H$3,'AST Bond Prices'!$B$1:$B$120,0),MATCH('Value of Debt (listed bonds)'!$B142,'AST Bond Prices'!$B$1:$AG$1,0))/100))</f>
        <v>0</v>
      </c>
      <c r="I142" s="171">
        <f>INDEX('AST Bonds'!$E$54:$E$83,MATCH('Value of Debt (listed bonds)'!$B142,'AST Bonds'!$J$54:$J$83,0))*((INDEX('AST Bond Prices'!$B$1:$AG$120,MATCH('Value of Debt (listed bonds)'!I$3,'AST Bond Prices'!$B$1:$B$120,0),MATCH('Value of Debt (listed bonds)'!$B142,'AST Bond Prices'!$B$1:$AG$1,0))/100))</f>
        <v>0</v>
      </c>
      <c r="J142" s="171">
        <f>INDEX('AST Bonds'!$E$54:$E$83,MATCH('Value of Debt (listed bonds)'!$B142,'AST Bonds'!$J$54:$J$83,0))*((INDEX('AST Bond Prices'!$B$1:$AG$120,MATCH('Value of Debt (listed bonds)'!J$3,'AST Bond Prices'!$B$1:$B$120,0),MATCH('Value of Debt (listed bonds)'!$B142,'AST Bond Prices'!$B$1:$AG$1,0))/100))</f>
        <v>0</v>
      </c>
      <c r="K142" s="171">
        <f>INDEX('AST Bonds'!$E$54:$E$83,MATCH('Value of Debt (listed bonds)'!$B142,'AST Bonds'!$J$54:$J$83,0))*((INDEX('AST Bond Prices'!$B$1:$AG$120,MATCH('Value of Debt (listed bonds)'!K$3,'AST Bond Prices'!$B$1:$B$120,0),MATCH('Value of Debt (listed bonds)'!$B142,'AST Bond Prices'!$B$1:$AG$1,0))/100))</f>
        <v>0</v>
      </c>
      <c r="L142" s="171">
        <f>INDEX('AST Bonds'!$E$54:$E$83,MATCH('Value of Debt (listed bonds)'!$B142,'AST Bonds'!$J$54:$J$83,0))*((INDEX('AST Bond Prices'!$B$1:$AG$120,MATCH('Value of Debt (listed bonds)'!L$3,'AST Bond Prices'!$B$1:$B$120,0),MATCH('Value of Debt (listed bonds)'!$B142,'AST Bond Prices'!$B$1:$AG$1,0))/100))</f>
        <v>0</v>
      </c>
      <c r="M142" s="171">
        <f>INDEX('AST Bonds'!$E$54:$E$83,MATCH('Value of Debt (listed bonds)'!$B142,'AST Bonds'!$J$54:$J$83,0))*((INDEX('AST Bond Prices'!$B$1:$AG$120,MATCH('Value of Debt (listed bonds)'!M$3,'AST Bond Prices'!$B$1:$B$120,0),MATCH('Value of Debt (listed bonds)'!$B142,'AST Bond Prices'!$B$1:$AG$1,0))/100))</f>
        <v>154201500</v>
      </c>
      <c r="N142" s="171">
        <f>INDEX('AST Bonds'!$E$54:$E$83,MATCH('Value of Debt (listed bonds)'!$B142,'AST Bonds'!$J$54:$J$83,0))*((INDEX('AST Bond Prices'!$B$1:$AG$120,MATCH('Value of Debt (listed bonds)'!N$3,'AST Bond Prices'!$B$1:$B$120,0),MATCH('Value of Debt (listed bonds)'!$B142,'AST Bond Prices'!$B$1:$AG$1,0))/100))</f>
        <v>181758000</v>
      </c>
      <c r="O142" s="171">
        <f>INDEX('AST Bonds'!$E$54:$E$83,MATCH('Value of Debt (listed bonds)'!$B142,'AST Bonds'!$J$54:$J$83,0))*((INDEX('AST Bond Prices'!$B$1:$AG$120,MATCH('Value of Debt (listed bonds)'!O$3,'AST Bond Prices'!$B$1:$B$120,0),MATCH('Value of Debt (listed bonds)'!$B142,'AST Bond Prices'!$B$1:$AG$1,0))/100))</f>
        <v>193514999.99999997</v>
      </c>
      <c r="P142" s="171">
        <f>INDEX('AST Bonds'!$E$54:$E$83,MATCH('Value of Debt (listed bonds)'!$B142,'AST Bonds'!$J$54:$J$83,0))*((INDEX('AST Bond Prices'!$B$1:$AG$120,MATCH('Value of Debt (listed bonds)'!P$3,'AST Bond Prices'!$B$1:$B$120,0),MATCH('Value of Debt (listed bonds)'!$B142,'AST Bond Prices'!$B$1:$AG$1,0))/100))</f>
        <v>176239500</v>
      </c>
      <c r="Q142" s="171">
        <f>INDEX('AST Bonds'!$E$54:$E$83,MATCH('Value of Debt (listed bonds)'!$B142,'AST Bonds'!$J$54:$J$83,0))*((INDEX('AST Bond Prices'!$B$1:$AG$120,MATCH('Value of Debt (listed bonds)'!Q$3,'AST Bond Prices'!$B$1:$B$120,0),MATCH('Value of Debt (listed bonds)'!$B142,'AST Bond Prices'!$B$1:$AG$1,0))/100))</f>
        <v>192648000</v>
      </c>
      <c r="R142" s="171">
        <f>INDEX('AST Bonds'!$E$54:$E$83,MATCH('Value of Debt (listed bonds)'!$B142,'AST Bonds'!$J$54:$J$83,0))*((INDEX('AST Bond Prices'!$B$1:$AG$120,MATCH('Value of Debt (listed bonds)'!R$3,'AST Bond Prices'!$B$1:$B$120,0),MATCH('Value of Debt (listed bonds)'!$B142,'AST Bond Prices'!$B$1:$AG$1,0))/100))</f>
        <v>188539499.99999997</v>
      </c>
    </row>
    <row r="143" spans="2:18">
      <c r="B143" s="172" t="s">
        <v>320</v>
      </c>
      <c r="F143" s="171" t="e">
        <f>INDEX('AST Bonds'!$E$54:$E$83,MATCH('Value of Debt (listed bonds)'!$B143,'AST Bonds'!$J$54:$J$83,0))*((INDEX('AST Bond Prices'!$B$1:$AG$120,MATCH('Value of Debt (listed bonds)'!F$3,'AST Bond Prices'!$B$1:$B$120,0),MATCH('Value of Debt (listed bonds)'!$B143,'AST Bond Prices'!$B$1:$AG$1,0))/100))</f>
        <v>#N/A</v>
      </c>
      <c r="G143" s="171">
        <f>INDEX('AST Bonds'!$E$54:$E$83,MATCH('Value of Debt (listed bonds)'!$B143,'AST Bonds'!$J$54:$J$83,0))*((INDEX('AST Bond Prices'!$B$1:$AG$120,MATCH('Value of Debt (listed bonds)'!G$3,'AST Bond Prices'!$B$1:$B$120,0),MATCH('Value of Debt (listed bonds)'!$B143,'AST Bond Prices'!$B$1:$AG$1,0))/100))</f>
        <v>0</v>
      </c>
      <c r="H143" s="171">
        <f>INDEX('AST Bonds'!$E$54:$E$83,MATCH('Value of Debt (listed bonds)'!$B143,'AST Bonds'!$J$54:$J$83,0))*((INDEX('AST Bond Prices'!$B$1:$AG$120,MATCH('Value of Debt (listed bonds)'!H$3,'AST Bond Prices'!$B$1:$B$120,0),MATCH('Value of Debt (listed bonds)'!$B143,'AST Bond Prices'!$B$1:$AG$1,0))/100))</f>
        <v>0</v>
      </c>
      <c r="I143" s="171">
        <f>INDEX('AST Bonds'!$E$54:$E$83,MATCH('Value of Debt (listed bonds)'!$B143,'AST Bonds'!$J$54:$J$83,0))*((INDEX('AST Bond Prices'!$B$1:$AG$120,MATCH('Value of Debt (listed bonds)'!I$3,'AST Bond Prices'!$B$1:$B$120,0),MATCH('Value of Debt (listed bonds)'!$B143,'AST Bond Prices'!$B$1:$AG$1,0))/100))</f>
        <v>0</v>
      </c>
      <c r="J143" s="171">
        <f>INDEX('AST Bonds'!$E$54:$E$83,MATCH('Value of Debt (listed bonds)'!$B143,'AST Bonds'!$J$54:$J$83,0))*((INDEX('AST Bond Prices'!$B$1:$AG$120,MATCH('Value of Debt (listed bonds)'!J$3,'AST Bond Prices'!$B$1:$B$120,0),MATCH('Value of Debt (listed bonds)'!$B143,'AST Bond Prices'!$B$1:$AG$1,0))/100))</f>
        <v>0</v>
      </c>
      <c r="K143" s="171">
        <f>INDEX('AST Bonds'!$E$54:$E$83,MATCH('Value of Debt (listed bonds)'!$B143,'AST Bonds'!$J$54:$J$83,0))*((INDEX('AST Bond Prices'!$B$1:$AG$120,MATCH('Value of Debt (listed bonds)'!K$3,'AST Bond Prices'!$B$1:$B$120,0),MATCH('Value of Debt (listed bonds)'!$B143,'AST Bond Prices'!$B$1:$AG$1,0))/100))</f>
        <v>0</v>
      </c>
      <c r="L143" s="171">
        <f>INDEX('AST Bonds'!$E$54:$E$83,MATCH('Value of Debt (listed bonds)'!$B143,'AST Bonds'!$J$54:$J$83,0))*((INDEX('AST Bond Prices'!$B$1:$AG$120,MATCH('Value of Debt (listed bonds)'!L$3,'AST Bond Prices'!$B$1:$B$120,0),MATCH('Value of Debt (listed bonds)'!$B143,'AST Bond Prices'!$B$1:$AG$1,0))/100))</f>
        <v>0</v>
      </c>
      <c r="M143" s="171">
        <f>INDEX('AST Bonds'!$E$54:$E$83,MATCH('Value of Debt (listed bonds)'!$B143,'AST Bonds'!$J$54:$J$83,0))*((INDEX('AST Bond Prices'!$B$1:$AG$120,MATCH('Value of Debt (listed bonds)'!M$3,'AST Bond Prices'!$B$1:$B$120,0),MATCH('Value of Debt (listed bonds)'!$B143,'AST Bond Prices'!$B$1:$AG$1,0))/100))</f>
        <v>51428500</v>
      </c>
      <c r="N143" s="171">
        <f>INDEX('AST Bonds'!$E$54:$E$83,MATCH('Value of Debt (listed bonds)'!$B143,'AST Bonds'!$J$54:$J$83,0))*((INDEX('AST Bond Prices'!$B$1:$AG$120,MATCH('Value of Debt (listed bonds)'!N$3,'AST Bond Prices'!$B$1:$B$120,0),MATCH('Value of Debt (listed bonds)'!$B143,'AST Bond Prices'!$B$1:$AG$1,0))/100))</f>
        <v>60668000</v>
      </c>
      <c r="O143" s="171">
        <f>INDEX('AST Bonds'!$E$54:$E$83,MATCH('Value of Debt (listed bonds)'!$B143,'AST Bonds'!$J$54:$J$83,0))*((INDEX('AST Bond Prices'!$B$1:$AG$120,MATCH('Value of Debt (listed bonds)'!O$3,'AST Bond Prices'!$B$1:$B$120,0),MATCH('Value of Debt (listed bonds)'!$B143,'AST Bond Prices'!$B$1:$AG$1,0))/100))</f>
        <v>64715999.999999993</v>
      </c>
      <c r="P143" s="171">
        <f>INDEX('AST Bonds'!$E$54:$E$83,MATCH('Value of Debt (listed bonds)'!$B143,'AST Bonds'!$J$54:$J$83,0))*((INDEX('AST Bond Prices'!$B$1:$AG$120,MATCH('Value of Debt (listed bonds)'!P$3,'AST Bond Prices'!$B$1:$B$120,0),MATCH('Value of Debt (listed bonds)'!$B143,'AST Bond Prices'!$B$1:$AG$1,0))/100))</f>
        <v>58868500</v>
      </c>
      <c r="Q143" s="171">
        <f>INDEX('AST Bonds'!$E$54:$E$83,MATCH('Value of Debt (listed bonds)'!$B143,'AST Bonds'!$J$54:$J$83,0))*((INDEX('AST Bond Prices'!$B$1:$AG$120,MATCH('Value of Debt (listed bonds)'!Q$3,'AST Bond Prices'!$B$1:$B$120,0),MATCH('Value of Debt (listed bonds)'!$B143,'AST Bond Prices'!$B$1:$AG$1,0))/100))</f>
        <v>64458500</v>
      </c>
      <c r="R143" s="171">
        <f>INDEX('AST Bonds'!$E$54:$E$83,MATCH('Value of Debt (listed bonds)'!$B143,'AST Bonds'!$J$54:$J$83,0))*((INDEX('AST Bond Prices'!$B$1:$AG$120,MATCH('Value of Debt (listed bonds)'!R$3,'AST Bond Prices'!$B$1:$B$120,0),MATCH('Value of Debt (listed bonds)'!$B143,'AST Bond Prices'!$B$1:$AG$1,0))/100))</f>
        <v>63063499.999999993</v>
      </c>
    </row>
    <row r="144" spans="2:18">
      <c r="B144" s="172" t="s">
        <v>321</v>
      </c>
      <c r="F144" s="171" t="e">
        <f>INDEX('AST Bonds'!$E$54:$E$83,MATCH('Value of Debt (listed bonds)'!$B144,'AST Bonds'!$J$54:$J$83,0))*((INDEX('AST Bond Prices'!$B$1:$AG$120,MATCH('Value of Debt (listed bonds)'!F$3,'AST Bond Prices'!$B$1:$B$120,0),MATCH('Value of Debt (listed bonds)'!$B144,'AST Bond Prices'!$B$1:$AG$1,0))/100))</f>
        <v>#N/A</v>
      </c>
      <c r="G144" s="171">
        <f>INDEX('AST Bonds'!$E$54:$E$83,MATCH('Value of Debt (listed bonds)'!$B144,'AST Bonds'!$J$54:$J$83,0))*((INDEX('AST Bond Prices'!$B$1:$AG$120,MATCH('Value of Debt (listed bonds)'!G$3,'AST Bond Prices'!$B$1:$B$120,0),MATCH('Value of Debt (listed bonds)'!$B144,'AST Bond Prices'!$B$1:$AG$1,0))/100))</f>
        <v>0</v>
      </c>
      <c r="H144" s="171">
        <f>INDEX('AST Bonds'!$E$54:$E$83,MATCH('Value of Debt (listed bonds)'!$B144,'AST Bonds'!$J$54:$J$83,0))*((INDEX('AST Bond Prices'!$B$1:$AG$120,MATCH('Value of Debt (listed bonds)'!H$3,'AST Bond Prices'!$B$1:$B$120,0),MATCH('Value of Debt (listed bonds)'!$B144,'AST Bond Prices'!$B$1:$AG$1,0))/100))</f>
        <v>0</v>
      </c>
      <c r="I144" s="171">
        <f>INDEX('AST Bonds'!$E$54:$E$83,MATCH('Value of Debt (listed bonds)'!$B144,'AST Bonds'!$J$54:$J$83,0))*((INDEX('AST Bond Prices'!$B$1:$AG$120,MATCH('Value of Debt (listed bonds)'!I$3,'AST Bond Prices'!$B$1:$B$120,0),MATCH('Value of Debt (listed bonds)'!$B144,'AST Bond Prices'!$B$1:$AG$1,0))/100))</f>
        <v>0</v>
      </c>
      <c r="J144" s="171">
        <f>INDEX('AST Bonds'!$E$54:$E$83,MATCH('Value of Debt (listed bonds)'!$B144,'AST Bonds'!$J$54:$J$83,0))*((INDEX('AST Bond Prices'!$B$1:$AG$120,MATCH('Value of Debt (listed bonds)'!J$3,'AST Bond Prices'!$B$1:$B$120,0),MATCH('Value of Debt (listed bonds)'!$B144,'AST Bond Prices'!$B$1:$AG$1,0))/100))</f>
        <v>0</v>
      </c>
      <c r="K144" s="171">
        <f>INDEX('AST Bonds'!$E$54:$E$83,MATCH('Value of Debt (listed bonds)'!$B144,'AST Bonds'!$J$54:$J$83,0))*((INDEX('AST Bond Prices'!$B$1:$AG$120,MATCH('Value of Debt (listed bonds)'!K$3,'AST Bond Prices'!$B$1:$B$120,0),MATCH('Value of Debt (listed bonds)'!$B144,'AST Bond Prices'!$B$1:$AG$1,0))/100))</f>
        <v>0</v>
      </c>
      <c r="L144" s="171">
        <f>INDEX('AST Bonds'!$E$54:$E$83,MATCH('Value of Debt (listed bonds)'!$B144,'AST Bonds'!$J$54:$J$83,0))*((INDEX('AST Bond Prices'!$B$1:$AG$120,MATCH('Value of Debt (listed bonds)'!L$3,'AST Bond Prices'!$B$1:$B$120,0),MATCH('Value of Debt (listed bonds)'!$B144,'AST Bond Prices'!$B$1:$AG$1,0))/100))</f>
        <v>0</v>
      </c>
      <c r="M144" s="171">
        <f>INDEX('AST Bonds'!$E$54:$E$83,MATCH('Value of Debt (listed bonds)'!$B144,'AST Bonds'!$J$54:$J$83,0))*((INDEX('AST Bond Prices'!$B$1:$AG$120,MATCH('Value of Debt (listed bonds)'!M$3,'AST Bond Prices'!$B$1:$B$120,0),MATCH('Value of Debt (listed bonds)'!$B144,'AST Bond Prices'!$B$1:$AG$1,0))/100))</f>
        <v>0</v>
      </c>
      <c r="N144" s="171">
        <f>INDEX('AST Bonds'!$E$54:$E$83,MATCH('Value of Debt (listed bonds)'!$B144,'AST Bonds'!$J$54:$J$83,0))*((INDEX('AST Bond Prices'!$B$1:$AG$120,MATCH('Value of Debt (listed bonds)'!N$3,'AST Bond Prices'!$B$1:$B$120,0),MATCH('Value of Debt (listed bonds)'!$B144,'AST Bond Prices'!$B$1:$AG$1,0))/100))</f>
        <v>0</v>
      </c>
      <c r="O144" s="171">
        <f>INDEX('AST Bonds'!$E$54:$E$83,MATCH('Value of Debt (listed bonds)'!$B144,'AST Bonds'!$J$54:$J$83,0))*((INDEX('AST Bond Prices'!$B$1:$AG$120,MATCH('Value of Debt (listed bonds)'!O$3,'AST Bond Prices'!$B$1:$B$120,0),MATCH('Value of Debt (listed bonds)'!$B144,'AST Bond Prices'!$B$1:$AG$1,0))/100))</f>
        <v>0</v>
      </c>
      <c r="P144" s="171">
        <f>INDEX('AST Bonds'!$E$54:$E$83,MATCH('Value of Debt (listed bonds)'!$B144,'AST Bonds'!$J$54:$J$83,0))*((INDEX('AST Bond Prices'!$B$1:$AG$120,MATCH('Value of Debt (listed bonds)'!P$3,'AST Bond Prices'!$B$1:$B$120,0),MATCH('Value of Debt (listed bonds)'!$B144,'AST Bond Prices'!$B$1:$AG$1,0))/100))</f>
        <v>680605250</v>
      </c>
      <c r="Q144" s="171">
        <f>INDEX('AST Bonds'!$E$54:$E$83,MATCH('Value of Debt (listed bonds)'!$B144,'AST Bonds'!$J$54:$J$83,0))*((INDEX('AST Bond Prices'!$B$1:$AG$120,MATCH('Value of Debt (listed bonds)'!Q$3,'AST Bond Prices'!$B$1:$B$120,0),MATCH('Value of Debt (listed bonds)'!$B144,'AST Bond Prices'!$B$1:$AG$1,0))/100))</f>
        <v>650565500</v>
      </c>
      <c r="R144" s="171">
        <f>INDEX('AST Bonds'!$E$54:$E$83,MATCH('Value of Debt (listed bonds)'!$B144,'AST Bonds'!$J$54:$J$83,0))*((INDEX('AST Bond Prices'!$B$1:$AG$120,MATCH('Value of Debt (listed bonds)'!R$3,'AST Bond Prices'!$B$1:$B$120,0),MATCH('Value of Debt (listed bonds)'!$B144,'AST Bond Prices'!$B$1:$AG$1,0))/100))</f>
        <v>650549250</v>
      </c>
    </row>
    <row r="145" spans="2:18">
      <c r="B145" s="172" t="s">
        <v>322</v>
      </c>
      <c r="F145" s="171" t="e">
        <f>INDEX('AST Bonds'!$E$54:$E$83,MATCH('Value of Debt (listed bonds)'!$B145,'AST Bonds'!$J$54:$J$83,0))*((INDEX('AST Bond Prices'!$B$1:$AG$120,MATCH('Value of Debt (listed bonds)'!F$3,'AST Bond Prices'!$B$1:$B$120,0),MATCH('Value of Debt (listed bonds)'!$B145,'AST Bond Prices'!$B$1:$AG$1,0))/100))</f>
        <v>#N/A</v>
      </c>
      <c r="G145" s="171">
        <f>INDEX('AST Bonds'!$E$54:$E$83,MATCH('Value of Debt (listed bonds)'!$B145,'AST Bonds'!$J$54:$J$83,0))*((INDEX('AST Bond Prices'!$B$1:$AG$120,MATCH('Value of Debt (listed bonds)'!G$3,'AST Bond Prices'!$B$1:$B$120,0),MATCH('Value of Debt (listed bonds)'!$B145,'AST Bond Prices'!$B$1:$AG$1,0))/100))</f>
        <v>0</v>
      </c>
      <c r="H145" s="171">
        <f>INDEX('AST Bonds'!$E$54:$E$83,MATCH('Value of Debt (listed bonds)'!$B145,'AST Bonds'!$J$54:$J$83,0))*((INDEX('AST Bond Prices'!$B$1:$AG$120,MATCH('Value of Debt (listed bonds)'!H$3,'AST Bond Prices'!$B$1:$B$120,0),MATCH('Value of Debt (listed bonds)'!$B145,'AST Bond Prices'!$B$1:$AG$1,0))/100))</f>
        <v>0</v>
      </c>
      <c r="I145" s="171">
        <f>INDEX('AST Bonds'!$E$54:$E$83,MATCH('Value of Debt (listed bonds)'!$B145,'AST Bonds'!$J$54:$J$83,0))*((INDEX('AST Bond Prices'!$B$1:$AG$120,MATCH('Value of Debt (listed bonds)'!I$3,'AST Bond Prices'!$B$1:$B$120,0),MATCH('Value of Debt (listed bonds)'!$B145,'AST Bond Prices'!$B$1:$AG$1,0))/100))</f>
        <v>0</v>
      </c>
      <c r="J145" s="171">
        <f>INDEX('AST Bonds'!$E$54:$E$83,MATCH('Value of Debt (listed bonds)'!$B145,'AST Bonds'!$J$54:$J$83,0))*((INDEX('AST Bond Prices'!$B$1:$AG$120,MATCH('Value of Debt (listed bonds)'!J$3,'AST Bond Prices'!$B$1:$B$120,0),MATCH('Value of Debt (listed bonds)'!$B145,'AST Bond Prices'!$B$1:$AG$1,0))/100))</f>
        <v>0</v>
      </c>
      <c r="K145" s="171">
        <f>INDEX('AST Bonds'!$E$54:$E$83,MATCH('Value of Debt (listed bonds)'!$B145,'AST Bonds'!$J$54:$J$83,0))*((INDEX('AST Bond Prices'!$B$1:$AG$120,MATCH('Value of Debt (listed bonds)'!K$3,'AST Bond Prices'!$B$1:$B$120,0),MATCH('Value of Debt (listed bonds)'!$B145,'AST Bond Prices'!$B$1:$AG$1,0))/100))</f>
        <v>0</v>
      </c>
      <c r="L145" s="171">
        <f>INDEX('AST Bonds'!$E$54:$E$83,MATCH('Value of Debt (listed bonds)'!$B145,'AST Bonds'!$J$54:$J$83,0))*((INDEX('AST Bond Prices'!$B$1:$AG$120,MATCH('Value of Debt (listed bonds)'!L$3,'AST Bond Prices'!$B$1:$B$120,0),MATCH('Value of Debt (listed bonds)'!$B145,'AST Bond Prices'!$B$1:$AG$1,0))/100))</f>
        <v>0</v>
      </c>
      <c r="M145" s="171">
        <f>INDEX('AST Bonds'!$E$54:$E$83,MATCH('Value of Debt (listed bonds)'!$B145,'AST Bonds'!$J$54:$J$83,0))*((INDEX('AST Bond Prices'!$B$1:$AG$120,MATCH('Value of Debt (listed bonds)'!M$3,'AST Bond Prices'!$B$1:$B$120,0),MATCH('Value of Debt (listed bonds)'!$B145,'AST Bond Prices'!$B$1:$AG$1,0))/100))</f>
        <v>0</v>
      </c>
      <c r="N145" s="171">
        <f>INDEX('AST Bonds'!$E$54:$E$83,MATCH('Value of Debt (listed bonds)'!$B145,'AST Bonds'!$J$54:$J$83,0))*((INDEX('AST Bond Prices'!$B$1:$AG$120,MATCH('Value of Debt (listed bonds)'!N$3,'AST Bond Prices'!$B$1:$B$120,0),MATCH('Value of Debt (listed bonds)'!$B145,'AST Bond Prices'!$B$1:$AG$1,0))/100))</f>
        <v>0</v>
      </c>
      <c r="O145" s="171">
        <f>INDEX('AST Bonds'!$E$54:$E$83,MATCH('Value of Debt (listed bonds)'!$B145,'AST Bonds'!$J$54:$J$83,0))*((INDEX('AST Bond Prices'!$B$1:$AG$120,MATCH('Value of Debt (listed bonds)'!O$3,'AST Bond Prices'!$B$1:$B$120,0),MATCH('Value of Debt (listed bonds)'!$B145,'AST Bond Prices'!$B$1:$AG$1,0))/100))</f>
        <v>0</v>
      </c>
      <c r="P145" s="171">
        <f>INDEX('AST Bonds'!$E$54:$E$83,MATCH('Value of Debt (listed bonds)'!$B145,'AST Bonds'!$J$54:$J$83,0))*((INDEX('AST Bond Prices'!$B$1:$AG$120,MATCH('Value of Debt (listed bonds)'!P$3,'AST Bond Prices'!$B$1:$B$120,0),MATCH('Value of Debt (listed bonds)'!$B145,'AST Bond Prices'!$B$1:$AG$1,0))/100))</f>
        <v>1056945957.081</v>
      </c>
      <c r="Q145" s="171">
        <f>INDEX('AST Bonds'!$E$54:$E$83,MATCH('Value of Debt (listed bonds)'!$B145,'AST Bonds'!$J$54:$J$83,0))*((INDEX('AST Bond Prices'!$B$1:$AG$120,MATCH('Value of Debt (listed bonds)'!Q$3,'AST Bond Prices'!$B$1:$B$120,0),MATCH('Value of Debt (listed bonds)'!$B145,'AST Bond Prices'!$B$1:$AG$1,0))/100))</f>
        <v>1040860868.8779999</v>
      </c>
      <c r="R145" s="171">
        <f>INDEX('AST Bonds'!$E$54:$E$83,MATCH('Value of Debt (listed bonds)'!$B145,'AST Bonds'!$J$54:$J$83,0))*((INDEX('AST Bond Prices'!$B$1:$AG$120,MATCH('Value of Debt (listed bonds)'!R$3,'AST Bond Prices'!$B$1:$B$120,0),MATCH('Value of Debt (listed bonds)'!$B145,'AST Bond Prices'!$B$1:$AG$1,0))/100))</f>
        <v>1032195676.2009001</v>
      </c>
    </row>
    <row r="147" spans="2:18">
      <c r="B147" s="172" t="s">
        <v>323</v>
      </c>
      <c r="F147" s="171">
        <f>INDEX('AST Bonds'!$D$87:$D$111,MATCH('Value of Debt (listed bonds)'!$B147,'AST Bonds'!$H$87:$H$111,0))*((INDEX('AST Bond Prices'!$AI$1:$BH$125,MATCH('Value of Debt (listed bonds)'!F$3,'AST Bond Prices'!$AI$1:$AI$125,0),MATCH('Value of Debt (listed bonds)'!$B147,'AST Bond Prices'!$AI$1:$BH$1,0))/100))</f>
        <v>0</v>
      </c>
      <c r="G147" s="171">
        <f>INDEX('AST Bonds'!$D$87:$D$111,MATCH('Value of Debt (listed bonds)'!$B147,'AST Bonds'!$H$87:$H$111,0))*((INDEX('AST Bond Prices'!$AI$1:$BH$125,MATCH('Value of Debt (listed bonds)'!G$3,'AST Bond Prices'!$AI$1:$AI$125,0),MATCH('Value of Debt (listed bonds)'!$B147,'AST Bond Prices'!$AI$1:$BH$1,0))/100))</f>
        <v>0</v>
      </c>
      <c r="H147" s="171">
        <f>INDEX('AST Bonds'!$D$87:$D$111,MATCH('Value of Debt (listed bonds)'!$B147,'AST Bonds'!$H$87:$H$111,0))*((INDEX('AST Bond Prices'!$AI$1:$BH$125,MATCH('Value of Debt (listed bonds)'!H$3,'AST Bond Prices'!$AI$1:$AI$125,0),MATCH('Value of Debt (listed bonds)'!$B147,'AST Bond Prices'!$AI$1:$BH$1,0))/100))</f>
        <v>0</v>
      </c>
      <c r="I147" s="171">
        <f>INDEX('AST Bonds'!$D$87:$D$111,MATCH('Value of Debt (listed bonds)'!$B147,'AST Bonds'!$H$87:$H$111,0))*((INDEX('AST Bond Prices'!$AI$1:$BH$125,MATCH('Value of Debt (listed bonds)'!I$3,'AST Bond Prices'!$AI$1:$AI$125,0),MATCH('Value of Debt (listed bonds)'!$B147,'AST Bond Prices'!$AI$1:$BH$1,0))/100))</f>
        <v>0</v>
      </c>
      <c r="J147" s="171">
        <f>INDEX('AST Bonds'!$D$87:$D$111,MATCH('Value of Debt (listed bonds)'!$B147,'AST Bonds'!$H$87:$H$111,0))*((INDEX('AST Bond Prices'!$AI$1:$BH$125,MATCH('Value of Debt (listed bonds)'!J$3,'AST Bond Prices'!$AI$1:$AI$125,0),MATCH('Value of Debt (listed bonds)'!$B147,'AST Bond Prices'!$AI$1:$BH$1,0))/100))</f>
        <v>0</v>
      </c>
      <c r="K147" s="171">
        <f>INDEX('AST Bonds'!$D$87:$D$111,MATCH('Value of Debt (listed bonds)'!$B147,'AST Bonds'!$H$87:$H$111,0))*((INDEX('AST Bond Prices'!$AI$1:$BH$125,MATCH('Value of Debt (listed bonds)'!K$3,'AST Bond Prices'!$AI$1:$AI$125,0),MATCH('Value of Debt (listed bonds)'!$B147,'AST Bond Prices'!$AI$1:$BH$1,0))/100))</f>
        <v>0</v>
      </c>
      <c r="L147" s="171">
        <f>INDEX('AST Bonds'!$D$87:$D$111,MATCH('Value of Debt (listed bonds)'!$B147,'AST Bonds'!$H$87:$H$111,0))*((INDEX('AST Bond Prices'!$AI$1:$BH$125,MATCH('Value of Debt (listed bonds)'!L$3,'AST Bond Prices'!$AI$1:$AI$125,0),MATCH('Value of Debt (listed bonds)'!$B147,'AST Bond Prices'!$AI$1:$BH$1,0))/100))</f>
        <v>0</v>
      </c>
      <c r="M147" s="171">
        <f>INDEX('AST Bonds'!$D$87:$D$111,MATCH('Value of Debt (listed bonds)'!$B147,'AST Bonds'!$H$87:$H$111,0))*((INDEX('AST Bond Prices'!$AI$1:$BH$125,MATCH('Value of Debt (listed bonds)'!M$3,'AST Bond Prices'!$AI$1:$AI$125,0),MATCH('Value of Debt (listed bonds)'!$B147,'AST Bond Prices'!$AI$1:$BH$1,0))/100))</f>
        <v>0</v>
      </c>
      <c r="N147" s="171">
        <f>INDEX('AST Bonds'!$D$87:$D$111,MATCH('Value of Debt (listed bonds)'!$B147,'AST Bonds'!$H$87:$H$111,0))*((INDEX('AST Bond Prices'!$AI$1:$BH$125,MATCH('Value of Debt (listed bonds)'!N$3,'AST Bond Prices'!$AI$1:$AI$125,0),MATCH('Value of Debt (listed bonds)'!$B147,'AST Bond Prices'!$AI$1:$BH$1,0))/100))</f>
        <v>0</v>
      </c>
      <c r="O147" s="171" t="e">
        <f>INDEX('AST Bonds'!$D$87:$D$111,MATCH('Value of Debt (listed bonds)'!$B147,'AST Bonds'!$H$87:$H$111,0))*((INDEX('AST Bond Prices'!$AI$1:$BH$125,MATCH('Value of Debt (listed bonds)'!O$3,'AST Bond Prices'!$AI$1:$AI$125,0),MATCH('Value of Debt (listed bonds)'!$B147,'AST Bond Prices'!$AI$1:$BH$1,0))/100))</f>
        <v>#N/A</v>
      </c>
      <c r="P147" s="171" t="e">
        <f>INDEX('AST Bonds'!$D$87:$D$111,MATCH('Value of Debt (listed bonds)'!$B147,'AST Bonds'!$H$87:$H$111,0))*((INDEX('AST Bond Prices'!$AI$1:$BH$125,MATCH('Value of Debt (listed bonds)'!P$3,'AST Bond Prices'!$AI$1:$AI$125,0),MATCH('Value of Debt (listed bonds)'!$B147,'AST Bond Prices'!$AI$1:$BH$1,0))/100))</f>
        <v>#N/A</v>
      </c>
    </row>
    <row r="148" spans="2:18">
      <c r="B148" s="172" t="s">
        <v>324</v>
      </c>
      <c r="F148" s="171">
        <f>INDEX('AST Bonds'!$D$87:$D$111,MATCH('Value of Debt (listed bonds)'!$B148,'AST Bonds'!$H$87:$H$111,0))*((INDEX('AST Bond Prices'!$AI$1:$BH$125,MATCH('Value of Debt (listed bonds)'!F$3,'AST Bond Prices'!$AI$1:$AI$125,0),MATCH('Value of Debt (listed bonds)'!$B148,'AST Bond Prices'!$AI$1:$BH$1,0))/100))</f>
        <v>0</v>
      </c>
      <c r="G148" s="171">
        <f>INDEX('AST Bonds'!$D$87:$D$111,MATCH('Value of Debt (listed bonds)'!$B148,'AST Bonds'!$H$87:$H$111,0))*((INDEX('AST Bond Prices'!$AI$1:$BH$125,MATCH('Value of Debt (listed bonds)'!G$3,'AST Bond Prices'!$AI$1:$AI$125,0),MATCH('Value of Debt (listed bonds)'!$B148,'AST Bond Prices'!$AI$1:$BH$1,0))/100))</f>
        <v>0</v>
      </c>
      <c r="H148" s="171">
        <f>INDEX('AST Bonds'!$D$87:$D$111,MATCH('Value of Debt (listed bonds)'!$B148,'AST Bonds'!$H$87:$H$111,0))*((INDEX('AST Bond Prices'!$AI$1:$BH$125,MATCH('Value of Debt (listed bonds)'!H$3,'AST Bond Prices'!$AI$1:$AI$125,0),MATCH('Value of Debt (listed bonds)'!$B148,'AST Bond Prices'!$AI$1:$BH$1,0))/100))</f>
        <v>0</v>
      </c>
      <c r="I148" s="171">
        <f>INDEX('AST Bonds'!$D$87:$D$111,MATCH('Value of Debt (listed bonds)'!$B148,'AST Bonds'!$H$87:$H$111,0))*((INDEX('AST Bond Prices'!$AI$1:$BH$125,MATCH('Value of Debt (listed bonds)'!I$3,'AST Bond Prices'!$AI$1:$AI$125,0),MATCH('Value of Debt (listed bonds)'!$B148,'AST Bond Prices'!$AI$1:$BH$1,0))/100))</f>
        <v>0</v>
      </c>
      <c r="J148" s="171">
        <f>INDEX('AST Bonds'!$D$87:$D$111,MATCH('Value of Debt (listed bonds)'!$B148,'AST Bonds'!$H$87:$H$111,0))*((INDEX('AST Bond Prices'!$AI$1:$BH$125,MATCH('Value of Debt (listed bonds)'!J$3,'AST Bond Prices'!$AI$1:$AI$125,0),MATCH('Value of Debt (listed bonds)'!$B148,'AST Bond Prices'!$AI$1:$BH$1,0))/100))</f>
        <v>0</v>
      </c>
      <c r="K148" s="171">
        <f>INDEX('AST Bonds'!$D$87:$D$111,MATCH('Value of Debt (listed bonds)'!$B148,'AST Bonds'!$H$87:$H$111,0))*((INDEX('AST Bond Prices'!$AI$1:$BH$125,MATCH('Value of Debt (listed bonds)'!K$3,'AST Bond Prices'!$AI$1:$AI$125,0),MATCH('Value of Debt (listed bonds)'!$B148,'AST Bond Prices'!$AI$1:$BH$1,0))/100))</f>
        <v>0</v>
      </c>
      <c r="L148" s="171">
        <f>INDEX('AST Bonds'!$D$87:$D$111,MATCH('Value of Debt (listed bonds)'!$B148,'AST Bonds'!$H$87:$H$111,0))*((INDEX('AST Bond Prices'!$AI$1:$BH$125,MATCH('Value of Debt (listed bonds)'!L$3,'AST Bond Prices'!$AI$1:$AI$125,0),MATCH('Value of Debt (listed bonds)'!$B148,'AST Bond Prices'!$AI$1:$BH$1,0))/100))</f>
        <v>0</v>
      </c>
      <c r="M148" s="171">
        <f>INDEX('AST Bonds'!$D$87:$D$111,MATCH('Value of Debt (listed bonds)'!$B148,'AST Bonds'!$H$87:$H$111,0))*((INDEX('AST Bond Prices'!$AI$1:$BH$125,MATCH('Value of Debt (listed bonds)'!M$3,'AST Bond Prices'!$AI$1:$AI$125,0),MATCH('Value of Debt (listed bonds)'!$B148,'AST Bond Prices'!$AI$1:$BH$1,0))/100))</f>
        <v>0</v>
      </c>
      <c r="N148" s="171">
        <f>INDEX('AST Bonds'!$D$87:$D$111,MATCH('Value of Debt (listed bonds)'!$B148,'AST Bonds'!$H$87:$H$111,0))*((INDEX('AST Bond Prices'!$AI$1:$BH$125,MATCH('Value of Debt (listed bonds)'!N$3,'AST Bond Prices'!$AI$1:$AI$125,0),MATCH('Value of Debt (listed bonds)'!$B148,'AST Bond Prices'!$AI$1:$BH$1,0))/100))</f>
        <v>0</v>
      </c>
      <c r="O148" s="171" t="e">
        <f>INDEX('AST Bonds'!$D$87:$D$111,MATCH('Value of Debt (listed bonds)'!$B148,'AST Bonds'!$H$87:$H$111,0))*((INDEX('AST Bond Prices'!$AI$1:$BH$125,MATCH('Value of Debt (listed bonds)'!O$3,'AST Bond Prices'!$AI$1:$AI$125,0),MATCH('Value of Debt (listed bonds)'!$B148,'AST Bond Prices'!$AI$1:$BH$1,0))/100))</f>
        <v>#N/A</v>
      </c>
      <c r="P148" s="171" t="e">
        <f>INDEX('AST Bonds'!$D$87:$D$111,MATCH('Value of Debt (listed bonds)'!$B148,'AST Bonds'!$H$87:$H$111,0))*((INDEX('AST Bond Prices'!$AI$1:$BH$125,MATCH('Value of Debt (listed bonds)'!P$3,'AST Bond Prices'!$AI$1:$AI$125,0),MATCH('Value of Debt (listed bonds)'!$B148,'AST Bond Prices'!$AI$1:$BH$1,0))/100))</f>
        <v>#N/A</v>
      </c>
    </row>
    <row r="149" spans="2:18">
      <c r="B149" s="172" t="s">
        <v>325</v>
      </c>
      <c r="F149" s="171">
        <f>INDEX('AST Bonds'!$D$87:$D$111,MATCH('Value of Debt (listed bonds)'!$B149,'AST Bonds'!$H$87:$H$111,0))*((INDEX('AST Bond Prices'!$AI$1:$BH$125,MATCH('Value of Debt (listed bonds)'!F$3,'AST Bond Prices'!$AI$1:$AI$125,0),MATCH('Value of Debt (listed bonds)'!$B149,'AST Bond Prices'!$AI$1:$BH$1,0))/100))</f>
        <v>0</v>
      </c>
      <c r="G149" s="171">
        <f>INDEX('AST Bonds'!$D$87:$D$111,MATCH('Value of Debt (listed bonds)'!$B149,'AST Bonds'!$H$87:$H$111,0))*((INDEX('AST Bond Prices'!$AI$1:$BH$125,MATCH('Value of Debt (listed bonds)'!G$3,'AST Bond Prices'!$AI$1:$AI$125,0),MATCH('Value of Debt (listed bonds)'!$B149,'AST Bond Prices'!$AI$1:$BH$1,0))/100))</f>
        <v>0</v>
      </c>
      <c r="H149" s="171">
        <f>INDEX('AST Bonds'!$D$87:$D$111,MATCH('Value of Debt (listed bonds)'!$B149,'AST Bonds'!$H$87:$H$111,0))*((INDEX('AST Bond Prices'!$AI$1:$BH$125,MATCH('Value of Debt (listed bonds)'!H$3,'AST Bond Prices'!$AI$1:$AI$125,0),MATCH('Value of Debt (listed bonds)'!$B149,'AST Bond Prices'!$AI$1:$BH$1,0))/100))</f>
        <v>0</v>
      </c>
      <c r="I149" s="171">
        <f>INDEX('AST Bonds'!$D$87:$D$111,MATCH('Value of Debt (listed bonds)'!$B149,'AST Bonds'!$H$87:$H$111,0))*((INDEX('AST Bond Prices'!$AI$1:$BH$125,MATCH('Value of Debt (listed bonds)'!I$3,'AST Bond Prices'!$AI$1:$AI$125,0),MATCH('Value of Debt (listed bonds)'!$B149,'AST Bond Prices'!$AI$1:$BH$1,0))/100))</f>
        <v>0</v>
      </c>
      <c r="J149" s="171">
        <f>INDEX('AST Bonds'!$D$87:$D$111,MATCH('Value of Debt (listed bonds)'!$B149,'AST Bonds'!$H$87:$H$111,0))*((INDEX('AST Bond Prices'!$AI$1:$BH$125,MATCH('Value of Debt (listed bonds)'!J$3,'AST Bond Prices'!$AI$1:$AI$125,0),MATCH('Value of Debt (listed bonds)'!$B149,'AST Bond Prices'!$AI$1:$BH$1,0))/100))</f>
        <v>0</v>
      </c>
      <c r="K149" s="171">
        <f>INDEX('AST Bonds'!$D$87:$D$111,MATCH('Value of Debt (listed bonds)'!$B149,'AST Bonds'!$H$87:$H$111,0))*((INDEX('AST Bond Prices'!$AI$1:$BH$125,MATCH('Value of Debt (listed bonds)'!K$3,'AST Bond Prices'!$AI$1:$AI$125,0),MATCH('Value of Debt (listed bonds)'!$B149,'AST Bond Prices'!$AI$1:$BH$1,0))/100))</f>
        <v>0</v>
      </c>
      <c r="L149" s="171">
        <f>INDEX('AST Bonds'!$D$87:$D$111,MATCH('Value of Debt (listed bonds)'!$B149,'AST Bonds'!$H$87:$H$111,0))*((INDEX('AST Bond Prices'!$AI$1:$BH$125,MATCH('Value of Debt (listed bonds)'!L$3,'AST Bond Prices'!$AI$1:$AI$125,0),MATCH('Value of Debt (listed bonds)'!$B149,'AST Bond Prices'!$AI$1:$BH$1,0))/100))</f>
        <v>0</v>
      </c>
      <c r="M149" s="171">
        <f>INDEX('AST Bonds'!$D$87:$D$111,MATCH('Value of Debt (listed bonds)'!$B149,'AST Bonds'!$H$87:$H$111,0))*((INDEX('AST Bond Prices'!$AI$1:$BH$125,MATCH('Value of Debt (listed bonds)'!M$3,'AST Bond Prices'!$AI$1:$AI$125,0),MATCH('Value of Debt (listed bonds)'!$B149,'AST Bond Prices'!$AI$1:$BH$1,0))/100))</f>
        <v>0</v>
      </c>
      <c r="N149" s="171">
        <f>INDEX('AST Bonds'!$D$87:$D$111,MATCH('Value of Debt (listed bonds)'!$B149,'AST Bonds'!$H$87:$H$111,0))*((INDEX('AST Bond Prices'!$AI$1:$BH$125,MATCH('Value of Debt (listed bonds)'!N$3,'AST Bond Prices'!$AI$1:$AI$125,0),MATCH('Value of Debt (listed bonds)'!$B149,'AST Bond Prices'!$AI$1:$BH$1,0))/100))</f>
        <v>0</v>
      </c>
      <c r="O149" s="171" t="e">
        <f>INDEX('AST Bonds'!$D$87:$D$111,MATCH('Value of Debt (listed bonds)'!$B149,'AST Bonds'!$H$87:$H$111,0))*((INDEX('AST Bond Prices'!$AI$1:$BH$125,MATCH('Value of Debt (listed bonds)'!O$3,'AST Bond Prices'!$AI$1:$AI$125,0),MATCH('Value of Debt (listed bonds)'!$B149,'AST Bond Prices'!$AI$1:$BH$1,0))/100))</f>
        <v>#N/A</v>
      </c>
      <c r="P149" s="171" t="e">
        <f>INDEX('AST Bonds'!$D$87:$D$111,MATCH('Value of Debt (listed bonds)'!$B149,'AST Bonds'!$H$87:$H$111,0))*((INDEX('AST Bond Prices'!$AI$1:$BH$125,MATCH('Value of Debt (listed bonds)'!P$3,'AST Bond Prices'!$AI$1:$AI$125,0),MATCH('Value of Debt (listed bonds)'!$B149,'AST Bond Prices'!$AI$1:$BH$1,0))/100))</f>
        <v>#N/A</v>
      </c>
    </row>
    <row r="150" spans="2:18">
      <c r="B150" s="172" t="s">
        <v>326</v>
      </c>
      <c r="F150" s="171">
        <f>INDEX('AST Bonds'!$D$87:$D$111,MATCH('Value of Debt (listed bonds)'!$B150,'AST Bonds'!$H$87:$H$111,0))*((INDEX('AST Bond Prices'!$AI$1:$BH$125,MATCH('Value of Debt (listed bonds)'!F$3,'AST Bond Prices'!$AI$1:$AI$125,0),MATCH('Value of Debt (listed bonds)'!$B150,'AST Bond Prices'!$AI$1:$BH$1,0))/100))</f>
        <v>0</v>
      </c>
      <c r="G150" s="171">
        <f>INDEX('AST Bonds'!$D$87:$D$111,MATCH('Value of Debt (listed bonds)'!$B150,'AST Bonds'!$H$87:$H$111,0))*((INDEX('AST Bond Prices'!$AI$1:$BH$125,MATCH('Value of Debt (listed bonds)'!G$3,'AST Bond Prices'!$AI$1:$AI$125,0),MATCH('Value of Debt (listed bonds)'!$B150,'AST Bond Prices'!$AI$1:$BH$1,0))/100))</f>
        <v>0</v>
      </c>
      <c r="H150" s="171">
        <f>INDEX('AST Bonds'!$D$87:$D$111,MATCH('Value of Debt (listed bonds)'!$B150,'AST Bonds'!$H$87:$H$111,0))*((INDEX('AST Bond Prices'!$AI$1:$BH$125,MATCH('Value of Debt (listed bonds)'!H$3,'AST Bond Prices'!$AI$1:$AI$125,0),MATCH('Value of Debt (listed bonds)'!$B150,'AST Bond Prices'!$AI$1:$BH$1,0))/100))</f>
        <v>0</v>
      </c>
      <c r="I150" s="171">
        <f>INDEX('AST Bonds'!$D$87:$D$111,MATCH('Value of Debt (listed bonds)'!$B150,'AST Bonds'!$H$87:$H$111,0))*((INDEX('AST Bond Prices'!$AI$1:$BH$125,MATCH('Value of Debt (listed bonds)'!I$3,'AST Bond Prices'!$AI$1:$AI$125,0),MATCH('Value of Debt (listed bonds)'!$B150,'AST Bond Prices'!$AI$1:$BH$1,0))/100))</f>
        <v>0</v>
      </c>
      <c r="J150" s="171">
        <f>INDEX('AST Bonds'!$D$87:$D$111,MATCH('Value of Debt (listed bonds)'!$B150,'AST Bonds'!$H$87:$H$111,0))*((INDEX('AST Bond Prices'!$AI$1:$BH$125,MATCH('Value of Debt (listed bonds)'!J$3,'AST Bond Prices'!$AI$1:$AI$125,0),MATCH('Value of Debt (listed bonds)'!$B150,'AST Bond Prices'!$AI$1:$BH$1,0))/100))</f>
        <v>0</v>
      </c>
      <c r="K150" s="171">
        <f>INDEX('AST Bonds'!$D$87:$D$111,MATCH('Value of Debt (listed bonds)'!$B150,'AST Bonds'!$H$87:$H$111,0))*((INDEX('AST Bond Prices'!$AI$1:$BH$125,MATCH('Value of Debt (listed bonds)'!K$3,'AST Bond Prices'!$AI$1:$AI$125,0),MATCH('Value of Debt (listed bonds)'!$B150,'AST Bond Prices'!$AI$1:$BH$1,0))/100))</f>
        <v>0</v>
      </c>
      <c r="L150" s="171">
        <f>INDEX('AST Bonds'!$D$87:$D$111,MATCH('Value of Debt (listed bonds)'!$B150,'AST Bonds'!$H$87:$H$111,0))*((INDEX('AST Bond Prices'!$AI$1:$BH$125,MATCH('Value of Debt (listed bonds)'!L$3,'AST Bond Prices'!$AI$1:$AI$125,0),MATCH('Value of Debt (listed bonds)'!$B150,'AST Bond Prices'!$AI$1:$BH$1,0))/100))</f>
        <v>0</v>
      </c>
      <c r="M150" s="171">
        <f>INDEX('AST Bonds'!$D$87:$D$111,MATCH('Value of Debt (listed bonds)'!$B150,'AST Bonds'!$H$87:$H$111,0))*((INDEX('AST Bond Prices'!$AI$1:$BH$125,MATCH('Value of Debt (listed bonds)'!M$3,'AST Bond Prices'!$AI$1:$AI$125,0),MATCH('Value of Debt (listed bonds)'!$B150,'AST Bond Prices'!$AI$1:$BH$1,0))/100))</f>
        <v>0</v>
      </c>
      <c r="N150" s="171">
        <f>INDEX('AST Bonds'!$D$87:$D$111,MATCH('Value of Debt (listed bonds)'!$B150,'AST Bonds'!$H$87:$H$111,0))*((INDEX('AST Bond Prices'!$AI$1:$BH$125,MATCH('Value of Debt (listed bonds)'!N$3,'AST Bond Prices'!$AI$1:$AI$125,0),MATCH('Value of Debt (listed bonds)'!$B150,'AST Bond Prices'!$AI$1:$BH$1,0))/100))</f>
        <v>0</v>
      </c>
      <c r="O150" s="171" t="e">
        <f>INDEX('AST Bonds'!$D$87:$D$111,MATCH('Value of Debt (listed bonds)'!$B150,'AST Bonds'!$H$87:$H$111,0))*((INDEX('AST Bond Prices'!$AI$1:$BH$125,MATCH('Value of Debt (listed bonds)'!O$3,'AST Bond Prices'!$AI$1:$AI$125,0),MATCH('Value of Debt (listed bonds)'!$B150,'AST Bond Prices'!$AI$1:$BH$1,0))/100))</f>
        <v>#N/A</v>
      </c>
      <c r="P150" s="171" t="e">
        <f>INDEX('AST Bonds'!$D$87:$D$111,MATCH('Value of Debt (listed bonds)'!$B150,'AST Bonds'!$H$87:$H$111,0))*((INDEX('AST Bond Prices'!$AI$1:$BH$125,MATCH('Value of Debt (listed bonds)'!P$3,'AST Bond Prices'!$AI$1:$AI$125,0),MATCH('Value of Debt (listed bonds)'!$B150,'AST Bond Prices'!$AI$1:$BH$1,0))/100))</f>
        <v>#N/A</v>
      </c>
    </row>
    <row r="151" spans="2:18">
      <c r="B151" s="172" t="s">
        <v>327</v>
      </c>
      <c r="F151" s="171">
        <f>INDEX('AST Bonds'!$D$87:$D$111,MATCH('Value of Debt (listed bonds)'!$B151,'AST Bonds'!$H$87:$H$111,0))*((INDEX('AST Bond Prices'!$AI$1:$BH$125,MATCH('Value of Debt (listed bonds)'!F$3,'AST Bond Prices'!$AI$1:$AI$125,0),MATCH('Value of Debt (listed bonds)'!$B151,'AST Bond Prices'!$AI$1:$BH$1,0))/100))</f>
        <v>0</v>
      </c>
      <c r="G151" s="171">
        <f>INDEX('AST Bonds'!$D$87:$D$111,MATCH('Value of Debt (listed bonds)'!$B151,'AST Bonds'!$H$87:$H$111,0))*((INDEX('AST Bond Prices'!$AI$1:$BH$125,MATCH('Value of Debt (listed bonds)'!G$3,'AST Bond Prices'!$AI$1:$AI$125,0),MATCH('Value of Debt (listed bonds)'!$B151,'AST Bond Prices'!$AI$1:$BH$1,0))/100))</f>
        <v>0</v>
      </c>
      <c r="H151" s="171">
        <f>INDEX('AST Bonds'!$D$87:$D$111,MATCH('Value of Debt (listed bonds)'!$B151,'AST Bonds'!$H$87:$H$111,0))*((INDEX('AST Bond Prices'!$AI$1:$BH$125,MATCH('Value of Debt (listed bonds)'!H$3,'AST Bond Prices'!$AI$1:$AI$125,0),MATCH('Value of Debt (listed bonds)'!$B151,'AST Bond Prices'!$AI$1:$BH$1,0))/100))</f>
        <v>0</v>
      </c>
      <c r="I151" s="171">
        <f>INDEX('AST Bonds'!$D$87:$D$111,MATCH('Value of Debt (listed bonds)'!$B151,'AST Bonds'!$H$87:$H$111,0))*((INDEX('AST Bond Prices'!$AI$1:$BH$125,MATCH('Value of Debt (listed bonds)'!I$3,'AST Bond Prices'!$AI$1:$AI$125,0),MATCH('Value of Debt (listed bonds)'!$B151,'AST Bond Prices'!$AI$1:$BH$1,0))/100))</f>
        <v>0</v>
      </c>
      <c r="J151" s="171">
        <f>INDEX('AST Bonds'!$D$87:$D$111,MATCH('Value of Debt (listed bonds)'!$B151,'AST Bonds'!$H$87:$H$111,0))*((INDEX('AST Bond Prices'!$AI$1:$BH$125,MATCH('Value of Debt (listed bonds)'!J$3,'AST Bond Prices'!$AI$1:$AI$125,0),MATCH('Value of Debt (listed bonds)'!$B151,'AST Bond Prices'!$AI$1:$BH$1,0))/100))</f>
        <v>0</v>
      </c>
      <c r="K151" s="171">
        <f>INDEX('AST Bonds'!$D$87:$D$111,MATCH('Value of Debt (listed bonds)'!$B151,'AST Bonds'!$H$87:$H$111,0))*((INDEX('AST Bond Prices'!$AI$1:$BH$125,MATCH('Value of Debt (listed bonds)'!K$3,'AST Bond Prices'!$AI$1:$AI$125,0),MATCH('Value of Debt (listed bonds)'!$B151,'AST Bond Prices'!$AI$1:$BH$1,0))/100))</f>
        <v>0</v>
      </c>
      <c r="L151" s="171">
        <f>INDEX('AST Bonds'!$D$87:$D$111,MATCH('Value of Debt (listed bonds)'!$B151,'AST Bonds'!$H$87:$H$111,0))*((INDEX('AST Bond Prices'!$AI$1:$BH$125,MATCH('Value of Debt (listed bonds)'!L$3,'AST Bond Prices'!$AI$1:$AI$125,0),MATCH('Value of Debt (listed bonds)'!$B151,'AST Bond Prices'!$AI$1:$BH$1,0))/100))</f>
        <v>0</v>
      </c>
      <c r="M151" s="171">
        <f>INDEX('AST Bonds'!$D$87:$D$111,MATCH('Value of Debt (listed bonds)'!$B151,'AST Bonds'!$H$87:$H$111,0))*((INDEX('AST Bond Prices'!$AI$1:$BH$125,MATCH('Value of Debt (listed bonds)'!M$3,'AST Bond Prices'!$AI$1:$AI$125,0),MATCH('Value of Debt (listed bonds)'!$B151,'AST Bond Prices'!$AI$1:$BH$1,0))/100))</f>
        <v>0</v>
      </c>
      <c r="N151" s="171">
        <f>INDEX('AST Bonds'!$D$87:$D$111,MATCH('Value of Debt (listed bonds)'!$B151,'AST Bonds'!$H$87:$H$111,0))*((INDEX('AST Bond Prices'!$AI$1:$BH$125,MATCH('Value of Debt (listed bonds)'!N$3,'AST Bond Prices'!$AI$1:$AI$125,0),MATCH('Value of Debt (listed bonds)'!$B151,'AST Bond Prices'!$AI$1:$BH$1,0))/100))</f>
        <v>0</v>
      </c>
      <c r="O151" s="171" t="e">
        <f>INDEX('AST Bonds'!$D$87:$D$111,MATCH('Value of Debt (listed bonds)'!$B151,'AST Bonds'!$H$87:$H$111,0))*((INDEX('AST Bond Prices'!$AI$1:$BH$125,MATCH('Value of Debt (listed bonds)'!O$3,'AST Bond Prices'!$AI$1:$AI$125,0),MATCH('Value of Debt (listed bonds)'!$B151,'AST Bond Prices'!$AI$1:$BH$1,0))/100))</f>
        <v>#N/A</v>
      </c>
      <c r="P151" s="171" t="e">
        <f>INDEX('AST Bonds'!$D$87:$D$111,MATCH('Value of Debt (listed bonds)'!$B151,'AST Bonds'!$H$87:$H$111,0))*((INDEX('AST Bond Prices'!$AI$1:$BH$125,MATCH('Value of Debt (listed bonds)'!P$3,'AST Bond Prices'!$AI$1:$AI$125,0),MATCH('Value of Debt (listed bonds)'!$B151,'AST Bond Prices'!$AI$1:$BH$1,0))/100))</f>
        <v>#N/A</v>
      </c>
    </row>
    <row r="152" spans="2:18">
      <c r="B152" s="172" t="s">
        <v>328</v>
      </c>
      <c r="F152" s="171">
        <f>INDEX('AST Bonds'!$D$87:$D$111,MATCH('Value of Debt (listed bonds)'!$B152,'AST Bonds'!$H$87:$H$111,0))*((INDEX('AST Bond Prices'!$AI$1:$BH$125,MATCH('Value of Debt (listed bonds)'!F$3,'AST Bond Prices'!$AI$1:$AI$125,0),MATCH('Value of Debt (listed bonds)'!$B152,'AST Bond Prices'!$AI$1:$BH$1,0))/100))</f>
        <v>0</v>
      </c>
      <c r="G152" s="171">
        <f>INDEX('AST Bonds'!$D$87:$D$111,MATCH('Value of Debt (listed bonds)'!$B152,'AST Bonds'!$H$87:$H$111,0))*((INDEX('AST Bond Prices'!$AI$1:$BH$125,MATCH('Value of Debt (listed bonds)'!G$3,'AST Bond Prices'!$AI$1:$AI$125,0),MATCH('Value of Debt (listed bonds)'!$B152,'AST Bond Prices'!$AI$1:$BH$1,0))/100))</f>
        <v>0</v>
      </c>
      <c r="H152" s="171">
        <f>INDEX('AST Bonds'!$D$87:$D$111,MATCH('Value of Debt (listed bonds)'!$B152,'AST Bonds'!$H$87:$H$111,0))*((INDEX('AST Bond Prices'!$AI$1:$BH$125,MATCH('Value of Debt (listed bonds)'!H$3,'AST Bond Prices'!$AI$1:$AI$125,0),MATCH('Value of Debt (listed bonds)'!$B152,'AST Bond Prices'!$AI$1:$BH$1,0))/100))</f>
        <v>0</v>
      </c>
      <c r="I152" s="171">
        <f>INDEX('AST Bonds'!$D$87:$D$111,MATCH('Value of Debt (listed bonds)'!$B152,'AST Bonds'!$H$87:$H$111,0))*((INDEX('AST Bond Prices'!$AI$1:$BH$125,MATCH('Value of Debt (listed bonds)'!I$3,'AST Bond Prices'!$AI$1:$AI$125,0),MATCH('Value of Debt (listed bonds)'!$B152,'AST Bond Prices'!$AI$1:$BH$1,0))/100))</f>
        <v>0</v>
      </c>
      <c r="J152" s="171">
        <f>INDEX('AST Bonds'!$D$87:$D$111,MATCH('Value of Debt (listed bonds)'!$B152,'AST Bonds'!$H$87:$H$111,0))*((INDEX('AST Bond Prices'!$AI$1:$BH$125,MATCH('Value of Debt (listed bonds)'!J$3,'AST Bond Prices'!$AI$1:$AI$125,0),MATCH('Value of Debt (listed bonds)'!$B152,'AST Bond Prices'!$AI$1:$BH$1,0))/100))</f>
        <v>0</v>
      </c>
      <c r="K152" s="171">
        <f>INDEX('AST Bonds'!$D$87:$D$111,MATCH('Value of Debt (listed bonds)'!$B152,'AST Bonds'!$H$87:$H$111,0))*((INDEX('AST Bond Prices'!$AI$1:$BH$125,MATCH('Value of Debt (listed bonds)'!K$3,'AST Bond Prices'!$AI$1:$AI$125,0),MATCH('Value of Debt (listed bonds)'!$B152,'AST Bond Prices'!$AI$1:$BH$1,0))/100))</f>
        <v>0</v>
      </c>
      <c r="L152" s="171">
        <f>INDEX('AST Bonds'!$D$87:$D$111,MATCH('Value of Debt (listed bonds)'!$B152,'AST Bonds'!$H$87:$H$111,0))*((INDEX('AST Bond Prices'!$AI$1:$BH$125,MATCH('Value of Debt (listed bonds)'!L$3,'AST Bond Prices'!$AI$1:$AI$125,0),MATCH('Value of Debt (listed bonds)'!$B152,'AST Bond Prices'!$AI$1:$BH$1,0))/100))</f>
        <v>0</v>
      </c>
      <c r="M152" s="171">
        <f>INDEX('AST Bonds'!$D$87:$D$111,MATCH('Value of Debt (listed bonds)'!$B152,'AST Bonds'!$H$87:$H$111,0))*((INDEX('AST Bond Prices'!$AI$1:$BH$125,MATCH('Value of Debt (listed bonds)'!M$3,'AST Bond Prices'!$AI$1:$AI$125,0),MATCH('Value of Debt (listed bonds)'!$B152,'AST Bond Prices'!$AI$1:$BH$1,0))/100))</f>
        <v>0</v>
      </c>
      <c r="N152" s="171">
        <f>INDEX('AST Bonds'!$D$87:$D$111,MATCH('Value of Debt (listed bonds)'!$B152,'AST Bonds'!$H$87:$H$111,0))*((INDEX('AST Bond Prices'!$AI$1:$BH$125,MATCH('Value of Debt (listed bonds)'!N$3,'AST Bond Prices'!$AI$1:$AI$125,0),MATCH('Value of Debt (listed bonds)'!$B152,'AST Bond Prices'!$AI$1:$BH$1,0))/100))</f>
        <v>0</v>
      </c>
      <c r="O152" s="171" t="e">
        <f>INDEX('AST Bonds'!$D$87:$D$111,MATCH('Value of Debt (listed bonds)'!$B152,'AST Bonds'!$H$87:$H$111,0))*((INDEX('AST Bond Prices'!$AI$1:$BH$125,MATCH('Value of Debt (listed bonds)'!O$3,'AST Bond Prices'!$AI$1:$AI$125,0),MATCH('Value of Debt (listed bonds)'!$B152,'AST Bond Prices'!$AI$1:$BH$1,0))/100))</f>
        <v>#N/A</v>
      </c>
      <c r="P152" s="171" t="e">
        <f>INDEX('AST Bonds'!$D$87:$D$111,MATCH('Value of Debt (listed bonds)'!$B152,'AST Bonds'!$H$87:$H$111,0))*((INDEX('AST Bond Prices'!$AI$1:$BH$125,MATCH('Value of Debt (listed bonds)'!P$3,'AST Bond Prices'!$AI$1:$AI$125,0),MATCH('Value of Debt (listed bonds)'!$B152,'AST Bond Prices'!$AI$1:$BH$1,0))/100))</f>
        <v>#N/A</v>
      </c>
    </row>
    <row r="153" spans="2:18">
      <c r="B153" s="172" t="s">
        <v>329</v>
      </c>
      <c r="F153" s="171">
        <f>INDEX('AST Bonds'!$D$87:$D$111,MATCH('Value of Debt (listed bonds)'!$B153,'AST Bonds'!$H$87:$H$111,0))*((INDEX('AST Bond Prices'!$AI$1:$BH$125,MATCH('Value of Debt (listed bonds)'!F$3,'AST Bond Prices'!$AI$1:$AI$125,0),MATCH('Value of Debt (listed bonds)'!$B153,'AST Bond Prices'!$AI$1:$BH$1,0))/100))</f>
        <v>200456738</v>
      </c>
      <c r="G153" s="171">
        <f>INDEX('AST Bonds'!$D$87:$D$111,MATCH('Value of Debt (listed bonds)'!$B153,'AST Bonds'!$H$87:$H$111,0))*((INDEX('AST Bond Prices'!$AI$1:$BH$125,MATCH('Value of Debt (listed bonds)'!G$3,'AST Bond Prices'!$AI$1:$AI$125,0),MATCH('Value of Debt (listed bonds)'!$B153,'AST Bond Prices'!$AI$1:$BH$1,0))/100))</f>
        <v>0</v>
      </c>
      <c r="H153" s="171">
        <f>INDEX('AST Bonds'!$D$87:$D$111,MATCH('Value of Debt (listed bonds)'!$B153,'AST Bonds'!$H$87:$H$111,0))*((INDEX('AST Bond Prices'!$AI$1:$BH$125,MATCH('Value of Debt (listed bonds)'!H$3,'AST Bond Prices'!$AI$1:$AI$125,0),MATCH('Value of Debt (listed bonds)'!$B153,'AST Bond Prices'!$AI$1:$BH$1,0))/100))</f>
        <v>0</v>
      </c>
      <c r="I153" s="171">
        <f>INDEX('AST Bonds'!$D$87:$D$111,MATCH('Value of Debt (listed bonds)'!$B153,'AST Bonds'!$H$87:$H$111,0))*((INDEX('AST Bond Prices'!$AI$1:$BH$125,MATCH('Value of Debt (listed bonds)'!I$3,'AST Bond Prices'!$AI$1:$AI$125,0),MATCH('Value of Debt (listed bonds)'!$B153,'AST Bond Prices'!$AI$1:$BH$1,0))/100))</f>
        <v>0</v>
      </c>
      <c r="J153" s="171">
        <f>INDEX('AST Bonds'!$D$87:$D$111,MATCH('Value of Debt (listed bonds)'!$B153,'AST Bonds'!$H$87:$H$111,0))*((INDEX('AST Bond Prices'!$AI$1:$BH$125,MATCH('Value of Debt (listed bonds)'!J$3,'AST Bond Prices'!$AI$1:$AI$125,0),MATCH('Value of Debt (listed bonds)'!$B153,'AST Bond Prices'!$AI$1:$BH$1,0))/100))</f>
        <v>0</v>
      </c>
      <c r="K153" s="171">
        <f>INDEX('AST Bonds'!$D$87:$D$111,MATCH('Value of Debt (listed bonds)'!$B153,'AST Bonds'!$H$87:$H$111,0))*((INDEX('AST Bond Prices'!$AI$1:$BH$125,MATCH('Value of Debt (listed bonds)'!K$3,'AST Bond Prices'!$AI$1:$AI$125,0),MATCH('Value of Debt (listed bonds)'!$B153,'AST Bond Prices'!$AI$1:$BH$1,0))/100))</f>
        <v>0</v>
      </c>
      <c r="L153" s="171">
        <f>INDEX('AST Bonds'!$D$87:$D$111,MATCH('Value of Debt (listed bonds)'!$B153,'AST Bonds'!$H$87:$H$111,0))*((INDEX('AST Bond Prices'!$AI$1:$BH$125,MATCH('Value of Debt (listed bonds)'!L$3,'AST Bond Prices'!$AI$1:$AI$125,0),MATCH('Value of Debt (listed bonds)'!$B153,'AST Bond Prices'!$AI$1:$BH$1,0))/100))</f>
        <v>0</v>
      </c>
      <c r="M153" s="171">
        <f>INDEX('AST Bonds'!$D$87:$D$111,MATCH('Value of Debt (listed bonds)'!$B153,'AST Bonds'!$H$87:$H$111,0))*((INDEX('AST Bond Prices'!$AI$1:$BH$125,MATCH('Value of Debt (listed bonds)'!M$3,'AST Bond Prices'!$AI$1:$AI$125,0),MATCH('Value of Debt (listed bonds)'!$B153,'AST Bond Prices'!$AI$1:$BH$1,0))/100))</f>
        <v>0</v>
      </c>
      <c r="N153" s="171">
        <f>INDEX('AST Bonds'!$D$87:$D$111,MATCH('Value of Debt (listed bonds)'!$B153,'AST Bonds'!$H$87:$H$111,0))*((INDEX('AST Bond Prices'!$AI$1:$BH$125,MATCH('Value of Debt (listed bonds)'!N$3,'AST Bond Prices'!$AI$1:$AI$125,0),MATCH('Value of Debt (listed bonds)'!$B153,'AST Bond Prices'!$AI$1:$BH$1,0))/100))</f>
        <v>0</v>
      </c>
      <c r="O153" s="171" t="e">
        <f>INDEX('AST Bonds'!$D$87:$D$111,MATCH('Value of Debt (listed bonds)'!$B153,'AST Bonds'!$H$87:$H$111,0))*((INDEX('AST Bond Prices'!$AI$1:$BH$125,MATCH('Value of Debt (listed bonds)'!O$3,'AST Bond Prices'!$AI$1:$AI$125,0),MATCH('Value of Debt (listed bonds)'!$B153,'AST Bond Prices'!$AI$1:$BH$1,0))/100))</f>
        <v>#N/A</v>
      </c>
      <c r="P153" s="171" t="e">
        <f>INDEX('AST Bonds'!$D$87:$D$111,MATCH('Value of Debt (listed bonds)'!$B153,'AST Bonds'!$H$87:$H$111,0))*((INDEX('AST Bond Prices'!$AI$1:$BH$125,MATCH('Value of Debt (listed bonds)'!P$3,'AST Bond Prices'!$AI$1:$AI$125,0),MATCH('Value of Debt (listed bonds)'!$B153,'AST Bond Prices'!$AI$1:$BH$1,0))/100))</f>
        <v>#N/A</v>
      </c>
    </row>
    <row r="154" spans="2:18">
      <c r="B154" s="172" t="s">
        <v>330</v>
      </c>
      <c r="F154" s="171">
        <f>INDEX('AST Bonds'!$D$87:$D$111,MATCH('Value of Debt (listed bonds)'!$B154,'AST Bonds'!$H$87:$H$111,0))*((INDEX('AST Bond Prices'!$AI$1:$BH$125,MATCH('Value of Debt (listed bonds)'!F$3,'AST Bond Prices'!$AI$1:$AI$125,0),MATCH('Value of Debt (listed bonds)'!$B154,'AST Bond Prices'!$AI$1:$BH$1,0))/100))</f>
        <v>436367658.14163429</v>
      </c>
      <c r="G154" s="171">
        <f>INDEX('AST Bonds'!$D$87:$D$111,MATCH('Value of Debt (listed bonds)'!$B154,'AST Bonds'!$H$87:$H$111,0))*((INDEX('AST Bond Prices'!$AI$1:$BH$125,MATCH('Value of Debt (listed bonds)'!G$3,'AST Bond Prices'!$AI$1:$AI$125,0),MATCH('Value of Debt (listed bonds)'!$B154,'AST Bond Prices'!$AI$1:$BH$1,0))/100))</f>
        <v>427274995.99638343</v>
      </c>
      <c r="H154" s="171">
        <f>INDEX('AST Bonds'!$D$87:$D$111,MATCH('Value of Debt (listed bonds)'!$B154,'AST Bonds'!$H$87:$H$111,0))*((INDEX('AST Bond Prices'!$AI$1:$BH$125,MATCH('Value of Debt (listed bonds)'!H$3,'AST Bond Prices'!$AI$1:$AI$125,0),MATCH('Value of Debt (listed bonds)'!$B154,'AST Bond Prices'!$AI$1:$BH$1,0))/100))</f>
        <v>425049842.67174715</v>
      </c>
      <c r="I154" s="171">
        <f>INDEX('AST Bonds'!$D$87:$D$111,MATCH('Value of Debt (listed bonds)'!$B154,'AST Bonds'!$H$87:$H$111,0))*((INDEX('AST Bond Prices'!$AI$1:$BH$125,MATCH('Value of Debt (listed bonds)'!I$3,'AST Bond Prices'!$AI$1:$AI$125,0),MATCH('Value of Debt (listed bonds)'!$B154,'AST Bond Prices'!$AI$1:$BH$1,0))/100))</f>
        <v>412184116.75385642</v>
      </c>
      <c r="J154" s="171">
        <f>INDEX('AST Bonds'!$D$87:$D$111,MATCH('Value of Debt (listed bonds)'!$B154,'AST Bonds'!$H$87:$H$111,0))*((INDEX('AST Bond Prices'!$AI$1:$BH$125,MATCH('Value of Debt (listed bonds)'!J$3,'AST Bond Prices'!$AI$1:$AI$125,0),MATCH('Value of Debt (listed bonds)'!$B154,'AST Bond Prices'!$AI$1:$BH$1,0))/100))</f>
        <v>0</v>
      </c>
      <c r="K154" s="171">
        <f>INDEX('AST Bonds'!$D$87:$D$111,MATCH('Value of Debt (listed bonds)'!$B154,'AST Bonds'!$H$87:$H$111,0))*((INDEX('AST Bond Prices'!$AI$1:$BH$125,MATCH('Value of Debt (listed bonds)'!K$3,'AST Bond Prices'!$AI$1:$AI$125,0),MATCH('Value of Debt (listed bonds)'!$B154,'AST Bond Prices'!$AI$1:$BH$1,0))/100))</f>
        <v>0</v>
      </c>
      <c r="L154" s="171">
        <f>INDEX('AST Bonds'!$D$87:$D$111,MATCH('Value of Debt (listed bonds)'!$B154,'AST Bonds'!$H$87:$H$111,0))*((INDEX('AST Bond Prices'!$AI$1:$BH$125,MATCH('Value of Debt (listed bonds)'!L$3,'AST Bond Prices'!$AI$1:$AI$125,0),MATCH('Value of Debt (listed bonds)'!$B154,'AST Bond Prices'!$AI$1:$BH$1,0))/100))</f>
        <v>0</v>
      </c>
      <c r="M154" s="171">
        <f>INDEX('AST Bonds'!$D$87:$D$111,MATCH('Value of Debt (listed bonds)'!$B154,'AST Bonds'!$H$87:$H$111,0))*((INDEX('AST Bond Prices'!$AI$1:$BH$125,MATCH('Value of Debt (listed bonds)'!M$3,'AST Bond Prices'!$AI$1:$AI$125,0),MATCH('Value of Debt (listed bonds)'!$B154,'AST Bond Prices'!$AI$1:$BH$1,0))/100))</f>
        <v>0</v>
      </c>
      <c r="N154" s="171">
        <f>INDEX('AST Bonds'!$D$87:$D$111,MATCH('Value of Debt (listed bonds)'!$B154,'AST Bonds'!$H$87:$H$111,0))*((INDEX('AST Bond Prices'!$AI$1:$BH$125,MATCH('Value of Debt (listed bonds)'!N$3,'AST Bond Prices'!$AI$1:$AI$125,0),MATCH('Value of Debt (listed bonds)'!$B154,'AST Bond Prices'!$AI$1:$BH$1,0))/100))</f>
        <v>0</v>
      </c>
      <c r="O154" s="171" t="e">
        <f>INDEX('AST Bonds'!$D$87:$D$111,MATCH('Value of Debt (listed bonds)'!$B154,'AST Bonds'!$H$87:$H$111,0))*((INDEX('AST Bond Prices'!$AI$1:$BH$125,MATCH('Value of Debt (listed bonds)'!O$3,'AST Bond Prices'!$AI$1:$AI$125,0),MATCH('Value of Debt (listed bonds)'!$B154,'AST Bond Prices'!$AI$1:$BH$1,0))/100))</f>
        <v>#N/A</v>
      </c>
      <c r="P154" s="171" t="e">
        <f>INDEX('AST Bonds'!$D$87:$D$111,MATCH('Value of Debt (listed bonds)'!$B154,'AST Bonds'!$H$87:$H$111,0))*((INDEX('AST Bond Prices'!$AI$1:$BH$125,MATCH('Value of Debt (listed bonds)'!P$3,'AST Bond Prices'!$AI$1:$AI$125,0),MATCH('Value of Debt (listed bonds)'!$B154,'AST Bond Prices'!$AI$1:$BH$1,0))/100))</f>
        <v>#N/A</v>
      </c>
    </row>
    <row r="155" spans="2:18">
      <c r="B155" s="172" t="s">
        <v>331</v>
      </c>
      <c r="F155" s="171">
        <f>INDEX('AST Bonds'!$D$87:$D$111,MATCH('Value of Debt (listed bonds)'!$B155,'AST Bonds'!$H$87:$H$111,0))*((INDEX('AST Bond Prices'!$AI$1:$BH$125,MATCH('Value of Debt (listed bonds)'!F$3,'AST Bond Prices'!$AI$1:$AI$125,0),MATCH('Value of Debt (listed bonds)'!$B155,'AST Bond Prices'!$AI$1:$BH$1,0))/100))</f>
        <v>723159025.89312589</v>
      </c>
      <c r="G155" s="171">
        <f>INDEX('AST Bonds'!$D$87:$D$111,MATCH('Value of Debt (listed bonds)'!$B155,'AST Bonds'!$H$87:$H$111,0))*((INDEX('AST Bond Prices'!$AI$1:$BH$125,MATCH('Value of Debt (listed bonds)'!G$3,'AST Bond Prices'!$AI$1:$AI$125,0),MATCH('Value of Debt (listed bonds)'!$B155,'AST Bond Prices'!$AI$1:$BH$1,0))/100))</f>
        <v>734632469.20079589</v>
      </c>
      <c r="H155" s="171">
        <f>INDEX('AST Bonds'!$D$87:$D$111,MATCH('Value of Debt (listed bonds)'!$B155,'AST Bonds'!$H$87:$H$111,0))*((INDEX('AST Bond Prices'!$AI$1:$BH$125,MATCH('Value of Debt (listed bonds)'!H$3,'AST Bond Prices'!$AI$1:$AI$125,0),MATCH('Value of Debt (listed bonds)'!$B155,'AST Bond Prices'!$AI$1:$BH$1,0))/100))</f>
        <v>723392812.69497085</v>
      </c>
      <c r="I155" s="171">
        <f>INDEX('AST Bonds'!$D$87:$D$111,MATCH('Value of Debt (listed bonds)'!$B155,'AST Bonds'!$H$87:$H$111,0))*((INDEX('AST Bond Prices'!$AI$1:$BH$125,MATCH('Value of Debt (listed bonds)'!I$3,'AST Bond Prices'!$AI$1:$AI$125,0),MATCH('Value of Debt (listed bonds)'!$B155,'AST Bond Prices'!$AI$1:$BH$1,0))/100))</f>
        <v>720914482.72494709</v>
      </c>
      <c r="J155" s="171">
        <f>INDEX('AST Bonds'!$D$87:$D$111,MATCH('Value of Debt (listed bonds)'!$B155,'AST Bonds'!$H$87:$H$111,0))*((INDEX('AST Bond Prices'!$AI$1:$BH$125,MATCH('Value of Debt (listed bonds)'!J$3,'AST Bond Prices'!$AI$1:$AI$125,0),MATCH('Value of Debt (listed bonds)'!$B155,'AST Bond Prices'!$AI$1:$BH$1,0))/100))</f>
        <v>706532617.68004501</v>
      </c>
      <c r="K155" s="171">
        <f>INDEX('AST Bonds'!$D$87:$D$111,MATCH('Value of Debt (listed bonds)'!$B155,'AST Bonds'!$H$87:$H$111,0))*((INDEX('AST Bond Prices'!$AI$1:$BH$125,MATCH('Value of Debt (listed bonds)'!K$3,'AST Bond Prices'!$AI$1:$AI$125,0),MATCH('Value of Debt (listed bonds)'!$B155,'AST Bond Prices'!$AI$1:$BH$1,0))/100))</f>
        <v>0</v>
      </c>
      <c r="L155" s="171">
        <f>INDEX('AST Bonds'!$D$87:$D$111,MATCH('Value of Debt (listed bonds)'!$B155,'AST Bonds'!$H$87:$H$111,0))*((INDEX('AST Bond Prices'!$AI$1:$BH$125,MATCH('Value of Debt (listed bonds)'!L$3,'AST Bond Prices'!$AI$1:$AI$125,0),MATCH('Value of Debt (listed bonds)'!$B155,'AST Bond Prices'!$AI$1:$BH$1,0))/100))</f>
        <v>0</v>
      </c>
      <c r="M155" s="171">
        <f>INDEX('AST Bonds'!$D$87:$D$111,MATCH('Value of Debt (listed bonds)'!$B155,'AST Bonds'!$H$87:$H$111,0))*((INDEX('AST Bond Prices'!$AI$1:$BH$125,MATCH('Value of Debt (listed bonds)'!M$3,'AST Bond Prices'!$AI$1:$AI$125,0),MATCH('Value of Debt (listed bonds)'!$B155,'AST Bond Prices'!$AI$1:$BH$1,0))/100))</f>
        <v>0</v>
      </c>
      <c r="N155" s="171">
        <f>INDEX('AST Bonds'!$D$87:$D$111,MATCH('Value of Debt (listed bonds)'!$B155,'AST Bonds'!$H$87:$H$111,0))*((INDEX('AST Bond Prices'!$AI$1:$BH$125,MATCH('Value of Debt (listed bonds)'!N$3,'AST Bond Prices'!$AI$1:$AI$125,0),MATCH('Value of Debt (listed bonds)'!$B155,'AST Bond Prices'!$AI$1:$BH$1,0))/100))</f>
        <v>0</v>
      </c>
      <c r="O155" s="171" t="e">
        <f>INDEX('AST Bonds'!$D$87:$D$111,MATCH('Value of Debt (listed bonds)'!$B155,'AST Bonds'!$H$87:$H$111,0))*((INDEX('AST Bond Prices'!$AI$1:$BH$125,MATCH('Value of Debt (listed bonds)'!O$3,'AST Bond Prices'!$AI$1:$AI$125,0),MATCH('Value of Debt (listed bonds)'!$B155,'AST Bond Prices'!$AI$1:$BH$1,0))/100))</f>
        <v>#N/A</v>
      </c>
      <c r="P155" s="171" t="e">
        <f>INDEX('AST Bonds'!$D$87:$D$111,MATCH('Value of Debt (listed bonds)'!$B155,'AST Bonds'!$H$87:$H$111,0))*((INDEX('AST Bond Prices'!$AI$1:$BH$125,MATCH('Value of Debt (listed bonds)'!P$3,'AST Bond Prices'!$AI$1:$AI$125,0),MATCH('Value of Debt (listed bonds)'!$B155,'AST Bond Prices'!$AI$1:$BH$1,0))/100))</f>
        <v>#N/A</v>
      </c>
    </row>
    <row r="156" spans="2:18">
      <c r="B156" s="172" t="s">
        <v>332</v>
      </c>
      <c r="F156" s="171">
        <f>INDEX('AST Bonds'!$D$87:$D$111,MATCH('Value of Debt (listed bonds)'!$B156,'AST Bonds'!$H$87:$H$111,0))*((INDEX('AST Bond Prices'!$AI$1:$BH$125,MATCH('Value of Debt (listed bonds)'!F$3,'AST Bond Prices'!$AI$1:$AI$125,0),MATCH('Value of Debt (listed bonds)'!$B156,'AST Bond Prices'!$AI$1:$BH$1,0))/100))</f>
        <v>422052891.38587403</v>
      </c>
      <c r="G156" s="171">
        <f>INDEX('AST Bonds'!$D$87:$D$111,MATCH('Value of Debt (listed bonds)'!$B156,'AST Bonds'!$H$87:$H$111,0))*((INDEX('AST Bond Prices'!$AI$1:$BH$125,MATCH('Value of Debt (listed bonds)'!G$3,'AST Bond Prices'!$AI$1:$AI$125,0),MATCH('Value of Debt (listed bonds)'!$B156,'AST Bond Prices'!$AI$1:$BH$1,0))/100))</f>
        <v>410825040.65038407</v>
      </c>
      <c r="H156" s="171">
        <f>INDEX('AST Bonds'!$D$87:$D$111,MATCH('Value of Debt (listed bonds)'!$B156,'AST Bonds'!$H$87:$H$111,0))*((INDEX('AST Bond Prices'!$AI$1:$BH$125,MATCH('Value of Debt (listed bonds)'!H$3,'AST Bond Prices'!$AI$1:$AI$125,0),MATCH('Value of Debt (listed bonds)'!$B156,'AST Bond Prices'!$AI$1:$BH$1,0))/100))</f>
        <v>416177245.86912656</v>
      </c>
      <c r="I156" s="171">
        <f>INDEX('AST Bonds'!$D$87:$D$111,MATCH('Value of Debt (listed bonds)'!$B156,'AST Bonds'!$H$87:$H$111,0))*((INDEX('AST Bond Prices'!$AI$1:$BH$125,MATCH('Value of Debt (listed bonds)'!I$3,'AST Bond Prices'!$AI$1:$AI$125,0),MATCH('Value of Debt (listed bonds)'!$B156,'AST Bond Prices'!$AI$1:$BH$1,0))/100))</f>
        <v>402211574.24074256</v>
      </c>
      <c r="J156" s="171">
        <f>INDEX('AST Bonds'!$D$87:$D$111,MATCH('Value of Debt (listed bonds)'!$B156,'AST Bonds'!$H$87:$H$111,0))*((INDEX('AST Bond Prices'!$AI$1:$BH$125,MATCH('Value of Debt (listed bonds)'!J$3,'AST Bond Prices'!$AI$1:$AI$125,0),MATCH('Value of Debt (listed bonds)'!$B156,'AST Bond Prices'!$AI$1:$BH$1,0))/100))</f>
        <v>389994402.61067998</v>
      </c>
      <c r="K156" s="171">
        <f>INDEX('AST Bonds'!$D$87:$D$111,MATCH('Value of Debt (listed bonds)'!$B156,'AST Bonds'!$H$87:$H$111,0))*((INDEX('AST Bond Prices'!$AI$1:$BH$125,MATCH('Value of Debt (listed bonds)'!K$3,'AST Bond Prices'!$AI$1:$AI$125,0),MATCH('Value of Debt (listed bonds)'!$B156,'AST Bond Prices'!$AI$1:$BH$1,0))/100))</f>
        <v>376725745.90700001</v>
      </c>
      <c r="L156" s="171">
        <f>INDEX('AST Bonds'!$D$87:$D$111,MATCH('Value of Debt (listed bonds)'!$B156,'AST Bonds'!$H$87:$H$111,0))*((INDEX('AST Bond Prices'!$AI$1:$BH$125,MATCH('Value of Debt (listed bonds)'!L$3,'AST Bond Prices'!$AI$1:$AI$125,0),MATCH('Value of Debt (listed bonds)'!$B156,'AST Bond Prices'!$AI$1:$BH$1,0))/100))</f>
        <v>0</v>
      </c>
      <c r="M156" s="171">
        <f>INDEX('AST Bonds'!$D$87:$D$111,MATCH('Value of Debt (listed bonds)'!$B156,'AST Bonds'!$H$87:$H$111,0))*((INDEX('AST Bond Prices'!$AI$1:$BH$125,MATCH('Value of Debt (listed bonds)'!M$3,'AST Bond Prices'!$AI$1:$AI$125,0),MATCH('Value of Debt (listed bonds)'!$B156,'AST Bond Prices'!$AI$1:$BH$1,0))/100))</f>
        <v>0</v>
      </c>
      <c r="N156" s="171">
        <f>INDEX('AST Bonds'!$D$87:$D$111,MATCH('Value of Debt (listed bonds)'!$B156,'AST Bonds'!$H$87:$H$111,0))*((INDEX('AST Bond Prices'!$AI$1:$BH$125,MATCH('Value of Debt (listed bonds)'!N$3,'AST Bond Prices'!$AI$1:$AI$125,0),MATCH('Value of Debt (listed bonds)'!$B156,'AST Bond Prices'!$AI$1:$BH$1,0))/100))</f>
        <v>0</v>
      </c>
      <c r="O156" s="171" t="e">
        <f>INDEX('AST Bonds'!$D$87:$D$111,MATCH('Value of Debt (listed bonds)'!$B156,'AST Bonds'!$H$87:$H$111,0))*((INDEX('AST Bond Prices'!$AI$1:$BH$125,MATCH('Value of Debt (listed bonds)'!O$3,'AST Bond Prices'!$AI$1:$AI$125,0),MATCH('Value of Debt (listed bonds)'!$B156,'AST Bond Prices'!$AI$1:$BH$1,0))/100))</f>
        <v>#N/A</v>
      </c>
      <c r="P156" s="171" t="e">
        <f>INDEX('AST Bonds'!$D$87:$D$111,MATCH('Value of Debt (listed bonds)'!$B156,'AST Bonds'!$H$87:$H$111,0))*((INDEX('AST Bond Prices'!$AI$1:$BH$125,MATCH('Value of Debt (listed bonds)'!P$3,'AST Bond Prices'!$AI$1:$AI$125,0),MATCH('Value of Debt (listed bonds)'!$B156,'AST Bond Prices'!$AI$1:$BH$1,0))/100))</f>
        <v>#N/A</v>
      </c>
    </row>
    <row r="157" spans="2:18">
      <c r="B157" s="172" t="s">
        <v>333</v>
      </c>
      <c r="F157" s="171">
        <f>INDEX('AST Bonds'!$D$87:$D$111,MATCH('Value of Debt (listed bonds)'!$B157,'AST Bonds'!$H$87:$H$111,0))*((INDEX('AST Bond Prices'!$AI$1:$BH$125,MATCH('Value of Debt (listed bonds)'!F$3,'AST Bond Prices'!$AI$1:$AI$125,0),MATCH('Value of Debt (listed bonds)'!$B157,'AST Bond Prices'!$AI$1:$BH$1,0))/100))</f>
        <v>149568541.03998148</v>
      </c>
      <c r="G157" s="171">
        <f>INDEX('AST Bonds'!$D$87:$D$111,MATCH('Value of Debt (listed bonds)'!$B157,'AST Bonds'!$H$87:$H$111,0))*((INDEX('AST Bond Prices'!$AI$1:$BH$125,MATCH('Value of Debt (listed bonds)'!G$3,'AST Bond Prices'!$AI$1:$AI$125,0),MATCH('Value of Debt (listed bonds)'!$B157,'AST Bond Prices'!$AI$1:$BH$1,0))/100))</f>
        <v>158356090.5448719</v>
      </c>
      <c r="H157" s="171">
        <f>INDEX('AST Bonds'!$D$87:$D$111,MATCH('Value of Debt (listed bonds)'!$B157,'AST Bonds'!$H$87:$H$111,0))*((INDEX('AST Bond Prices'!$AI$1:$BH$125,MATCH('Value of Debt (listed bonds)'!H$3,'AST Bond Prices'!$AI$1:$AI$125,0),MATCH('Value of Debt (listed bonds)'!$B157,'AST Bond Prices'!$AI$1:$BH$1,0))/100))</f>
        <v>151192709.28590673</v>
      </c>
      <c r="I157" s="171">
        <f>INDEX('AST Bonds'!$D$87:$D$111,MATCH('Value of Debt (listed bonds)'!$B157,'AST Bonds'!$H$87:$H$111,0))*((INDEX('AST Bond Prices'!$AI$1:$BH$125,MATCH('Value of Debt (listed bonds)'!I$3,'AST Bond Prices'!$AI$1:$AI$125,0),MATCH('Value of Debt (listed bonds)'!$B157,'AST Bond Prices'!$AI$1:$BH$1,0))/100))</f>
        <v>146739242.5390262</v>
      </c>
      <c r="J157" s="171">
        <f>INDEX('AST Bonds'!$D$87:$D$111,MATCH('Value of Debt (listed bonds)'!$B157,'AST Bonds'!$H$87:$H$111,0))*((INDEX('AST Bond Prices'!$AI$1:$BH$125,MATCH('Value of Debt (listed bonds)'!J$3,'AST Bond Prices'!$AI$1:$AI$125,0),MATCH('Value of Debt (listed bonds)'!$B157,'AST Bond Prices'!$AI$1:$BH$1,0))/100))</f>
        <v>144026119.07172501</v>
      </c>
      <c r="K157" s="171">
        <f>INDEX('AST Bonds'!$D$87:$D$111,MATCH('Value of Debt (listed bonds)'!$B157,'AST Bonds'!$H$87:$H$111,0))*((INDEX('AST Bond Prices'!$AI$1:$BH$125,MATCH('Value of Debt (listed bonds)'!K$3,'AST Bond Prices'!$AI$1:$AI$125,0),MATCH('Value of Debt (listed bonds)'!$B157,'AST Bond Prices'!$AI$1:$BH$1,0))/100))</f>
        <v>138639551.91993502</v>
      </c>
      <c r="L157" s="171">
        <f>INDEX('AST Bonds'!$D$87:$D$111,MATCH('Value of Debt (listed bonds)'!$B157,'AST Bonds'!$H$87:$H$111,0))*((INDEX('AST Bond Prices'!$AI$1:$BH$125,MATCH('Value of Debt (listed bonds)'!L$3,'AST Bond Prices'!$AI$1:$AI$125,0),MATCH('Value of Debt (listed bonds)'!$B157,'AST Bond Prices'!$AI$1:$BH$1,0))/100))</f>
        <v>0</v>
      </c>
      <c r="M157" s="171">
        <f>INDEX('AST Bonds'!$D$87:$D$111,MATCH('Value of Debt (listed bonds)'!$B157,'AST Bonds'!$H$87:$H$111,0))*((INDEX('AST Bond Prices'!$AI$1:$BH$125,MATCH('Value of Debt (listed bonds)'!M$3,'AST Bond Prices'!$AI$1:$AI$125,0),MATCH('Value of Debt (listed bonds)'!$B157,'AST Bond Prices'!$AI$1:$BH$1,0))/100))</f>
        <v>0</v>
      </c>
      <c r="N157" s="171">
        <f>INDEX('AST Bonds'!$D$87:$D$111,MATCH('Value of Debt (listed bonds)'!$B157,'AST Bonds'!$H$87:$H$111,0))*((INDEX('AST Bond Prices'!$AI$1:$BH$125,MATCH('Value of Debt (listed bonds)'!N$3,'AST Bond Prices'!$AI$1:$AI$125,0),MATCH('Value of Debt (listed bonds)'!$B157,'AST Bond Prices'!$AI$1:$BH$1,0))/100))</f>
        <v>0</v>
      </c>
      <c r="O157" s="171" t="e">
        <f>INDEX('AST Bonds'!$D$87:$D$111,MATCH('Value of Debt (listed bonds)'!$B157,'AST Bonds'!$H$87:$H$111,0))*((INDEX('AST Bond Prices'!$AI$1:$BH$125,MATCH('Value of Debt (listed bonds)'!O$3,'AST Bond Prices'!$AI$1:$AI$125,0),MATCH('Value of Debt (listed bonds)'!$B157,'AST Bond Prices'!$AI$1:$BH$1,0))/100))</f>
        <v>#N/A</v>
      </c>
      <c r="P157" s="171" t="e">
        <f>INDEX('AST Bonds'!$D$87:$D$111,MATCH('Value of Debt (listed bonds)'!$B157,'AST Bonds'!$H$87:$H$111,0))*((INDEX('AST Bond Prices'!$AI$1:$BH$125,MATCH('Value of Debt (listed bonds)'!P$3,'AST Bond Prices'!$AI$1:$AI$125,0),MATCH('Value of Debt (listed bonds)'!$B157,'AST Bond Prices'!$AI$1:$BH$1,0))/100))</f>
        <v>#N/A</v>
      </c>
    </row>
    <row r="158" spans="2:18">
      <c r="B158" s="172" t="s">
        <v>231</v>
      </c>
      <c r="F158" s="171">
        <f>INDEX('AST Bonds'!$D$87:$D$111,MATCH('Value of Debt (listed bonds)'!$B158,'AST Bonds'!$H$87:$H$111,0))*((INDEX('AST Bond Prices'!$AI$1:$BH$125,MATCH('Value of Debt (listed bonds)'!F$3,'AST Bond Prices'!$AI$1:$AI$125,0),MATCH('Value of Debt (listed bonds)'!$B158,'AST Bond Prices'!$AI$1:$BH$1,0))/100))</f>
        <v>0</v>
      </c>
      <c r="G158" s="171">
        <f>INDEX('AST Bonds'!$D$87:$D$111,MATCH('Value of Debt (listed bonds)'!$B158,'AST Bonds'!$H$87:$H$111,0))*((INDEX('AST Bond Prices'!$AI$1:$BH$125,MATCH('Value of Debt (listed bonds)'!G$3,'AST Bond Prices'!$AI$1:$AI$125,0),MATCH('Value of Debt (listed bonds)'!$B158,'AST Bond Prices'!$AI$1:$BH$1,0))/100))</f>
        <v>0</v>
      </c>
      <c r="H158" s="171">
        <f>INDEX('AST Bonds'!$D$87:$D$111,MATCH('Value of Debt (listed bonds)'!$B158,'AST Bonds'!$H$87:$H$111,0))*((INDEX('AST Bond Prices'!$AI$1:$BH$125,MATCH('Value of Debt (listed bonds)'!H$3,'AST Bond Prices'!$AI$1:$AI$125,0),MATCH('Value of Debt (listed bonds)'!$B158,'AST Bond Prices'!$AI$1:$BH$1,0))/100))</f>
        <v>0</v>
      </c>
      <c r="I158" s="171">
        <f>INDEX('AST Bonds'!$D$87:$D$111,MATCH('Value of Debt (listed bonds)'!$B158,'AST Bonds'!$H$87:$H$111,0))*((INDEX('AST Bond Prices'!$AI$1:$BH$125,MATCH('Value of Debt (listed bonds)'!I$3,'AST Bond Prices'!$AI$1:$AI$125,0),MATCH('Value of Debt (listed bonds)'!$B158,'AST Bond Prices'!$AI$1:$BH$1,0))/100))</f>
        <v>0</v>
      </c>
      <c r="J158" s="171">
        <f>INDEX('AST Bonds'!$D$87:$D$111,MATCH('Value of Debt (listed bonds)'!$B158,'AST Bonds'!$H$87:$H$111,0))*((INDEX('AST Bond Prices'!$AI$1:$BH$125,MATCH('Value of Debt (listed bonds)'!J$3,'AST Bond Prices'!$AI$1:$AI$125,0),MATCH('Value of Debt (listed bonds)'!$B158,'AST Bond Prices'!$AI$1:$BH$1,0))/100))</f>
        <v>0</v>
      </c>
      <c r="K158" s="171">
        <f>INDEX('AST Bonds'!$D$87:$D$111,MATCH('Value of Debt (listed bonds)'!$B158,'AST Bonds'!$H$87:$H$111,0))*((INDEX('AST Bond Prices'!$AI$1:$BH$125,MATCH('Value of Debt (listed bonds)'!K$3,'AST Bond Prices'!$AI$1:$AI$125,0),MATCH('Value of Debt (listed bonds)'!$B158,'AST Bond Prices'!$AI$1:$BH$1,0))/100))</f>
        <v>0</v>
      </c>
      <c r="L158" s="171">
        <f>INDEX('AST Bonds'!$D$87:$D$111,MATCH('Value of Debt (listed bonds)'!$B158,'AST Bonds'!$H$87:$H$111,0))*((INDEX('AST Bond Prices'!$AI$1:$BH$125,MATCH('Value of Debt (listed bonds)'!L$3,'AST Bond Prices'!$AI$1:$AI$125,0),MATCH('Value of Debt (listed bonds)'!$B158,'AST Bond Prices'!$AI$1:$BH$1,0))/100))</f>
        <v>0</v>
      </c>
      <c r="M158" s="171">
        <f>INDEX('AST Bonds'!$D$87:$D$111,MATCH('Value of Debt (listed bonds)'!$B158,'AST Bonds'!$H$87:$H$111,0))*((INDEX('AST Bond Prices'!$AI$1:$BH$125,MATCH('Value of Debt (listed bonds)'!M$3,'AST Bond Prices'!$AI$1:$AI$125,0),MATCH('Value of Debt (listed bonds)'!$B158,'AST Bond Prices'!$AI$1:$BH$1,0))/100))</f>
        <v>0</v>
      </c>
      <c r="N158" s="171">
        <f>INDEX('AST Bonds'!$D$87:$D$111,MATCH('Value of Debt (listed bonds)'!$B158,'AST Bonds'!$H$87:$H$111,0))*((INDEX('AST Bond Prices'!$AI$1:$BH$125,MATCH('Value of Debt (listed bonds)'!N$3,'AST Bond Prices'!$AI$1:$AI$125,0),MATCH('Value of Debt (listed bonds)'!$B158,'AST Bond Prices'!$AI$1:$BH$1,0))/100))</f>
        <v>0</v>
      </c>
      <c r="O158" s="171" t="e">
        <f>INDEX('AST Bonds'!$D$87:$D$111,MATCH('Value of Debt (listed bonds)'!$B158,'AST Bonds'!$H$87:$H$111,0))*((INDEX('AST Bond Prices'!$AI$1:$BH$125,MATCH('Value of Debt (listed bonds)'!O$3,'AST Bond Prices'!$AI$1:$AI$125,0),MATCH('Value of Debt (listed bonds)'!$B158,'AST Bond Prices'!$AI$1:$BH$1,0))/100))</f>
        <v>#N/A</v>
      </c>
      <c r="P158" s="171" t="e">
        <f>INDEX('AST Bonds'!$D$87:$D$111,MATCH('Value of Debt (listed bonds)'!$B158,'AST Bonds'!$H$87:$H$111,0))*((INDEX('AST Bond Prices'!$AI$1:$BH$125,MATCH('Value of Debt (listed bonds)'!P$3,'AST Bond Prices'!$AI$1:$AI$125,0),MATCH('Value of Debt (listed bonds)'!$B158,'AST Bond Prices'!$AI$1:$BH$1,0))/100))</f>
        <v>#N/A</v>
      </c>
    </row>
    <row r="159" spans="2:18">
      <c r="B159" s="172" t="s">
        <v>334</v>
      </c>
      <c r="F159" s="171">
        <f>INDEX('AST Bonds'!$D$87:$D$111,MATCH('Value of Debt (listed bonds)'!$B159,'AST Bonds'!$H$87:$H$111,0))*((INDEX('AST Bond Prices'!$AI$1:$BH$125,MATCH('Value of Debt (listed bonds)'!F$3,'AST Bond Prices'!$AI$1:$AI$125,0),MATCH('Value of Debt (listed bonds)'!$B159,'AST Bond Prices'!$AI$1:$BH$1,0))/100))</f>
        <v>149568541.03998148</v>
      </c>
      <c r="G159" s="171">
        <f>INDEX('AST Bonds'!$D$87:$D$111,MATCH('Value of Debt (listed bonds)'!$B159,'AST Bonds'!$H$87:$H$111,0))*((INDEX('AST Bond Prices'!$AI$1:$BH$125,MATCH('Value of Debt (listed bonds)'!G$3,'AST Bond Prices'!$AI$1:$AI$125,0),MATCH('Value of Debt (listed bonds)'!$B159,'AST Bond Prices'!$AI$1:$BH$1,0))/100))</f>
        <v>158356090.5448719</v>
      </c>
      <c r="H159" s="171">
        <f>INDEX('AST Bonds'!$D$87:$D$111,MATCH('Value of Debt (listed bonds)'!$B159,'AST Bonds'!$H$87:$H$111,0))*((INDEX('AST Bond Prices'!$AI$1:$BH$125,MATCH('Value of Debt (listed bonds)'!H$3,'AST Bond Prices'!$AI$1:$AI$125,0),MATCH('Value of Debt (listed bonds)'!$B159,'AST Bond Prices'!$AI$1:$BH$1,0))/100))</f>
        <v>151192709.28590673</v>
      </c>
      <c r="I159" s="171">
        <f>INDEX('AST Bonds'!$D$87:$D$111,MATCH('Value of Debt (listed bonds)'!$B159,'AST Bonds'!$H$87:$H$111,0))*((INDEX('AST Bond Prices'!$AI$1:$BH$125,MATCH('Value of Debt (listed bonds)'!I$3,'AST Bond Prices'!$AI$1:$AI$125,0),MATCH('Value of Debt (listed bonds)'!$B159,'AST Bond Prices'!$AI$1:$BH$1,0))/100))</f>
        <v>146739242.5390262</v>
      </c>
      <c r="J159" s="171">
        <f>INDEX('AST Bonds'!$D$87:$D$111,MATCH('Value of Debt (listed bonds)'!$B159,'AST Bonds'!$H$87:$H$111,0))*((INDEX('AST Bond Prices'!$AI$1:$BH$125,MATCH('Value of Debt (listed bonds)'!J$3,'AST Bond Prices'!$AI$1:$AI$125,0),MATCH('Value of Debt (listed bonds)'!$B159,'AST Bond Prices'!$AI$1:$BH$1,0))/100))</f>
        <v>144026119.07172501</v>
      </c>
      <c r="K159" s="171">
        <f>INDEX('AST Bonds'!$D$87:$D$111,MATCH('Value of Debt (listed bonds)'!$B159,'AST Bonds'!$H$87:$H$111,0))*((INDEX('AST Bond Prices'!$AI$1:$BH$125,MATCH('Value of Debt (listed bonds)'!K$3,'AST Bond Prices'!$AI$1:$AI$125,0),MATCH('Value of Debt (listed bonds)'!$B159,'AST Bond Prices'!$AI$1:$BH$1,0))/100))</f>
        <v>138639551.91993502</v>
      </c>
      <c r="L159" s="171">
        <f>INDEX('AST Bonds'!$D$87:$D$111,MATCH('Value of Debt (listed bonds)'!$B159,'AST Bonds'!$H$87:$H$111,0))*((INDEX('AST Bond Prices'!$AI$1:$BH$125,MATCH('Value of Debt (listed bonds)'!L$3,'AST Bond Prices'!$AI$1:$AI$125,0),MATCH('Value of Debt (listed bonds)'!$B159,'AST Bond Prices'!$AI$1:$BH$1,0))/100))</f>
        <v>0</v>
      </c>
      <c r="M159" s="171">
        <f>INDEX('AST Bonds'!$D$87:$D$111,MATCH('Value of Debt (listed bonds)'!$B159,'AST Bonds'!$H$87:$H$111,0))*((INDEX('AST Bond Prices'!$AI$1:$BH$125,MATCH('Value of Debt (listed bonds)'!M$3,'AST Bond Prices'!$AI$1:$AI$125,0),MATCH('Value of Debt (listed bonds)'!$B159,'AST Bond Prices'!$AI$1:$BH$1,0))/100))</f>
        <v>0</v>
      </c>
      <c r="N159" s="171">
        <f>INDEX('AST Bonds'!$D$87:$D$111,MATCH('Value of Debt (listed bonds)'!$B159,'AST Bonds'!$H$87:$H$111,0))*((INDEX('AST Bond Prices'!$AI$1:$BH$125,MATCH('Value of Debt (listed bonds)'!N$3,'AST Bond Prices'!$AI$1:$AI$125,0),MATCH('Value of Debt (listed bonds)'!$B159,'AST Bond Prices'!$AI$1:$BH$1,0))/100))</f>
        <v>0</v>
      </c>
      <c r="O159" s="171" t="e">
        <f>INDEX('AST Bonds'!$D$87:$D$111,MATCH('Value of Debt (listed bonds)'!$B159,'AST Bonds'!$H$87:$H$111,0))*((INDEX('AST Bond Prices'!$AI$1:$BH$125,MATCH('Value of Debt (listed bonds)'!O$3,'AST Bond Prices'!$AI$1:$AI$125,0),MATCH('Value of Debt (listed bonds)'!$B159,'AST Bond Prices'!$AI$1:$BH$1,0))/100))</f>
        <v>#N/A</v>
      </c>
      <c r="P159" s="171" t="e">
        <f>INDEX('AST Bonds'!$D$87:$D$111,MATCH('Value of Debt (listed bonds)'!$B159,'AST Bonds'!$H$87:$H$111,0))*((INDEX('AST Bond Prices'!$AI$1:$BH$125,MATCH('Value of Debt (listed bonds)'!P$3,'AST Bond Prices'!$AI$1:$AI$125,0),MATCH('Value of Debt (listed bonds)'!$B159,'AST Bond Prices'!$AI$1:$BH$1,0))/100))</f>
        <v>#N/A</v>
      </c>
    </row>
    <row r="160" spans="2:18">
      <c r="B160" s="172" t="s">
        <v>335</v>
      </c>
      <c r="F160" s="171">
        <f>INDEX('AST Bonds'!$D$87:$D$111,MATCH('Value of Debt (listed bonds)'!$B160,'AST Bonds'!$H$87:$H$111,0))*((INDEX('AST Bond Prices'!$AI$1:$BH$125,MATCH('Value of Debt (listed bonds)'!F$3,'AST Bond Prices'!$AI$1:$AI$125,0),MATCH('Value of Debt (listed bonds)'!$B160,'AST Bond Prices'!$AI$1:$BH$1,0))/100))</f>
        <v>0</v>
      </c>
      <c r="G160" s="171">
        <f>INDEX('AST Bonds'!$D$87:$D$111,MATCH('Value of Debt (listed bonds)'!$B160,'AST Bonds'!$H$87:$H$111,0))*((INDEX('AST Bond Prices'!$AI$1:$BH$125,MATCH('Value of Debt (listed bonds)'!G$3,'AST Bond Prices'!$AI$1:$AI$125,0),MATCH('Value of Debt (listed bonds)'!$B160,'AST Bond Prices'!$AI$1:$BH$1,0))/100))</f>
        <v>376434784.38969511</v>
      </c>
      <c r="H160" s="171">
        <f>INDEX('AST Bonds'!$D$87:$D$111,MATCH('Value of Debt (listed bonds)'!$B160,'AST Bonds'!$H$87:$H$111,0))*((INDEX('AST Bond Prices'!$AI$1:$BH$125,MATCH('Value of Debt (listed bonds)'!H$3,'AST Bond Prices'!$AI$1:$AI$125,0),MATCH('Value of Debt (listed bonds)'!$B160,'AST Bond Prices'!$AI$1:$BH$1,0))/100))</f>
        <v>371874010.66244376</v>
      </c>
      <c r="I160" s="171">
        <f>INDEX('AST Bonds'!$D$87:$D$111,MATCH('Value of Debt (listed bonds)'!$B160,'AST Bonds'!$H$87:$H$111,0))*((INDEX('AST Bond Prices'!$AI$1:$BH$125,MATCH('Value of Debt (listed bonds)'!I$3,'AST Bond Prices'!$AI$1:$AI$125,0),MATCH('Value of Debt (listed bonds)'!$B160,'AST Bond Prices'!$AI$1:$BH$1,0))/100))</f>
        <v>377813843.56586307</v>
      </c>
      <c r="J160" s="171">
        <f>INDEX('AST Bonds'!$D$87:$D$111,MATCH('Value of Debt (listed bonds)'!$B160,'AST Bonds'!$H$87:$H$111,0))*((INDEX('AST Bond Prices'!$AI$1:$BH$125,MATCH('Value of Debt (listed bonds)'!J$3,'AST Bond Prices'!$AI$1:$AI$125,0),MATCH('Value of Debt (listed bonds)'!$B160,'AST Bond Prices'!$AI$1:$BH$1,0))/100))</f>
        <v>378410358.83253998</v>
      </c>
      <c r="K160" s="171">
        <f>INDEX('AST Bonds'!$D$87:$D$111,MATCH('Value of Debt (listed bonds)'!$B160,'AST Bonds'!$H$87:$H$111,0))*((INDEX('AST Bond Prices'!$AI$1:$BH$125,MATCH('Value of Debt (listed bonds)'!K$3,'AST Bond Prices'!$AI$1:$AI$125,0),MATCH('Value of Debt (listed bonds)'!$B160,'AST Bond Prices'!$AI$1:$BH$1,0))/100))</f>
        <v>374248383.40688002</v>
      </c>
      <c r="L160" s="171">
        <f>INDEX('AST Bonds'!$D$87:$D$111,MATCH('Value of Debt (listed bonds)'!$B160,'AST Bonds'!$H$87:$H$111,0))*((INDEX('AST Bond Prices'!$AI$1:$BH$125,MATCH('Value of Debt (listed bonds)'!L$3,'AST Bond Prices'!$AI$1:$AI$125,0),MATCH('Value of Debt (listed bonds)'!$B160,'AST Bond Prices'!$AI$1:$BH$1,0))/100))</f>
        <v>0</v>
      </c>
      <c r="M160" s="171">
        <f>INDEX('AST Bonds'!$D$87:$D$111,MATCH('Value of Debt (listed bonds)'!$B160,'AST Bonds'!$H$87:$H$111,0))*((INDEX('AST Bond Prices'!$AI$1:$BH$125,MATCH('Value of Debt (listed bonds)'!M$3,'AST Bond Prices'!$AI$1:$AI$125,0),MATCH('Value of Debt (listed bonds)'!$B160,'AST Bond Prices'!$AI$1:$BH$1,0))/100))</f>
        <v>0</v>
      </c>
      <c r="N160" s="171">
        <f>INDEX('AST Bonds'!$D$87:$D$111,MATCH('Value of Debt (listed bonds)'!$B160,'AST Bonds'!$H$87:$H$111,0))*((INDEX('AST Bond Prices'!$AI$1:$BH$125,MATCH('Value of Debt (listed bonds)'!N$3,'AST Bond Prices'!$AI$1:$AI$125,0),MATCH('Value of Debt (listed bonds)'!$B160,'AST Bond Prices'!$AI$1:$BH$1,0))/100))</f>
        <v>0</v>
      </c>
      <c r="O160" s="171" t="e">
        <f>INDEX('AST Bonds'!$D$87:$D$111,MATCH('Value of Debt (listed bonds)'!$B160,'AST Bonds'!$H$87:$H$111,0))*((INDEX('AST Bond Prices'!$AI$1:$BH$125,MATCH('Value of Debt (listed bonds)'!O$3,'AST Bond Prices'!$AI$1:$AI$125,0),MATCH('Value of Debt (listed bonds)'!$B160,'AST Bond Prices'!$AI$1:$BH$1,0))/100))</f>
        <v>#N/A</v>
      </c>
      <c r="P160" s="171" t="e">
        <f>INDEX('AST Bonds'!$D$87:$D$111,MATCH('Value of Debt (listed bonds)'!$B160,'AST Bonds'!$H$87:$H$111,0))*((INDEX('AST Bond Prices'!$AI$1:$BH$125,MATCH('Value of Debt (listed bonds)'!P$3,'AST Bond Prices'!$AI$1:$AI$125,0),MATCH('Value of Debt (listed bonds)'!$B160,'AST Bond Prices'!$AI$1:$BH$1,0))/100))</f>
        <v>#N/A</v>
      </c>
    </row>
    <row r="161" spans="2:18">
      <c r="B161" s="172" t="s">
        <v>232</v>
      </c>
      <c r="F161" s="171">
        <f>INDEX('AST Bonds'!$D$87:$D$111,MATCH('Value of Debt (listed bonds)'!$B161,'AST Bonds'!$H$87:$H$111,0))*((INDEX('AST Bond Prices'!$AI$1:$BH$125,MATCH('Value of Debt (listed bonds)'!F$3,'AST Bond Prices'!$AI$1:$AI$125,0),MATCH('Value of Debt (listed bonds)'!$B161,'AST Bond Prices'!$AI$1:$BH$1,0))/100))</f>
        <v>0</v>
      </c>
      <c r="G161" s="171">
        <f>INDEX('AST Bonds'!$D$87:$D$111,MATCH('Value of Debt (listed bonds)'!$B161,'AST Bonds'!$H$87:$H$111,0))*((INDEX('AST Bond Prices'!$AI$1:$BH$125,MATCH('Value of Debt (listed bonds)'!G$3,'AST Bond Prices'!$AI$1:$AI$125,0),MATCH('Value of Debt (listed bonds)'!$B161,'AST Bond Prices'!$AI$1:$BH$1,0))/100))</f>
        <v>0</v>
      </c>
      <c r="H161" s="171">
        <f>INDEX('AST Bonds'!$D$87:$D$111,MATCH('Value of Debt (listed bonds)'!$B161,'AST Bonds'!$H$87:$H$111,0))*((INDEX('AST Bond Prices'!$AI$1:$BH$125,MATCH('Value of Debt (listed bonds)'!H$3,'AST Bond Prices'!$AI$1:$AI$125,0),MATCH('Value of Debt (listed bonds)'!$B161,'AST Bond Prices'!$AI$1:$BH$1,0))/100))</f>
        <v>0</v>
      </c>
      <c r="I161" s="171">
        <f>INDEX('AST Bonds'!$D$87:$D$111,MATCH('Value of Debt (listed bonds)'!$B161,'AST Bonds'!$H$87:$H$111,0))*((INDEX('AST Bond Prices'!$AI$1:$BH$125,MATCH('Value of Debt (listed bonds)'!I$3,'AST Bond Prices'!$AI$1:$AI$125,0),MATCH('Value of Debt (listed bonds)'!$B161,'AST Bond Prices'!$AI$1:$BH$1,0))/100))</f>
        <v>0</v>
      </c>
      <c r="J161" s="171">
        <f>INDEX('AST Bonds'!$D$87:$D$111,MATCH('Value of Debt (listed bonds)'!$B161,'AST Bonds'!$H$87:$H$111,0))*((INDEX('AST Bond Prices'!$AI$1:$BH$125,MATCH('Value of Debt (listed bonds)'!J$3,'AST Bond Prices'!$AI$1:$AI$125,0),MATCH('Value of Debt (listed bonds)'!$B161,'AST Bond Prices'!$AI$1:$BH$1,0))/100))</f>
        <v>0</v>
      </c>
      <c r="K161" s="171">
        <f>INDEX('AST Bonds'!$D$87:$D$111,MATCH('Value of Debt (listed bonds)'!$B161,'AST Bonds'!$H$87:$H$111,0))*((INDEX('AST Bond Prices'!$AI$1:$BH$125,MATCH('Value of Debt (listed bonds)'!K$3,'AST Bond Prices'!$AI$1:$AI$125,0),MATCH('Value of Debt (listed bonds)'!$B161,'AST Bond Prices'!$AI$1:$BH$1,0))/100))</f>
        <v>0</v>
      </c>
      <c r="L161" s="171">
        <f>INDEX('AST Bonds'!$D$87:$D$111,MATCH('Value of Debt (listed bonds)'!$B161,'AST Bonds'!$H$87:$H$111,0))*((INDEX('AST Bond Prices'!$AI$1:$BH$125,MATCH('Value of Debt (listed bonds)'!L$3,'AST Bond Prices'!$AI$1:$AI$125,0),MATCH('Value of Debt (listed bonds)'!$B161,'AST Bond Prices'!$AI$1:$BH$1,0))/100))</f>
        <v>0</v>
      </c>
      <c r="M161" s="171">
        <f>INDEX('AST Bonds'!$D$87:$D$111,MATCH('Value of Debt (listed bonds)'!$B161,'AST Bonds'!$H$87:$H$111,0))*((INDEX('AST Bond Prices'!$AI$1:$BH$125,MATCH('Value of Debt (listed bonds)'!M$3,'AST Bond Prices'!$AI$1:$AI$125,0),MATCH('Value of Debt (listed bonds)'!$B161,'AST Bond Prices'!$AI$1:$BH$1,0))/100))</f>
        <v>0</v>
      </c>
      <c r="N161" s="171">
        <f>INDEX('AST Bonds'!$D$87:$D$111,MATCH('Value of Debt (listed bonds)'!$B161,'AST Bonds'!$H$87:$H$111,0))*((INDEX('AST Bond Prices'!$AI$1:$BH$125,MATCH('Value of Debt (listed bonds)'!N$3,'AST Bond Prices'!$AI$1:$AI$125,0),MATCH('Value of Debt (listed bonds)'!$B161,'AST Bond Prices'!$AI$1:$BH$1,0))/100))</f>
        <v>0</v>
      </c>
      <c r="O161" s="171" t="e">
        <f>INDEX('AST Bonds'!$D$87:$D$111,MATCH('Value of Debt (listed bonds)'!$B161,'AST Bonds'!$H$87:$H$111,0))*((INDEX('AST Bond Prices'!$AI$1:$BH$125,MATCH('Value of Debt (listed bonds)'!O$3,'AST Bond Prices'!$AI$1:$AI$125,0),MATCH('Value of Debt (listed bonds)'!$B161,'AST Bond Prices'!$AI$1:$BH$1,0))/100))</f>
        <v>#N/A</v>
      </c>
      <c r="P161" s="171" t="e">
        <f>INDEX('AST Bonds'!$D$87:$D$111,MATCH('Value of Debt (listed bonds)'!$B161,'AST Bonds'!$H$87:$H$111,0))*((INDEX('AST Bond Prices'!$AI$1:$BH$125,MATCH('Value of Debt (listed bonds)'!P$3,'AST Bond Prices'!$AI$1:$AI$125,0),MATCH('Value of Debt (listed bonds)'!$B161,'AST Bond Prices'!$AI$1:$BH$1,0))/100))</f>
        <v>#N/A</v>
      </c>
    </row>
    <row r="162" spans="2:18">
      <c r="B162" s="172" t="s">
        <v>336</v>
      </c>
      <c r="F162" s="171">
        <f>INDEX('AST Bonds'!$D$87:$D$111,MATCH('Value of Debt (listed bonds)'!$B162,'AST Bonds'!$H$87:$H$111,0))*((INDEX('AST Bond Prices'!$AI$1:$BH$125,MATCH('Value of Debt (listed bonds)'!F$3,'AST Bond Prices'!$AI$1:$AI$125,0),MATCH('Value of Debt (listed bonds)'!$B162,'AST Bond Prices'!$AI$1:$BH$1,0))/100))</f>
        <v>527718108.58443201</v>
      </c>
      <c r="G162" s="171">
        <f>INDEX('AST Bonds'!$D$87:$D$111,MATCH('Value of Debt (listed bonds)'!$B162,'AST Bonds'!$H$87:$H$111,0))*((INDEX('AST Bond Prices'!$AI$1:$BH$125,MATCH('Value of Debt (listed bonds)'!G$3,'AST Bond Prices'!$AI$1:$AI$125,0),MATCH('Value of Debt (listed bonds)'!$B162,'AST Bond Prices'!$AI$1:$BH$1,0))/100))</f>
        <v>554712612.5437156</v>
      </c>
      <c r="H162" s="171">
        <f>INDEX('AST Bonds'!$D$87:$D$111,MATCH('Value of Debt (listed bonds)'!$B162,'AST Bonds'!$H$87:$H$111,0))*((INDEX('AST Bond Prices'!$AI$1:$BH$125,MATCH('Value of Debt (listed bonds)'!H$3,'AST Bond Prices'!$AI$1:$AI$125,0),MATCH('Value of Debt (listed bonds)'!$B162,'AST Bond Prices'!$AI$1:$BH$1,0))/100))</f>
        <v>554669967.75059688</v>
      </c>
      <c r="I162" s="171">
        <f>INDEX('AST Bonds'!$D$87:$D$111,MATCH('Value of Debt (listed bonds)'!$B162,'AST Bonds'!$H$87:$H$111,0))*((INDEX('AST Bond Prices'!$AI$1:$BH$125,MATCH('Value of Debt (listed bonds)'!I$3,'AST Bond Prices'!$AI$1:$AI$125,0),MATCH('Value of Debt (listed bonds)'!$B162,'AST Bond Prices'!$AI$1:$BH$1,0))/100))</f>
        <v>521302776.81981081</v>
      </c>
      <c r="J162" s="171">
        <f>INDEX('AST Bonds'!$D$87:$D$111,MATCH('Value of Debt (listed bonds)'!$B162,'AST Bonds'!$H$87:$H$111,0))*((INDEX('AST Bond Prices'!$AI$1:$BH$125,MATCH('Value of Debt (listed bonds)'!J$3,'AST Bond Prices'!$AI$1:$AI$125,0),MATCH('Value of Debt (listed bonds)'!$B162,'AST Bond Prices'!$AI$1:$BH$1,0))/100))</f>
        <v>515171621.05612504</v>
      </c>
      <c r="K162" s="171">
        <f>INDEX('AST Bonds'!$D$87:$D$111,MATCH('Value of Debt (listed bonds)'!$B162,'AST Bonds'!$H$87:$H$111,0))*((INDEX('AST Bond Prices'!$AI$1:$BH$125,MATCH('Value of Debt (listed bonds)'!K$3,'AST Bond Prices'!$AI$1:$AI$125,0),MATCH('Value of Debt (listed bonds)'!$B162,'AST Bond Prices'!$AI$1:$BH$1,0))/100))</f>
        <v>498357747.22816497</v>
      </c>
      <c r="L162" s="171">
        <f>INDEX('AST Bonds'!$D$87:$D$111,MATCH('Value of Debt (listed bonds)'!$B162,'AST Bonds'!$H$87:$H$111,0))*((INDEX('AST Bond Prices'!$AI$1:$BH$125,MATCH('Value of Debt (listed bonds)'!L$3,'AST Bond Prices'!$AI$1:$AI$125,0),MATCH('Value of Debt (listed bonds)'!$B162,'AST Bond Prices'!$AI$1:$BH$1,0))/100))</f>
        <v>474837165.45655501</v>
      </c>
      <c r="M162" s="171">
        <f>INDEX('AST Bonds'!$D$87:$D$111,MATCH('Value of Debt (listed bonds)'!$B162,'AST Bonds'!$H$87:$H$111,0))*((INDEX('AST Bond Prices'!$AI$1:$BH$125,MATCH('Value of Debt (listed bonds)'!M$3,'AST Bond Prices'!$AI$1:$AI$125,0),MATCH('Value of Debt (listed bonds)'!$B162,'AST Bond Prices'!$AI$1:$BH$1,0))/100))</f>
        <v>448681004.47632009</v>
      </c>
      <c r="N162" s="171">
        <f>INDEX('AST Bonds'!$D$87:$D$111,MATCH('Value of Debt (listed bonds)'!$B162,'AST Bonds'!$H$87:$H$111,0))*((INDEX('AST Bond Prices'!$AI$1:$BH$125,MATCH('Value of Debt (listed bonds)'!N$3,'AST Bond Prices'!$AI$1:$AI$125,0),MATCH('Value of Debt (listed bonds)'!$B162,'AST Bond Prices'!$AI$1:$BH$1,0))/100))</f>
        <v>0</v>
      </c>
      <c r="O162" s="171" t="e">
        <f>INDEX('AST Bonds'!$D$87:$D$111,MATCH('Value of Debt (listed bonds)'!$B162,'AST Bonds'!$H$87:$H$111,0))*((INDEX('AST Bond Prices'!$AI$1:$BH$125,MATCH('Value of Debt (listed bonds)'!O$3,'AST Bond Prices'!$AI$1:$AI$125,0),MATCH('Value of Debt (listed bonds)'!$B162,'AST Bond Prices'!$AI$1:$BH$1,0))/100))</f>
        <v>#N/A</v>
      </c>
      <c r="P162" s="171" t="e">
        <f>INDEX('AST Bonds'!$D$87:$D$111,MATCH('Value of Debt (listed bonds)'!$B162,'AST Bonds'!$H$87:$H$111,0))*((INDEX('AST Bond Prices'!$AI$1:$BH$125,MATCH('Value of Debt (listed bonds)'!P$3,'AST Bond Prices'!$AI$1:$AI$125,0),MATCH('Value of Debt (listed bonds)'!$B162,'AST Bond Prices'!$AI$1:$BH$1,0))/100))</f>
        <v>#N/A</v>
      </c>
    </row>
    <row r="163" spans="2:18">
      <c r="B163" s="172" t="s">
        <v>337</v>
      </c>
      <c r="F163" s="171">
        <f>INDEX('AST Bonds'!$D$87:$D$111,MATCH('Value of Debt (listed bonds)'!$B163,'AST Bonds'!$H$87:$H$111,0))*((INDEX('AST Bond Prices'!$AI$1:$BH$125,MATCH('Value of Debt (listed bonds)'!F$3,'AST Bond Prices'!$AI$1:$AI$125,0),MATCH('Value of Debt (listed bonds)'!$B163,'AST Bond Prices'!$AI$1:$BH$1,0))/100))</f>
        <v>0</v>
      </c>
      <c r="G163" s="171">
        <f>INDEX('AST Bonds'!$D$87:$D$111,MATCH('Value of Debt (listed bonds)'!$B163,'AST Bonds'!$H$87:$H$111,0))*((INDEX('AST Bond Prices'!$AI$1:$BH$125,MATCH('Value of Debt (listed bonds)'!G$3,'AST Bond Prices'!$AI$1:$AI$125,0),MATCH('Value of Debt (listed bonds)'!$B163,'AST Bond Prices'!$AI$1:$BH$1,0))/100))</f>
        <v>0</v>
      </c>
      <c r="H163" s="171">
        <f>INDEX('AST Bonds'!$D$87:$D$111,MATCH('Value of Debt (listed bonds)'!$B163,'AST Bonds'!$H$87:$H$111,0))*((INDEX('AST Bond Prices'!$AI$1:$BH$125,MATCH('Value of Debt (listed bonds)'!H$3,'AST Bond Prices'!$AI$1:$AI$125,0),MATCH('Value of Debt (listed bonds)'!$B163,'AST Bond Prices'!$AI$1:$BH$1,0))/100))</f>
        <v>390138363.48285073</v>
      </c>
      <c r="I163" s="171">
        <f>INDEX('AST Bonds'!$D$87:$D$111,MATCH('Value of Debt (listed bonds)'!$B163,'AST Bonds'!$H$87:$H$111,0))*((INDEX('AST Bond Prices'!$AI$1:$BH$125,MATCH('Value of Debt (listed bonds)'!I$3,'AST Bond Prices'!$AI$1:$AI$125,0),MATCH('Value of Debt (listed bonds)'!$B163,'AST Bond Prices'!$AI$1:$BH$1,0))/100))</f>
        <v>413195447.15947264</v>
      </c>
      <c r="J163" s="171">
        <f>INDEX('AST Bonds'!$D$87:$D$111,MATCH('Value of Debt (listed bonds)'!$B163,'AST Bonds'!$H$87:$H$111,0))*((INDEX('AST Bond Prices'!$AI$1:$BH$125,MATCH('Value of Debt (listed bonds)'!J$3,'AST Bond Prices'!$AI$1:$AI$125,0),MATCH('Value of Debt (listed bonds)'!$B163,'AST Bond Prices'!$AI$1:$BH$1,0))/100))</f>
        <v>421694718.40762502</v>
      </c>
      <c r="K163" s="171">
        <f>INDEX('AST Bonds'!$D$87:$D$111,MATCH('Value of Debt (listed bonds)'!$B163,'AST Bonds'!$H$87:$H$111,0))*((INDEX('AST Bond Prices'!$AI$1:$BH$125,MATCH('Value of Debt (listed bonds)'!K$3,'AST Bond Prices'!$AI$1:$AI$125,0),MATCH('Value of Debt (listed bonds)'!$B163,'AST Bond Prices'!$AI$1:$BH$1,0))/100))</f>
        <v>421519652.65597498</v>
      </c>
      <c r="L163" s="171">
        <f>INDEX('AST Bonds'!$D$87:$D$111,MATCH('Value of Debt (listed bonds)'!$B163,'AST Bonds'!$H$87:$H$111,0))*((INDEX('AST Bond Prices'!$AI$1:$BH$125,MATCH('Value of Debt (listed bonds)'!L$3,'AST Bond Prices'!$AI$1:$AI$125,0),MATCH('Value of Debt (listed bonds)'!$B163,'AST Bond Prices'!$AI$1:$BH$1,0))/100))</f>
        <v>416678881.058025</v>
      </c>
      <c r="M163" s="171">
        <f>INDEX('AST Bonds'!$D$87:$D$111,MATCH('Value of Debt (listed bonds)'!$B163,'AST Bonds'!$H$87:$H$111,0))*((INDEX('AST Bond Prices'!$AI$1:$BH$125,MATCH('Value of Debt (listed bonds)'!M$3,'AST Bond Prices'!$AI$1:$AI$125,0),MATCH('Value of Debt (listed bonds)'!$B163,'AST Bond Prices'!$AI$1:$BH$1,0))/100))</f>
        <v>412237096.52197504</v>
      </c>
      <c r="N163" s="171">
        <f>INDEX('AST Bonds'!$D$87:$D$111,MATCH('Value of Debt (listed bonds)'!$B163,'AST Bonds'!$H$87:$H$111,0))*((INDEX('AST Bond Prices'!$AI$1:$BH$125,MATCH('Value of Debt (listed bonds)'!N$3,'AST Bond Prices'!$AI$1:$AI$125,0),MATCH('Value of Debt (listed bonds)'!$B163,'AST Bond Prices'!$AI$1:$BH$1,0))/100))</f>
        <v>0</v>
      </c>
      <c r="O163" s="171" t="e">
        <f>INDEX('AST Bonds'!$D$87:$D$111,MATCH('Value of Debt (listed bonds)'!$B163,'AST Bonds'!$H$87:$H$111,0))*((INDEX('AST Bond Prices'!$AI$1:$BH$125,MATCH('Value of Debt (listed bonds)'!O$3,'AST Bond Prices'!$AI$1:$AI$125,0),MATCH('Value of Debt (listed bonds)'!$B163,'AST Bond Prices'!$AI$1:$BH$1,0))/100))</f>
        <v>#N/A</v>
      </c>
      <c r="P163" s="171" t="e">
        <f>INDEX('AST Bonds'!$D$87:$D$111,MATCH('Value of Debt (listed bonds)'!$B163,'AST Bonds'!$H$87:$H$111,0))*((INDEX('AST Bond Prices'!$AI$1:$BH$125,MATCH('Value of Debt (listed bonds)'!P$3,'AST Bond Prices'!$AI$1:$AI$125,0),MATCH('Value of Debt (listed bonds)'!$B163,'AST Bond Prices'!$AI$1:$BH$1,0))/100))</f>
        <v>#N/A</v>
      </c>
    </row>
    <row r="164" spans="2:18">
      <c r="B164" s="172" t="s">
        <v>338</v>
      </c>
      <c r="F164" s="171">
        <f>INDEX('AST Bonds'!$D$87:$D$111,MATCH('Value of Debt (listed bonds)'!$B164,'AST Bonds'!$H$87:$H$111,0))*((INDEX('AST Bond Prices'!$AI$1:$BH$125,MATCH('Value of Debt (listed bonds)'!F$3,'AST Bond Prices'!$AI$1:$AI$125,0),MATCH('Value of Debt (listed bonds)'!$B164,'AST Bond Prices'!$AI$1:$BH$1,0))/100))</f>
        <v>0</v>
      </c>
      <c r="G164" s="171">
        <f>INDEX('AST Bonds'!$D$87:$D$111,MATCH('Value of Debt (listed bonds)'!$B164,'AST Bonds'!$H$87:$H$111,0))*((INDEX('AST Bond Prices'!$AI$1:$BH$125,MATCH('Value of Debt (listed bonds)'!G$3,'AST Bond Prices'!$AI$1:$AI$125,0),MATCH('Value of Debt (listed bonds)'!$B164,'AST Bond Prices'!$AI$1:$BH$1,0))/100))</f>
        <v>0</v>
      </c>
      <c r="H164" s="171">
        <f>INDEX('AST Bonds'!$D$87:$D$111,MATCH('Value of Debt (listed bonds)'!$B164,'AST Bonds'!$H$87:$H$111,0))*((INDEX('AST Bond Prices'!$AI$1:$BH$125,MATCH('Value of Debt (listed bonds)'!H$3,'AST Bond Prices'!$AI$1:$AI$125,0),MATCH('Value of Debt (listed bonds)'!$B164,'AST Bond Prices'!$AI$1:$BH$1,0))/100))</f>
        <v>294743052</v>
      </c>
      <c r="I164" s="171">
        <f>INDEX('AST Bonds'!$D$87:$D$111,MATCH('Value of Debt (listed bonds)'!$B164,'AST Bonds'!$H$87:$H$111,0))*((INDEX('AST Bond Prices'!$AI$1:$BH$125,MATCH('Value of Debt (listed bonds)'!I$3,'AST Bond Prices'!$AI$1:$AI$125,0),MATCH('Value of Debt (listed bonds)'!$B164,'AST Bond Prices'!$AI$1:$BH$1,0))/100))</f>
        <v>309109844.99999994</v>
      </c>
      <c r="J164" s="171">
        <f>INDEX('AST Bonds'!$D$87:$D$111,MATCH('Value of Debt (listed bonds)'!$B164,'AST Bonds'!$H$87:$H$111,0))*((INDEX('AST Bond Prices'!$AI$1:$BH$125,MATCH('Value of Debt (listed bonds)'!J$3,'AST Bond Prices'!$AI$1:$AI$125,0),MATCH('Value of Debt (listed bonds)'!$B164,'AST Bond Prices'!$AI$1:$BH$1,0))/100))</f>
        <v>316422000</v>
      </c>
      <c r="K164" s="171">
        <f>INDEX('AST Bonds'!$D$87:$D$111,MATCH('Value of Debt (listed bonds)'!$B164,'AST Bonds'!$H$87:$H$111,0))*((INDEX('AST Bond Prices'!$AI$1:$BH$125,MATCH('Value of Debt (listed bonds)'!K$3,'AST Bond Prices'!$AI$1:$AI$125,0),MATCH('Value of Debt (listed bonds)'!$B164,'AST Bond Prices'!$AI$1:$BH$1,0))/100))</f>
        <v>318586500</v>
      </c>
      <c r="L164" s="171">
        <f>INDEX('AST Bonds'!$D$87:$D$111,MATCH('Value of Debt (listed bonds)'!$B164,'AST Bonds'!$H$87:$H$111,0))*((INDEX('AST Bond Prices'!$AI$1:$BH$125,MATCH('Value of Debt (listed bonds)'!L$3,'AST Bond Prices'!$AI$1:$AI$125,0),MATCH('Value of Debt (listed bonds)'!$B164,'AST Bond Prices'!$AI$1:$BH$1,0))/100))</f>
        <v>316387500.00000006</v>
      </c>
      <c r="M164" s="171">
        <f>INDEX('AST Bonds'!$D$87:$D$111,MATCH('Value of Debt (listed bonds)'!$B164,'AST Bonds'!$H$87:$H$111,0))*((INDEX('AST Bond Prices'!$AI$1:$BH$125,MATCH('Value of Debt (listed bonds)'!M$3,'AST Bond Prices'!$AI$1:$AI$125,0),MATCH('Value of Debt (listed bonds)'!$B164,'AST Bond Prices'!$AI$1:$BH$1,0))/100))</f>
        <v>311977500</v>
      </c>
      <c r="N164" s="171">
        <f>INDEX('AST Bonds'!$D$87:$D$111,MATCH('Value of Debt (listed bonds)'!$B164,'AST Bonds'!$H$87:$H$111,0))*((INDEX('AST Bond Prices'!$AI$1:$BH$125,MATCH('Value of Debt (listed bonds)'!N$3,'AST Bond Prices'!$AI$1:$AI$125,0),MATCH('Value of Debt (listed bonds)'!$B164,'AST Bond Prices'!$AI$1:$BH$1,0))/100))</f>
        <v>306685499.99999994</v>
      </c>
      <c r="O164" s="171" t="e">
        <f>INDEX('AST Bonds'!$D$87:$D$111,MATCH('Value of Debt (listed bonds)'!$B164,'AST Bonds'!$H$87:$H$111,0))*((INDEX('AST Bond Prices'!$AI$1:$BH$125,MATCH('Value of Debt (listed bonds)'!O$3,'AST Bond Prices'!$AI$1:$AI$125,0),MATCH('Value of Debt (listed bonds)'!$B164,'AST Bond Prices'!$AI$1:$BH$1,0))/100))</f>
        <v>#N/A</v>
      </c>
      <c r="P164" s="171" t="e">
        <f>INDEX('AST Bonds'!$D$87:$D$111,MATCH('Value of Debt (listed bonds)'!$B164,'AST Bonds'!$H$87:$H$111,0))*((INDEX('AST Bond Prices'!$AI$1:$BH$125,MATCH('Value of Debt (listed bonds)'!P$3,'AST Bond Prices'!$AI$1:$AI$125,0),MATCH('Value of Debt (listed bonds)'!$B164,'AST Bond Prices'!$AI$1:$BH$1,0))/100))</f>
        <v>#N/A</v>
      </c>
    </row>
    <row r="165" spans="2:18">
      <c r="B165" s="172" t="s">
        <v>233</v>
      </c>
      <c r="F165" s="171">
        <f>INDEX('AST Bonds'!$D$87:$D$111,MATCH('Value of Debt (listed bonds)'!$B165,'AST Bonds'!$H$87:$H$111,0))*((INDEX('AST Bond Prices'!$AI$1:$BH$125,MATCH('Value of Debt (listed bonds)'!F$3,'AST Bond Prices'!$AI$1:$AI$125,0),MATCH('Value of Debt (listed bonds)'!$B165,'AST Bond Prices'!$AI$1:$BH$1,0))/100))</f>
        <v>0</v>
      </c>
      <c r="G165" s="171">
        <f>INDEX('AST Bonds'!$D$87:$D$111,MATCH('Value of Debt (listed bonds)'!$B165,'AST Bonds'!$H$87:$H$111,0))*((INDEX('AST Bond Prices'!$AI$1:$BH$125,MATCH('Value of Debt (listed bonds)'!G$3,'AST Bond Prices'!$AI$1:$AI$125,0),MATCH('Value of Debt (listed bonds)'!$B165,'AST Bond Prices'!$AI$1:$BH$1,0))/100))</f>
        <v>0</v>
      </c>
      <c r="H165" s="171">
        <f>INDEX('AST Bonds'!$D$87:$D$111,MATCH('Value of Debt (listed bonds)'!$B165,'AST Bonds'!$H$87:$H$111,0))*((INDEX('AST Bond Prices'!$AI$1:$BH$125,MATCH('Value of Debt (listed bonds)'!H$3,'AST Bond Prices'!$AI$1:$AI$125,0),MATCH('Value of Debt (listed bonds)'!$B165,'AST Bond Prices'!$AI$1:$BH$1,0))/100))</f>
        <v>0</v>
      </c>
      <c r="I165" s="171">
        <f>INDEX('AST Bonds'!$D$87:$D$111,MATCH('Value of Debt (listed bonds)'!$B165,'AST Bonds'!$H$87:$H$111,0))*((INDEX('AST Bond Prices'!$AI$1:$BH$125,MATCH('Value of Debt (listed bonds)'!I$3,'AST Bond Prices'!$AI$1:$AI$125,0),MATCH('Value of Debt (listed bonds)'!$B165,'AST Bond Prices'!$AI$1:$BH$1,0))/100))</f>
        <v>0</v>
      </c>
      <c r="J165" s="171">
        <f>INDEX('AST Bonds'!$D$87:$D$111,MATCH('Value of Debt (listed bonds)'!$B165,'AST Bonds'!$H$87:$H$111,0))*((INDEX('AST Bond Prices'!$AI$1:$BH$125,MATCH('Value of Debt (listed bonds)'!J$3,'AST Bond Prices'!$AI$1:$AI$125,0),MATCH('Value of Debt (listed bonds)'!$B165,'AST Bond Prices'!$AI$1:$BH$1,0))/100))</f>
        <v>0</v>
      </c>
      <c r="K165" s="171">
        <f>INDEX('AST Bonds'!$D$87:$D$111,MATCH('Value of Debt (listed bonds)'!$B165,'AST Bonds'!$H$87:$H$111,0))*((INDEX('AST Bond Prices'!$AI$1:$BH$125,MATCH('Value of Debt (listed bonds)'!K$3,'AST Bond Prices'!$AI$1:$AI$125,0),MATCH('Value of Debt (listed bonds)'!$B165,'AST Bond Prices'!$AI$1:$BH$1,0))/100))</f>
        <v>0</v>
      </c>
      <c r="L165" s="171">
        <f>INDEX('AST Bonds'!$D$87:$D$111,MATCH('Value of Debt (listed bonds)'!$B165,'AST Bonds'!$H$87:$H$111,0))*((INDEX('AST Bond Prices'!$AI$1:$BH$125,MATCH('Value of Debt (listed bonds)'!L$3,'AST Bond Prices'!$AI$1:$AI$125,0),MATCH('Value of Debt (listed bonds)'!$B165,'AST Bond Prices'!$AI$1:$BH$1,0))/100))</f>
        <v>0</v>
      </c>
      <c r="M165" s="171">
        <f>INDEX('AST Bonds'!$D$87:$D$111,MATCH('Value of Debt (listed bonds)'!$B165,'AST Bonds'!$H$87:$H$111,0))*((INDEX('AST Bond Prices'!$AI$1:$BH$125,MATCH('Value of Debt (listed bonds)'!M$3,'AST Bond Prices'!$AI$1:$AI$125,0),MATCH('Value of Debt (listed bonds)'!$B165,'AST Bond Prices'!$AI$1:$BH$1,0))/100))</f>
        <v>0</v>
      </c>
      <c r="N165" s="171">
        <f>INDEX('AST Bonds'!$D$87:$D$111,MATCH('Value of Debt (listed bonds)'!$B165,'AST Bonds'!$H$87:$H$111,0))*((INDEX('AST Bond Prices'!$AI$1:$BH$125,MATCH('Value of Debt (listed bonds)'!N$3,'AST Bond Prices'!$AI$1:$AI$125,0),MATCH('Value of Debt (listed bonds)'!$B165,'AST Bond Prices'!$AI$1:$BH$1,0))/100))</f>
        <v>0</v>
      </c>
      <c r="O165" s="171" t="e">
        <f>INDEX('AST Bonds'!$D$87:$D$111,MATCH('Value of Debt (listed bonds)'!$B165,'AST Bonds'!$H$87:$H$111,0))*((INDEX('AST Bond Prices'!$AI$1:$BH$125,MATCH('Value of Debt (listed bonds)'!O$3,'AST Bond Prices'!$AI$1:$AI$125,0),MATCH('Value of Debt (listed bonds)'!$B165,'AST Bond Prices'!$AI$1:$BH$1,0))/100))</f>
        <v>#N/A</v>
      </c>
      <c r="P165" s="171" t="e">
        <f>INDEX('AST Bonds'!$D$87:$D$111,MATCH('Value of Debt (listed bonds)'!$B165,'AST Bonds'!$H$87:$H$111,0))*((INDEX('AST Bond Prices'!$AI$1:$BH$125,MATCH('Value of Debt (listed bonds)'!P$3,'AST Bond Prices'!$AI$1:$AI$125,0),MATCH('Value of Debt (listed bonds)'!$B165,'AST Bond Prices'!$AI$1:$BH$1,0))/100))</f>
        <v>#N/A</v>
      </c>
    </row>
    <row r="166" spans="2:18">
      <c r="B166" s="172" t="s">
        <v>339</v>
      </c>
      <c r="F166" s="171">
        <f>INDEX('AST Bonds'!$D$87:$D$111,MATCH('Value of Debt (listed bonds)'!$B166,'AST Bonds'!$H$87:$H$111,0))*((INDEX('AST Bond Prices'!$AI$1:$BH$125,MATCH('Value of Debt (listed bonds)'!F$3,'AST Bond Prices'!$AI$1:$AI$125,0),MATCH('Value of Debt (listed bonds)'!$B166,'AST Bond Prices'!$AI$1:$BH$1,0))/100))</f>
        <v>132052221.35635452</v>
      </c>
      <c r="G166" s="171">
        <f>INDEX('AST Bonds'!$D$87:$D$111,MATCH('Value of Debt (listed bonds)'!$B166,'AST Bonds'!$H$87:$H$111,0))*((INDEX('AST Bond Prices'!$AI$1:$BH$125,MATCH('Value of Debt (listed bonds)'!G$3,'AST Bond Prices'!$AI$1:$AI$125,0),MATCH('Value of Debt (listed bonds)'!$B166,'AST Bond Prices'!$AI$1:$BH$1,0))/100))</f>
        <v>133822148.4076827</v>
      </c>
      <c r="H166" s="171">
        <f>INDEX('AST Bonds'!$D$87:$D$111,MATCH('Value of Debt (listed bonds)'!$B166,'AST Bonds'!$H$87:$H$111,0))*((INDEX('AST Bond Prices'!$AI$1:$BH$125,MATCH('Value of Debt (listed bonds)'!H$3,'AST Bond Prices'!$AI$1:$AI$125,0),MATCH('Value of Debt (listed bonds)'!$B166,'AST Bond Prices'!$AI$1:$BH$1,0))/100))</f>
        <v>124508132.01306862</v>
      </c>
      <c r="I166" s="171">
        <f>INDEX('AST Bonds'!$D$87:$D$111,MATCH('Value of Debt (listed bonds)'!$B166,'AST Bonds'!$H$87:$H$111,0))*((INDEX('AST Bond Prices'!$AI$1:$BH$125,MATCH('Value of Debt (listed bonds)'!I$3,'AST Bond Prices'!$AI$1:$AI$125,0),MATCH('Value of Debt (listed bonds)'!$B166,'AST Bond Prices'!$AI$1:$BH$1,0))/100))</f>
        <v>124848887.42074418</v>
      </c>
      <c r="J166" s="171">
        <f>INDEX('AST Bonds'!$D$87:$D$111,MATCH('Value of Debt (listed bonds)'!$B166,'AST Bonds'!$H$87:$H$111,0))*((INDEX('AST Bond Prices'!$AI$1:$BH$125,MATCH('Value of Debt (listed bonds)'!J$3,'AST Bond Prices'!$AI$1:$AI$125,0),MATCH('Value of Debt (listed bonds)'!$B166,'AST Bond Prices'!$AI$1:$BH$1,0))/100))</f>
        <v>128605913.74567001</v>
      </c>
      <c r="K166" s="171">
        <f>INDEX('AST Bonds'!$D$87:$D$111,MATCH('Value of Debt (listed bonds)'!$B166,'AST Bonds'!$H$87:$H$111,0))*((INDEX('AST Bond Prices'!$AI$1:$BH$125,MATCH('Value of Debt (listed bonds)'!K$3,'AST Bond Prices'!$AI$1:$AI$125,0),MATCH('Value of Debt (listed bonds)'!$B166,'AST Bond Prices'!$AI$1:$BH$1,0))/100))</f>
        <v>129986799.36855</v>
      </c>
      <c r="L166" s="171">
        <f>INDEX('AST Bonds'!$D$87:$D$111,MATCH('Value of Debt (listed bonds)'!$B166,'AST Bonds'!$H$87:$H$111,0))*((INDEX('AST Bond Prices'!$AI$1:$BH$125,MATCH('Value of Debt (listed bonds)'!L$3,'AST Bond Prices'!$AI$1:$AI$125,0),MATCH('Value of Debt (listed bonds)'!$B166,'AST Bond Prices'!$AI$1:$BH$1,0))/100))</f>
        <v>128309922.857315</v>
      </c>
      <c r="M166" s="171">
        <f>INDEX('AST Bonds'!$D$87:$D$111,MATCH('Value of Debt (listed bonds)'!$B166,'AST Bonds'!$H$87:$H$111,0))*((INDEX('AST Bond Prices'!$AI$1:$BH$125,MATCH('Value of Debt (listed bonds)'!M$3,'AST Bond Prices'!$AI$1:$AI$125,0),MATCH('Value of Debt (listed bonds)'!$B166,'AST Bond Prices'!$AI$1:$BH$1,0))/100))</f>
        <v>123687116.49832501</v>
      </c>
      <c r="N166" s="171">
        <f>INDEX('AST Bonds'!$D$87:$D$111,MATCH('Value of Debt (listed bonds)'!$B166,'AST Bonds'!$H$87:$H$111,0))*((INDEX('AST Bond Prices'!$AI$1:$BH$125,MATCH('Value of Debt (listed bonds)'!N$3,'AST Bond Prices'!$AI$1:$AI$125,0),MATCH('Value of Debt (listed bonds)'!$B166,'AST Bond Prices'!$AI$1:$BH$1,0))/100))</f>
        <v>122786380.36579499</v>
      </c>
      <c r="O166" s="171" t="e">
        <f>INDEX('AST Bonds'!$D$87:$D$111,MATCH('Value of Debt (listed bonds)'!$B166,'AST Bonds'!$H$87:$H$111,0))*((INDEX('AST Bond Prices'!$AI$1:$BH$125,MATCH('Value of Debt (listed bonds)'!O$3,'AST Bond Prices'!$AI$1:$AI$125,0),MATCH('Value of Debt (listed bonds)'!$B166,'AST Bond Prices'!$AI$1:$BH$1,0))/100))</f>
        <v>#N/A</v>
      </c>
      <c r="P166" s="171" t="e">
        <f>INDEX('AST Bonds'!$D$87:$D$111,MATCH('Value of Debt (listed bonds)'!$B166,'AST Bonds'!$H$87:$H$111,0))*((INDEX('AST Bond Prices'!$AI$1:$BH$125,MATCH('Value of Debt (listed bonds)'!P$3,'AST Bond Prices'!$AI$1:$AI$125,0),MATCH('Value of Debt (listed bonds)'!$B166,'AST Bond Prices'!$AI$1:$BH$1,0))/100))</f>
        <v>#N/A</v>
      </c>
    </row>
    <row r="167" spans="2:18">
      <c r="B167" s="172" t="s">
        <v>340</v>
      </c>
      <c r="F167" s="171"/>
      <c r="G167" s="171"/>
      <c r="H167" s="171"/>
      <c r="I167" s="171" cm="1">
        <f t="array" ref="I167">INDEX('AST Bonds'!$D$87:$D$111,MATCH('Value of Debt (listed bonds)'!$B167,'AST Bonds'!$H$87:$H$111,0))*VLOOKUP(INDEX('Bloomberg Bond Prices'!$O$4:$O$1815, MATCH(MIN(ABS('Bloomberg Bond Prices'!$O$4:$O$1815-'Value of Debt (listed bonds)'!I3)),ABS('Bloomberg Bond Prices'!$O$4:$O$1815-'Value of Debt (listed bonds)'!I3),0)),'Bloomberg Bond Prices'!$O$4:$P$1815,2,FALSE)/100</f>
        <v>779948877.95184004</v>
      </c>
      <c r="J167" s="171" cm="1">
        <f t="array" ref="J167">INDEX('AST Bonds'!$D$87:$D$111,MATCH('Value of Debt (listed bonds)'!$B167,'AST Bonds'!$H$87:$H$111,0))*VLOOKUP(INDEX('Bloomberg Bond Prices'!$O$4:$O$1815, MATCH(MIN(ABS('Bloomberg Bond Prices'!$O$4:$O$1815-'Value of Debt (listed bonds)'!J3)),ABS('Bloomberg Bond Prices'!$O$4:$O$1815-'Value of Debt (listed bonds)'!J3),0)),'Bloomberg Bond Prices'!$O$4:$P$1815,2,FALSE)/100</f>
        <v>786405150.67967999</v>
      </c>
      <c r="K167" s="171" cm="1">
        <f t="array" ref="K167">INDEX('AST Bonds'!$D$87:$D$111,MATCH('Value of Debt (listed bonds)'!$B167,'AST Bonds'!$H$87:$H$111,0))*VLOOKUP(INDEX('Bloomberg Bond Prices'!$O$4:$O$1815, MATCH(MIN(ABS('Bloomberg Bond Prices'!$O$4:$O$1815-'Value of Debt (listed bonds)'!K3)),ABS('Bloomberg Bond Prices'!$O$4:$O$1815-'Value of Debt (listed bonds)'!K3),0)),'Bloomberg Bond Prices'!$O$4:$P$1815,2,FALSE)/100</f>
        <v>800600055.70128012</v>
      </c>
      <c r="L167" s="171" cm="1">
        <f t="array" ref="L167">INDEX('AST Bonds'!$D$87:$D$111,MATCH('Value of Debt (listed bonds)'!$B167,'AST Bonds'!$H$87:$H$111,0))*VLOOKUP(INDEX('Bloomberg Bond Prices'!$O$4:$O$1815, MATCH(MIN(ABS('Bloomberg Bond Prices'!$O$4:$O$1815-'Value of Debt (listed bonds)'!L3)),ABS('Bloomberg Bond Prices'!$O$4:$O$1815-'Value of Debt (listed bonds)'!L3),0)),'Bloomberg Bond Prices'!$O$4:$P$1815,2,FALSE)/100</f>
        <v>791334451.90128005</v>
      </c>
      <c r="M167" s="171" cm="1">
        <f t="array" ref="M167">INDEX('AST Bonds'!$D$87:$D$111,MATCH('Value of Debt (listed bonds)'!$B167,'AST Bonds'!$H$87:$H$111,0))*VLOOKUP(INDEX('Bloomberg Bond Prices'!$O$4:$O$1815, MATCH(MIN(ABS('Bloomberg Bond Prices'!$O$4:$O$1815-'Value of Debt (listed bonds)'!M3)),ABS('Bloomberg Bond Prices'!$O$4:$O$1815-'Value of Debt (listed bonds)'!M3),0)),'Bloomberg Bond Prices'!$O$4:$P$1815,2,FALSE)/100</f>
        <v>777628770.76031995</v>
      </c>
      <c r="N167" s="171" cm="1">
        <f t="array" ref="N167">INDEX('AST Bonds'!$D$87:$D$111,MATCH('Value of Debt (listed bonds)'!$B167,'AST Bonds'!$H$87:$H$111,0))*VLOOKUP(INDEX('Bloomberg Bond Prices'!$O$4:$O$1815, MATCH(MIN(ABS('Bloomberg Bond Prices'!$O$4:$O$1815-'Value of Debt (listed bonds)'!N3)),ABS('Bloomberg Bond Prices'!$O$4:$O$1815-'Value of Debt (listed bonds)'!N3),0)),'Bloomberg Bond Prices'!$O$4:$P$1815,2,FALSE)/100</f>
        <v>761262008.20800006</v>
      </c>
      <c r="O167" s="171" cm="1">
        <f t="array" ref="O167">INDEX('AST Bonds'!$D$87:$D$111,MATCH('Value of Debt (listed bonds)'!$B167,'AST Bonds'!$H$87:$H$111,0))*VLOOKUP(INDEX('Bloomberg Bond Prices'!$O$4:$O$1815, MATCH(MIN(ABS('Bloomberg Bond Prices'!$O$4:$O$1815-'Value of Debt (listed bonds)'!O3)),ABS('Bloomberg Bond Prices'!$O$4:$O$1815-'Value of Debt (listed bonds)'!O3),0)),'Bloomberg Bond Prices'!$O$4:$P$1815,2,FALSE)/100</f>
        <v>742241576.72736013</v>
      </c>
      <c r="P167" s="171" cm="1">
        <f t="array" ref="P167">INDEX('AST Bonds'!$D$87:$D$111,MATCH('Value of Debt (listed bonds)'!$B167,'AST Bonds'!$H$87:$H$111,0))*VLOOKUP(INDEX('Bloomberg Bond Prices'!$O$4:$O$1815, MATCH(MIN(ABS('Bloomberg Bond Prices'!$O$4:$O$1815-'Value of Debt (listed bonds)'!P3)),ABS('Bloomberg Bond Prices'!$O$4:$O$1815-'Value of Debt (listed bonds)'!P3),0)),'Bloomberg Bond Prices'!$O$4:$P$1815,2,FALSE)/100</f>
        <v>741300191.38128006</v>
      </c>
      <c r="Q167" s="171"/>
      <c r="R167" s="171"/>
    </row>
    <row r="168" spans="2:18">
      <c r="B168" s="172" t="s">
        <v>341</v>
      </c>
      <c r="F168" s="171">
        <f>INDEX('AST Bonds'!$D$87:$D$111,MATCH('Value of Debt (listed bonds)'!$B168,'AST Bonds'!$H$87:$H$111,0))*((INDEX('AST Bond Prices'!$AI$1:$BH$125,MATCH('Value of Debt (listed bonds)'!F$3,'AST Bond Prices'!$AI$1:$AI$125,0),MATCH('Value of Debt (listed bonds)'!$B168,'AST Bond Prices'!$AI$1:$BH$1,0))/100))</f>
        <v>0</v>
      </c>
      <c r="G168" s="171">
        <f>INDEX('AST Bonds'!$D$87:$D$111,MATCH('Value of Debt (listed bonds)'!$B168,'AST Bonds'!$H$87:$H$111,0))*((INDEX('AST Bond Prices'!$AI$1:$BH$125,MATCH('Value of Debt (listed bonds)'!G$3,'AST Bond Prices'!$AI$1:$AI$125,0),MATCH('Value of Debt (listed bonds)'!$B168,'AST Bond Prices'!$AI$1:$BH$1,0))/100))</f>
        <v>0</v>
      </c>
      <c r="H168" s="171">
        <f>INDEX('AST Bonds'!$D$87:$D$111,MATCH('Value of Debt (listed bonds)'!$B168,'AST Bonds'!$H$87:$H$111,0))*((INDEX('AST Bond Prices'!$AI$1:$BH$125,MATCH('Value of Debt (listed bonds)'!H$3,'AST Bond Prices'!$AI$1:$AI$125,0),MATCH('Value of Debt (listed bonds)'!$B168,'AST Bond Prices'!$AI$1:$BH$1,0))/100))</f>
        <v>0</v>
      </c>
      <c r="I168" s="171">
        <f>INDEX('AST Bonds'!$D$87:$D$111,MATCH('Value of Debt (listed bonds)'!$B168,'AST Bonds'!$H$87:$H$111,0))*((INDEX('AST Bond Prices'!$AI$1:$BH$125,MATCH('Value of Debt (listed bonds)'!I$3,'AST Bond Prices'!$AI$1:$AI$125,0),MATCH('Value of Debt (listed bonds)'!$B168,'AST Bond Prices'!$AI$1:$BH$1,0))/100))</f>
        <v>0</v>
      </c>
      <c r="J168" s="171">
        <f>INDEX('AST Bonds'!$D$87:$D$111,MATCH('Value of Debt (listed bonds)'!$B168,'AST Bonds'!$H$87:$H$111,0))*((INDEX('AST Bond Prices'!$AI$1:$BH$125,MATCH('Value of Debt (listed bonds)'!J$3,'AST Bond Prices'!$AI$1:$AI$125,0),MATCH('Value of Debt (listed bonds)'!$B168,'AST Bond Prices'!$AI$1:$BH$1,0))/100))</f>
        <v>0</v>
      </c>
      <c r="K168" s="171">
        <f>INDEX('AST Bonds'!$D$87:$D$111,MATCH('Value of Debt (listed bonds)'!$B168,'AST Bonds'!$H$87:$H$111,0))*((INDEX('AST Bond Prices'!$AI$1:$BH$125,MATCH('Value of Debt (listed bonds)'!K$3,'AST Bond Prices'!$AI$1:$AI$125,0),MATCH('Value of Debt (listed bonds)'!$B168,'AST Bond Prices'!$AI$1:$BH$1,0))/100))</f>
        <v>0</v>
      </c>
      <c r="L168" s="171">
        <f>INDEX('AST Bonds'!$D$87:$D$111,MATCH('Value of Debt (listed bonds)'!$B168,'AST Bonds'!$H$87:$H$111,0))*((INDEX('AST Bond Prices'!$AI$1:$BH$125,MATCH('Value of Debt (listed bonds)'!L$3,'AST Bond Prices'!$AI$1:$AI$125,0),MATCH('Value of Debt (listed bonds)'!$B168,'AST Bond Prices'!$AI$1:$BH$1,0))/100))</f>
        <v>0</v>
      </c>
      <c r="M168" s="171">
        <f>INDEX('AST Bonds'!$D$87:$D$111,MATCH('Value of Debt (listed bonds)'!$B168,'AST Bonds'!$H$87:$H$111,0))*((INDEX('AST Bond Prices'!$AI$1:$BH$125,MATCH('Value of Debt (listed bonds)'!M$3,'AST Bond Prices'!$AI$1:$AI$125,0),MATCH('Value of Debt (listed bonds)'!$B168,'AST Bond Prices'!$AI$1:$BH$1,0))/100))</f>
        <v>0</v>
      </c>
      <c r="N168" s="171">
        <f>INDEX('AST Bonds'!$D$87:$D$111,MATCH('Value of Debt (listed bonds)'!$B168,'AST Bonds'!$H$87:$H$111,0))*((INDEX('AST Bond Prices'!$AI$1:$BH$125,MATCH('Value of Debt (listed bonds)'!N$3,'AST Bond Prices'!$AI$1:$AI$125,0),MATCH('Value of Debt (listed bonds)'!$B168,'AST Bond Prices'!$AI$1:$BH$1,0))/100))</f>
        <v>0</v>
      </c>
      <c r="O168" s="171" t="e">
        <f>INDEX('AST Bonds'!$D$87:$D$111,MATCH('Value of Debt (listed bonds)'!$B168,'AST Bonds'!$H$87:$H$111,0))*((INDEX('AST Bond Prices'!$AI$1:$BH$125,MATCH('Value of Debt (listed bonds)'!O$3,'AST Bond Prices'!$AI$1:$AI$125,0),MATCH('Value of Debt (listed bonds)'!$B168,'AST Bond Prices'!$AI$1:$BH$1,0))/100))</f>
        <v>#N/A</v>
      </c>
      <c r="P168" s="171" t="e">
        <f>INDEX('AST Bonds'!$D$87:$D$111,MATCH('Value of Debt (listed bonds)'!$B168,'AST Bonds'!$H$87:$H$111,0))*((INDEX('AST Bond Prices'!$AI$1:$BH$125,MATCH('Value of Debt (listed bonds)'!P$3,'AST Bond Prices'!$AI$1:$AI$125,0),MATCH('Value of Debt (listed bonds)'!$B168,'AST Bond Prices'!$AI$1:$BH$1,0))/100))</f>
        <v>#N/A</v>
      </c>
    </row>
    <row r="169" spans="2:18">
      <c r="B169" s="172" t="s">
        <v>342</v>
      </c>
      <c r="F169" s="171">
        <f>INDEX('AST Bonds'!$D$87:$D$111,MATCH('Value of Debt (listed bonds)'!$B169,'AST Bonds'!$H$87:$H$111,0))*((INDEX('AST Bond Prices'!$AI$1:$BH$125,MATCH('Value of Debt (listed bonds)'!F$3,'AST Bond Prices'!$AI$1:$AI$125,0),MATCH('Value of Debt (listed bonds)'!$B169,'AST Bond Prices'!$AI$1:$BH$1,0))/100))</f>
        <v>0</v>
      </c>
      <c r="G169" s="171">
        <f>INDEX('AST Bonds'!$D$87:$D$111,MATCH('Value of Debt (listed bonds)'!$B169,'AST Bonds'!$H$87:$H$111,0))*((INDEX('AST Bond Prices'!$AI$1:$BH$125,MATCH('Value of Debt (listed bonds)'!G$3,'AST Bond Prices'!$AI$1:$AI$125,0),MATCH('Value of Debt (listed bonds)'!$B169,'AST Bond Prices'!$AI$1:$BH$1,0))/100))</f>
        <v>0</v>
      </c>
      <c r="H169" s="171">
        <f>INDEX('AST Bonds'!$D$87:$D$111,MATCH('Value of Debt (listed bonds)'!$B169,'AST Bonds'!$H$87:$H$111,0))*((INDEX('AST Bond Prices'!$AI$1:$BH$125,MATCH('Value of Debt (listed bonds)'!H$3,'AST Bond Prices'!$AI$1:$AI$125,0),MATCH('Value of Debt (listed bonds)'!$B169,'AST Bond Prices'!$AI$1:$BH$1,0))/100))</f>
        <v>0</v>
      </c>
      <c r="I169" s="171">
        <f>INDEX('AST Bonds'!$D$87:$D$111,MATCH('Value of Debt (listed bonds)'!$B169,'AST Bonds'!$H$87:$H$111,0))*((INDEX('AST Bond Prices'!$AI$1:$BH$125,MATCH('Value of Debt (listed bonds)'!I$3,'AST Bond Prices'!$AI$1:$AI$125,0),MATCH('Value of Debt (listed bonds)'!$B169,'AST Bond Prices'!$AI$1:$BH$1,0))/100))</f>
        <v>0</v>
      </c>
      <c r="J169" s="171">
        <f>INDEX('AST Bonds'!$D$87:$D$111,MATCH('Value of Debt (listed bonds)'!$B169,'AST Bonds'!$H$87:$H$111,0))*((INDEX('AST Bond Prices'!$AI$1:$BH$125,MATCH('Value of Debt (listed bonds)'!J$3,'AST Bond Prices'!$AI$1:$AI$125,0),MATCH('Value of Debt (listed bonds)'!$B169,'AST Bond Prices'!$AI$1:$BH$1,0))/100))</f>
        <v>0</v>
      </c>
      <c r="K169" s="171">
        <f>INDEX('AST Bonds'!$D$87:$D$111,MATCH('Value of Debt (listed bonds)'!$B169,'AST Bonds'!$H$87:$H$111,0))*((INDEX('AST Bond Prices'!$AI$1:$BH$125,MATCH('Value of Debt (listed bonds)'!K$3,'AST Bond Prices'!$AI$1:$AI$125,0),MATCH('Value of Debt (listed bonds)'!$B169,'AST Bond Prices'!$AI$1:$BH$1,0))/100))</f>
        <v>0</v>
      </c>
      <c r="L169" s="171">
        <f>INDEX('AST Bonds'!$D$87:$D$111,MATCH('Value of Debt (listed bonds)'!$B169,'AST Bonds'!$H$87:$H$111,0))*((INDEX('AST Bond Prices'!$AI$1:$BH$125,MATCH('Value of Debt (listed bonds)'!L$3,'AST Bond Prices'!$AI$1:$AI$125,0),MATCH('Value of Debt (listed bonds)'!$B169,'AST Bond Prices'!$AI$1:$BH$1,0))/100))</f>
        <v>0</v>
      </c>
      <c r="M169" s="171">
        <f>INDEX('AST Bonds'!$D$87:$D$111,MATCH('Value of Debt (listed bonds)'!$B169,'AST Bonds'!$H$87:$H$111,0))*((INDEX('AST Bond Prices'!$AI$1:$BH$125,MATCH('Value of Debt (listed bonds)'!M$3,'AST Bond Prices'!$AI$1:$AI$125,0),MATCH('Value of Debt (listed bonds)'!$B169,'AST Bond Prices'!$AI$1:$BH$1,0))/100))</f>
        <v>0</v>
      </c>
      <c r="N169" s="171">
        <f>INDEX('AST Bonds'!$D$87:$D$111,MATCH('Value of Debt (listed bonds)'!$B169,'AST Bonds'!$H$87:$H$111,0))*((INDEX('AST Bond Prices'!$AI$1:$BH$125,MATCH('Value of Debt (listed bonds)'!N$3,'AST Bond Prices'!$AI$1:$AI$125,0),MATCH('Value of Debt (listed bonds)'!$B169,'AST Bond Prices'!$AI$1:$BH$1,0))/100))</f>
        <v>0</v>
      </c>
      <c r="O169" s="171" t="e">
        <f>INDEX('AST Bonds'!$D$87:$D$111,MATCH('Value of Debt (listed bonds)'!$B169,'AST Bonds'!$H$87:$H$111,0))*((INDEX('AST Bond Prices'!$AI$1:$BH$125,MATCH('Value of Debt (listed bonds)'!O$3,'AST Bond Prices'!$AI$1:$AI$125,0),MATCH('Value of Debt (listed bonds)'!$B169,'AST Bond Prices'!$AI$1:$BH$1,0))/100))</f>
        <v>#N/A</v>
      </c>
      <c r="P169" s="171" t="e">
        <f>INDEX('AST Bonds'!$D$87:$D$111,MATCH('Value of Debt (listed bonds)'!$B169,'AST Bonds'!$H$87:$H$111,0))*((INDEX('AST Bond Prices'!$AI$1:$BH$125,MATCH('Value of Debt (listed bonds)'!P$3,'AST Bond Prices'!$AI$1:$AI$125,0),MATCH('Value of Debt (listed bonds)'!$B169,'AST Bond Prices'!$AI$1:$BH$1,0))/100))</f>
        <v>#N/A</v>
      </c>
    </row>
    <row r="170" spans="2:18">
      <c r="B170" s="172" t="s">
        <v>343</v>
      </c>
      <c r="F170" s="171">
        <f>INDEX('AST Bonds'!$D$87:$D$111,MATCH('Value of Debt (listed bonds)'!$B170,'AST Bonds'!$H$87:$H$111,0))*((INDEX('AST Bond Prices'!$AI$1:$BH$125,MATCH('Value of Debt (listed bonds)'!F$3,'AST Bond Prices'!$AI$1:$AI$125,0),MATCH('Value of Debt (listed bonds)'!$B170,'AST Bond Prices'!$AI$1:$BH$1,0))/100))</f>
        <v>0</v>
      </c>
      <c r="G170" s="171">
        <f>INDEX('AST Bonds'!$D$87:$D$111,MATCH('Value of Debt (listed bonds)'!$B170,'AST Bonds'!$H$87:$H$111,0))*((INDEX('AST Bond Prices'!$AI$1:$BH$125,MATCH('Value of Debt (listed bonds)'!G$3,'AST Bond Prices'!$AI$1:$AI$125,0),MATCH('Value of Debt (listed bonds)'!$B170,'AST Bond Prices'!$AI$1:$BH$1,0))/100))</f>
        <v>0</v>
      </c>
      <c r="H170" s="171">
        <f>INDEX('AST Bonds'!$D$87:$D$111,MATCH('Value of Debt (listed bonds)'!$B170,'AST Bonds'!$H$87:$H$111,0))*((INDEX('AST Bond Prices'!$AI$1:$BH$125,MATCH('Value of Debt (listed bonds)'!H$3,'AST Bond Prices'!$AI$1:$AI$125,0),MATCH('Value of Debt (listed bonds)'!$B170,'AST Bond Prices'!$AI$1:$BH$1,0))/100))</f>
        <v>0</v>
      </c>
      <c r="I170" s="171">
        <f>INDEX('AST Bonds'!$D$87:$D$111,MATCH('Value of Debt (listed bonds)'!$B170,'AST Bonds'!$H$87:$H$111,0))*((INDEX('AST Bond Prices'!$AI$1:$BH$125,MATCH('Value of Debt (listed bonds)'!I$3,'AST Bond Prices'!$AI$1:$AI$125,0),MATCH('Value of Debt (listed bonds)'!$B170,'AST Bond Prices'!$AI$1:$BH$1,0))/100))</f>
        <v>0</v>
      </c>
      <c r="J170" s="171">
        <f>INDEX('AST Bonds'!$D$87:$D$111,MATCH('Value of Debt (listed bonds)'!$B170,'AST Bonds'!$H$87:$H$111,0))*((INDEX('AST Bond Prices'!$AI$1:$BH$125,MATCH('Value of Debt (listed bonds)'!J$3,'AST Bond Prices'!$AI$1:$AI$125,0),MATCH('Value of Debt (listed bonds)'!$B170,'AST Bond Prices'!$AI$1:$BH$1,0))/100))</f>
        <v>0</v>
      </c>
      <c r="K170" s="171">
        <f>INDEX('AST Bonds'!$D$87:$D$111,MATCH('Value of Debt (listed bonds)'!$B170,'AST Bonds'!$H$87:$H$111,0))*((INDEX('AST Bond Prices'!$AI$1:$BH$125,MATCH('Value of Debt (listed bonds)'!K$3,'AST Bond Prices'!$AI$1:$AI$125,0),MATCH('Value of Debt (listed bonds)'!$B170,'AST Bond Prices'!$AI$1:$BH$1,0))/100))</f>
        <v>0</v>
      </c>
      <c r="L170" s="171">
        <f>INDEX('AST Bonds'!$D$87:$D$111,MATCH('Value of Debt (listed bonds)'!$B170,'AST Bonds'!$H$87:$H$111,0))*((INDEX('AST Bond Prices'!$AI$1:$BH$125,MATCH('Value of Debt (listed bonds)'!L$3,'AST Bond Prices'!$AI$1:$AI$125,0),MATCH('Value of Debt (listed bonds)'!$B170,'AST Bond Prices'!$AI$1:$BH$1,0))/100))</f>
        <v>0</v>
      </c>
      <c r="M170" s="171">
        <f>INDEX('AST Bonds'!$D$87:$D$111,MATCH('Value of Debt (listed bonds)'!$B170,'AST Bonds'!$H$87:$H$111,0))*((INDEX('AST Bond Prices'!$AI$1:$BH$125,MATCH('Value of Debt (listed bonds)'!M$3,'AST Bond Prices'!$AI$1:$AI$125,0),MATCH('Value of Debt (listed bonds)'!$B170,'AST Bond Prices'!$AI$1:$BH$1,0))/100))</f>
        <v>0</v>
      </c>
      <c r="N170" s="171">
        <f>INDEX('AST Bonds'!$D$87:$D$111,MATCH('Value of Debt (listed bonds)'!$B170,'AST Bonds'!$H$87:$H$111,0))*((INDEX('AST Bond Prices'!$AI$1:$BH$125,MATCH('Value of Debt (listed bonds)'!N$3,'AST Bond Prices'!$AI$1:$AI$125,0),MATCH('Value of Debt (listed bonds)'!$B170,'AST Bond Prices'!$AI$1:$BH$1,0))/100))</f>
        <v>0</v>
      </c>
      <c r="O170" s="171" t="e">
        <f>INDEX('AST Bonds'!$D$87:$D$111,MATCH('Value of Debt (listed bonds)'!$B170,'AST Bonds'!$H$87:$H$111,0))*((INDEX('AST Bond Prices'!$AI$1:$BH$125,MATCH('Value of Debt (listed bonds)'!O$3,'AST Bond Prices'!$AI$1:$AI$125,0),MATCH('Value of Debt (listed bonds)'!$B170,'AST Bond Prices'!$AI$1:$BH$1,0))/100))</f>
        <v>#N/A</v>
      </c>
      <c r="P170" s="171" t="e">
        <f>INDEX('AST Bonds'!$D$87:$D$111,MATCH('Value of Debt (listed bonds)'!$B170,'AST Bonds'!$H$87:$H$111,0))*((INDEX('AST Bond Prices'!$AI$1:$BH$125,MATCH('Value of Debt (listed bonds)'!P$3,'AST Bond Prices'!$AI$1:$AI$125,0),MATCH('Value of Debt (listed bonds)'!$B170,'AST Bond Prices'!$AI$1:$BH$1,0))/100))</f>
        <v>#N/A</v>
      </c>
    </row>
    <row r="171" spans="2:18">
      <c r="B171" s="172" t="s">
        <v>344</v>
      </c>
      <c r="F171" s="171">
        <f>INDEX('AST Bonds'!$D$87:$D$111,MATCH('Value of Debt (listed bonds)'!$B171,'AST Bonds'!$H$87:$H$111,0))*((INDEX('AST Bond Prices'!$AI$1:$BH$125,MATCH('Value of Debt (listed bonds)'!F$3,'AST Bond Prices'!$AI$1:$AI$125,0),MATCH('Value of Debt (listed bonds)'!$B171,'AST Bond Prices'!$AI$1:$BH$1,0))/100))</f>
        <v>0</v>
      </c>
      <c r="G171" s="171">
        <f>INDEX('AST Bonds'!$D$87:$D$111,MATCH('Value of Debt (listed bonds)'!$B171,'AST Bonds'!$H$87:$H$111,0))*((INDEX('AST Bond Prices'!$AI$1:$BH$125,MATCH('Value of Debt (listed bonds)'!G$3,'AST Bond Prices'!$AI$1:$AI$125,0),MATCH('Value of Debt (listed bonds)'!$B171,'AST Bond Prices'!$AI$1:$BH$1,0))/100))</f>
        <v>0</v>
      </c>
      <c r="H171" s="171">
        <f>INDEX('AST Bonds'!$D$87:$D$111,MATCH('Value of Debt (listed bonds)'!$B171,'AST Bonds'!$H$87:$H$111,0))*((INDEX('AST Bond Prices'!$AI$1:$BH$125,MATCH('Value of Debt (listed bonds)'!H$3,'AST Bond Prices'!$AI$1:$AI$125,0),MATCH('Value of Debt (listed bonds)'!$B171,'AST Bond Prices'!$AI$1:$BH$1,0))/100))</f>
        <v>0</v>
      </c>
      <c r="I171" s="171">
        <f>INDEX('AST Bonds'!$D$87:$D$111,MATCH('Value of Debt (listed bonds)'!$B171,'AST Bonds'!$H$87:$H$111,0))*((INDEX('AST Bond Prices'!$AI$1:$BH$125,MATCH('Value of Debt (listed bonds)'!I$3,'AST Bond Prices'!$AI$1:$AI$125,0),MATCH('Value of Debt (listed bonds)'!$B171,'AST Bond Prices'!$AI$1:$BH$1,0))/100))</f>
        <v>0</v>
      </c>
      <c r="J171" s="171">
        <f>INDEX('AST Bonds'!$D$87:$D$111,MATCH('Value of Debt (listed bonds)'!$B171,'AST Bonds'!$H$87:$H$111,0))*((INDEX('AST Bond Prices'!$AI$1:$BH$125,MATCH('Value of Debt (listed bonds)'!J$3,'AST Bond Prices'!$AI$1:$AI$125,0),MATCH('Value of Debt (listed bonds)'!$B171,'AST Bond Prices'!$AI$1:$BH$1,0))/100))</f>
        <v>0</v>
      </c>
      <c r="K171" s="171">
        <f>INDEX('AST Bonds'!$D$87:$D$111,MATCH('Value of Debt (listed bonds)'!$B171,'AST Bonds'!$H$87:$H$111,0))*((INDEX('AST Bond Prices'!$AI$1:$BH$125,MATCH('Value of Debt (listed bonds)'!K$3,'AST Bond Prices'!$AI$1:$AI$125,0),MATCH('Value of Debt (listed bonds)'!$B171,'AST Bond Prices'!$AI$1:$BH$1,0))/100))</f>
        <v>0</v>
      </c>
      <c r="L171" s="171">
        <f>INDEX('AST Bonds'!$D$87:$D$111,MATCH('Value of Debt (listed bonds)'!$B171,'AST Bonds'!$H$87:$H$111,0))*((INDEX('AST Bond Prices'!$AI$1:$BH$125,MATCH('Value of Debt (listed bonds)'!L$3,'AST Bond Prices'!$AI$1:$AI$125,0),MATCH('Value of Debt (listed bonds)'!$B171,'AST Bond Prices'!$AI$1:$BH$1,0))/100))</f>
        <v>0</v>
      </c>
      <c r="M171" s="171">
        <f>INDEX('AST Bonds'!$D$87:$D$111,MATCH('Value of Debt (listed bonds)'!$B171,'AST Bonds'!$H$87:$H$111,0))*((INDEX('AST Bond Prices'!$AI$1:$BH$125,MATCH('Value of Debt (listed bonds)'!M$3,'AST Bond Prices'!$AI$1:$AI$125,0),MATCH('Value of Debt (listed bonds)'!$B171,'AST Bond Prices'!$AI$1:$BH$1,0))/100))</f>
        <v>0</v>
      </c>
      <c r="N171" s="171">
        <f>INDEX('AST Bonds'!$D$87:$D$111,MATCH('Value of Debt (listed bonds)'!$B171,'AST Bonds'!$H$87:$H$111,0))*((INDEX('AST Bond Prices'!$AI$1:$BH$125,MATCH('Value of Debt (listed bonds)'!N$3,'AST Bond Prices'!$AI$1:$AI$125,0),MATCH('Value of Debt (listed bonds)'!$B171,'AST Bond Prices'!$AI$1:$BH$1,0))/100))</f>
        <v>0</v>
      </c>
      <c r="O171" s="171" t="e">
        <f>INDEX('AST Bonds'!$D$87:$D$111,MATCH('Value of Debt (listed bonds)'!$B171,'AST Bonds'!$H$87:$H$111,0))*((INDEX('AST Bond Prices'!$AI$1:$BH$125,MATCH('Value of Debt (listed bonds)'!O$3,'AST Bond Prices'!$AI$1:$AI$125,0),MATCH('Value of Debt (listed bonds)'!$B171,'AST Bond Prices'!$AI$1:$BH$1,0))/100))</f>
        <v>#N/A</v>
      </c>
      <c r="P171" s="171" t="e">
        <f>INDEX('AST Bonds'!$D$87:$D$111,MATCH('Value of Debt (listed bonds)'!$B171,'AST Bonds'!$H$87:$H$111,0))*((INDEX('AST Bond Prices'!$AI$1:$BH$125,MATCH('Value of Debt (listed bonds)'!P$3,'AST Bond Prices'!$AI$1:$AI$125,0),MATCH('Value of Debt (listed bonds)'!$B171,'AST Bond Prices'!$AI$1:$BH$1,0))/100))</f>
        <v>#N/A</v>
      </c>
    </row>
    <row r="173" spans="2:18">
      <c r="B173" s="1" t="s">
        <v>292</v>
      </c>
      <c r="F173" s="171">
        <f>SUM(F147:F171)</f>
        <v>2740943725.4413838</v>
      </c>
      <c r="G173" s="171">
        <f>SUM(G116:G171)</f>
        <v>3286736532.2784004</v>
      </c>
      <c r="H173" s="171">
        <f t="shared" ref="H173:N173" si="9">SUM(H116:H171)</f>
        <v>4095615055.9483981</v>
      </c>
      <c r="I173" s="171">
        <f t="shared" si="9"/>
        <v>5569534149.5742302</v>
      </c>
      <c r="J173" s="171">
        <f t="shared" si="9"/>
        <v>6094062437.4701757</v>
      </c>
      <c r="K173" s="171">
        <f t="shared" si="9"/>
        <v>5686622462.9297504</v>
      </c>
      <c r="L173" s="171">
        <f t="shared" si="9"/>
        <v>5185233595.8823547</v>
      </c>
      <c r="M173" s="171">
        <f t="shared" si="9"/>
        <v>6376491991.7655592</v>
      </c>
      <c r="N173" s="171">
        <f t="shared" si="9"/>
        <v>6037476799.8175554</v>
      </c>
      <c r="O173" s="171">
        <f>SUM(O116:O145)+O167</f>
        <v>6798660694.5522003</v>
      </c>
      <c r="P173" s="171">
        <f>SUM(P116:P145)+P167</f>
        <v>8771057403.2036304</v>
      </c>
      <c r="Q173" s="171">
        <f>SUM(Q116:Q145)</f>
        <v>7921828383.1683207</v>
      </c>
      <c r="R173" s="171">
        <f>SUM(R116:R145)</f>
        <v>7822046734.6991291</v>
      </c>
    </row>
    <row r="178" spans="2:17">
      <c r="B178" s="1" t="s">
        <v>272</v>
      </c>
    </row>
    <row r="180" spans="2:17" ht="14.75">
      <c r="B180" s="92" t="s">
        <v>277</v>
      </c>
      <c r="N180" s="183">
        <f>'AST Bonds'!$C$115</f>
        <v>300000000</v>
      </c>
      <c r="O180" s="183">
        <f>'AST Bonds'!$C$115</f>
        <v>300000000</v>
      </c>
      <c r="P180" s="183">
        <f>'AST Bonds'!$C$115</f>
        <v>300000000</v>
      </c>
      <c r="Q180" s="183">
        <f>'AST Bonds'!$C$115</f>
        <v>300000000</v>
      </c>
    </row>
    <row r="181" spans="2:17" ht="14.75">
      <c r="B181" s="92" t="s">
        <v>277</v>
      </c>
      <c r="N181" s="183">
        <f>'AST Bonds'!$C$116</f>
        <v>100000000</v>
      </c>
      <c r="O181" s="183">
        <f>'AST Bonds'!$C$116</f>
        <v>100000000</v>
      </c>
      <c r="P181" s="183">
        <f>'AST Bonds'!$C$116</f>
        <v>100000000</v>
      </c>
      <c r="Q181" s="183">
        <f>'AST Bonds'!$C$116</f>
        <v>100000000</v>
      </c>
    </row>
    <row r="182" spans="2:17" ht="14.75">
      <c r="B182" s="92" t="s">
        <v>277</v>
      </c>
      <c r="N182" s="183">
        <f>'AST Bonds'!$C$117</f>
        <v>300000000</v>
      </c>
      <c r="O182" s="183">
        <f>'AST Bonds'!$C$117</f>
        <v>300000000</v>
      </c>
      <c r="P182" s="183">
        <f>'AST Bonds'!$C$117</f>
        <v>300000000</v>
      </c>
      <c r="Q182" s="183">
        <f>'AST Bonds'!$C$117</f>
        <v>300000000</v>
      </c>
    </row>
    <row r="183" spans="2:17" ht="14.75">
      <c r="B183" s="92" t="s">
        <v>277</v>
      </c>
      <c r="O183" s="183">
        <f>'AST Bonds'!$C$121</f>
        <v>350000000</v>
      </c>
      <c r="P183" s="183">
        <f>'AST Bonds'!$C$121</f>
        <v>350000000</v>
      </c>
      <c r="Q183" s="183">
        <f>'AST Bonds'!$C$121</f>
        <v>350000000</v>
      </c>
    </row>
    <row r="184" spans="2:17" ht="14.75">
      <c r="B184" s="92" t="s">
        <v>277</v>
      </c>
      <c r="O184" s="183">
        <f>'AST Bonds'!$C$122</f>
        <v>100000000</v>
      </c>
      <c r="P184" s="183">
        <f>'AST Bonds'!$C$122</f>
        <v>100000000</v>
      </c>
      <c r="Q184" s="183">
        <f>'AST Bonds'!$C$122</f>
        <v>100000000</v>
      </c>
    </row>
    <row r="185" spans="2:17" ht="14.75">
      <c r="B185" s="92" t="s">
        <v>277</v>
      </c>
      <c r="O185" s="183">
        <f>'AST Bonds'!$C$123</f>
        <v>50000000</v>
      </c>
      <c r="P185" s="183">
        <f>'AST Bonds'!$C$123</f>
        <v>50000000</v>
      </c>
      <c r="Q185" s="183">
        <f>'AST Bonds'!$C$123</f>
        <v>50000000</v>
      </c>
    </row>
    <row r="187" spans="2:17" ht="14.75">
      <c r="B187" s="101" t="s">
        <v>345</v>
      </c>
      <c r="F187" s="171">
        <f>SUM(F180:F185)</f>
        <v>0</v>
      </c>
      <c r="G187" s="171">
        <f t="shared" ref="G187:Q187" si="10">SUM(G180:G185)</f>
        <v>0</v>
      </c>
      <c r="H187" s="171">
        <f t="shared" si="10"/>
        <v>0</v>
      </c>
      <c r="I187" s="171">
        <f t="shared" si="10"/>
        <v>0</v>
      </c>
      <c r="J187" s="171">
        <f t="shared" si="10"/>
        <v>0</v>
      </c>
      <c r="K187" s="171">
        <f t="shared" si="10"/>
        <v>0</v>
      </c>
      <c r="L187" s="171">
        <f t="shared" si="10"/>
        <v>0</v>
      </c>
      <c r="M187" s="171">
        <f t="shared" si="10"/>
        <v>0</v>
      </c>
      <c r="N187" s="171">
        <f t="shared" si="10"/>
        <v>700000000</v>
      </c>
      <c r="O187" s="171">
        <f t="shared" si="10"/>
        <v>1200000000</v>
      </c>
      <c r="P187" s="171">
        <f t="shared" si="10"/>
        <v>1200000000</v>
      </c>
      <c r="Q187" s="171">
        <f t="shared" si="10"/>
        <v>1200000000</v>
      </c>
    </row>
    <row r="189" spans="2:17">
      <c r="B189" s="1" t="s">
        <v>77</v>
      </c>
      <c r="F189" s="171">
        <f>F187+F173</f>
        <v>2740943725.4413838</v>
      </c>
      <c r="G189" s="171">
        <f t="shared" ref="G189:Q189" si="11">G187+G173</f>
        <v>3286736532.2784004</v>
      </c>
      <c r="H189" s="171">
        <f t="shared" si="11"/>
        <v>4095615055.9483981</v>
      </c>
      <c r="I189" s="171">
        <f t="shared" si="11"/>
        <v>5569534149.5742302</v>
      </c>
      <c r="J189" s="171">
        <f t="shared" si="11"/>
        <v>6094062437.4701757</v>
      </c>
      <c r="K189" s="171">
        <f t="shared" si="11"/>
        <v>5686622462.9297504</v>
      </c>
      <c r="L189" s="171">
        <f t="shared" si="11"/>
        <v>5185233595.8823547</v>
      </c>
      <c r="M189" s="171">
        <f t="shared" si="11"/>
        <v>6376491991.7655592</v>
      </c>
      <c r="N189" s="171">
        <f t="shared" si="11"/>
        <v>6737476799.8175554</v>
      </c>
      <c r="O189" s="171">
        <f t="shared" si="11"/>
        <v>7998660694.5522003</v>
      </c>
      <c r="P189" s="171">
        <f t="shared" si="11"/>
        <v>9971057403.2036304</v>
      </c>
      <c r="Q189" s="171">
        <f t="shared" si="11"/>
        <v>9121828383.1683197</v>
      </c>
    </row>
    <row r="190" spans="2:17">
      <c r="B190" s="1"/>
    </row>
    <row r="192" spans="2:17">
      <c r="B192" s="5" t="s">
        <v>238</v>
      </c>
    </row>
    <row r="194" spans="2:17">
      <c r="B194" s="172" t="s">
        <v>346</v>
      </c>
      <c r="F194" s="171" t="e">
        <f>INDEX('DUET Bonds'!$D$24:$D$42,MATCH('Value of Debt (listed bonds)'!$B194,'DUET Bonds'!$H$24:$H$42,0))*((INDEX('DUET bond prices'!$B$1:$U$807,MATCH('Value of Debt (listed bonds)'!F$3,'DUET bond prices'!$B$1:$B$807,0),MATCH('Value of Debt (listed bonds)'!$B194,'DUET bond prices'!$B$1:$U$1,0))/100))</f>
        <v>#N/A</v>
      </c>
      <c r="G194" s="171" t="e">
        <f>INDEX('DUET Bonds'!$D$24:$D$42,MATCH('Value of Debt (listed bonds)'!$B194,'DUET Bonds'!$H$24:$H$42,0))*((INDEX('DUET bond prices'!$B$1:$U$807,MATCH('Value of Debt (listed bonds)'!G$3,'DUET bond prices'!$B$1:$B$807,0),MATCH('Value of Debt (listed bonds)'!$B194,'DUET bond prices'!$B$1:$U$1,0))/100))</f>
        <v>#N/A</v>
      </c>
      <c r="H194" s="171" t="e">
        <f>INDEX('DUET Bonds'!$D$24:$D$42,MATCH('Value of Debt (listed bonds)'!$B194,'DUET Bonds'!$H$24:$H$42,0))*((INDEX('DUET bond prices'!$B$1:$U$807,MATCH('Value of Debt (listed bonds)'!H$3,'DUET bond prices'!$B$1:$B$807,0),MATCH('Value of Debt (listed bonds)'!$B194,'DUET bond prices'!$B$1:$U$1,0))/100))</f>
        <v>#N/A</v>
      </c>
      <c r="I194" s="171">
        <f>INDEX('DUET Bonds'!$D$24:$D$42,MATCH('Value of Debt (listed bonds)'!$B194,'DUET Bonds'!$H$24:$H$42,0))*((INDEX('DUET bond prices'!$B$1:$U$807,MATCH('Value of Debt (listed bonds)'!I$3,'DUET bond prices'!$B$1:$B$807,0),MATCH('Value of Debt (listed bonds)'!$B194,'DUET bond prices'!$B$1:$U$1,0))/100))</f>
        <v>0</v>
      </c>
      <c r="J194" s="171">
        <f>INDEX('DUET Bonds'!$D$24:$D$42,MATCH('Value of Debt (listed bonds)'!$B194,'DUET Bonds'!$H$24:$H$42,0))*((INDEX('DUET bond prices'!$B$1:$U$807,MATCH('Value of Debt (listed bonds)'!J$3,'DUET bond prices'!$B$1:$B$807,0),MATCH('Value of Debt (listed bonds)'!$B194,'DUET bond prices'!$B$1:$U$1,0))/100))</f>
        <v>0</v>
      </c>
      <c r="K194" s="171">
        <f>INDEX('DUET Bonds'!$D$24:$D$42,MATCH('Value of Debt (listed bonds)'!$B194,'DUET Bonds'!$H$24:$H$42,0))*((INDEX('DUET bond prices'!$B$1:$U$807,MATCH('Value of Debt (listed bonds)'!K$3,'DUET bond prices'!$B$1:$B$807,0),MATCH('Value of Debt (listed bonds)'!$B194,'DUET bond prices'!$B$1:$U$1,0))/100))</f>
        <v>0</v>
      </c>
      <c r="L194" s="171" t="e">
        <f>INDEX('DUET Bonds'!$D$24:$D$42,MATCH('Value of Debt (listed bonds)'!$B194,'DUET Bonds'!$H$24:$H$42,0))*((INDEX('DUET bond prices'!$B$1:$U$807,MATCH('Value of Debt (listed bonds)'!L$3,'DUET bond prices'!$B$1:$B$807,0),MATCH('Value of Debt (listed bonds)'!$B194,'DUET bond prices'!$B$1:$U$1,0))/100))</f>
        <v>#N/A</v>
      </c>
      <c r="M194" s="171" t="e">
        <f>INDEX('DUET Bonds'!$D$24:$D$42,MATCH('Value of Debt (listed bonds)'!$B194,'DUET Bonds'!$H$24:$H$42,0))*((INDEX('DUET bond prices'!$B$1:$U$807,MATCH('Value of Debt (listed bonds)'!M$3,'DUET bond prices'!$B$1:$B$807,0),MATCH('Value of Debt (listed bonds)'!$B194,'DUET bond prices'!$B$1:$U$1,0))/100))</f>
        <v>#N/A</v>
      </c>
      <c r="N194" s="171" t="e">
        <f>INDEX('DUET Bonds'!$D$24:$D$42,MATCH('Value of Debt (listed bonds)'!$B194,'DUET Bonds'!$H$24:$H$42,0))*((INDEX('DUET bond prices'!$B$1:$U$807,MATCH('Value of Debt (listed bonds)'!N$3,'DUET bond prices'!$B$1:$B$807,0),MATCH('Value of Debt (listed bonds)'!$B194,'DUET bond prices'!$B$1:$U$1,0))/100))</f>
        <v>#N/A</v>
      </c>
      <c r="O194" s="171" t="e">
        <f>INDEX('DUET Bonds'!$D$24:$D$42,MATCH('Value of Debt (listed bonds)'!$B194,'DUET Bonds'!$H$24:$H$42,0))*((INDEX('DUET bond prices'!$B$1:$U$807,MATCH('Value of Debt (listed bonds)'!O$3,'DUET bond prices'!$B$1:$B$807,0),MATCH('Value of Debt (listed bonds)'!$B194,'DUET bond prices'!$B$1:$U$1,0))/100))</f>
        <v>#N/A</v>
      </c>
      <c r="P194" s="171" t="e">
        <f>INDEX('DUET Bonds'!$D$24:$D$42,MATCH('Value of Debt (listed bonds)'!$B194,'DUET Bonds'!$H$24:$H$42,0))*((INDEX('DUET bond prices'!$B$1:$U$807,MATCH('Value of Debt (listed bonds)'!P$3,'DUET bond prices'!$B$1:$B$807,0),MATCH('Value of Debt (listed bonds)'!$B194,'DUET bond prices'!$B$1:$U$1,0))/100))</f>
        <v>#N/A</v>
      </c>
      <c r="Q194" s="171" t="e">
        <f>INDEX('DUET Bonds'!$D$24:$D$42,MATCH('Value of Debt (listed bonds)'!$B194,'DUET Bonds'!$H$24:$H$42,0))*((INDEX('DUET bond prices'!$B$1:$U$807,MATCH('Value of Debt (listed bonds)'!Q$3,'DUET bond prices'!$B$1:$B$807,0),MATCH('Value of Debt (listed bonds)'!$B194,'DUET bond prices'!$B$1:$U$1,0))/100))</f>
        <v>#N/A</v>
      </c>
    </row>
    <row r="195" spans="2:17">
      <c r="B195" s="172" t="s">
        <v>347</v>
      </c>
      <c r="F195" s="171" t="e">
        <f>INDEX('DUET Bonds'!$D$24:$D$42,MATCH('Value of Debt (listed bonds)'!$B195,'DUET Bonds'!$H$24:$H$42,0))*((INDEX('DUET bond prices'!$B$1:$U$807,MATCH('Value of Debt (listed bonds)'!F$3,'DUET bond prices'!$B$1:$B$807,0),MATCH('Value of Debt (listed bonds)'!$B195,'DUET bond prices'!$B$1:$U$1,0))/100))</f>
        <v>#N/A</v>
      </c>
      <c r="G195" s="171" t="e">
        <f>INDEX('DUET Bonds'!$D$24:$D$42,MATCH('Value of Debt (listed bonds)'!$B195,'DUET Bonds'!$H$24:$H$42,0))*((INDEX('DUET bond prices'!$B$1:$U$807,MATCH('Value of Debt (listed bonds)'!G$3,'DUET bond prices'!$B$1:$B$807,0),MATCH('Value of Debt (listed bonds)'!$B195,'DUET bond prices'!$B$1:$U$1,0))/100))</f>
        <v>#N/A</v>
      </c>
      <c r="H195" s="171" t="e">
        <f>INDEX('DUET Bonds'!$D$24:$D$42,MATCH('Value of Debt (listed bonds)'!$B195,'DUET Bonds'!$H$24:$H$42,0))*((INDEX('DUET bond prices'!$B$1:$U$807,MATCH('Value of Debt (listed bonds)'!H$3,'DUET bond prices'!$B$1:$B$807,0),MATCH('Value of Debt (listed bonds)'!$B195,'DUET bond prices'!$B$1:$U$1,0))/100))</f>
        <v>#N/A</v>
      </c>
      <c r="I195" s="171">
        <f>INDEX('DUET Bonds'!$D$24:$D$42,MATCH('Value of Debt (listed bonds)'!$B195,'DUET Bonds'!$H$24:$H$42,0))*((INDEX('DUET bond prices'!$B$1:$U$807,MATCH('Value of Debt (listed bonds)'!I$3,'DUET bond prices'!$B$1:$B$807,0),MATCH('Value of Debt (listed bonds)'!$B195,'DUET bond prices'!$B$1:$U$1,0))/100))</f>
        <v>0</v>
      </c>
      <c r="J195" s="171">
        <f>INDEX('DUET Bonds'!$D$24:$D$42,MATCH('Value of Debt (listed bonds)'!$B195,'DUET Bonds'!$H$24:$H$42,0))*((INDEX('DUET bond prices'!$B$1:$U$807,MATCH('Value of Debt (listed bonds)'!J$3,'DUET bond prices'!$B$1:$B$807,0),MATCH('Value of Debt (listed bonds)'!$B195,'DUET bond prices'!$B$1:$U$1,0))/100))</f>
        <v>0</v>
      </c>
      <c r="K195" s="171">
        <f>INDEX('DUET Bonds'!$D$24:$D$42,MATCH('Value of Debt (listed bonds)'!$B195,'DUET Bonds'!$H$24:$H$42,0))*((INDEX('DUET bond prices'!$B$1:$U$807,MATCH('Value of Debt (listed bonds)'!K$3,'DUET bond prices'!$B$1:$B$807,0),MATCH('Value of Debt (listed bonds)'!$B195,'DUET bond prices'!$B$1:$U$1,0))/100))</f>
        <v>0</v>
      </c>
      <c r="L195" s="171" t="e">
        <f>INDEX('DUET Bonds'!$D$24:$D$42,MATCH('Value of Debt (listed bonds)'!$B195,'DUET Bonds'!$H$24:$H$42,0))*((INDEX('DUET bond prices'!$B$1:$U$807,MATCH('Value of Debt (listed bonds)'!L$3,'DUET bond prices'!$B$1:$B$807,0),MATCH('Value of Debt (listed bonds)'!$B195,'DUET bond prices'!$B$1:$U$1,0))/100))</f>
        <v>#N/A</v>
      </c>
      <c r="M195" s="171" t="e">
        <f>INDEX('DUET Bonds'!$D$24:$D$42,MATCH('Value of Debt (listed bonds)'!$B195,'DUET Bonds'!$H$24:$H$42,0))*((INDEX('DUET bond prices'!$B$1:$U$807,MATCH('Value of Debt (listed bonds)'!M$3,'DUET bond prices'!$B$1:$B$807,0),MATCH('Value of Debt (listed bonds)'!$B195,'DUET bond prices'!$B$1:$U$1,0))/100))</f>
        <v>#N/A</v>
      </c>
      <c r="N195" s="171" t="e">
        <f>INDEX('DUET Bonds'!$D$24:$D$42,MATCH('Value of Debt (listed bonds)'!$B195,'DUET Bonds'!$H$24:$H$42,0))*((INDEX('DUET bond prices'!$B$1:$U$807,MATCH('Value of Debt (listed bonds)'!N$3,'DUET bond prices'!$B$1:$B$807,0),MATCH('Value of Debt (listed bonds)'!$B195,'DUET bond prices'!$B$1:$U$1,0))/100))</f>
        <v>#N/A</v>
      </c>
      <c r="O195" s="171" t="e">
        <f>INDEX('DUET Bonds'!$D$24:$D$42,MATCH('Value of Debt (listed bonds)'!$B195,'DUET Bonds'!$H$24:$H$42,0))*((INDEX('DUET bond prices'!$B$1:$U$807,MATCH('Value of Debt (listed bonds)'!O$3,'DUET bond prices'!$B$1:$B$807,0),MATCH('Value of Debt (listed bonds)'!$B195,'DUET bond prices'!$B$1:$U$1,0))/100))</f>
        <v>#N/A</v>
      </c>
      <c r="P195" s="171" t="e">
        <f>INDEX('DUET Bonds'!$D$24:$D$42,MATCH('Value of Debt (listed bonds)'!$B195,'DUET Bonds'!$H$24:$H$42,0))*((INDEX('DUET bond prices'!$B$1:$U$807,MATCH('Value of Debt (listed bonds)'!P$3,'DUET bond prices'!$B$1:$B$807,0),MATCH('Value of Debt (listed bonds)'!$B195,'DUET bond prices'!$B$1:$U$1,0))/100))</f>
        <v>#N/A</v>
      </c>
      <c r="Q195" s="171" t="e">
        <f>INDEX('DUET Bonds'!$D$24:$D$42,MATCH('Value of Debt (listed bonds)'!$B195,'DUET Bonds'!$H$24:$H$42,0))*((INDEX('DUET bond prices'!$B$1:$U$807,MATCH('Value of Debt (listed bonds)'!Q$3,'DUET bond prices'!$B$1:$B$807,0),MATCH('Value of Debt (listed bonds)'!$B195,'DUET bond prices'!$B$1:$U$1,0))/100))</f>
        <v>#N/A</v>
      </c>
    </row>
    <row r="196" spans="2:17">
      <c r="B196" s="172" t="s">
        <v>348</v>
      </c>
      <c r="F196" s="171" t="e">
        <f>INDEX('DUET Bonds'!$D$24:$D$42,MATCH('Value of Debt (listed bonds)'!$B196,'DUET Bonds'!$H$24:$H$42,0))*((INDEX('DUET bond prices'!$B$1:$U$807,MATCH('Value of Debt (listed bonds)'!F$3,'DUET bond prices'!$B$1:$B$807,0),MATCH('Value of Debt (listed bonds)'!$B196,'DUET bond prices'!$B$1:$U$1,0))/100))</f>
        <v>#N/A</v>
      </c>
      <c r="G196" s="171" t="e">
        <f>INDEX('DUET Bonds'!$D$24:$D$42,MATCH('Value of Debt (listed bonds)'!$B196,'DUET Bonds'!$H$24:$H$42,0))*((INDEX('DUET bond prices'!$B$1:$U$807,MATCH('Value of Debt (listed bonds)'!G$3,'DUET bond prices'!$B$1:$B$807,0),MATCH('Value of Debt (listed bonds)'!$B196,'DUET bond prices'!$B$1:$U$1,0))/100))</f>
        <v>#N/A</v>
      </c>
      <c r="H196" s="171" t="e">
        <f>INDEX('DUET Bonds'!$D$24:$D$42,MATCH('Value of Debt (listed bonds)'!$B196,'DUET Bonds'!$H$24:$H$42,0))*((INDEX('DUET bond prices'!$B$1:$U$807,MATCH('Value of Debt (listed bonds)'!H$3,'DUET bond prices'!$B$1:$B$807,0),MATCH('Value of Debt (listed bonds)'!$B196,'DUET bond prices'!$B$1:$U$1,0))/100))</f>
        <v>#N/A</v>
      </c>
      <c r="I196" s="171">
        <f>INDEX('DUET Bonds'!$D$24:$D$42,MATCH('Value of Debt (listed bonds)'!$B196,'DUET Bonds'!$H$24:$H$42,0))*((INDEX('DUET bond prices'!$B$1:$U$807,MATCH('Value of Debt (listed bonds)'!I$3,'DUET bond prices'!$B$1:$B$807,0),MATCH('Value of Debt (listed bonds)'!$B196,'DUET bond prices'!$B$1:$U$1,0))/100))</f>
        <v>0</v>
      </c>
      <c r="J196" s="171">
        <f>INDEX('DUET Bonds'!$D$24:$D$42,MATCH('Value of Debt (listed bonds)'!$B196,'DUET Bonds'!$H$24:$H$42,0))*((INDEX('DUET bond prices'!$B$1:$U$807,MATCH('Value of Debt (listed bonds)'!J$3,'DUET bond prices'!$B$1:$B$807,0),MATCH('Value of Debt (listed bonds)'!$B196,'DUET bond prices'!$B$1:$U$1,0))/100))</f>
        <v>0</v>
      </c>
      <c r="K196" s="171">
        <f>INDEX('DUET Bonds'!$D$24:$D$42,MATCH('Value of Debt (listed bonds)'!$B196,'DUET Bonds'!$H$24:$H$42,0))*((INDEX('DUET bond prices'!$B$1:$U$807,MATCH('Value of Debt (listed bonds)'!K$3,'DUET bond prices'!$B$1:$B$807,0),MATCH('Value of Debt (listed bonds)'!$B196,'DUET bond prices'!$B$1:$U$1,0))/100))</f>
        <v>0</v>
      </c>
      <c r="L196" s="171" t="e">
        <f>INDEX('DUET Bonds'!$D$24:$D$42,MATCH('Value of Debt (listed bonds)'!$B196,'DUET Bonds'!$H$24:$H$42,0))*((INDEX('DUET bond prices'!$B$1:$U$807,MATCH('Value of Debt (listed bonds)'!L$3,'DUET bond prices'!$B$1:$B$807,0),MATCH('Value of Debt (listed bonds)'!$B196,'DUET bond prices'!$B$1:$U$1,0))/100))</f>
        <v>#N/A</v>
      </c>
      <c r="M196" s="171" t="e">
        <f>INDEX('DUET Bonds'!$D$24:$D$42,MATCH('Value of Debt (listed bonds)'!$B196,'DUET Bonds'!$H$24:$H$42,0))*((INDEX('DUET bond prices'!$B$1:$U$807,MATCH('Value of Debt (listed bonds)'!M$3,'DUET bond prices'!$B$1:$B$807,0),MATCH('Value of Debt (listed bonds)'!$B196,'DUET bond prices'!$B$1:$U$1,0))/100))</f>
        <v>#N/A</v>
      </c>
      <c r="N196" s="171" t="e">
        <f>INDEX('DUET Bonds'!$D$24:$D$42,MATCH('Value of Debt (listed bonds)'!$B196,'DUET Bonds'!$H$24:$H$42,0))*((INDEX('DUET bond prices'!$B$1:$U$807,MATCH('Value of Debt (listed bonds)'!N$3,'DUET bond prices'!$B$1:$B$807,0),MATCH('Value of Debt (listed bonds)'!$B196,'DUET bond prices'!$B$1:$U$1,0))/100))</f>
        <v>#N/A</v>
      </c>
      <c r="O196" s="171" t="e">
        <f>INDEX('DUET Bonds'!$D$24:$D$42,MATCH('Value of Debt (listed bonds)'!$B196,'DUET Bonds'!$H$24:$H$42,0))*((INDEX('DUET bond prices'!$B$1:$U$807,MATCH('Value of Debt (listed bonds)'!O$3,'DUET bond prices'!$B$1:$B$807,0),MATCH('Value of Debt (listed bonds)'!$B196,'DUET bond prices'!$B$1:$U$1,0))/100))</f>
        <v>#N/A</v>
      </c>
      <c r="P196" s="171" t="e">
        <f>INDEX('DUET Bonds'!$D$24:$D$42,MATCH('Value of Debt (listed bonds)'!$B196,'DUET Bonds'!$H$24:$H$42,0))*((INDEX('DUET bond prices'!$B$1:$U$807,MATCH('Value of Debt (listed bonds)'!P$3,'DUET bond prices'!$B$1:$B$807,0),MATCH('Value of Debt (listed bonds)'!$B196,'DUET bond prices'!$B$1:$U$1,0))/100))</f>
        <v>#N/A</v>
      </c>
      <c r="Q196" s="171" t="e">
        <f>INDEX('DUET Bonds'!$D$24:$D$42,MATCH('Value of Debt (listed bonds)'!$B196,'DUET Bonds'!$H$24:$H$42,0))*((INDEX('DUET bond prices'!$B$1:$U$807,MATCH('Value of Debt (listed bonds)'!Q$3,'DUET bond prices'!$B$1:$B$807,0),MATCH('Value of Debt (listed bonds)'!$B196,'DUET bond prices'!$B$1:$U$1,0))/100))</f>
        <v>#N/A</v>
      </c>
    </row>
    <row r="197" spans="2:17">
      <c r="B197" s="172" t="s">
        <v>349</v>
      </c>
      <c r="F197" s="171" t="e">
        <f>INDEX('DUET Bonds'!$D$24:$D$42,MATCH('Value of Debt (listed bonds)'!$B197,'DUET Bonds'!$H$24:$H$42,0))*((INDEX('DUET bond prices'!$B$1:$U$807,MATCH('Value of Debt (listed bonds)'!F$3,'DUET bond prices'!$B$1:$B$807,0),MATCH('Value of Debt (listed bonds)'!$B197,'DUET bond prices'!$B$1:$U$1,0))/100))</f>
        <v>#N/A</v>
      </c>
      <c r="G197" s="171" t="e">
        <f>INDEX('DUET Bonds'!$D$24:$D$42,MATCH('Value of Debt (listed bonds)'!$B197,'DUET Bonds'!$H$24:$H$42,0))*((INDEX('DUET bond prices'!$B$1:$U$807,MATCH('Value of Debt (listed bonds)'!G$3,'DUET bond prices'!$B$1:$B$807,0),MATCH('Value of Debt (listed bonds)'!$B197,'DUET bond prices'!$B$1:$U$1,0))/100))</f>
        <v>#N/A</v>
      </c>
      <c r="H197" s="171" t="e">
        <f>INDEX('DUET Bonds'!$D$24:$D$42,MATCH('Value of Debt (listed bonds)'!$B197,'DUET Bonds'!$H$24:$H$42,0))*((INDEX('DUET bond prices'!$B$1:$U$807,MATCH('Value of Debt (listed bonds)'!H$3,'DUET bond prices'!$B$1:$B$807,0),MATCH('Value of Debt (listed bonds)'!$B197,'DUET bond prices'!$B$1:$U$1,0))/100))</f>
        <v>#N/A</v>
      </c>
      <c r="I197" s="171">
        <f>INDEX('DUET Bonds'!$D$24:$D$42,MATCH('Value of Debt (listed bonds)'!$B197,'DUET Bonds'!$H$24:$H$42,0))*((INDEX('DUET bond prices'!$B$1:$U$807,MATCH('Value of Debt (listed bonds)'!I$3,'DUET bond prices'!$B$1:$B$807,0),MATCH('Value of Debt (listed bonds)'!$B197,'DUET bond prices'!$B$1:$U$1,0))/100))</f>
        <v>0</v>
      </c>
      <c r="J197" s="171">
        <f>INDEX('DUET Bonds'!$D$24:$D$42,MATCH('Value of Debt (listed bonds)'!$B197,'DUET Bonds'!$H$24:$H$42,0))*((INDEX('DUET bond prices'!$B$1:$U$807,MATCH('Value of Debt (listed bonds)'!J$3,'DUET bond prices'!$B$1:$B$807,0),MATCH('Value of Debt (listed bonds)'!$B197,'DUET bond prices'!$B$1:$U$1,0))/100))</f>
        <v>0</v>
      </c>
      <c r="K197" s="171">
        <f>INDEX('DUET Bonds'!$D$24:$D$42,MATCH('Value of Debt (listed bonds)'!$B197,'DUET Bonds'!$H$24:$H$42,0))*((INDEX('DUET bond prices'!$B$1:$U$807,MATCH('Value of Debt (listed bonds)'!K$3,'DUET bond prices'!$B$1:$B$807,0),MATCH('Value of Debt (listed bonds)'!$B197,'DUET bond prices'!$B$1:$U$1,0))/100))</f>
        <v>0</v>
      </c>
      <c r="L197" s="171" t="e">
        <f>INDEX('DUET Bonds'!$D$24:$D$42,MATCH('Value of Debt (listed bonds)'!$B197,'DUET Bonds'!$H$24:$H$42,0))*((INDEX('DUET bond prices'!$B$1:$U$807,MATCH('Value of Debt (listed bonds)'!L$3,'DUET bond prices'!$B$1:$B$807,0),MATCH('Value of Debt (listed bonds)'!$B197,'DUET bond prices'!$B$1:$U$1,0))/100))</f>
        <v>#N/A</v>
      </c>
      <c r="M197" s="171" t="e">
        <f>INDEX('DUET Bonds'!$D$24:$D$42,MATCH('Value of Debt (listed bonds)'!$B197,'DUET Bonds'!$H$24:$H$42,0))*((INDEX('DUET bond prices'!$B$1:$U$807,MATCH('Value of Debt (listed bonds)'!M$3,'DUET bond prices'!$B$1:$B$807,0),MATCH('Value of Debt (listed bonds)'!$B197,'DUET bond prices'!$B$1:$U$1,0))/100))</f>
        <v>#N/A</v>
      </c>
      <c r="N197" s="171" t="e">
        <f>INDEX('DUET Bonds'!$D$24:$D$42,MATCH('Value of Debt (listed bonds)'!$B197,'DUET Bonds'!$H$24:$H$42,0))*((INDEX('DUET bond prices'!$B$1:$U$807,MATCH('Value of Debt (listed bonds)'!N$3,'DUET bond prices'!$B$1:$B$807,0),MATCH('Value of Debt (listed bonds)'!$B197,'DUET bond prices'!$B$1:$U$1,0))/100))</f>
        <v>#N/A</v>
      </c>
      <c r="O197" s="171" t="e">
        <f>INDEX('DUET Bonds'!$D$24:$D$42,MATCH('Value of Debt (listed bonds)'!$B197,'DUET Bonds'!$H$24:$H$42,0))*((INDEX('DUET bond prices'!$B$1:$U$807,MATCH('Value of Debt (listed bonds)'!O$3,'DUET bond prices'!$B$1:$B$807,0),MATCH('Value of Debt (listed bonds)'!$B197,'DUET bond prices'!$B$1:$U$1,0))/100))</f>
        <v>#N/A</v>
      </c>
      <c r="P197" s="171" t="e">
        <f>INDEX('DUET Bonds'!$D$24:$D$42,MATCH('Value of Debt (listed bonds)'!$B197,'DUET Bonds'!$H$24:$H$42,0))*((INDEX('DUET bond prices'!$B$1:$U$807,MATCH('Value of Debt (listed bonds)'!P$3,'DUET bond prices'!$B$1:$B$807,0),MATCH('Value of Debt (listed bonds)'!$B197,'DUET bond prices'!$B$1:$U$1,0))/100))</f>
        <v>#N/A</v>
      </c>
      <c r="Q197" s="171" t="e">
        <f>INDEX('DUET Bonds'!$D$24:$D$42,MATCH('Value of Debt (listed bonds)'!$B197,'DUET Bonds'!$H$24:$H$42,0))*((INDEX('DUET bond prices'!$B$1:$U$807,MATCH('Value of Debt (listed bonds)'!Q$3,'DUET bond prices'!$B$1:$B$807,0),MATCH('Value of Debt (listed bonds)'!$B197,'DUET bond prices'!$B$1:$U$1,0))/100))</f>
        <v>#N/A</v>
      </c>
    </row>
    <row r="198" spans="2:17">
      <c r="B198" s="172" t="s">
        <v>350</v>
      </c>
      <c r="F198" s="171" t="e">
        <f>INDEX('DUET Bonds'!$D$24:$D$42,MATCH('Value of Debt (listed bonds)'!$B198,'DUET Bonds'!$H$24:$H$42,0))*((INDEX('DUET bond prices'!$B$1:$U$807,MATCH('Value of Debt (listed bonds)'!F$3,'DUET bond prices'!$B$1:$B$807,0),MATCH('Value of Debt (listed bonds)'!$B198,'DUET bond prices'!$B$1:$U$1,0))/100))</f>
        <v>#N/A</v>
      </c>
      <c r="G198" s="171" t="e">
        <f>INDEX('DUET Bonds'!$D$24:$D$42,MATCH('Value of Debt (listed bonds)'!$B198,'DUET Bonds'!$H$24:$H$42,0))*((INDEX('DUET bond prices'!$B$1:$U$807,MATCH('Value of Debt (listed bonds)'!G$3,'DUET bond prices'!$B$1:$B$807,0),MATCH('Value of Debt (listed bonds)'!$B198,'DUET bond prices'!$B$1:$U$1,0))/100))</f>
        <v>#N/A</v>
      </c>
      <c r="H198" s="171" t="e">
        <f>INDEX('DUET Bonds'!$D$24:$D$42,MATCH('Value of Debt (listed bonds)'!$B198,'DUET Bonds'!$H$24:$H$42,0))*((INDEX('DUET bond prices'!$B$1:$U$807,MATCH('Value of Debt (listed bonds)'!H$3,'DUET bond prices'!$B$1:$B$807,0),MATCH('Value of Debt (listed bonds)'!$B198,'DUET bond prices'!$B$1:$U$1,0))/100))</f>
        <v>#N/A</v>
      </c>
      <c r="I198" s="171">
        <f>INDEX('DUET Bonds'!$D$24:$D$42,MATCH('Value of Debt (listed bonds)'!$B198,'DUET Bonds'!$H$24:$H$42,0))*((INDEX('DUET bond prices'!$B$1:$U$807,MATCH('Value of Debt (listed bonds)'!I$3,'DUET bond prices'!$B$1:$B$807,0),MATCH('Value of Debt (listed bonds)'!$B198,'DUET bond prices'!$B$1:$U$1,0))/100))</f>
        <v>0</v>
      </c>
      <c r="J198" s="171">
        <f>INDEX('DUET Bonds'!$D$24:$D$42,MATCH('Value of Debt (listed bonds)'!$B198,'DUET Bonds'!$H$24:$H$42,0))*((INDEX('DUET bond prices'!$B$1:$U$807,MATCH('Value of Debt (listed bonds)'!J$3,'DUET bond prices'!$B$1:$B$807,0),MATCH('Value of Debt (listed bonds)'!$B198,'DUET bond prices'!$B$1:$U$1,0))/100))</f>
        <v>0</v>
      </c>
      <c r="K198" s="171">
        <f>INDEX('DUET Bonds'!$D$24:$D$42,MATCH('Value of Debt (listed bonds)'!$B198,'DUET Bonds'!$H$24:$H$42,0))*((INDEX('DUET bond prices'!$B$1:$U$807,MATCH('Value of Debt (listed bonds)'!K$3,'DUET bond prices'!$B$1:$B$807,0),MATCH('Value of Debt (listed bonds)'!$B198,'DUET bond prices'!$B$1:$U$1,0))/100))</f>
        <v>0</v>
      </c>
      <c r="L198" s="171" t="e">
        <f>INDEX('DUET Bonds'!$D$24:$D$42,MATCH('Value of Debt (listed bonds)'!$B198,'DUET Bonds'!$H$24:$H$42,0))*((INDEX('DUET bond prices'!$B$1:$U$807,MATCH('Value of Debt (listed bonds)'!L$3,'DUET bond prices'!$B$1:$B$807,0),MATCH('Value of Debt (listed bonds)'!$B198,'DUET bond prices'!$B$1:$U$1,0))/100))</f>
        <v>#N/A</v>
      </c>
      <c r="M198" s="171" t="e">
        <f>INDEX('DUET Bonds'!$D$24:$D$42,MATCH('Value of Debt (listed bonds)'!$B198,'DUET Bonds'!$H$24:$H$42,0))*((INDEX('DUET bond prices'!$B$1:$U$807,MATCH('Value of Debt (listed bonds)'!M$3,'DUET bond prices'!$B$1:$B$807,0),MATCH('Value of Debt (listed bonds)'!$B198,'DUET bond prices'!$B$1:$U$1,0))/100))</f>
        <v>#N/A</v>
      </c>
      <c r="N198" s="171" t="e">
        <f>INDEX('DUET Bonds'!$D$24:$D$42,MATCH('Value of Debt (listed bonds)'!$B198,'DUET Bonds'!$H$24:$H$42,0))*((INDEX('DUET bond prices'!$B$1:$U$807,MATCH('Value of Debt (listed bonds)'!N$3,'DUET bond prices'!$B$1:$B$807,0),MATCH('Value of Debt (listed bonds)'!$B198,'DUET bond prices'!$B$1:$U$1,0))/100))</f>
        <v>#N/A</v>
      </c>
      <c r="O198" s="171" t="e">
        <f>INDEX('DUET Bonds'!$D$24:$D$42,MATCH('Value of Debt (listed bonds)'!$B198,'DUET Bonds'!$H$24:$H$42,0))*((INDEX('DUET bond prices'!$B$1:$U$807,MATCH('Value of Debt (listed bonds)'!O$3,'DUET bond prices'!$B$1:$B$807,0),MATCH('Value of Debt (listed bonds)'!$B198,'DUET bond prices'!$B$1:$U$1,0))/100))</f>
        <v>#N/A</v>
      </c>
      <c r="P198" s="171" t="e">
        <f>INDEX('DUET Bonds'!$D$24:$D$42,MATCH('Value of Debt (listed bonds)'!$B198,'DUET Bonds'!$H$24:$H$42,0))*((INDEX('DUET bond prices'!$B$1:$U$807,MATCH('Value of Debt (listed bonds)'!P$3,'DUET bond prices'!$B$1:$B$807,0),MATCH('Value of Debt (listed bonds)'!$B198,'DUET bond prices'!$B$1:$U$1,0))/100))</f>
        <v>#N/A</v>
      </c>
      <c r="Q198" s="171" t="e">
        <f>INDEX('DUET Bonds'!$D$24:$D$42,MATCH('Value of Debt (listed bonds)'!$B198,'DUET Bonds'!$H$24:$H$42,0))*((INDEX('DUET bond prices'!$B$1:$U$807,MATCH('Value of Debt (listed bonds)'!Q$3,'DUET bond prices'!$B$1:$B$807,0),MATCH('Value of Debt (listed bonds)'!$B198,'DUET bond prices'!$B$1:$U$1,0))/100))</f>
        <v>#N/A</v>
      </c>
    </row>
    <row r="199" spans="2:17">
      <c r="B199" s="172" t="s">
        <v>351</v>
      </c>
      <c r="F199" s="171" t="e">
        <f>INDEX('DUET Bonds'!$D$24:$D$42,MATCH('Value of Debt (listed bonds)'!$B199,'DUET Bonds'!$H$24:$H$42,0))*((INDEX('DUET bond prices'!$B$1:$U$807,MATCH('Value of Debt (listed bonds)'!F$3,'DUET bond prices'!$B$1:$B$807,0),MATCH('Value of Debt (listed bonds)'!$B199,'DUET bond prices'!$B$1:$U$1,0))/100))</f>
        <v>#N/A</v>
      </c>
      <c r="G199" s="171" t="e">
        <f>INDEX('DUET Bonds'!$D$24:$D$42,MATCH('Value of Debt (listed bonds)'!$B199,'DUET Bonds'!$H$24:$H$42,0))*((INDEX('DUET bond prices'!$B$1:$U$807,MATCH('Value of Debt (listed bonds)'!G$3,'DUET bond prices'!$B$1:$B$807,0),MATCH('Value of Debt (listed bonds)'!$B199,'DUET bond prices'!$B$1:$U$1,0))/100))</f>
        <v>#N/A</v>
      </c>
      <c r="H199" s="171" t="e">
        <f>INDEX('DUET Bonds'!$D$24:$D$42,MATCH('Value of Debt (listed bonds)'!$B199,'DUET Bonds'!$H$24:$H$42,0))*((INDEX('DUET bond prices'!$B$1:$U$807,MATCH('Value of Debt (listed bonds)'!H$3,'DUET bond prices'!$B$1:$B$807,0),MATCH('Value of Debt (listed bonds)'!$B199,'DUET bond prices'!$B$1:$U$1,0))/100))</f>
        <v>#N/A</v>
      </c>
      <c r="I199" s="171">
        <f>INDEX('DUET Bonds'!$D$24:$D$42,MATCH('Value of Debt (listed bonds)'!$B199,'DUET Bonds'!$H$24:$H$42,0))*((INDEX('DUET bond prices'!$B$1:$U$807,MATCH('Value of Debt (listed bonds)'!I$3,'DUET bond prices'!$B$1:$B$807,0),MATCH('Value of Debt (listed bonds)'!$B199,'DUET bond prices'!$B$1:$U$1,0))/100))</f>
        <v>0</v>
      </c>
      <c r="J199" s="171">
        <f>INDEX('DUET Bonds'!$D$24:$D$42,MATCH('Value of Debt (listed bonds)'!$B199,'DUET Bonds'!$H$24:$H$42,0))*((INDEX('DUET bond prices'!$B$1:$U$807,MATCH('Value of Debt (listed bonds)'!J$3,'DUET bond prices'!$B$1:$B$807,0),MATCH('Value of Debt (listed bonds)'!$B199,'DUET bond prices'!$B$1:$U$1,0))/100))</f>
        <v>0</v>
      </c>
      <c r="K199" s="171">
        <f>INDEX('DUET Bonds'!$D$24:$D$42,MATCH('Value of Debt (listed bonds)'!$B199,'DUET Bonds'!$H$24:$H$42,0))*((INDEX('DUET bond prices'!$B$1:$U$807,MATCH('Value of Debt (listed bonds)'!K$3,'DUET bond prices'!$B$1:$B$807,0),MATCH('Value of Debt (listed bonds)'!$B199,'DUET bond prices'!$B$1:$U$1,0))/100))</f>
        <v>0</v>
      </c>
      <c r="L199" s="171" t="e">
        <f>INDEX('DUET Bonds'!$D$24:$D$42,MATCH('Value of Debt (listed bonds)'!$B199,'DUET Bonds'!$H$24:$H$42,0))*((INDEX('DUET bond prices'!$B$1:$U$807,MATCH('Value of Debt (listed bonds)'!L$3,'DUET bond prices'!$B$1:$B$807,0),MATCH('Value of Debt (listed bonds)'!$B199,'DUET bond prices'!$B$1:$U$1,0))/100))</f>
        <v>#N/A</v>
      </c>
      <c r="M199" s="171" t="e">
        <f>INDEX('DUET Bonds'!$D$24:$D$42,MATCH('Value of Debt (listed bonds)'!$B199,'DUET Bonds'!$H$24:$H$42,0))*((INDEX('DUET bond prices'!$B$1:$U$807,MATCH('Value of Debt (listed bonds)'!M$3,'DUET bond prices'!$B$1:$B$807,0),MATCH('Value of Debt (listed bonds)'!$B199,'DUET bond prices'!$B$1:$U$1,0))/100))</f>
        <v>#N/A</v>
      </c>
      <c r="N199" s="171" t="e">
        <f>INDEX('DUET Bonds'!$D$24:$D$42,MATCH('Value of Debt (listed bonds)'!$B199,'DUET Bonds'!$H$24:$H$42,0))*((INDEX('DUET bond prices'!$B$1:$U$807,MATCH('Value of Debt (listed bonds)'!N$3,'DUET bond prices'!$B$1:$B$807,0),MATCH('Value of Debt (listed bonds)'!$B199,'DUET bond prices'!$B$1:$U$1,0))/100))</f>
        <v>#N/A</v>
      </c>
      <c r="O199" s="171" t="e">
        <f>INDEX('DUET Bonds'!$D$24:$D$42,MATCH('Value of Debt (listed bonds)'!$B199,'DUET Bonds'!$H$24:$H$42,0))*((INDEX('DUET bond prices'!$B$1:$U$807,MATCH('Value of Debt (listed bonds)'!O$3,'DUET bond prices'!$B$1:$B$807,0),MATCH('Value of Debt (listed bonds)'!$B199,'DUET bond prices'!$B$1:$U$1,0))/100))</f>
        <v>#N/A</v>
      </c>
      <c r="P199" s="171" t="e">
        <f>INDEX('DUET Bonds'!$D$24:$D$42,MATCH('Value of Debt (listed bonds)'!$B199,'DUET Bonds'!$H$24:$H$42,0))*((INDEX('DUET bond prices'!$B$1:$U$807,MATCH('Value of Debt (listed bonds)'!P$3,'DUET bond prices'!$B$1:$B$807,0),MATCH('Value of Debt (listed bonds)'!$B199,'DUET bond prices'!$B$1:$U$1,0))/100))</f>
        <v>#N/A</v>
      </c>
      <c r="Q199" s="171" t="e">
        <f>INDEX('DUET Bonds'!$D$24:$D$42,MATCH('Value of Debt (listed bonds)'!$B199,'DUET Bonds'!$H$24:$H$42,0))*((INDEX('DUET bond prices'!$B$1:$U$807,MATCH('Value of Debt (listed bonds)'!Q$3,'DUET bond prices'!$B$1:$B$807,0),MATCH('Value of Debt (listed bonds)'!$B199,'DUET bond prices'!$B$1:$U$1,0))/100))</f>
        <v>#N/A</v>
      </c>
    </row>
    <row r="200" spans="2:17">
      <c r="B200" s="172" t="s">
        <v>352</v>
      </c>
      <c r="F200" s="171" t="e">
        <f>INDEX('DUET Bonds'!$D$24:$D$42,MATCH('Value of Debt (listed bonds)'!$B200,'DUET Bonds'!$H$24:$H$42,0))*((INDEX('DUET bond prices'!$B$1:$U$807,MATCH('Value of Debt (listed bonds)'!F$3,'DUET bond prices'!$B$1:$B$807,0),MATCH('Value of Debt (listed bonds)'!$B200,'DUET bond prices'!$B$1:$U$1,0))/100))</f>
        <v>#N/A</v>
      </c>
      <c r="G200" s="171" t="e">
        <f>INDEX('DUET Bonds'!$D$24:$D$42,MATCH('Value of Debt (listed bonds)'!$B200,'DUET Bonds'!$H$24:$H$42,0))*((INDEX('DUET bond prices'!$B$1:$U$807,MATCH('Value of Debt (listed bonds)'!G$3,'DUET bond prices'!$B$1:$B$807,0),MATCH('Value of Debt (listed bonds)'!$B200,'DUET bond prices'!$B$1:$U$1,0))/100))</f>
        <v>#N/A</v>
      </c>
      <c r="H200" s="171" t="e">
        <f>INDEX('DUET Bonds'!$D$24:$D$42,MATCH('Value of Debt (listed bonds)'!$B200,'DUET Bonds'!$H$24:$H$42,0))*((INDEX('DUET bond prices'!$B$1:$U$807,MATCH('Value of Debt (listed bonds)'!H$3,'DUET bond prices'!$B$1:$B$807,0),MATCH('Value of Debt (listed bonds)'!$B200,'DUET bond prices'!$B$1:$U$1,0))/100))</f>
        <v>#N/A</v>
      </c>
      <c r="I200" s="171">
        <f>INDEX('DUET Bonds'!$D$24:$D$42,MATCH('Value of Debt (listed bonds)'!$B200,'DUET Bonds'!$H$24:$H$42,0))*((INDEX('DUET bond prices'!$B$1:$U$807,MATCH('Value of Debt (listed bonds)'!I$3,'DUET bond prices'!$B$1:$B$807,0),MATCH('Value of Debt (listed bonds)'!$B200,'DUET bond prices'!$B$1:$U$1,0))/100))</f>
        <v>498631815.00000006</v>
      </c>
      <c r="J200" s="171">
        <f>INDEX('DUET Bonds'!$D$24:$D$42,MATCH('Value of Debt (listed bonds)'!$B200,'DUET Bonds'!$H$24:$H$42,0))*((INDEX('DUET bond prices'!$B$1:$U$807,MATCH('Value of Debt (listed bonds)'!J$3,'DUET bond prices'!$B$1:$B$807,0),MATCH('Value of Debt (listed bonds)'!$B200,'DUET bond prices'!$B$1:$U$1,0))/100))</f>
        <v>0</v>
      </c>
      <c r="K200" s="171">
        <f>INDEX('DUET Bonds'!$D$24:$D$42,MATCH('Value of Debt (listed bonds)'!$B200,'DUET Bonds'!$H$24:$H$42,0))*((INDEX('DUET bond prices'!$B$1:$U$807,MATCH('Value of Debt (listed bonds)'!K$3,'DUET bond prices'!$B$1:$B$807,0),MATCH('Value of Debt (listed bonds)'!$B200,'DUET bond prices'!$B$1:$U$1,0))/100))</f>
        <v>0</v>
      </c>
      <c r="L200" s="171" t="e">
        <f>INDEX('DUET Bonds'!$D$24:$D$42,MATCH('Value of Debt (listed bonds)'!$B200,'DUET Bonds'!$H$24:$H$42,0))*((INDEX('DUET bond prices'!$B$1:$U$807,MATCH('Value of Debt (listed bonds)'!L$3,'DUET bond prices'!$B$1:$B$807,0),MATCH('Value of Debt (listed bonds)'!$B200,'DUET bond prices'!$B$1:$U$1,0))/100))</f>
        <v>#N/A</v>
      </c>
      <c r="M200" s="171" t="e">
        <f>INDEX('DUET Bonds'!$D$24:$D$42,MATCH('Value of Debt (listed bonds)'!$B200,'DUET Bonds'!$H$24:$H$42,0))*((INDEX('DUET bond prices'!$B$1:$U$807,MATCH('Value of Debt (listed bonds)'!M$3,'DUET bond prices'!$B$1:$B$807,0),MATCH('Value of Debt (listed bonds)'!$B200,'DUET bond prices'!$B$1:$U$1,0))/100))</f>
        <v>#N/A</v>
      </c>
      <c r="N200" s="171" t="e">
        <f>INDEX('DUET Bonds'!$D$24:$D$42,MATCH('Value of Debt (listed bonds)'!$B200,'DUET Bonds'!$H$24:$H$42,0))*((INDEX('DUET bond prices'!$B$1:$U$807,MATCH('Value of Debt (listed bonds)'!N$3,'DUET bond prices'!$B$1:$B$807,0),MATCH('Value of Debt (listed bonds)'!$B200,'DUET bond prices'!$B$1:$U$1,0))/100))</f>
        <v>#N/A</v>
      </c>
      <c r="O200" s="171" t="e">
        <f>INDEX('DUET Bonds'!$D$24:$D$42,MATCH('Value of Debt (listed bonds)'!$B200,'DUET Bonds'!$H$24:$H$42,0))*((INDEX('DUET bond prices'!$B$1:$U$807,MATCH('Value of Debt (listed bonds)'!O$3,'DUET bond prices'!$B$1:$B$807,0),MATCH('Value of Debt (listed bonds)'!$B200,'DUET bond prices'!$B$1:$U$1,0))/100))</f>
        <v>#N/A</v>
      </c>
      <c r="P200" s="171" t="e">
        <f>INDEX('DUET Bonds'!$D$24:$D$42,MATCH('Value of Debt (listed bonds)'!$B200,'DUET Bonds'!$H$24:$H$42,0))*((INDEX('DUET bond prices'!$B$1:$U$807,MATCH('Value of Debt (listed bonds)'!P$3,'DUET bond prices'!$B$1:$B$807,0),MATCH('Value of Debt (listed bonds)'!$B200,'DUET bond prices'!$B$1:$U$1,0))/100))</f>
        <v>#N/A</v>
      </c>
      <c r="Q200" s="171" t="e">
        <f>INDEX('DUET Bonds'!$D$24:$D$42,MATCH('Value of Debt (listed bonds)'!$B200,'DUET Bonds'!$H$24:$H$42,0))*((INDEX('DUET bond prices'!$B$1:$U$807,MATCH('Value of Debt (listed bonds)'!Q$3,'DUET bond prices'!$B$1:$B$807,0),MATCH('Value of Debt (listed bonds)'!$B200,'DUET bond prices'!$B$1:$U$1,0))/100))</f>
        <v>#N/A</v>
      </c>
    </row>
    <row r="201" spans="2:17">
      <c r="B201" s="172" t="s">
        <v>353</v>
      </c>
      <c r="F201" s="171" t="e">
        <f>INDEX('DUET Bonds'!$D$24:$D$42,MATCH('Value of Debt (listed bonds)'!$B201,'DUET Bonds'!$H$24:$H$42,0))*((INDEX('DUET bond prices'!$B$1:$U$807,MATCH('Value of Debt (listed bonds)'!F$3,'DUET bond prices'!$B$1:$B$807,0),MATCH('Value of Debt (listed bonds)'!$B201,'DUET bond prices'!$B$1:$U$1,0))/100))</f>
        <v>#N/A</v>
      </c>
      <c r="G201" s="171" t="e">
        <f>INDEX('DUET Bonds'!$D$24:$D$42,MATCH('Value of Debt (listed bonds)'!$B201,'DUET Bonds'!$H$24:$H$42,0))*((INDEX('DUET bond prices'!$B$1:$U$807,MATCH('Value of Debt (listed bonds)'!G$3,'DUET bond prices'!$B$1:$B$807,0),MATCH('Value of Debt (listed bonds)'!$B201,'DUET bond prices'!$B$1:$U$1,0))/100))</f>
        <v>#N/A</v>
      </c>
      <c r="H201" s="171" t="e">
        <f>INDEX('DUET Bonds'!$D$24:$D$42,MATCH('Value of Debt (listed bonds)'!$B201,'DUET Bonds'!$H$24:$H$42,0))*((INDEX('DUET bond prices'!$B$1:$U$807,MATCH('Value of Debt (listed bonds)'!H$3,'DUET bond prices'!$B$1:$B$807,0),MATCH('Value of Debt (listed bonds)'!$B201,'DUET bond prices'!$B$1:$U$1,0))/100))</f>
        <v>#N/A</v>
      </c>
      <c r="I201" s="171">
        <f>INDEX('DUET Bonds'!$D$24:$D$42,MATCH('Value of Debt (listed bonds)'!$B201,'DUET Bonds'!$H$24:$H$42,0))*((INDEX('DUET bond prices'!$B$1:$U$807,MATCH('Value of Debt (listed bonds)'!I$3,'DUET bond prices'!$B$1:$B$807,0),MATCH('Value of Debt (listed bonds)'!$B201,'DUET bond prices'!$B$1:$U$1,0))/100))</f>
        <v>157470544.5</v>
      </c>
      <c r="J201" s="171">
        <f>INDEX('DUET Bonds'!$D$24:$D$42,MATCH('Value of Debt (listed bonds)'!$B201,'DUET Bonds'!$H$24:$H$42,0))*((INDEX('DUET bond prices'!$B$1:$U$807,MATCH('Value of Debt (listed bonds)'!J$3,'DUET bond prices'!$B$1:$B$807,0),MATCH('Value of Debt (listed bonds)'!$B201,'DUET bond prices'!$B$1:$U$1,0))/100))</f>
        <v>151658999.99999997</v>
      </c>
      <c r="K201" s="171">
        <f>INDEX('DUET Bonds'!$D$24:$D$42,MATCH('Value of Debt (listed bonds)'!$B201,'DUET Bonds'!$H$24:$H$42,0))*((INDEX('DUET bond prices'!$B$1:$U$807,MATCH('Value of Debt (listed bonds)'!K$3,'DUET bond prices'!$B$1:$B$807,0),MATCH('Value of Debt (listed bonds)'!$B201,'DUET bond prices'!$B$1:$U$1,0))/100))</f>
        <v>0</v>
      </c>
      <c r="L201" s="171" t="e">
        <f>INDEX('DUET Bonds'!$D$24:$D$42,MATCH('Value of Debt (listed bonds)'!$B201,'DUET Bonds'!$H$24:$H$42,0))*((INDEX('DUET bond prices'!$B$1:$U$807,MATCH('Value of Debt (listed bonds)'!L$3,'DUET bond prices'!$B$1:$B$807,0),MATCH('Value of Debt (listed bonds)'!$B201,'DUET bond prices'!$B$1:$U$1,0))/100))</f>
        <v>#N/A</v>
      </c>
      <c r="M201" s="171" t="e">
        <f>INDEX('DUET Bonds'!$D$24:$D$42,MATCH('Value of Debt (listed bonds)'!$B201,'DUET Bonds'!$H$24:$H$42,0))*((INDEX('DUET bond prices'!$B$1:$U$807,MATCH('Value of Debt (listed bonds)'!M$3,'DUET bond prices'!$B$1:$B$807,0),MATCH('Value of Debt (listed bonds)'!$B201,'DUET bond prices'!$B$1:$U$1,0))/100))</f>
        <v>#N/A</v>
      </c>
      <c r="N201" s="171" t="e">
        <f>INDEX('DUET Bonds'!$D$24:$D$42,MATCH('Value of Debt (listed bonds)'!$B201,'DUET Bonds'!$H$24:$H$42,0))*((INDEX('DUET bond prices'!$B$1:$U$807,MATCH('Value of Debt (listed bonds)'!N$3,'DUET bond prices'!$B$1:$B$807,0),MATCH('Value of Debt (listed bonds)'!$B201,'DUET bond prices'!$B$1:$U$1,0))/100))</f>
        <v>#N/A</v>
      </c>
      <c r="O201" s="171" t="e">
        <f>INDEX('DUET Bonds'!$D$24:$D$42,MATCH('Value of Debt (listed bonds)'!$B201,'DUET Bonds'!$H$24:$H$42,0))*((INDEX('DUET bond prices'!$B$1:$U$807,MATCH('Value of Debt (listed bonds)'!O$3,'DUET bond prices'!$B$1:$B$807,0),MATCH('Value of Debt (listed bonds)'!$B201,'DUET bond prices'!$B$1:$U$1,0))/100))</f>
        <v>#N/A</v>
      </c>
      <c r="P201" s="171" t="e">
        <f>INDEX('DUET Bonds'!$D$24:$D$42,MATCH('Value of Debt (listed bonds)'!$B201,'DUET Bonds'!$H$24:$H$42,0))*((INDEX('DUET bond prices'!$B$1:$U$807,MATCH('Value of Debt (listed bonds)'!P$3,'DUET bond prices'!$B$1:$B$807,0),MATCH('Value of Debt (listed bonds)'!$B201,'DUET bond prices'!$B$1:$U$1,0))/100))</f>
        <v>#N/A</v>
      </c>
      <c r="Q201" s="171" t="e">
        <f>INDEX('DUET Bonds'!$D$24:$D$42,MATCH('Value of Debt (listed bonds)'!$B201,'DUET Bonds'!$H$24:$H$42,0))*((INDEX('DUET bond prices'!$B$1:$U$807,MATCH('Value of Debt (listed bonds)'!Q$3,'DUET bond prices'!$B$1:$B$807,0),MATCH('Value of Debt (listed bonds)'!$B201,'DUET bond prices'!$B$1:$U$1,0))/100))</f>
        <v>#N/A</v>
      </c>
    </row>
    <row r="202" spans="2:17">
      <c r="B202" s="172" t="s">
        <v>354</v>
      </c>
      <c r="F202" s="171" t="e">
        <f>INDEX('DUET Bonds'!$D$24:$D$42,MATCH('Value of Debt (listed bonds)'!$B202,'DUET Bonds'!$H$24:$H$42,0))*((INDEX('DUET bond prices'!$B$1:$U$807,MATCH('Value of Debt (listed bonds)'!F$3,'DUET bond prices'!$B$1:$B$807,0),MATCH('Value of Debt (listed bonds)'!$B202,'DUET bond prices'!$B$1:$U$1,0))/100))</f>
        <v>#N/A</v>
      </c>
      <c r="G202" s="171" t="e">
        <f>INDEX('DUET Bonds'!$D$24:$D$42,MATCH('Value of Debt (listed bonds)'!$B202,'DUET Bonds'!$H$24:$H$42,0))*((INDEX('DUET bond prices'!$B$1:$U$807,MATCH('Value of Debt (listed bonds)'!G$3,'DUET bond prices'!$B$1:$B$807,0),MATCH('Value of Debt (listed bonds)'!$B202,'DUET bond prices'!$B$1:$U$1,0))/100))</f>
        <v>#N/A</v>
      </c>
      <c r="H202" s="171" t="e">
        <f>INDEX('DUET Bonds'!$D$24:$D$42,MATCH('Value of Debt (listed bonds)'!$B202,'DUET Bonds'!$H$24:$H$42,0))*((INDEX('DUET bond prices'!$B$1:$U$807,MATCH('Value of Debt (listed bonds)'!H$3,'DUET bond prices'!$B$1:$B$807,0),MATCH('Value of Debt (listed bonds)'!$B202,'DUET bond prices'!$B$1:$U$1,0))/100))</f>
        <v>#N/A</v>
      </c>
      <c r="I202" s="171">
        <f>INDEX('DUET Bonds'!$D$24:$D$42,MATCH('Value of Debt (listed bonds)'!$B202,'DUET Bonds'!$H$24:$H$42,0))*((INDEX('DUET bond prices'!$B$1:$U$807,MATCH('Value of Debt (listed bonds)'!I$3,'DUET bond prices'!$B$1:$B$807,0),MATCH('Value of Debt (listed bonds)'!$B202,'DUET bond prices'!$B$1:$U$1,0))/100))</f>
        <v>406511640</v>
      </c>
      <c r="J202" s="171">
        <f>INDEX('DUET Bonds'!$D$24:$D$42,MATCH('Value of Debt (listed bonds)'!$B202,'DUET Bonds'!$H$24:$H$42,0))*((INDEX('DUET bond prices'!$B$1:$U$807,MATCH('Value of Debt (listed bonds)'!J$3,'DUET bond prices'!$B$1:$B$807,0),MATCH('Value of Debt (listed bonds)'!$B202,'DUET bond prices'!$B$1:$U$1,0))/100))</f>
        <v>401591999.99999994</v>
      </c>
      <c r="K202" s="171">
        <f>INDEX('DUET Bonds'!$D$24:$D$42,MATCH('Value of Debt (listed bonds)'!$B202,'DUET Bonds'!$H$24:$H$42,0))*((INDEX('DUET bond prices'!$B$1:$U$807,MATCH('Value of Debt (listed bonds)'!K$3,'DUET bond prices'!$B$1:$B$807,0),MATCH('Value of Debt (listed bonds)'!$B202,'DUET bond prices'!$B$1:$U$1,0))/100))</f>
        <v>0</v>
      </c>
      <c r="L202" s="171" t="e">
        <f>INDEX('DUET Bonds'!$D$24:$D$42,MATCH('Value of Debt (listed bonds)'!$B202,'DUET Bonds'!$H$24:$H$42,0))*((INDEX('DUET bond prices'!$B$1:$U$807,MATCH('Value of Debt (listed bonds)'!L$3,'DUET bond prices'!$B$1:$B$807,0),MATCH('Value of Debt (listed bonds)'!$B202,'DUET bond prices'!$B$1:$U$1,0))/100))</f>
        <v>#N/A</v>
      </c>
      <c r="M202" s="171" t="e">
        <f>INDEX('DUET Bonds'!$D$24:$D$42,MATCH('Value of Debt (listed bonds)'!$B202,'DUET Bonds'!$H$24:$H$42,0))*((INDEX('DUET bond prices'!$B$1:$U$807,MATCH('Value of Debt (listed bonds)'!M$3,'DUET bond prices'!$B$1:$B$807,0),MATCH('Value of Debt (listed bonds)'!$B202,'DUET bond prices'!$B$1:$U$1,0))/100))</f>
        <v>#N/A</v>
      </c>
      <c r="N202" s="171" t="e">
        <f>INDEX('DUET Bonds'!$D$24:$D$42,MATCH('Value of Debt (listed bonds)'!$B202,'DUET Bonds'!$H$24:$H$42,0))*((INDEX('DUET bond prices'!$B$1:$U$807,MATCH('Value of Debt (listed bonds)'!N$3,'DUET bond prices'!$B$1:$B$807,0),MATCH('Value of Debt (listed bonds)'!$B202,'DUET bond prices'!$B$1:$U$1,0))/100))</f>
        <v>#N/A</v>
      </c>
      <c r="O202" s="171" t="e">
        <f>INDEX('DUET Bonds'!$D$24:$D$42,MATCH('Value of Debt (listed bonds)'!$B202,'DUET Bonds'!$H$24:$H$42,0))*((INDEX('DUET bond prices'!$B$1:$U$807,MATCH('Value of Debt (listed bonds)'!O$3,'DUET bond prices'!$B$1:$B$807,0),MATCH('Value of Debt (listed bonds)'!$B202,'DUET bond prices'!$B$1:$U$1,0))/100))</f>
        <v>#N/A</v>
      </c>
      <c r="P202" s="171" t="e">
        <f>INDEX('DUET Bonds'!$D$24:$D$42,MATCH('Value of Debt (listed bonds)'!$B202,'DUET Bonds'!$H$24:$H$42,0))*((INDEX('DUET bond prices'!$B$1:$U$807,MATCH('Value of Debt (listed bonds)'!P$3,'DUET bond prices'!$B$1:$B$807,0),MATCH('Value of Debt (listed bonds)'!$B202,'DUET bond prices'!$B$1:$U$1,0))/100))</f>
        <v>#N/A</v>
      </c>
      <c r="Q202" s="171" t="e">
        <f>INDEX('DUET Bonds'!$D$24:$D$42,MATCH('Value of Debt (listed bonds)'!$B202,'DUET Bonds'!$H$24:$H$42,0))*((INDEX('DUET bond prices'!$B$1:$U$807,MATCH('Value of Debt (listed bonds)'!Q$3,'DUET bond prices'!$B$1:$B$807,0),MATCH('Value of Debt (listed bonds)'!$B202,'DUET bond prices'!$B$1:$U$1,0))/100))</f>
        <v>#N/A</v>
      </c>
    </row>
    <row r="203" spans="2:17">
      <c r="B203" s="172" t="s">
        <v>355</v>
      </c>
      <c r="F203" s="171" t="e">
        <f>INDEX('DUET Bonds'!$D$24:$D$42,MATCH('Value of Debt (listed bonds)'!$B203,'DUET Bonds'!$H$24:$H$42,0))*((INDEX('DUET bond prices'!$B$1:$U$807,MATCH('Value of Debt (listed bonds)'!F$3,'DUET bond prices'!$B$1:$B$807,0),MATCH('Value of Debt (listed bonds)'!$B203,'DUET bond prices'!$B$1:$U$1,0))/100))</f>
        <v>#N/A</v>
      </c>
      <c r="G203" s="171" t="e">
        <f>INDEX('DUET Bonds'!$D$24:$D$42,MATCH('Value of Debt (listed bonds)'!$B203,'DUET Bonds'!$H$24:$H$42,0))*((INDEX('DUET bond prices'!$B$1:$U$807,MATCH('Value of Debt (listed bonds)'!G$3,'DUET bond prices'!$B$1:$B$807,0),MATCH('Value of Debt (listed bonds)'!$B203,'DUET bond prices'!$B$1:$U$1,0))/100))</f>
        <v>#N/A</v>
      </c>
      <c r="H203" s="171" t="e">
        <f>INDEX('DUET Bonds'!$D$24:$D$42,MATCH('Value of Debt (listed bonds)'!$B203,'DUET Bonds'!$H$24:$H$42,0))*((INDEX('DUET bond prices'!$B$1:$U$807,MATCH('Value of Debt (listed bonds)'!H$3,'DUET bond prices'!$B$1:$B$807,0),MATCH('Value of Debt (listed bonds)'!$B203,'DUET bond prices'!$B$1:$U$1,0))/100))</f>
        <v>#N/A</v>
      </c>
      <c r="I203" s="171">
        <f>INDEX('DUET Bonds'!$D$24:$D$42,MATCH('Value of Debt (listed bonds)'!$B203,'DUET Bonds'!$H$24:$H$42,0))*((INDEX('DUET bond prices'!$B$1:$U$807,MATCH('Value of Debt (listed bonds)'!I$3,'DUET bond prices'!$B$1:$B$807,0),MATCH('Value of Debt (listed bonds)'!$B203,'DUET bond prices'!$B$1:$U$1,0))/100))</f>
        <v>277174864.59477246</v>
      </c>
      <c r="J203" s="171">
        <f>INDEX('DUET Bonds'!$D$24:$D$42,MATCH('Value of Debt (listed bonds)'!$B203,'DUET Bonds'!$H$24:$H$42,0))*((INDEX('DUET bond prices'!$B$1:$U$807,MATCH('Value of Debt (listed bonds)'!J$3,'DUET bond prices'!$B$1:$B$807,0),MATCH('Value of Debt (listed bonds)'!$B203,'DUET bond prices'!$B$1:$U$1,0))/100))</f>
        <v>271937441.62592</v>
      </c>
      <c r="K203" s="171">
        <f>INDEX('DUET Bonds'!$D$24:$D$42,MATCH('Value of Debt (listed bonds)'!$B203,'DUET Bonds'!$H$24:$H$42,0))*((INDEX('DUET bond prices'!$B$1:$U$807,MATCH('Value of Debt (listed bonds)'!K$3,'DUET bond prices'!$B$1:$B$807,0),MATCH('Value of Debt (listed bonds)'!$B203,'DUET bond prices'!$B$1:$U$1,0))/100))</f>
        <v>0</v>
      </c>
      <c r="L203" s="171" t="e">
        <f>INDEX('DUET Bonds'!$D$24:$D$42,MATCH('Value of Debt (listed bonds)'!$B203,'DUET Bonds'!$H$24:$H$42,0))*((INDEX('DUET bond prices'!$B$1:$U$807,MATCH('Value of Debt (listed bonds)'!L$3,'DUET bond prices'!$B$1:$B$807,0),MATCH('Value of Debt (listed bonds)'!$B203,'DUET bond prices'!$B$1:$U$1,0))/100))</f>
        <v>#N/A</v>
      </c>
      <c r="M203" s="171" t="e">
        <f>INDEX('DUET Bonds'!$D$24:$D$42,MATCH('Value of Debt (listed bonds)'!$B203,'DUET Bonds'!$H$24:$H$42,0))*((INDEX('DUET bond prices'!$B$1:$U$807,MATCH('Value of Debt (listed bonds)'!M$3,'DUET bond prices'!$B$1:$B$807,0),MATCH('Value of Debt (listed bonds)'!$B203,'DUET bond prices'!$B$1:$U$1,0))/100))</f>
        <v>#N/A</v>
      </c>
      <c r="N203" s="171" t="e">
        <f>INDEX('DUET Bonds'!$D$24:$D$42,MATCH('Value of Debt (listed bonds)'!$B203,'DUET Bonds'!$H$24:$H$42,0))*((INDEX('DUET bond prices'!$B$1:$U$807,MATCH('Value of Debt (listed bonds)'!N$3,'DUET bond prices'!$B$1:$B$807,0),MATCH('Value of Debt (listed bonds)'!$B203,'DUET bond prices'!$B$1:$U$1,0))/100))</f>
        <v>#N/A</v>
      </c>
      <c r="O203" s="171" t="e">
        <f>INDEX('DUET Bonds'!$D$24:$D$42,MATCH('Value of Debt (listed bonds)'!$B203,'DUET Bonds'!$H$24:$H$42,0))*((INDEX('DUET bond prices'!$B$1:$U$807,MATCH('Value of Debt (listed bonds)'!O$3,'DUET bond prices'!$B$1:$B$807,0),MATCH('Value of Debt (listed bonds)'!$B203,'DUET bond prices'!$B$1:$U$1,0))/100))</f>
        <v>#N/A</v>
      </c>
      <c r="P203" s="171" t="e">
        <f>INDEX('DUET Bonds'!$D$24:$D$42,MATCH('Value of Debt (listed bonds)'!$B203,'DUET Bonds'!$H$24:$H$42,0))*((INDEX('DUET bond prices'!$B$1:$U$807,MATCH('Value of Debt (listed bonds)'!P$3,'DUET bond prices'!$B$1:$B$807,0),MATCH('Value of Debt (listed bonds)'!$B203,'DUET bond prices'!$B$1:$U$1,0))/100))</f>
        <v>#N/A</v>
      </c>
      <c r="Q203" s="171" t="e">
        <f>INDEX('DUET Bonds'!$D$24:$D$42,MATCH('Value of Debt (listed bonds)'!$B203,'DUET Bonds'!$H$24:$H$42,0))*((INDEX('DUET bond prices'!$B$1:$U$807,MATCH('Value of Debt (listed bonds)'!Q$3,'DUET bond prices'!$B$1:$B$807,0),MATCH('Value of Debt (listed bonds)'!$B203,'DUET bond prices'!$B$1:$U$1,0))/100))</f>
        <v>#N/A</v>
      </c>
    </row>
    <row r="204" spans="2:17">
      <c r="B204" s="172" t="s">
        <v>356</v>
      </c>
      <c r="F204" s="171" t="e">
        <f>INDEX('DUET Bonds'!$D$24:$D$42,MATCH('Value of Debt (listed bonds)'!$B204,'DUET Bonds'!$H$24:$H$42,0))*((INDEX('DUET bond prices'!$B$1:$U$807,MATCH('Value of Debt (listed bonds)'!F$3,'DUET bond prices'!$B$1:$B$807,0),MATCH('Value of Debt (listed bonds)'!$B204,'DUET bond prices'!$B$1:$U$1,0))/100))</f>
        <v>#N/A</v>
      </c>
      <c r="G204" s="171" t="e">
        <f>INDEX('DUET Bonds'!$D$24:$D$42,MATCH('Value of Debt (listed bonds)'!$B204,'DUET Bonds'!$H$24:$H$42,0))*((INDEX('DUET bond prices'!$B$1:$U$807,MATCH('Value of Debt (listed bonds)'!G$3,'DUET bond prices'!$B$1:$B$807,0),MATCH('Value of Debt (listed bonds)'!$B204,'DUET bond prices'!$B$1:$U$1,0))/100))</f>
        <v>#N/A</v>
      </c>
      <c r="H204" s="171" t="e">
        <f>INDEX('DUET Bonds'!$D$24:$D$42,MATCH('Value of Debt (listed bonds)'!$B204,'DUET Bonds'!$H$24:$H$42,0))*((INDEX('DUET bond prices'!$B$1:$U$807,MATCH('Value of Debt (listed bonds)'!H$3,'DUET bond prices'!$B$1:$B$807,0),MATCH('Value of Debt (listed bonds)'!$B204,'DUET bond prices'!$B$1:$U$1,0))/100))</f>
        <v>#N/A</v>
      </c>
      <c r="I204" s="171">
        <f>INDEX('DUET Bonds'!$D$24:$D$42,MATCH('Value of Debt (listed bonds)'!$B204,'DUET Bonds'!$H$24:$H$42,0))*((INDEX('DUET bond prices'!$B$1:$U$807,MATCH('Value of Debt (listed bonds)'!I$3,'DUET bond prices'!$B$1:$B$807,0),MATCH('Value of Debt (listed bonds)'!$B204,'DUET bond prices'!$B$1:$U$1,0))/100))</f>
        <v>277173253.28358144</v>
      </c>
      <c r="J204" s="171">
        <f>INDEX('DUET Bonds'!$D$24:$D$42,MATCH('Value of Debt (listed bonds)'!$B204,'DUET Bonds'!$H$24:$H$42,0))*((INDEX('DUET bond prices'!$B$1:$U$807,MATCH('Value of Debt (listed bonds)'!J$3,'DUET bond prices'!$B$1:$B$807,0),MATCH('Value of Debt (listed bonds)'!$B204,'DUET bond prices'!$B$1:$U$1,0))/100))</f>
        <v>271935440.82559997</v>
      </c>
      <c r="K204" s="171">
        <f>INDEX('DUET Bonds'!$D$24:$D$42,MATCH('Value of Debt (listed bonds)'!$B204,'DUET Bonds'!$H$24:$H$42,0))*((INDEX('DUET bond prices'!$B$1:$U$807,MATCH('Value of Debt (listed bonds)'!K$3,'DUET bond prices'!$B$1:$B$807,0),MATCH('Value of Debt (listed bonds)'!$B204,'DUET bond prices'!$B$1:$U$1,0))/100))</f>
        <v>0</v>
      </c>
      <c r="L204" s="171" t="e">
        <f>INDEX('DUET Bonds'!$D$24:$D$42,MATCH('Value of Debt (listed bonds)'!$B204,'DUET Bonds'!$H$24:$H$42,0))*((INDEX('DUET bond prices'!$B$1:$U$807,MATCH('Value of Debt (listed bonds)'!L$3,'DUET bond prices'!$B$1:$B$807,0),MATCH('Value of Debt (listed bonds)'!$B204,'DUET bond prices'!$B$1:$U$1,0))/100))</f>
        <v>#N/A</v>
      </c>
      <c r="M204" s="171" t="e">
        <f>INDEX('DUET Bonds'!$D$24:$D$42,MATCH('Value of Debt (listed bonds)'!$B204,'DUET Bonds'!$H$24:$H$42,0))*((INDEX('DUET bond prices'!$B$1:$U$807,MATCH('Value of Debt (listed bonds)'!M$3,'DUET bond prices'!$B$1:$B$807,0),MATCH('Value of Debt (listed bonds)'!$B204,'DUET bond prices'!$B$1:$U$1,0))/100))</f>
        <v>#N/A</v>
      </c>
      <c r="N204" s="171" t="e">
        <f>INDEX('DUET Bonds'!$D$24:$D$42,MATCH('Value of Debt (listed bonds)'!$B204,'DUET Bonds'!$H$24:$H$42,0))*((INDEX('DUET bond prices'!$B$1:$U$807,MATCH('Value of Debt (listed bonds)'!N$3,'DUET bond prices'!$B$1:$B$807,0),MATCH('Value of Debt (listed bonds)'!$B204,'DUET bond prices'!$B$1:$U$1,0))/100))</f>
        <v>#N/A</v>
      </c>
      <c r="O204" s="171" t="e">
        <f>INDEX('DUET Bonds'!$D$24:$D$42,MATCH('Value of Debt (listed bonds)'!$B204,'DUET Bonds'!$H$24:$H$42,0))*((INDEX('DUET bond prices'!$B$1:$U$807,MATCH('Value of Debt (listed bonds)'!O$3,'DUET bond prices'!$B$1:$B$807,0),MATCH('Value of Debt (listed bonds)'!$B204,'DUET bond prices'!$B$1:$U$1,0))/100))</f>
        <v>#N/A</v>
      </c>
      <c r="P204" s="171" t="e">
        <f>INDEX('DUET Bonds'!$D$24:$D$42,MATCH('Value of Debt (listed bonds)'!$B204,'DUET Bonds'!$H$24:$H$42,0))*((INDEX('DUET bond prices'!$B$1:$U$807,MATCH('Value of Debt (listed bonds)'!P$3,'DUET bond prices'!$B$1:$B$807,0),MATCH('Value of Debt (listed bonds)'!$B204,'DUET bond prices'!$B$1:$U$1,0))/100))</f>
        <v>#N/A</v>
      </c>
      <c r="Q204" s="171" t="e">
        <f>INDEX('DUET Bonds'!$D$24:$D$42,MATCH('Value of Debt (listed bonds)'!$B204,'DUET Bonds'!$H$24:$H$42,0))*((INDEX('DUET bond prices'!$B$1:$U$807,MATCH('Value of Debt (listed bonds)'!Q$3,'DUET bond prices'!$B$1:$B$807,0),MATCH('Value of Debt (listed bonds)'!$B204,'DUET bond prices'!$B$1:$U$1,0))/100))</f>
        <v>#N/A</v>
      </c>
    </row>
    <row r="205" spans="2:17">
      <c r="B205" s="172" t="s">
        <v>357</v>
      </c>
      <c r="F205" s="171" t="e">
        <f>INDEX('DUET Bonds'!$D$24:$D$42,MATCH('Value of Debt (listed bonds)'!$B205,'DUET Bonds'!$H$24:$H$42,0))*((INDEX('DUET bond prices'!$B$1:$U$807,MATCH('Value of Debt (listed bonds)'!F$3,'DUET bond prices'!$B$1:$B$807,0),MATCH('Value of Debt (listed bonds)'!$B205,'DUET bond prices'!$B$1:$U$1,0))/100))</f>
        <v>#N/A</v>
      </c>
      <c r="G205" s="171" t="e">
        <f>INDEX('DUET Bonds'!$D$24:$D$42,MATCH('Value of Debt (listed bonds)'!$B205,'DUET Bonds'!$H$24:$H$42,0))*((INDEX('DUET bond prices'!$B$1:$U$807,MATCH('Value of Debt (listed bonds)'!G$3,'DUET bond prices'!$B$1:$B$807,0),MATCH('Value of Debt (listed bonds)'!$B205,'DUET bond prices'!$B$1:$U$1,0))/100))</f>
        <v>#N/A</v>
      </c>
      <c r="H205" s="171" t="e">
        <f>INDEX('DUET Bonds'!$D$24:$D$42,MATCH('Value of Debt (listed bonds)'!$B205,'DUET Bonds'!$H$24:$H$42,0))*((INDEX('DUET bond prices'!$B$1:$U$807,MATCH('Value of Debt (listed bonds)'!H$3,'DUET bond prices'!$B$1:$B$807,0),MATCH('Value of Debt (listed bonds)'!$B205,'DUET bond prices'!$B$1:$U$1,0))/100))</f>
        <v>#N/A</v>
      </c>
      <c r="I205" s="171">
        <f>INDEX('DUET Bonds'!$D$24:$D$42,MATCH('Value of Debt (listed bonds)'!$B205,'DUET Bonds'!$H$24:$H$42,0))*((INDEX('DUET bond prices'!$B$1:$U$807,MATCH('Value of Debt (listed bonds)'!I$3,'DUET bond prices'!$B$1:$B$807,0),MATCH('Value of Debt (listed bonds)'!$B205,'DUET bond prices'!$B$1:$U$1,0))/100))</f>
        <v>278190266.34999996</v>
      </c>
      <c r="J205" s="171">
        <f>INDEX('DUET Bonds'!$D$24:$D$42,MATCH('Value of Debt (listed bonds)'!$B205,'DUET Bonds'!$H$24:$H$42,0))*((INDEX('DUET bond prices'!$B$1:$U$807,MATCH('Value of Debt (listed bonds)'!J$3,'DUET bond prices'!$B$1:$B$807,0),MATCH('Value of Debt (listed bonds)'!$B205,'DUET bond prices'!$B$1:$U$1,0))/100))</f>
        <v>277489450</v>
      </c>
      <c r="K205" s="171">
        <f>INDEX('DUET Bonds'!$D$24:$D$42,MATCH('Value of Debt (listed bonds)'!$B205,'DUET Bonds'!$H$24:$H$42,0))*((INDEX('DUET bond prices'!$B$1:$U$807,MATCH('Value of Debt (listed bonds)'!K$3,'DUET bond prices'!$B$1:$B$807,0),MATCH('Value of Debt (listed bonds)'!$B205,'DUET bond prices'!$B$1:$U$1,0))/100))</f>
        <v>271326875</v>
      </c>
      <c r="L205" s="171" t="e">
        <f>INDEX('DUET Bonds'!$D$24:$D$42,MATCH('Value of Debt (listed bonds)'!$B205,'DUET Bonds'!$H$24:$H$42,0))*((INDEX('DUET bond prices'!$B$1:$U$807,MATCH('Value of Debt (listed bonds)'!L$3,'DUET bond prices'!$B$1:$B$807,0),MATCH('Value of Debt (listed bonds)'!$B205,'DUET bond prices'!$B$1:$U$1,0))/100))</f>
        <v>#N/A</v>
      </c>
      <c r="M205" s="171" t="e">
        <f>INDEX('DUET Bonds'!$D$24:$D$42,MATCH('Value of Debt (listed bonds)'!$B205,'DUET Bonds'!$H$24:$H$42,0))*((INDEX('DUET bond prices'!$B$1:$U$807,MATCH('Value of Debt (listed bonds)'!M$3,'DUET bond prices'!$B$1:$B$807,0),MATCH('Value of Debt (listed bonds)'!$B205,'DUET bond prices'!$B$1:$U$1,0))/100))</f>
        <v>#N/A</v>
      </c>
      <c r="N205" s="171" t="e">
        <f>INDEX('DUET Bonds'!$D$24:$D$42,MATCH('Value of Debt (listed bonds)'!$B205,'DUET Bonds'!$H$24:$H$42,0))*((INDEX('DUET bond prices'!$B$1:$U$807,MATCH('Value of Debt (listed bonds)'!N$3,'DUET bond prices'!$B$1:$B$807,0),MATCH('Value of Debt (listed bonds)'!$B205,'DUET bond prices'!$B$1:$U$1,0))/100))</f>
        <v>#N/A</v>
      </c>
      <c r="O205" s="171" t="e">
        <f>INDEX('DUET Bonds'!$D$24:$D$42,MATCH('Value of Debt (listed bonds)'!$B205,'DUET Bonds'!$H$24:$H$42,0))*((INDEX('DUET bond prices'!$B$1:$U$807,MATCH('Value of Debt (listed bonds)'!O$3,'DUET bond prices'!$B$1:$B$807,0),MATCH('Value of Debt (listed bonds)'!$B205,'DUET bond prices'!$B$1:$U$1,0))/100))</f>
        <v>#N/A</v>
      </c>
      <c r="P205" s="171" t="e">
        <f>INDEX('DUET Bonds'!$D$24:$D$42,MATCH('Value of Debt (listed bonds)'!$B205,'DUET Bonds'!$H$24:$H$42,0))*((INDEX('DUET bond prices'!$B$1:$U$807,MATCH('Value of Debt (listed bonds)'!P$3,'DUET bond prices'!$B$1:$B$807,0),MATCH('Value of Debt (listed bonds)'!$B205,'DUET bond prices'!$B$1:$U$1,0))/100))</f>
        <v>#N/A</v>
      </c>
      <c r="Q205" s="171" t="e">
        <f>INDEX('DUET Bonds'!$D$24:$D$42,MATCH('Value of Debt (listed bonds)'!$B205,'DUET Bonds'!$H$24:$H$42,0))*((INDEX('DUET bond prices'!$B$1:$U$807,MATCH('Value of Debt (listed bonds)'!Q$3,'DUET bond prices'!$B$1:$B$807,0),MATCH('Value of Debt (listed bonds)'!$B205,'DUET bond prices'!$B$1:$U$1,0))/100))</f>
        <v>#N/A</v>
      </c>
    </row>
    <row r="206" spans="2:17">
      <c r="B206" s="172" t="s">
        <v>358</v>
      </c>
      <c r="F206" s="171" t="e">
        <f>INDEX('DUET Bonds'!$D$24:$D$42,MATCH('Value of Debt (listed bonds)'!$B206,'DUET Bonds'!$H$24:$H$42,0))*((INDEX('DUET bond prices'!$B$1:$U$807,MATCH('Value of Debt (listed bonds)'!F$3,'DUET bond prices'!$B$1:$B$807,0),MATCH('Value of Debt (listed bonds)'!$B206,'DUET bond prices'!$B$1:$U$1,0))/100))</f>
        <v>#N/A</v>
      </c>
      <c r="G206" s="171" t="e">
        <f>INDEX('DUET Bonds'!$D$24:$D$42,MATCH('Value of Debt (listed bonds)'!$B206,'DUET Bonds'!$H$24:$H$42,0))*((INDEX('DUET bond prices'!$B$1:$U$807,MATCH('Value of Debt (listed bonds)'!G$3,'DUET bond prices'!$B$1:$B$807,0),MATCH('Value of Debt (listed bonds)'!$B206,'DUET bond prices'!$B$1:$U$1,0))/100))</f>
        <v>#N/A</v>
      </c>
      <c r="H206" s="171" t="e">
        <f>INDEX('DUET Bonds'!$D$24:$D$42,MATCH('Value of Debt (listed bonds)'!$B206,'DUET Bonds'!$H$24:$H$42,0))*((INDEX('DUET bond prices'!$B$1:$U$807,MATCH('Value of Debt (listed bonds)'!H$3,'DUET bond prices'!$B$1:$B$807,0),MATCH('Value of Debt (listed bonds)'!$B206,'DUET bond prices'!$B$1:$U$1,0))/100))</f>
        <v>#N/A</v>
      </c>
      <c r="I206" s="171">
        <f>INDEX('DUET Bonds'!$D$24:$D$42,MATCH('Value of Debt (listed bonds)'!$B206,'DUET Bonds'!$H$24:$H$42,0))*((INDEX('DUET bond prices'!$B$1:$U$807,MATCH('Value of Debt (listed bonds)'!I$3,'DUET bond prices'!$B$1:$B$807,0),MATCH('Value of Debt (listed bonds)'!$B206,'DUET bond prices'!$B$1:$U$1,0))/100))</f>
        <v>253984926.25</v>
      </c>
      <c r="J206" s="171">
        <f>INDEX('DUET Bonds'!$D$24:$D$42,MATCH('Value of Debt (listed bonds)'!$B206,'DUET Bonds'!$H$24:$H$42,0))*((INDEX('DUET bond prices'!$B$1:$U$807,MATCH('Value of Debt (listed bonds)'!J$3,'DUET bond prices'!$B$1:$B$807,0),MATCH('Value of Debt (listed bonds)'!$B206,'DUET bond prices'!$B$1:$U$1,0))/100))</f>
        <v>269387250</v>
      </c>
      <c r="K206" s="171">
        <f>INDEX('DUET Bonds'!$D$24:$D$42,MATCH('Value of Debt (listed bonds)'!$B206,'DUET Bonds'!$H$24:$H$42,0))*((INDEX('DUET bond prices'!$B$1:$U$807,MATCH('Value of Debt (listed bonds)'!K$3,'DUET bond prices'!$B$1:$B$807,0),MATCH('Value of Debt (listed bonds)'!$B206,'DUET bond prices'!$B$1:$U$1,0))/100))</f>
        <v>272791750</v>
      </c>
      <c r="L206" s="171" t="e">
        <f>INDEX('DUET Bonds'!$D$24:$D$42,MATCH('Value of Debt (listed bonds)'!$B206,'DUET Bonds'!$H$24:$H$42,0))*((INDEX('DUET bond prices'!$B$1:$U$807,MATCH('Value of Debt (listed bonds)'!L$3,'DUET bond prices'!$B$1:$B$807,0),MATCH('Value of Debt (listed bonds)'!$B206,'DUET bond prices'!$B$1:$U$1,0))/100))</f>
        <v>#N/A</v>
      </c>
      <c r="M206" s="171" t="e">
        <f>INDEX('DUET Bonds'!$D$24:$D$42,MATCH('Value of Debt (listed bonds)'!$B206,'DUET Bonds'!$H$24:$H$42,0))*((INDEX('DUET bond prices'!$B$1:$U$807,MATCH('Value of Debt (listed bonds)'!M$3,'DUET bond prices'!$B$1:$B$807,0),MATCH('Value of Debt (listed bonds)'!$B206,'DUET bond prices'!$B$1:$U$1,0))/100))</f>
        <v>#N/A</v>
      </c>
      <c r="N206" s="171" t="e">
        <f>INDEX('DUET Bonds'!$D$24:$D$42,MATCH('Value of Debt (listed bonds)'!$B206,'DUET Bonds'!$H$24:$H$42,0))*((INDEX('DUET bond prices'!$B$1:$U$807,MATCH('Value of Debt (listed bonds)'!N$3,'DUET bond prices'!$B$1:$B$807,0),MATCH('Value of Debt (listed bonds)'!$B206,'DUET bond prices'!$B$1:$U$1,0))/100))</f>
        <v>#N/A</v>
      </c>
      <c r="O206" s="171" t="e">
        <f>INDEX('DUET Bonds'!$D$24:$D$42,MATCH('Value of Debt (listed bonds)'!$B206,'DUET Bonds'!$H$24:$H$42,0))*((INDEX('DUET bond prices'!$B$1:$U$807,MATCH('Value of Debt (listed bonds)'!O$3,'DUET bond prices'!$B$1:$B$807,0),MATCH('Value of Debt (listed bonds)'!$B206,'DUET bond prices'!$B$1:$U$1,0))/100))</f>
        <v>#N/A</v>
      </c>
      <c r="P206" s="171" t="e">
        <f>INDEX('DUET Bonds'!$D$24:$D$42,MATCH('Value of Debt (listed bonds)'!$B206,'DUET Bonds'!$H$24:$H$42,0))*((INDEX('DUET bond prices'!$B$1:$U$807,MATCH('Value of Debt (listed bonds)'!P$3,'DUET bond prices'!$B$1:$B$807,0),MATCH('Value of Debt (listed bonds)'!$B206,'DUET bond prices'!$B$1:$U$1,0))/100))</f>
        <v>#N/A</v>
      </c>
      <c r="Q206" s="171" t="e">
        <f>INDEX('DUET Bonds'!$D$24:$D$42,MATCH('Value of Debt (listed bonds)'!$B206,'DUET Bonds'!$H$24:$H$42,0))*((INDEX('DUET bond prices'!$B$1:$U$807,MATCH('Value of Debt (listed bonds)'!Q$3,'DUET bond prices'!$B$1:$B$807,0),MATCH('Value of Debt (listed bonds)'!$B206,'DUET bond prices'!$B$1:$U$1,0))/100))</f>
        <v>#N/A</v>
      </c>
    </row>
    <row r="207" spans="2:17">
      <c r="B207" s="172" t="s">
        <v>359</v>
      </c>
      <c r="F207" s="171" t="e">
        <f>INDEX('DUET Bonds'!$D$24:$D$42,MATCH('Value of Debt (listed bonds)'!$B207,'DUET Bonds'!$H$24:$H$42,0))*((INDEX('DUET bond prices'!$B$1:$U$807,MATCH('Value of Debt (listed bonds)'!F$3,'DUET bond prices'!$B$1:$B$807,0),MATCH('Value of Debt (listed bonds)'!$B207,'DUET bond prices'!$B$1:$U$1,0))/100))</f>
        <v>#N/A</v>
      </c>
      <c r="G207" s="171" t="e">
        <f>INDEX('DUET Bonds'!$D$24:$D$42,MATCH('Value of Debt (listed bonds)'!$B207,'DUET Bonds'!$H$24:$H$42,0))*((INDEX('DUET bond prices'!$B$1:$U$807,MATCH('Value of Debt (listed bonds)'!G$3,'DUET bond prices'!$B$1:$B$807,0),MATCH('Value of Debt (listed bonds)'!$B207,'DUET bond prices'!$B$1:$U$1,0))/100))</f>
        <v>#N/A</v>
      </c>
      <c r="H207" s="171" t="e">
        <f>INDEX('DUET Bonds'!$D$24:$D$42,MATCH('Value of Debt (listed bonds)'!$B207,'DUET Bonds'!$H$24:$H$42,0))*((INDEX('DUET bond prices'!$B$1:$U$807,MATCH('Value of Debt (listed bonds)'!H$3,'DUET bond prices'!$B$1:$B$807,0),MATCH('Value of Debt (listed bonds)'!$B207,'DUET bond prices'!$B$1:$U$1,0))/100))</f>
        <v>#N/A</v>
      </c>
      <c r="I207" s="171">
        <f>INDEX('DUET Bonds'!$D$24:$D$42,MATCH('Value of Debt (listed bonds)'!$B207,'DUET Bonds'!$H$24:$H$42,0))*((INDEX('DUET bond prices'!$B$1:$U$807,MATCH('Value of Debt (listed bonds)'!I$3,'DUET bond prices'!$B$1:$B$807,0),MATCH('Value of Debt (listed bonds)'!$B207,'DUET bond prices'!$B$1:$U$1,0))/100))</f>
        <v>284379000</v>
      </c>
      <c r="J207" s="171">
        <f>INDEX('DUET Bonds'!$D$24:$D$42,MATCH('Value of Debt (listed bonds)'!$B207,'DUET Bonds'!$H$24:$H$42,0))*((INDEX('DUET bond prices'!$B$1:$U$807,MATCH('Value of Debt (listed bonds)'!J$3,'DUET bond prices'!$B$1:$B$807,0),MATCH('Value of Debt (listed bonds)'!$B207,'DUET bond prices'!$B$1:$U$1,0))/100))</f>
        <v>290739000</v>
      </c>
      <c r="K207" s="171">
        <f>INDEX('DUET Bonds'!$D$24:$D$42,MATCH('Value of Debt (listed bonds)'!$B207,'DUET Bonds'!$H$24:$H$42,0))*((INDEX('DUET bond prices'!$B$1:$U$807,MATCH('Value of Debt (listed bonds)'!K$3,'DUET bond prices'!$B$1:$B$807,0),MATCH('Value of Debt (listed bonds)'!$B207,'DUET bond prices'!$B$1:$U$1,0))/100))</f>
        <v>299928000</v>
      </c>
      <c r="L207" s="171" t="e">
        <f>INDEX('DUET Bonds'!$D$24:$D$42,MATCH('Value of Debt (listed bonds)'!$B207,'DUET Bonds'!$H$24:$H$42,0))*((INDEX('DUET bond prices'!$B$1:$U$807,MATCH('Value of Debt (listed bonds)'!L$3,'DUET bond prices'!$B$1:$B$807,0),MATCH('Value of Debt (listed bonds)'!$B207,'DUET bond prices'!$B$1:$U$1,0))/100))</f>
        <v>#N/A</v>
      </c>
      <c r="M207" s="171" t="e">
        <f>INDEX('DUET Bonds'!$D$24:$D$42,MATCH('Value of Debt (listed bonds)'!$B207,'DUET Bonds'!$H$24:$H$42,0))*((INDEX('DUET bond prices'!$B$1:$U$807,MATCH('Value of Debt (listed bonds)'!M$3,'DUET bond prices'!$B$1:$B$807,0),MATCH('Value of Debt (listed bonds)'!$B207,'DUET bond prices'!$B$1:$U$1,0))/100))</f>
        <v>#N/A</v>
      </c>
      <c r="N207" s="171" t="e">
        <f>INDEX('DUET Bonds'!$D$24:$D$42,MATCH('Value of Debt (listed bonds)'!$B207,'DUET Bonds'!$H$24:$H$42,0))*((INDEX('DUET bond prices'!$B$1:$U$807,MATCH('Value of Debt (listed bonds)'!N$3,'DUET bond prices'!$B$1:$B$807,0),MATCH('Value of Debt (listed bonds)'!$B207,'DUET bond prices'!$B$1:$U$1,0))/100))</f>
        <v>#N/A</v>
      </c>
      <c r="O207" s="171" t="e">
        <f>INDEX('DUET Bonds'!$D$24:$D$42,MATCH('Value of Debt (listed bonds)'!$B207,'DUET Bonds'!$H$24:$H$42,0))*((INDEX('DUET bond prices'!$B$1:$U$807,MATCH('Value of Debt (listed bonds)'!O$3,'DUET bond prices'!$B$1:$B$807,0),MATCH('Value of Debt (listed bonds)'!$B207,'DUET bond prices'!$B$1:$U$1,0))/100))</f>
        <v>#N/A</v>
      </c>
      <c r="P207" s="171" t="e">
        <f>INDEX('DUET Bonds'!$D$24:$D$42,MATCH('Value of Debt (listed bonds)'!$B207,'DUET Bonds'!$H$24:$H$42,0))*((INDEX('DUET bond prices'!$B$1:$U$807,MATCH('Value of Debt (listed bonds)'!P$3,'DUET bond prices'!$B$1:$B$807,0),MATCH('Value of Debt (listed bonds)'!$B207,'DUET bond prices'!$B$1:$U$1,0))/100))</f>
        <v>#N/A</v>
      </c>
      <c r="Q207" s="171" t="e">
        <f>INDEX('DUET Bonds'!$D$24:$D$42,MATCH('Value of Debt (listed bonds)'!$B207,'DUET Bonds'!$H$24:$H$42,0))*((INDEX('DUET bond prices'!$B$1:$U$807,MATCH('Value of Debt (listed bonds)'!Q$3,'DUET bond prices'!$B$1:$B$807,0),MATCH('Value of Debt (listed bonds)'!$B207,'DUET bond prices'!$B$1:$U$1,0))/100))</f>
        <v>#N/A</v>
      </c>
    </row>
    <row r="208" spans="2:17">
      <c r="B208" s="172" t="s">
        <v>360</v>
      </c>
      <c r="F208" s="171" t="e">
        <f>INDEX('DUET Bonds'!$D$24:$D$42,MATCH('Value of Debt (listed bonds)'!$B208,'DUET Bonds'!$H$24:$H$42,0))*((INDEX('DUET bond prices'!$B$1:$U$807,MATCH('Value of Debt (listed bonds)'!F$3,'DUET bond prices'!$B$1:$B$807,0),MATCH('Value of Debt (listed bonds)'!$B208,'DUET bond prices'!$B$1:$U$1,0))/100))</f>
        <v>#N/A</v>
      </c>
      <c r="G208" s="171" t="e">
        <f>INDEX('DUET Bonds'!$D$24:$D$42,MATCH('Value of Debt (listed bonds)'!$B208,'DUET Bonds'!$H$24:$H$42,0))*((INDEX('DUET bond prices'!$B$1:$U$807,MATCH('Value of Debt (listed bonds)'!G$3,'DUET bond prices'!$B$1:$B$807,0),MATCH('Value of Debt (listed bonds)'!$B208,'DUET bond prices'!$B$1:$U$1,0))/100))</f>
        <v>#N/A</v>
      </c>
      <c r="H208" s="171" t="e">
        <f>INDEX('DUET Bonds'!$D$24:$D$42,MATCH('Value of Debt (listed bonds)'!$B208,'DUET Bonds'!$H$24:$H$42,0))*((INDEX('DUET bond prices'!$B$1:$U$807,MATCH('Value of Debt (listed bonds)'!H$3,'DUET bond prices'!$B$1:$B$807,0),MATCH('Value of Debt (listed bonds)'!$B208,'DUET bond prices'!$B$1:$U$1,0))/100))</f>
        <v>#N/A</v>
      </c>
      <c r="I208" s="171">
        <f>INDEX('DUET Bonds'!$D$24:$D$42,MATCH('Value of Debt (listed bonds)'!$B208,'DUET Bonds'!$H$24:$H$42,0))*((INDEX('DUET bond prices'!$B$1:$U$807,MATCH('Value of Debt (listed bonds)'!I$3,'DUET bond prices'!$B$1:$B$807,0),MATCH('Value of Debt (listed bonds)'!$B208,'DUET bond prices'!$B$1:$U$1,0))/100))</f>
        <v>308153748.5</v>
      </c>
      <c r="J208" s="171">
        <f>INDEX('DUET Bonds'!$D$24:$D$42,MATCH('Value of Debt (listed bonds)'!$B208,'DUET Bonds'!$H$24:$H$42,0))*((INDEX('DUET bond prices'!$B$1:$U$807,MATCH('Value of Debt (listed bonds)'!J$3,'DUET bond prices'!$B$1:$B$807,0),MATCH('Value of Debt (listed bonds)'!$B208,'DUET bond prices'!$B$1:$U$1,0))/100))</f>
        <v>314054000</v>
      </c>
      <c r="K208" s="171">
        <f>INDEX('DUET Bonds'!$D$24:$D$42,MATCH('Value of Debt (listed bonds)'!$B208,'DUET Bonds'!$H$24:$H$42,0))*((INDEX('DUET bond prices'!$B$1:$U$807,MATCH('Value of Debt (listed bonds)'!K$3,'DUET bond prices'!$B$1:$B$807,0),MATCH('Value of Debt (listed bonds)'!$B208,'DUET bond prices'!$B$1:$U$1,0))/100))</f>
        <v>320391500</v>
      </c>
      <c r="L208" s="171" t="e">
        <f>INDEX('DUET Bonds'!$D$24:$D$42,MATCH('Value of Debt (listed bonds)'!$B208,'DUET Bonds'!$H$24:$H$42,0))*((INDEX('DUET bond prices'!$B$1:$U$807,MATCH('Value of Debt (listed bonds)'!L$3,'DUET bond prices'!$B$1:$B$807,0),MATCH('Value of Debt (listed bonds)'!$B208,'DUET bond prices'!$B$1:$U$1,0))/100))</f>
        <v>#N/A</v>
      </c>
      <c r="M208" s="171" t="e">
        <f>INDEX('DUET Bonds'!$D$24:$D$42,MATCH('Value of Debt (listed bonds)'!$B208,'DUET Bonds'!$H$24:$H$42,0))*((INDEX('DUET bond prices'!$B$1:$U$807,MATCH('Value of Debt (listed bonds)'!M$3,'DUET bond prices'!$B$1:$B$807,0),MATCH('Value of Debt (listed bonds)'!$B208,'DUET bond prices'!$B$1:$U$1,0))/100))</f>
        <v>#N/A</v>
      </c>
      <c r="N208" s="171" t="e">
        <f>INDEX('DUET Bonds'!$D$24:$D$42,MATCH('Value of Debt (listed bonds)'!$B208,'DUET Bonds'!$H$24:$H$42,0))*((INDEX('DUET bond prices'!$B$1:$U$807,MATCH('Value of Debt (listed bonds)'!N$3,'DUET bond prices'!$B$1:$B$807,0),MATCH('Value of Debt (listed bonds)'!$B208,'DUET bond prices'!$B$1:$U$1,0))/100))</f>
        <v>#N/A</v>
      </c>
      <c r="O208" s="171" t="e">
        <f>INDEX('DUET Bonds'!$D$24:$D$42,MATCH('Value of Debt (listed bonds)'!$B208,'DUET Bonds'!$H$24:$H$42,0))*((INDEX('DUET bond prices'!$B$1:$U$807,MATCH('Value of Debt (listed bonds)'!O$3,'DUET bond prices'!$B$1:$B$807,0),MATCH('Value of Debt (listed bonds)'!$B208,'DUET bond prices'!$B$1:$U$1,0))/100))</f>
        <v>#N/A</v>
      </c>
      <c r="P208" s="171" t="e">
        <f>INDEX('DUET Bonds'!$D$24:$D$42,MATCH('Value of Debt (listed bonds)'!$B208,'DUET Bonds'!$H$24:$H$42,0))*((INDEX('DUET bond prices'!$B$1:$U$807,MATCH('Value of Debt (listed bonds)'!P$3,'DUET bond prices'!$B$1:$B$807,0),MATCH('Value of Debt (listed bonds)'!$B208,'DUET bond prices'!$B$1:$U$1,0))/100))</f>
        <v>#N/A</v>
      </c>
      <c r="Q208" s="171" t="e">
        <f>INDEX('DUET Bonds'!$D$24:$D$42,MATCH('Value of Debt (listed bonds)'!$B208,'DUET Bonds'!$H$24:$H$42,0))*((INDEX('DUET bond prices'!$B$1:$U$807,MATCH('Value of Debt (listed bonds)'!Q$3,'DUET bond prices'!$B$1:$B$807,0),MATCH('Value of Debt (listed bonds)'!$B208,'DUET bond prices'!$B$1:$U$1,0))/100))</f>
        <v>#N/A</v>
      </c>
    </row>
    <row r="209" spans="2:17">
      <c r="B209" s="172" t="s">
        <v>361</v>
      </c>
      <c r="F209" s="171" t="e">
        <f>INDEX('DUET Bonds'!$D$24:$D$42,MATCH('Value of Debt (listed bonds)'!$B209,'DUET Bonds'!$H$24:$H$42,0))*((INDEX('DUET bond prices'!$B$1:$U$807,MATCH('Value of Debt (listed bonds)'!F$3,'DUET bond prices'!$B$1:$B$807,0),MATCH('Value of Debt (listed bonds)'!$B209,'DUET bond prices'!$B$1:$U$1,0))/100))</f>
        <v>#N/A</v>
      </c>
      <c r="G209" s="171" t="e">
        <f>INDEX('DUET Bonds'!$D$24:$D$42,MATCH('Value of Debt (listed bonds)'!$B209,'DUET Bonds'!$H$24:$H$42,0))*((INDEX('DUET bond prices'!$B$1:$U$807,MATCH('Value of Debt (listed bonds)'!G$3,'DUET bond prices'!$B$1:$B$807,0),MATCH('Value of Debt (listed bonds)'!$B209,'DUET bond prices'!$B$1:$U$1,0))/100))</f>
        <v>#N/A</v>
      </c>
      <c r="H209" s="171" t="e">
        <f>INDEX('DUET Bonds'!$D$24:$D$42,MATCH('Value of Debt (listed bonds)'!$B209,'DUET Bonds'!$H$24:$H$42,0))*((INDEX('DUET bond prices'!$B$1:$U$807,MATCH('Value of Debt (listed bonds)'!H$3,'DUET bond prices'!$B$1:$B$807,0),MATCH('Value of Debt (listed bonds)'!$B209,'DUET bond prices'!$B$1:$U$1,0))/100))</f>
        <v>#N/A</v>
      </c>
      <c r="I209" s="171">
        <f>INDEX('DUET Bonds'!$D$24:$D$42,MATCH('Value of Debt (listed bonds)'!$B209,'DUET Bonds'!$H$24:$H$42,0))*((INDEX('DUET bond prices'!$B$1:$U$807,MATCH('Value of Debt (listed bonds)'!I$3,'DUET bond prices'!$B$1:$B$807,0),MATCH('Value of Debt (listed bonds)'!$B209,'DUET bond prices'!$B$1:$U$1,0))/100))</f>
        <v>316013652</v>
      </c>
      <c r="J209" s="171">
        <f>INDEX('DUET Bonds'!$D$24:$D$42,MATCH('Value of Debt (listed bonds)'!$B209,'DUET Bonds'!$H$24:$H$42,0))*((INDEX('DUET bond prices'!$B$1:$U$807,MATCH('Value of Debt (listed bonds)'!J$3,'DUET bond prices'!$B$1:$B$807,0),MATCH('Value of Debt (listed bonds)'!$B209,'DUET bond prices'!$B$1:$U$1,0))/100))</f>
        <v>320161500</v>
      </c>
      <c r="K209" s="171">
        <f>INDEX('DUET Bonds'!$D$24:$D$42,MATCH('Value of Debt (listed bonds)'!$B209,'DUET Bonds'!$H$24:$H$42,0))*((INDEX('DUET bond prices'!$B$1:$U$807,MATCH('Value of Debt (listed bonds)'!K$3,'DUET bond prices'!$B$1:$B$807,0),MATCH('Value of Debt (listed bonds)'!$B209,'DUET bond prices'!$B$1:$U$1,0))/100))</f>
        <v>321888000.00000006</v>
      </c>
      <c r="L209" s="171" t="e">
        <f>INDEX('DUET Bonds'!$D$24:$D$42,MATCH('Value of Debt (listed bonds)'!$B209,'DUET Bonds'!$H$24:$H$42,0))*((INDEX('DUET bond prices'!$B$1:$U$807,MATCH('Value of Debt (listed bonds)'!L$3,'DUET bond prices'!$B$1:$B$807,0),MATCH('Value of Debt (listed bonds)'!$B209,'DUET bond prices'!$B$1:$U$1,0))/100))</f>
        <v>#N/A</v>
      </c>
      <c r="M209" s="171" t="e">
        <f>INDEX('DUET Bonds'!$D$24:$D$42,MATCH('Value of Debt (listed bonds)'!$B209,'DUET Bonds'!$H$24:$H$42,0))*((INDEX('DUET bond prices'!$B$1:$U$807,MATCH('Value of Debt (listed bonds)'!M$3,'DUET bond prices'!$B$1:$B$807,0),MATCH('Value of Debt (listed bonds)'!$B209,'DUET bond prices'!$B$1:$U$1,0))/100))</f>
        <v>#N/A</v>
      </c>
      <c r="N209" s="171" t="e">
        <f>INDEX('DUET Bonds'!$D$24:$D$42,MATCH('Value of Debt (listed bonds)'!$B209,'DUET Bonds'!$H$24:$H$42,0))*((INDEX('DUET bond prices'!$B$1:$U$807,MATCH('Value of Debt (listed bonds)'!N$3,'DUET bond prices'!$B$1:$B$807,0),MATCH('Value of Debt (listed bonds)'!$B209,'DUET bond prices'!$B$1:$U$1,0))/100))</f>
        <v>#N/A</v>
      </c>
      <c r="O209" s="171" t="e">
        <f>INDEX('DUET Bonds'!$D$24:$D$42,MATCH('Value of Debt (listed bonds)'!$B209,'DUET Bonds'!$H$24:$H$42,0))*((INDEX('DUET bond prices'!$B$1:$U$807,MATCH('Value of Debt (listed bonds)'!O$3,'DUET bond prices'!$B$1:$B$807,0),MATCH('Value of Debt (listed bonds)'!$B209,'DUET bond prices'!$B$1:$U$1,0))/100))</f>
        <v>#N/A</v>
      </c>
      <c r="P209" s="171" t="e">
        <f>INDEX('DUET Bonds'!$D$24:$D$42,MATCH('Value of Debt (listed bonds)'!$B209,'DUET Bonds'!$H$24:$H$42,0))*((INDEX('DUET bond prices'!$B$1:$U$807,MATCH('Value of Debt (listed bonds)'!P$3,'DUET bond prices'!$B$1:$B$807,0),MATCH('Value of Debt (listed bonds)'!$B209,'DUET bond prices'!$B$1:$U$1,0))/100))</f>
        <v>#N/A</v>
      </c>
      <c r="Q209" s="171" t="e">
        <f>INDEX('DUET Bonds'!$D$24:$D$42,MATCH('Value of Debt (listed bonds)'!$B209,'DUET Bonds'!$H$24:$H$42,0))*((INDEX('DUET bond prices'!$B$1:$U$807,MATCH('Value of Debt (listed bonds)'!Q$3,'DUET bond prices'!$B$1:$B$807,0),MATCH('Value of Debt (listed bonds)'!$B209,'DUET bond prices'!$B$1:$U$1,0))/100))</f>
        <v>#N/A</v>
      </c>
    </row>
    <row r="210" spans="2:17">
      <c r="B210" s="172" t="s">
        <v>362</v>
      </c>
      <c r="F210" s="171" t="e">
        <f>INDEX('DUET Bonds'!$D$24:$D$42,MATCH('Value of Debt (listed bonds)'!$B210,'DUET Bonds'!$H$24:$H$42,0))*((INDEX('DUET bond prices'!$B$1:$U$807,MATCH('Value of Debt (listed bonds)'!F$3,'DUET bond prices'!$B$1:$B$807,0),MATCH('Value of Debt (listed bonds)'!$B210,'DUET bond prices'!$B$1:$U$1,0))/100))</f>
        <v>#N/A</v>
      </c>
      <c r="G210" s="171" t="e">
        <f>INDEX('DUET Bonds'!$D$24:$D$42,MATCH('Value of Debt (listed bonds)'!$B210,'DUET Bonds'!$H$24:$H$42,0))*((INDEX('DUET bond prices'!$B$1:$U$807,MATCH('Value of Debt (listed bonds)'!G$3,'DUET bond prices'!$B$1:$B$807,0),MATCH('Value of Debt (listed bonds)'!$B210,'DUET bond prices'!$B$1:$U$1,0))/100))</f>
        <v>#N/A</v>
      </c>
      <c r="H210" s="171" t="e">
        <f>INDEX('DUET Bonds'!$D$24:$D$42,MATCH('Value of Debt (listed bonds)'!$B210,'DUET Bonds'!$H$24:$H$42,0))*((INDEX('DUET bond prices'!$B$1:$U$807,MATCH('Value of Debt (listed bonds)'!H$3,'DUET bond prices'!$B$1:$B$807,0),MATCH('Value of Debt (listed bonds)'!$B210,'DUET bond prices'!$B$1:$U$1,0))/100))</f>
        <v>#N/A</v>
      </c>
      <c r="I210" s="171">
        <f>INDEX('DUET Bonds'!$D$24:$D$42,MATCH('Value of Debt (listed bonds)'!$B210,'DUET Bonds'!$H$24:$H$42,0))*((INDEX('DUET bond prices'!$B$1:$U$807,MATCH('Value of Debt (listed bonds)'!I$3,'DUET bond prices'!$B$1:$B$807,0),MATCH('Value of Debt (listed bonds)'!$B210,'DUET bond prices'!$B$1:$U$1,0))/100))</f>
        <v>0</v>
      </c>
      <c r="J210" s="171">
        <f>INDEX('DUET Bonds'!$D$24:$D$42,MATCH('Value of Debt (listed bonds)'!$B210,'DUET Bonds'!$H$24:$H$42,0))*((INDEX('DUET bond prices'!$B$1:$U$807,MATCH('Value of Debt (listed bonds)'!J$3,'DUET bond prices'!$B$1:$B$807,0),MATCH('Value of Debt (listed bonds)'!$B210,'DUET bond prices'!$B$1:$U$1,0))/100))</f>
        <v>20021100</v>
      </c>
      <c r="K210" s="171">
        <f>INDEX('DUET Bonds'!$D$24:$D$42,MATCH('Value of Debt (listed bonds)'!$B210,'DUET Bonds'!$H$24:$H$42,0))*((INDEX('DUET bond prices'!$B$1:$U$807,MATCH('Value of Debt (listed bonds)'!K$3,'DUET bond prices'!$B$1:$B$807,0),MATCH('Value of Debt (listed bonds)'!$B210,'DUET bond prices'!$B$1:$U$1,0))/100))</f>
        <v>20019300.000000004</v>
      </c>
      <c r="L210" s="171" t="e">
        <f>INDEX('DUET Bonds'!$D$24:$D$42,MATCH('Value of Debt (listed bonds)'!$B210,'DUET Bonds'!$H$24:$H$42,0))*((INDEX('DUET bond prices'!$B$1:$U$807,MATCH('Value of Debt (listed bonds)'!L$3,'DUET bond prices'!$B$1:$B$807,0),MATCH('Value of Debt (listed bonds)'!$B210,'DUET bond prices'!$B$1:$U$1,0))/100))</f>
        <v>#N/A</v>
      </c>
      <c r="M210" s="171" t="e">
        <f>INDEX('DUET Bonds'!$D$24:$D$42,MATCH('Value of Debt (listed bonds)'!$B210,'DUET Bonds'!$H$24:$H$42,0))*((INDEX('DUET bond prices'!$B$1:$U$807,MATCH('Value of Debt (listed bonds)'!M$3,'DUET bond prices'!$B$1:$B$807,0),MATCH('Value of Debt (listed bonds)'!$B210,'DUET bond prices'!$B$1:$U$1,0))/100))</f>
        <v>#N/A</v>
      </c>
      <c r="N210" s="171" t="e">
        <f>INDEX('DUET Bonds'!$D$24:$D$42,MATCH('Value of Debt (listed bonds)'!$B210,'DUET Bonds'!$H$24:$H$42,0))*((INDEX('DUET bond prices'!$B$1:$U$807,MATCH('Value of Debt (listed bonds)'!N$3,'DUET bond prices'!$B$1:$B$807,0),MATCH('Value of Debt (listed bonds)'!$B210,'DUET bond prices'!$B$1:$U$1,0))/100))</f>
        <v>#N/A</v>
      </c>
      <c r="O210" s="171" t="e">
        <f>INDEX('DUET Bonds'!$D$24:$D$42,MATCH('Value of Debt (listed bonds)'!$B210,'DUET Bonds'!$H$24:$H$42,0))*((INDEX('DUET bond prices'!$B$1:$U$807,MATCH('Value of Debt (listed bonds)'!O$3,'DUET bond prices'!$B$1:$B$807,0),MATCH('Value of Debt (listed bonds)'!$B210,'DUET bond prices'!$B$1:$U$1,0))/100))</f>
        <v>#N/A</v>
      </c>
      <c r="P210" s="171" t="e">
        <f>INDEX('DUET Bonds'!$D$24:$D$42,MATCH('Value of Debt (listed bonds)'!$B210,'DUET Bonds'!$H$24:$H$42,0))*((INDEX('DUET bond prices'!$B$1:$U$807,MATCH('Value of Debt (listed bonds)'!P$3,'DUET bond prices'!$B$1:$B$807,0),MATCH('Value of Debt (listed bonds)'!$B210,'DUET bond prices'!$B$1:$U$1,0))/100))</f>
        <v>#N/A</v>
      </c>
      <c r="Q210" s="171" t="e">
        <f>INDEX('DUET Bonds'!$D$24:$D$42,MATCH('Value of Debt (listed bonds)'!$B210,'DUET Bonds'!$H$24:$H$42,0))*((INDEX('DUET bond prices'!$B$1:$U$807,MATCH('Value of Debt (listed bonds)'!Q$3,'DUET bond prices'!$B$1:$B$807,0),MATCH('Value of Debt (listed bonds)'!$B210,'DUET bond prices'!$B$1:$U$1,0))/100))</f>
        <v>#N/A</v>
      </c>
    </row>
    <row r="211" spans="2:17">
      <c r="B211" s="172" t="s">
        <v>363</v>
      </c>
      <c r="F211" s="171" t="e">
        <f>INDEX('DUET Bonds'!$D$24:$D$42,MATCH('Value of Debt (listed bonds)'!$B211,'DUET Bonds'!$H$24:$H$42,0))*((INDEX('DUET bond prices'!$B$1:$U$807,MATCH('Value of Debt (listed bonds)'!F$3,'DUET bond prices'!$B$1:$B$807,0),MATCH('Value of Debt (listed bonds)'!$B211,'DUET bond prices'!$B$1:$U$1,0))/100))</f>
        <v>#N/A</v>
      </c>
      <c r="G211" s="171" t="e">
        <f>INDEX('DUET Bonds'!$D$24:$D$42,MATCH('Value of Debt (listed bonds)'!$B211,'DUET Bonds'!$H$24:$H$42,0))*((INDEX('DUET bond prices'!$B$1:$U$807,MATCH('Value of Debt (listed bonds)'!G$3,'DUET bond prices'!$B$1:$B$807,0),MATCH('Value of Debt (listed bonds)'!$B211,'DUET bond prices'!$B$1:$U$1,0))/100))</f>
        <v>#N/A</v>
      </c>
      <c r="H211" s="171" t="e">
        <f>INDEX('DUET Bonds'!$D$24:$D$42,MATCH('Value of Debt (listed bonds)'!$B211,'DUET Bonds'!$H$24:$H$42,0))*((INDEX('DUET bond prices'!$B$1:$U$807,MATCH('Value of Debt (listed bonds)'!H$3,'DUET bond prices'!$B$1:$B$807,0),MATCH('Value of Debt (listed bonds)'!$B211,'DUET bond prices'!$B$1:$U$1,0))/100))</f>
        <v>#N/A</v>
      </c>
      <c r="I211" s="171">
        <f>INDEX('DUET Bonds'!$D$24:$D$42,MATCH('Value of Debt (listed bonds)'!$B211,'DUET Bonds'!$H$24:$H$42,0))*((INDEX('DUET bond prices'!$B$1:$U$807,MATCH('Value of Debt (listed bonds)'!I$3,'DUET bond prices'!$B$1:$B$807,0),MATCH('Value of Debt (listed bonds)'!$B211,'DUET bond prices'!$B$1:$U$1,0))/100))</f>
        <v>0</v>
      </c>
      <c r="J211" s="171">
        <f>INDEX('DUET Bonds'!$D$24:$D$42,MATCH('Value of Debt (listed bonds)'!$B211,'DUET Bonds'!$H$24:$H$42,0))*((INDEX('DUET bond prices'!$B$1:$U$807,MATCH('Value of Debt (listed bonds)'!J$3,'DUET bond prices'!$B$1:$B$807,0),MATCH('Value of Debt (listed bonds)'!$B211,'DUET bond prices'!$B$1:$U$1,0))/100))</f>
        <v>209366421.59999999</v>
      </c>
      <c r="K211" s="171">
        <f>INDEX('DUET Bonds'!$D$24:$D$42,MATCH('Value of Debt (listed bonds)'!$B211,'DUET Bonds'!$H$24:$H$42,0))*((INDEX('DUET bond prices'!$B$1:$U$807,MATCH('Value of Debt (listed bonds)'!K$3,'DUET bond prices'!$B$1:$B$807,0),MATCH('Value of Debt (listed bonds)'!$B211,'DUET bond prices'!$B$1:$U$1,0))/100))</f>
        <v>210618450</v>
      </c>
      <c r="L211" s="171" t="e">
        <f>INDEX('DUET Bonds'!$D$24:$D$42,MATCH('Value of Debt (listed bonds)'!$B211,'DUET Bonds'!$H$24:$H$42,0))*((INDEX('DUET bond prices'!$B$1:$U$807,MATCH('Value of Debt (listed bonds)'!L$3,'DUET bond prices'!$B$1:$B$807,0),MATCH('Value of Debt (listed bonds)'!$B211,'DUET bond prices'!$B$1:$U$1,0))/100))</f>
        <v>#N/A</v>
      </c>
      <c r="M211" s="171" t="e">
        <f>INDEX('DUET Bonds'!$D$24:$D$42,MATCH('Value of Debt (listed bonds)'!$B211,'DUET Bonds'!$H$24:$H$42,0))*((INDEX('DUET bond prices'!$B$1:$U$807,MATCH('Value of Debt (listed bonds)'!M$3,'DUET bond prices'!$B$1:$B$807,0),MATCH('Value of Debt (listed bonds)'!$B211,'DUET bond prices'!$B$1:$U$1,0))/100))</f>
        <v>#N/A</v>
      </c>
      <c r="N211" s="171" t="e">
        <f>INDEX('DUET Bonds'!$D$24:$D$42,MATCH('Value of Debt (listed bonds)'!$B211,'DUET Bonds'!$H$24:$H$42,0))*((INDEX('DUET bond prices'!$B$1:$U$807,MATCH('Value of Debt (listed bonds)'!N$3,'DUET bond prices'!$B$1:$B$807,0),MATCH('Value of Debt (listed bonds)'!$B211,'DUET bond prices'!$B$1:$U$1,0))/100))</f>
        <v>#N/A</v>
      </c>
      <c r="O211" s="171" t="e">
        <f>INDEX('DUET Bonds'!$D$24:$D$42,MATCH('Value of Debt (listed bonds)'!$B211,'DUET Bonds'!$H$24:$H$42,0))*((INDEX('DUET bond prices'!$B$1:$U$807,MATCH('Value of Debt (listed bonds)'!O$3,'DUET bond prices'!$B$1:$B$807,0),MATCH('Value of Debt (listed bonds)'!$B211,'DUET bond prices'!$B$1:$U$1,0))/100))</f>
        <v>#N/A</v>
      </c>
      <c r="P211" s="171" t="e">
        <f>INDEX('DUET Bonds'!$D$24:$D$42,MATCH('Value of Debt (listed bonds)'!$B211,'DUET Bonds'!$H$24:$H$42,0))*((INDEX('DUET bond prices'!$B$1:$U$807,MATCH('Value of Debt (listed bonds)'!P$3,'DUET bond prices'!$B$1:$B$807,0),MATCH('Value of Debt (listed bonds)'!$B211,'DUET bond prices'!$B$1:$U$1,0))/100))</f>
        <v>#N/A</v>
      </c>
      <c r="Q211" s="171" t="e">
        <f>INDEX('DUET Bonds'!$D$24:$D$42,MATCH('Value of Debt (listed bonds)'!$B211,'DUET Bonds'!$H$24:$H$42,0))*((INDEX('DUET bond prices'!$B$1:$U$807,MATCH('Value of Debt (listed bonds)'!Q$3,'DUET bond prices'!$B$1:$B$807,0),MATCH('Value of Debt (listed bonds)'!$B211,'DUET bond prices'!$B$1:$U$1,0))/100))</f>
        <v>#N/A</v>
      </c>
    </row>
    <row r="212" spans="2:17">
      <c r="B212" s="172" t="s">
        <v>364</v>
      </c>
      <c r="F212" s="171" t="e">
        <f>INDEX('DUET Bonds'!$D$24:$D$42,MATCH('Value of Debt (listed bonds)'!$B212,'DUET Bonds'!$H$24:$H$42,0))*((INDEX('DUET bond prices'!$B$1:$U$807,MATCH('Value of Debt (listed bonds)'!F$3,'DUET bond prices'!$B$1:$B$807,0),MATCH('Value of Debt (listed bonds)'!$B212,'DUET bond prices'!$B$1:$U$1,0))/100))</f>
        <v>#N/A</v>
      </c>
      <c r="G212" s="171" t="e">
        <f>INDEX('DUET Bonds'!$D$24:$D$42,MATCH('Value of Debt (listed bonds)'!$B212,'DUET Bonds'!$H$24:$H$42,0))*((INDEX('DUET bond prices'!$B$1:$U$807,MATCH('Value of Debt (listed bonds)'!G$3,'DUET bond prices'!$B$1:$B$807,0),MATCH('Value of Debt (listed bonds)'!$B212,'DUET bond prices'!$B$1:$U$1,0))/100))</f>
        <v>#N/A</v>
      </c>
      <c r="H212" s="171" t="e">
        <f>INDEX('DUET Bonds'!$D$24:$D$42,MATCH('Value of Debt (listed bonds)'!$B212,'DUET Bonds'!$H$24:$H$42,0))*((INDEX('DUET bond prices'!$B$1:$U$807,MATCH('Value of Debt (listed bonds)'!H$3,'DUET bond prices'!$B$1:$B$807,0),MATCH('Value of Debt (listed bonds)'!$B212,'DUET bond prices'!$B$1:$U$1,0))/100))</f>
        <v>#N/A</v>
      </c>
      <c r="I212" s="171">
        <f>INDEX('DUET Bonds'!$D$24:$D$42,MATCH('Value of Debt (listed bonds)'!$B212,'DUET Bonds'!$H$24:$H$42,0))*((INDEX('DUET bond prices'!$B$1:$U$807,MATCH('Value of Debt (listed bonds)'!I$3,'DUET bond prices'!$B$1:$B$807,0),MATCH('Value of Debt (listed bonds)'!$B212,'DUET bond prices'!$B$1:$U$1,0))/100))</f>
        <v>0</v>
      </c>
      <c r="J212" s="171">
        <f>INDEX('DUET Bonds'!$D$24:$D$42,MATCH('Value of Debt (listed bonds)'!$B212,'DUET Bonds'!$H$24:$H$42,0))*((INDEX('DUET bond prices'!$B$1:$U$807,MATCH('Value of Debt (listed bonds)'!J$3,'DUET bond prices'!$B$1:$B$807,0),MATCH('Value of Debt (listed bonds)'!$B212,'DUET bond prices'!$B$1:$U$1,0))/100))</f>
        <v>0</v>
      </c>
      <c r="K212" s="171">
        <f>INDEX('DUET Bonds'!$D$24:$D$42,MATCH('Value of Debt (listed bonds)'!$B212,'DUET Bonds'!$H$24:$H$42,0))*((INDEX('DUET bond prices'!$B$1:$U$807,MATCH('Value of Debt (listed bonds)'!K$3,'DUET bond prices'!$B$1:$B$807,0),MATCH('Value of Debt (listed bonds)'!$B212,'DUET bond prices'!$B$1:$U$1,0))/100))</f>
        <v>0</v>
      </c>
      <c r="L212" s="171" t="e">
        <f>INDEX('DUET Bonds'!$D$24:$D$42,MATCH('Value of Debt (listed bonds)'!$B212,'DUET Bonds'!$H$24:$H$42,0))*((INDEX('DUET bond prices'!$B$1:$U$807,MATCH('Value of Debt (listed bonds)'!L$3,'DUET bond prices'!$B$1:$B$807,0),MATCH('Value of Debt (listed bonds)'!$B212,'DUET bond prices'!$B$1:$U$1,0))/100))</f>
        <v>#N/A</v>
      </c>
      <c r="M212" s="171" t="e">
        <f>INDEX('DUET Bonds'!$D$24:$D$42,MATCH('Value of Debt (listed bonds)'!$B212,'DUET Bonds'!$H$24:$H$42,0))*((INDEX('DUET bond prices'!$B$1:$U$807,MATCH('Value of Debt (listed bonds)'!M$3,'DUET bond prices'!$B$1:$B$807,0),MATCH('Value of Debt (listed bonds)'!$B212,'DUET bond prices'!$B$1:$U$1,0))/100))</f>
        <v>#N/A</v>
      </c>
      <c r="N212" s="171" t="e">
        <f>INDEX('DUET Bonds'!$D$24:$D$42,MATCH('Value of Debt (listed bonds)'!$B212,'DUET Bonds'!$H$24:$H$42,0))*((INDEX('DUET bond prices'!$B$1:$U$807,MATCH('Value of Debt (listed bonds)'!N$3,'DUET bond prices'!$B$1:$B$807,0),MATCH('Value of Debt (listed bonds)'!$B212,'DUET bond prices'!$B$1:$U$1,0))/100))</f>
        <v>#N/A</v>
      </c>
      <c r="O212" s="171" t="e">
        <f>INDEX('DUET Bonds'!$D$24:$D$42,MATCH('Value of Debt (listed bonds)'!$B212,'DUET Bonds'!$H$24:$H$42,0))*((INDEX('DUET bond prices'!$B$1:$U$807,MATCH('Value of Debt (listed bonds)'!O$3,'DUET bond prices'!$B$1:$B$807,0),MATCH('Value of Debt (listed bonds)'!$B212,'DUET bond prices'!$B$1:$U$1,0))/100))</f>
        <v>#N/A</v>
      </c>
      <c r="P212" s="171" t="e">
        <f>INDEX('DUET Bonds'!$D$24:$D$42,MATCH('Value of Debt (listed bonds)'!$B212,'DUET Bonds'!$H$24:$H$42,0))*((INDEX('DUET bond prices'!$B$1:$U$807,MATCH('Value of Debt (listed bonds)'!P$3,'DUET bond prices'!$B$1:$B$807,0),MATCH('Value of Debt (listed bonds)'!$B212,'DUET bond prices'!$B$1:$U$1,0))/100))</f>
        <v>#N/A</v>
      </c>
      <c r="Q212" s="171" t="e">
        <f>INDEX('DUET Bonds'!$D$24:$D$42,MATCH('Value of Debt (listed bonds)'!$B212,'DUET Bonds'!$H$24:$H$42,0))*((INDEX('DUET bond prices'!$B$1:$U$807,MATCH('Value of Debt (listed bonds)'!Q$3,'DUET bond prices'!$B$1:$B$807,0),MATCH('Value of Debt (listed bonds)'!$B212,'DUET bond prices'!$B$1:$U$1,0))/100))</f>
        <v>#N/A</v>
      </c>
    </row>
    <row r="214" spans="2:17">
      <c r="B214" s="188" t="s">
        <v>292</v>
      </c>
      <c r="F214" s="154" t="e">
        <f>SUM(F194:F212)</f>
        <v>#N/A</v>
      </c>
      <c r="G214" s="154" t="e">
        <f t="shared" ref="G214:Q214" si="12">SUM(G194:G212)</f>
        <v>#N/A</v>
      </c>
      <c r="H214" s="154" t="e">
        <f t="shared" si="12"/>
        <v>#N/A</v>
      </c>
      <c r="I214" s="154">
        <f t="shared" si="12"/>
        <v>3057683710.4783535</v>
      </c>
      <c r="J214" s="154">
        <f t="shared" si="12"/>
        <v>2798342604.0515199</v>
      </c>
      <c r="K214" s="154">
        <f t="shared" si="12"/>
        <v>1716963875</v>
      </c>
      <c r="L214" s="154" t="e">
        <f t="shared" si="12"/>
        <v>#N/A</v>
      </c>
      <c r="M214" s="154" t="e">
        <f t="shared" si="12"/>
        <v>#N/A</v>
      </c>
      <c r="N214" s="154" t="e">
        <f t="shared" si="12"/>
        <v>#N/A</v>
      </c>
      <c r="O214" s="154" t="e">
        <f t="shared" si="12"/>
        <v>#N/A</v>
      </c>
      <c r="P214" s="154" t="e">
        <f t="shared" si="12"/>
        <v>#N/A</v>
      </c>
      <c r="Q214" s="154" t="e">
        <f t="shared" si="12"/>
        <v>#N/A</v>
      </c>
    </row>
  </sheetData>
  <pageMargins left="0.7" right="0.7" top="0.75" bottom="0.75" header="0.3" footer="0.3"/>
  <pageSetup orientation="portrait" horizontalDpi="200" verticalDpi="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77936-64A4-45A2-ADD7-35F4E7A327BC}">
  <sheetPr codeName="Sheet9">
    <tabColor theme="2"/>
  </sheetPr>
  <dimension ref="A1:AA184"/>
  <sheetViews>
    <sheetView showGridLines="0" workbookViewId="0"/>
  </sheetViews>
  <sheetFormatPr defaultRowHeight="14.25"/>
  <cols>
    <col min="4" max="4" width="13.75" bestFit="1" customWidth="1"/>
    <col min="16" max="16" width="9.83203125" bestFit="1" customWidth="1"/>
  </cols>
  <sheetData>
    <row r="1" spans="1:27" ht="20" thickBot="1">
      <c r="A1" s="32" t="s">
        <v>365</v>
      </c>
      <c r="B1" s="32"/>
      <c r="C1" s="32"/>
      <c r="D1" s="32"/>
      <c r="E1" s="32"/>
      <c r="F1" s="32"/>
      <c r="G1" s="32"/>
      <c r="H1" s="32"/>
      <c r="I1" s="32"/>
      <c r="J1" s="32"/>
      <c r="K1" s="32"/>
      <c r="L1" s="32"/>
      <c r="M1" s="32"/>
      <c r="N1" s="32"/>
      <c r="O1" s="32"/>
      <c r="P1" s="32"/>
      <c r="Q1" s="32"/>
      <c r="R1" s="32"/>
      <c r="S1" s="32"/>
      <c r="T1" s="32"/>
      <c r="U1" s="32"/>
      <c r="V1" s="32"/>
      <c r="W1" s="32"/>
      <c r="X1" s="32"/>
      <c r="Y1" s="32"/>
      <c r="Z1" s="32"/>
      <c r="AA1" s="32"/>
    </row>
    <row r="2" spans="1:27" ht="15" thickTop="1"/>
    <row r="3" spans="1:27">
      <c r="B3" s="5" t="s">
        <v>366</v>
      </c>
      <c r="D3" s="42" t="s">
        <v>367</v>
      </c>
      <c r="E3">
        <v>2011</v>
      </c>
      <c r="F3">
        <v>2012</v>
      </c>
      <c r="G3">
        <v>2013</v>
      </c>
      <c r="H3">
        <v>2014</v>
      </c>
      <c r="I3">
        <v>2015</v>
      </c>
      <c r="J3">
        <v>2016</v>
      </c>
      <c r="K3">
        <v>2017</v>
      </c>
      <c r="L3">
        <v>2018</v>
      </c>
      <c r="M3">
        <v>2019</v>
      </c>
      <c r="N3">
        <v>2020</v>
      </c>
      <c r="O3">
        <v>2021</v>
      </c>
      <c r="P3" s="27"/>
    </row>
    <row r="5" spans="1:27">
      <c r="B5" s="42" t="s">
        <v>218</v>
      </c>
    </row>
    <row r="6" spans="1:27">
      <c r="B6">
        <v>0</v>
      </c>
      <c r="E6" s="182">
        <f>E7</f>
        <v>6.0649999999999995</v>
      </c>
      <c r="F6" s="182">
        <f t="shared" ref="F6:O8" si="0">F7</f>
        <v>4.32</v>
      </c>
      <c r="G6" s="182">
        <f t="shared" si="0"/>
        <v>3.8499999999999996</v>
      </c>
      <c r="H6" s="182">
        <f t="shared" si="0"/>
        <v>3.54</v>
      </c>
      <c r="I6" s="182">
        <f t="shared" si="0"/>
        <v>3.0949999999999998</v>
      </c>
      <c r="J6" s="182">
        <f t="shared" si="0"/>
        <v>3.0250000000000004</v>
      </c>
      <c r="K6" s="182">
        <f t="shared" si="0"/>
        <v>2.8</v>
      </c>
      <c r="L6" s="182">
        <f t="shared" si="0"/>
        <v>2.915</v>
      </c>
      <c r="M6" s="182">
        <f t="shared" si="0"/>
        <v>1.915</v>
      </c>
      <c r="N6" s="182">
        <f t="shared" si="0"/>
        <v>1.4350000000000001</v>
      </c>
      <c r="O6" s="182">
        <f t="shared" si="0"/>
        <v>0.85499999999999998</v>
      </c>
    </row>
    <row r="7" spans="1:27">
      <c r="B7">
        <v>1</v>
      </c>
      <c r="E7" s="182">
        <f>E8</f>
        <v>6.0649999999999995</v>
      </c>
      <c r="F7" s="182">
        <f t="shared" si="0"/>
        <v>4.32</v>
      </c>
      <c r="G7" s="182">
        <f t="shared" si="0"/>
        <v>3.8499999999999996</v>
      </c>
      <c r="H7" s="182">
        <f t="shared" si="0"/>
        <v>3.54</v>
      </c>
      <c r="I7" s="182">
        <f t="shared" si="0"/>
        <v>3.0949999999999998</v>
      </c>
      <c r="J7" s="182">
        <f t="shared" si="0"/>
        <v>3.0250000000000004</v>
      </c>
      <c r="K7" s="182">
        <f t="shared" si="0"/>
        <v>2.8</v>
      </c>
      <c r="L7" s="182">
        <f t="shared" si="0"/>
        <v>2.915</v>
      </c>
      <c r="M7" s="182">
        <f t="shared" si="0"/>
        <v>1.915</v>
      </c>
      <c r="N7" s="182">
        <f t="shared" si="0"/>
        <v>1.4350000000000001</v>
      </c>
      <c r="O7" s="182">
        <f t="shared" si="0"/>
        <v>0.85499999999999998</v>
      </c>
    </row>
    <row r="8" spans="1:27">
      <c r="B8">
        <v>2</v>
      </c>
      <c r="E8" s="182">
        <f>E9</f>
        <v>6.0649999999999995</v>
      </c>
      <c r="F8" s="182">
        <f t="shared" si="0"/>
        <v>4.32</v>
      </c>
      <c r="G8" s="182">
        <f t="shared" si="0"/>
        <v>3.8499999999999996</v>
      </c>
      <c r="H8" s="182">
        <f t="shared" si="0"/>
        <v>3.54</v>
      </c>
      <c r="I8" s="182">
        <f t="shared" si="0"/>
        <v>3.0949999999999998</v>
      </c>
      <c r="J8" s="182">
        <f t="shared" si="0"/>
        <v>3.0250000000000004</v>
      </c>
      <c r="K8" s="182">
        <f t="shared" si="0"/>
        <v>2.8</v>
      </c>
      <c r="L8" s="182">
        <f t="shared" si="0"/>
        <v>2.915</v>
      </c>
      <c r="M8" s="182">
        <f t="shared" si="0"/>
        <v>1.915</v>
      </c>
      <c r="N8" s="182">
        <f t="shared" si="0"/>
        <v>1.4350000000000001</v>
      </c>
      <c r="O8" s="182">
        <f t="shared" si="0"/>
        <v>0.85499999999999998</v>
      </c>
    </row>
    <row r="9" spans="1:27">
      <c r="B9">
        <v>3</v>
      </c>
      <c r="E9" s="182">
        <f>AVERAGE('Corporate Bond yields'!$C$89,'Corporate Bond yields'!$C$88)</f>
        <v>6.0649999999999995</v>
      </c>
      <c r="F9" s="182">
        <f>AVERAGE('Corporate Bond yields'!$C$101,'Corporate Bond yields'!$C$100)</f>
        <v>4.32</v>
      </c>
      <c r="G9" s="182">
        <f>AVERAGE('Corporate Bond yields'!$C$113,'Corporate Bond yields'!$C$112)</f>
        <v>3.8499999999999996</v>
      </c>
      <c r="H9" s="182">
        <f>AVERAGE('Corporate Bond yields'!$C$125,'Corporate Bond yields'!$C$124)</f>
        <v>3.54</v>
      </c>
      <c r="I9" s="182">
        <f>AVERAGE('Corporate Bond yields'!$C$137,'Corporate Bond yields'!$C$136)</f>
        <v>3.0949999999999998</v>
      </c>
      <c r="J9" s="182">
        <f>AVERAGE('Corporate Bond yields'!$C$149,'Corporate Bond yields'!$C$148)</f>
        <v>3.0250000000000004</v>
      </c>
      <c r="K9" s="182">
        <f>AVERAGE('Corporate Bond yields'!$C$161,'Corporate Bond yields'!$C$160)</f>
        <v>2.8</v>
      </c>
      <c r="L9" s="182">
        <f>AVERAGE('Corporate Bond yields'!$C$173,'Corporate Bond yields'!$C$172)</f>
        <v>2.915</v>
      </c>
      <c r="M9" s="182">
        <f>AVERAGE('Corporate Bond yields'!$C$185,'Corporate Bond yields'!$C$184)</f>
        <v>1.915</v>
      </c>
      <c r="N9" s="182">
        <f>AVERAGE('Corporate Bond yields'!$C$197,'Corporate Bond yields'!$C$196)</f>
        <v>1.4350000000000001</v>
      </c>
      <c r="O9" s="182">
        <f>AVERAGE('Corporate Bond yields'!$C$209,'Corporate Bond yields'!$C$208)</f>
        <v>0.85499999999999998</v>
      </c>
    </row>
    <row r="10" spans="1:27">
      <c r="B10">
        <v>4</v>
      </c>
      <c r="E10" s="182">
        <f>0.5*E9+0.5*E11</f>
        <v>6.2249999999999996</v>
      </c>
      <c r="F10" s="182">
        <f t="shared" ref="F10:O10" si="1">0.5*F9+0.5*F11</f>
        <v>4.5049999999999999</v>
      </c>
      <c r="G10" s="182">
        <f t="shared" si="1"/>
        <v>4.1425000000000001</v>
      </c>
      <c r="H10" s="182">
        <f t="shared" si="1"/>
        <v>3.78</v>
      </c>
      <c r="I10" s="182">
        <f t="shared" si="1"/>
        <v>3.3174999999999999</v>
      </c>
      <c r="J10" s="182">
        <f t="shared" si="1"/>
        <v>3.1575000000000002</v>
      </c>
      <c r="K10" s="182">
        <f t="shared" si="1"/>
        <v>2.9649999999999999</v>
      </c>
      <c r="L10" s="182">
        <f t="shared" si="1"/>
        <v>3.0575000000000001</v>
      </c>
      <c r="M10" s="182">
        <f t="shared" si="1"/>
        <v>2.0099999999999998</v>
      </c>
      <c r="N10" s="182">
        <f t="shared" si="1"/>
        <v>1.51</v>
      </c>
      <c r="O10" s="182">
        <f t="shared" si="1"/>
        <v>1.125</v>
      </c>
    </row>
    <row r="11" spans="1:27">
      <c r="B11">
        <v>5</v>
      </c>
      <c r="E11" s="182">
        <f>AVERAGE('Corporate Bond yields'!$G$89,'Corporate Bond yields'!$G$88)</f>
        <v>6.3849999999999998</v>
      </c>
      <c r="F11" s="182">
        <f>AVERAGE('Corporate Bond yields'!$G$101,'Corporate Bond yields'!$G$100)</f>
        <v>4.6899999999999995</v>
      </c>
      <c r="G11" s="182">
        <f>AVERAGE('Corporate Bond yields'!$G$113,'Corporate Bond yields'!$G$112)</f>
        <v>4.4350000000000005</v>
      </c>
      <c r="H11" s="182">
        <f>AVERAGE('Corporate Bond yields'!$G$125,'Corporate Bond yields'!$G$124)</f>
        <v>4.0199999999999996</v>
      </c>
      <c r="I11" s="182">
        <f>AVERAGE('Corporate Bond yields'!$G$137,'Corporate Bond yields'!$G$136)</f>
        <v>3.54</v>
      </c>
      <c r="J11" s="182">
        <f>AVERAGE('Corporate Bond yields'!$G$149,'Corporate Bond yields'!$G$148)</f>
        <v>3.29</v>
      </c>
      <c r="K11" s="182">
        <f>AVERAGE('Corporate Bond yields'!$G$161,'Corporate Bond yields'!$G$160)</f>
        <v>3.13</v>
      </c>
      <c r="L11" s="182">
        <f>AVERAGE('Corporate Bond yields'!$G$173,'Corporate Bond yields'!$G$172)</f>
        <v>3.2</v>
      </c>
      <c r="M11" s="182">
        <f>AVERAGE('Corporate Bond yields'!$G$185,'Corporate Bond yields'!$G$184)</f>
        <v>2.105</v>
      </c>
      <c r="N11" s="182">
        <f>AVERAGE('Corporate Bond yields'!$G$197,'Corporate Bond yields'!$G$196)</f>
        <v>1.585</v>
      </c>
      <c r="O11" s="182">
        <f>AVERAGE('Corporate Bond yields'!$G$209,'Corporate Bond yields'!$G$208)</f>
        <v>1.395</v>
      </c>
    </row>
    <row r="12" spans="1:27">
      <c r="B12">
        <v>6</v>
      </c>
      <c r="E12" s="182">
        <f>0.5*E11+0.5*E13</f>
        <v>6.6074999999999999</v>
      </c>
      <c r="F12" s="182">
        <f t="shared" ref="F12:O12" si="2">0.5*F11+0.5*F13</f>
        <v>4.9375</v>
      </c>
      <c r="G12" s="182">
        <f t="shared" si="2"/>
        <v>4.7300000000000004</v>
      </c>
      <c r="H12" s="182">
        <f t="shared" si="2"/>
        <v>4.24</v>
      </c>
      <c r="I12" s="182">
        <f t="shared" si="2"/>
        <v>3.7399999999999998</v>
      </c>
      <c r="J12" s="182">
        <f t="shared" si="2"/>
        <v>3.4325000000000001</v>
      </c>
      <c r="K12" s="182">
        <f t="shared" si="2"/>
        <v>3.3025000000000002</v>
      </c>
      <c r="L12" s="182">
        <f t="shared" si="2"/>
        <v>3.3725000000000001</v>
      </c>
      <c r="M12" s="182">
        <f t="shared" si="2"/>
        <v>2.2749999999999999</v>
      </c>
      <c r="N12" s="182">
        <f t="shared" si="2"/>
        <v>1.7524999999999999</v>
      </c>
      <c r="O12" s="182">
        <f t="shared" si="2"/>
        <v>1.6625000000000001</v>
      </c>
    </row>
    <row r="13" spans="1:27">
      <c r="B13">
        <v>7</v>
      </c>
      <c r="E13" s="182">
        <f>AVERAGE('Corporate Bond yields'!$K$89,'Corporate Bond yields'!$K$88)</f>
        <v>6.83</v>
      </c>
      <c r="F13" s="182">
        <f>AVERAGE('Corporate Bond yields'!$K$101,'Corporate Bond yields'!$K$100)</f>
        <v>5.1850000000000005</v>
      </c>
      <c r="G13" s="182">
        <f>AVERAGE('Corporate Bond yields'!$K$113,'Corporate Bond yields'!$K$112)</f>
        <v>5.0250000000000004</v>
      </c>
      <c r="H13" s="182">
        <f>AVERAGE('Corporate Bond yields'!$K$125,'Corporate Bond yields'!$K$124)</f>
        <v>4.46</v>
      </c>
      <c r="I13" s="182">
        <f>AVERAGE('Corporate Bond yields'!$K$137,'Corporate Bond yields'!$K$136)</f>
        <v>3.9399999999999995</v>
      </c>
      <c r="J13" s="182">
        <f>AVERAGE('Corporate Bond yields'!$K$149,'Corporate Bond yields'!$K$148)</f>
        <v>3.5750000000000002</v>
      </c>
      <c r="K13" s="182">
        <f>AVERAGE('Corporate Bond yields'!$K$161,'Corporate Bond yields'!$K$160)</f>
        <v>3.4750000000000001</v>
      </c>
      <c r="L13" s="182">
        <f>AVERAGE('Corporate Bond yields'!$K$173,'Corporate Bond yields'!$K$172)</f>
        <v>3.5449999999999999</v>
      </c>
      <c r="M13" s="182">
        <f>AVERAGE('Corporate Bond yields'!$K$185,'Corporate Bond yields'!$K$184)</f>
        <v>2.4449999999999998</v>
      </c>
      <c r="N13" s="182">
        <f>AVERAGE('Corporate Bond yields'!$K$197,'Corporate Bond yields'!$K$196)</f>
        <v>1.92</v>
      </c>
      <c r="O13" s="182">
        <f>AVERAGE('Corporate Bond yields'!$K$209,'Corporate Bond yields'!$K$208)</f>
        <v>1.93</v>
      </c>
    </row>
    <row r="14" spans="1:27">
      <c r="B14">
        <v>8</v>
      </c>
      <c r="E14" s="182">
        <f>0.75*E13+0.25*E16</f>
        <v>6.9112500000000008</v>
      </c>
      <c r="F14" s="182">
        <f t="shared" ref="F14:O14" si="3">0.75*F13+0.25*F16</f>
        <v>5.2562500000000005</v>
      </c>
      <c r="G14" s="182">
        <f t="shared" si="3"/>
        <v>5.1287500000000001</v>
      </c>
      <c r="H14" s="182">
        <f t="shared" si="3"/>
        <v>4.5562499999999995</v>
      </c>
      <c r="I14" s="182">
        <f t="shared" si="3"/>
        <v>4.05</v>
      </c>
      <c r="J14" s="182">
        <f t="shared" si="3"/>
        <v>3.6700000000000004</v>
      </c>
      <c r="K14" s="182">
        <f t="shared" si="3"/>
        <v>3.5762499999999999</v>
      </c>
      <c r="L14" s="182">
        <f t="shared" si="3"/>
        <v>3.63375</v>
      </c>
      <c r="M14" s="182">
        <f t="shared" si="3"/>
        <v>2.5249999999999999</v>
      </c>
      <c r="N14" s="182">
        <f t="shared" si="3"/>
        <v>1.99875</v>
      </c>
      <c r="O14" s="182">
        <f t="shared" si="3"/>
        <v>2.0337499999999999</v>
      </c>
    </row>
    <row r="15" spans="1:27">
      <c r="B15">
        <v>9</v>
      </c>
      <c r="E15" s="182">
        <f>0.75*E16+0.25*E13</f>
        <v>7.0737499999999986</v>
      </c>
      <c r="F15" s="182">
        <f t="shared" ref="F15:O15" si="4">0.75*F16+0.25*F13</f>
        <v>5.3987499999999997</v>
      </c>
      <c r="G15" s="182">
        <f t="shared" si="4"/>
        <v>5.3362499999999997</v>
      </c>
      <c r="H15" s="182">
        <f t="shared" si="4"/>
        <v>4.7487500000000002</v>
      </c>
      <c r="I15" s="182">
        <f t="shared" si="4"/>
        <v>4.2700000000000005</v>
      </c>
      <c r="J15" s="182">
        <f t="shared" si="4"/>
        <v>3.8600000000000003</v>
      </c>
      <c r="K15" s="182">
        <f t="shared" si="4"/>
        <v>3.7787500000000001</v>
      </c>
      <c r="L15" s="182">
        <f t="shared" si="4"/>
        <v>3.8112500000000002</v>
      </c>
      <c r="M15" s="182">
        <f t="shared" si="4"/>
        <v>2.6850000000000001</v>
      </c>
      <c r="N15" s="182">
        <f t="shared" si="4"/>
        <v>2.15625</v>
      </c>
      <c r="O15" s="182">
        <f t="shared" si="4"/>
        <v>2.24125</v>
      </c>
    </row>
    <row r="16" spans="1:27">
      <c r="B16">
        <v>10</v>
      </c>
      <c r="E16" s="182">
        <f>AVERAGE('Corporate Bond yields'!$O$89,'Corporate Bond yields'!$O$88)</f>
        <v>7.1549999999999994</v>
      </c>
      <c r="F16" s="182">
        <f>AVERAGE('Corporate Bond yields'!$O$101,'Corporate Bond yields'!$O$100)</f>
        <v>5.47</v>
      </c>
      <c r="G16" s="182">
        <f>AVERAGE('Corporate Bond yields'!$O$113,'Corporate Bond yields'!$O$112)</f>
        <v>5.44</v>
      </c>
      <c r="H16" s="182">
        <f>AVERAGE('Corporate Bond yields'!$O$125,'Corporate Bond yields'!$O$124)</f>
        <v>4.8449999999999998</v>
      </c>
      <c r="I16" s="182">
        <f>AVERAGE('Corporate Bond yields'!$O$137,'Corporate Bond yields'!$O$136)</f>
        <v>4.3800000000000008</v>
      </c>
      <c r="J16" s="182">
        <f>AVERAGE('Corporate Bond yields'!$O$149,'Corporate Bond yields'!$O$148)</f>
        <v>3.9550000000000001</v>
      </c>
      <c r="K16" s="182">
        <f>AVERAGE('Corporate Bond yields'!$O$161,'Corporate Bond yields'!$O$160)</f>
        <v>3.88</v>
      </c>
      <c r="L16" s="182">
        <f>AVERAGE('Corporate Bond yields'!$O$173,'Corporate Bond yields'!$O$172)</f>
        <v>3.9000000000000004</v>
      </c>
      <c r="M16" s="182">
        <f>AVERAGE('Corporate Bond yields'!$O$185,'Corporate Bond yields'!$O$184)</f>
        <v>2.7650000000000001</v>
      </c>
      <c r="N16" s="182">
        <f>AVERAGE('Corporate Bond yields'!$O$197,'Corporate Bond yields'!$O$196)</f>
        <v>2.2350000000000003</v>
      </c>
      <c r="O16" s="182">
        <f>AVERAGE('Corporate Bond yields'!$O$209,'Corporate Bond yields'!$O$208)</f>
        <v>2.3449999999999998</v>
      </c>
    </row>
    <row r="17" spans="2:15">
      <c r="B17">
        <v>11</v>
      </c>
      <c r="E17" s="182">
        <f>E16</f>
        <v>7.1549999999999994</v>
      </c>
      <c r="F17" s="182">
        <f t="shared" ref="F17:O17" si="5">F16</f>
        <v>5.47</v>
      </c>
      <c r="G17" s="182">
        <f t="shared" si="5"/>
        <v>5.44</v>
      </c>
      <c r="H17" s="182">
        <f t="shared" si="5"/>
        <v>4.8449999999999998</v>
      </c>
      <c r="I17" s="182">
        <f t="shared" si="5"/>
        <v>4.3800000000000008</v>
      </c>
      <c r="J17" s="182">
        <f t="shared" si="5"/>
        <v>3.9550000000000001</v>
      </c>
      <c r="K17" s="182">
        <f t="shared" si="5"/>
        <v>3.88</v>
      </c>
      <c r="L17" s="182">
        <f t="shared" si="5"/>
        <v>3.9000000000000004</v>
      </c>
      <c r="M17" s="182">
        <f t="shared" si="5"/>
        <v>2.7650000000000001</v>
      </c>
      <c r="N17" s="182">
        <f t="shared" si="5"/>
        <v>2.2350000000000003</v>
      </c>
      <c r="O17" s="182">
        <f t="shared" si="5"/>
        <v>2.3449999999999998</v>
      </c>
    </row>
    <row r="18" spans="2:15">
      <c r="B18">
        <v>12</v>
      </c>
      <c r="E18" s="182">
        <f t="shared" ref="E18:E26" si="6">E17</f>
        <v>7.1549999999999994</v>
      </c>
      <c r="F18" s="182">
        <f t="shared" ref="F18:F26" si="7">F17</f>
        <v>5.47</v>
      </c>
      <c r="G18" s="182">
        <f t="shared" ref="G18:G26" si="8">G17</f>
        <v>5.44</v>
      </c>
      <c r="H18" s="182">
        <f t="shared" ref="H18:H26" si="9">H17</f>
        <v>4.8449999999999998</v>
      </c>
      <c r="I18" s="182">
        <f t="shared" ref="I18:I26" si="10">I17</f>
        <v>4.3800000000000008</v>
      </c>
      <c r="J18" s="182">
        <f t="shared" ref="J18:J26" si="11">J17</f>
        <v>3.9550000000000001</v>
      </c>
      <c r="K18" s="182">
        <f t="shared" ref="K18:K26" si="12">K17</f>
        <v>3.88</v>
      </c>
      <c r="L18" s="182">
        <f t="shared" ref="L18:L26" si="13">L17</f>
        <v>3.9000000000000004</v>
      </c>
      <c r="M18" s="182">
        <f t="shared" ref="M18:M26" si="14">M17</f>
        <v>2.7650000000000001</v>
      </c>
      <c r="N18" s="182">
        <f t="shared" ref="N18:N26" si="15">N17</f>
        <v>2.2350000000000003</v>
      </c>
      <c r="O18" s="182">
        <f t="shared" ref="O18:O26" si="16">O17</f>
        <v>2.3449999999999998</v>
      </c>
    </row>
    <row r="19" spans="2:15">
      <c r="B19">
        <v>13</v>
      </c>
      <c r="E19" s="182">
        <f t="shared" si="6"/>
        <v>7.1549999999999994</v>
      </c>
      <c r="F19" s="182">
        <f t="shared" si="7"/>
        <v>5.47</v>
      </c>
      <c r="G19" s="182">
        <f t="shared" si="8"/>
        <v>5.44</v>
      </c>
      <c r="H19" s="182">
        <f t="shared" si="9"/>
        <v>4.8449999999999998</v>
      </c>
      <c r="I19" s="182">
        <f t="shared" si="10"/>
        <v>4.3800000000000008</v>
      </c>
      <c r="J19" s="182">
        <f t="shared" si="11"/>
        <v>3.9550000000000001</v>
      </c>
      <c r="K19" s="182">
        <f t="shared" si="12"/>
        <v>3.88</v>
      </c>
      <c r="L19" s="182">
        <f t="shared" si="13"/>
        <v>3.9000000000000004</v>
      </c>
      <c r="M19" s="182">
        <f t="shared" si="14"/>
        <v>2.7650000000000001</v>
      </c>
      <c r="N19" s="182">
        <f t="shared" si="15"/>
        <v>2.2350000000000003</v>
      </c>
      <c r="O19" s="182">
        <f t="shared" si="16"/>
        <v>2.3449999999999998</v>
      </c>
    </row>
    <row r="20" spans="2:15">
      <c r="B20">
        <v>14</v>
      </c>
      <c r="E20" s="182">
        <f t="shared" si="6"/>
        <v>7.1549999999999994</v>
      </c>
      <c r="F20" s="182">
        <f t="shared" si="7"/>
        <v>5.47</v>
      </c>
      <c r="G20" s="182">
        <f t="shared" si="8"/>
        <v>5.44</v>
      </c>
      <c r="H20" s="182">
        <f t="shared" si="9"/>
        <v>4.8449999999999998</v>
      </c>
      <c r="I20" s="182">
        <f t="shared" si="10"/>
        <v>4.3800000000000008</v>
      </c>
      <c r="J20" s="182">
        <f t="shared" si="11"/>
        <v>3.9550000000000001</v>
      </c>
      <c r="K20" s="182">
        <f t="shared" si="12"/>
        <v>3.88</v>
      </c>
      <c r="L20" s="182">
        <f t="shared" si="13"/>
        <v>3.9000000000000004</v>
      </c>
      <c r="M20" s="182">
        <f t="shared" si="14"/>
        <v>2.7650000000000001</v>
      </c>
      <c r="N20" s="182">
        <f t="shared" si="15"/>
        <v>2.2350000000000003</v>
      </c>
      <c r="O20" s="182">
        <f t="shared" si="16"/>
        <v>2.3449999999999998</v>
      </c>
    </row>
    <row r="21" spans="2:15">
      <c r="B21">
        <v>15</v>
      </c>
      <c r="E21" s="182">
        <f t="shared" si="6"/>
        <v>7.1549999999999994</v>
      </c>
      <c r="F21" s="182">
        <f t="shared" si="7"/>
        <v>5.47</v>
      </c>
      <c r="G21" s="182">
        <f t="shared" si="8"/>
        <v>5.44</v>
      </c>
      <c r="H21" s="182">
        <f t="shared" si="9"/>
        <v>4.8449999999999998</v>
      </c>
      <c r="I21" s="182">
        <f t="shared" si="10"/>
        <v>4.3800000000000008</v>
      </c>
      <c r="J21" s="182">
        <f t="shared" si="11"/>
        <v>3.9550000000000001</v>
      </c>
      <c r="K21" s="182">
        <f t="shared" si="12"/>
        <v>3.88</v>
      </c>
      <c r="L21" s="182">
        <f t="shared" si="13"/>
        <v>3.9000000000000004</v>
      </c>
      <c r="M21" s="182">
        <f t="shared" si="14"/>
        <v>2.7650000000000001</v>
      </c>
      <c r="N21" s="182">
        <f t="shared" si="15"/>
        <v>2.2350000000000003</v>
      </c>
      <c r="O21" s="182">
        <f t="shared" si="16"/>
        <v>2.3449999999999998</v>
      </c>
    </row>
    <row r="22" spans="2:15">
      <c r="B22">
        <v>16</v>
      </c>
      <c r="E22" s="182">
        <f t="shared" si="6"/>
        <v>7.1549999999999994</v>
      </c>
      <c r="F22" s="182">
        <f t="shared" si="7"/>
        <v>5.47</v>
      </c>
      <c r="G22" s="182">
        <f t="shared" si="8"/>
        <v>5.44</v>
      </c>
      <c r="H22" s="182">
        <f t="shared" si="9"/>
        <v>4.8449999999999998</v>
      </c>
      <c r="I22" s="182">
        <f t="shared" si="10"/>
        <v>4.3800000000000008</v>
      </c>
      <c r="J22" s="182">
        <f t="shared" si="11"/>
        <v>3.9550000000000001</v>
      </c>
      <c r="K22" s="182">
        <f t="shared" si="12"/>
        <v>3.88</v>
      </c>
      <c r="L22" s="182">
        <f t="shared" si="13"/>
        <v>3.9000000000000004</v>
      </c>
      <c r="M22" s="182">
        <f t="shared" si="14"/>
        <v>2.7650000000000001</v>
      </c>
      <c r="N22" s="182">
        <f t="shared" si="15"/>
        <v>2.2350000000000003</v>
      </c>
      <c r="O22" s="182">
        <f t="shared" si="16"/>
        <v>2.3449999999999998</v>
      </c>
    </row>
    <row r="23" spans="2:15">
      <c r="B23">
        <v>17</v>
      </c>
      <c r="E23" s="182">
        <f t="shared" si="6"/>
        <v>7.1549999999999994</v>
      </c>
      <c r="F23" s="182">
        <f t="shared" si="7"/>
        <v>5.47</v>
      </c>
      <c r="G23" s="182">
        <f t="shared" si="8"/>
        <v>5.44</v>
      </c>
      <c r="H23" s="182">
        <f t="shared" si="9"/>
        <v>4.8449999999999998</v>
      </c>
      <c r="I23" s="182">
        <f t="shared" si="10"/>
        <v>4.3800000000000008</v>
      </c>
      <c r="J23" s="182">
        <f t="shared" si="11"/>
        <v>3.9550000000000001</v>
      </c>
      <c r="K23" s="182">
        <f t="shared" si="12"/>
        <v>3.88</v>
      </c>
      <c r="L23" s="182">
        <f t="shared" si="13"/>
        <v>3.9000000000000004</v>
      </c>
      <c r="M23" s="182">
        <f t="shared" si="14"/>
        <v>2.7650000000000001</v>
      </c>
      <c r="N23" s="182">
        <f t="shared" si="15"/>
        <v>2.2350000000000003</v>
      </c>
      <c r="O23" s="182">
        <f t="shared" si="16"/>
        <v>2.3449999999999998</v>
      </c>
    </row>
    <row r="24" spans="2:15">
      <c r="B24">
        <v>18</v>
      </c>
      <c r="E24" s="182">
        <f t="shared" si="6"/>
        <v>7.1549999999999994</v>
      </c>
      <c r="F24" s="182">
        <f t="shared" si="7"/>
        <v>5.47</v>
      </c>
      <c r="G24" s="182">
        <f t="shared" si="8"/>
        <v>5.44</v>
      </c>
      <c r="H24" s="182">
        <f t="shared" si="9"/>
        <v>4.8449999999999998</v>
      </c>
      <c r="I24" s="182">
        <f t="shared" si="10"/>
        <v>4.3800000000000008</v>
      </c>
      <c r="J24" s="182">
        <f t="shared" si="11"/>
        <v>3.9550000000000001</v>
      </c>
      <c r="K24" s="182">
        <f t="shared" si="12"/>
        <v>3.88</v>
      </c>
      <c r="L24" s="182">
        <f t="shared" si="13"/>
        <v>3.9000000000000004</v>
      </c>
      <c r="M24" s="182">
        <f t="shared" si="14"/>
        <v>2.7650000000000001</v>
      </c>
      <c r="N24" s="182">
        <f t="shared" si="15"/>
        <v>2.2350000000000003</v>
      </c>
      <c r="O24" s="182">
        <f t="shared" si="16"/>
        <v>2.3449999999999998</v>
      </c>
    </row>
    <row r="25" spans="2:15">
      <c r="B25">
        <v>19</v>
      </c>
      <c r="E25" s="182">
        <f t="shared" si="6"/>
        <v>7.1549999999999994</v>
      </c>
      <c r="F25" s="182">
        <f t="shared" si="7"/>
        <v>5.47</v>
      </c>
      <c r="G25" s="182">
        <f t="shared" si="8"/>
        <v>5.44</v>
      </c>
      <c r="H25" s="182">
        <f t="shared" si="9"/>
        <v>4.8449999999999998</v>
      </c>
      <c r="I25" s="182">
        <f t="shared" si="10"/>
        <v>4.3800000000000008</v>
      </c>
      <c r="J25" s="182">
        <f t="shared" si="11"/>
        <v>3.9550000000000001</v>
      </c>
      <c r="K25" s="182">
        <f t="shared" si="12"/>
        <v>3.88</v>
      </c>
      <c r="L25" s="182">
        <f t="shared" si="13"/>
        <v>3.9000000000000004</v>
      </c>
      <c r="M25" s="182">
        <f t="shared" si="14"/>
        <v>2.7650000000000001</v>
      </c>
      <c r="N25" s="182">
        <f t="shared" si="15"/>
        <v>2.2350000000000003</v>
      </c>
      <c r="O25" s="182">
        <f t="shared" si="16"/>
        <v>2.3449999999999998</v>
      </c>
    </row>
    <row r="26" spans="2:15">
      <c r="B26">
        <v>20</v>
      </c>
      <c r="E26" s="182">
        <f t="shared" si="6"/>
        <v>7.1549999999999994</v>
      </c>
      <c r="F26" s="182">
        <f t="shared" si="7"/>
        <v>5.47</v>
      </c>
      <c r="G26" s="182">
        <f t="shared" si="8"/>
        <v>5.44</v>
      </c>
      <c r="H26" s="182">
        <f t="shared" si="9"/>
        <v>4.8449999999999998</v>
      </c>
      <c r="I26" s="182">
        <f t="shared" si="10"/>
        <v>4.3800000000000008</v>
      </c>
      <c r="J26" s="182">
        <f t="shared" si="11"/>
        <v>3.9550000000000001</v>
      </c>
      <c r="K26" s="182">
        <f t="shared" si="12"/>
        <v>3.88</v>
      </c>
      <c r="L26" s="182">
        <f t="shared" si="13"/>
        <v>3.9000000000000004</v>
      </c>
      <c r="M26" s="182">
        <f t="shared" si="14"/>
        <v>2.7650000000000001</v>
      </c>
      <c r="N26" s="182">
        <f t="shared" si="15"/>
        <v>2.2350000000000003</v>
      </c>
      <c r="O26" s="182">
        <f t="shared" si="16"/>
        <v>2.3449999999999998</v>
      </c>
    </row>
    <row r="27" spans="2:15">
      <c r="B27">
        <v>21</v>
      </c>
      <c r="E27" s="182">
        <f t="shared" ref="E27:E46" si="17">E26</f>
        <v>7.1549999999999994</v>
      </c>
      <c r="F27" s="182">
        <f t="shared" ref="F27:F46" si="18">F26</f>
        <v>5.47</v>
      </c>
      <c r="G27" s="182">
        <f t="shared" ref="G27:G46" si="19">G26</f>
        <v>5.44</v>
      </c>
      <c r="H27" s="182">
        <f t="shared" ref="H27:H46" si="20">H26</f>
        <v>4.8449999999999998</v>
      </c>
      <c r="I27" s="182">
        <f t="shared" ref="I27:I46" si="21">I26</f>
        <v>4.3800000000000008</v>
      </c>
      <c r="J27" s="182">
        <f t="shared" ref="J27:J46" si="22">J26</f>
        <v>3.9550000000000001</v>
      </c>
      <c r="K27" s="182">
        <f t="shared" ref="K27:K46" si="23">K26</f>
        <v>3.88</v>
      </c>
      <c r="L27" s="182">
        <f t="shared" ref="L27:L46" si="24">L26</f>
        <v>3.9000000000000004</v>
      </c>
      <c r="M27" s="182">
        <f t="shared" ref="M27:M46" si="25">M26</f>
        <v>2.7650000000000001</v>
      </c>
      <c r="N27" s="182">
        <f t="shared" ref="N27:N46" si="26">N26</f>
        <v>2.2350000000000003</v>
      </c>
      <c r="O27" s="182">
        <f t="shared" ref="O27:O46" si="27">O26</f>
        <v>2.3449999999999998</v>
      </c>
    </row>
    <row r="28" spans="2:15">
      <c r="B28">
        <v>22</v>
      </c>
      <c r="E28" s="182">
        <f t="shared" si="17"/>
        <v>7.1549999999999994</v>
      </c>
      <c r="F28" s="182">
        <f t="shared" si="18"/>
        <v>5.47</v>
      </c>
      <c r="G28" s="182">
        <f t="shared" si="19"/>
        <v>5.44</v>
      </c>
      <c r="H28" s="182">
        <f t="shared" si="20"/>
        <v>4.8449999999999998</v>
      </c>
      <c r="I28" s="182">
        <f t="shared" si="21"/>
        <v>4.3800000000000008</v>
      </c>
      <c r="J28" s="182">
        <f t="shared" si="22"/>
        <v>3.9550000000000001</v>
      </c>
      <c r="K28" s="182">
        <f t="shared" si="23"/>
        <v>3.88</v>
      </c>
      <c r="L28" s="182">
        <f t="shared" si="24"/>
        <v>3.9000000000000004</v>
      </c>
      <c r="M28" s="182">
        <f t="shared" si="25"/>
        <v>2.7650000000000001</v>
      </c>
      <c r="N28" s="182">
        <f t="shared" si="26"/>
        <v>2.2350000000000003</v>
      </c>
      <c r="O28" s="182">
        <f t="shared" si="27"/>
        <v>2.3449999999999998</v>
      </c>
    </row>
    <row r="29" spans="2:15">
      <c r="B29">
        <v>23</v>
      </c>
      <c r="E29" s="182">
        <f t="shared" si="17"/>
        <v>7.1549999999999994</v>
      </c>
      <c r="F29" s="182">
        <f t="shared" si="18"/>
        <v>5.47</v>
      </c>
      <c r="G29" s="182">
        <f t="shared" si="19"/>
        <v>5.44</v>
      </c>
      <c r="H29" s="182">
        <f t="shared" si="20"/>
        <v>4.8449999999999998</v>
      </c>
      <c r="I29" s="182">
        <f t="shared" si="21"/>
        <v>4.3800000000000008</v>
      </c>
      <c r="J29" s="182">
        <f t="shared" si="22"/>
        <v>3.9550000000000001</v>
      </c>
      <c r="K29" s="182">
        <f t="shared" si="23"/>
        <v>3.88</v>
      </c>
      <c r="L29" s="182">
        <f t="shared" si="24"/>
        <v>3.9000000000000004</v>
      </c>
      <c r="M29" s="182">
        <f t="shared" si="25"/>
        <v>2.7650000000000001</v>
      </c>
      <c r="N29" s="182">
        <f t="shared" si="26"/>
        <v>2.2350000000000003</v>
      </c>
      <c r="O29" s="182">
        <f t="shared" si="27"/>
        <v>2.3449999999999998</v>
      </c>
    </row>
    <row r="30" spans="2:15">
      <c r="B30">
        <v>24</v>
      </c>
      <c r="E30" s="182">
        <f t="shared" si="17"/>
        <v>7.1549999999999994</v>
      </c>
      <c r="F30" s="182">
        <f t="shared" si="18"/>
        <v>5.47</v>
      </c>
      <c r="G30" s="182">
        <f t="shared" si="19"/>
        <v>5.44</v>
      </c>
      <c r="H30" s="182">
        <f t="shared" si="20"/>
        <v>4.8449999999999998</v>
      </c>
      <c r="I30" s="182">
        <f t="shared" si="21"/>
        <v>4.3800000000000008</v>
      </c>
      <c r="J30" s="182">
        <f t="shared" si="22"/>
        <v>3.9550000000000001</v>
      </c>
      <c r="K30" s="182">
        <f t="shared" si="23"/>
        <v>3.88</v>
      </c>
      <c r="L30" s="182">
        <f t="shared" si="24"/>
        <v>3.9000000000000004</v>
      </c>
      <c r="M30" s="182">
        <f t="shared" si="25"/>
        <v>2.7650000000000001</v>
      </c>
      <c r="N30" s="182">
        <f t="shared" si="26"/>
        <v>2.2350000000000003</v>
      </c>
      <c r="O30" s="182">
        <f t="shared" si="27"/>
        <v>2.3449999999999998</v>
      </c>
    </row>
    <row r="31" spans="2:15">
      <c r="B31">
        <v>25</v>
      </c>
      <c r="E31" s="182">
        <f t="shared" si="17"/>
        <v>7.1549999999999994</v>
      </c>
      <c r="F31" s="182">
        <f t="shared" si="18"/>
        <v>5.47</v>
      </c>
      <c r="G31" s="182">
        <f t="shared" si="19"/>
        <v>5.44</v>
      </c>
      <c r="H31" s="182">
        <f t="shared" si="20"/>
        <v>4.8449999999999998</v>
      </c>
      <c r="I31" s="182">
        <f t="shared" si="21"/>
        <v>4.3800000000000008</v>
      </c>
      <c r="J31" s="182">
        <f t="shared" si="22"/>
        <v>3.9550000000000001</v>
      </c>
      <c r="K31" s="182">
        <f t="shared" si="23"/>
        <v>3.88</v>
      </c>
      <c r="L31" s="182">
        <f t="shared" si="24"/>
        <v>3.9000000000000004</v>
      </c>
      <c r="M31" s="182">
        <f t="shared" si="25"/>
        <v>2.7650000000000001</v>
      </c>
      <c r="N31" s="182">
        <f t="shared" si="26"/>
        <v>2.2350000000000003</v>
      </c>
      <c r="O31" s="182">
        <f t="shared" si="27"/>
        <v>2.3449999999999998</v>
      </c>
    </row>
    <row r="32" spans="2:15">
      <c r="B32">
        <v>26</v>
      </c>
      <c r="E32" s="182">
        <f t="shared" si="17"/>
        <v>7.1549999999999994</v>
      </c>
      <c r="F32" s="182">
        <f t="shared" si="18"/>
        <v>5.47</v>
      </c>
      <c r="G32" s="182">
        <f t="shared" si="19"/>
        <v>5.44</v>
      </c>
      <c r="H32" s="182">
        <f t="shared" si="20"/>
        <v>4.8449999999999998</v>
      </c>
      <c r="I32" s="182">
        <f t="shared" si="21"/>
        <v>4.3800000000000008</v>
      </c>
      <c r="J32" s="182">
        <f t="shared" si="22"/>
        <v>3.9550000000000001</v>
      </c>
      <c r="K32" s="182">
        <f t="shared" si="23"/>
        <v>3.88</v>
      </c>
      <c r="L32" s="182">
        <f t="shared" si="24"/>
        <v>3.9000000000000004</v>
      </c>
      <c r="M32" s="182">
        <f t="shared" si="25"/>
        <v>2.7650000000000001</v>
      </c>
      <c r="N32" s="182">
        <f t="shared" si="26"/>
        <v>2.2350000000000003</v>
      </c>
      <c r="O32" s="182">
        <f t="shared" si="27"/>
        <v>2.3449999999999998</v>
      </c>
    </row>
    <row r="33" spans="2:17">
      <c r="B33">
        <v>27</v>
      </c>
      <c r="E33" s="182">
        <f t="shared" si="17"/>
        <v>7.1549999999999994</v>
      </c>
      <c r="F33" s="182">
        <f t="shared" si="18"/>
        <v>5.47</v>
      </c>
      <c r="G33" s="182">
        <f t="shared" si="19"/>
        <v>5.44</v>
      </c>
      <c r="H33" s="182">
        <f t="shared" si="20"/>
        <v>4.8449999999999998</v>
      </c>
      <c r="I33" s="182">
        <f t="shared" si="21"/>
        <v>4.3800000000000008</v>
      </c>
      <c r="J33" s="182">
        <f t="shared" si="22"/>
        <v>3.9550000000000001</v>
      </c>
      <c r="K33" s="182">
        <f t="shared" si="23"/>
        <v>3.88</v>
      </c>
      <c r="L33" s="182">
        <f t="shared" si="24"/>
        <v>3.9000000000000004</v>
      </c>
      <c r="M33" s="182">
        <f t="shared" si="25"/>
        <v>2.7650000000000001</v>
      </c>
      <c r="N33" s="182">
        <f t="shared" si="26"/>
        <v>2.2350000000000003</v>
      </c>
      <c r="O33" s="182">
        <f t="shared" si="27"/>
        <v>2.3449999999999998</v>
      </c>
    </row>
    <row r="34" spans="2:17">
      <c r="B34">
        <v>28</v>
      </c>
      <c r="E34" s="182">
        <f t="shared" si="17"/>
        <v>7.1549999999999994</v>
      </c>
      <c r="F34" s="182">
        <f t="shared" si="18"/>
        <v>5.47</v>
      </c>
      <c r="G34" s="182">
        <f t="shared" si="19"/>
        <v>5.44</v>
      </c>
      <c r="H34" s="182">
        <f t="shared" si="20"/>
        <v>4.8449999999999998</v>
      </c>
      <c r="I34" s="182">
        <f t="shared" si="21"/>
        <v>4.3800000000000008</v>
      </c>
      <c r="J34" s="182">
        <f t="shared" si="22"/>
        <v>3.9550000000000001</v>
      </c>
      <c r="K34" s="182">
        <f t="shared" si="23"/>
        <v>3.88</v>
      </c>
      <c r="L34" s="182">
        <f t="shared" si="24"/>
        <v>3.9000000000000004</v>
      </c>
      <c r="M34" s="182">
        <f t="shared" si="25"/>
        <v>2.7650000000000001</v>
      </c>
      <c r="N34" s="182">
        <f t="shared" si="26"/>
        <v>2.2350000000000003</v>
      </c>
      <c r="O34" s="182">
        <f t="shared" si="27"/>
        <v>2.3449999999999998</v>
      </c>
    </row>
    <row r="35" spans="2:17">
      <c r="B35">
        <v>29</v>
      </c>
      <c r="E35" s="182">
        <f t="shared" si="17"/>
        <v>7.1549999999999994</v>
      </c>
      <c r="F35" s="182">
        <f t="shared" si="18"/>
        <v>5.47</v>
      </c>
      <c r="G35" s="182">
        <f t="shared" si="19"/>
        <v>5.44</v>
      </c>
      <c r="H35" s="182">
        <f t="shared" si="20"/>
        <v>4.8449999999999998</v>
      </c>
      <c r="I35" s="182">
        <f t="shared" si="21"/>
        <v>4.3800000000000008</v>
      </c>
      <c r="J35" s="182">
        <f t="shared" si="22"/>
        <v>3.9550000000000001</v>
      </c>
      <c r="K35" s="182">
        <f t="shared" si="23"/>
        <v>3.88</v>
      </c>
      <c r="L35" s="182">
        <f t="shared" si="24"/>
        <v>3.9000000000000004</v>
      </c>
      <c r="M35" s="182">
        <f t="shared" si="25"/>
        <v>2.7650000000000001</v>
      </c>
      <c r="N35" s="182">
        <f t="shared" si="26"/>
        <v>2.2350000000000003</v>
      </c>
      <c r="O35" s="182">
        <f t="shared" si="27"/>
        <v>2.3449999999999998</v>
      </c>
    </row>
    <row r="36" spans="2:17">
      <c r="B36">
        <v>30</v>
      </c>
      <c r="E36" s="182">
        <f t="shared" si="17"/>
        <v>7.1549999999999994</v>
      </c>
      <c r="F36" s="182">
        <f t="shared" si="18"/>
        <v>5.47</v>
      </c>
      <c r="G36" s="182">
        <f t="shared" si="19"/>
        <v>5.44</v>
      </c>
      <c r="H36" s="182">
        <f t="shared" si="20"/>
        <v>4.8449999999999998</v>
      </c>
      <c r="I36" s="182">
        <f t="shared" si="21"/>
        <v>4.3800000000000008</v>
      </c>
      <c r="J36" s="182">
        <f t="shared" si="22"/>
        <v>3.9550000000000001</v>
      </c>
      <c r="K36" s="182">
        <f t="shared" si="23"/>
        <v>3.88</v>
      </c>
      <c r="L36" s="182">
        <f t="shared" si="24"/>
        <v>3.9000000000000004</v>
      </c>
      <c r="M36" s="182">
        <f t="shared" si="25"/>
        <v>2.7650000000000001</v>
      </c>
      <c r="N36" s="182">
        <f t="shared" si="26"/>
        <v>2.2350000000000003</v>
      </c>
      <c r="O36" s="182">
        <f t="shared" si="27"/>
        <v>2.3449999999999998</v>
      </c>
    </row>
    <row r="37" spans="2:17">
      <c r="B37">
        <v>31</v>
      </c>
      <c r="E37" s="182">
        <f t="shared" si="17"/>
        <v>7.1549999999999994</v>
      </c>
      <c r="F37" s="182">
        <f t="shared" si="18"/>
        <v>5.47</v>
      </c>
      <c r="G37" s="182">
        <f t="shared" si="19"/>
        <v>5.44</v>
      </c>
      <c r="H37" s="182">
        <f t="shared" si="20"/>
        <v>4.8449999999999998</v>
      </c>
      <c r="I37" s="182">
        <f t="shared" si="21"/>
        <v>4.3800000000000008</v>
      </c>
      <c r="J37" s="182">
        <f t="shared" si="22"/>
        <v>3.9550000000000001</v>
      </c>
      <c r="K37" s="182">
        <f t="shared" si="23"/>
        <v>3.88</v>
      </c>
      <c r="L37" s="182">
        <f t="shared" si="24"/>
        <v>3.9000000000000004</v>
      </c>
      <c r="M37" s="182">
        <f t="shared" si="25"/>
        <v>2.7650000000000001</v>
      </c>
      <c r="N37" s="182">
        <f t="shared" si="26"/>
        <v>2.2350000000000003</v>
      </c>
      <c r="O37" s="182">
        <f t="shared" si="27"/>
        <v>2.3449999999999998</v>
      </c>
    </row>
    <row r="38" spans="2:17">
      <c r="B38">
        <v>32</v>
      </c>
      <c r="E38" s="182">
        <f t="shared" si="17"/>
        <v>7.1549999999999994</v>
      </c>
      <c r="F38" s="182">
        <f t="shared" si="18"/>
        <v>5.47</v>
      </c>
      <c r="G38" s="182">
        <f t="shared" si="19"/>
        <v>5.44</v>
      </c>
      <c r="H38" s="182">
        <f t="shared" si="20"/>
        <v>4.8449999999999998</v>
      </c>
      <c r="I38" s="182">
        <f t="shared" si="21"/>
        <v>4.3800000000000008</v>
      </c>
      <c r="J38" s="182">
        <f t="shared" si="22"/>
        <v>3.9550000000000001</v>
      </c>
      <c r="K38" s="182">
        <f t="shared" si="23"/>
        <v>3.88</v>
      </c>
      <c r="L38" s="182">
        <f t="shared" si="24"/>
        <v>3.9000000000000004</v>
      </c>
      <c r="M38" s="182">
        <f t="shared" si="25"/>
        <v>2.7650000000000001</v>
      </c>
      <c r="N38" s="182">
        <f t="shared" si="26"/>
        <v>2.2350000000000003</v>
      </c>
      <c r="O38" s="182">
        <f t="shared" si="27"/>
        <v>2.3449999999999998</v>
      </c>
    </row>
    <row r="39" spans="2:17">
      <c r="B39">
        <v>33</v>
      </c>
      <c r="E39" s="182">
        <f t="shared" si="17"/>
        <v>7.1549999999999994</v>
      </c>
      <c r="F39" s="182">
        <f t="shared" si="18"/>
        <v>5.47</v>
      </c>
      <c r="G39" s="182">
        <f t="shared" si="19"/>
        <v>5.44</v>
      </c>
      <c r="H39" s="182">
        <f t="shared" si="20"/>
        <v>4.8449999999999998</v>
      </c>
      <c r="I39" s="182">
        <f t="shared" si="21"/>
        <v>4.3800000000000008</v>
      </c>
      <c r="J39" s="182">
        <f t="shared" si="22"/>
        <v>3.9550000000000001</v>
      </c>
      <c r="K39" s="182">
        <f t="shared" si="23"/>
        <v>3.88</v>
      </c>
      <c r="L39" s="182">
        <f t="shared" si="24"/>
        <v>3.9000000000000004</v>
      </c>
      <c r="M39" s="182">
        <f t="shared" si="25"/>
        <v>2.7650000000000001</v>
      </c>
      <c r="N39" s="182">
        <f t="shared" si="26"/>
        <v>2.2350000000000003</v>
      </c>
      <c r="O39" s="182">
        <f t="shared" si="27"/>
        <v>2.3449999999999998</v>
      </c>
    </row>
    <row r="40" spans="2:17">
      <c r="B40">
        <v>34</v>
      </c>
      <c r="E40" s="182">
        <f t="shared" si="17"/>
        <v>7.1549999999999994</v>
      </c>
      <c r="F40" s="182">
        <f t="shared" si="18"/>
        <v>5.47</v>
      </c>
      <c r="G40" s="182">
        <f t="shared" si="19"/>
        <v>5.44</v>
      </c>
      <c r="H40" s="182">
        <f t="shared" si="20"/>
        <v>4.8449999999999998</v>
      </c>
      <c r="I40" s="182">
        <f t="shared" si="21"/>
        <v>4.3800000000000008</v>
      </c>
      <c r="J40" s="182">
        <f t="shared" si="22"/>
        <v>3.9550000000000001</v>
      </c>
      <c r="K40" s="182">
        <f t="shared" si="23"/>
        <v>3.88</v>
      </c>
      <c r="L40" s="182">
        <f t="shared" si="24"/>
        <v>3.9000000000000004</v>
      </c>
      <c r="M40" s="182">
        <f t="shared" si="25"/>
        <v>2.7650000000000001</v>
      </c>
      <c r="N40" s="182">
        <f t="shared" si="26"/>
        <v>2.2350000000000003</v>
      </c>
      <c r="O40" s="182">
        <f t="shared" si="27"/>
        <v>2.3449999999999998</v>
      </c>
    </row>
    <row r="41" spans="2:17">
      <c r="B41">
        <v>35</v>
      </c>
      <c r="E41" s="182">
        <f t="shared" si="17"/>
        <v>7.1549999999999994</v>
      </c>
      <c r="F41" s="182">
        <f t="shared" si="18"/>
        <v>5.47</v>
      </c>
      <c r="G41" s="182">
        <f t="shared" si="19"/>
        <v>5.44</v>
      </c>
      <c r="H41" s="182">
        <f t="shared" si="20"/>
        <v>4.8449999999999998</v>
      </c>
      <c r="I41" s="182">
        <f t="shared" si="21"/>
        <v>4.3800000000000008</v>
      </c>
      <c r="J41" s="182">
        <f t="shared" si="22"/>
        <v>3.9550000000000001</v>
      </c>
      <c r="K41" s="182">
        <f t="shared" si="23"/>
        <v>3.88</v>
      </c>
      <c r="L41" s="182">
        <f t="shared" si="24"/>
        <v>3.9000000000000004</v>
      </c>
      <c r="M41" s="182">
        <f t="shared" si="25"/>
        <v>2.7650000000000001</v>
      </c>
      <c r="N41" s="182">
        <f t="shared" si="26"/>
        <v>2.2350000000000003</v>
      </c>
      <c r="O41" s="182">
        <f t="shared" si="27"/>
        <v>2.3449999999999998</v>
      </c>
    </row>
    <row r="42" spans="2:17">
      <c r="B42">
        <v>36</v>
      </c>
      <c r="E42" s="182">
        <f t="shared" si="17"/>
        <v>7.1549999999999994</v>
      </c>
      <c r="F42" s="182">
        <f t="shared" si="18"/>
        <v>5.47</v>
      </c>
      <c r="G42" s="182">
        <f t="shared" si="19"/>
        <v>5.44</v>
      </c>
      <c r="H42" s="182">
        <f t="shared" si="20"/>
        <v>4.8449999999999998</v>
      </c>
      <c r="I42" s="182">
        <f t="shared" si="21"/>
        <v>4.3800000000000008</v>
      </c>
      <c r="J42" s="182">
        <f t="shared" si="22"/>
        <v>3.9550000000000001</v>
      </c>
      <c r="K42" s="182">
        <f t="shared" si="23"/>
        <v>3.88</v>
      </c>
      <c r="L42" s="182">
        <f t="shared" si="24"/>
        <v>3.9000000000000004</v>
      </c>
      <c r="M42" s="182">
        <f t="shared" si="25"/>
        <v>2.7650000000000001</v>
      </c>
      <c r="N42" s="182">
        <f t="shared" si="26"/>
        <v>2.2350000000000003</v>
      </c>
      <c r="O42" s="182">
        <f t="shared" si="27"/>
        <v>2.3449999999999998</v>
      </c>
    </row>
    <row r="43" spans="2:17">
      <c r="B43">
        <v>37</v>
      </c>
      <c r="E43" s="182">
        <f t="shared" si="17"/>
        <v>7.1549999999999994</v>
      </c>
      <c r="F43" s="182">
        <f t="shared" si="18"/>
        <v>5.47</v>
      </c>
      <c r="G43" s="182">
        <f t="shared" si="19"/>
        <v>5.44</v>
      </c>
      <c r="H43" s="182">
        <f t="shared" si="20"/>
        <v>4.8449999999999998</v>
      </c>
      <c r="I43" s="182">
        <f t="shared" si="21"/>
        <v>4.3800000000000008</v>
      </c>
      <c r="J43" s="182">
        <f t="shared" si="22"/>
        <v>3.9550000000000001</v>
      </c>
      <c r="K43" s="182">
        <f t="shared" si="23"/>
        <v>3.88</v>
      </c>
      <c r="L43" s="182">
        <f t="shared" si="24"/>
        <v>3.9000000000000004</v>
      </c>
      <c r="M43" s="182">
        <f t="shared" si="25"/>
        <v>2.7650000000000001</v>
      </c>
      <c r="N43" s="182">
        <f t="shared" si="26"/>
        <v>2.2350000000000003</v>
      </c>
      <c r="O43" s="182">
        <f t="shared" si="27"/>
        <v>2.3449999999999998</v>
      </c>
    </row>
    <row r="44" spans="2:17">
      <c r="B44">
        <v>38</v>
      </c>
      <c r="E44" s="182">
        <f t="shared" si="17"/>
        <v>7.1549999999999994</v>
      </c>
      <c r="F44" s="182">
        <f t="shared" si="18"/>
        <v>5.47</v>
      </c>
      <c r="G44" s="182">
        <f t="shared" si="19"/>
        <v>5.44</v>
      </c>
      <c r="H44" s="182">
        <f t="shared" si="20"/>
        <v>4.8449999999999998</v>
      </c>
      <c r="I44" s="182">
        <f t="shared" si="21"/>
        <v>4.3800000000000008</v>
      </c>
      <c r="J44" s="182">
        <f t="shared" si="22"/>
        <v>3.9550000000000001</v>
      </c>
      <c r="K44" s="182">
        <f t="shared" si="23"/>
        <v>3.88</v>
      </c>
      <c r="L44" s="182">
        <f t="shared" si="24"/>
        <v>3.9000000000000004</v>
      </c>
      <c r="M44" s="182">
        <f t="shared" si="25"/>
        <v>2.7650000000000001</v>
      </c>
      <c r="N44" s="182">
        <f t="shared" si="26"/>
        <v>2.2350000000000003</v>
      </c>
      <c r="O44" s="182">
        <f t="shared" si="27"/>
        <v>2.3449999999999998</v>
      </c>
    </row>
    <row r="45" spans="2:17">
      <c r="B45">
        <v>39</v>
      </c>
      <c r="E45" s="182">
        <f t="shared" si="17"/>
        <v>7.1549999999999994</v>
      </c>
      <c r="F45" s="182">
        <f t="shared" si="18"/>
        <v>5.47</v>
      </c>
      <c r="G45" s="182">
        <f t="shared" si="19"/>
        <v>5.44</v>
      </c>
      <c r="H45" s="182">
        <f t="shared" si="20"/>
        <v>4.8449999999999998</v>
      </c>
      <c r="I45" s="182">
        <f t="shared" si="21"/>
        <v>4.3800000000000008</v>
      </c>
      <c r="J45" s="182">
        <f t="shared" si="22"/>
        <v>3.9550000000000001</v>
      </c>
      <c r="K45" s="182">
        <f t="shared" si="23"/>
        <v>3.88</v>
      </c>
      <c r="L45" s="182">
        <f t="shared" si="24"/>
        <v>3.9000000000000004</v>
      </c>
      <c r="M45" s="182">
        <f t="shared" si="25"/>
        <v>2.7650000000000001</v>
      </c>
      <c r="N45" s="182">
        <f t="shared" si="26"/>
        <v>2.2350000000000003</v>
      </c>
      <c r="O45" s="182">
        <f t="shared" si="27"/>
        <v>2.3449999999999998</v>
      </c>
    </row>
    <row r="46" spans="2:17">
      <c r="B46">
        <v>40</v>
      </c>
      <c r="E46" s="182">
        <f t="shared" si="17"/>
        <v>7.1549999999999994</v>
      </c>
      <c r="F46" s="182">
        <f t="shared" si="18"/>
        <v>5.47</v>
      </c>
      <c r="G46" s="182">
        <f t="shared" si="19"/>
        <v>5.44</v>
      </c>
      <c r="H46" s="182">
        <f t="shared" si="20"/>
        <v>4.8449999999999998</v>
      </c>
      <c r="I46" s="182">
        <f t="shared" si="21"/>
        <v>4.3800000000000008</v>
      </c>
      <c r="J46" s="182">
        <f t="shared" si="22"/>
        <v>3.9550000000000001</v>
      </c>
      <c r="K46" s="182">
        <f t="shared" si="23"/>
        <v>3.88</v>
      </c>
      <c r="L46" s="182">
        <f t="shared" si="24"/>
        <v>3.9000000000000004</v>
      </c>
      <c r="M46" s="182">
        <f t="shared" si="25"/>
        <v>2.7650000000000001</v>
      </c>
      <c r="N46" s="182">
        <f t="shared" si="26"/>
        <v>2.2350000000000003</v>
      </c>
      <c r="O46" s="182">
        <f t="shared" si="27"/>
        <v>2.3449999999999998</v>
      </c>
    </row>
    <row r="48" spans="2:17">
      <c r="B48" s="5" t="s">
        <v>368</v>
      </c>
      <c r="D48" s="42" t="s">
        <v>367</v>
      </c>
      <c r="E48">
        <v>2011</v>
      </c>
      <c r="F48">
        <v>2012</v>
      </c>
      <c r="G48">
        <v>2013</v>
      </c>
      <c r="H48">
        <v>2014</v>
      </c>
      <c r="I48">
        <v>2015</v>
      </c>
      <c r="J48">
        <v>2016</v>
      </c>
      <c r="K48">
        <v>2017</v>
      </c>
      <c r="L48">
        <v>2018</v>
      </c>
      <c r="M48">
        <v>2019</v>
      </c>
      <c r="N48">
        <v>2020</v>
      </c>
      <c r="O48">
        <v>2021</v>
      </c>
      <c r="P48">
        <v>2022</v>
      </c>
      <c r="Q48" s="116" t="s">
        <v>369</v>
      </c>
    </row>
    <row r="50" spans="2:16">
      <c r="B50" s="42" t="s">
        <v>218</v>
      </c>
    </row>
    <row r="51" spans="2:16">
      <c r="B51">
        <v>0</v>
      </c>
      <c r="E51" s="182">
        <f t="shared" ref="E51:E52" si="28">E52</f>
        <v>6.9250000000000007</v>
      </c>
      <c r="F51" s="182">
        <f t="shared" ref="F51:F52" si="29">F52</f>
        <v>5.66</v>
      </c>
      <c r="G51" s="182">
        <f t="shared" ref="G51:G52" si="30">G52</f>
        <v>4.6349999999999998</v>
      </c>
      <c r="H51" s="182">
        <f t="shared" ref="H51:H52" si="31">H52</f>
        <v>4.335</v>
      </c>
      <c r="I51" s="182">
        <f t="shared" ref="I51:I52" si="32">I52</f>
        <v>3.8849999999999998</v>
      </c>
      <c r="J51" s="182">
        <f t="shared" ref="J51:J52" si="33">J52</f>
        <v>4.0599999999999996</v>
      </c>
      <c r="K51" s="182">
        <f t="shared" ref="K51:K52" si="34">K52</f>
        <v>3.2650000000000001</v>
      </c>
      <c r="L51" s="182">
        <f t="shared" ref="L51:L52" si="35">L52</f>
        <v>3.3149999999999999</v>
      </c>
      <c r="M51" s="182">
        <f t="shared" ref="M51:M52" si="36">M52</f>
        <v>2.3049999999999997</v>
      </c>
      <c r="N51" s="182">
        <f t="shared" ref="N51:N52" si="37">N52</f>
        <v>2.105</v>
      </c>
      <c r="O51" s="182">
        <f t="shared" ref="O51:P52" si="38">O52</f>
        <v>1.3</v>
      </c>
      <c r="P51" s="182">
        <f t="shared" si="38"/>
        <v>2.12</v>
      </c>
    </row>
    <row r="52" spans="2:16">
      <c r="B52">
        <v>1</v>
      </c>
      <c r="E52" s="182">
        <f t="shared" si="28"/>
        <v>6.9250000000000007</v>
      </c>
      <c r="F52" s="182">
        <f t="shared" si="29"/>
        <v>5.66</v>
      </c>
      <c r="G52" s="182">
        <f t="shared" si="30"/>
        <v>4.6349999999999998</v>
      </c>
      <c r="H52" s="182">
        <f t="shared" si="31"/>
        <v>4.335</v>
      </c>
      <c r="I52" s="182">
        <f t="shared" si="32"/>
        <v>3.8849999999999998</v>
      </c>
      <c r="J52" s="182">
        <f t="shared" si="33"/>
        <v>4.0599999999999996</v>
      </c>
      <c r="K52" s="182">
        <f t="shared" si="34"/>
        <v>3.2650000000000001</v>
      </c>
      <c r="L52" s="182">
        <f t="shared" si="35"/>
        <v>3.3149999999999999</v>
      </c>
      <c r="M52" s="182">
        <f t="shared" si="36"/>
        <v>2.3049999999999997</v>
      </c>
      <c r="N52" s="182">
        <f t="shared" si="37"/>
        <v>2.105</v>
      </c>
      <c r="O52" s="182">
        <f t="shared" si="38"/>
        <v>1.3</v>
      </c>
      <c r="P52" s="182">
        <f t="shared" si="38"/>
        <v>2.12</v>
      </c>
    </row>
    <row r="53" spans="2:16">
      <c r="B53">
        <v>2</v>
      </c>
      <c r="E53" s="182">
        <f>E54</f>
        <v>6.9250000000000007</v>
      </c>
      <c r="F53" s="182">
        <f t="shared" ref="F53:P53" si="39">F54</f>
        <v>5.66</v>
      </c>
      <c r="G53" s="182">
        <f t="shared" si="39"/>
        <v>4.6349999999999998</v>
      </c>
      <c r="H53" s="182">
        <f t="shared" si="39"/>
        <v>4.335</v>
      </c>
      <c r="I53" s="182">
        <f t="shared" si="39"/>
        <v>3.8849999999999998</v>
      </c>
      <c r="J53" s="182">
        <f t="shared" si="39"/>
        <v>4.0599999999999996</v>
      </c>
      <c r="K53" s="182">
        <f t="shared" si="39"/>
        <v>3.2650000000000001</v>
      </c>
      <c r="L53" s="182">
        <f t="shared" si="39"/>
        <v>3.3149999999999999</v>
      </c>
      <c r="M53" s="182">
        <f t="shared" si="39"/>
        <v>2.3049999999999997</v>
      </c>
      <c r="N53" s="182">
        <f t="shared" si="39"/>
        <v>2.105</v>
      </c>
      <c r="O53" s="182">
        <f t="shared" si="39"/>
        <v>1.3</v>
      </c>
      <c r="P53" s="182">
        <f t="shared" si="39"/>
        <v>2.12</v>
      </c>
    </row>
    <row r="54" spans="2:16">
      <c r="B54">
        <v>3</v>
      </c>
      <c r="E54" s="182">
        <f>AVERAGE('Corporate Bond yields'!$X$89,'Corporate Bond yields'!$X$88)</f>
        <v>6.9250000000000007</v>
      </c>
      <c r="F54" s="182">
        <f>AVERAGE('Corporate Bond yields'!$X$101,'Corporate Bond yields'!$X$100)</f>
        <v>5.66</v>
      </c>
      <c r="G54" s="182">
        <f>AVERAGE('Corporate Bond yields'!$X$113,'Corporate Bond yields'!$X$112)</f>
        <v>4.6349999999999998</v>
      </c>
      <c r="H54" s="182">
        <f>AVERAGE('Corporate Bond yields'!$X$125,'Corporate Bond yields'!$X$124)</f>
        <v>4.335</v>
      </c>
      <c r="I54" s="182">
        <f>AVERAGE('Corporate Bond yields'!$X$137,'Corporate Bond yields'!$X$136)</f>
        <v>3.8849999999999998</v>
      </c>
      <c r="J54" s="182">
        <f>AVERAGE('Corporate Bond yields'!$X$149,'Corporate Bond yields'!$X$148)</f>
        <v>4.0599999999999996</v>
      </c>
      <c r="K54" s="182">
        <f>AVERAGE('Corporate Bond yields'!$X$161,'Corporate Bond yields'!$X$160)</f>
        <v>3.2650000000000001</v>
      </c>
      <c r="L54" s="182">
        <f>AVERAGE('Corporate Bond yields'!$X$173,'Corporate Bond yields'!$X$172)</f>
        <v>3.3149999999999999</v>
      </c>
      <c r="M54" s="182">
        <f>AVERAGE('Corporate Bond yields'!$X$185,'Corporate Bond yields'!$X$184)</f>
        <v>2.3049999999999997</v>
      </c>
      <c r="N54" s="182">
        <f>AVERAGE('Corporate Bond yields'!$X$197,'Corporate Bond yields'!$X$196)</f>
        <v>2.105</v>
      </c>
      <c r="O54" s="182">
        <f>AVERAGE('Corporate Bond yields'!$X$209,'Corporate Bond yields'!$X$208)</f>
        <v>1.3</v>
      </c>
      <c r="P54" s="182">
        <f>AVERAGE('Corporate Bond yields'!$X$215,'Corporate Bond yields'!$X$214)</f>
        <v>2.12</v>
      </c>
    </row>
    <row r="55" spans="2:16">
      <c r="B55">
        <v>4</v>
      </c>
      <c r="E55" s="182">
        <f>0.5*E54+0.5*E56</f>
        <v>7.1000000000000005</v>
      </c>
      <c r="F55" s="182">
        <f t="shared" ref="F55:O55" si="40">0.5*F54+0.5*F56</f>
        <v>5.8725000000000005</v>
      </c>
      <c r="G55" s="182">
        <f t="shared" si="40"/>
        <v>4.9950000000000001</v>
      </c>
      <c r="H55" s="182">
        <f t="shared" si="40"/>
        <v>4.5675000000000008</v>
      </c>
      <c r="I55" s="182">
        <f t="shared" si="40"/>
        <v>4.0575000000000001</v>
      </c>
      <c r="J55" s="182">
        <f t="shared" si="40"/>
        <v>4.2024999999999997</v>
      </c>
      <c r="K55" s="182">
        <f t="shared" si="40"/>
        <v>3.4024999999999999</v>
      </c>
      <c r="L55" s="182">
        <f t="shared" si="40"/>
        <v>3.5</v>
      </c>
      <c r="M55" s="182">
        <f t="shared" si="40"/>
        <v>2.4575</v>
      </c>
      <c r="N55" s="182">
        <f t="shared" si="40"/>
        <v>2.2999999999999998</v>
      </c>
      <c r="O55" s="182">
        <f t="shared" si="40"/>
        <v>1.6124999999999998</v>
      </c>
      <c r="P55" s="182">
        <f t="shared" ref="P55" si="41">0.5*P54+0.5*P56</f>
        <v>2.4500000000000002</v>
      </c>
    </row>
    <row r="56" spans="2:16">
      <c r="B56">
        <v>5</v>
      </c>
      <c r="E56" s="182">
        <f>AVERAGE('Corporate Bond yields'!$AB$89,'Corporate Bond yields'!$AB$88)</f>
        <v>7.2750000000000004</v>
      </c>
      <c r="F56" s="182">
        <f>AVERAGE('Corporate Bond yields'!$AB$101,'Corporate Bond yields'!$AB$100)</f>
        <v>6.0850000000000009</v>
      </c>
      <c r="G56" s="182">
        <f>AVERAGE('Corporate Bond yields'!$AB$113,'Corporate Bond yields'!$AB$112)</f>
        <v>5.3550000000000004</v>
      </c>
      <c r="H56" s="182">
        <f>AVERAGE('Corporate Bond yields'!$AB$125,'Corporate Bond yields'!$AB$124)</f>
        <v>4.8000000000000007</v>
      </c>
      <c r="I56" s="182">
        <f>AVERAGE('Corporate Bond yields'!$AB$137,'Corporate Bond yields'!$AB$136)</f>
        <v>4.2300000000000004</v>
      </c>
      <c r="J56" s="182">
        <f>AVERAGE('Corporate Bond yields'!$AB$149,'Corporate Bond yields'!$AB$148)</f>
        <v>4.3449999999999998</v>
      </c>
      <c r="K56" s="182">
        <f>AVERAGE('Corporate Bond yields'!$AB$161,'Corporate Bond yields'!$AB$160)</f>
        <v>3.54</v>
      </c>
      <c r="L56" s="182">
        <f>AVERAGE('Corporate Bond yields'!$AB$173,'Corporate Bond yields'!$AB$172)</f>
        <v>3.6850000000000001</v>
      </c>
      <c r="M56" s="182">
        <f>AVERAGE('Corporate Bond yields'!$AB$185,'Corporate Bond yields'!$AB$184)</f>
        <v>2.6100000000000003</v>
      </c>
      <c r="N56" s="182">
        <f>AVERAGE('Corporate Bond yields'!$AB$197,'Corporate Bond yields'!$AB$196)</f>
        <v>2.4950000000000001</v>
      </c>
      <c r="O56" s="182">
        <f>AVERAGE('Corporate Bond yields'!$AB$209,'Corporate Bond yields'!$AB$208)</f>
        <v>1.9249999999999998</v>
      </c>
      <c r="P56" s="182">
        <f>AVERAGE('Corporate Bond yields'!$AB$215,'Corporate Bond yields'!$AB$214)</f>
        <v>2.7800000000000002</v>
      </c>
    </row>
    <row r="57" spans="2:16">
      <c r="B57">
        <v>6</v>
      </c>
      <c r="E57" s="182">
        <f>0.5*E56+0.5*E58</f>
        <v>7.4275000000000002</v>
      </c>
      <c r="F57" s="182">
        <f t="shared" ref="F57:O57" si="42">0.5*F56+0.5*F58</f>
        <v>6.23</v>
      </c>
      <c r="G57" s="182">
        <f t="shared" si="42"/>
        <v>5.6825000000000001</v>
      </c>
      <c r="H57" s="182">
        <f t="shared" si="42"/>
        <v>5.0375000000000005</v>
      </c>
      <c r="I57" s="182">
        <f t="shared" si="42"/>
        <v>4.4350000000000005</v>
      </c>
      <c r="J57" s="182">
        <f t="shared" si="42"/>
        <v>4.4350000000000005</v>
      </c>
      <c r="K57" s="182">
        <f t="shared" si="42"/>
        <v>3.75</v>
      </c>
      <c r="L57" s="182">
        <f t="shared" si="42"/>
        <v>3.8600000000000003</v>
      </c>
      <c r="M57" s="182">
        <f t="shared" si="42"/>
        <v>2.8375000000000004</v>
      </c>
      <c r="N57" s="182">
        <f t="shared" si="42"/>
        <v>2.8224999999999998</v>
      </c>
      <c r="O57" s="182">
        <f t="shared" si="42"/>
        <v>2.2774999999999999</v>
      </c>
      <c r="P57" s="182">
        <f t="shared" ref="P57" si="43">0.5*P56+0.5*P58</f>
        <v>3.0375000000000001</v>
      </c>
    </row>
    <row r="58" spans="2:16">
      <c r="B58">
        <v>7</v>
      </c>
      <c r="E58" s="182">
        <f>AVERAGE('Corporate Bond yields'!$AF$89,'Corporate Bond yields'!$AF$88)</f>
        <v>7.58</v>
      </c>
      <c r="F58" s="182">
        <f>AVERAGE('Corporate Bond yields'!$AF$101,'Corporate Bond yields'!$AF$100)</f>
        <v>6.375</v>
      </c>
      <c r="G58" s="182">
        <f>AVERAGE('Corporate Bond yields'!$AF$113,'Corporate Bond yields'!$AF$112)</f>
        <v>6.01</v>
      </c>
      <c r="H58" s="182">
        <f>AVERAGE('Corporate Bond yields'!$AF$125,'Corporate Bond yields'!$AF$124)</f>
        <v>5.2750000000000004</v>
      </c>
      <c r="I58" s="182">
        <f>AVERAGE('Corporate Bond yields'!$AF$137,'Corporate Bond yields'!$AF$136)</f>
        <v>4.6400000000000006</v>
      </c>
      <c r="J58" s="182">
        <f>AVERAGE('Corporate Bond yields'!$AF$149,'Corporate Bond yields'!$AF$148)</f>
        <v>4.5250000000000004</v>
      </c>
      <c r="K58" s="182">
        <f>AVERAGE('Corporate Bond yields'!$AF$161,'Corporate Bond yields'!$AF$160)</f>
        <v>3.96</v>
      </c>
      <c r="L58" s="182">
        <f>AVERAGE('Corporate Bond yields'!$AF$173,'Corporate Bond yields'!$AF$172)</f>
        <v>4.0350000000000001</v>
      </c>
      <c r="M58" s="182">
        <f>AVERAGE('Corporate Bond yields'!$AF$185,'Corporate Bond yields'!$AF$184)</f>
        <v>3.0649999999999999</v>
      </c>
      <c r="N58" s="182">
        <f>AVERAGE('Corporate Bond yields'!$AF$197,'Corporate Bond yields'!$AF$196)</f>
        <v>3.15</v>
      </c>
      <c r="O58" s="182">
        <f>AVERAGE('Corporate Bond yields'!$AF$209,'Corporate Bond yields'!$AF$208)</f>
        <v>2.63</v>
      </c>
      <c r="P58" s="182">
        <f>AVERAGE('Corporate Bond yields'!$AF$215,'Corporate Bond yields'!$AF$214)</f>
        <v>3.2949999999999999</v>
      </c>
    </row>
    <row r="59" spans="2:16">
      <c r="B59">
        <v>8</v>
      </c>
      <c r="E59" s="182">
        <f>0.75*E58+0.25*E61</f>
        <v>7.6387500000000008</v>
      </c>
      <c r="F59" s="182">
        <f t="shared" ref="F59:O59" si="44">0.75*F58+0.25*F61</f>
        <v>6.4725000000000001</v>
      </c>
      <c r="G59" s="182">
        <f t="shared" si="44"/>
        <v>6.16</v>
      </c>
      <c r="H59" s="182">
        <f t="shared" si="44"/>
        <v>5.375</v>
      </c>
      <c r="I59" s="182">
        <f t="shared" si="44"/>
        <v>4.7300000000000004</v>
      </c>
      <c r="J59" s="182">
        <f t="shared" si="44"/>
        <v>4.5737500000000004</v>
      </c>
      <c r="K59" s="182">
        <f t="shared" si="44"/>
        <v>4.0525000000000002</v>
      </c>
      <c r="L59" s="182">
        <f t="shared" si="44"/>
        <v>4.1487499999999997</v>
      </c>
      <c r="M59" s="182">
        <f t="shared" si="44"/>
        <v>3.1862500000000002</v>
      </c>
      <c r="N59" s="182">
        <f t="shared" si="44"/>
        <v>3.2249999999999996</v>
      </c>
      <c r="O59" s="182">
        <f t="shared" si="44"/>
        <v>2.7524999999999999</v>
      </c>
      <c r="P59" s="182">
        <f t="shared" ref="P59" si="45">0.75*P58+0.25*P61</f>
        <v>3.415</v>
      </c>
    </row>
    <row r="60" spans="2:16">
      <c r="B60">
        <v>9</v>
      </c>
      <c r="E60" s="182">
        <f>0.75*E61+0.25*E58</f>
        <v>7.7562499999999996</v>
      </c>
      <c r="F60" s="182">
        <f t="shared" ref="F60:O60" si="46">0.75*F61+0.25*F58</f>
        <v>6.6675000000000004</v>
      </c>
      <c r="G60" s="182">
        <f t="shared" si="46"/>
        <v>6.4599999999999991</v>
      </c>
      <c r="H60" s="182">
        <f t="shared" si="46"/>
        <v>5.5749999999999993</v>
      </c>
      <c r="I60" s="182">
        <f t="shared" si="46"/>
        <v>4.91</v>
      </c>
      <c r="J60" s="182">
        <f t="shared" si="46"/>
        <v>4.6712500000000006</v>
      </c>
      <c r="K60" s="182">
        <f t="shared" si="46"/>
        <v>4.2374999999999998</v>
      </c>
      <c r="L60" s="182">
        <f t="shared" si="46"/>
        <v>4.3762500000000006</v>
      </c>
      <c r="M60" s="182">
        <f t="shared" si="46"/>
        <v>3.4287499999999995</v>
      </c>
      <c r="N60" s="182">
        <f t="shared" si="46"/>
        <v>3.3750000000000004</v>
      </c>
      <c r="O60" s="182">
        <f t="shared" si="46"/>
        <v>2.9974999999999996</v>
      </c>
      <c r="P60" s="182">
        <f t="shared" ref="P60" si="47">0.75*P61+0.25*P58</f>
        <v>3.6550000000000002</v>
      </c>
    </row>
    <row r="61" spans="2:16">
      <c r="B61">
        <v>10</v>
      </c>
      <c r="E61" s="182">
        <f>AVERAGE('Corporate Bond yields'!$AJ$89,'Corporate Bond yields'!$AJ$88)</f>
        <v>7.8150000000000004</v>
      </c>
      <c r="F61" s="182">
        <f>AVERAGE('Corporate Bond yields'!$AJ$101,'Corporate Bond yields'!$AJ$100)</f>
        <v>6.7650000000000006</v>
      </c>
      <c r="G61" s="182">
        <f>AVERAGE('Corporate Bond yields'!$AJ$113,'Corporate Bond yields'!$AJ$112)</f>
        <v>6.6099999999999994</v>
      </c>
      <c r="H61" s="182">
        <f>AVERAGE('Corporate Bond yields'!$AJ$125,'Corporate Bond yields'!$AJ$124)</f>
        <v>5.6749999999999998</v>
      </c>
      <c r="I61" s="182">
        <f>AVERAGE('Corporate Bond yields'!$AJ$137,'Corporate Bond yields'!$AJ$136)</f>
        <v>5</v>
      </c>
      <c r="J61" s="182">
        <f>AVERAGE('Corporate Bond yields'!$AJ$149,'Corporate Bond yields'!$AJ$148)</f>
        <v>4.7200000000000006</v>
      </c>
      <c r="K61" s="182">
        <f>AVERAGE('Corporate Bond yields'!$AJ$161,'Corporate Bond yields'!$AJ$160)</f>
        <v>4.33</v>
      </c>
      <c r="L61" s="182">
        <f>AVERAGE('Corporate Bond yields'!$AJ$173,'Corporate Bond yields'!$AJ$172)</f>
        <v>4.49</v>
      </c>
      <c r="M61" s="182">
        <f>AVERAGE('Corporate Bond yields'!$AJ$185,'Corporate Bond yields'!$AJ$184)</f>
        <v>3.55</v>
      </c>
      <c r="N61" s="182">
        <f>AVERAGE('Corporate Bond yields'!$AJ$197,'Corporate Bond yields'!$AJ$196)</f>
        <v>3.45</v>
      </c>
      <c r="O61" s="182">
        <f>AVERAGE('Corporate Bond yields'!$AJ$209,'Corporate Bond yields'!$AJ$208)</f>
        <v>3.12</v>
      </c>
      <c r="P61" s="182">
        <f>AVERAGE('Corporate Bond yields'!$AJ$215,'Corporate Bond yields'!$AJ$214)</f>
        <v>3.7750000000000004</v>
      </c>
    </row>
    <row r="62" spans="2:16">
      <c r="B62">
        <v>11</v>
      </c>
      <c r="E62" s="182">
        <f>E61</f>
        <v>7.8150000000000004</v>
      </c>
      <c r="F62" s="182">
        <f t="shared" ref="F62:P62" si="48">F61</f>
        <v>6.7650000000000006</v>
      </c>
      <c r="G62" s="182">
        <f t="shared" si="48"/>
        <v>6.6099999999999994</v>
      </c>
      <c r="H62" s="182">
        <f t="shared" si="48"/>
        <v>5.6749999999999998</v>
      </c>
      <c r="I62" s="182">
        <f t="shared" si="48"/>
        <v>5</v>
      </c>
      <c r="J62" s="182">
        <f t="shared" si="48"/>
        <v>4.7200000000000006</v>
      </c>
      <c r="K62" s="182">
        <f t="shared" si="48"/>
        <v>4.33</v>
      </c>
      <c r="L62" s="182">
        <f t="shared" si="48"/>
        <v>4.49</v>
      </c>
      <c r="M62" s="182">
        <f t="shared" si="48"/>
        <v>3.55</v>
      </c>
      <c r="N62" s="182">
        <f t="shared" si="48"/>
        <v>3.45</v>
      </c>
      <c r="O62" s="182">
        <f t="shared" si="48"/>
        <v>3.12</v>
      </c>
      <c r="P62" s="182">
        <f t="shared" si="48"/>
        <v>3.7750000000000004</v>
      </c>
    </row>
    <row r="63" spans="2:16">
      <c r="B63">
        <v>12</v>
      </c>
      <c r="E63" s="182">
        <f t="shared" ref="E63:E91" si="49">E62</f>
        <v>7.8150000000000004</v>
      </c>
      <c r="F63" s="182">
        <f t="shared" ref="F63:F91" si="50">F62</f>
        <v>6.7650000000000006</v>
      </c>
      <c r="G63" s="182">
        <f t="shared" ref="G63:G91" si="51">G62</f>
        <v>6.6099999999999994</v>
      </c>
      <c r="H63" s="182">
        <f t="shared" ref="H63:H91" si="52">H62</f>
        <v>5.6749999999999998</v>
      </c>
      <c r="I63" s="182">
        <f t="shared" ref="I63:I91" si="53">I62</f>
        <v>5</v>
      </c>
      <c r="J63" s="182">
        <f t="shared" ref="J63:J91" si="54">J62</f>
        <v>4.7200000000000006</v>
      </c>
      <c r="K63" s="182">
        <f t="shared" ref="K63:K91" si="55">K62</f>
        <v>4.33</v>
      </c>
      <c r="L63" s="182">
        <f t="shared" ref="L63:L91" si="56">L62</f>
        <v>4.49</v>
      </c>
      <c r="M63" s="182">
        <f t="shared" ref="M63:M91" si="57">M62</f>
        <v>3.55</v>
      </c>
      <c r="N63" s="182">
        <f t="shared" ref="N63:N91" si="58">N62</f>
        <v>3.45</v>
      </c>
      <c r="O63" s="182">
        <f t="shared" ref="O63:P91" si="59">O62</f>
        <v>3.12</v>
      </c>
      <c r="P63" s="182">
        <f t="shared" si="59"/>
        <v>3.7750000000000004</v>
      </c>
    </row>
    <row r="64" spans="2:16">
      <c r="B64">
        <v>13</v>
      </c>
      <c r="E64" s="182">
        <f t="shared" si="49"/>
        <v>7.8150000000000004</v>
      </c>
      <c r="F64" s="182">
        <f t="shared" si="50"/>
        <v>6.7650000000000006</v>
      </c>
      <c r="G64" s="182">
        <f t="shared" si="51"/>
        <v>6.6099999999999994</v>
      </c>
      <c r="H64" s="182">
        <f t="shared" si="52"/>
        <v>5.6749999999999998</v>
      </c>
      <c r="I64" s="182">
        <f t="shared" si="53"/>
        <v>5</v>
      </c>
      <c r="J64" s="182">
        <f t="shared" si="54"/>
        <v>4.7200000000000006</v>
      </c>
      <c r="K64" s="182">
        <f t="shared" si="55"/>
        <v>4.33</v>
      </c>
      <c r="L64" s="182">
        <f t="shared" si="56"/>
        <v>4.49</v>
      </c>
      <c r="M64" s="182">
        <f t="shared" si="57"/>
        <v>3.55</v>
      </c>
      <c r="N64" s="182">
        <f t="shared" si="58"/>
        <v>3.45</v>
      </c>
      <c r="O64" s="182">
        <f t="shared" si="59"/>
        <v>3.12</v>
      </c>
      <c r="P64" s="182">
        <f t="shared" si="59"/>
        <v>3.7750000000000004</v>
      </c>
    </row>
    <row r="65" spans="2:16">
      <c r="B65">
        <v>14</v>
      </c>
      <c r="E65" s="182">
        <f t="shared" si="49"/>
        <v>7.8150000000000004</v>
      </c>
      <c r="F65" s="182">
        <f t="shared" si="50"/>
        <v>6.7650000000000006</v>
      </c>
      <c r="G65" s="182">
        <f t="shared" si="51"/>
        <v>6.6099999999999994</v>
      </c>
      <c r="H65" s="182">
        <f t="shared" si="52"/>
        <v>5.6749999999999998</v>
      </c>
      <c r="I65" s="182">
        <f t="shared" si="53"/>
        <v>5</v>
      </c>
      <c r="J65" s="182">
        <f t="shared" si="54"/>
        <v>4.7200000000000006</v>
      </c>
      <c r="K65" s="182">
        <f t="shared" si="55"/>
        <v>4.33</v>
      </c>
      <c r="L65" s="182">
        <f t="shared" si="56"/>
        <v>4.49</v>
      </c>
      <c r="M65" s="182">
        <f t="shared" si="57"/>
        <v>3.55</v>
      </c>
      <c r="N65" s="182">
        <f t="shared" si="58"/>
        <v>3.45</v>
      </c>
      <c r="O65" s="182">
        <f t="shared" si="59"/>
        <v>3.12</v>
      </c>
      <c r="P65" s="182">
        <f t="shared" si="59"/>
        <v>3.7750000000000004</v>
      </c>
    </row>
    <row r="66" spans="2:16">
      <c r="B66">
        <v>15</v>
      </c>
      <c r="E66" s="182">
        <f t="shared" si="49"/>
        <v>7.8150000000000004</v>
      </c>
      <c r="F66" s="182">
        <f t="shared" si="50"/>
        <v>6.7650000000000006</v>
      </c>
      <c r="G66" s="182">
        <f t="shared" si="51"/>
        <v>6.6099999999999994</v>
      </c>
      <c r="H66" s="182">
        <f t="shared" si="52"/>
        <v>5.6749999999999998</v>
      </c>
      <c r="I66" s="182">
        <f t="shared" si="53"/>
        <v>5</v>
      </c>
      <c r="J66" s="182">
        <f t="shared" si="54"/>
        <v>4.7200000000000006</v>
      </c>
      <c r="K66" s="182">
        <f t="shared" si="55"/>
        <v>4.33</v>
      </c>
      <c r="L66" s="182">
        <f t="shared" si="56"/>
        <v>4.49</v>
      </c>
      <c r="M66" s="182">
        <f t="shared" si="57"/>
        <v>3.55</v>
      </c>
      <c r="N66" s="182">
        <f t="shared" si="58"/>
        <v>3.45</v>
      </c>
      <c r="O66" s="182">
        <f t="shared" si="59"/>
        <v>3.12</v>
      </c>
      <c r="P66" s="182">
        <f t="shared" si="59"/>
        <v>3.7750000000000004</v>
      </c>
    </row>
    <row r="67" spans="2:16">
      <c r="B67">
        <v>16</v>
      </c>
      <c r="E67" s="182">
        <f t="shared" si="49"/>
        <v>7.8150000000000004</v>
      </c>
      <c r="F67" s="182">
        <f t="shared" si="50"/>
        <v>6.7650000000000006</v>
      </c>
      <c r="G67" s="182">
        <f t="shared" si="51"/>
        <v>6.6099999999999994</v>
      </c>
      <c r="H67" s="182">
        <f t="shared" si="52"/>
        <v>5.6749999999999998</v>
      </c>
      <c r="I67" s="182">
        <f t="shared" si="53"/>
        <v>5</v>
      </c>
      <c r="J67" s="182">
        <f t="shared" si="54"/>
        <v>4.7200000000000006</v>
      </c>
      <c r="K67" s="182">
        <f t="shared" si="55"/>
        <v>4.33</v>
      </c>
      <c r="L67" s="182">
        <f t="shared" si="56"/>
        <v>4.49</v>
      </c>
      <c r="M67" s="182">
        <f t="shared" si="57"/>
        <v>3.55</v>
      </c>
      <c r="N67" s="182">
        <f t="shared" si="58"/>
        <v>3.45</v>
      </c>
      <c r="O67" s="182">
        <f t="shared" si="59"/>
        <v>3.12</v>
      </c>
      <c r="P67" s="182">
        <f t="shared" si="59"/>
        <v>3.7750000000000004</v>
      </c>
    </row>
    <row r="68" spans="2:16">
      <c r="B68">
        <v>17</v>
      </c>
      <c r="E68" s="182">
        <f t="shared" si="49"/>
        <v>7.8150000000000004</v>
      </c>
      <c r="F68" s="182">
        <f t="shared" si="50"/>
        <v>6.7650000000000006</v>
      </c>
      <c r="G68" s="182">
        <f t="shared" si="51"/>
        <v>6.6099999999999994</v>
      </c>
      <c r="H68" s="182">
        <f t="shared" si="52"/>
        <v>5.6749999999999998</v>
      </c>
      <c r="I68" s="182">
        <f t="shared" si="53"/>
        <v>5</v>
      </c>
      <c r="J68" s="182">
        <f t="shared" si="54"/>
        <v>4.7200000000000006</v>
      </c>
      <c r="K68" s="182">
        <f t="shared" si="55"/>
        <v>4.33</v>
      </c>
      <c r="L68" s="182">
        <f t="shared" si="56"/>
        <v>4.49</v>
      </c>
      <c r="M68" s="182">
        <f t="shared" si="57"/>
        <v>3.55</v>
      </c>
      <c r="N68" s="182">
        <f t="shared" si="58"/>
        <v>3.45</v>
      </c>
      <c r="O68" s="182">
        <f t="shared" si="59"/>
        <v>3.12</v>
      </c>
      <c r="P68" s="182">
        <f t="shared" si="59"/>
        <v>3.7750000000000004</v>
      </c>
    </row>
    <row r="69" spans="2:16">
      <c r="B69">
        <v>18</v>
      </c>
      <c r="E69" s="182">
        <f t="shared" si="49"/>
        <v>7.8150000000000004</v>
      </c>
      <c r="F69" s="182">
        <f t="shared" si="50"/>
        <v>6.7650000000000006</v>
      </c>
      <c r="G69" s="182">
        <f t="shared" si="51"/>
        <v>6.6099999999999994</v>
      </c>
      <c r="H69" s="182">
        <f t="shared" si="52"/>
        <v>5.6749999999999998</v>
      </c>
      <c r="I69" s="182">
        <f t="shared" si="53"/>
        <v>5</v>
      </c>
      <c r="J69" s="182">
        <f t="shared" si="54"/>
        <v>4.7200000000000006</v>
      </c>
      <c r="K69" s="182">
        <f t="shared" si="55"/>
        <v>4.33</v>
      </c>
      <c r="L69" s="182">
        <f t="shared" si="56"/>
        <v>4.49</v>
      </c>
      <c r="M69" s="182">
        <f t="shared" si="57"/>
        <v>3.55</v>
      </c>
      <c r="N69" s="182">
        <f t="shared" si="58"/>
        <v>3.45</v>
      </c>
      <c r="O69" s="182">
        <f t="shared" si="59"/>
        <v>3.12</v>
      </c>
      <c r="P69" s="182">
        <f t="shared" si="59"/>
        <v>3.7750000000000004</v>
      </c>
    </row>
    <row r="70" spans="2:16">
      <c r="B70">
        <v>19</v>
      </c>
      <c r="E70" s="182">
        <f t="shared" si="49"/>
        <v>7.8150000000000004</v>
      </c>
      <c r="F70" s="182">
        <f t="shared" si="50"/>
        <v>6.7650000000000006</v>
      </c>
      <c r="G70" s="182">
        <f t="shared" si="51"/>
        <v>6.6099999999999994</v>
      </c>
      <c r="H70" s="182">
        <f t="shared" si="52"/>
        <v>5.6749999999999998</v>
      </c>
      <c r="I70" s="182">
        <f t="shared" si="53"/>
        <v>5</v>
      </c>
      <c r="J70" s="182">
        <f t="shared" si="54"/>
        <v>4.7200000000000006</v>
      </c>
      <c r="K70" s="182">
        <f t="shared" si="55"/>
        <v>4.33</v>
      </c>
      <c r="L70" s="182">
        <f t="shared" si="56"/>
        <v>4.49</v>
      </c>
      <c r="M70" s="182">
        <f t="shared" si="57"/>
        <v>3.55</v>
      </c>
      <c r="N70" s="182">
        <f t="shared" si="58"/>
        <v>3.45</v>
      </c>
      <c r="O70" s="182">
        <f t="shared" si="59"/>
        <v>3.12</v>
      </c>
      <c r="P70" s="182">
        <f t="shared" si="59"/>
        <v>3.7750000000000004</v>
      </c>
    </row>
    <row r="71" spans="2:16">
      <c r="B71">
        <v>20</v>
      </c>
      <c r="E71" s="182">
        <f t="shared" si="49"/>
        <v>7.8150000000000004</v>
      </c>
      <c r="F71" s="182">
        <f t="shared" si="50"/>
        <v>6.7650000000000006</v>
      </c>
      <c r="G71" s="182">
        <f t="shared" si="51"/>
        <v>6.6099999999999994</v>
      </c>
      <c r="H71" s="182">
        <f t="shared" si="52"/>
        <v>5.6749999999999998</v>
      </c>
      <c r="I71" s="182">
        <f t="shared" si="53"/>
        <v>5</v>
      </c>
      <c r="J71" s="182">
        <f t="shared" si="54"/>
        <v>4.7200000000000006</v>
      </c>
      <c r="K71" s="182">
        <f t="shared" si="55"/>
        <v>4.33</v>
      </c>
      <c r="L71" s="182">
        <f t="shared" si="56"/>
        <v>4.49</v>
      </c>
      <c r="M71" s="182">
        <f t="shared" si="57"/>
        <v>3.55</v>
      </c>
      <c r="N71" s="182">
        <f t="shared" si="58"/>
        <v>3.45</v>
      </c>
      <c r="O71" s="182">
        <f t="shared" si="59"/>
        <v>3.12</v>
      </c>
      <c r="P71" s="182">
        <f t="shared" si="59"/>
        <v>3.7750000000000004</v>
      </c>
    </row>
    <row r="72" spans="2:16">
      <c r="B72">
        <v>21</v>
      </c>
      <c r="E72" s="182">
        <f t="shared" si="49"/>
        <v>7.8150000000000004</v>
      </c>
      <c r="F72" s="182">
        <f t="shared" si="50"/>
        <v>6.7650000000000006</v>
      </c>
      <c r="G72" s="182">
        <f t="shared" si="51"/>
        <v>6.6099999999999994</v>
      </c>
      <c r="H72" s="182">
        <f t="shared" si="52"/>
        <v>5.6749999999999998</v>
      </c>
      <c r="I72" s="182">
        <f t="shared" si="53"/>
        <v>5</v>
      </c>
      <c r="J72" s="182">
        <f t="shared" si="54"/>
        <v>4.7200000000000006</v>
      </c>
      <c r="K72" s="182">
        <f t="shared" si="55"/>
        <v>4.33</v>
      </c>
      <c r="L72" s="182">
        <f t="shared" si="56"/>
        <v>4.49</v>
      </c>
      <c r="M72" s="182">
        <f t="shared" si="57"/>
        <v>3.55</v>
      </c>
      <c r="N72" s="182">
        <f t="shared" si="58"/>
        <v>3.45</v>
      </c>
      <c r="O72" s="182">
        <f t="shared" si="59"/>
        <v>3.12</v>
      </c>
      <c r="P72" s="182">
        <f t="shared" si="59"/>
        <v>3.7750000000000004</v>
      </c>
    </row>
    <row r="73" spans="2:16">
      <c r="B73">
        <v>22</v>
      </c>
      <c r="E73" s="182">
        <f t="shared" si="49"/>
        <v>7.8150000000000004</v>
      </c>
      <c r="F73" s="182">
        <f t="shared" si="50"/>
        <v>6.7650000000000006</v>
      </c>
      <c r="G73" s="182">
        <f t="shared" si="51"/>
        <v>6.6099999999999994</v>
      </c>
      <c r="H73" s="182">
        <f t="shared" si="52"/>
        <v>5.6749999999999998</v>
      </c>
      <c r="I73" s="182">
        <f t="shared" si="53"/>
        <v>5</v>
      </c>
      <c r="J73" s="182">
        <f t="shared" si="54"/>
        <v>4.7200000000000006</v>
      </c>
      <c r="K73" s="182">
        <f t="shared" si="55"/>
        <v>4.33</v>
      </c>
      <c r="L73" s="182">
        <f t="shared" si="56"/>
        <v>4.49</v>
      </c>
      <c r="M73" s="182">
        <f t="shared" si="57"/>
        <v>3.55</v>
      </c>
      <c r="N73" s="182">
        <f t="shared" si="58"/>
        <v>3.45</v>
      </c>
      <c r="O73" s="182">
        <f t="shared" si="59"/>
        <v>3.12</v>
      </c>
      <c r="P73" s="182">
        <f t="shared" si="59"/>
        <v>3.7750000000000004</v>
      </c>
    </row>
    <row r="74" spans="2:16">
      <c r="B74">
        <v>23</v>
      </c>
      <c r="E74" s="182">
        <f t="shared" si="49"/>
        <v>7.8150000000000004</v>
      </c>
      <c r="F74" s="182">
        <f t="shared" si="50"/>
        <v>6.7650000000000006</v>
      </c>
      <c r="G74" s="182">
        <f t="shared" si="51"/>
        <v>6.6099999999999994</v>
      </c>
      <c r="H74" s="182">
        <f t="shared" si="52"/>
        <v>5.6749999999999998</v>
      </c>
      <c r="I74" s="182">
        <f t="shared" si="53"/>
        <v>5</v>
      </c>
      <c r="J74" s="182">
        <f t="shared" si="54"/>
        <v>4.7200000000000006</v>
      </c>
      <c r="K74" s="182">
        <f t="shared" si="55"/>
        <v>4.33</v>
      </c>
      <c r="L74" s="182">
        <f t="shared" si="56"/>
        <v>4.49</v>
      </c>
      <c r="M74" s="182">
        <f t="shared" si="57"/>
        <v>3.55</v>
      </c>
      <c r="N74" s="182">
        <f t="shared" si="58"/>
        <v>3.45</v>
      </c>
      <c r="O74" s="182">
        <f t="shared" si="59"/>
        <v>3.12</v>
      </c>
      <c r="P74" s="182">
        <f t="shared" si="59"/>
        <v>3.7750000000000004</v>
      </c>
    </row>
    <row r="75" spans="2:16">
      <c r="B75">
        <v>24</v>
      </c>
      <c r="E75" s="182">
        <f t="shared" si="49"/>
        <v>7.8150000000000004</v>
      </c>
      <c r="F75" s="182">
        <f t="shared" si="50"/>
        <v>6.7650000000000006</v>
      </c>
      <c r="G75" s="182">
        <f t="shared" si="51"/>
        <v>6.6099999999999994</v>
      </c>
      <c r="H75" s="182">
        <f t="shared" si="52"/>
        <v>5.6749999999999998</v>
      </c>
      <c r="I75" s="182">
        <f t="shared" si="53"/>
        <v>5</v>
      </c>
      <c r="J75" s="182">
        <f t="shared" si="54"/>
        <v>4.7200000000000006</v>
      </c>
      <c r="K75" s="182">
        <f t="shared" si="55"/>
        <v>4.33</v>
      </c>
      <c r="L75" s="182">
        <f t="shared" si="56"/>
        <v>4.49</v>
      </c>
      <c r="M75" s="182">
        <f t="shared" si="57"/>
        <v>3.55</v>
      </c>
      <c r="N75" s="182">
        <f t="shared" si="58"/>
        <v>3.45</v>
      </c>
      <c r="O75" s="182">
        <f t="shared" si="59"/>
        <v>3.12</v>
      </c>
      <c r="P75" s="182">
        <f t="shared" si="59"/>
        <v>3.7750000000000004</v>
      </c>
    </row>
    <row r="76" spans="2:16">
      <c r="B76">
        <v>25</v>
      </c>
      <c r="E76" s="182">
        <f t="shared" si="49"/>
        <v>7.8150000000000004</v>
      </c>
      <c r="F76" s="182">
        <f t="shared" si="50"/>
        <v>6.7650000000000006</v>
      </c>
      <c r="G76" s="182">
        <f t="shared" si="51"/>
        <v>6.6099999999999994</v>
      </c>
      <c r="H76" s="182">
        <f t="shared" si="52"/>
        <v>5.6749999999999998</v>
      </c>
      <c r="I76" s="182">
        <f t="shared" si="53"/>
        <v>5</v>
      </c>
      <c r="J76" s="182">
        <f t="shared" si="54"/>
        <v>4.7200000000000006</v>
      </c>
      <c r="K76" s="182">
        <f t="shared" si="55"/>
        <v>4.33</v>
      </c>
      <c r="L76" s="182">
        <f t="shared" si="56"/>
        <v>4.49</v>
      </c>
      <c r="M76" s="182">
        <f t="shared" si="57"/>
        <v>3.55</v>
      </c>
      <c r="N76" s="182">
        <f t="shared" si="58"/>
        <v>3.45</v>
      </c>
      <c r="O76" s="182">
        <f t="shared" si="59"/>
        <v>3.12</v>
      </c>
      <c r="P76" s="182">
        <f t="shared" si="59"/>
        <v>3.7750000000000004</v>
      </c>
    </row>
    <row r="77" spans="2:16">
      <c r="B77">
        <v>26</v>
      </c>
      <c r="E77" s="182">
        <f t="shared" si="49"/>
        <v>7.8150000000000004</v>
      </c>
      <c r="F77" s="182">
        <f t="shared" si="50"/>
        <v>6.7650000000000006</v>
      </c>
      <c r="G77" s="182">
        <f t="shared" si="51"/>
        <v>6.6099999999999994</v>
      </c>
      <c r="H77" s="182">
        <f t="shared" si="52"/>
        <v>5.6749999999999998</v>
      </c>
      <c r="I77" s="182">
        <f t="shared" si="53"/>
        <v>5</v>
      </c>
      <c r="J77" s="182">
        <f t="shared" si="54"/>
        <v>4.7200000000000006</v>
      </c>
      <c r="K77" s="182">
        <f t="shared" si="55"/>
        <v>4.33</v>
      </c>
      <c r="L77" s="182">
        <f t="shared" si="56"/>
        <v>4.49</v>
      </c>
      <c r="M77" s="182">
        <f t="shared" si="57"/>
        <v>3.55</v>
      </c>
      <c r="N77" s="182">
        <f t="shared" si="58"/>
        <v>3.45</v>
      </c>
      <c r="O77" s="182">
        <f t="shared" si="59"/>
        <v>3.12</v>
      </c>
      <c r="P77" s="182">
        <f t="shared" si="59"/>
        <v>3.7750000000000004</v>
      </c>
    </row>
    <row r="78" spans="2:16">
      <c r="B78">
        <v>27</v>
      </c>
      <c r="E78" s="182">
        <f t="shared" si="49"/>
        <v>7.8150000000000004</v>
      </c>
      <c r="F78" s="182">
        <f t="shared" si="50"/>
        <v>6.7650000000000006</v>
      </c>
      <c r="G78" s="182">
        <f t="shared" si="51"/>
        <v>6.6099999999999994</v>
      </c>
      <c r="H78" s="182">
        <f t="shared" si="52"/>
        <v>5.6749999999999998</v>
      </c>
      <c r="I78" s="182">
        <f t="shared" si="53"/>
        <v>5</v>
      </c>
      <c r="J78" s="182">
        <f t="shared" si="54"/>
        <v>4.7200000000000006</v>
      </c>
      <c r="K78" s="182">
        <f t="shared" si="55"/>
        <v>4.33</v>
      </c>
      <c r="L78" s="182">
        <f t="shared" si="56"/>
        <v>4.49</v>
      </c>
      <c r="M78" s="182">
        <f t="shared" si="57"/>
        <v>3.55</v>
      </c>
      <c r="N78" s="182">
        <f t="shared" si="58"/>
        <v>3.45</v>
      </c>
      <c r="O78" s="182">
        <f t="shared" si="59"/>
        <v>3.12</v>
      </c>
      <c r="P78" s="182">
        <f t="shared" si="59"/>
        <v>3.7750000000000004</v>
      </c>
    </row>
    <row r="79" spans="2:16">
      <c r="B79">
        <v>28</v>
      </c>
      <c r="E79" s="182">
        <f t="shared" si="49"/>
        <v>7.8150000000000004</v>
      </c>
      <c r="F79" s="182">
        <f t="shared" si="50"/>
        <v>6.7650000000000006</v>
      </c>
      <c r="G79" s="182">
        <f t="shared" si="51"/>
        <v>6.6099999999999994</v>
      </c>
      <c r="H79" s="182">
        <f t="shared" si="52"/>
        <v>5.6749999999999998</v>
      </c>
      <c r="I79" s="182">
        <f t="shared" si="53"/>
        <v>5</v>
      </c>
      <c r="J79" s="182">
        <f t="shared" si="54"/>
        <v>4.7200000000000006</v>
      </c>
      <c r="K79" s="182">
        <f t="shared" si="55"/>
        <v>4.33</v>
      </c>
      <c r="L79" s="182">
        <f t="shared" si="56"/>
        <v>4.49</v>
      </c>
      <c r="M79" s="182">
        <f t="shared" si="57"/>
        <v>3.55</v>
      </c>
      <c r="N79" s="182">
        <f t="shared" si="58"/>
        <v>3.45</v>
      </c>
      <c r="O79" s="182">
        <f t="shared" si="59"/>
        <v>3.12</v>
      </c>
      <c r="P79" s="182">
        <f t="shared" si="59"/>
        <v>3.7750000000000004</v>
      </c>
    </row>
    <row r="80" spans="2:16">
      <c r="B80">
        <v>29</v>
      </c>
      <c r="E80" s="182">
        <f t="shared" si="49"/>
        <v>7.8150000000000004</v>
      </c>
      <c r="F80" s="182">
        <f t="shared" si="50"/>
        <v>6.7650000000000006</v>
      </c>
      <c r="G80" s="182">
        <f t="shared" si="51"/>
        <v>6.6099999999999994</v>
      </c>
      <c r="H80" s="182">
        <f t="shared" si="52"/>
        <v>5.6749999999999998</v>
      </c>
      <c r="I80" s="182">
        <f t="shared" si="53"/>
        <v>5</v>
      </c>
      <c r="J80" s="182">
        <f t="shared" si="54"/>
        <v>4.7200000000000006</v>
      </c>
      <c r="K80" s="182">
        <f t="shared" si="55"/>
        <v>4.33</v>
      </c>
      <c r="L80" s="182">
        <f t="shared" si="56"/>
        <v>4.49</v>
      </c>
      <c r="M80" s="182">
        <f t="shared" si="57"/>
        <v>3.55</v>
      </c>
      <c r="N80" s="182">
        <f t="shared" si="58"/>
        <v>3.45</v>
      </c>
      <c r="O80" s="182">
        <f t="shared" si="59"/>
        <v>3.12</v>
      </c>
      <c r="P80" s="182">
        <f t="shared" si="59"/>
        <v>3.7750000000000004</v>
      </c>
    </row>
    <row r="81" spans="2:17">
      <c r="B81">
        <v>30</v>
      </c>
      <c r="E81" s="182">
        <f t="shared" si="49"/>
        <v>7.8150000000000004</v>
      </c>
      <c r="F81" s="182">
        <f t="shared" si="50"/>
        <v>6.7650000000000006</v>
      </c>
      <c r="G81" s="182">
        <f t="shared" si="51"/>
        <v>6.6099999999999994</v>
      </c>
      <c r="H81" s="182">
        <f t="shared" si="52"/>
        <v>5.6749999999999998</v>
      </c>
      <c r="I81" s="182">
        <f t="shared" si="53"/>
        <v>5</v>
      </c>
      <c r="J81" s="182">
        <f t="shared" si="54"/>
        <v>4.7200000000000006</v>
      </c>
      <c r="K81" s="182">
        <f t="shared" si="55"/>
        <v>4.33</v>
      </c>
      <c r="L81" s="182">
        <f t="shared" si="56"/>
        <v>4.49</v>
      </c>
      <c r="M81" s="182">
        <f t="shared" si="57"/>
        <v>3.55</v>
      </c>
      <c r="N81" s="182">
        <f t="shared" si="58"/>
        <v>3.45</v>
      </c>
      <c r="O81" s="182">
        <f t="shared" si="59"/>
        <v>3.12</v>
      </c>
      <c r="P81" s="182">
        <f t="shared" si="59"/>
        <v>3.7750000000000004</v>
      </c>
    </row>
    <row r="82" spans="2:17">
      <c r="B82">
        <v>31</v>
      </c>
      <c r="E82" s="182">
        <f t="shared" si="49"/>
        <v>7.8150000000000004</v>
      </c>
      <c r="F82" s="182">
        <f t="shared" si="50"/>
        <v>6.7650000000000006</v>
      </c>
      <c r="G82" s="182">
        <f t="shared" si="51"/>
        <v>6.6099999999999994</v>
      </c>
      <c r="H82" s="182">
        <f t="shared" si="52"/>
        <v>5.6749999999999998</v>
      </c>
      <c r="I82" s="182">
        <f t="shared" si="53"/>
        <v>5</v>
      </c>
      <c r="J82" s="182">
        <f t="shared" si="54"/>
        <v>4.7200000000000006</v>
      </c>
      <c r="K82" s="182">
        <f t="shared" si="55"/>
        <v>4.33</v>
      </c>
      <c r="L82" s="182">
        <f t="shared" si="56"/>
        <v>4.49</v>
      </c>
      <c r="M82" s="182">
        <f t="shared" si="57"/>
        <v>3.55</v>
      </c>
      <c r="N82" s="182">
        <f t="shared" si="58"/>
        <v>3.45</v>
      </c>
      <c r="O82" s="182">
        <f t="shared" si="59"/>
        <v>3.12</v>
      </c>
      <c r="P82" s="182">
        <f t="shared" si="59"/>
        <v>3.7750000000000004</v>
      </c>
    </row>
    <row r="83" spans="2:17">
      <c r="B83">
        <v>32</v>
      </c>
      <c r="E83" s="182">
        <f t="shared" si="49"/>
        <v>7.8150000000000004</v>
      </c>
      <c r="F83" s="182">
        <f t="shared" si="50"/>
        <v>6.7650000000000006</v>
      </c>
      <c r="G83" s="182">
        <f t="shared" si="51"/>
        <v>6.6099999999999994</v>
      </c>
      <c r="H83" s="182">
        <f t="shared" si="52"/>
        <v>5.6749999999999998</v>
      </c>
      <c r="I83" s="182">
        <f t="shared" si="53"/>
        <v>5</v>
      </c>
      <c r="J83" s="182">
        <f t="shared" si="54"/>
        <v>4.7200000000000006</v>
      </c>
      <c r="K83" s="182">
        <f t="shared" si="55"/>
        <v>4.33</v>
      </c>
      <c r="L83" s="182">
        <f t="shared" si="56"/>
        <v>4.49</v>
      </c>
      <c r="M83" s="182">
        <f t="shared" si="57"/>
        <v>3.55</v>
      </c>
      <c r="N83" s="182">
        <f t="shared" si="58"/>
        <v>3.45</v>
      </c>
      <c r="O83" s="182">
        <f t="shared" si="59"/>
        <v>3.12</v>
      </c>
      <c r="P83" s="182">
        <f t="shared" si="59"/>
        <v>3.7750000000000004</v>
      </c>
    </row>
    <row r="84" spans="2:17">
      <c r="B84">
        <v>33</v>
      </c>
      <c r="E84" s="182">
        <f t="shared" si="49"/>
        <v>7.8150000000000004</v>
      </c>
      <c r="F84" s="182">
        <f t="shared" si="50"/>
        <v>6.7650000000000006</v>
      </c>
      <c r="G84" s="182">
        <f t="shared" si="51"/>
        <v>6.6099999999999994</v>
      </c>
      <c r="H84" s="182">
        <f t="shared" si="52"/>
        <v>5.6749999999999998</v>
      </c>
      <c r="I84" s="182">
        <f t="shared" si="53"/>
        <v>5</v>
      </c>
      <c r="J84" s="182">
        <f t="shared" si="54"/>
        <v>4.7200000000000006</v>
      </c>
      <c r="K84" s="182">
        <f t="shared" si="55"/>
        <v>4.33</v>
      </c>
      <c r="L84" s="182">
        <f t="shared" si="56"/>
        <v>4.49</v>
      </c>
      <c r="M84" s="182">
        <f t="shared" si="57"/>
        <v>3.55</v>
      </c>
      <c r="N84" s="182">
        <f t="shared" si="58"/>
        <v>3.45</v>
      </c>
      <c r="O84" s="182">
        <f t="shared" si="59"/>
        <v>3.12</v>
      </c>
      <c r="P84" s="182">
        <f t="shared" si="59"/>
        <v>3.7750000000000004</v>
      </c>
    </row>
    <row r="85" spans="2:17">
      <c r="B85">
        <v>34</v>
      </c>
      <c r="E85" s="182">
        <f t="shared" si="49"/>
        <v>7.8150000000000004</v>
      </c>
      <c r="F85" s="182">
        <f t="shared" si="50"/>
        <v>6.7650000000000006</v>
      </c>
      <c r="G85" s="182">
        <f t="shared" si="51"/>
        <v>6.6099999999999994</v>
      </c>
      <c r="H85" s="182">
        <f t="shared" si="52"/>
        <v>5.6749999999999998</v>
      </c>
      <c r="I85" s="182">
        <f t="shared" si="53"/>
        <v>5</v>
      </c>
      <c r="J85" s="182">
        <f t="shared" si="54"/>
        <v>4.7200000000000006</v>
      </c>
      <c r="K85" s="182">
        <f t="shared" si="55"/>
        <v>4.33</v>
      </c>
      <c r="L85" s="182">
        <f t="shared" si="56"/>
        <v>4.49</v>
      </c>
      <c r="M85" s="182">
        <f t="shared" si="57"/>
        <v>3.55</v>
      </c>
      <c r="N85" s="182">
        <f t="shared" si="58"/>
        <v>3.45</v>
      </c>
      <c r="O85" s="182">
        <f t="shared" si="59"/>
        <v>3.12</v>
      </c>
      <c r="P85" s="182">
        <f t="shared" si="59"/>
        <v>3.7750000000000004</v>
      </c>
    </row>
    <row r="86" spans="2:17">
      <c r="B86">
        <v>35</v>
      </c>
      <c r="E86" s="182">
        <f t="shared" si="49"/>
        <v>7.8150000000000004</v>
      </c>
      <c r="F86" s="182">
        <f t="shared" si="50"/>
        <v>6.7650000000000006</v>
      </c>
      <c r="G86" s="182">
        <f t="shared" si="51"/>
        <v>6.6099999999999994</v>
      </c>
      <c r="H86" s="182">
        <f t="shared" si="52"/>
        <v>5.6749999999999998</v>
      </c>
      <c r="I86" s="182">
        <f t="shared" si="53"/>
        <v>5</v>
      </c>
      <c r="J86" s="182">
        <f t="shared" si="54"/>
        <v>4.7200000000000006</v>
      </c>
      <c r="K86" s="182">
        <f t="shared" si="55"/>
        <v>4.33</v>
      </c>
      <c r="L86" s="182">
        <f t="shared" si="56"/>
        <v>4.49</v>
      </c>
      <c r="M86" s="182">
        <f t="shared" si="57"/>
        <v>3.55</v>
      </c>
      <c r="N86" s="182">
        <f t="shared" si="58"/>
        <v>3.45</v>
      </c>
      <c r="O86" s="182">
        <f t="shared" si="59"/>
        <v>3.12</v>
      </c>
      <c r="P86" s="182">
        <f t="shared" si="59"/>
        <v>3.7750000000000004</v>
      </c>
    </row>
    <row r="87" spans="2:17">
      <c r="B87">
        <v>36</v>
      </c>
      <c r="E87" s="182">
        <f t="shared" si="49"/>
        <v>7.8150000000000004</v>
      </c>
      <c r="F87" s="182">
        <f t="shared" si="50"/>
        <v>6.7650000000000006</v>
      </c>
      <c r="G87" s="182">
        <f t="shared" si="51"/>
        <v>6.6099999999999994</v>
      </c>
      <c r="H87" s="182">
        <f t="shared" si="52"/>
        <v>5.6749999999999998</v>
      </c>
      <c r="I87" s="182">
        <f t="shared" si="53"/>
        <v>5</v>
      </c>
      <c r="J87" s="182">
        <f t="shared" si="54"/>
        <v>4.7200000000000006</v>
      </c>
      <c r="K87" s="182">
        <f t="shared" si="55"/>
        <v>4.33</v>
      </c>
      <c r="L87" s="182">
        <f t="shared" si="56"/>
        <v>4.49</v>
      </c>
      <c r="M87" s="182">
        <f t="shared" si="57"/>
        <v>3.55</v>
      </c>
      <c r="N87" s="182">
        <f t="shared" si="58"/>
        <v>3.45</v>
      </c>
      <c r="O87" s="182">
        <f t="shared" si="59"/>
        <v>3.12</v>
      </c>
      <c r="P87" s="182">
        <f t="shared" si="59"/>
        <v>3.7750000000000004</v>
      </c>
    </row>
    <row r="88" spans="2:17">
      <c r="B88">
        <v>37</v>
      </c>
      <c r="E88" s="182">
        <f t="shared" si="49"/>
        <v>7.8150000000000004</v>
      </c>
      <c r="F88" s="182">
        <f t="shared" si="50"/>
        <v>6.7650000000000006</v>
      </c>
      <c r="G88" s="182">
        <f t="shared" si="51"/>
        <v>6.6099999999999994</v>
      </c>
      <c r="H88" s="182">
        <f t="shared" si="52"/>
        <v>5.6749999999999998</v>
      </c>
      <c r="I88" s="182">
        <f t="shared" si="53"/>
        <v>5</v>
      </c>
      <c r="J88" s="182">
        <f t="shared" si="54"/>
        <v>4.7200000000000006</v>
      </c>
      <c r="K88" s="182">
        <f t="shared" si="55"/>
        <v>4.33</v>
      </c>
      <c r="L88" s="182">
        <f t="shared" si="56"/>
        <v>4.49</v>
      </c>
      <c r="M88" s="182">
        <f t="shared" si="57"/>
        <v>3.55</v>
      </c>
      <c r="N88" s="182">
        <f t="shared" si="58"/>
        <v>3.45</v>
      </c>
      <c r="O88" s="182">
        <f t="shared" si="59"/>
        <v>3.12</v>
      </c>
      <c r="P88" s="182">
        <f t="shared" si="59"/>
        <v>3.7750000000000004</v>
      </c>
    </row>
    <row r="89" spans="2:17">
      <c r="B89">
        <v>38</v>
      </c>
      <c r="E89" s="182">
        <f t="shared" si="49"/>
        <v>7.8150000000000004</v>
      </c>
      <c r="F89" s="182">
        <f t="shared" si="50"/>
        <v>6.7650000000000006</v>
      </c>
      <c r="G89" s="182">
        <f t="shared" si="51"/>
        <v>6.6099999999999994</v>
      </c>
      <c r="H89" s="182">
        <f t="shared" si="52"/>
        <v>5.6749999999999998</v>
      </c>
      <c r="I89" s="182">
        <f t="shared" si="53"/>
        <v>5</v>
      </c>
      <c r="J89" s="182">
        <f t="shared" si="54"/>
        <v>4.7200000000000006</v>
      </c>
      <c r="K89" s="182">
        <f t="shared" si="55"/>
        <v>4.33</v>
      </c>
      <c r="L89" s="182">
        <f t="shared" si="56"/>
        <v>4.49</v>
      </c>
      <c r="M89" s="182">
        <f t="shared" si="57"/>
        <v>3.55</v>
      </c>
      <c r="N89" s="182">
        <f t="shared" si="58"/>
        <v>3.45</v>
      </c>
      <c r="O89" s="182">
        <f t="shared" si="59"/>
        <v>3.12</v>
      </c>
      <c r="P89" s="182">
        <f t="shared" si="59"/>
        <v>3.7750000000000004</v>
      </c>
    </row>
    <row r="90" spans="2:17">
      <c r="B90">
        <v>39</v>
      </c>
      <c r="E90" s="182">
        <f t="shared" si="49"/>
        <v>7.8150000000000004</v>
      </c>
      <c r="F90" s="182">
        <f t="shared" si="50"/>
        <v>6.7650000000000006</v>
      </c>
      <c r="G90" s="182">
        <f t="shared" si="51"/>
        <v>6.6099999999999994</v>
      </c>
      <c r="H90" s="182">
        <f t="shared" si="52"/>
        <v>5.6749999999999998</v>
      </c>
      <c r="I90" s="182">
        <f t="shared" si="53"/>
        <v>5</v>
      </c>
      <c r="J90" s="182">
        <f t="shared" si="54"/>
        <v>4.7200000000000006</v>
      </c>
      <c r="K90" s="182">
        <f t="shared" si="55"/>
        <v>4.33</v>
      </c>
      <c r="L90" s="182">
        <f t="shared" si="56"/>
        <v>4.49</v>
      </c>
      <c r="M90" s="182">
        <f t="shared" si="57"/>
        <v>3.55</v>
      </c>
      <c r="N90" s="182">
        <f t="shared" si="58"/>
        <v>3.45</v>
      </c>
      <c r="O90" s="182">
        <f t="shared" si="59"/>
        <v>3.12</v>
      </c>
      <c r="P90" s="182">
        <f t="shared" si="59"/>
        <v>3.7750000000000004</v>
      </c>
    </row>
    <row r="91" spans="2:17">
      <c r="B91">
        <v>40</v>
      </c>
      <c r="E91" s="182">
        <f t="shared" si="49"/>
        <v>7.8150000000000004</v>
      </c>
      <c r="F91" s="182">
        <f t="shared" si="50"/>
        <v>6.7650000000000006</v>
      </c>
      <c r="G91" s="182">
        <f t="shared" si="51"/>
        <v>6.6099999999999994</v>
      </c>
      <c r="H91" s="182">
        <f t="shared" si="52"/>
        <v>5.6749999999999998</v>
      </c>
      <c r="I91" s="182">
        <f t="shared" si="53"/>
        <v>5</v>
      </c>
      <c r="J91" s="182">
        <f t="shared" si="54"/>
        <v>4.7200000000000006</v>
      </c>
      <c r="K91" s="182">
        <f t="shared" si="55"/>
        <v>4.33</v>
      </c>
      <c r="L91" s="182">
        <f t="shared" si="56"/>
        <v>4.49</v>
      </c>
      <c r="M91" s="182">
        <f t="shared" si="57"/>
        <v>3.55</v>
      </c>
      <c r="N91" s="182">
        <f t="shared" si="58"/>
        <v>3.45</v>
      </c>
      <c r="O91" s="182">
        <f t="shared" si="59"/>
        <v>3.12</v>
      </c>
      <c r="P91" s="182">
        <f t="shared" si="59"/>
        <v>3.7750000000000004</v>
      </c>
    </row>
    <row r="94" spans="2:17">
      <c r="B94" s="5" t="s">
        <v>368</v>
      </c>
      <c r="D94" s="42" t="s">
        <v>370</v>
      </c>
      <c r="E94">
        <v>2011</v>
      </c>
      <c r="F94">
        <v>2012</v>
      </c>
      <c r="G94">
        <v>2013</v>
      </c>
      <c r="H94">
        <v>2014</v>
      </c>
      <c r="I94">
        <v>2015</v>
      </c>
      <c r="J94">
        <v>2016</v>
      </c>
      <c r="K94">
        <v>2017</v>
      </c>
      <c r="L94">
        <v>2018</v>
      </c>
      <c r="M94">
        <v>2019</v>
      </c>
      <c r="N94">
        <v>2020</v>
      </c>
      <c r="O94">
        <v>2021</v>
      </c>
      <c r="P94">
        <v>2022</v>
      </c>
      <c r="Q94" s="116"/>
    </row>
    <row r="96" spans="2:17">
      <c r="B96" s="42" t="s">
        <v>218</v>
      </c>
    </row>
    <row r="97" spans="2:16">
      <c r="B97">
        <v>0</v>
      </c>
      <c r="E97" s="182">
        <f t="shared" ref="E97:P99" si="60">E98</f>
        <v>6.7549999999999999</v>
      </c>
      <c r="F97" s="182">
        <f t="shared" si="60"/>
        <v>6.64</v>
      </c>
      <c r="G97" s="182">
        <f t="shared" si="60"/>
        <v>4.8250000000000002</v>
      </c>
      <c r="H97" s="182">
        <f t="shared" si="60"/>
        <v>4.75</v>
      </c>
      <c r="I97" s="182">
        <f t="shared" si="60"/>
        <v>3.63</v>
      </c>
      <c r="J97" s="182">
        <f t="shared" si="60"/>
        <v>5.0649999999999995</v>
      </c>
      <c r="K97" s="182">
        <f t="shared" si="60"/>
        <v>3.5249999999999999</v>
      </c>
      <c r="L97" s="182">
        <f t="shared" si="60"/>
        <v>3.19</v>
      </c>
      <c r="M97" s="182">
        <f t="shared" si="60"/>
        <v>3.02</v>
      </c>
      <c r="N97" s="182">
        <f t="shared" si="60"/>
        <v>1.99</v>
      </c>
      <c r="O97" s="182">
        <f t="shared" si="60"/>
        <v>1.395</v>
      </c>
      <c r="P97" s="182">
        <f t="shared" si="60"/>
        <v>1.2799999999999998</v>
      </c>
    </row>
    <row r="98" spans="2:16">
      <c r="B98">
        <v>1</v>
      </c>
      <c r="E98" s="182">
        <f t="shared" si="60"/>
        <v>6.7549999999999999</v>
      </c>
      <c r="F98" s="182">
        <f t="shared" si="60"/>
        <v>6.64</v>
      </c>
      <c r="G98" s="182">
        <f t="shared" si="60"/>
        <v>4.8250000000000002</v>
      </c>
      <c r="H98" s="182">
        <f t="shared" si="60"/>
        <v>4.75</v>
      </c>
      <c r="I98" s="182">
        <f t="shared" si="60"/>
        <v>3.63</v>
      </c>
      <c r="J98" s="182">
        <f t="shared" si="60"/>
        <v>5.0649999999999995</v>
      </c>
      <c r="K98" s="182">
        <f t="shared" si="60"/>
        <v>3.5249999999999999</v>
      </c>
      <c r="L98" s="182">
        <f t="shared" si="60"/>
        <v>3.19</v>
      </c>
      <c r="M98" s="182">
        <f t="shared" si="60"/>
        <v>3.02</v>
      </c>
      <c r="N98" s="182">
        <f t="shared" si="60"/>
        <v>1.99</v>
      </c>
      <c r="O98" s="182">
        <f t="shared" si="60"/>
        <v>1.395</v>
      </c>
      <c r="P98" s="182">
        <f t="shared" si="60"/>
        <v>1.2799999999999998</v>
      </c>
    </row>
    <row r="99" spans="2:16">
      <c r="B99">
        <v>2</v>
      </c>
      <c r="E99" s="182">
        <f>E100</f>
        <v>6.7549999999999999</v>
      </c>
      <c r="F99" s="182">
        <f t="shared" si="60"/>
        <v>6.64</v>
      </c>
      <c r="G99" s="182">
        <f t="shared" si="60"/>
        <v>4.8250000000000002</v>
      </c>
      <c r="H99" s="182">
        <f t="shared" si="60"/>
        <v>4.75</v>
      </c>
      <c r="I99" s="182">
        <f t="shared" si="60"/>
        <v>3.63</v>
      </c>
      <c r="J99" s="182">
        <f t="shared" si="60"/>
        <v>5.0649999999999995</v>
      </c>
      <c r="K99" s="182">
        <f t="shared" si="60"/>
        <v>3.5249999999999999</v>
      </c>
      <c r="L99" s="182">
        <f t="shared" si="60"/>
        <v>3.19</v>
      </c>
      <c r="M99" s="182">
        <f t="shared" si="60"/>
        <v>3.02</v>
      </c>
      <c r="N99" s="182">
        <f t="shared" si="60"/>
        <v>1.99</v>
      </c>
      <c r="O99" s="182">
        <f t="shared" si="60"/>
        <v>1.395</v>
      </c>
      <c r="P99" s="182">
        <f t="shared" si="60"/>
        <v>1.2799999999999998</v>
      </c>
    </row>
    <row r="100" spans="2:16">
      <c r="B100">
        <v>3</v>
      </c>
      <c r="E100" s="182">
        <f>AVERAGE('Corporate Bond yields'!$X$86,'Corporate Bond yields'!$X$85)</f>
        <v>6.7549999999999999</v>
      </c>
      <c r="F100" s="182">
        <f>AVERAGE('Corporate Bond yields'!$X$98,'Corporate Bond yields'!$X$97)</f>
        <v>6.64</v>
      </c>
      <c r="G100" s="182">
        <f>AVERAGE('Corporate Bond yields'!$X$110,'Corporate Bond yields'!$X$109)</f>
        <v>4.8250000000000002</v>
      </c>
      <c r="H100" s="182">
        <f>AVERAGE('Corporate Bond yields'!$X$122,'Corporate Bond yields'!$X$121)</f>
        <v>4.75</v>
      </c>
      <c r="I100" s="182">
        <f>AVERAGE('Corporate Bond yields'!$X$134,'Corporate Bond yields'!$X$133)</f>
        <v>3.63</v>
      </c>
      <c r="J100" s="182">
        <f>AVERAGE('Corporate Bond yields'!$X$146,'Corporate Bond yields'!$X$145)</f>
        <v>5.0649999999999995</v>
      </c>
      <c r="K100" s="182">
        <f>AVERAGE('Corporate Bond yields'!$X$158,'Corporate Bond yields'!$X$157)</f>
        <v>3.5249999999999999</v>
      </c>
      <c r="L100" s="182">
        <f>AVERAGE('Corporate Bond yields'!$X$170,'Corporate Bond yields'!$X$169)</f>
        <v>3.19</v>
      </c>
      <c r="M100" s="182">
        <f>AVERAGE('Corporate Bond yields'!$X$182,'Corporate Bond yields'!$X$181)</f>
        <v>3.02</v>
      </c>
      <c r="N100" s="182">
        <f>AVERAGE('Corporate Bond yields'!$X$194,'Corporate Bond yields'!$X$193)</f>
        <v>1.99</v>
      </c>
      <c r="O100" s="182">
        <f>AVERAGE('Corporate Bond yields'!$X$206,'Corporate Bond yields'!$X$205)</f>
        <v>1.395</v>
      </c>
      <c r="P100" s="182">
        <f>AVERAGE('Corporate Bond yields'!$X$212,'Corporate Bond yields'!$X$211)</f>
        <v>1.2799999999999998</v>
      </c>
    </row>
    <row r="101" spans="2:16">
      <c r="B101">
        <v>4</v>
      </c>
      <c r="E101" s="182">
        <f>0.5*E100+0.5*E102</f>
        <v>6.9550000000000001</v>
      </c>
      <c r="F101" s="182">
        <f t="shared" ref="F101:P101" si="61">0.5*F100+0.5*F102</f>
        <v>6.84</v>
      </c>
      <c r="G101" s="182">
        <f t="shared" si="61"/>
        <v>5.12</v>
      </c>
      <c r="H101" s="182">
        <f t="shared" si="61"/>
        <v>5.08</v>
      </c>
      <c r="I101" s="182">
        <f t="shared" si="61"/>
        <v>3.7749999999999999</v>
      </c>
      <c r="J101" s="182">
        <f t="shared" si="61"/>
        <v>5.21</v>
      </c>
      <c r="K101" s="182">
        <f t="shared" si="61"/>
        <v>3.6924999999999999</v>
      </c>
      <c r="L101" s="182">
        <f t="shared" si="61"/>
        <v>3.3624999999999998</v>
      </c>
      <c r="M101" s="182">
        <f t="shared" si="61"/>
        <v>3.1725000000000003</v>
      </c>
      <c r="N101" s="182">
        <f t="shared" si="61"/>
        <v>2.14</v>
      </c>
      <c r="O101" s="182">
        <f t="shared" si="61"/>
        <v>1.7049999999999998</v>
      </c>
      <c r="P101" s="182">
        <f t="shared" si="61"/>
        <v>1.5874999999999999</v>
      </c>
    </row>
    <row r="102" spans="2:16">
      <c r="B102">
        <v>5</v>
      </c>
      <c r="E102" s="182">
        <f>AVERAGE('Corporate Bond yields'!$AB$86,'Corporate Bond yields'!$AB$85)</f>
        <v>7.1550000000000002</v>
      </c>
      <c r="F102" s="182">
        <f>AVERAGE('Corporate Bond yields'!$AB$98,'Corporate Bond yields'!$AB$97)</f>
        <v>7.04</v>
      </c>
      <c r="G102" s="182">
        <f>AVERAGE('Corporate Bond yields'!$AB$110,'Corporate Bond yields'!$AB$109)</f>
        <v>5.415</v>
      </c>
      <c r="H102" s="182">
        <f>AVERAGE('Corporate Bond yields'!$AB$122,'Corporate Bond yields'!$AB$121)</f>
        <v>5.41</v>
      </c>
      <c r="I102" s="182">
        <f>AVERAGE('Corporate Bond yields'!$AB$134,'Corporate Bond yields'!$AB$133)</f>
        <v>3.92</v>
      </c>
      <c r="J102" s="182">
        <f>AVERAGE('Corporate Bond yields'!$AB$146,'Corporate Bond yields'!$AB$145)</f>
        <v>5.3550000000000004</v>
      </c>
      <c r="K102" s="182">
        <f>AVERAGE('Corporate Bond yields'!$AB$158,'Corporate Bond yields'!$AB$157)</f>
        <v>3.8600000000000003</v>
      </c>
      <c r="L102" s="182">
        <f>AVERAGE('Corporate Bond yields'!$AB$170,'Corporate Bond yields'!$AB$169)</f>
        <v>3.5350000000000001</v>
      </c>
      <c r="M102" s="182">
        <f>AVERAGE('Corporate Bond yields'!$AB$182,'Corporate Bond yields'!$AB$181)</f>
        <v>3.3250000000000002</v>
      </c>
      <c r="N102" s="182">
        <f>AVERAGE('Corporate Bond yields'!$AB$194,'Corporate Bond yields'!$AB$193)</f>
        <v>2.29</v>
      </c>
      <c r="O102" s="182">
        <f>AVERAGE('Corporate Bond yields'!$AB$206,'Corporate Bond yields'!$AB$205)</f>
        <v>2.0149999999999997</v>
      </c>
      <c r="P102" s="182">
        <f>AVERAGE('Corporate Bond yields'!$AB$212,'Corporate Bond yields'!$AB$211)</f>
        <v>1.895</v>
      </c>
    </row>
    <row r="103" spans="2:16">
      <c r="B103">
        <v>6</v>
      </c>
      <c r="E103" s="182">
        <f>0.5*E102+0.5*E104</f>
        <v>7.2874999999999996</v>
      </c>
      <c r="F103" s="182">
        <f t="shared" ref="F103:P103" si="62">0.5*F102+0.5*F104</f>
        <v>7.1875</v>
      </c>
      <c r="G103" s="182">
        <f t="shared" si="62"/>
        <v>5.6549999999999994</v>
      </c>
      <c r="H103" s="182">
        <f t="shared" si="62"/>
        <v>5.6850000000000005</v>
      </c>
      <c r="I103" s="182">
        <f t="shared" si="62"/>
        <v>4.1025</v>
      </c>
      <c r="J103" s="182">
        <f t="shared" si="62"/>
        <v>5.4124999999999996</v>
      </c>
      <c r="K103" s="182">
        <f t="shared" si="62"/>
        <v>4.0575000000000001</v>
      </c>
      <c r="L103" s="182">
        <f t="shared" si="62"/>
        <v>3.7175000000000002</v>
      </c>
      <c r="M103" s="182">
        <f t="shared" si="62"/>
        <v>3.5049999999999999</v>
      </c>
      <c r="N103" s="182">
        <f t="shared" si="62"/>
        <v>2.5225</v>
      </c>
      <c r="O103" s="182">
        <f t="shared" si="62"/>
        <v>2.4049999999999998</v>
      </c>
      <c r="P103" s="182">
        <f t="shared" si="62"/>
        <v>2.1924999999999999</v>
      </c>
    </row>
    <row r="104" spans="2:16">
      <c r="B104">
        <v>7</v>
      </c>
      <c r="E104" s="182">
        <f>AVERAGE('Corporate Bond yields'!$AF$86,'Corporate Bond yields'!$AF$85)</f>
        <v>7.42</v>
      </c>
      <c r="F104" s="182">
        <f>AVERAGE('Corporate Bond yields'!$AF$98,'Corporate Bond yields'!$AF$97)</f>
        <v>7.3350000000000009</v>
      </c>
      <c r="G104" s="182">
        <f>AVERAGE('Corporate Bond yields'!$AF$110,'Corporate Bond yields'!$AF$109)</f>
        <v>5.8949999999999996</v>
      </c>
      <c r="H104" s="182">
        <f>AVERAGE('Corporate Bond yields'!$AF$122,'Corporate Bond yields'!$AF$121)</f>
        <v>5.96</v>
      </c>
      <c r="I104" s="182">
        <f>AVERAGE('Corporate Bond yields'!$AF$134,'Corporate Bond yields'!$AF$133)</f>
        <v>4.2850000000000001</v>
      </c>
      <c r="J104" s="182">
        <f>AVERAGE('Corporate Bond yields'!$AF$146,'Corporate Bond yields'!$AF$145)</f>
        <v>5.47</v>
      </c>
      <c r="K104" s="182">
        <f>AVERAGE('Corporate Bond yields'!$AF$158,'Corporate Bond yields'!$AF$157)</f>
        <v>4.2549999999999999</v>
      </c>
      <c r="L104" s="182">
        <f>AVERAGE('Corporate Bond yields'!$AF$170,'Corporate Bond yields'!$AF$169)</f>
        <v>3.9</v>
      </c>
      <c r="M104" s="182">
        <f>AVERAGE('Corporate Bond yields'!$AF$182,'Corporate Bond yields'!$AF$181)</f>
        <v>3.6850000000000001</v>
      </c>
      <c r="N104" s="182">
        <f>AVERAGE('Corporate Bond yields'!$AF$194,'Corporate Bond yields'!$AF$193)</f>
        <v>2.7549999999999999</v>
      </c>
      <c r="O104" s="182">
        <f>AVERAGE('Corporate Bond yields'!$AF$206,'Corporate Bond yields'!$AF$205)</f>
        <v>2.7949999999999999</v>
      </c>
      <c r="P104" s="182">
        <f>AVERAGE('Corporate Bond yields'!$AF$212,'Corporate Bond yields'!$AF$211)</f>
        <v>2.4900000000000002</v>
      </c>
    </row>
    <row r="105" spans="2:16">
      <c r="B105">
        <v>8</v>
      </c>
      <c r="E105" s="182">
        <f>0.75*E104+0.25*E107</f>
        <v>7.4749999999999996</v>
      </c>
      <c r="F105" s="182">
        <f t="shared" ref="F105:P105" si="63">0.75*F104+0.25*F107</f>
        <v>7.4175000000000004</v>
      </c>
      <c r="G105" s="182">
        <f t="shared" si="63"/>
        <v>6.0362499999999999</v>
      </c>
      <c r="H105" s="182">
        <f t="shared" si="63"/>
        <v>6.1099999999999994</v>
      </c>
      <c r="I105" s="182">
        <f t="shared" si="63"/>
        <v>4.3162500000000001</v>
      </c>
      <c r="J105" s="182">
        <f t="shared" si="63"/>
        <v>5.4525000000000006</v>
      </c>
      <c r="K105" s="182">
        <f t="shared" si="63"/>
        <v>4.3462500000000004</v>
      </c>
      <c r="L105" s="182">
        <f t="shared" si="63"/>
        <v>4.0075000000000003</v>
      </c>
      <c r="M105" s="182">
        <f t="shared" si="63"/>
        <v>3.7962499999999997</v>
      </c>
      <c r="N105" s="182">
        <f t="shared" si="63"/>
        <v>2.8537500000000002</v>
      </c>
      <c r="O105" s="182">
        <f t="shared" si="63"/>
        <v>2.8787500000000001</v>
      </c>
      <c r="P105" s="182">
        <f t="shared" si="63"/>
        <v>2.6074999999999999</v>
      </c>
    </row>
    <row r="106" spans="2:16">
      <c r="B106">
        <v>9</v>
      </c>
      <c r="E106" s="182">
        <f>0.75*E107+0.25*E104</f>
        <v>7.5850000000000009</v>
      </c>
      <c r="F106" s="182">
        <f t="shared" ref="F106:P106" si="64">0.75*F107+0.25*F104</f>
        <v>7.5825000000000005</v>
      </c>
      <c r="G106" s="182">
        <f t="shared" si="64"/>
        <v>6.3187499999999996</v>
      </c>
      <c r="H106" s="182">
        <f t="shared" si="64"/>
        <v>6.41</v>
      </c>
      <c r="I106" s="182">
        <f t="shared" si="64"/>
        <v>4.3787500000000001</v>
      </c>
      <c r="J106" s="182">
        <f t="shared" si="64"/>
        <v>5.4175000000000004</v>
      </c>
      <c r="K106" s="182">
        <f t="shared" si="64"/>
        <v>4.5287499999999996</v>
      </c>
      <c r="L106" s="182">
        <f t="shared" si="64"/>
        <v>4.2225000000000001</v>
      </c>
      <c r="M106" s="182">
        <f t="shared" si="64"/>
        <v>4.0187499999999998</v>
      </c>
      <c r="N106" s="182">
        <f t="shared" si="64"/>
        <v>3.0512499999999996</v>
      </c>
      <c r="O106" s="182">
        <f t="shared" si="64"/>
        <v>3.0462500000000001</v>
      </c>
      <c r="P106" s="182">
        <f t="shared" si="64"/>
        <v>2.8424999999999998</v>
      </c>
    </row>
    <row r="107" spans="2:16">
      <c r="B107">
        <v>10</v>
      </c>
      <c r="E107" s="182">
        <f>AVERAGE('Corporate Bond yields'!$AJ$86,'Corporate Bond yields'!$AJ$85)</f>
        <v>7.6400000000000006</v>
      </c>
      <c r="F107" s="182">
        <f>AVERAGE('Corporate Bond yields'!$AJ$98,'Corporate Bond yields'!$AJ$97)</f>
        <v>7.665</v>
      </c>
      <c r="G107" s="182">
        <f>AVERAGE('Corporate Bond yields'!$AJ$110,'Corporate Bond yields'!$AJ$109)</f>
        <v>6.46</v>
      </c>
      <c r="H107" s="182">
        <f>AVERAGE('Corporate Bond yields'!$AJ$122,'Corporate Bond yields'!$AJ$121)</f>
        <v>6.5600000000000005</v>
      </c>
      <c r="I107" s="182">
        <f>AVERAGE('Corporate Bond yields'!$AJ$134,'Corporate Bond yields'!$AJ$133)</f>
        <v>4.41</v>
      </c>
      <c r="J107" s="182">
        <f>AVERAGE('Corporate Bond yields'!$AJ$146,'Corporate Bond yields'!$AJ$145)</f>
        <v>5.4</v>
      </c>
      <c r="K107" s="182">
        <f>AVERAGE('Corporate Bond yields'!$AJ$158,'Corporate Bond yields'!$AJ$157)</f>
        <v>4.62</v>
      </c>
      <c r="L107" s="182">
        <f>AVERAGE('Corporate Bond yields'!$AJ$170,'Corporate Bond yields'!$AJ$169)</f>
        <v>4.33</v>
      </c>
      <c r="M107" s="182">
        <f>AVERAGE('Corporate Bond yields'!$AJ$182,'Corporate Bond yields'!$AJ$181)</f>
        <v>4.13</v>
      </c>
      <c r="N107" s="182">
        <f>AVERAGE('Corporate Bond yields'!$AJ$194,'Corporate Bond yields'!$AJ$193)</f>
        <v>3.15</v>
      </c>
      <c r="O107" s="182">
        <f>AVERAGE('Corporate Bond yields'!$AJ$206,'Corporate Bond yields'!$AJ$205)</f>
        <v>3.13</v>
      </c>
      <c r="P107" s="182">
        <f>AVERAGE('Corporate Bond yields'!$AJ$212,'Corporate Bond yields'!$AJ$211)</f>
        <v>2.96</v>
      </c>
    </row>
    <row r="108" spans="2:16">
      <c r="B108">
        <v>11</v>
      </c>
      <c r="E108" s="182">
        <f>E107</f>
        <v>7.6400000000000006</v>
      </c>
      <c r="F108" s="182">
        <f t="shared" ref="F108:P123" si="65">F107</f>
        <v>7.665</v>
      </c>
      <c r="G108" s="182">
        <f t="shared" si="65"/>
        <v>6.46</v>
      </c>
      <c r="H108" s="182">
        <f t="shared" si="65"/>
        <v>6.5600000000000005</v>
      </c>
      <c r="I108" s="182">
        <f t="shared" si="65"/>
        <v>4.41</v>
      </c>
      <c r="J108" s="182">
        <f t="shared" si="65"/>
        <v>5.4</v>
      </c>
      <c r="K108" s="182">
        <f t="shared" si="65"/>
        <v>4.62</v>
      </c>
      <c r="L108" s="182">
        <f t="shared" si="65"/>
        <v>4.33</v>
      </c>
      <c r="M108" s="182">
        <f t="shared" si="65"/>
        <v>4.13</v>
      </c>
      <c r="N108" s="182">
        <f t="shared" si="65"/>
        <v>3.15</v>
      </c>
      <c r="O108" s="182">
        <f t="shared" si="65"/>
        <v>3.13</v>
      </c>
      <c r="P108" s="182">
        <f t="shared" si="65"/>
        <v>2.96</v>
      </c>
    </row>
    <row r="109" spans="2:16">
      <c r="B109">
        <v>12</v>
      </c>
      <c r="E109" s="182">
        <f t="shared" ref="E109:P124" si="66">E108</f>
        <v>7.6400000000000006</v>
      </c>
      <c r="F109" s="182">
        <f t="shared" si="65"/>
        <v>7.665</v>
      </c>
      <c r="G109" s="182">
        <f t="shared" si="65"/>
        <v>6.46</v>
      </c>
      <c r="H109" s="182">
        <f t="shared" si="65"/>
        <v>6.5600000000000005</v>
      </c>
      <c r="I109" s="182">
        <f t="shared" si="65"/>
        <v>4.41</v>
      </c>
      <c r="J109" s="182">
        <f t="shared" si="65"/>
        <v>5.4</v>
      </c>
      <c r="K109" s="182">
        <f t="shared" si="65"/>
        <v>4.62</v>
      </c>
      <c r="L109" s="182">
        <f t="shared" si="65"/>
        <v>4.33</v>
      </c>
      <c r="M109" s="182">
        <f t="shared" si="65"/>
        <v>4.13</v>
      </c>
      <c r="N109" s="182">
        <f t="shared" si="65"/>
        <v>3.15</v>
      </c>
      <c r="O109" s="182">
        <f t="shared" si="65"/>
        <v>3.13</v>
      </c>
      <c r="P109" s="182">
        <f t="shared" si="65"/>
        <v>2.96</v>
      </c>
    </row>
    <row r="110" spans="2:16">
      <c r="B110">
        <v>13</v>
      </c>
      <c r="E110" s="182">
        <f t="shared" si="66"/>
        <v>7.6400000000000006</v>
      </c>
      <c r="F110" s="182">
        <f t="shared" si="65"/>
        <v>7.665</v>
      </c>
      <c r="G110" s="182">
        <f t="shared" si="65"/>
        <v>6.46</v>
      </c>
      <c r="H110" s="182">
        <f t="shared" si="65"/>
        <v>6.5600000000000005</v>
      </c>
      <c r="I110" s="182">
        <f t="shared" si="65"/>
        <v>4.41</v>
      </c>
      <c r="J110" s="182">
        <f t="shared" si="65"/>
        <v>5.4</v>
      </c>
      <c r="K110" s="182">
        <f t="shared" si="65"/>
        <v>4.62</v>
      </c>
      <c r="L110" s="182">
        <f t="shared" si="65"/>
        <v>4.33</v>
      </c>
      <c r="M110" s="182">
        <f t="shared" si="65"/>
        <v>4.13</v>
      </c>
      <c r="N110" s="182">
        <f t="shared" si="65"/>
        <v>3.15</v>
      </c>
      <c r="O110" s="182">
        <f t="shared" si="65"/>
        <v>3.13</v>
      </c>
      <c r="P110" s="182">
        <f t="shared" si="65"/>
        <v>2.96</v>
      </c>
    </row>
    <row r="111" spans="2:16">
      <c r="B111">
        <v>14</v>
      </c>
      <c r="E111" s="182">
        <f t="shared" si="66"/>
        <v>7.6400000000000006</v>
      </c>
      <c r="F111" s="182">
        <f t="shared" si="65"/>
        <v>7.665</v>
      </c>
      <c r="G111" s="182">
        <f t="shared" si="65"/>
        <v>6.46</v>
      </c>
      <c r="H111" s="182">
        <f t="shared" si="65"/>
        <v>6.5600000000000005</v>
      </c>
      <c r="I111" s="182">
        <f t="shared" si="65"/>
        <v>4.41</v>
      </c>
      <c r="J111" s="182">
        <f t="shared" si="65"/>
        <v>5.4</v>
      </c>
      <c r="K111" s="182">
        <f t="shared" si="65"/>
        <v>4.62</v>
      </c>
      <c r="L111" s="182">
        <f t="shared" si="65"/>
        <v>4.33</v>
      </c>
      <c r="M111" s="182">
        <f t="shared" si="65"/>
        <v>4.13</v>
      </c>
      <c r="N111" s="182">
        <f t="shared" si="65"/>
        <v>3.15</v>
      </c>
      <c r="O111" s="182">
        <f t="shared" si="65"/>
        <v>3.13</v>
      </c>
      <c r="P111" s="182">
        <f t="shared" si="65"/>
        <v>2.96</v>
      </c>
    </row>
    <row r="112" spans="2:16">
      <c r="B112">
        <v>15</v>
      </c>
      <c r="E112" s="182">
        <f t="shared" si="66"/>
        <v>7.6400000000000006</v>
      </c>
      <c r="F112" s="182">
        <f t="shared" si="65"/>
        <v>7.665</v>
      </c>
      <c r="G112" s="182">
        <f t="shared" si="65"/>
        <v>6.46</v>
      </c>
      <c r="H112" s="182">
        <f t="shared" si="65"/>
        <v>6.5600000000000005</v>
      </c>
      <c r="I112" s="182">
        <f t="shared" si="65"/>
        <v>4.41</v>
      </c>
      <c r="J112" s="182">
        <f t="shared" si="65"/>
        <v>5.4</v>
      </c>
      <c r="K112" s="182">
        <f t="shared" si="65"/>
        <v>4.62</v>
      </c>
      <c r="L112" s="182">
        <f t="shared" si="65"/>
        <v>4.33</v>
      </c>
      <c r="M112" s="182">
        <f t="shared" si="65"/>
        <v>4.13</v>
      </c>
      <c r="N112" s="182">
        <f t="shared" si="65"/>
        <v>3.15</v>
      </c>
      <c r="O112" s="182">
        <f t="shared" si="65"/>
        <v>3.13</v>
      </c>
      <c r="P112" s="182">
        <f t="shared" si="65"/>
        <v>2.96</v>
      </c>
    </row>
    <row r="113" spans="2:16">
      <c r="B113">
        <v>16</v>
      </c>
      <c r="E113" s="182">
        <f t="shared" si="66"/>
        <v>7.6400000000000006</v>
      </c>
      <c r="F113" s="182">
        <f t="shared" si="65"/>
        <v>7.665</v>
      </c>
      <c r="G113" s="182">
        <f t="shared" si="65"/>
        <v>6.46</v>
      </c>
      <c r="H113" s="182">
        <f t="shared" si="65"/>
        <v>6.5600000000000005</v>
      </c>
      <c r="I113" s="182">
        <f t="shared" si="65"/>
        <v>4.41</v>
      </c>
      <c r="J113" s="182">
        <f t="shared" si="65"/>
        <v>5.4</v>
      </c>
      <c r="K113" s="182">
        <f t="shared" si="65"/>
        <v>4.62</v>
      </c>
      <c r="L113" s="182">
        <f t="shared" si="65"/>
        <v>4.33</v>
      </c>
      <c r="M113" s="182">
        <f t="shared" si="65"/>
        <v>4.13</v>
      </c>
      <c r="N113" s="182">
        <f t="shared" si="65"/>
        <v>3.15</v>
      </c>
      <c r="O113" s="182">
        <f t="shared" si="65"/>
        <v>3.13</v>
      </c>
      <c r="P113" s="182">
        <f t="shared" si="65"/>
        <v>2.96</v>
      </c>
    </row>
    <row r="114" spans="2:16">
      <c r="B114">
        <v>17</v>
      </c>
      <c r="E114" s="182">
        <f t="shared" si="66"/>
        <v>7.6400000000000006</v>
      </c>
      <c r="F114" s="182">
        <f t="shared" si="65"/>
        <v>7.665</v>
      </c>
      <c r="G114" s="182">
        <f t="shared" si="65"/>
        <v>6.46</v>
      </c>
      <c r="H114" s="182">
        <f t="shared" si="65"/>
        <v>6.5600000000000005</v>
      </c>
      <c r="I114" s="182">
        <f t="shared" si="65"/>
        <v>4.41</v>
      </c>
      <c r="J114" s="182">
        <f t="shared" si="65"/>
        <v>5.4</v>
      </c>
      <c r="K114" s="182">
        <f t="shared" si="65"/>
        <v>4.62</v>
      </c>
      <c r="L114" s="182">
        <f t="shared" si="65"/>
        <v>4.33</v>
      </c>
      <c r="M114" s="182">
        <f t="shared" si="65"/>
        <v>4.13</v>
      </c>
      <c r="N114" s="182">
        <f t="shared" si="65"/>
        <v>3.15</v>
      </c>
      <c r="O114" s="182">
        <f t="shared" si="65"/>
        <v>3.13</v>
      </c>
      <c r="P114" s="182">
        <f t="shared" si="65"/>
        <v>2.96</v>
      </c>
    </row>
    <row r="115" spans="2:16">
      <c r="B115">
        <v>18</v>
      </c>
      <c r="E115" s="182">
        <f t="shared" si="66"/>
        <v>7.6400000000000006</v>
      </c>
      <c r="F115" s="182">
        <f t="shared" si="65"/>
        <v>7.665</v>
      </c>
      <c r="G115" s="182">
        <f t="shared" si="65"/>
        <v>6.46</v>
      </c>
      <c r="H115" s="182">
        <f t="shared" si="65"/>
        <v>6.5600000000000005</v>
      </c>
      <c r="I115" s="182">
        <f t="shared" si="65"/>
        <v>4.41</v>
      </c>
      <c r="J115" s="182">
        <f t="shared" si="65"/>
        <v>5.4</v>
      </c>
      <c r="K115" s="182">
        <f t="shared" si="65"/>
        <v>4.62</v>
      </c>
      <c r="L115" s="182">
        <f t="shared" si="65"/>
        <v>4.33</v>
      </c>
      <c r="M115" s="182">
        <f t="shared" si="65"/>
        <v>4.13</v>
      </c>
      <c r="N115" s="182">
        <f t="shared" si="65"/>
        <v>3.15</v>
      </c>
      <c r="O115" s="182">
        <f t="shared" si="65"/>
        <v>3.13</v>
      </c>
      <c r="P115" s="182">
        <f t="shared" si="65"/>
        <v>2.96</v>
      </c>
    </row>
    <row r="116" spans="2:16">
      <c r="B116">
        <v>19</v>
      </c>
      <c r="E116" s="182">
        <f t="shared" si="66"/>
        <v>7.6400000000000006</v>
      </c>
      <c r="F116" s="182">
        <f t="shared" si="65"/>
        <v>7.665</v>
      </c>
      <c r="G116" s="182">
        <f t="shared" si="65"/>
        <v>6.46</v>
      </c>
      <c r="H116" s="182">
        <f t="shared" si="65"/>
        <v>6.5600000000000005</v>
      </c>
      <c r="I116" s="182">
        <f t="shared" si="65"/>
        <v>4.41</v>
      </c>
      <c r="J116" s="182">
        <f t="shared" si="65"/>
        <v>5.4</v>
      </c>
      <c r="K116" s="182">
        <f t="shared" si="65"/>
        <v>4.62</v>
      </c>
      <c r="L116" s="182">
        <f t="shared" si="65"/>
        <v>4.33</v>
      </c>
      <c r="M116" s="182">
        <f t="shared" si="65"/>
        <v>4.13</v>
      </c>
      <c r="N116" s="182">
        <f t="shared" si="65"/>
        <v>3.15</v>
      </c>
      <c r="O116" s="182">
        <f t="shared" si="65"/>
        <v>3.13</v>
      </c>
      <c r="P116" s="182">
        <f t="shared" si="65"/>
        <v>2.96</v>
      </c>
    </row>
    <row r="117" spans="2:16">
      <c r="B117">
        <v>20</v>
      </c>
      <c r="E117" s="182">
        <f t="shared" si="66"/>
        <v>7.6400000000000006</v>
      </c>
      <c r="F117" s="182">
        <f t="shared" si="65"/>
        <v>7.665</v>
      </c>
      <c r="G117" s="182">
        <f t="shared" si="65"/>
        <v>6.46</v>
      </c>
      <c r="H117" s="182">
        <f t="shared" si="65"/>
        <v>6.5600000000000005</v>
      </c>
      <c r="I117" s="182">
        <f t="shared" si="65"/>
        <v>4.41</v>
      </c>
      <c r="J117" s="182">
        <f t="shared" si="65"/>
        <v>5.4</v>
      </c>
      <c r="K117" s="182">
        <f t="shared" si="65"/>
        <v>4.62</v>
      </c>
      <c r="L117" s="182">
        <f t="shared" si="65"/>
        <v>4.33</v>
      </c>
      <c r="M117" s="182">
        <f t="shared" si="65"/>
        <v>4.13</v>
      </c>
      <c r="N117" s="182">
        <f t="shared" si="65"/>
        <v>3.15</v>
      </c>
      <c r="O117" s="182">
        <f t="shared" si="65"/>
        <v>3.13</v>
      </c>
      <c r="P117" s="182">
        <f t="shared" si="65"/>
        <v>2.96</v>
      </c>
    </row>
    <row r="118" spans="2:16">
      <c r="B118">
        <v>21</v>
      </c>
      <c r="E118" s="182">
        <f t="shared" si="66"/>
        <v>7.6400000000000006</v>
      </c>
      <c r="F118" s="182">
        <f t="shared" si="65"/>
        <v>7.665</v>
      </c>
      <c r="G118" s="182">
        <f t="shared" si="65"/>
        <v>6.46</v>
      </c>
      <c r="H118" s="182">
        <f t="shared" si="65"/>
        <v>6.5600000000000005</v>
      </c>
      <c r="I118" s="182">
        <f t="shared" si="65"/>
        <v>4.41</v>
      </c>
      <c r="J118" s="182">
        <f t="shared" si="65"/>
        <v>5.4</v>
      </c>
      <c r="K118" s="182">
        <f t="shared" si="65"/>
        <v>4.62</v>
      </c>
      <c r="L118" s="182">
        <f t="shared" si="65"/>
        <v>4.33</v>
      </c>
      <c r="M118" s="182">
        <f t="shared" si="65"/>
        <v>4.13</v>
      </c>
      <c r="N118" s="182">
        <f t="shared" si="65"/>
        <v>3.15</v>
      </c>
      <c r="O118" s="182">
        <f t="shared" si="65"/>
        <v>3.13</v>
      </c>
      <c r="P118" s="182">
        <f t="shared" si="65"/>
        <v>2.96</v>
      </c>
    </row>
    <row r="119" spans="2:16">
      <c r="B119">
        <v>22</v>
      </c>
      <c r="E119" s="182">
        <f t="shared" si="66"/>
        <v>7.6400000000000006</v>
      </c>
      <c r="F119" s="182">
        <f t="shared" si="65"/>
        <v>7.665</v>
      </c>
      <c r="G119" s="182">
        <f t="shared" si="65"/>
        <v>6.46</v>
      </c>
      <c r="H119" s="182">
        <f t="shared" si="65"/>
        <v>6.5600000000000005</v>
      </c>
      <c r="I119" s="182">
        <f t="shared" si="65"/>
        <v>4.41</v>
      </c>
      <c r="J119" s="182">
        <f t="shared" si="65"/>
        <v>5.4</v>
      </c>
      <c r="K119" s="182">
        <f t="shared" si="65"/>
        <v>4.62</v>
      </c>
      <c r="L119" s="182">
        <f t="shared" si="65"/>
        <v>4.33</v>
      </c>
      <c r="M119" s="182">
        <f t="shared" si="65"/>
        <v>4.13</v>
      </c>
      <c r="N119" s="182">
        <f t="shared" si="65"/>
        <v>3.15</v>
      </c>
      <c r="O119" s="182">
        <f t="shared" si="65"/>
        <v>3.13</v>
      </c>
      <c r="P119" s="182">
        <f t="shared" si="65"/>
        <v>2.96</v>
      </c>
    </row>
    <row r="120" spans="2:16">
      <c r="B120">
        <v>23</v>
      </c>
      <c r="E120" s="182">
        <f t="shared" si="66"/>
        <v>7.6400000000000006</v>
      </c>
      <c r="F120" s="182">
        <f t="shared" si="65"/>
        <v>7.665</v>
      </c>
      <c r="G120" s="182">
        <f t="shared" si="65"/>
        <v>6.46</v>
      </c>
      <c r="H120" s="182">
        <f t="shared" si="65"/>
        <v>6.5600000000000005</v>
      </c>
      <c r="I120" s="182">
        <f t="shared" si="65"/>
        <v>4.41</v>
      </c>
      <c r="J120" s="182">
        <f t="shared" si="65"/>
        <v>5.4</v>
      </c>
      <c r="K120" s="182">
        <f t="shared" si="65"/>
        <v>4.62</v>
      </c>
      <c r="L120" s="182">
        <f t="shared" si="65"/>
        <v>4.33</v>
      </c>
      <c r="M120" s="182">
        <f t="shared" si="65"/>
        <v>4.13</v>
      </c>
      <c r="N120" s="182">
        <f t="shared" si="65"/>
        <v>3.15</v>
      </c>
      <c r="O120" s="182">
        <f t="shared" si="65"/>
        <v>3.13</v>
      </c>
      <c r="P120" s="182">
        <f t="shared" si="65"/>
        <v>2.96</v>
      </c>
    </row>
    <row r="121" spans="2:16">
      <c r="B121">
        <v>24</v>
      </c>
      <c r="E121" s="182">
        <f t="shared" si="66"/>
        <v>7.6400000000000006</v>
      </c>
      <c r="F121" s="182">
        <f t="shared" si="65"/>
        <v>7.665</v>
      </c>
      <c r="G121" s="182">
        <f t="shared" si="65"/>
        <v>6.46</v>
      </c>
      <c r="H121" s="182">
        <f t="shared" si="65"/>
        <v>6.5600000000000005</v>
      </c>
      <c r="I121" s="182">
        <f t="shared" si="65"/>
        <v>4.41</v>
      </c>
      <c r="J121" s="182">
        <f t="shared" si="65"/>
        <v>5.4</v>
      </c>
      <c r="K121" s="182">
        <f t="shared" si="65"/>
        <v>4.62</v>
      </c>
      <c r="L121" s="182">
        <f t="shared" si="65"/>
        <v>4.33</v>
      </c>
      <c r="M121" s="182">
        <f t="shared" si="65"/>
        <v>4.13</v>
      </c>
      <c r="N121" s="182">
        <f t="shared" si="65"/>
        <v>3.15</v>
      </c>
      <c r="O121" s="182">
        <f t="shared" si="65"/>
        <v>3.13</v>
      </c>
      <c r="P121" s="182">
        <f t="shared" si="65"/>
        <v>2.96</v>
      </c>
    </row>
    <row r="122" spans="2:16">
      <c r="B122">
        <v>25</v>
      </c>
      <c r="E122" s="182">
        <f t="shared" si="66"/>
        <v>7.6400000000000006</v>
      </c>
      <c r="F122" s="182">
        <f t="shared" si="65"/>
        <v>7.665</v>
      </c>
      <c r="G122" s="182">
        <f t="shared" si="65"/>
        <v>6.46</v>
      </c>
      <c r="H122" s="182">
        <f t="shared" si="65"/>
        <v>6.5600000000000005</v>
      </c>
      <c r="I122" s="182">
        <f t="shared" si="65"/>
        <v>4.41</v>
      </c>
      <c r="J122" s="182">
        <f t="shared" si="65"/>
        <v>5.4</v>
      </c>
      <c r="K122" s="182">
        <f t="shared" si="65"/>
        <v>4.62</v>
      </c>
      <c r="L122" s="182">
        <f t="shared" si="65"/>
        <v>4.33</v>
      </c>
      <c r="M122" s="182">
        <f t="shared" si="65"/>
        <v>4.13</v>
      </c>
      <c r="N122" s="182">
        <f t="shared" si="65"/>
        <v>3.15</v>
      </c>
      <c r="O122" s="182">
        <f t="shared" si="65"/>
        <v>3.13</v>
      </c>
      <c r="P122" s="182">
        <f t="shared" si="65"/>
        <v>2.96</v>
      </c>
    </row>
    <row r="123" spans="2:16">
      <c r="B123">
        <v>26</v>
      </c>
      <c r="E123" s="182">
        <f t="shared" si="66"/>
        <v>7.6400000000000006</v>
      </c>
      <c r="F123" s="182">
        <f t="shared" si="65"/>
        <v>7.665</v>
      </c>
      <c r="G123" s="182">
        <f t="shared" si="65"/>
        <v>6.46</v>
      </c>
      <c r="H123" s="182">
        <f t="shared" si="65"/>
        <v>6.5600000000000005</v>
      </c>
      <c r="I123" s="182">
        <f t="shared" si="65"/>
        <v>4.41</v>
      </c>
      <c r="J123" s="182">
        <f t="shared" si="65"/>
        <v>5.4</v>
      </c>
      <c r="K123" s="182">
        <f t="shared" si="65"/>
        <v>4.62</v>
      </c>
      <c r="L123" s="182">
        <f t="shared" si="65"/>
        <v>4.33</v>
      </c>
      <c r="M123" s="182">
        <f t="shared" si="65"/>
        <v>4.13</v>
      </c>
      <c r="N123" s="182">
        <f t="shared" si="65"/>
        <v>3.15</v>
      </c>
      <c r="O123" s="182">
        <f t="shared" si="65"/>
        <v>3.13</v>
      </c>
      <c r="P123" s="182">
        <f t="shared" si="65"/>
        <v>2.96</v>
      </c>
    </row>
    <row r="124" spans="2:16">
      <c r="B124">
        <v>27</v>
      </c>
      <c r="E124" s="182">
        <f t="shared" si="66"/>
        <v>7.6400000000000006</v>
      </c>
      <c r="F124" s="182">
        <f t="shared" si="66"/>
        <v>7.665</v>
      </c>
      <c r="G124" s="182">
        <f t="shared" si="66"/>
        <v>6.46</v>
      </c>
      <c r="H124" s="182">
        <f t="shared" si="66"/>
        <v>6.5600000000000005</v>
      </c>
      <c r="I124" s="182">
        <f t="shared" si="66"/>
        <v>4.41</v>
      </c>
      <c r="J124" s="182">
        <f t="shared" si="66"/>
        <v>5.4</v>
      </c>
      <c r="K124" s="182">
        <f t="shared" si="66"/>
        <v>4.62</v>
      </c>
      <c r="L124" s="182">
        <f t="shared" si="66"/>
        <v>4.33</v>
      </c>
      <c r="M124" s="182">
        <f t="shared" si="66"/>
        <v>4.13</v>
      </c>
      <c r="N124" s="182">
        <f t="shared" si="66"/>
        <v>3.15</v>
      </c>
      <c r="O124" s="182">
        <f t="shared" si="66"/>
        <v>3.13</v>
      </c>
      <c r="P124" s="182">
        <f t="shared" si="66"/>
        <v>2.96</v>
      </c>
    </row>
    <row r="125" spans="2:16">
      <c r="B125">
        <v>28</v>
      </c>
      <c r="E125" s="182">
        <f t="shared" ref="E125:P137" si="67">E124</f>
        <v>7.6400000000000006</v>
      </c>
      <c r="F125" s="182">
        <f t="shared" si="67"/>
        <v>7.665</v>
      </c>
      <c r="G125" s="182">
        <f t="shared" si="67"/>
        <v>6.46</v>
      </c>
      <c r="H125" s="182">
        <f t="shared" si="67"/>
        <v>6.5600000000000005</v>
      </c>
      <c r="I125" s="182">
        <f t="shared" si="67"/>
        <v>4.41</v>
      </c>
      <c r="J125" s="182">
        <f t="shared" si="67"/>
        <v>5.4</v>
      </c>
      <c r="K125" s="182">
        <f t="shared" si="67"/>
        <v>4.62</v>
      </c>
      <c r="L125" s="182">
        <f t="shared" si="67"/>
        <v>4.33</v>
      </c>
      <c r="M125" s="182">
        <f t="shared" si="67"/>
        <v>4.13</v>
      </c>
      <c r="N125" s="182">
        <f t="shared" si="67"/>
        <v>3.15</v>
      </c>
      <c r="O125" s="182">
        <f t="shared" si="67"/>
        <v>3.13</v>
      </c>
      <c r="P125" s="182">
        <f t="shared" si="67"/>
        <v>2.96</v>
      </c>
    </row>
    <row r="126" spans="2:16">
      <c r="B126">
        <v>29</v>
      </c>
      <c r="E126" s="182">
        <f t="shared" si="67"/>
        <v>7.6400000000000006</v>
      </c>
      <c r="F126" s="182">
        <f t="shared" si="67"/>
        <v>7.665</v>
      </c>
      <c r="G126" s="182">
        <f t="shared" si="67"/>
        <v>6.46</v>
      </c>
      <c r="H126" s="182">
        <f t="shared" si="67"/>
        <v>6.5600000000000005</v>
      </c>
      <c r="I126" s="182">
        <f t="shared" si="67"/>
        <v>4.41</v>
      </c>
      <c r="J126" s="182">
        <f t="shared" si="67"/>
        <v>5.4</v>
      </c>
      <c r="K126" s="182">
        <f t="shared" si="67"/>
        <v>4.62</v>
      </c>
      <c r="L126" s="182">
        <f t="shared" si="67"/>
        <v>4.33</v>
      </c>
      <c r="M126" s="182">
        <f t="shared" si="67"/>
        <v>4.13</v>
      </c>
      <c r="N126" s="182">
        <f t="shared" si="67"/>
        <v>3.15</v>
      </c>
      <c r="O126" s="182">
        <f t="shared" si="67"/>
        <v>3.13</v>
      </c>
      <c r="P126" s="182">
        <f t="shared" si="67"/>
        <v>2.96</v>
      </c>
    </row>
    <row r="127" spans="2:16">
      <c r="B127">
        <v>30</v>
      </c>
      <c r="E127" s="182">
        <f t="shared" si="67"/>
        <v>7.6400000000000006</v>
      </c>
      <c r="F127" s="182">
        <f t="shared" si="67"/>
        <v>7.665</v>
      </c>
      <c r="G127" s="182">
        <f t="shared" si="67"/>
        <v>6.46</v>
      </c>
      <c r="H127" s="182">
        <f t="shared" si="67"/>
        <v>6.5600000000000005</v>
      </c>
      <c r="I127" s="182">
        <f t="shared" si="67"/>
        <v>4.41</v>
      </c>
      <c r="J127" s="182">
        <f t="shared" si="67"/>
        <v>5.4</v>
      </c>
      <c r="K127" s="182">
        <f t="shared" si="67"/>
        <v>4.62</v>
      </c>
      <c r="L127" s="182">
        <f t="shared" si="67"/>
        <v>4.33</v>
      </c>
      <c r="M127" s="182">
        <f t="shared" si="67"/>
        <v>4.13</v>
      </c>
      <c r="N127" s="182">
        <f t="shared" si="67"/>
        <v>3.15</v>
      </c>
      <c r="O127" s="182">
        <f t="shared" si="67"/>
        <v>3.13</v>
      </c>
      <c r="P127" s="182">
        <f t="shared" si="67"/>
        <v>2.96</v>
      </c>
    </row>
    <row r="128" spans="2:16">
      <c r="B128">
        <v>31</v>
      </c>
      <c r="E128" s="182">
        <f t="shared" si="67"/>
        <v>7.6400000000000006</v>
      </c>
      <c r="F128" s="182">
        <f t="shared" si="67"/>
        <v>7.665</v>
      </c>
      <c r="G128" s="182">
        <f t="shared" si="67"/>
        <v>6.46</v>
      </c>
      <c r="H128" s="182">
        <f t="shared" si="67"/>
        <v>6.5600000000000005</v>
      </c>
      <c r="I128" s="182">
        <f t="shared" si="67"/>
        <v>4.41</v>
      </c>
      <c r="J128" s="182">
        <f t="shared" si="67"/>
        <v>5.4</v>
      </c>
      <c r="K128" s="182">
        <f t="shared" si="67"/>
        <v>4.62</v>
      </c>
      <c r="L128" s="182">
        <f t="shared" si="67"/>
        <v>4.33</v>
      </c>
      <c r="M128" s="182">
        <f t="shared" si="67"/>
        <v>4.13</v>
      </c>
      <c r="N128" s="182">
        <f t="shared" si="67"/>
        <v>3.15</v>
      </c>
      <c r="O128" s="182">
        <f t="shared" si="67"/>
        <v>3.13</v>
      </c>
      <c r="P128" s="182">
        <f t="shared" si="67"/>
        <v>2.96</v>
      </c>
    </row>
    <row r="129" spans="2:17">
      <c r="B129">
        <v>32</v>
      </c>
      <c r="E129" s="182">
        <f t="shared" si="67"/>
        <v>7.6400000000000006</v>
      </c>
      <c r="F129" s="182">
        <f t="shared" si="67"/>
        <v>7.665</v>
      </c>
      <c r="G129" s="182">
        <f t="shared" si="67"/>
        <v>6.46</v>
      </c>
      <c r="H129" s="182">
        <f t="shared" si="67"/>
        <v>6.5600000000000005</v>
      </c>
      <c r="I129" s="182">
        <f t="shared" si="67"/>
        <v>4.41</v>
      </c>
      <c r="J129" s="182">
        <f t="shared" si="67"/>
        <v>5.4</v>
      </c>
      <c r="K129" s="182">
        <f t="shared" si="67"/>
        <v>4.62</v>
      </c>
      <c r="L129" s="182">
        <f t="shared" si="67"/>
        <v>4.33</v>
      </c>
      <c r="M129" s="182">
        <f t="shared" si="67"/>
        <v>4.13</v>
      </c>
      <c r="N129" s="182">
        <f t="shared" si="67"/>
        <v>3.15</v>
      </c>
      <c r="O129" s="182">
        <f t="shared" si="67"/>
        <v>3.13</v>
      </c>
      <c r="P129" s="182">
        <f t="shared" si="67"/>
        <v>2.96</v>
      </c>
    </row>
    <row r="130" spans="2:17">
      <c r="B130">
        <v>33</v>
      </c>
      <c r="E130" s="182">
        <f t="shared" si="67"/>
        <v>7.6400000000000006</v>
      </c>
      <c r="F130" s="182">
        <f t="shared" si="67"/>
        <v>7.665</v>
      </c>
      <c r="G130" s="182">
        <f t="shared" si="67"/>
        <v>6.46</v>
      </c>
      <c r="H130" s="182">
        <f t="shared" si="67"/>
        <v>6.5600000000000005</v>
      </c>
      <c r="I130" s="182">
        <f t="shared" si="67"/>
        <v>4.41</v>
      </c>
      <c r="J130" s="182">
        <f t="shared" si="67"/>
        <v>5.4</v>
      </c>
      <c r="K130" s="182">
        <f t="shared" si="67"/>
        <v>4.62</v>
      </c>
      <c r="L130" s="182">
        <f t="shared" si="67"/>
        <v>4.33</v>
      </c>
      <c r="M130" s="182">
        <f t="shared" si="67"/>
        <v>4.13</v>
      </c>
      <c r="N130" s="182">
        <f t="shared" si="67"/>
        <v>3.15</v>
      </c>
      <c r="O130" s="182">
        <f t="shared" si="67"/>
        <v>3.13</v>
      </c>
      <c r="P130" s="182">
        <f t="shared" si="67"/>
        <v>2.96</v>
      </c>
    </row>
    <row r="131" spans="2:17">
      <c r="B131">
        <v>34</v>
      </c>
      <c r="E131" s="182">
        <f t="shared" si="67"/>
        <v>7.6400000000000006</v>
      </c>
      <c r="F131" s="182">
        <f t="shared" si="67"/>
        <v>7.665</v>
      </c>
      <c r="G131" s="182">
        <f t="shared" si="67"/>
        <v>6.46</v>
      </c>
      <c r="H131" s="182">
        <f t="shared" si="67"/>
        <v>6.5600000000000005</v>
      </c>
      <c r="I131" s="182">
        <f t="shared" si="67"/>
        <v>4.41</v>
      </c>
      <c r="J131" s="182">
        <f t="shared" si="67"/>
        <v>5.4</v>
      </c>
      <c r="K131" s="182">
        <f t="shared" si="67"/>
        <v>4.62</v>
      </c>
      <c r="L131" s="182">
        <f t="shared" si="67"/>
        <v>4.33</v>
      </c>
      <c r="M131" s="182">
        <f t="shared" si="67"/>
        <v>4.13</v>
      </c>
      <c r="N131" s="182">
        <f t="shared" si="67"/>
        <v>3.15</v>
      </c>
      <c r="O131" s="182">
        <f t="shared" si="67"/>
        <v>3.13</v>
      </c>
      <c r="P131" s="182">
        <f t="shared" si="67"/>
        <v>2.96</v>
      </c>
    </row>
    <row r="132" spans="2:17">
      <c r="B132">
        <v>35</v>
      </c>
      <c r="E132" s="182">
        <f t="shared" si="67"/>
        <v>7.6400000000000006</v>
      </c>
      <c r="F132" s="182">
        <f t="shared" si="67"/>
        <v>7.665</v>
      </c>
      <c r="G132" s="182">
        <f t="shared" si="67"/>
        <v>6.46</v>
      </c>
      <c r="H132" s="182">
        <f t="shared" si="67"/>
        <v>6.5600000000000005</v>
      </c>
      <c r="I132" s="182">
        <f t="shared" si="67"/>
        <v>4.41</v>
      </c>
      <c r="J132" s="182">
        <f t="shared" si="67"/>
        <v>5.4</v>
      </c>
      <c r="K132" s="182">
        <f t="shared" si="67"/>
        <v>4.62</v>
      </c>
      <c r="L132" s="182">
        <f t="shared" si="67"/>
        <v>4.33</v>
      </c>
      <c r="M132" s="182">
        <f t="shared" si="67"/>
        <v>4.13</v>
      </c>
      <c r="N132" s="182">
        <f t="shared" si="67"/>
        <v>3.15</v>
      </c>
      <c r="O132" s="182">
        <f t="shared" si="67"/>
        <v>3.13</v>
      </c>
      <c r="P132" s="182">
        <f t="shared" si="67"/>
        <v>2.96</v>
      </c>
    </row>
    <row r="133" spans="2:17">
      <c r="B133">
        <v>36</v>
      </c>
      <c r="E133" s="182">
        <f t="shared" si="67"/>
        <v>7.6400000000000006</v>
      </c>
      <c r="F133" s="182">
        <f t="shared" si="67"/>
        <v>7.665</v>
      </c>
      <c r="G133" s="182">
        <f t="shared" si="67"/>
        <v>6.46</v>
      </c>
      <c r="H133" s="182">
        <f t="shared" si="67"/>
        <v>6.5600000000000005</v>
      </c>
      <c r="I133" s="182">
        <f t="shared" si="67"/>
        <v>4.41</v>
      </c>
      <c r="J133" s="182">
        <f t="shared" si="67"/>
        <v>5.4</v>
      </c>
      <c r="K133" s="182">
        <f t="shared" si="67"/>
        <v>4.62</v>
      </c>
      <c r="L133" s="182">
        <f t="shared" si="67"/>
        <v>4.33</v>
      </c>
      <c r="M133" s="182">
        <f t="shared" si="67"/>
        <v>4.13</v>
      </c>
      <c r="N133" s="182">
        <f t="shared" si="67"/>
        <v>3.15</v>
      </c>
      <c r="O133" s="182">
        <f t="shared" si="67"/>
        <v>3.13</v>
      </c>
      <c r="P133" s="182">
        <f t="shared" si="67"/>
        <v>2.96</v>
      </c>
    </row>
    <row r="134" spans="2:17">
      <c r="B134">
        <v>37</v>
      </c>
      <c r="E134" s="182">
        <f t="shared" si="67"/>
        <v>7.6400000000000006</v>
      </c>
      <c r="F134" s="182">
        <f t="shared" si="67"/>
        <v>7.665</v>
      </c>
      <c r="G134" s="182">
        <f t="shared" si="67"/>
        <v>6.46</v>
      </c>
      <c r="H134" s="182">
        <f t="shared" si="67"/>
        <v>6.5600000000000005</v>
      </c>
      <c r="I134" s="182">
        <f t="shared" si="67"/>
        <v>4.41</v>
      </c>
      <c r="J134" s="182">
        <f t="shared" si="67"/>
        <v>5.4</v>
      </c>
      <c r="K134" s="182">
        <f t="shared" si="67"/>
        <v>4.62</v>
      </c>
      <c r="L134" s="182">
        <f t="shared" si="67"/>
        <v>4.33</v>
      </c>
      <c r="M134" s="182">
        <f t="shared" si="67"/>
        <v>4.13</v>
      </c>
      <c r="N134" s="182">
        <f t="shared" si="67"/>
        <v>3.15</v>
      </c>
      <c r="O134" s="182">
        <f t="shared" si="67"/>
        <v>3.13</v>
      </c>
      <c r="P134" s="182">
        <f t="shared" si="67"/>
        <v>2.96</v>
      </c>
    </row>
    <row r="135" spans="2:17">
      <c r="B135">
        <v>38</v>
      </c>
      <c r="E135" s="182">
        <f t="shared" si="67"/>
        <v>7.6400000000000006</v>
      </c>
      <c r="F135" s="182">
        <f t="shared" si="67"/>
        <v>7.665</v>
      </c>
      <c r="G135" s="182">
        <f t="shared" si="67"/>
        <v>6.46</v>
      </c>
      <c r="H135" s="182">
        <f t="shared" si="67"/>
        <v>6.5600000000000005</v>
      </c>
      <c r="I135" s="182">
        <f t="shared" si="67"/>
        <v>4.41</v>
      </c>
      <c r="J135" s="182">
        <f t="shared" si="67"/>
        <v>5.4</v>
      </c>
      <c r="K135" s="182">
        <f t="shared" si="67"/>
        <v>4.62</v>
      </c>
      <c r="L135" s="182">
        <f t="shared" si="67"/>
        <v>4.33</v>
      </c>
      <c r="M135" s="182">
        <f t="shared" si="67"/>
        <v>4.13</v>
      </c>
      <c r="N135" s="182">
        <f t="shared" si="67"/>
        <v>3.15</v>
      </c>
      <c r="O135" s="182">
        <f t="shared" si="67"/>
        <v>3.13</v>
      </c>
      <c r="P135" s="182">
        <f t="shared" si="67"/>
        <v>2.96</v>
      </c>
    </row>
    <row r="136" spans="2:17">
      <c r="B136">
        <v>39</v>
      </c>
      <c r="E136" s="182">
        <f t="shared" si="67"/>
        <v>7.6400000000000006</v>
      </c>
      <c r="F136" s="182">
        <f t="shared" si="67"/>
        <v>7.665</v>
      </c>
      <c r="G136" s="182">
        <f t="shared" si="67"/>
        <v>6.46</v>
      </c>
      <c r="H136" s="182">
        <f t="shared" si="67"/>
        <v>6.5600000000000005</v>
      </c>
      <c r="I136" s="182">
        <f t="shared" si="67"/>
        <v>4.41</v>
      </c>
      <c r="J136" s="182">
        <f t="shared" si="67"/>
        <v>5.4</v>
      </c>
      <c r="K136" s="182">
        <f t="shared" si="67"/>
        <v>4.62</v>
      </c>
      <c r="L136" s="182">
        <f t="shared" si="67"/>
        <v>4.33</v>
      </c>
      <c r="M136" s="182">
        <f t="shared" si="67"/>
        <v>4.13</v>
      </c>
      <c r="N136" s="182">
        <f t="shared" si="67"/>
        <v>3.15</v>
      </c>
      <c r="O136" s="182">
        <f t="shared" si="67"/>
        <v>3.13</v>
      </c>
      <c r="P136" s="182">
        <f t="shared" si="67"/>
        <v>2.96</v>
      </c>
    </row>
    <row r="137" spans="2:17">
      <c r="B137">
        <v>40</v>
      </c>
      <c r="E137" s="182">
        <f t="shared" si="67"/>
        <v>7.6400000000000006</v>
      </c>
      <c r="F137" s="182">
        <f t="shared" si="67"/>
        <v>7.665</v>
      </c>
      <c r="G137" s="182">
        <f t="shared" si="67"/>
        <v>6.46</v>
      </c>
      <c r="H137" s="182">
        <f t="shared" si="67"/>
        <v>6.5600000000000005</v>
      </c>
      <c r="I137" s="182">
        <f t="shared" si="67"/>
        <v>4.41</v>
      </c>
      <c r="J137" s="182">
        <f t="shared" si="67"/>
        <v>5.4</v>
      </c>
      <c r="K137" s="182">
        <f t="shared" si="67"/>
        <v>4.62</v>
      </c>
      <c r="L137" s="182">
        <f t="shared" si="67"/>
        <v>4.33</v>
      </c>
      <c r="M137" s="182">
        <f t="shared" si="67"/>
        <v>4.13</v>
      </c>
      <c r="N137" s="182">
        <f t="shared" si="67"/>
        <v>3.15</v>
      </c>
      <c r="O137" s="182">
        <f t="shared" si="67"/>
        <v>3.13</v>
      </c>
      <c r="P137" s="182">
        <f t="shared" si="67"/>
        <v>2.96</v>
      </c>
    </row>
    <row r="141" spans="2:17">
      <c r="B141" s="5" t="s">
        <v>368</v>
      </c>
      <c r="D141" s="42" t="s">
        <v>371</v>
      </c>
      <c r="E141">
        <v>2011</v>
      </c>
      <c r="F141">
        <v>2012</v>
      </c>
      <c r="G141">
        <v>2013</v>
      </c>
      <c r="H141">
        <v>2014</v>
      </c>
      <c r="I141">
        <v>2015</v>
      </c>
      <c r="J141">
        <v>2016</v>
      </c>
      <c r="K141">
        <v>2017</v>
      </c>
      <c r="L141">
        <v>2018</v>
      </c>
      <c r="M141">
        <v>2019</v>
      </c>
      <c r="N141">
        <v>2020</v>
      </c>
      <c r="O141">
        <v>2021</v>
      </c>
      <c r="P141">
        <v>2022</v>
      </c>
      <c r="Q141" s="116" t="s">
        <v>369</v>
      </c>
    </row>
    <row r="143" spans="2:17">
      <c r="B143" s="42" t="s">
        <v>218</v>
      </c>
    </row>
    <row r="144" spans="2:17">
      <c r="B144">
        <v>0</v>
      </c>
      <c r="E144" s="182">
        <f t="shared" ref="E144:O146" si="68">E145</f>
        <v>6.34</v>
      </c>
      <c r="F144" s="182">
        <f t="shared" si="68"/>
        <v>4.97</v>
      </c>
      <c r="G144" s="182">
        <f t="shared" si="68"/>
        <v>5</v>
      </c>
      <c r="H144" s="182">
        <f t="shared" si="68"/>
        <v>4.1000000000000005</v>
      </c>
      <c r="I144" s="182">
        <f t="shared" si="68"/>
        <v>4.665</v>
      </c>
      <c r="J144" s="182">
        <f t="shared" si="68"/>
        <v>3.9050000000000002</v>
      </c>
      <c r="K144" s="182">
        <f t="shared" si="68"/>
        <v>3.125</v>
      </c>
      <c r="L144" s="182">
        <f t="shared" si="68"/>
        <v>3.4249999999999998</v>
      </c>
      <c r="M144" s="182">
        <f t="shared" si="68"/>
        <v>2.0049999999999999</v>
      </c>
      <c r="N144" s="182">
        <f t="shared" si="68"/>
        <v>1.1400000000000001</v>
      </c>
      <c r="O144" s="182">
        <f t="shared" si="68"/>
        <v>2.12</v>
      </c>
      <c r="P144" s="182">
        <f>O144</f>
        <v>2.12</v>
      </c>
    </row>
    <row r="145" spans="2:16">
      <c r="B145">
        <v>1</v>
      </c>
      <c r="E145" s="182">
        <f t="shared" si="68"/>
        <v>6.34</v>
      </c>
      <c r="F145" s="182">
        <f t="shared" si="68"/>
        <v>4.97</v>
      </c>
      <c r="G145" s="182">
        <f t="shared" si="68"/>
        <v>5</v>
      </c>
      <c r="H145" s="182">
        <f t="shared" si="68"/>
        <v>4.1000000000000005</v>
      </c>
      <c r="I145" s="182">
        <f t="shared" si="68"/>
        <v>4.665</v>
      </c>
      <c r="J145" s="182">
        <f t="shared" si="68"/>
        <v>3.9050000000000002</v>
      </c>
      <c r="K145" s="182">
        <f t="shared" si="68"/>
        <v>3.125</v>
      </c>
      <c r="L145" s="182">
        <f t="shared" si="68"/>
        <v>3.4249999999999998</v>
      </c>
      <c r="M145" s="182">
        <f t="shared" si="68"/>
        <v>2.0049999999999999</v>
      </c>
      <c r="N145" s="182">
        <f t="shared" si="68"/>
        <v>1.1400000000000001</v>
      </c>
      <c r="O145" s="182">
        <f t="shared" si="68"/>
        <v>2.12</v>
      </c>
      <c r="P145" s="182">
        <f t="shared" ref="P145:P184" si="69">O145</f>
        <v>2.12</v>
      </c>
    </row>
    <row r="146" spans="2:16">
      <c r="B146">
        <v>2</v>
      </c>
      <c r="E146" s="182">
        <f>E147</f>
        <v>6.34</v>
      </c>
      <c r="F146" s="182">
        <f t="shared" si="68"/>
        <v>4.97</v>
      </c>
      <c r="G146" s="182">
        <f t="shared" si="68"/>
        <v>5</v>
      </c>
      <c r="H146" s="182">
        <f t="shared" si="68"/>
        <v>4.1000000000000005</v>
      </c>
      <c r="I146" s="182">
        <f t="shared" si="68"/>
        <v>4.665</v>
      </c>
      <c r="J146" s="182">
        <f t="shared" si="68"/>
        <v>3.9050000000000002</v>
      </c>
      <c r="K146" s="182">
        <f t="shared" si="68"/>
        <v>3.125</v>
      </c>
      <c r="L146" s="182">
        <f t="shared" si="68"/>
        <v>3.4249999999999998</v>
      </c>
      <c r="M146" s="182">
        <f t="shared" si="68"/>
        <v>2.0049999999999999</v>
      </c>
      <c r="N146" s="182">
        <f t="shared" si="68"/>
        <v>1.1400000000000001</v>
      </c>
      <c r="O146" s="182">
        <f t="shared" si="68"/>
        <v>2.12</v>
      </c>
      <c r="P146" s="182">
        <f t="shared" si="69"/>
        <v>2.12</v>
      </c>
    </row>
    <row r="147" spans="2:16">
      <c r="B147">
        <v>3</v>
      </c>
      <c r="E147" s="182">
        <f>AVERAGE('Corporate Bond yields'!$X$95,'Corporate Bond yields'!$X$94)</f>
        <v>6.34</v>
      </c>
      <c r="F147" s="182">
        <f>AVERAGE('Corporate Bond yields'!$X$107,'Corporate Bond yields'!$X$106)</f>
        <v>4.97</v>
      </c>
      <c r="G147" s="182">
        <f>AVERAGE('Corporate Bond yields'!$X$119,'Corporate Bond yields'!$X$118)</f>
        <v>5</v>
      </c>
      <c r="H147" s="182">
        <f>AVERAGE('Corporate Bond yields'!$X$131,'Corporate Bond yields'!$X$130)</f>
        <v>4.1000000000000005</v>
      </c>
      <c r="I147" s="182">
        <f>AVERAGE('Corporate Bond yields'!$X$143,'Corporate Bond yields'!$X$142)</f>
        <v>4.665</v>
      </c>
      <c r="J147" s="182">
        <f>AVERAGE('Corporate Bond yields'!$X$155,'Corporate Bond yields'!$X$154)</f>
        <v>3.9050000000000002</v>
      </c>
      <c r="K147" s="182">
        <f>AVERAGE('Corporate Bond yields'!$X$167,'Corporate Bond yields'!$X$166)</f>
        <v>3.125</v>
      </c>
      <c r="L147" s="182">
        <f>AVERAGE('Corporate Bond yields'!$X$179,'Corporate Bond yields'!$X$178)</f>
        <v>3.4249999999999998</v>
      </c>
      <c r="M147" s="182">
        <f>AVERAGE('Corporate Bond yields'!$X$191,'Corporate Bond yields'!$X$189)</f>
        <v>2.0049999999999999</v>
      </c>
      <c r="N147" s="182">
        <f>AVERAGE('Corporate Bond yields'!$X$203,'Corporate Bond yields'!$X$202)</f>
        <v>1.1400000000000001</v>
      </c>
      <c r="O147" s="182">
        <f>AVERAGE('Corporate Bond yields'!$X$215,'Corporate Bond yields'!$X$214)</f>
        <v>2.12</v>
      </c>
      <c r="P147" s="182">
        <f t="shared" si="69"/>
        <v>2.12</v>
      </c>
    </row>
    <row r="148" spans="2:16">
      <c r="B148">
        <v>4</v>
      </c>
      <c r="E148" s="182">
        <f>0.5*E147+0.5*E149</f>
        <v>6.5924999999999994</v>
      </c>
      <c r="F148" s="182">
        <f t="shared" ref="F148:O148" si="70">0.5*F147+0.5*F149</f>
        <v>5.2324999999999999</v>
      </c>
      <c r="G148" s="182">
        <f t="shared" si="70"/>
        <v>5.3775000000000004</v>
      </c>
      <c r="H148" s="182">
        <f t="shared" si="70"/>
        <v>4.2550000000000008</v>
      </c>
      <c r="I148" s="182">
        <f t="shared" si="70"/>
        <v>4.8424999999999994</v>
      </c>
      <c r="J148" s="182">
        <f t="shared" si="70"/>
        <v>4.07</v>
      </c>
      <c r="K148" s="182">
        <f t="shared" si="70"/>
        <v>3.2824999999999998</v>
      </c>
      <c r="L148" s="182">
        <f t="shared" si="70"/>
        <v>3.6174999999999997</v>
      </c>
      <c r="M148" s="182">
        <f t="shared" si="70"/>
        <v>2.1324999999999998</v>
      </c>
      <c r="N148" s="182">
        <f t="shared" si="70"/>
        <v>1.3250000000000002</v>
      </c>
      <c r="O148" s="182">
        <f t="shared" si="70"/>
        <v>2.4500000000000002</v>
      </c>
      <c r="P148" s="182">
        <f t="shared" si="69"/>
        <v>2.4500000000000002</v>
      </c>
    </row>
    <row r="149" spans="2:16">
      <c r="B149">
        <v>5</v>
      </c>
      <c r="E149" s="182">
        <f>AVERAGE('Corporate Bond yields'!$AB$95,'Corporate Bond yields'!$AB$94)</f>
        <v>6.8449999999999998</v>
      </c>
      <c r="F149" s="182">
        <f>AVERAGE('Corporate Bond yields'!$AB$107,'Corporate Bond yields'!$AB$106)</f>
        <v>5.4949999999999992</v>
      </c>
      <c r="G149" s="182">
        <f>AVERAGE('Corporate Bond yields'!$AB$119,'Corporate Bond yields'!$AB$118)</f>
        <v>5.7550000000000008</v>
      </c>
      <c r="H149" s="182">
        <f>AVERAGE('Corporate Bond yields'!$AB$131,'Corporate Bond yields'!$AB$130)</f>
        <v>4.41</v>
      </c>
      <c r="I149" s="182">
        <f>AVERAGE('Corporate Bond yields'!$AB$143,'Corporate Bond yields'!$AB$142)</f>
        <v>5.0199999999999996</v>
      </c>
      <c r="J149" s="182">
        <f>AVERAGE('Corporate Bond yields'!$AB$155,'Corporate Bond yields'!$AB$154)</f>
        <v>4.2349999999999994</v>
      </c>
      <c r="K149" s="182">
        <f>AVERAGE('Corporate Bond yields'!$AB$167,'Corporate Bond yields'!$AB$166)</f>
        <v>3.44</v>
      </c>
      <c r="L149" s="182">
        <f>AVERAGE('Corporate Bond yields'!$AB$179,'Corporate Bond yields'!$AB$178)</f>
        <v>3.8099999999999996</v>
      </c>
      <c r="M149" s="182">
        <f>AVERAGE('Corporate Bond yields'!$AB$191,'Corporate Bond yields'!$AB$189)</f>
        <v>2.2599999999999998</v>
      </c>
      <c r="N149" s="182">
        <f>AVERAGE('Corporate Bond yields'!$AB$203,'Corporate Bond yields'!$AB$202)</f>
        <v>1.51</v>
      </c>
      <c r="O149" s="182">
        <f>AVERAGE('Corporate Bond yields'!$AB$215,'Corporate Bond yields'!$AB$214)</f>
        <v>2.7800000000000002</v>
      </c>
      <c r="P149" s="182">
        <f t="shared" si="69"/>
        <v>2.7800000000000002</v>
      </c>
    </row>
    <row r="150" spans="2:16">
      <c r="B150">
        <v>6</v>
      </c>
      <c r="E150" s="182">
        <f>0.5*E149+0.5*E151</f>
        <v>7.0949999999999998</v>
      </c>
      <c r="F150" s="182">
        <f t="shared" ref="F150:O150" si="71">0.5*F149+0.5*F151</f>
        <v>5.6824999999999992</v>
      </c>
      <c r="G150" s="182">
        <f t="shared" si="71"/>
        <v>6.0850000000000009</v>
      </c>
      <c r="H150" s="182">
        <f t="shared" si="71"/>
        <v>4.6225000000000005</v>
      </c>
      <c r="I150" s="182">
        <f t="shared" si="71"/>
        <v>5.165</v>
      </c>
      <c r="J150" s="182">
        <f t="shared" si="71"/>
        <v>4.4124999999999996</v>
      </c>
      <c r="K150" s="182">
        <f t="shared" si="71"/>
        <v>3.6100000000000003</v>
      </c>
      <c r="L150" s="182">
        <f t="shared" si="71"/>
        <v>4.0024999999999995</v>
      </c>
      <c r="M150" s="182">
        <f t="shared" si="71"/>
        <v>2.4775</v>
      </c>
      <c r="N150" s="182">
        <f t="shared" si="71"/>
        <v>1.8249999999999997</v>
      </c>
      <c r="O150" s="182">
        <f t="shared" si="71"/>
        <v>3.0375000000000001</v>
      </c>
      <c r="P150" s="182">
        <f t="shared" si="69"/>
        <v>3.0375000000000001</v>
      </c>
    </row>
    <row r="151" spans="2:16">
      <c r="B151">
        <v>7</v>
      </c>
      <c r="E151" s="182">
        <f>AVERAGE('Corporate Bond yields'!$AF$95,'Corporate Bond yields'!$AF$94)</f>
        <v>7.3449999999999998</v>
      </c>
      <c r="F151" s="182">
        <f>AVERAGE('Corporate Bond yields'!$AF$107,'Corporate Bond yields'!$AF$106)</f>
        <v>5.87</v>
      </c>
      <c r="G151" s="182">
        <f>AVERAGE('Corporate Bond yields'!$AF$119,'Corporate Bond yields'!$AF$118)</f>
        <v>6.415</v>
      </c>
      <c r="H151" s="182">
        <f>AVERAGE('Corporate Bond yields'!$AF$131,'Corporate Bond yields'!$AF$130)</f>
        <v>4.835</v>
      </c>
      <c r="I151" s="182">
        <f>AVERAGE('Corporate Bond yields'!$AF$143,'Corporate Bond yields'!$AF$142)</f>
        <v>5.3100000000000005</v>
      </c>
      <c r="J151" s="182">
        <f>AVERAGE('Corporate Bond yields'!$AF$155,'Corporate Bond yields'!$AF$154)</f>
        <v>4.59</v>
      </c>
      <c r="K151" s="182">
        <f>AVERAGE('Corporate Bond yields'!$AF$167,'Corporate Bond yields'!$AF$166)</f>
        <v>3.7800000000000002</v>
      </c>
      <c r="L151" s="182">
        <f>AVERAGE('Corporate Bond yields'!$AF$179,'Corporate Bond yields'!$AF$178)</f>
        <v>4.1950000000000003</v>
      </c>
      <c r="M151" s="182">
        <f>AVERAGE('Corporate Bond yields'!$AF$191,'Corporate Bond yields'!$AF$189)</f>
        <v>2.6950000000000003</v>
      </c>
      <c r="N151" s="182">
        <f>AVERAGE('Corporate Bond yields'!$AF$203,'Corporate Bond yields'!$AF$202)</f>
        <v>2.1399999999999997</v>
      </c>
      <c r="O151" s="182">
        <f>AVERAGE('Corporate Bond yields'!$AF$215,'Corporate Bond yields'!$AF$214)</f>
        <v>3.2949999999999999</v>
      </c>
      <c r="P151" s="182">
        <f t="shared" si="69"/>
        <v>3.2949999999999999</v>
      </c>
    </row>
    <row r="152" spans="2:16">
      <c r="B152">
        <v>8</v>
      </c>
      <c r="E152" s="182">
        <f>0.75*E151+0.25*E154</f>
        <v>7.43</v>
      </c>
      <c r="F152" s="182">
        <f t="shared" ref="F152:O152" si="72">0.75*F151+0.25*F154</f>
        <v>6.0137499999999999</v>
      </c>
      <c r="G152" s="182">
        <f t="shared" si="72"/>
        <v>6.6025</v>
      </c>
      <c r="H152" s="182">
        <f t="shared" si="72"/>
        <v>4.8737499999999994</v>
      </c>
      <c r="I152" s="182">
        <f t="shared" si="72"/>
        <v>5.34</v>
      </c>
      <c r="J152" s="182">
        <f t="shared" si="72"/>
        <v>4.6762499999999996</v>
      </c>
      <c r="K152" s="182">
        <f t="shared" si="72"/>
        <v>3.89</v>
      </c>
      <c r="L152" s="182">
        <f t="shared" si="72"/>
        <v>4.3112500000000002</v>
      </c>
      <c r="M152" s="182">
        <f t="shared" si="72"/>
        <v>2.7850000000000001</v>
      </c>
      <c r="N152" s="182">
        <f t="shared" si="72"/>
        <v>2.17875</v>
      </c>
      <c r="O152" s="182">
        <f t="shared" si="72"/>
        <v>3.415</v>
      </c>
      <c r="P152" s="182">
        <f t="shared" si="69"/>
        <v>3.415</v>
      </c>
    </row>
    <row r="153" spans="2:16">
      <c r="B153">
        <v>9</v>
      </c>
      <c r="E153" s="182">
        <f>0.75*E154+0.25*E151</f>
        <v>7.6</v>
      </c>
      <c r="F153" s="182">
        <f t="shared" ref="F153:O153" si="73">0.75*F154+0.25*F151</f>
        <v>6.3012500000000005</v>
      </c>
      <c r="G153" s="182">
        <f t="shared" si="73"/>
        <v>6.9775</v>
      </c>
      <c r="H153" s="182">
        <f t="shared" si="73"/>
        <v>4.9512499999999999</v>
      </c>
      <c r="I153" s="182">
        <f t="shared" si="73"/>
        <v>5.4</v>
      </c>
      <c r="J153" s="182">
        <f t="shared" si="73"/>
        <v>4.8487500000000008</v>
      </c>
      <c r="K153" s="182">
        <f t="shared" si="73"/>
        <v>4.1100000000000003</v>
      </c>
      <c r="L153" s="182">
        <f t="shared" si="73"/>
        <v>4.5437500000000002</v>
      </c>
      <c r="M153" s="182">
        <f t="shared" si="73"/>
        <v>2.9649999999999999</v>
      </c>
      <c r="N153" s="182">
        <f t="shared" si="73"/>
        <v>2.2562499999999996</v>
      </c>
      <c r="O153" s="182">
        <f t="shared" si="73"/>
        <v>3.6550000000000002</v>
      </c>
      <c r="P153" s="182">
        <f t="shared" si="69"/>
        <v>3.6550000000000002</v>
      </c>
    </row>
    <row r="154" spans="2:16">
      <c r="B154">
        <v>10</v>
      </c>
      <c r="E154" s="182">
        <f>AVERAGE('Corporate Bond yields'!$AJ$95,'Corporate Bond yields'!$AJ$94)</f>
        <v>7.6850000000000005</v>
      </c>
      <c r="F154" s="182">
        <f>AVERAGE('Corporate Bond yields'!$AJ$107,'Corporate Bond yields'!$AJ$106)</f>
        <v>6.4450000000000003</v>
      </c>
      <c r="G154" s="182">
        <f>AVERAGE('Corporate Bond yields'!$AJ$119,'Corporate Bond yields'!$AJ$118)</f>
        <v>7.165</v>
      </c>
      <c r="H154" s="182">
        <f>AVERAGE('Corporate Bond yields'!$AJ$131,'Corporate Bond yields'!$AJ$130)</f>
        <v>4.99</v>
      </c>
      <c r="I154" s="182">
        <f>AVERAGE('Corporate Bond yields'!$AJ$143,'Corporate Bond yields'!$AJ$142)</f>
        <v>5.43</v>
      </c>
      <c r="J154" s="182">
        <f>AVERAGE('Corporate Bond yields'!$AJ$155,'Corporate Bond yields'!$AJ$154)</f>
        <v>4.9350000000000005</v>
      </c>
      <c r="K154" s="182">
        <f>AVERAGE('Corporate Bond yields'!$AJ$167,'Corporate Bond yields'!$AJ$166)</f>
        <v>4.2200000000000006</v>
      </c>
      <c r="L154" s="182">
        <f>AVERAGE('Corporate Bond yields'!$AJ$179,'Corporate Bond yields'!$AJ$178)</f>
        <v>4.66</v>
      </c>
      <c r="M154" s="182">
        <f>AVERAGE('Corporate Bond yields'!$AJ$191,'Corporate Bond yields'!$AJ$189)</f>
        <v>3.0549999999999997</v>
      </c>
      <c r="N154" s="182">
        <f>AVERAGE('Corporate Bond yields'!$AJ$203,'Corporate Bond yields'!$AJ$202)</f>
        <v>2.2949999999999999</v>
      </c>
      <c r="O154" s="182">
        <f>AVERAGE('Corporate Bond yields'!$AJ$215,'Corporate Bond yields'!$AJ$214)</f>
        <v>3.7750000000000004</v>
      </c>
      <c r="P154" s="182">
        <f t="shared" si="69"/>
        <v>3.7750000000000004</v>
      </c>
    </row>
    <row r="155" spans="2:16">
      <c r="B155">
        <v>11</v>
      </c>
      <c r="E155" s="182">
        <f>E154</f>
        <v>7.6850000000000005</v>
      </c>
      <c r="F155" s="182">
        <f t="shared" ref="F155:O155" si="74">F154</f>
        <v>6.4450000000000003</v>
      </c>
      <c r="G155" s="182">
        <f t="shared" si="74"/>
        <v>7.165</v>
      </c>
      <c r="H155" s="182">
        <f t="shared" si="74"/>
        <v>4.99</v>
      </c>
      <c r="I155" s="182">
        <f t="shared" si="74"/>
        <v>5.43</v>
      </c>
      <c r="J155" s="182">
        <f t="shared" si="74"/>
        <v>4.9350000000000005</v>
      </c>
      <c r="K155" s="182">
        <f t="shared" si="74"/>
        <v>4.2200000000000006</v>
      </c>
      <c r="L155" s="182">
        <f t="shared" si="74"/>
        <v>4.66</v>
      </c>
      <c r="M155" s="182">
        <f t="shared" si="74"/>
        <v>3.0549999999999997</v>
      </c>
      <c r="N155" s="182">
        <f t="shared" si="74"/>
        <v>2.2949999999999999</v>
      </c>
      <c r="O155" s="182">
        <f t="shared" si="74"/>
        <v>3.7750000000000004</v>
      </c>
      <c r="P155" s="182">
        <f t="shared" si="69"/>
        <v>3.7750000000000004</v>
      </c>
    </row>
    <row r="156" spans="2:16">
      <c r="B156">
        <v>12</v>
      </c>
      <c r="E156" s="182">
        <f t="shared" ref="E156:O156" si="75">E155</f>
        <v>7.6850000000000005</v>
      </c>
      <c r="F156" s="182">
        <f t="shared" si="75"/>
        <v>6.4450000000000003</v>
      </c>
      <c r="G156" s="182">
        <f t="shared" si="75"/>
        <v>7.165</v>
      </c>
      <c r="H156" s="182">
        <f t="shared" si="75"/>
        <v>4.99</v>
      </c>
      <c r="I156" s="182">
        <f t="shared" si="75"/>
        <v>5.43</v>
      </c>
      <c r="J156" s="182">
        <f t="shared" si="75"/>
        <v>4.9350000000000005</v>
      </c>
      <c r="K156" s="182">
        <f t="shared" si="75"/>
        <v>4.2200000000000006</v>
      </c>
      <c r="L156" s="182">
        <f t="shared" si="75"/>
        <v>4.66</v>
      </c>
      <c r="M156" s="182">
        <f t="shared" si="75"/>
        <v>3.0549999999999997</v>
      </c>
      <c r="N156" s="182">
        <f t="shared" si="75"/>
        <v>2.2949999999999999</v>
      </c>
      <c r="O156" s="182">
        <f t="shared" si="75"/>
        <v>3.7750000000000004</v>
      </c>
      <c r="P156" s="182">
        <f t="shared" si="69"/>
        <v>3.7750000000000004</v>
      </c>
    </row>
    <row r="157" spans="2:16">
      <c r="B157">
        <v>13</v>
      </c>
      <c r="E157" s="182">
        <f t="shared" ref="E157:O157" si="76">E156</f>
        <v>7.6850000000000005</v>
      </c>
      <c r="F157" s="182">
        <f t="shared" si="76"/>
        <v>6.4450000000000003</v>
      </c>
      <c r="G157" s="182">
        <f t="shared" si="76"/>
        <v>7.165</v>
      </c>
      <c r="H157" s="182">
        <f t="shared" si="76"/>
        <v>4.99</v>
      </c>
      <c r="I157" s="182">
        <f t="shared" si="76"/>
        <v>5.43</v>
      </c>
      <c r="J157" s="182">
        <f t="shared" si="76"/>
        <v>4.9350000000000005</v>
      </c>
      <c r="K157" s="182">
        <f t="shared" si="76"/>
        <v>4.2200000000000006</v>
      </c>
      <c r="L157" s="182">
        <f t="shared" si="76"/>
        <v>4.66</v>
      </c>
      <c r="M157" s="182">
        <f t="shared" si="76"/>
        <v>3.0549999999999997</v>
      </c>
      <c r="N157" s="182">
        <f t="shared" si="76"/>
        <v>2.2949999999999999</v>
      </c>
      <c r="O157" s="182">
        <f t="shared" si="76"/>
        <v>3.7750000000000004</v>
      </c>
      <c r="P157" s="182">
        <f t="shared" si="69"/>
        <v>3.7750000000000004</v>
      </c>
    </row>
    <row r="158" spans="2:16">
      <c r="B158">
        <v>14</v>
      </c>
      <c r="E158" s="182">
        <f t="shared" ref="E158:O158" si="77">E157</f>
        <v>7.6850000000000005</v>
      </c>
      <c r="F158" s="182">
        <f t="shared" si="77"/>
        <v>6.4450000000000003</v>
      </c>
      <c r="G158" s="182">
        <f t="shared" si="77"/>
        <v>7.165</v>
      </c>
      <c r="H158" s="182">
        <f t="shared" si="77"/>
        <v>4.99</v>
      </c>
      <c r="I158" s="182">
        <f t="shared" si="77"/>
        <v>5.43</v>
      </c>
      <c r="J158" s="182">
        <f t="shared" si="77"/>
        <v>4.9350000000000005</v>
      </c>
      <c r="K158" s="182">
        <f t="shared" si="77"/>
        <v>4.2200000000000006</v>
      </c>
      <c r="L158" s="182">
        <f t="shared" si="77"/>
        <v>4.66</v>
      </c>
      <c r="M158" s="182">
        <f t="shared" si="77"/>
        <v>3.0549999999999997</v>
      </c>
      <c r="N158" s="182">
        <f t="shared" si="77"/>
        <v>2.2949999999999999</v>
      </c>
      <c r="O158" s="182">
        <f t="shared" si="77"/>
        <v>3.7750000000000004</v>
      </c>
      <c r="P158" s="182">
        <f t="shared" si="69"/>
        <v>3.7750000000000004</v>
      </c>
    </row>
    <row r="159" spans="2:16">
      <c r="B159">
        <v>15</v>
      </c>
      <c r="E159" s="182">
        <f t="shared" ref="E159:O159" si="78">E158</f>
        <v>7.6850000000000005</v>
      </c>
      <c r="F159" s="182">
        <f t="shared" si="78"/>
        <v>6.4450000000000003</v>
      </c>
      <c r="G159" s="182">
        <f t="shared" si="78"/>
        <v>7.165</v>
      </c>
      <c r="H159" s="182">
        <f t="shared" si="78"/>
        <v>4.99</v>
      </c>
      <c r="I159" s="182">
        <f t="shared" si="78"/>
        <v>5.43</v>
      </c>
      <c r="J159" s="182">
        <f t="shared" si="78"/>
        <v>4.9350000000000005</v>
      </c>
      <c r="K159" s="182">
        <f t="shared" si="78"/>
        <v>4.2200000000000006</v>
      </c>
      <c r="L159" s="182">
        <f t="shared" si="78"/>
        <v>4.66</v>
      </c>
      <c r="M159" s="182">
        <f t="shared" si="78"/>
        <v>3.0549999999999997</v>
      </c>
      <c r="N159" s="182">
        <f t="shared" si="78"/>
        <v>2.2949999999999999</v>
      </c>
      <c r="O159" s="182">
        <f t="shared" si="78"/>
        <v>3.7750000000000004</v>
      </c>
      <c r="P159" s="182">
        <f t="shared" si="69"/>
        <v>3.7750000000000004</v>
      </c>
    </row>
    <row r="160" spans="2:16">
      <c r="B160">
        <v>16</v>
      </c>
      <c r="E160" s="182">
        <f t="shared" ref="E160:O160" si="79">E159</f>
        <v>7.6850000000000005</v>
      </c>
      <c r="F160" s="182">
        <f t="shared" si="79"/>
        <v>6.4450000000000003</v>
      </c>
      <c r="G160" s="182">
        <f t="shared" si="79"/>
        <v>7.165</v>
      </c>
      <c r="H160" s="182">
        <f t="shared" si="79"/>
        <v>4.99</v>
      </c>
      <c r="I160" s="182">
        <f t="shared" si="79"/>
        <v>5.43</v>
      </c>
      <c r="J160" s="182">
        <f t="shared" si="79"/>
        <v>4.9350000000000005</v>
      </c>
      <c r="K160" s="182">
        <f t="shared" si="79"/>
        <v>4.2200000000000006</v>
      </c>
      <c r="L160" s="182">
        <f t="shared" si="79"/>
        <v>4.66</v>
      </c>
      <c r="M160" s="182">
        <f t="shared" si="79"/>
        <v>3.0549999999999997</v>
      </c>
      <c r="N160" s="182">
        <f t="shared" si="79"/>
        <v>2.2949999999999999</v>
      </c>
      <c r="O160" s="182">
        <f t="shared" si="79"/>
        <v>3.7750000000000004</v>
      </c>
      <c r="P160" s="182">
        <f t="shared" si="69"/>
        <v>3.7750000000000004</v>
      </c>
    </row>
    <row r="161" spans="2:16">
      <c r="B161">
        <v>17</v>
      </c>
      <c r="E161" s="182">
        <f t="shared" ref="E161:O161" si="80">E160</f>
        <v>7.6850000000000005</v>
      </c>
      <c r="F161" s="182">
        <f t="shared" si="80"/>
        <v>6.4450000000000003</v>
      </c>
      <c r="G161" s="182">
        <f t="shared" si="80"/>
        <v>7.165</v>
      </c>
      <c r="H161" s="182">
        <f t="shared" si="80"/>
        <v>4.99</v>
      </c>
      <c r="I161" s="182">
        <f t="shared" si="80"/>
        <v>5.43</v>
      </c>
      <c r="J161" s="182">
        <f t="shared" si="80"/>
        <v>4.9350000000000005</v>
      </c>
      <c r="K161" s="182">
        <f t="shared" si="80"/>
        <v>4.2200000000000006</v>
      </c>
      <c r="L161" s="182">
        <f t="shared" si="80"/>
        <v>4.66</v>
      </c>
      <c r="M161" s="182">
        <f t="shared" si="80"/>
        <v>3.0549999999999997</v>
      </c>
      <c r="N161" s="182">
        <f t="shared" si="80"/>
        <v>2.2949999999999999</v>
      </c>
      <c r="O161" s="182">
        <f t="shared" si="80"/>
        <v>3.7750000000000004</v>
      </c>
      <c r="P161" s="182">
        <f t="shared" si="69"/>
        <v>3.7750000000000004</v>
      </c>
    </row>
    <row r="162" spans="2:16">
      <c r="B162">
        <v>18</v>
      </c>
      <c r="E162" s="182">
        <f t="shared" ref="E162:O162" si="81">E161</f>
        <v>7.6850000000000005</v>
      </c>
      <c r="F162" s="182">
        <f t="shared" si="81"/>
        <v>6.4450000000000003</v>
      </c>
      <c r="G162" s="182">
        <f t="shared" si="81"/>
        <v>7.165</v>
      </c>
      <c r="H162" s="182">
        <f t="shared" si="81"/>
        <v>4.99</v>
      </c>
      <c r="I162" s="182">
        <f t="shared" si="81"/>
        <v>5.43</v>
      </c>
      <c r="J162" s="182">
        <f t="shared" si="81"/>
        <v>4.9350000000000005</v>
      </c>
      <c r="K162" s="182">
        <f t="shared" si="81"/>
        <v>4.2200000000000006</v>
      </c>
      <c r="L162" s="182">
        <f t="shared" si="81"/>
        <v>4.66</v>
      </c>
      <c r="M162" s="182">
        <f t="shared" si="81"/>
        <v>3.0549999999999997</v>
      </c>
      <c r="N162" s="182">
        <f t="shared" si="81"/>
        <v>2.2949999999999999</v>
      </c>
      <c r="O162" s="182">
        <f t="shared" si="81"/>
        <v>3.7750000000000004</v>
      </c>
      <c r="P162" s="182">
        <f t="shared" si="69"/>
        <v>3.7750000000000004</v>
      </c>
    </row>
    <row r="163" spans="2:16">
      <c r="B163">
        <v>19</v>
      </c>
      <c r="E163" s="182">
        <f t="shared" ref="E163:O163" si="82">E162</f>
        <v>7.6850000000000005</v>
      </c>
      <c r="F163" s="182">
        <f t="shared" si="82"/>
        <v>6.4450000000000003</v>
      </c>
      <c r="G163" s="182">
        <f t="shared" si="82"/>
        <v>7.165</v>
      </c>
      <c r="H163" s="182">
        <f t="shared" si="82"/>
        <v>4.99</v>
      </c>
      <c r="I163" s="182">
        <f t="shared" si="82"/>
        <v>5.43</v>
      </c>
      <c r="J163" s="182">
        <f t="shared" si="82"/>
        <v>4.9350000000000005</v>
      </c>
      <c r="K163" s="182">
        <f t="shared" si="82"/>
        <v>4.2200000000000006</v>
      </c>
      <c r="L163" s="182">
        <f t="shared" si="82"/>
        <v>4.66</v>
      </c>
      <c r="M163" s="182">
        <f t="shared" si="82"/>
        <v>3.0549999999999997</v>
      </c>
      <c r="N163" s="182">
        <f t="shared" si="82"/>
        <v>2.2949999999999999</v>
      </c>
      <c r="O163" s="182">
        <f t="shared" si="82"/>
        <v>3.7750000000000004</v>
      </c>
      <c r="P163" s="182">
        <f t="shared" si="69"/>
        <v>3.7750000000000004</v>
      </c>
    </row>
    <row r="164" spans="2:16">
      <c r="B164">
        <v>20</v>
      </c>
      <c r="E164" s="182">
        <f t="shared" ref="E164:O164" si="83">E163</f>
        <v>7.6850000000000005</v>
      </c>
      <c r="F164" s="182">
        <f t="shared" si="83"/>
        <v>6.4450000000000003</v>
      </c>
      <c r="G164" s="182">
        <f t="shared" si="83"/>
        <v>7.165</v>
      </c>
      <c r="H164" s="182">
        <f t="shared" si="83"/>
        <v>4.99</v>
      </c>
      <c r="I164" s="182">
        <f t="shared" si="83"/>
        <v>5.43</v>
      </c>
      <c r="J164" s="182">
        <f t="shared" si="83"/>
        <v>4.9350000000000005</v>
      </c>
      <c r="K164" s="182">
        <f t="shared" si="83"/>
        <v>4.2200000000000006</v>
      </c>
      <c r="L164" s="182">
        <f t="shared" si="83"/>
        <v>4.66</v>
      </c>
      <c r="M164" s="182">
        <f t="shared" si="83"/>
        <v>3.0549999999999997</v>
      </c>
      <c r="N164" s="182">
        <f t="shared" si="83"/>
        <v>2.2949999999999999</v>
      </c>
      <c r="O164" s="182">
        <f t="shared" si="83"/>
        <v>3.7750000000000004</v>
      </c>
      <c r="P164" s="182">
        <f t="shared" si="69"/>
        <v>3.7750000000000004</v>
      </c>
    </row>
    <row r="165" spans="2:16">
      <c r="B165">
        <v>21</v>
      </c>
      <c r="E165" s="182">
        <f t="shared" ref="E165:O165" si="84">E164</f>
        <v>7.6850000000000005</v>
      </c>
      <c r="F165" s="182">
        <f t="shared" si="84"/>
        <v>6.4450000000000003</v>
      </c>
      <c r="G165" s="182">
        <f t="shared" si="84"/>
        <v>7.165</v>
      </c>
      <c r="H165" s="182">
        <f t="shared" si="84"/>
        <v>4.99</v>
      </c>
      <c r="I165" s="182">
        <f t="shared" si="84"/>
        <v>5.43</v>
      </c>
      <c r="J165" s="182">
        <f t="shared" si="84"/>
        <v>4.9350000000000005</v>
      </c>
      <c r="K165" s="182">
        <f t="shared" si="84"/>
        <v>4.2200000000000006</v>
      </c>
      <c r="L165" s="182">
        <f t="shared" si="84"/>
        <v>4.66</v>
      </c>
      <c r="M165" s="182">
        <f t="shared" si="84"/>
        <v>3.0549999999999997</v>
      </c>
      <c r="N165" s="182">
        <f t="shared" si="84"/>
        <v>2.2949999999999999</v>
      </c>
      <c r="O165" s="182">
        <f t="shared" si="84"/>
        <v>3.7750000000000004</v>
      </c>
      <c r="P165" s="182">
        <f t="shared" si="69"/>
        <v>3.7750000000000004</v>
      </c>
    </row>
    <row r="166" spans="2:16">
      <c r="B166">
        <v>22</v>
      </c>
      <c r="E166" s="182">
        <f t="shared" ref="E166:O166" si="85">E165</f>
        <v>7.6850000000000005</v>
      </c>
      <c r="F166" s="182">
        <f t="shared" si="85"/>
        <v>6.4450000000000003</v>
      </c>
      <c r="G166" s="182">
        <f t="shared" si="85"/>
        <v>7.165</v>
      </c>
      <c r="H166" s="182">
        <f t="shared" si="85"/>
        <v>4.99</v>
      </c>
      <c r="I166" s="182">
        <f t="shared" si="85"/>
        <v>5.43</v>
      </c>
      <c r="J166" s="182">
        <f t="shared" si="85"/>
        <v>4.9350000000000005</v>
      </c>
      <c r="K166" s="182">
        <f t="shared" si="85"/>
        <v>4.2200000000000006</v>
      </c>
      <c r="L166" s="182">
        <f t="shared" si="85"/>
        <v>4.66</v>
      </c>
      <c r="M166" s="182">
        <f t="shared" si="85"/>
        <v>3.0549999999999997</v>
      </c>
      <c r="N166" s="182">
        <f t="shared" si="85"/>
        <v>2.2949999999999999</v>
      </c>
      <c r="O166" s="182">
        <f t="shared" si="85"/>
        <v>3.7750000000000004</v>
      </c>
      <c r="P166" s="182">
        <f t="shared" si="69"/>
        <v>3.7750000000000004</v>
      </c>
    </row>
    <row r="167" spans="2:16">
      <c r="B167">
        <v>23</v>
      </c>
      <c r="E167" s="182">
        <f t="shared" ref="E167:O167" si="86">E166</f>
        <v>7.6850000000000005</v>
      </c>
      <c r="F167" s="182">
        <f t="shared" si="86"/>
        <v>6.4450000000000003</v>
      </c>
      <c r="G167" s="182">
        <f t="shared" si="86"/>
        <v>7.165</v>
      </c>
      <c r="H167" s="182">
        <f t="shared" si="86"/>
        <v>4.99</v>
      </c>
      <c r="I167" s="182">
        <f t="shared" si="86"/>
        <v>5.43</v>
      </c>
      <c r="J167" s="182">
        <f t="shared" si="86"/>
        <v>4.9350000000000005</v>
      </c>
      <c r="K167" s="182">
        <f t="shared" si="86"/>
        <v>4.2200000000000006</v>
      </c>
      <c r="L167" s="182">
        <f t="shared" si="86"/>
        <v>4.66</v>
      </c>
      <c r="M167" s="182">
        <f t="shared" si="86"/>
        <v>3.0549999999999997</v>
      </c>
      <c r="N167" s="182">
        <f t="shared" si="86"/>
        <v>2.2949999999999999</v>
      </c>
      <c r="O167" s="182">
        <f t="shared" si="86"/>
        <v>3.7750000000000004</v>
      </c>
      <c r="P167" s="182">
        <f t="shared" si="69"/>
        <v>3.7750000000000004</v>
      </c>
    </row>
    <row r="168" spans="2:16">
      <c r="B168">
        <v>24</v>
      </c>
      <c r="E168" s="182">
        <f t="shared" ref="E168:O168" si="87">E167</f>
        <v>7.6850000000000005</v>
      </c>
      <c r="F168" s="182">
        <f t="shared" si="87"/>
        <v>6.4450000000000003</v>
      </c>
      <c r="G168" s="182">
        <f t="shared" si="87"/>
        <v>7.165</v>
      </c>
      <c r="H168" s="182">
        <f t="shared" si="87"/>
        <v>4.99</v>
      </c>
      <c r="I168" s="182">
        <f t="shared" si="87"/>
        <v>5.43</v>
      </c>
      <c r="J168" s="182">
        <f t="shared" si="87"/>
        <v>4.9350000000000005</v>
      </c>
      <c r="K168" s="182">
        <f t="shared" si="87"/>
        <v>4.2200000000000006</v>
      </c>
      <c r="L168" s="182">
        <f t="shared" si="87"/>
        <v>4.66</v>
      </c>
      <c r="M168" s="182">
        <f t="shared" si="87"/>
        <v>3.0549999999999997</v>
      </c>
      <c r="N168" s="182">
        <f t="shared" si="87"/>
        <v>2.2949999999999999</v>
      </c>
      <c r="O168" s="182">
        <f t="shared" si="87"/>
        <v>3.7750000000000004</v>
      </c>
      <c r="P168" s="182">
        <f t="shared" si="69"/>
        <v>3.7750000000000004</v>
      </c>
    </row>
    <row r="169" spans="2:16">
      <c r="B169">
        <v>25</v>
      </c>
      <c r="E169" s="182">
        <f t="shared" ref="E169:O169" si="88">E168</f>
        <v>7.6850000000000005</v>
      </c>
      <c r="F169" s="182">
        <f t="shared" si="88"/>
        <v>6.4450000000000003</v>
      </c>
      <c r="G169" s="182">
        <f t="shared" si="88"/>
        <v>7.165</v>
      </c>
      <c r="H169" s="182">
        <f t="shared" si="88"/>
        <v>4.99</v>
      </c>
      <c r="I169" s="182">
        <f t="shared" si="88"/>
        <v>5.43</v>
      </c>
      <c r="J169" s="182">
        <f t="shared" si="88"/>
        <v>4.9350000000000005</v>
      </c>
      <c r="K169" s="182">
        <f t="shared" si="88"/>
        <v>4.2200000000000006</v>
      </c>
      <c r="L169" s="182">
        <f t="shared" si="88"/>
        <v>4.66</v>
      </c>
      <c r="M169" s="182">
        <f t="shared" si="88"/>
        <v>3.0549999999999997</v>
      </c>
      <c r="N169" s="182">
        <f t="shared" si="88"/>
        <v>2.2949999999999999</v>
      </c>
      <c r="O169" s="182">
        <f t="shared" si="88"/>
        <v>3.7750000000000004</v>
      </c>
      <c r="P169" s="182">
        <f t="shared" si="69"/>
        <v>3.7750000000000004</v>
      </c>
    </row>
    <row r="170" spans="2:16">
      <c r="B170">
        <v>26</v>
      </c>
      <c r="E170" s="182">
        <f t="shared" ref="E170:O170" si="89">E169</f>
        <v>7.6850000000000005</v>
      </c>
      <c r="F170" s="182">
        <f t="shared" si="89"/>
        <v>6.4450000000000003</v>
      </c>
      <c r="G170" s="182">
        <f t="shared" si="89"/>
        <v>7.165</v>
      </c>
      <c r="H170" s="182">
        <f t="shared" si="89"/>
        <v>4.99</v>
      </c>
      <c r="I170" s="182">
        <f t="shared" si="89"/>
        <v>5.43</v>
      </c>
      <c r="J170" s="182">
        <f t="shared" si="89"/>
        <v>4.9350000000000005</v>
      </c>
      <c r="K170" s="182">
        <f t="shared" si="89"/>
        <v>4.2200000000000006</v>
      </c>
      <c r="L170" s="182">
        <f t="shared" si="89"/>
        <v>4.66</v>
      </c>
      <c r="M170" s="182">
        <f t="shared" si="89"/>
        <v>3.0549999999999997</v>
      </c>
      <c r="N170" s="182">
        <f t="shared" si="89"/>
        <v>2.2949999999999999</v>
      </c>
      <c r="O170" s="182">
        <f t="shared" si="89"/>
        <v>3.7750000000000004</v>
      </c>
      <c r="P170" s="182">
        <f t="shared" si="69"/>
        <v>3.7750000000000004</v>
      </c>
    </row>
    <row r="171" spans="2:16">
      <c r="B171">
        <v>27</v>
      </c>
      <c r="E171" s="182">
        <f t="shared" ref="E171:O171" si="90">E170</f>
        <v>7.6850000000000005</v>
      </c>
      <c r="F171" s="182">
        <f t="shared" si="90"/>
        <v>6.4450000000000003</v>
      </c>
      <c r="G171" s="182">
        <f t="shared" si="90"/>
        <v>7.165</v>
      </c>
      <c r="H171" s="182">
        <f t="shared" si="90"/>
        <v>4.99</v>
      </c>
      <c r="I171" s="182">
        <f t="shared" si="90"/>
        <v>5.43</v>
      </c>
      <c r="J171" s="182">
        <f t="shared" si="90"/>
        <v>4.9350000000000005</v>
      </c>
      <c r="K171" s="182">
        <f t="shared" si="90"/>
        <v>4.2200000000000006</v>
      </c>
      <c r="L171" s="182">
        <f t="shared" si="90"/>
        <v>4.66</v>
      </c>
      <c r="M171" s="182">
        <f t="shared" si="90"/>
        <v>3.0549999999999997</v>
      </c>
      <c r="N171" s="182">
        <f t="shared" si="90"/>
        <v>2.2949999999999999</v>
      </c>
      <c r="O171" s="182">
        <f t="shared" si="90"/>
        <v>3.7750000000000004</v>
      </c>
      <c r="P171" s="182">
        <f t="shared" si="69"/>
        <v>3.7750000000000004</v>
      </c>
    </row>
    <row r="172" spans="2:16">
      <c r="B172">
        <v>28</v>
      </c>
      <c r="E172" s="182">
        <f t="shared" ref="E172:O172" si="91">E171</f>
        <v>7.6850000000000005</v>
      </c>
      <c r="F172" s="182">
        <f t="shared" si="91"/>
        <v>6.4450000000000003</v>
      </c>
      <c r="G172" s="182">
        <f t="shared" si="91"/>
        <v>7.165</v>
      </c>
      <c r="H172" s="182">
        <f t="shared" si="91"/>
        <v>4.99</v>
      </c>
      <c r="I172" s="182">
        <f t="shared" si="91"/>
        <v>5.43</v>
      </c>
      <c r="J172" s="182">
        <f t="shared" si="91"/>
        <v>4.9350000000000005</v>
      </c>
      <c r="K172" s="182">
        <f t="shared" si="91"/>
        <v>4.2200000000000006</v>
      </c>
      <c r="L172" s="182">
        <f t="shared" si="91"/>
        <v>4.66</v>
      </c>
      <c r="M172" s="182">
        <f t="shared" si="91"/>
        <v>3.0549999999999997</v>
      </c>
      <c r="N172" s="182">
        <f t="shared" si="91"/>
        <v>2.2949999999999999</v>
      </c>
      <c r="O172" s="182">
        <f t="shared" si="91"/>
        <v>3.7750000000000004</v>
      </c>
      <c r="P172" s="182">
        <f t="shared" si="69"/>
        <v>3.7750000000000004</v>
      </c>
    </row>
    <row r="173" spans="2:16">
      <c r="B173">
        <v>29</v>
      </c>
      <c r="E173" s="182">
        <f t="shared" ref="E173:O173" si="92">E172</f>
        <v>7.6850000000000005</v>
      </c>
      <c r="F173" s="182">
        <f t="shared" si="92"/>
        <v>6.4450000000000003</v>
      </c>
      <c r="G173" s="182">
        <f t="shared" si="92"/>
        <v>7.165</v>
      </c>
      <c r="H173" s="182">
        <f t="shared" si="92"/>
        <v>4.99</v>
      </c>
      <c r="I173" s="182">
        <f t="shared" si="92"/>
        <v>5.43</v>
      </c>
      <c r="J173" s="182">
        <f t="shared" si="92"/>
        <v>4.9350000000000005</v>
      </c>
      <c r="K173" s="182">
        <f t="shared" si="92"/>
        <v>4.2200000000000006</v>
      </c>
      <c r="L173" s="182">
        <f t="shared" si="92"/>
        <v>4.66</v>
      </c>
      <c r="M173" s="182">
        <f t="shared" si="92"/>
        <v>3.0549999999999997</v>
      </c>
      <c r="N173" s="182">
        <f t="shared" si="92"/>
        <v>2.2949999999999999</v>
      </c>
      <c r="O173" s="182">
        <f t="shared" si="92"/>
        <v>3.7750000000000004</v>
      </c>
      <c r="P173" s="182">
        <f t="shared" si="69"/>
        <v>3.7750000000000004</v>
      </c>
    </row>
    <row r="174" spans="2:16">
      <c r="B174">
        <v>30</v>
      </c>
      <c r="E174" s="182">
        <f t="shared" ref="E174:O174" si="93">E173</f>
        <v>7.6850000000000005</v>
      </c>
      <c r="F174" s="182">
        <f t="shared" si="93"/>
        <v>6.4450000000000003</v>
      </c>
      <c r="G174" s="182">
        <f t="shared" si="93"/>
        <v>7.165</v>
      </c>
      <c r="H174" s="182">
        <f t="shared" si="93"/>
        <v>4.99</v>
      </c>
      <c r="I174" s="182">
        <f t="shared" si="93"/>
        <v>5.43</v>
      </c>
      <c r="J174" s="182">
        <f t="shared" si="93"/>
        <v>4.9350000000000005</v>
      </c>
      <c r="K174" s="182">
        <f t="shared" si="93"/>
        <v>4.2200000000000006</v>
      </c>
      <c r="L174" s="182">
        <f t="shared" si="93"/>
        <v>4.66</v>
      </c>
      <c r="M174" s="182">
        <f t="shared" si="93"/>
        <v>3.0549999999999997</v>
      </c>
      <c r="N174" s="182">
        <f t="shared" si="93"/>
        <v>2.2949999999999999</v>
      </c>
      <c r="O174" s="182">
        <f t="shared" si="93"/>
        <v>3.7750000000000004</v>
      </c>
      <c r="P174" s="182">
        <f t="shared" si="69"/>
        <v>3.7750000000000004</v>
      </c>
    </row>
    <row r="175" spans="2:16">
      <c r="B175">
        <v>31</v>
      </c>
      <c r="E175" s="182">
        <f t="shared" ref="E175:O175" si="94">E174</f>
        <v>7.6850000000000005</v>
      </c>
      <c r="F175" s="182">
        <f t="shared" si="94"/>
        <v>6.4450000000000003</v>
      </c>
      <c r="G175" s="182">
        <f t="shared" si="94"/>
        <v>7.165</v>
      </c>
      <c r="H175" s="182">
        <f t="shared" si="94"/>
        <v>4.99</v>
      </c>
      <c r="I175" s="182">
        <f t="shared" si="94"/>
        <v>5.43</v>
      </c>
      <c r="J175" s="182">
        <f t="shared" si="94"/>
        <v>4.9350000000000005</v>
      </c>
      <c r="K175" s="182">
        <f t="shared" si="94"/>
        <v>4.2200000000000006</v>
      </c>
      <c r="L175" s="182">
        <f t="shared" si="94"/>
        <v>4.66</v>
      </c>
      <c r="M175" s="182">
        <f t="shared" si="94"/>
        <v>3.0549999999999997</v>
      </c>
      <c r="N175" s="182">
        <f t="shared" si="94"/>
        <v>2.2949999999999999</v>
      </c>
      <c r="O175" s="182">
        <f t="shared" si="94"/>
        <v>3.7750000000000004</v>
      </c>
      <c r="P175" s="182">
        <f t="shared" si="69"/>
        <v>3.7750000000000004</v>
      </c>
    </row>
    <row r="176" spans="2:16">
      <c r="B176">
        <v>32</v>
      </c>
      <c r="E176" s="182">
        <f t="shared" ref="E176:O176" si="95">E175</f>
        <v>7.6850000000000005</v>
      </c>
      <c r="F176" s="182">
        <f t="shared" si="95"/>
        <v>6.4450000000000003</v>
      </c>
      <c r="G176" s="182">
        <f t="shared" si="95"/>
        <v>7.165</v>
      </c>
      <c r="H176" s="182">
        <f t="shared" si="95"/>
        <v>4.99</v>
      </c>
      <c r="I176" s="182">
        <f t="shared" si="95"/>
        <v>5.43</v>
      </c>
      <c r="J176" s="182">
        <f t="shared" si="95"/>
        <v>4.9350000000000005</v>
      </c>
      <c r="K176" s="182">
        <f t="shared" si="95"/>
        <v>4.2200000000000006</v>
      </c>
      <c r="L176" s="182">
        <f t="shared" si="95"/>
        <v>4.66</v>
      </c>
      <c r="M176" s="182">
        <f t="shared" si="95"/>
        <v>3.0549999999999997</v>
      </c>
      <c r="N176" s="182">
        <f t="shared" si="95"/>
        <v>2.2949999999999999</v>
      </c>
      <c r="O176" s="182">
        <f t="shared" si="95"/>
        <v>3.7750000000000004</v>
      </c>
      <c r="P176" s="182">
        <f t="shared" si="69"/>
        <v>3.7750000000000004</v>
      </c>
    </row>
    <row r="177" spans="2:16">
      <c r="B177">
        <v>33</v>
      </c>
      <c r="E177" s="182">
        <f t="shared" ref="E177:O177" si="96">E176</f>
        <v>7.6850000000000005</v>
      </c>
      <c r="F177" s="182">
        <f t="shared" si="96"/>
        <v>6.4450000000000003</v>
      </c>
      <c r="G177" s="182">
        <f t="shared" si="96"/>
        <v>7.165</v>
      </c>
      <c r="H177" s="182">
        <f t="shared" si="96"/>
        <v>4.99</v>
      </c>
      <c r="I177" s="182">
        <f t="shared" si="96"/>
        <v>5.43</v>
      </c>
      <c r="J177" s="182">
        <f t="shared" si="96"/>
        <v>4.9350000000000005</v>
      </c>
      <c r="K177" s="182">
        <f t="shared" si="96"/>
        <v>4.2200000000000006</v>
      </c>
      <c r="L177" s="182">
        <f t="shared" si="96"/>
        <v>4.66</v>
      </c>
      <c r="M177" s="182">
        <f t="shared" si="96"/>
        <v>3.0549999999999997</v>
      </c>
      <c r="N177" s="182">
        <f t="shared" si="96"/>
        <v>2.2949999999999999</v>
      </c>
      <c r="O177" s="182">
        <f t="shared" si="96"/>
        <v>3.7750000000000004</v>
      </c>
      <c r="P177" s="182">
        <f t="shared" si="69"/>
        <v>3.7750000000000004</v>
      </c>
    </row>
    <row r="178" spans="2:16">
      <c r="B178">
        <v>34</v>
      </c>
      <c r="E178" s="182">
        <f t="shared" ref="E178:O178" si="97">E177</f>
        <v>7.6850000000000005</v>
      </c>
      <c r="F178" s="182">
        <f t="shared" si="97"/>
        <v>6.4450000000000003</v>
      </c>
      <c r="G178" s="182">
        <f t="shared" si="97"/>
        <v>7.165</v>
      </c>
      <c r="H178" s="182">
        <f t="shared" si="97"/>
        <v>4.99</v>
      </c>
      <c r="I178" s="182">
        <f t="shared" si="97"/>
        <v>5.43</v>
      </c>
      <c r="J178" s="182">
        <f t="shared" si="97"/>
        <v>4.9350000000000005</v>
      </c>
      <c r="K178" s="182">
        <f t="shared" si="97"/>
        <v>4.2200000000000006</v>
      </c>
      <c r="L178" s="182">
        <f t="shared" si="97"/>
        <v>4.66</v>
      </c>
      <c r="M178" s="182">
        <f t="shared" si="97"/>
        <v>3.0549999999999997</v>
      </c>
      <c r="N178" s="182">
        <f t="shared" si="97"/>
        <v>2.2949999999999999</v>
      </c>
      <c r="O178" s="182">
        <f t="shared" si="97"/>
        <v>3.7750000000000004</v>
      </c>
      <c r="P178" s="182">
        <f t="shared" si="69"/>
        <v>3.7750000000000004</v>
      </c>
    </row>
    <row r="179" spans="2:16">
      <c r="B179">
        <v>35</v>
      </c>
      <c r="E179" s="182">
        <f t="shared" ref="E179:O179" si="98">E178</f>
        <v>7.6850000000000005</v>
      </c>
      <c r="F179" s="182">
        <f t="shared" si="98"/>
        <v>6.4450000000000003</v>
      </c>
      <c r="G179" s="182">
        <f t="shared" si="98"/>
        <v>7.165</v>
      </c>
      <c r="H179" s="182">
        <f t="shared" si="98"/>
        <v>4.99</v>
      </c>
      <c r="I179" s="182">
        <f t="shared" si="98"/>
        <v>5.43</v>
      </c>
      <c r="J179" s="182">
        <f t="shared" si="98"/>
        <v>4.9350000000000005</v>
      </c>
      <c r="K179" s="182">
        <f t="shared" si="98"/>
        <v>4.2200000000000006</v>
      </c>
      <c r="L179" s="182">
        <f t="shared" si="98"/>
        <v>4.66</v>
      </c>
      <c r="M179" s="182">
        <f t="shared" si="98"/>
        <v>3.0549999999999997</v>
      </c>
      <c r="N179" s="182">
        <f t="shared" si="98"/>
        <v>2.2949999999999999</v>
      </c>
      <c r="O179" s="182">
        <f t="shared" si="98"/>
        <v>3.7750000000000004</v>
      </c>
      <c r="P179" s="182">
        <f t="shared" si="69"/>
        <v>3.7750000000000004</v>
      </c>
    </row>
    <row r="180" spans="2:16">
      <c r="B180">
        <v>36</v>
      </c>
      <c r="E180" s="182">
        <f t="shared" ref="E180:O180" si="99">E179</f>
        <v>7.6850000000000005</v>
      </c>
      <c r="F180" s="182">
        <f t="shared" si="99"/>
        <v>6.4450000000000003</v>
      </c>
      <c r="G180" s="182">
        <f t="shared" si="99"/>
        <v>7.165</v>
      </c>
      <c r="H180" s="182">
        <f t="shared" si="99"/>
        <v>4.99</v>
      </c>
      <c r="I180" s="182">
        <f t="shared" si="99"/>
        <v>5.43</v>
      </c>
      <c r="J180" s="182">
        <f t="shared" si="99"/>
        <v>4.9350000000000005</v>
      </c>
      <c r="K180" s="182">
        <f t="shared" si="99"/>
        <v>4.2200000000000006</v>
      </c>
      <c r="L180" s="182">
        <f t="shared" si="99"/>
        <v>4.66</v>
      </c>
      <c r="M180" s="182">
        <f t="shared" si="99"/>
        <v>3.0549999999999997</v>
      </c>
      <c r="N180" s="182">
        <f t="shared" si="99"/>
        <v>2.2949999999999999</v>
      </c>
      <c r="O180" s="182">
        <f t="shared" si="99"/>
        <v>3.7750000000000004</v>
      </c>
      <c r="P180" s="182">
        <f t="shared" si="69"/>
        <v>3.7750000000000004</v>
      </c>
    </row>
    <row r="181" spans="2:16">
      <c r="B181">
        <v>37</v>
      </c>
      <c r="E181" s="182">
        <f t="shared" ref="E181:O181" si="100">E180</f>
        <v>7.6850000000000005</v>
      </c>
      <c r="F181" s="182">
        <f t="shared" si="100"/>
        <v>6.4450000000000003</v>
      </c>
      <c r="G181" s="182">
        <f t="shared" si="100"/>
        <v>7.165</v>
      </c>
      <c r="H181" s="182">
        <f t="shared" si="100"/>
        <v>4.99</v>
      </c>
      <c r="I181" s="182">
        <f t="shared" si="100"/>
        <v>5.43</v>
      </c>
      <c r="J181" s="182">
        <f t="shared" si="100"/>
        <v>4.9350000000000005</v>
      </c>
      <c r="K181" s="182">
        <f t="shared" si="100"/>
        <v>4.2200000000000006</v>
      </c>
      <c r="L181" s="182">
        <f t="shared" si="100"/>
        <v>4.66</v>
      </c>
      <c r="M181" s="182">
        <f t="shared" si="100"/>
        <v>3.0549999999999997</v>
      </c>
      <c r="N181" s="182">
        <f t="shared" si="100"/>
        <v>2.2949999999999999</v>
      </c>
      <c r="O181" s="182">
        <f t="shared" si="100"/>
        <v>3.7750000000000004</v>
      </c>
      <c r="P181" s="182">
        <f t="shared" si="69"/>
        <v>3.7750000000000004</v>
      </c>
    </row>
    <row r="182" spans="2:16">
      <c r="B182">
        <v>38</v>
      </c>
      <c r="E182" s="182">
        <f t="shared" ref="E182:O182" si="101">E181</f>
        <v>7.6850000000000005</v>
      </c>
      <c r="F182" s="182">
        <f t="shared" si="101"/>
        <v>6.4450000000000003</v>
      </c>
      <c r="G182" s="182">
        <f t="shared" si="101"/>
        <v>7.165</v>
      </c>
      <c r="H182" s="182">
        <f t="shared" si="101"/>
        <v>4.99</v>
      </c>
      <c r="I182" s="182">
        <f t="shared" si="101"/>
        <v>5.43</v>
      </c>
      <c r="J182" s="182">
        <f t="shared" si="101"/>
        <v>4.9350000000000005</v>
      </c>
      <c r="K182" s="182">
        <f t="shared" si="101"/>
        <v>4.2200000000000006</v>
      </c>
      <c r="L182" s="182">
        <f t="shared" si="101"/>
        <v>4.66</v>
      </c>
      <c r="M182" s="182">
        <f t="shared" si="101"/>
        <v>3.0549999999999997</v>
      </c>
      <c r="N182" s="182">
        <f t="shared" si="101"/>
        <v>2.2949999999999999</v>
      </c>
      <c r="O182" s="182">
        <f t="shared" si="101"/>
        <v>3.7750000000000004</v>
      </c>
      <c r="P182" s="182">
        <f t="shared" si="69"/>
        <v>3.7750000000000004</v>
      </c>
    </row>
    <row r="183" spans="2:16">
      <c r="B183">
        <v>39</v>
      </c>
      <c r="E183" s="182">
        <f t="shared" ref="E183:O183" si="102">E182</f>
        <v>7.6850000000000005</v>
      </c>
      <c r="F183" s="182">
        <f t="shared" si="102"/>
        <v>6.4450000000000003</v>
      </c>
      <c r="G183" s="182">
        <f t="shared" si="102"/>
        <v>7.165</v>
      </c>
      <c r="H183" s="182">
        <f t="shared" si="102"/>
        <v>4.99</v>
      </c>
      <c r="I183" s="182">
        <f t="shared" si="102"/>
        <v>5.43</v>
      </c>
      <c r="J183" s="182">
        <f t="shared" si="102"/>
        <v>4.9350000000000005</v>
      </c>
      <c r="K183" s="182">
        <f t="shared" si="102"/>
        <v>4.2200000000000006</v>
      </c>
      <c r="L183" s="182">
        <f t="shared" si="102"/>
        <v>4.66</v>
      </c>
      <c r="M183" s="182">
        <f t="shared" si="102"/>
        <v>3.0549999999999997</v>
      </c>
      <c r="N183" s="182">
        <f t="shared" si="102"/>
        <v>2.2949999999999999</v>
      </c>
      <c r="O183" s="182">
        <f t="shared" si="102"/>
        <v>3.7750000000000004</v>
      </c>
      <c r="P183" s="182">
        <f t="shared" si="69"/>
        <v>3.7750000000000004</v>
      </c>
    </row>
    <row r="184" spans="2:16">
      <c r="B184">
        <v>40</v>
      </c>
      <c r="E184" s="182">
        <f t="shared" ref="E184:O184" si="103">E183</f>
        <v>7.6850000000000005</v>
      </c>
      <c r="F184" s="182">
        <f t="shared" si="103"/>
        <v>6.4450000000000003</v>
      </c>
      <c r="G184" s="182">
        <f t="shared" si="103"/>
        <v>7.165</v>
      </c>
      <c r="H184" s="182">
        <f t="shared" si="103"/>
        <v>4.99</v>
      </c>
      <c r="I184" s="182">
        <f t="shared" si="103"/>
        <v>5.43</v>
      </c>
      <c r="J184" s="182">
        <f t="shared" si="103"/>
        <v>4.9350000000000005</v>
      </c>
      <c r="K184" s="182">
        <f t="shared" si="103"/>
        <v>4.2200000000000006</v>
      </c>
      <c r="L184" s="182">
        <f t="shared" si="103"/>
        <v>4.66</v>
      </c>
      <c r="M184" s="182">
        <f t="shared" si="103"/>
        <v>3.0549999999999997</v>
      </c>
      <c r="N184" s="182">
        <f t="shared" si="103"/>
        <v>2.2949999999999999</v>
      </c>
      <c r="O184" s="182">
        <f t="shared" si="103"/>
        <v>3.7750000000000004</v>
      </c>
      <c r="P184" s="182">
        <f t="shared" si="69"/>
        <v>3.7750000000000004</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35AB66-766A-4E1E-BA68-D2E876C57411}">
  <sheetPr codeName="Sheet10">
    <tabColor theme="3"/>
  </sheetPr>
  <dimension ref="A1"/>
  <sheetViews>
    <sheetView workbookViewId="0">
      <selection activeCell="H26" sqref="H26"/>
    </sheetView>
  </sheetViews>
  <sheetFormatPr defaultRowHeight="14.25"/>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7C4D06-E5AE-4C29-B192-3F95E33018E9}">
  <sheetPr>
    <tabColor theme="3"/>
  </sheetPr>
  <dimension ref="A1"/>
  <sheetViews>
    <sheetView workbookViewId="0">
      <selection activeCell="G31" sqref="G31"/>
    </sheetView>
  </sheetViews>
  <sheetFormatPr defaultRowHeight="14.25"/>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E06B66-606B-4A59-BD4B-C8253C455033}">
  <sheetPr>
    <tabColor theme="0" tint="-0.249977111117893"/>
  </sheetPr>
  <dimension ref="A1:AD66"/>
  <sheetViews>
    <sheetView workbookViewId="0">
      <selection activeCell="F20" sqref="F20"/>
    </sheetView>
  </sheetViews>
  <sheetFormatPr defaultRowHeight="14.25"/>
  <cols>
    <col min="3" max="3" width="18.08203125" customWidth="1"/>
    <col min="4" max="4" width="23.08203125" customWidth="1"/>
    <col min="5" max="5" width="11.33203125" customWidth="1"/>
    <col min="6" max="6" width="11.5" customWidth="1"/>
    <col min="11" max="11" width="13.58203125" customWidth="1"/>
  </cols>
  <sheetData>
    <row r="1" spans="1:30" ht="14.75">
      <c r="A1" s="208" t="s">
        <v>385</v>
      </c>
      <c r="B1" s="208"/>
      <c r="C1" s="208"/>
      <c r="D1" s="208"/>
      <c r="E1" s="208"/>
      <c r="F1" s="208"/>
      <c r="G1" s="208"/>
      <c r="H1" s="208"/>
      <c r="I1" s="208"/>
      <c r="J1" s="208"/>
      <c r="K1" s="208"/>
      <c r="L1" s="208"/>
      <c r="M1" s="208"/>
      <c r="N1" s="208"/>
      <c r="O1" s="208"/>
      <c r="P1" s="208"/>
      <c r="Q1" s="208"/>
      <c r="R1" s="208"/>
      <c r="S1" s="208"/>
      <c r="T1" s="208"/>
      <c r="U1" s="208"/>
      <c r="V1" s="208"/>
      <c r="W1" s="208"/>
      <c r="X1" s="208"/>
      <c r="Y1" s="208"/>
      <c r="Z1" s="208"/>
      <c r="AA1" s="208"/>
      <c r="AB1" s="208"/>
      <c r="AC1" s="208"/>
      <c r="AD1" s="208"/>
    </row>
    <row r="3" spans="1:30">
      <c r="A3" t="s">
        <v>386</v>
      </c>
    </row>
    <row r="4" spans="1:30">
      <c r="A4" t="s">
        <v>387</v>
      </c>
    </row>
    <row r="6" spans="1:30" ht="15.5" thickBot="1">
      <c r="A6" s="209" t="s">
        <v>388</v>
      </c>
      <c r="B6" s="209"/>
    </row>
    <row r="7" spans="1:30" ht="15" thickTop="1">
      <c r="A7" t="s">
        <v>388</v>
      </c>
      <c r="B7" t="s">
        <v>389</v>
      </c>
    </row>
    <row r="8" spans="1:30">
      <c r="A8" t="s">
        <v>390</v>
      </c>
      <c r="B8" t="s">
        <v>391</v>
      </c>
    </row>
    <row r="9" spans="1:30">
      <c r="A9" t="s">
        <v>392</v>
      </c>
      <c r="B9" t="s">
        <v>393</v>
      </c>
    </row>
    <row r="11" spans="1:30" ht="15.5" thickBot="1">
      <c r="A11" s="209" t="s">
        <v>386</v>
      </c>
      <c r="B11" s="209"/>
      <c r="C11" s="209"/>
      <c r="D11" s="209"/>
    </row>
    <row r="12" spans="1:30" ht="15.5" thickTop="1">
      <c r="A12" s="105" t="s">
        <v>394</v>
      </c>
      <c r="B12" s="106" t="s">
        <v>395</v>
      </c>
      <c r="C12" s="106" t="s">
        <v>396</v>
      </c>
      <c r="D12" s="106" t="s">
        <v>397</v>
      </c>
    </row>
    <row r="13" spans="1:30">
      <c r="A13" t="s">
        <v>398</v>
      </c>
      <c r="B13" s="107">
        <v>9</v>
      </c>
      <c r="C13" s="107">
        <v>2190000000</v>
      </c>
      <c r="D13" s="107">
        <v>2190000000</v>
      </c>
    </row>
    <row r="14" spans="1:30">
      <c r="A14" t="s">
        <v>399</v>
      </c>
      <c r="B14" s="107">
        <v>0</v>
      </c>
      <c r="C14" s="107">
        <v>0</v>
      </c>
      <c r="D14" s="107">
        <v>0</v>
      </c>
    </row>
    <row r="15" spans="1:30">
      <c r="A15" t="s">
        <v>400</v>
      </c>
      <c r="B15" s="107">
        <v>0</v>
      </c>
      <c r="C15" s="107">
        <v>0</v>
      </c>
      <c r="D15" s="107">
        <v>0</v>
      </c>
    </row>
    <row r="16" spans="1:30">
      <c r="A16" t="s">
        <v>401</v>
      </c>
      <c r="B16" s="107">
        <v>0</v>
      </c>
      <c r="C16" s="107">
        <v>0</v>
      </c>
      <c r="D16" s="107">
        <v>0</v>
      </c>
    </row>
    <row r="17" spans="1:30">
      <c r="A17" t="s">
        <v>272</v>
      </c>
      <c r="B17" s="107">
        <v>13</v>
      </c>
      <c r="C17" s="107" t="str">
        <f>"0"</f>
        <v>0</v>
      </c>
      <c r="D17" s="107">
        <v>2653806856.0757599</v>
      </c>
    </row>
    <row r="18" spans="1:30" ht="15" thickBot="1">
      <c r="A18" s="108" t="s">
        <v>89</v>
      </c>
      <c r="B18" s="109">
        <v>22</v>
      </c>
      <c r="C18" s="109">
        <v>2190000000</v>
      </c>
      <c r="D18" s="109">
        <v>4843806856.0757599</v>
      </c>
    </row>
    <row r="19" spans="1:30" ht="15" thickTop="1">
      <c r="A19" t="s">
        <v>402</v>
      </c>
      <c r="B19" s="107">
        <v>19</v>
      </c>
      <c r="C19" s="107" t="str">
        <f>"0"</f>
        <v>0</v>
      </c>
      <c r="D19" s="107">
        <v>4443578764.8390999</v>
      </c>
    </row>
    <row r="22" spans="1:30" ht="14.75">
      <c r="A22" s="208" t="s">
        <v>402</v>
      </c>
      <c r="B22" s="208"/>
      <c r="C22" s="208"/>
      <c r="D22" s="208"/>
      <c r="E22" s="208"/>
      <c r="F22" s="208"/>
      <c r="G22" s="208"/>
      <c r="H22" s="208"/>
      <c r="I22" s="208"/>
      <c r="J22" s="208"/>
      <c r="K22" s="208"/>
      <c r="L22" s="208"/>
      <c r="M22" s="208"/>
      <c r="N22" s="208"/>
      <c r="O22" s="208"/>
      <c r="P22" s="208"/>
      <c r="Q22" s="208"/>
      <c r="R22" s="208"/>
      <c r="S22" s="208"/>
      <c r="T22" s="208"/>
      <c r="U22" s="208"/>
      <c r="V22" s="208"/>
      <c r="W22" s="208"/>
      <c r="X22" s="208"/>
      <c r="Y22" s="208"/>
      <c r="Z22" s="208"/>
      <c r="AA22" s="208"/>
      <c r="AB22" s="208"/>
      <c r="AC22" s="208"/>
      <c r="AD22" s="208"/>
    </row>
    <row r="23" spans="1:30" ht="14.75">
      <c r="A23" s="110" t="s">
        <v>403</v>
      </c>
      <c r="B23" s="110" t="s">
        <v>404</v>
      </c>
      <c r="C23" s="110" t="s">
        <v>405</v>
      </c>
      <c r="D23" s="111" t="s">
        <v>406</v>
      </c>
      <c r="E23" s="110" t="s">
        <v>407</v>
      </c>
      <c r="F23" s="110" t="s">
        <v>408</v>
      </c>
      <c r="G23" s="110" t="s">
        <v>409</v>
      </c>
      <c r="H23" s="110" t="s">
        <v>410</v>
      </c>
      <c r="I23" s="110" t="s">
        <v>411</v>
      </c>
      <c r="J23" s="110" t="s">
        <v>412</v>
      </c>
      <c r="K23" s="110" t="s">
        <v>413</v>
      </c>
      <c r="L23" s="110" t="s">
        <v>414</v>
      </c>
      <c r="M23" s="110" t="s">
        <v>415</v>
      </c>
      <c r="N23" s="110" t="s">
        <v>416</v>
      </c>
      <c r="O23" s="110" t="s">
        <v>417</v>
      </c>
      <c r="P23" s="111" t="s">
        <v>418</v>
      </c>
      <c r="Q23" s="111" t="s">
        <v>419</v>
      </c>
      <c r="R23" s="110" t="s">
        <v>420</v>
      </c>
      <c r="S23" s="110" t="s">
        <v>421</v>
      </c>
      <c r="T23" s="110" t="s">
        <v>422</v>
      </c>
      <c r="U23" s="110" t="s">
        <v>423</v>
      </c>
      <c r="V23" s="110" t="s">
        <v>424</v>
      </c>
      <c r="W23" s="110" t="s">
        <v>425</v>
      </c>
      <c r="X23" s="110" t="s">
        <v>426</v>
      </c>
      <c r="Y23" s="110" t="s">
        <v>226</v>
      </c>
      <c r="Z23" s="110" t="s">
        <v>427</v>
      </c>
    </row>
    <row r="24" spans="1:30">
      <c r="A24" t="s">
        <v>428</v>
      </c>
      <c r="B24" t="s">
        <v>429</v>
      </c>
      <c r="C24" s="112">
        <v>40023</v>
      </c>
      <c r="D24" s="107">
        <v>135000000</v>
      </c>
      <c r="E24" t="s">
        <v>430</v>
      </c>
      <c r="F24" t="s">
        <v>431</v>
      </c>
      <c r="G24" t="s">
        <v>432</v>
      </c>
      <c r="H24" t="s">
        <v>346</v>
      </c>
      <c r="I24" t="s">
        <v>433</v>
      </c>
      <c r="J24" t="s">
        <v>429</v>
      </c>
      <c r="K24" s="112">
        <v>38197</v>
      </c>
      <c r="L24" t="s">
        <v>434</v>
      </c>
      <c r="M24" t="s">
        <v>434</v>
      </c>
      <c r="N24" t="s">
        <v>435</v>
      </c>
      <c r="O24" t="s">
        <v>436</v>
      </c>
      <c r="P24" s="113" t="s">
        <v>429</v>
      </c>
      <c r="Q24" s="113" t="s">
        <v>429</v>
      </c>
      <c r="R24" t="s">
        <v>429</v>
      </c>
      <c r="S24" t="s">
        <v>429</v>
      </c>
      <c r="T24" t="s">
        <v>429</v>
      </c>
      <c r="U24" t="s">
        <v>437</v>
      </c>
      <c r="V24" t="s">
        <v>431</v>
      </c>
      <c r="W24" t="s">
        <v>438</v>
      </c>
      <c r="X24" t="s">
        <v>436</v>
      </c>
      <c r="Y24" t="s">
        <v>439</v>
      </c>
      <c r="Z24" t="s">
        <v>429</v>
      </c>
    </row>
    <row r="25" spans="1:30">
      <c r="A25" t="s">
        <v>440</v>
      </c>
      <c r="B25" t="s">
        <v>429</v>
      </c>
      <c r="C25" s="112">
        <v>40648</v>
      </c>
      <c r="D25" s="107">
        <v>346805389</v>
      </c>
      <c r="E25" t="s">
        <v>430</v>
      </c>
      <c r="F25" t="s">
        <v>441</v>
      </c>
      <c r="G25" t="s">
        <v>442</v>
      </c>
      <c r="H25" t="s">
        <v>347</v>
      </c>
      <c r="I25" t="s">
        <v>443</v>
      </c>
      <c r="J25" t="s">
        <v>444</v>
      </c>
      <c r="K25" s="112">
        <v>37944</v>
      </c>
      <c r="L25" t="s">
        <v>434</v>
      </c>
      <c r="M25" t="s">
        <v>434</v>
      </c>
      <c r="N25" t="s">
        <v>435</v>
      </c>
      <c r="O25" t="s">
        <v>436</v>
      </c>
      <c r="P25" s="113" t="s">
        <v>429</v>
      </c>
      <c r="Q25" s="113" t="s">
        <v>429</v>
      </c>
      <c r="R25" t="s">
        <v>429</v>
      </c>
      <c r="S25" t="s">
        <v>429</v>
      </c>
      <c r="T25" t="s">
        <v>445</v>
      </c>
      <c r="U25" t="s">
        <v>429</v>
      </c>
      <c r="V25" t="s">
        <v>431</v>
      </c>
      <c r="W25" t="s">
        <v>438</v>
      </c>
      <c r="X25" t="s">
        <v>436</v>
      </c>
      <c r="Y25" t="s">
        <v>446</v>
      </c>
      <c r="Z25" t="s">
        <v>429</v>
      </c>
    </row>
    <row r="26" spans="1:30">
      <c r="A26" t="s">
        <v>447</v>
      </c>
      <c r="B26" t="s">
        <v>429</v>
      </c>
      <c r="C26" s="112">
        <v>40753</v>
      </c>
      <c r="D26" s="107">
        <v>100000000</v>
      </c>
      <c r="E26" t="s">
        <v>448</v>
      </c>
      <c r="F26" t="s">
        <v>431</v>
      </c>
      <c r="G26" t="s">
        <v>432</v>
      </c>
      <c r="H26" t="s">
        <v>348</v>
      </c>
      <c r="I26" t="s">
        <v>433</v>
      </c>
      <c r="J26" t="s">
        <v>429</v>
      </c>
      <c r="K26" s="112">
        <v>38197</v>
      </c>
      <c r="L26" t="s">
        <v>434</v>
      </c>
      <c r="M26" t="s">
        <v>434</v>
      </c>
      <c r="N26" t="s">
        <v>435</v>
      </c>
      <c r="O26" t="s">
        <v>436</v>
      </c>
      <c r="P26" s="113" t="s">
        <v>429</v>
      </c>
      <c r="Q26" s="113" t="s">
        <v>429</v>
      </c>
      <c r="R26" t="s">
        <v>429</v>
      </c>
      <c r="S26" t="s">
        <v>429</v>
      </c>
      <c r="T26" t="s">
        <v>429</v>
      </c>
      <c r="U26" t="s">
        <v>437</v>
      </c>
      <c r="V26" t="s">
        <v>431</v>
      </c>
      <c r="W26" t="s">
        <v>438</v>
      </c>
      <c r="X26" t="s">
        <v>436</v>
      </c>
      <c r="Y26" t="s">
        <v>439</v>
      </c>
      <c r="Z26" t="s">
        <v>429</v>
      </c>
    </row>
    <row r="27" spans="1:30">
      <c r="A27" t="s">
        <v>449</v>
      </c>
      <c r="B27" t="s">
        <v>429</v>
      </c>
      <c r="C27" s="112">
        <v>40753</v>
      </c>
      <c r="D27" s="107">
        <v>150000000</v>
      </c>
      <c r="E27" t="s">
        <v>430</v>
      </c>
      <c r="F27" t="s">
        <v>431</v>
      </c>
      <c r="G27" t="s">
        <v>432</v>
      </c>
      <c r="H27" t="s">
        <v>349</v>
      </c>
      <c r="I27" t="s">
        <v>433</v>
      </c>
      <c r="J27" t="s">
        <v>429</v>
      </c>
      <c r="K27" s="112">
        <v>38197</v>
      </c>
      <c r="L27" t="s">
        <v>434</v>
      </c>
      <c r="M27" t="s">
        <v>434</v>
      </c>
      <c r="N27" t="s">
        <v>435</v>
      </c>
      <c r="O27" t="s">
        <v>436</v>
      </c>
      <c r="P27" s="113" t="s">
        <v>429</v>
      </c>
      <c r="Q27" s="113" t="s">
        <v>429</v>
      </c>
      <c r="R27" t="s">
        <v>429</v>
      </c>
      <c r="S27" t="s">
        <v>429</v>
      </c>
      <c r="T27" t="s">
        <v>429</v>
      </c>
      <c r="U27" t="s">
        <v>437</v>
      </c>
      <c r="V27" t="s">
        <v>431</v>
      </c>
      <c r="W27" t="s">
        <v>438</v>
      </c>
      <c r="X27" t="s">
        <v>436</v>
      </c>
      <c r="Y27" t="s">
        <v>439</v>
      </c>
      <c r="Z27" t="s">
        <v>429</v>
      </c>
    </row>
    <row r="28" spans="1:30">
      <c r="A28" t="s">
        <v>450</v>
      </c>
      <c r="B28" t="s">
        <v>429</v>
      </c>
      <c r="C28" s="112">
        <v>41024</v>
      </c>
      <c r="D28" s="107">
        <v>275000000</v>
      </c>
      <c r="E28" t="s">
        <v>448</v>
      </c>
      <c r="F28" t="s">
        <v>431</v>
      </c>
      <c r="G28" t="s">
        <v>432</v>
      </c>
      <c r="H28" t="s">
        <v>350</v>
      </c>
      <c r="I28" t="s">
        <v>451</v>
      </c>
      <c r="J28" t="s">
        <v>429</v>
      </c>
      <c r="K28" s="112">
        <v>38462</v>
      </c>
      <c r="L28" t="s">
        <v>452</v>
      </c>
      <c r="M28" t="s">
        <v>452</v>
      </c>
      <c r="N28" t="s">
        <v>435</v>
      </c>
      <c r="O28" t="s">
        <v>436</v>
      </c>
      <c r="P28" s="113" t="s">
        <v>429</v>
      </c>
      <c r="Q28" s="113" t="s">
        <v>429</v>
      </c>
      <c r="R28" t="s">
        <v>429</v>
      </c>
      <c r="S28" t="s">
        <v>429</v>
      </c>
      <c r="T28" t="s">
        <v>429</v>
      </c>
      <c r="U28" t="s">
        <v>437</v>
      </c>
      <c r="V28" t="s">
        <v>431</v>
      </c>
      <c r="W28" t="s">
        <v>438</v>
      </c>
      <c r="X28" t="s">
        <v>436</v>
      </c>
      <c r="Y28" t="s">
        <v>453</v>
      </c>
      <c r="Z28" t="s">
        <v>454</v>
      </c>
    </row>
    <row r="29" spans="1:30">
      <c r="A29" t="s">
        <v>455</v>
      </c>
      <c r="B29" t="s">
        <v>429</v>
      </c>
      <c r="C29" s="112">
        <v>41390</v>
      </c>
      <c r="D29" s="107">
        <v>325000000</v>
      </c>
      <c r="E29" t="s">
        <v>448</v>
      </c>
      <c r="F29" t="s">
        <v>431</v>
      </c>
      <c r="G29" t="s">
        <v>432</v>
      </c>
      <c r="H29" t="s">
        <v>351</v>
      </c>
      <c r="I29" t="s">
        <v>451</v>
      </c>
      <c r="J29" t="s">
        <v>429</v>
      </c>
      <c r="K29" s="112">
        <v>38833</v>
      </c>
      <c r="L29" t="s">
        <v>434</v>
      </c>
      <c r="M29" t="s">
        <v>434</v>
      </c>
      <c r="N29" t="s">
        <v>435</v>
      </c>
      <c r="O29" t="s">
        <v>436</v>
      </c>
      <c r="P29" s="113" t="s">
        <v>429</v>
      </c>
      <c r="Q29" s="113" t="s">
        <v>429</v>
      </c>
      <c r="R29" t="s">
        <v>429</v>
      </c>
      <c r="S29" t="s">
        <v>429</v>
      </c>
      <c r="T29" t="s">
        <v>429</v>
      </c>
      <c r="U29" t="s">
        <v>437</v>
      </c>
      <c r="V29" t="s">
        <v>431</v>
      </c>
      <c r="W29" t="s">
        <v>438</v>
      </c>
      <c r="X29" t="s">
        <v>436</v>
      </c>
      <c r="Y29" t="s">
        <v>453</v>
      </c>
      <c r="Z29" t="s">
        <v>429</v>
      </c>
    </row>
    <row r="30" spans="1:30">
      <c r="A30" t="s">
        <v>456</v>
      </c>
      <c r="B30" t="s">
        <v>429</v>
      </c>
      <c r="C30" s="112">
        <v>41935</v>
      </c>
      <c r="D30" s="107">
        <v>500000000</v>
      </c>
      <c r="E30" t="s">
        <v>448</v>
      </c>
      <c r="F30" t="s">
        <v>431</v>
      </c>
      <c r="G30" t="s">
        <v>432</v>
      </c>
      <c r="H30" t="s">
        <v>352</v>
      </c>
      <c r="I30" t="s">
        <v>443</v>
      </c>
      <c r="J30" t="s">
        <v>429</v>
      </c>
      <c r="K30" s="112">
        <v>38656</v>
      </c>
      <c r="L30" t="s">
        <v>434</v>
      </c>
      <c r="M30" t="s">
        <v>434</v>
      </c>
      <c r="N30" t="s">
        <v>435</v>
      </c>
      <c r="O30" t="s">
        <v>436</v>
      </c>
      <c r="P30" s="113" t="s">
        <v>429</v>
      </c>
      <c r="Q30" s="113" t="s">
        <v>429</v>
      </c>
      <c r="R30" t="s">
        <v>429</v>
      </c>
      <c r="S30" t="s">
        <v>429</v>
      </c>
      <c r="T30" t="s">
        <v>429</v>
      </c>
      <c r="U30" t="s">
        <v>437</v>
      </c>
      <c r="V30" t="s">
        <v>431</v>
      </c>
      <c r="W30" t="s">
        <v>438</v>
      </c>
      <c r="X30" t="s">
        <v>436</v>
      </c>
      <c r="Y30" t="s">
        <v>446</v>
      </c>
      <c r="Z30" t="s">
        <v>429</v>
      </c>
    </row>
    <row r="31" spans="1:30">
      <c r="A31" t="s">
        <v>457</v>
      </c>
      <c r="B31" t="s">
        <v>429</v>
      </c>
      <c r="C31" s="112">
        <v>42276</v>
      </c>
      <c r="D31" s="107">
        <v>150000000</v>
      </c>
      <c r="E31" t="s">
        <v>430</v>
      </c>
      <c r="F31" t="s">
        <v>431</v>
      </c>
      <c r="G31" t="s">
        <v>432</v>
      </c>
      <c r="H31" t="s">
        <v>353</v>
      </c>
      <c r="I31" t="s">
        <v>451</v>
      </c>
      <c r="J31" t="s">
        <v>429</v>
      </c>
      <c r="K31" s="112">
        <v>40450</v>
      </c>
      <c r="L31" t="s">
        <v>434</v>
      </c>
      <c r="M31" t="s">
        <v>458</v>
      </c>
      <c r="N31" t="s">
        <v>435</v>
      </c>
      <c r="O31" t="s">
        <v>436</v>
      </c>
      <c r="P31" s="113" t="s">
        <v>429</v>
      </c>
      <c r="Q31" s="113" t="s">
        <v>429</v>
      </c>
      <c r="R31" t="s">
        <v>429</v>
      </c>
      <c r="S31" t="s">
        <v>429</v>
      </c>
      <c r="T31" t="s">
        <v>429</v>
      </c>
      <c r="U31" t="s">
        <v>437</v>
      </c>
      <c r="V31" t="s">
        <v>431</v>
      </c>
      <c r="W31" t="s">
        <v>438</v>
      </c>
      <c r="X31" t="s">
        <v>436</v>
      </c>
      <c r="Y31" t="s">
        <v>453</v>
      </c>
      <c r="Z31" t="s">
        <v>429</v>
      </c>
    </row>
    <row r="32" spans="1:30">
      <c r="A32" t="s">
        <v>459</v>
      </c>
      <c r="B32" t="s">
        <v>429</v>
      </c>
      <c r="C32" s="112">
        <v>42276</v>
      </c>
      <c r="D32" s="107">
        <v>400000000</v>
      </c>
      <c r="E32" t="s">
        <v>448</v>
      </c>
      <c r="F32" t="s">
        <v>431</v>
      </c>
      <c r="G32" t="s">
        <v>432</v>
      </c>
      <c r="H32" t="s">
        <v>354</v>
      </c>
      <c r="I32" t="s">
        <v>451</v>
      </c>
      <c r="J32" t="s">
        <v>429</v>
      </c>
      <c r="K32" s="112">
        <v>40450</v>
      </c>
      <c r="L32" t="s">
        <v>434</v>
      </c>
      <c r="M32" t="s">
        <v>458</v>
      </c>
      <c r="N32" t="s">
        <v>435</v>
      </c>
      <c r="O32" t="s">
        <v>436</v>
      </c>
      <c r="P32" s="113" t="s">
        <v>429</v>
      </c>
      <c r="Q32" s="113" t="s">
        <v>429</v>
      </c>
      <c r="R32" t="s">
        <v>429</v>
      </c>
      <c r="S32" t="s">
        <v>429</v>
      </c>
      <c r="T32" t="s">
        <v>429</v>
      </c>
      <c r="U32" t="s">
        <v>437</v>
      </c>
      <c r="V32" t="s">
        <v>431</v>
      </c>
      <c r="W32" t="s">
        <v>438</v>
      </c>
      <c r="X32" t="s">
        <v>436</v>
      </c>
      <c r="Y32" t="s">
        <v>453</v>
      </c>
      <c r="Z32" t="s">
        <v>429</v>
      </c>
    </row>
    <row r="33" spans="1:26">
      <c r="A33" t="s">
        <v>460</v>
      </c>
      <c r="B33" t="s">
        <v>429</v>
      </c>
      <c r="C33" s="112">
        <v>42475</v>
      </c>
      <c r="D33" s="107">
        <v>266773376</v>
      </c>
      <c r="E33" t="s">
        <v>430</v>
      </c>
      <c r="F33" t="s">
        <v>441</v>
      </c>
      <c r="G33" t="s">
        <v>442</v>
      </c>
      <c r="H33" t="s">
        <v>355</v>
      </c>
      <c r="I33" t="s">
        <v>443</v>
      </c>
      <c r="J33" t="s">
        <v>461</v>
      </c>
      <c r="K33" s="112">
        <v>37944</v>
      </c>
      <c r="L33" t="s">
        <v>434</v>
      </c>
      <c r="M33" t="s">
        <v>434</v>
      </c>
      <c r="N33" t="s">
        <v>435</v>
      </c>
      <c r="O33" t="s">
        <v>436</v>
      </c>
      <c r="P33" s="113" t="s">
        <v>429</v>
      </c>
      <c r="Q33" s="113" t="s">
        <v>429</v>
      </c>
      <c r="R33" t="s">
        <v>429</v>
      </c>
      <c r="S33" t="s">
        <v>429</v>
      </c>
      <c r="T33" t="s">
        <v>445</v>
      </c>
      <c r="U33" t="s">
        <v>429</v>
      </c>
      <c r="V33" t="s">
        <v>431</v>
      </c>
      <c r="W33" t="s">
        <v>438</v>
      </c>
      <c r="X33" t="s">
        <v>436</v>
      </c>
      <c r="Y33" t="s">
        <v>446</v>
      </c>
      <c r="Z33" t="s">
        <v>429</v>
      </c>
    </row>
    <row r="34" spans="1:26">
      <c r="A34" t="s">
        <v>460</v>
      </c>
      <c r="B34" t="s">
        <v>462</v>
      </c>
      <c r="C34" s="112">
        <v>42475</v>
      </c>
      <c r="D34" s="107">
        <v>266773376</v>
      </c>
      <c r="E34" t="s">
        <v>430</v>
      </c>
      <c r="F34" t="s">
        <v>463</v>
      </c>
      <c r="G34" t="s">
        <v>442</v>
      </c>
      <c r="H34" t="s">
        <v>356</v>
      </c>
      <c r="I34" t="s">
        <v>443</v>
      </c>
      <c r="J34" t="s">
        <v>429</v>
      </c>
      <c r="K34" s="112">
        <v>37944</v>
      </c>
      <c r="L34" t="s">
        <v>434</v>
      </c>
      <c r="M34" t="s">
        <v>434</v>
      </c>
      <c r="N34" t="s">
        <v>435</v>
      </c>
      <c r="O34" t="s">
        <v>436</v>
      </c>
      <c r="P34" s="113" t="s">
        <v>429</v>
      </c>
      <c r="Q34" s="113" t="s">
        <v>429</v>
      </c>
      <c r="R34" t="s">
        <v>429</v>
      </c>
      <c r="S34" t="s">
        <v>429</v>
      </c>
      <c r="T34" t="s">
        <v>464</v>
      </c>
      <c r="U34" t="s">
        <v>429</v>
      </c>
      <c r="V34" t="s">
        <v>431</v>
      </c>
      <c r="W34" t="s">
        <v>438</v>
      </c>
      <c r="X34" t="s">
        <v>436</v>
      </c>
      <c r="Y34" t="s">
        <v>446</v>
      </c>
      <c r="Z34" t="s">
        <v>429</v>
      </c>
    </row>
    <row r="35" spans="1:26">
      <c r="A35" t="s">
        <v>465</v>
      </c>
      <c r="B35" t="s">
        <v>429</v>
      </c>
      <c r="C35" s="112">
        <v>42836</v>
      </c>
      <c r="D35" s="107">
        <v>265000000</v>
      </c>
      <c r="E35" t="s">
        <v>430</v>
      </c>
      <c r="F35" t="s">
        <v>431</v>
      </c>
      <c r="G35" t="s">
        <v>432</v>
      </c>
      <c r="H35" t="s">
        <v>357</v>
      </c>
      <c r="I35" t="s">
        <v>443</v>
      </c>
      <c r="J35" t="s">
        <v>429</v>
      </c>
      <c r="K35" s="112">
        <v>41010</v>
      </c>
      <c r="L35" t="s">
        <v>434</v>
      </c>
      <c r="M35" t="s">
        <v>458</v>
      </c>
      <c r="N35" t="s">
        <v>435</v>
      </c>
      <c r="O35" t="s">
        <v>436</v>
      </c>
      <c r="P35" s="113" t="s">
        <v>429</v>
      </c>
      <c r="Q35" s="113" t="s">
        <v>429</v>
      </c>
      <c r="R35" t="s">
        <v>429</v>
      </c>
      <c r="S35" t="s">
        <v>429</v>
      </c>
      <c r="T35" t="s">
        <v>429</v>
      </c>
      <c r="U35" t="s">
        <v>437</v>
      </c>
      <c r="V35" t="s">
        <v>431</v>
      </c>
      <c r="W35" t="s">
        <v>438</v>
      </c>
      <c r="X35" t="s">
        <v>436</v>
      </c>
      <c r="Y35" t="s">
        <v>446</v>
      </c>
      <c r="Z35" t="s">
        <v>429</v>
      </c>
    </row>
    <row r="36" spans="1:26">
      <c r="A36" t="s">
        <v>466</v>
      </c>
      <c r="B36" t="s">
        <v>429</v>
      </c>
      <c r="C36" s="112">
        <v>42850</v>
      </c>
      <c r="D36" s="107">
        <v>275000000</v>
      </c>
      <c r="E36" t="s">
        <v>448</v>
      </c>
      <c r="F36" t="s">
        <v>431</v>
      </c>
      <c r="G36" t="s">
        <v>432</v>
      </c>
      <c r="H36" t="s">
        <v>358</v>
      </c>
      <c r="I36" t="s">
        <v>451</v>
      </c>
      <c r="J36" t="s">
        <v>429</v>
      </c>
      <c r="K36" s="112">
        <v>38462</v>
      </c>
      <c r="L36" t="s">
        <v>452</v>
      </c>
      <c r="M36" t="s">
        <v>452</v>
      </c>
      <c r="N36" t="s">
        <v>435</v>
      </c>
      <c r="O36" t="s">
        <v>436</v>
      </c>
      <c r="P36" s="113" t="s">
        <v>429</v>
      </c>
      <c r="Q36" s="113" t="s">
        <v>429</v>
      </c>
      <c r="R36" t="s">
        <v>429</v>
      </c>
      <c r="S36" t="s">
        <v>429</v>
      </c>
      <c r="T36" t="s">
        <v>429</v>
      </c>
      <c r="U36" t="s">
        <v>437</v>
      </c>
      <c r="V36" t="s">
        <v>431</v>
      </c>
      <c r="W36" t="s">
        <v>438</v>
      </c>
      <c r="X36" t="s">
        <v>436</v>
      </c>
      <c r="Y36" t="s">
        <v>453</v>
      </c>
      <c r="Z36" t="s">
        <v>454</v>
      </c>
    </row>
    <row r="37" spans="1:26">
      <c r="A37" t="s">
        <v>467</v>
      </c>
      <c r="B37" t="s">
        <v>429</v>
      </c>
      <c r="C37" s="112">
        <v>42926</v>
      </c>
      <c r="D37" s="107">
        <v>300000000</v>
      </c>
      <c r="E37" t="s">
        <v>448</v>
      </c>
      <c r="F37" t="s">
        <v>431</v>
      </c>
      <c r="G37" t="s">
        <v>432</v>
      </c>
      <c r="H37" t="s">
        <v>359</v>
      </c>
      <c r="I37" t="s">
        <v>433</v>
      </c>
      <c r="J37" t="s">
        <v>429</v>
      </c>
      <c r="K37" s="112">
        <v>39248</v>
      </c>
      <c r="L37" t="s">
        <v>434</v>
      </c>
      <c r="M37" t="s">
        <v>434</v>
      </c>
      <c r="N37" t="s">
        <v>435</v>
      </c>
      <c r="O37" t="s">
        <v>436</v>
      </c>
      <c r="P37" s="113" t="s">
        <v>429</v>
      </c>
      <c r="Q37" s="113" t="s">
        <v>429</v>
      </c>
      <c r="R37" t="s">
        <v>429</v>
      </c>
      <c r="S37" t="s">
        <v>429</v>
      </c>
      <c r="T37" t="s">
        <v>429</v>
      </c>
      <c r="U37" t="s">
        <v>437</v>
      </c>
      <c r="V37" t="s">
        <v>431</v>
      </c>
      <c r="W37" t="s">
        <v>438</v>
      </c>
      <c r="X37" t="s">
        <v>436</v>
      </c>
      <c r="Y37" t="s">
        <v>439</v>
      </c>
      <c r="Z37" t="s">
        <v>429</v>
      </c>
    </row>
    <row r="38" spans="1:26">
      <c r="A38" t="s">
        <v>468</v>
      </c>
      <c r="B38" t="s">
        <v>429</v>
      </c>
      <c r="C38" s="112">
        <v>43216</v>
      </c>
      <c r="D38" s="107">
        <v>325000000</v>
      </c>
      <c r="E38" t="s">
        <v>448</v>
      </c>
      <c r="F38" t="s">
        <v>431</v>
      </c>
      <c r="G38" t="s">
        <v>432</v>
      </c>
      <c r="H38" t="s">
        <v>360</v>
      </c>
      <c r="I38" t="s">
        <v>451</v>
      </c>
      <c r="J38" t="s">
        <v>429</v>
      </c>
      <c r="K38" s="112">
        <v>38833</v>
      </c>
      <c r="L38" t="s">
        <v>434</v>
      </c>
      <c r="M38" t="s">
        <v>434</v>
      </c>
      <c r="N38" t="s">
        <v>435</v>
      </c>
      <c r="O38" t="s">
        <v>436</v>
      </c>
      <c r="P38" s="113" t="s">
        <v>429</v>
      </c>
      <c r="Q38" s="113" t="s">
        <v>429</v>
      </c>
      <c r="R38" t="s">
        <v>429</v>
      </c>
      <c r="S38" t="s">
        <v>429</v>
      </c>
      <c r="T38" t="s">
        <v>429</v>
      </c>
      <c r="U38" t="s">
        <v>437</v>
      </c>
      <c r="V38" t="s">
        <v>431</v>
      </c>
      <c r="W38" t="s">
        <v>438</v>
      </c>
      <c r="X38" t="s">
        <v>436</v>
      </c>
      <c r="Y38" t="s">
        <v>453</v>
      </c>
      <c r="Z38" t="s">
        <v>429</v>
      </c>
    </row>
    <row r="39" spans="1:26">
      <c r="A39" t="s">
        <v>469</v>
      </c>
      <c r="B39" t="s">
        <v>429</v>
      </c>
      <c r="C39" s="112">
        <v>43749</v>
      </c>
      <c r="D39" s="107">
        <v>300000000</v>
      </c>
      <c r="E39" t="s">
        <v>430</v>
      </c>
      <c r="F39" t="s">
        <v>431</v>
      </c>
      <c r="G39" t="s">
        <v>432</v>
      </c>
      <c r="H39" t="s">
        <v>361</v>
      </c>
      <c r="I39" t="s">
        <v>451</v>
      </c>
      <c r="J39" t="s">
        <v>429</v>
      </c>
      <c r="K39" s="112">
        <v>41221</v>
      </c>
      <c r="L39" t="s">
        <v>452</v>
      </c>
      <c r="M39" t="s">
        <v>452</v>
      </c>
      <c r="N39" t="s">
        <v>435</v>
      </c>
      <c r="O39" t="s">
        <v>436</v>
      </c>
      <c r="P39" s="113" t="s">
        <v>429</v>
      </c>
      <c r="Q39" s="113" t="s">
        <v>429</v>
      </c>
      <c r="R39" t="s">
        <v>429</v>
      </c>
      <c r="S39" t="s">
        <v>429</v>
      </c>
      <c r="T39" t="s">
        <v>470</v>
      </c>
      <c r="U39" t="s">
        <v>437</v>
      </c>
      <c r="V39" t="s">
        <v>431</v>
      </c>
      <c r="W39" t="s">
        <v>438</v>
      </c>
      <c r="X39" t="s">
        <v>436</v>
      </c>
      <c r="Y39" t="s">
        <v>453</v>
      </c>
      <c r="Z39" t="s">
        <v>454</v>
      </c>
    </row>
    <row r="40" spans="1:26">
      <c r="A40" t="s">
        <v>471</v>
      </c>
      <c r="B40" t="s">
        <v>429</v>
      </c>
      <c r="C40" s="112">
        <v>43997</v>
      </c>
      <c r="D40" s="107">
        <v>20000000</v>
      </c>
      <c r="E40" t="s">
        <v>448</v>
      </c>
      <c r="F40" t="s">
        <v>431</v>
      </c>
      <c r="G40" t="s">
        <v>432</v>
      </c>
      <c r="H40" t="s">
        <v>362</v>
      </c>
      <c r="I40" t="s">
        <v>433</v>
      </c>
      <c r="J40" t="s">
        <v>429</v>
      </c>
      <c r="K40" s="112">
        <v>42170</v>
      </c>
      <c r="L40" t="s">
        <v>434</v>
      </c>
      <c r="M40" t="s">
        <v>458</v>
      </c>
      <c r="N40" t="s">
        <v>435</v>
      </c>
      <c r="O40" t="s">
        <v>436</v>
      </c>
      <c r="P40" s="113" t="s">
        <v>429</v>
      </c>
      <c r="Q40" s="113" t="s">
        <v>429</v>
      </c>
      <c r="R40" t="s">
        <v>429</v>
      </c>
      <c r="S40" t="s">
        <v>429</v>
      </c>
      <c r="T40" t="s">
        <v>470</v>
      </c>
      <c r="U40" t="s">
        <v>437</v>
      </c>
      <c r="V40" t="s">
        <v>431</v>
      </c>
      <c r="W40" t="s">
        <v>438</v>
      </c>
      <c r="X40" t="s">
        <v>436</v>
      </c>
      <c r="Y40" t="s">
        <v>439</v>
      </c>
      <c r="Z40" t="s">
        <v>429</v>
      </c>
    </row>
    <row r="41" spans="1:26">
      <c r="A41" t="s">
        <v>472</v>
      </c>
      <c r="B41" t="s">
        <v>429</v>
      </c>
      <c r="C41" s="112">
        <v>43997</v>
      </c>
      <c r="D41" s="107">
        <v>210000000</v>
      </c>
      <c r="E41" t="s">
        <v>430</v>
      </c>
      <c r="F41" t="s">
        <v>431</v>
      </c>
      <c r="G41" t="s">
        <v>432</v>
      </c>
      <c r="H41" t="s">
        <v>363</v>
      </c>
      <c r="I41" t="s">
        <v>433</v>
      </c>
      <c r="J41" t="s">
        <v>429</v>
      </c>
      <c r="K41" s="112">
        <v>42170</v>
      </c>
      <c r="L41" t="s">
        <v>434</v>
      </c>
      <c r="M41" t="s">
        <v>434</v>
      </c>
      <c r="N41" t="s">
        <v>435</v>
      </c>
      <c r="O41" t="s">
        <v>436</v>
      </c>
      <c r="P41" s="113" t="s">
        <v>429</v>
      </c>
      <c r="Q41" s="113" t="s">
        <v>429</v>
      </c>
      <c r="R41" t="s">
        <v>429</v>
      </c>
      <c r="S41" t="s">
        <v>429</v>
      </c>
      <c r="T41" t="s">
        <v>429</v>
      </c>
      <c r="U41" t="s">
        <v>437</v>
      </c>
      <c r="V41" t="s">
        <v>431</v>
      </c>
      <c r="W41" t="s">
        <v>438</v>
      </c>
      <c r="X41" t="s">
        <v>436</v>
      </c>
      <c r="Y41" t="s">
        <v>439</v>
      </c>
      <c r="Z41" t="s">
        <v>429</v>
      </c>
    </row>
    <row r="42" spans="1:26">
      <c r="A42" t="s">
        <v>473</v>
      </c>
      <c r="B42" t="s">
        <v>429</v>
      </c>
      <c r="C42" s="112">
        <v>44105</v>
      </c>
      <c r="D42" s="107">
        <v>100000000</v>
      </c>
      <c r="E42" t="s">
        <v>430</v>
      </c>
      <c r="F42" t="s">
        <v>431</v>
      </c>
      <c r="G42" t="s">
        <v>432</v>
      </c>
      <c r="H42" t="s">
        <v>364</v>
      </c>
      <c r="I42" t="s">
        <v>451</v>
      </c>
      <c r="J42" t="s">
        <v>429</v>
      </c>
      <c r="K42" s="112">
        <v>41913</v>
      </c>
      <c r="L42" t="s">
        <v>452</v>
      </c>
      <c r="M42" t="s">
        <v>452</v>
      </c>
      <c r="N42" t="s">
        <v>435</v>
      </c>
      <c r="O42" t="s">
        <v>436</v>
      </c>
      <c r="P42" s="113" t="s">
        <v>429</v>
      </c>
      <c r="Q42" s="113" t="s">
        <v>429</v>
      </c>
      <c r="R42" t="s">
        <v>429</v>
      </c>
      <c r="S42" t="s">
        <v>429</v>
      </c>
      <c r="T42" t="s">
        <v>429</v>
      </c>
      <c r="U42" t="s">
        <v>437</v>
      </c>
      <c r="V42" t="s">
        <v>431</v>
      </c>
      <c r="W42" t="s">
        <v>474</v>
      </c>
      <c r="X42" t="s">
        <v>436</v>
      </c>
      <c r="Y42" t="s">
        <v>453</v>
      </c>
      <c r="Z42" t="s">
        <v>454</v>
      </c>
    </row>
    <row r="45" spans="1:26">
      <c r="D45" s="27">
        <v>41455</v>
      </c>
      <c r="E45" s="27">
        <v>41820</v>
      </c>
      <c r="F45" s="27">
        <v>42185</v>
      </c>
    </row>
    <row r="46" spans="1:26">
      <c r="C46" s="1" t="s">
        <v>346</v>
      </c>
      <c r="D46">
        <f>IF(AND(D$45 &gt;= $K24, D$45 &lt; $C24),$D24,0)</f>
        <v>0</v>
      </c>
      <c r="E46">
        <f t="shared" ref="E46:F46" si="0">IF(AND(E$45 &gt;= $K24, E$45 &lt; $C24),$D24,0)</f>
        <v>0</v>
      </c>
      <c r="F46">
        <f t="shared" si="0"/>
        <v>0</v>
      </c>
    </row>
    <row r="47" spans="1:26">
      <c r="C47" s="1" t="s">
        <v>347</v>
      </c>
      <c r="D47">
        <f t="shared" ref="D47:F47" si="1">IF(AND(D$45 &gt;= $K25, D$45 &lt; $C25),$D25,0)</f>
        <v>0</v>
      </c>
      <c r="E47">
        <f t="shared" si="1"/>
        <v>0</v>
      </c>
      <c r="F47">
        <f t="shared" si="1"/>
        <v>0</v>
      </c>
    </row>
    <row r="48" spans="1:26">
      <c r="C48" s="1" t="s">
        <v>348</v>
      </c>
      <c r="D48">
        <f t="shared" ref="D48:F48" si="2">IF(AND(D$45 &gt;= $K26, D$45 &lt; $C26),$D26,0)</f>
        <v>0</v>
      </c>
      <c r="E48">
        <f t="shared" si="2"/>
        <v>0</v>
      </c>
      <c r="F48">
        <f t="shared" si="2"/>
        <v>0</v>
      </c>
    </row>
    <row r="49" spans="3:6">
      <c r="C49" s="1" t="s">
        <v>349</v>
      </c>
      <c r="D49">
        <f t="shared" ref="D49:F49" si="3">IF(AND(D$45 &gt;= $K27, D$45 &lt; $C27),$D27,0)</f>
        <v>0</v>
      </c>
      <c r="E49">
        <f t="shared" si="3"/>
        <v>0</v>
      </c>
      <c r="F49">
        <f t="shared" si="3"/>
        <v>0</v>
      </c>
    </row>
    <row r="50" spans="3:6">
      <c r="C50" s="1" t="s">
        <v>350</v>
      </c>
      <c r="D50">
        <f t="shared" ref="D50:F50" si="4">IF(AND(D$45 &gt;= $K28, D$45 &lt; $C28),$D28,0)</f>
        <v>0</v>
      </c>
      <c r="E50">
        <f t="shared" si="4"/>
        <v>0</v>
      </c>
      <c r="F50">
        <f t="shared" si="4"/>
        <v>0</v>
      </c>
    </row>
    <row r="51" spans="3:6">
      <c r="C51" s="1" t="s">
        <v>351</v>
      </c>
      <c r="D51">
        <f t="shared" ref="D51:F51" si="5">IF(AND(D$45 &gt;= $K29, D$45 &lt; $C29),$D29,0)</f>
        <v>0</v>
      </c>
      <c r="E51">
        <f t="shared" si="5"/>
        <v>0</v>
      </c>
      <c r="F51">
        <f t="shared" si="5"/>
        <v>0</v>
      </c>
    </row>
    <row r="52" spans="3:6">
      <c r="C52" s="1" t="s">
        <v>352</v>
      </c>
      <c r="D52">
        <f t="shared" ref="D52:F52" si="6">IF(AND(D$45 &gt;= $K30, D$45 &lt; $C30),$D30,0)</f>
        <v>500000000</v>
      </c>
      <c r="E52">
        <f t="shared" si="6"/>
        <v>500000000</v>
      </c>
      <c r="F52">
        <f t="shared" si="6"/>
        <v>0</v>
      </c>
    </row>
    <row r="53" spans="3:6">
      <c r="C53" s="1" t="s">
        <v>353</v>
      </c>
      <c r="D53">
        <f t="shared" ref="D53:F53" si="7">IF(AND(D$45 &gt;= $K31, D$45 &lt; $C31),$D31,0)</f>
        <v>150000000</v>
      </c>
      <c r="E53">
        <f t="shared" si="7"/>
        <v>150000000</v>
      </c>
      <c r="F53">
        <f t="shared" si="7"/>
        <v>150000000</v>
      </c>
    </row>
    <row r="54" spans="3:6">
      <c r="C54" s="1" t="s">
        <v>354</v>
      </c>
      <c r="D54">
        <f t="shared" ref="D54:F54" si="8">IF(AND(D$45 &gt;= $K32, D$45 &lt; $C32),$D32,0)</f>
        <v>400000000</v>
      </c>
      <c r="E54">
        <f t="shared" si="8"/>
        <v>400000000</v>
      </c>
      <c r="F54">
        <f t="shared" si="8"/>
        <v>400000000</v>
      </c>
    </row>
    <row r="55" spans="3:6">
      <c r="C55" s="1" t="s">
        <v>355</v>
      </c>
      <c r="D55">
        <f t="shared" ref="D55:F55" si="9">IF(AND(D$45 &gt;= $K33, D$45 &lt; $C33),$D33,0)</f>
        <v>266773376</v>
      </c>
      <c r="E55">
        <f t="shared" si="9"/>
        <v>266773376</v>
      </c>
      <c r="F55">
        <f t="shared" si="9"/>
        <v>266773376</v>
      </c>
    </row>
    <row r="56" spans="3:6">
      <c r="C56" s="1" t="s">
        <v>356</v>
      </c>
      <c r="D56">
        <f t="shared" ref="D56:F56" si="10">IF(AND(D$45 &gt;= $K34, D$45 &lt; $C34),$D34,0)</f>
        <v>266773376</v>
      </c>
      <c r="E56">
        <f t="shared" si="10"/>
        <v>266773376</v>
      </c>
      <c r="F56">
        <f t="shared" si="10"/>
        <v>266773376</v>
      </c>
    </row>
    <row r="57" spans="3:6">
      <c r="C57" s="1" t="s">
        <v>357</v>
      </c>
      <c r="D57">
        <f t="shared" ref="D57:F57" si="11">IF(AND(D$45 &gt;= $K35, D$45 &lt; $C35),$D35,0)</f>
        <v>265000000</v>
      </c>
      <c r="E57">
        <f t="shared" si="11"/>
        <v>265000000</v>
      </c>
      <c r="F57">
        <f t="shared" si="11"/>
        <v>265000000</v>
      </c>
    </row>
    <row r="58" spans="3:6">
      <c r="C58" s="1" t="s">
        <v>358</v>
      </c>
      <c r="D58">
        <f t="shared" ref="D58:F58" si="12">IF(AND(D$45 &gt;= $K36, D$45 &lt; $C36),$D36,0)</f>
        <v>275000000</v>
      </c>
      <c r="E58">
        <f t="shared" si="12"/>
        <v>275000000</v>
      </c>
      <c r="F58">
        <f t="shared" si="12"/>
        <v>275000000</v>
      </c>
    </row>
    <row r="59" spans="3:6">
      <c r="C59" s="1" t="s">
        <v>359</v>
      </c>
      <c r="D59">
        <f t="shared" ref="D59:F59" si="13">IF(AND(D$45 &gt;= $K37, D$45 &lt; $C37),$D37,0)</f>
        <v>300000000</v>
      </c>
      <c r="E59">
        <f t="shared" si="13"/>
        <v>300000000</v>
      </c>
      <c r="F59">
        <f t="shared" si="13"/>
        <v>300000000</v>
      </c>
    </row>
    <row r="60" spans="3:6">
      <c r="C60" s="1" t="s">
        <v>360</v>
      </c>
      <c r="D60">
        <f t="shared" ref="D60:F60" si="14">IF(AND(D$45 &gt;= $K38, D$45 &lt; $C38),$D38,0)</f>
        <v>325000000</v>
      </c>
      <c r="E60">
        <f t="shared" si="14"/>
        <v>325000000</v>
      </c>
      <c r="F60">
        <f t="shared" si="14"/>
        <v>325000000</v>
      </c>
    </row>
    <row r="61" spans="3:6">
      <c r="C61" s="1" t="s">
        <v>361</v>
      </c>
      <c r="D61">
        <f t="shared" ref="D61:F61" si="15">IF(AND(D$45 &gt;= $K39, D$45 &lt; $C39),$D39,0)</f>
        <v>300000000</v>
      </c>
      <c r="E61">
        <f t="shared" si="15"/>
        <v>300000000</v>
      </c>
      <c r="F61">
        <f t="shared" si="15"/>
        <v>300000000</v>
      </c>
    </row>
    <row r="62" spans="3:6">
      <c r="C62" s="1" t="s">
        <v>362</v>
      </c>
      <c r="D62">
        <f t="shared" ref="D62:F62" si="16">IF(AND(D$45 &gt;= $K40, D$45 &lt; $C40),$D40,0)</f>
        <v>0</v>
      </c>
      <c r="E62">
        <f t="shared" si="16"/>
        <v>0</v>
      </c>
      <c r="F62">
        <f t="shared" si="16"/>
        <v>20000000</v>
      </c>
    </row>
    <row r="63" spans="3:6">
      <c r="C63" s="1" t="s">
        <v>363</v>
      </c>
      <c r="D63">
        <f t="shared" ref="D63:F63" si="17">IF(AND(D$45 &gt;= $K41, D$45 &lt; $C41),$D41,0)</f>
        <v>0</v>
      </c>
      <c r="E63">
        <f t="shared" si="17"/>
        <v>0</v>
      </c>
      <c r="F63">
        <f t="shared" si="17"/>
        <v>210000000</v>
      </c>
    </row>
    <row r="64" spans="3:6">
      <c r="C64" s="1" t="s">
        <v>364</v>
      </c>
      <c r="D64">
        <f t="shared" ref="D64:F64" si="18">IF(AND(D$45 &gt;= $K42, D$45 &lt; $C42),$D42,0)</f>
        <v>0</v>
      </c>
      <c r="E64">
        <f t="shared" si="18"/>
        <v>0</v>
      </c>
      <c r="F64">
        <f t="shared" si="18"/>
        <v>100000000</v>
      </c>
    </row>
    <row r="66" spans="3:6">
      <c r="C66" s="1" t="s">
        <v>89</v>
      </c>
      <c r="D66">
        <f>SUM(D46:D64)</f>
        <v>3048546752</v>
      </c>
      <c r="E66">
        <f>SUM(E46:E64)</f>
        <v>3048546752</v>
      </c>
      <c r="F66">
        <f>SUM(F46:F64)</f>
        <v>2878546752</v>
      </c>
    </row>
  </sheetData>
  <mergeCells count="4">
    <mergeCell ref="A1:AD1"/>
    <mergeCell ref="A6:B6"/>
    <mergeCell ref="A11:D11"/>
    <mergeCell ref="A22:AD22"/>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B0DE8-1ED1-4C13-AE78-C4EAC1761514}">
  <sheetPr>
    <tabColor theme="0" tint="-0.249977111117893"/>
  </sheetPr>
  <dimension ref="A1:U807"/>
  <sheetViews>
    <sheetView workbookViewId="0"/>
  </sheetViews>
  <sheetFormatPr defaultRowHeight="14.25"/>
  <cols>
    <col min="2" max="2" width="11.5" customWidth="1"/>
  </cols>
  <sheetData>
    <row r="1" spans="1:21">
      <c r="A1" t="s">
        <v>2122</v>
      </c>
      <c r="C1" t="s">
        <v>346</v>
      </c>
      <c r="D1" t="s">
        <v>347</v>
      </c>
      <c r="E1" t="s">
        <v>348</v>
      </c>
      <c r="F1" t="s">
        <v>349</v>
      </c>
      <c r="G1" t="s">
        <v>350</v>
      </c>
      <c r="H1" t="s">
        <v>351</v>
      </c>
      <c r="I1" t="s">
        <v>352</v>
      </c>
      <c r="J1" t="s">
        <v>353</v>
      </c>
      <c r="K1" t="s">
        <v>354</v>
      </c>
      <c r="L1" t="s">
        <v>355</v>
      </c>
      <c r="M1" t="s">
        <v>356</v>
      </c>
      <c r="N1" t="s">
        <v>357</v>
      </c>
      <c r="O1" t="s">
        <v>358</v>
      </c>
      <c r="P1" t="s">
        <v>359</v>
      </c>
      <c r="Q1" t="s">
        <v>360</v>
      </c>
      <c r="R1" t="s">
        <v>361</v>
      </c>
      <c r="S1" t="s">
        <v>362</v>
      </c>
      <c r="T1" t="s">
        <v>363</v>
      </c>
      <c r="U1" t="s">
        <v>364</v>
      </c>
    </row>
    <row r="2" spans="1:21">
      <c r="B2" t="s">
        <v>475</v>
      </c>
      <c r="C2" t="s">
        <v>476</v>
      </c>
      <c r="D2" t="s">
        <v>476</v>
      </c>
      <c r="E2" t="s">
        <v>476</v>
      </c>
      <c r="F2" t="s">
        <v>476</v>
      </c>
      <c r="G2" t="s">
        <v>476</v>
      </c>
      <c r="H2" t="s">
        <v>476</v>
      </c>
      <c r="I2" t="s">
        <v>477</v>
      </c>
      <c r="J2" t="s">
        <v>477</v>
      </c>
      <c r="K2" t="s">
        <v>477</v>
      </c>
      <c r="L2" t="s">
        <v>477</v>
      </c>
      <c r="M2" t="s">
        <v>477</v>
      </c>
      <c r="N2" t="s">
        <v>477</v>
      </c>
      <c r="O2" t="s">
        <v>477</v>
      </c>
      <c r="P2" t="s">
        <v>476</v>
      </c>
      <c r="Q2" t="s">
        <v>477</v>
      </c>
      <c r="R2" t="s">
        <v>477</v>
      </c>
      <c r="S2" t="s">
        <v>477</v>
      </c>
      <c r="T2" t="s">
        <v>477</v>
      </c>
      <c r="U2" t="s">
        <v>476</v>
      </c>
    </row>
    <row r="3" spans="1:21">
      <c r="B3" s="27">
        <v>42552</v>
      </c>
      <c r="C3" t="s">
        <v>478</v>
      </c>
      <c r="D3" t="e">
        <v>#N/A</v>
      </c>
      <c r="E3" t="e">
        <v>#N/A</v>
      </c>
      <c r="F3" t="e">
        <v>#N/A</v>
      </c>
      <c r="G3" t="e">
        <v>#N/A</v>
      </c>
      <c r="H3" t="e">
        <v>#N/A</v>
      </c>
      <c r="N3">
        <v>102.4145</v>
      </c>
      <c r="O3">
        <v>99.207999999999998</v>
      </c>
      <c r="Q3">
        <v>98.587000000000003</v>
      </c>
      <c r="R3">
        <v>107.45699999999999</v>
      </c>
      <c r="S3">
        <v>100.0975</v>
      </c>
      <c r="T3">
        <v>100.5115</v>
      </c>
      <c r="U3" t="s">
        <v>479</v>
      </c>
    </row>
    <row r="4" spans="1:21">
      <c r="B4" s="27">
        <v>42551</v>
      </c>
      <c r="N4">
        <v>102.3875</v>
      </c>
      <c r="O4">
        <v>99.197000000000003</v>
      </c>
      <c r="P4">
        <f>'Bloomberg Bond Prices'!R385</f>
        <v>99.975999999999999</v>
      </c>
      <c r="Q4">
        <v>98.581999999999994</v>
      </c>
      <c r="R4">
        <v>107.29600000000001</v>
      </c>
      <c r="S4">
        <v>100.09650000000001</v>
      </c>
      <c r="T4">
        <v>100.2945</v>
      </c>
    </row>
    <row r="5" spans="1:21">
      <c r="B5" s="27">
        <v>42550</v>
      </c>
      <c r="N5">
        <v>102.4105</v>
      </c>
      <c r="O5">
        <v>99.176000000000002</v>
      </c>
      <c r="Q5">
        <v>98.569000000000003</v>
      </c>
      <c r="R5">
        <v>107.331</v>
      </c>
      <c r="S5">
        <v>100.099</v>
      </c>
      <c r="T5">
        <v>100.26349999999999</v>
      </c>
    </row>
    <row r="6" spans="1:21">
      <c r="B6" s="27">
        <v>42549</v>
      </c>
      <c r="N6">
        <v>102.4375</v>
      </c>
      <c r="O6">
        <v>99.15</v>
      </c>
      <c r="Q6">
        <v>98.563999999999993</v>
      </c>
      <c r="R6">
        <v>107.426</v>
      </c>
      <c r="S6">
        <v>100.1</v>
      </c>
      <c r="T6">
        <v>100.1575</v>
      </c>
    </row>
    <row r="7" spans="1:21">
      <c r="B7" s="27">
        <v>42548</v>
      </c>
      <c r="N7">
        <v>102.47150000000001</v>
      </c>
      <c r="O7">
        <v>99.164000000000001</v>
      </c>
      <c r="Q7">
        <v>98.56</v>
      </c>
      <c r="R7">
        <v>107.42749999999999</v>
      </c>
      <c r="S7">
        <v>100.102</v>
      </c>
      <c r="T7">
        <v>100.2135</v>
      </c>
    </row>
    <row r="8" spans="1:21">
      <c r="B8" s="27">
        <v>42545</v>
      </c>
      <c r="N8">
        <v>102.4225</v>
      </c>
      <c r="O8">
        <v>99.093999999999994</v>
      </c>
      <c r="Q8">
        <v>98.552000000000007</v>
      </c>
      <c r="R8">
        <v>107.41249999999999</v>
      </c>
      <c r="S8">
        <v>100.09</v>
      </c>
      <c r="T8">
        <v>99.988500000000002</v>
      </c>
    </row>
    <row r="9" spans="1:21">
      <c r="B9" s="27">
        <v>42544</v>
      </c>
      <c r="N9">
        <v>102.381</v>
      </c>
      <c r="O9">
        <v>99.195999999999998</v>
      </c>
      <c r="Q9">
        <v>98.546999999999997</v>
      </c>
      <c r="R9">
        <v>106.857</v>
      </c>
      <c r="S9">
        <v>100.09</v>
      </c>
      <c r="T9">
        <v>99.769000000000005</v>
      </c>
    </row>
    <row r="10" spans="1:21">
      <c r="B10" s="27">
        <v>42543</v>
      </c>
      <c r="N10">
        <v>102.431</v>
      </c>
      <c r="O10">
        <v>99.222999999999999</v>
      </c>
      <c r="Q10">
        <v>98.533000000000001</v>
      </c>
      <c r="R10">
        <v>107.01</v>
      </c>
      <c r="S10">
        <v>100.09</v>
      </c>
      <c r="T10">
        <v>99.799499999999995</v>
      </c>
    </row>
    <row r="11" spans="1:21">
      <c r="B11" s="27">
        <v>42542</v>
      </c>
      <c r="N11">
        <v>102.417</v>
      </c>
      <c r="O11">
        <v>99.236999999999995</v>
      </c>
      <c r="Q11">
        <v>98.528000000000006</v>
      </c>
      <c r="R11">
        <v>107.12949999999999</v>
      </c>
      <c r="S11">
        <v>100.089</v>
      </c>
      <c r="T11">
        <v>100.0505</v>
      </c>
    </row>
    <row r="12" spans="1:21">
      <c r="B12" s="27">
        <v>42541</v>
      </c>
      <c r="N12">
        <v>102.459</v>
      </c>
      <c r="O12">
        <v>99.161000000000001</v>
      </c>
      <c r="Q12">
        <v>98.524000000000001</v>
      </c>
      <c r="R12">
        <v>107.2715</v>
      </c>
      <c r="S12">
        <v>100.0925</v>
      </c>
      <c r="T12">
        <v>100.14700000000001</v>
      </c>
    </row>
    <row r="13" spans="1:21">
      <c r="B13" s="27">
        <v>42538</v>
      </c>
      <c r="N13">
        <v>102.473</v>
      </c>
      <c r="O13">
        <v>99.150999999999996</v>
      </c>
      <c r="Q13">
        <v>98.52</v>
      </c>
      <c r="R13">
        <v>107.3815</v>
      </c>
      <c r="S13">
        <v>100.0925</v>
      </c>
      <c r="T13">
        <v>100.268</v>
      </c>
    </row>
    <row r="14" spans="1:21">
      <c r="B14" s="27">
        <v>42537</v>
      </c>
      <c r="N14">
        <v>102.5115</v>
      </c>
      <c r="O14">
        <v>99.231999999999999</v>
      </c>
      <c r="Q14">
        <v>98.515000000000001</v>
      </c>
      <c r="R14">
        <v>107.554</v>
      </c>
      <c r="S14">
        <v>100.0915</v>
      </c>
      <c r="T14">
        <v>100.4455</v>
      </c>
    </row>
    <row r="15" spans="1:21">
      <c r="B15" s="27">
        <v>42536</v>
      </c>
      <c r="N15">
        <v>102.5005</v>
      </c>
      <c r="O15">
        <v>99.221999999999994</v>
      </c>
      <c r="Q15">
        <v>98.498000000000005</v>
      </c>
      <c r="R15">
        <v>107.371</v>
      </c>
      <c r="S15">
        <v>100.0855</v>
      </c>
      <c r="T15">
        <v>100.30249999999999</v>
      </c>
    </row>
    <row r="16" spans="1:21">
      <c r="B16" s="27">
        <v>42535</v>
      </c>
      <c r="N16">
        <v>102.51649999999999</v>
      </c>
      <c r="O16">
        <v>99.238</v>
      </c>
      <c r="Q16">
        <v>98.492999999999995</v>
      </c>
      <c r="R16">
        <v>107.548</v>
      </c>
      <c r="S16">
        <v>100.1615</v>
      </c>
      <c r="T16">
        <v>100.4465</v>
      </c>
    </row>
    <row r="17" spans="2:20">
      <c r="B17" s="27">
        <v>42534</v>
      </c>
      <c r="N17">
        <v>102.5185</v>
      </c>
      <c r="O17">
        <v>99.221000000000004</v>
      </c>
      <c r="Q17">
        <v>98.49</v>
      </c>
      <c r="R17">
        <v>107.401</v>
      </c>
      <c r="S17">
        <v>100.166</v>
      </c>
      <c r="T17">
        <v>100.2555</v>
      </c>
    </row>
    <row r="18" spans="2:20">
      <c r="B18" s="27">
        <v>42531</v>
      </c>
      <c r="N18">
        <v>102.51349999999999</v>
      </c>
      <c r="O18">
        <v>99.221000000000004</v>
      </c>
      <c r="Q18">
        <v>98.49</v>
      </c>
      <c r="R18">
        <v>107.35299999999999</v>
      </c>
      <c r="S18">
        <v>100.166</v>
      </c>
      <c r="T18">
        <v>100.2085</v>
      </c>
    </row>
    <row r="19" spans="2:20">
      <c r="B19" s="27">
        <v>42530</v>
      </c>
      <c r="N19">
        <v>102.5215</v>
      </c>
      <c r="O19">
        <v>99.259</v>
      </c>
      <c r="Q19">
        <v>98.483000000000004</v>
      </c>
      <c r="R19">
        <v>107.414</v>
      </c>
      <c r="S19">
        <v>100.087</v>
      </c>
      <c r="T19">
        <v>100.42749999999999</v>
      </c>
    </row>
    <row r="20" spans="2:20">
      <c r="B20" s="27">
        <v>42529</v>
      </c>
      <c r="N20">
        <v>102.538</v>
      </c>
      <c r="O20">
        <v>99.253</v>
      </c>
      <c r="Q20">
        <v>98.465999999999994</v>
      </c>
      <c r="R20">
        <v>107.4055</v>
      </c>
      <c r="S20">
        <v>100.09099999999999</v>
      </c>
      <c r="T20">
        <v>100.3235</v>
      </c>
    </row>
    <row r="21" spans="2:20">
      <c r="B21" s="27">
        <v>42528</v>
      </c>
      <c r="N21">
        <v>102.505</v>
      </c>
      <c r="O21">
        <v>99.247</v>
      </c>
      <c r="Q21">
        <v>98.465000000000003</v>
      </c>
      <c r="R21">
        <v>107.3125</v>
      </c>
      <c r="S21">
        <v>100.09099999999999</v>
      </c>
      <c r="T21">
        <v>99.855500000000006</v>
      </c>
    </row>
    <row r="22" spans="2:20">
      <c r="B22" s="27">
        <v>42527</v>
      </c>
      <c r="N22">
        <v>102.59399999999999</v>
      </c>
      <c r="O22">
        <v>99.262</v>
      </c>
      <c r="Q22">
        <v>98.46</v>
      </c>
      <c r="R22">
        <v>107.5235</v>
      </c>
      <c r="S22">
        <v>100.092</v>
      </c>
      <c r="T22">
        <v>100.1615</v>
      </c>
    </row>
    <row r="23" spans="2:20">
      <c r="B23" s="27">
        <v>42524</v>
      </c>
      <c r="N23">
        <v>102.565</v>
      </c>
      <c r="O23">
        <v>99.257999999999996</v>
      </c>
      <c r="Q23">
        <v>98.453999999999994</v>
      </c>
      <c r="R23">
        <v>107.34350000000001</v>
      </c>
      <c r="S23">
        <v>100.09350000000001</v>
      </c>
      <c r="T23">
        <v>100.1305</v>
      </c>
    </row>
    <row r="24" spans="2:20">
      <c r="B24" s="27">
        <v>42523</v>
      </c>
      <c r="N24">
        <v>102.6</v>
      </c>
      <c r="O24">
        <v>99.256</v>
      </c>
      <c r="Q24">
        <v>98.45</v>
      </c>
      <c r="R24">
        <v>107.3075</v>
      </c>
      <c r="S24">
        <v>100.0945</v>
      </c>
      <c r="T24">
        <v>100.0665</v>
      </c>
    </row>
    <row r="25" spans="2:20">
      <c r="B25" s="27">
        <v>42522</v>
      </c>
      <c r="N25">
        <v>102.58750000000001</v>
      </c>
      <c r="O25">
        <v>99.27</v>
      </c>
      <c r="Q25">
        <v>98.436999999999998</v>
      </c>
      <c r="R25">
        <v>107.2145</v>
      </c>
      <c r="S25">
        <v>100.0975</v>
      </c>
      <c r="T25">
        <v>99.998000000000005</v>
      </c>
    </row>
    <row r="26" spans="2:20">
      <c r="B26" s="27">
        <v>42521</v>
      </c>
      <c r="N26">
        <v>102.59950000000001</v>
      </c>
      <c r="O26">
        <v>99.259</v>
      </c>
      <c r="Q26">
        <v>98.432000000000002</v>
      </c>
      <c r="R26">
        <v>107.1905</v>
      </c>
      <c r="S26">
        <v>100.0985</v>
      </c>
      <c r="T26">
        <v>99.866500000000002</v>
      </c>
    </row>
    <row r="27" spans="2:20">
      <c r="B27" s="27">
        <v>42520</v>
      </c>
      <c r="N27">
        <v>102.57550000000001</v>
      </c>
      <c r="O27">
        <v>99.25</v>
      </c>
      <c r="Q27">
        <v>98.427000000000007</v>
      </c>
      <c r="R27">
        <v>107.27200000000001</v>
      </c>
      <c r="S27">
        <v>100.0985</v>
      </c>
      <c r="T27">
        <v>100.02800000000001</v>
      </c>
    </row>
    <row r="28" spans="2:20">
      <c r="B28" s="27">
        <v>42517</v>
      </c>
      <c r="N28">
        <v>102.6135</v>
      </c>
      <c r="O28">
        <v>99.241</v>
      </c>
      <c r="Q28">
        <v>98.424000000000007</v>
      </c>
      <c r="R28">
        <v>107.34699999999999</v>
      </c>
      <c r="S28">
        <v>100.09950000000001</v>
      </c>
      <c r="T28">
        <v>100.071</v>
      </c>
    </row>
    <row r="29" spans="2:20">
      <c r="B29" s="27">
        <v>42516</v>
      </c>
      <c r="N29">
        <v>102.61750000000001</v>
      </c>
      <c r="O29">
        <v>99.256</v>
      </c>
      <c r="Q29">
        <v>98.42</v>
      </c>
      <c r="R29">
        <v>107.331</v>
      </c>
      <c r="S29">
        <v>100.1005</v>
      </c>
      <c r="T29">
        <v>99.951999999999998</v>
      </c>
    </row>
    <row r="30" spans="2:20">
      <c r="B30" s="27">
        <v>42515</v>
      </c>
      <c r="N30">
        <v>102.614</v>
      </c>
      <c r="O30">
        <v>99.239000000000004</v>
      </c>
      <c r="Q30">
        <v>98.403000000000006</v>
      </c>
      <c r="R30">
        <v>107.273</v>
      </c>
      <c r="S30">
        <v>100.10299999999999</v>
      </c>
      <c r="T30">
        <v>99.968000000000004</v>
      </c>
    </row>
    <row r="31" spans="2:20">
      <c r="B31" s="27">
        <v>42514</v>
      </c>
      <c r="N31">
        <v>102.619</v>
      </c>
      <c r="O31">
        <v>99.21</v>
      </c>
      <c r="Q31">
        <v>98.397999999999996</v>
      </c>
      <c r="R31">
        <v>107.33499999999999</v>
      </c>
      <c r="S31">
        <v>100.104</v>
      </c>
      <c r="T31">
        <v>100.0235</v>
      </c>
    </row>
    <row r="32" spans="2:20">
      <c r="B32" s="27">
        <v>42513</v>
      </c>
      <c r="N32">
        <v>102.57599999999999</v>
      </c>
      <c r="O32">
        <v>99.234999999999999</v>
      </c>
      <c r="Q32">
        <v>98.394000000000005</v>
      </c>
      <c r="R32">
        <v>107.33750000000001</v>
      </c>
      <c r="S32">
        <v>100.105</v>
      </c>
      <c r="T32">
        <v>100.1405</v>
      </c>
    </row>
    <row r="33" spans="2:20">
      <c r="B33" s="27">
        <v>42510</v>
      </c>
      <c r="N33">
        <v>102.566</v>
      </c>
      <c r="O33">
        <v>99.164000000000001</v>
      </c>
      <c r="Q33">
        <v>98.391000000000005</v>
      </c>
      <c r="R33">
        <v>107.33150000000001</v>
      </c>
      <c r="S33">
        <v>100.107</v>
      </c>
      <c r="T33">
        <v>99.923500000000004</v>
      </c>
    </row>
    <row r="34" spans="2:20">
      <c r="B34" s="27">
        <v>42509</v>
      </c>
      <c r="N34">
        <v>102.58</v>
      </c>
      <c r="O34">
        <v>99.186999999999998</v>
      </c>
      <c r="Q34">
        <v>98.385000000000005</v>
      </c>
      <c r="R34">
        <v>107.2975</v>
      </c>
      <c r="S34">
        <v>100.107</v>
      </c>
      <c r="T34">
        <v>100.0805</v>
      </c>
    </row>
    <row r="35" spans="2:20">
      <c r="B35" s="27">
        <v>42508</v>
      </c>
      <c r="N35">
        <v>102.6065</v>
      </c>
      <c r="O35">
        <v>99.2</v>
      </c>
      <c r="Q35">
        <v>98.370999999999995</v>
      </c>
      <c r="R35">
        <v>107.3535</v>
      </c>
      <c r="S35">
        <v>100.1095</v>
      </c>
      <c r="T35">
        <v>100.10550000000001</v>
      </c>
    </row>
    <row r="36" spans="2:20">
      <c r="B36" s="27">
        <v>42507</v>
      </c>
      <c r="N36">
        <v>102.6215</v>
      </c>
      <c r="O36">
        <v>99.2</v>
      </c>
      <c r="Q36">
        <v>98.367999999999995</v>
      </c>
      <c r="R36">
        <v>107.2985</v>
      </c>
      <c r="S36">
        <v>100.11150000000001</v>
      </c>
      <c r="T36">
        <v>100.0585</v>
      </c>
    </row>
    <row r="37" spans="2:20">
      <c r="B37" s="27">
        <v>42506</v>
      </c>
      <c r="N37">
        <v>102.6585</v>
      </c>
      <c r="O37">
        <v>99.188000000000002</v>
      </c>
      <c r="Q37">
        <v>98.364000000000004</v>
      </c>
      <c r="R37">
        <v>107.51900000000001</v>
      </c>
      <c r="S37">
        <v>100.1125</v>
      </c>
      <c r="T37">
        <v>100.259</v>
      </c>
    </row>
    <row r="38" spans="2:20">
      <c r="B38" s="27">
        <v>42503</v>
      </c>
      <c r="N38">
        <v>102.67449999999999</v>
      </c>
      <c r="O38">
        <v>99.186999999999998</v>
      </c>
      <c r="Q38">
        <v>98.358000000000004</v>
      </c>
      <c r="R38">
        <v>107.55800000000001</v>
      </c>
      <c r="S38">
        <v>100.1135</v>
      </c>
      <c r="T38">
        <v>100.32</v>
      </c>
    </row>
    <row r="39" spans="2:20">
      <c r="B39" s="27">
        <v>42502</v>
      </c>
      <c r="N39">
        <v>102.6795</v>
      </c>
      <c r="O39">
        <v>99.174000000000007</v>
      </c>
      <c r="Q39">
        <v>98.352000000000004</v>
      </c>
      <c r="R39">
        <v>107.46599999999999</v>
      </c>
      <c r="S39">
        <v>100.1135</v>
      </c>
      <c r="T39">
        <v>100.206</v>
      </c>
    </row>
    <row r="40" spans="2:20">
      <c r="B40" s="27">
        <v>42501</v>
      </c>
      <c r="N40">
        <v>102.69</v>
      </c>
      <c r="O40">
        <v>99.146000000000001</v>
      </c>
      <c r="Q40">
        <v>98.334000000000003</v>
      </c>
      <c r="R40">
        <v>107.41800000000001</v>
      </c>
      <c r="S40">
        <v>100.11450000000001</v>
      </c>
      <c r="T40">
        <v>100.127</v>
      </c>
    </row>
    <row r="41" spans="2:20">
      <c r="B41" s="27">
        <v>42500</v>
      </c>
      <c r="N41">
        <v>102.702</v>
      </c>
      <c r="O41">
        <v>99.156999999999996</v>
      </c>
      <c r="Q41">
        <v>98.334000000000003</v>
      </c>
      <c r="R41">
        <v>107.456</v>
      </c>
      <c r="S41">
        <v>100.11750000000001</v>
      </c>
      <c r="T41">
        <v>100.20350000000001</v>
      </c>
    </row>
    <row r="42" spans="2:20">
      <c r="B42" s="27">
        <v>42499</v>
      </c>
      <c r="N42">
        <v>102.73</v>
      </c>
      <c r="O42">
        <v>99.128</v>
      </c>
      <c r="Q42">
        <v>98.33</v>
      </c>
      <c r="R42">
        <v>107.505</v>
      </c>
      <c r="S42">
        <v>100.119</v>
      </c>
      <c r="T42">
        <v>100.1815</v>
      </c>
    </row>
    <row r="43" spans="2:20">
      <c r="B43" s="27">
        <v>42496</v>
      </c>
      <c r="N43">
        <v>102.726</v>
      </c>
      <c r="O43">
        <v>99.106999999999999</v>
      </c>
      <c r="Q43">
        <v>98.316999999999993</v>
      </c>
      <c r="R43">
        <v>107.4845</v>
      </c>
      <c r="S43">
        <v>100.11499999999999</v>
      </c>
      <c r="T43">
        <v>100.1665</v>
      </c>
    </row>
    <row r="44" spans="2:20">
      <c r="B44" s="27">
        <v>42495</v>
      </c>
      <c r="N44">
        <v>102.663</v>
      </c>
      <c r="O44">
        <v>99.114000000000004</v>
      </c>
      <c r="Q44">
        <v>98.311000000000007</v>
      </c>
      <c r="R44">
        <v>107.10899999999999</v>
      </c>
      <c r="S44">
        <v>100.11499999999999</v>
      </c>
      <c r="T44">
        <v>99.75</v>
      </c>
    </row>
    <row r="45" spans="2:20">
      <c r="B45" s="27">
        <v>42494</v>
      </c>
      <c r="N45">
        <v>102.66800000000001</v>
      </c>
      <c r="O45">
        <v>99.144000000000005</v>
      </c>
      <c r="Q45">
        <v>98.296000000000006</v>
      </c>
      <c r="R45">
        <v>107.01900000000001</v>
      </c>
      <c r="S45">
        <v>100.11799999999999</v>
      </c>
      <c r="T45">
        <v>99.656999999999996</v>
      </c>
    </row>
    <row r="46" spans="2:20">
      <c r="B46" s="27">
        <v>42493</v>
      </c>
      <c r="N46">
        <v>102.80549999999999</v>
      </c>
      <c r="O46">
        <v>99.082999999999998</v>
      </c>
      <c r="Q46">
        <v>98.27</v>
      </c>
      <c r="R46">
        <v>106.96</v>
      </c>
      <c r="S46">
        <v>100.107</v>
      </c>
      <c r="T46">
        <v>100.03749999999999</v>
      </c>
    </row>
    <row r="47" spans="2:20">
      <c r="B47" s="27">
        <v>42492</v>
      </c>
      <c r="N47">
        <v>102.5765</v>
      </c>
      <c r="O47">
        <v>99.081000000000003</v>
      </c>
      <c r="Q47">
        <v>98.265000000000001</v>
      </c>
      <c r="R47">
        <v>106.53149999999999</v>
      </c>
      <c r="S47">
        <v>100.107</v>
      </c>
      <c r="T47">
        <v>99.289500000000004</v>
      </c>
    </row>
    <row r="48" spans="2:20">
      <c r="B48" s="27">
        <v>42489</v>
      </c>
      <c r="N48">
        <v>102.61450000000001</v>
      </c>
      <c r="O48">
        <v>99.049000000000007</v>
      </c>
      <c r="Q48">
        <v>98.259</v>
      </c>
      <c r="R48">
        <v>106.56699999999999</v>
      </c>
      <c r="S48">
        <v>100.108</v>
      </c>
      <c r="T48">
        <v>98.987499999999997</v>
      </c>
    </row>
    <row r="49" spans="2:20">
      <c r="B49" s="27">
        <v>42488</v>
      </c>
      <c r="N49">
        <v>102.5825</v>
      </c>
      <c r="O49">
        <v>99.066000000000003</v>
      </c>
      <c r="Q49">
        <v>98.254999999999995</v>
      </c>
      <c r="R49">
        <v>106.557</v>
      </c>
      <c r="S49">
        <v>100.10899999999999</v>
      </c>
      <c r="T49">
        <v>98.833500000000001</v>
      </c>
    </row>
    <row r="50" spans="2:20">
      <c r="B50" s="27">
        <v>42487</v>
      </c>
      <c r="N50">
        <v>102.6165</v>
      </c>
      <c r="O50">
        <v>99.019000000000005</v>
      </c>
      <c r="Q50">
        <v>98.210999999999999</v>
      </c>
      <c r="R50">
        <v>106.38800000000001</v>
      </c>
      <c r="S50">
        <v>100.092</v>
      </c>
      <c r="T50">
        <v>98.770499999999998</v>
      </c>
    </row>
    <row r="51" spans="2:20">
      <c r="B51" s="27">
        <v>42486</v>
      </c>
      <c r="N51">
        <v>102.44750000000001</v>
      </c>
      <c r="O51">
        <v>98.94</v>
      </c>
      <c r="Q51">
        <v>98.206000000000003</v>
      </c>
      <c r="R51">
        <v>105.98350000000001</v>
      </c>
      <c r="S51">
        <v>100.093</v>
      </c>
      <c r="T51">
        <v>98.25</v>
      </c>
    </row>
    <row r="52" spans="2:20">
      <c r="B52" s="27">
        <v>42485</v>
      </c>
      <c r="N52">
        <v>102.483</v>
      </c>
      <c r="O52">
        <v>98.927000000000007</v>
      </c>
      <c r="Q52">
        <v>98.2</v>
      </c>
      <c r="R52">
        <v>106.0305</v>
      </c>
      <c r="S52">
        <v>100.093</v>
      </c>
      <c r="T52">
        <v>98.780500000000004</v>
      </c>
    </row>
    <row r="53" spans="2:20">
      <c r="B53" s="27">
        <v>42482</v>
      </c>
      <c r="N53">
        <v>102.48399999999999</v>
      </c>
      <c r="O53">
        <v>98.927000000000007</v>
      </c>
      <c r="Q53">
        <v>98.2</v>
      </c>
      <c r="R53">
        <v>106.0705</v>
      </c>
      <c r="S53">
        <v>100.093</v>
      </c>
      <c r="T53">
        <v>98.8035</v>
      </c>
    </row>
    <row r="54" spans="2:20">
      <c r="B54" s="27">
        <v>42481</v>
      </c>
      <c r="N54">
        <v>102.43300000000001</v>
      </c>
      <c r="O54">
        <v>98.912999999999997</v>
      </c>
      <c r="Q54">
        <v>98.194000000000003</v>
      </c>
      <c r="R54">
        <v>106.14</v>
      </c>
      <c r="S54">
        <v>100.093</v>
      </c>
      <c r="T54">
        <v>98.481499999999997</v>
      </c>
    </row>
    <row r="55" spans="2:20">
      <c r="B55" s="27">
        <v>42480</v>
      </c>
      <c r="N55">
        <v>102.473</v>
      </c>
      <c r="O55">
        <v>98.893000000000001</v>
      </c>
      <c r="Q55">
        <v>98.174999999999997</v>
      </c>
      <c r="R55">
        <v>106.304</v>
      </c>
      <c r="S55">
        <v>100.0945</v>
      </c>
      <c r="T55">
        <v>98.540499999999994</v>
      </c>
    </row>
    <row r="56" spans="2:20">
      <c r="B56" s="27">
        <v>42479</v>
      </c>
      <c r="N56">
        <v>102.432</v>
      </c>
      <c r="O56">
        <v>98.959000000000003</v>
      </c>
      <c r="Q56">
        <v>98.17</v>
      </c>
      <c r="R56">
        <v>106.259</v>
      </c>
      <c r="S56">
        <v>100.0925</v>
      </c>
      <c r="T56">
        <v>98.774000000000001</v>
      </c>
    </row>
    <row r="57" spans="2:20">
      <c r="B57" s="27">
        <v>42478</v>
      </c>
      <c r="N57">
        <v>102.46299999999999</v>
      </c>
      <c r="O57">
        <v>98.947000000000003</v>
      </c>
      <c r="Q57">
        <v>98.164000000000001</v>
      </c>
      <c r="R57">
        <v>106.4115</v>
      </c>
      <c r="S57">
        <v>100.0915</v>
      </c>
      <c r="T57">
        <v>98.977999999999994</v>
      </c>
    </row>
    <row r="58" spans="2:20">
      <c r="B58" s="27">
        <v>42475</v>
      </c>
      <c r="N58">
        <v>102.4425</v>
      </c>
      <c r="O58">
        <v>98.972999999999999</v>
      </c>
      <c r="Q58">
        <v>98.158000000000001</v>
      </c>
      <c r="R58">
        <v>106.3515</v>
      </c>
      <c r="S58">
        <v>100.0915</v>
      </c>
      <c r="T58">
        <v>98.665999999999997</v>
      </c>
    </row>
    <row r="59" spans="2:20">
      <c r="B59" s="27">
        <v>42474</v>
      </c>
      <c r="L59">
        <v>100.00685</v>
      </c>
      <c r="M59">
        <v>100.006</v>
      </c>
      <c r="N59">
        <v>102.4365</v>
      </c>
      <c r="O59">
        <v>98.99</v>
      </c>
      <c r="Q59">
        <v>98.153000000000006</v>
      </c>
      <c r="R59">
        <v>106.3925</v>
      </c>
      <c r="S59">
        <v>100.0925</v>
      </c>
      <c r="T59">
        <v>98.828999999999994</v>
      </c>
    </row>
    <row r="60" spans="2:20">
      <c r="B60" s="27">
        <v>42473</v>
      </c>
      <c r="L60">
        <v>100.00685</v>
      </c>
      <c r="M60">
        <v>100.006</v>
      </c>
      <c r="N60">
        <v>102.5355</v>
      </c>
      <c r="O60">
        <v>98.962999999999994</v>
      </c>
      <c r="Q60">
        <v>98.138000000000005</v>
      </c>
      <c r="R60">
        <v>106.52</v>
      </c>
      <c r="S60">
        <v>100.09699999999999</v>
      </c>
      <c r="T60">
        <v>98.926500000000004</v>
      </c>
    </row>
    <row r="61" spans="2:20">
      <c r="B61" s="27">
        <v>42472</v>
      </c>
      <c r="L61">
        <v>100.00685</v>
      </c>
      <c r="M61">
        <v>100.006</v>
      </c>
      <c r="N61">
        <v>102.5455</v>
      </c>
      <c r="O61">
        <v>98.95</v>
      </c>
      <c r="Q61">
        <v>98.132999999999996</v>
      </c>
      <c r="R61">
        <v>106.593</v>
      </c>
      <c r="S61">
        <v>100.099</v>
      </c>
      <c r="T61">
        <v>99.311000000000007</v>
      </c>
    </row>
    <row r="62" spans="2:20">
      <c r="B62" s="27">
        <v>42471</v>
      </c>
      <c r="L62">
        <v>100.00685</v>
      </c>
      <c r="M62">
        <v>100.006</v>
      </c>
      <c r="N62">
        <v>102.6035</v>
      </c>
      <c r="O62">
        <v>98.927000000000007</v>
      </c>
      <c r="Q62">
        <v>98.126999999999995</v>
      </c>
      <c r="R62">
        <v>106.791</v>
      </c>
      <c r="S62">
        <v>100.098</v>
      </c>
      <c r="T62">
        <v>99.133499999999998</v>
      </c>
    </row>
    <row r="63" spans="2:20">
      <c r="B63" s="27">
        <v>42468</v>
      </c>
      <c r="L63">
        <v>100.01385000000001</v>
      </c>
      <c r="M63">
        <v>100.01300000000001</v>
      </c>
      <c r="N63">
        <v>102.592</v>
      </c>
      <c r="O63">
        <v>98.954999999999998</v>
      </c>
      <c r="Q63">
        <v>98.123000000000005</v>
      </c>
      <c r="R63">
        <v>106.7945</v>
      </c>
      <c r="S63">
        <v>100.101</v>
      </c>
      <c r="T63">
        <v>99.503</v>
      </c>
    </row>
    <row r="64" spans="2:20">
      <c r="B64" s="27">
        <v>42467</v>
      </c>
      <c r="L64">
        <v>100.02070000000001</v>
      </c>
      <c r="M64">
        <v>100.02</v>
      </c>
      <c r="N64">
        <v>102.608</v>
      </c>
      <c r="O64">
        <v>98.932000000000002</v>
      </c>
      <c r="Q64">
        <v>98.117000000000004</v>
      </c>
      <c r="R64">
        <v>106.712</v>
      </c>
      <c r="S64">
        <v>100.099</v>
      </c>
      <c r="T64">
        <v>99.465000000000003</v>
      </c>
    </row>
    <row r="65" spans="2:20">
      <c r="B65" s="27">
        <v>42466</v>
      </c>
      <c r="L65">
        <v>100.02760000000001</v>
      </c>
      <c r="M65">
        <v>100.027</v>
      </c>
      <c r="N65">
        <v>102.60299999999999</v>
      </c>
      <c r="O65">
        <v>98.870999999999995</v>
      </c>
      <c r="Q65">
        <v>98.100999999999999</v>
      </c>
      <c r="R65">
        <v>106.6875</v>
      </c>
      <c r="S65">
        <v>100.098</v>
      </c>
      <c r="T65">
        <v>99.477500000000006</v>
      </c>
    </row>
    <row r="66" spans="2:20">
      <c r="B66" s="27">
        <v>42465</v>
      </c>
      <c r="L66">
        <v>100.04810000000001</v>
      </c>
      <c r="M66">
        <v>100.047</v>
      </c>
      <c r="N66">
        <v>102.627</v>
      </c>
      <c r="O66">
        <v>98.869</v>
      </c>
      <c r="Q66">
        <v>98.094999999999999</v>
      </c>
      <c r="R66">
        <v>106.7585</v>
      </c>
      <c r="S66">
        <v>100.098</v>
      </c>
      <c r="T66">
        <v>99.632499999999993</v>
      </c>
    </row>
    <row r="67" spans="2:20">
      <c r="B67" s="27">
        <v>42464</v>
      </c>
      <c r="L67">
        <v>100.05485</v>
      </c>
      <c r="M67">
        <v>100.0535</v>
      </c>
      <c r="N67">
        <v>102.599</v>
      </c>
      <c r="O67">
        <v>98.864999999999995</v>
      </c>
      <c r="Q67">
        <v>98.09</v>
      </c>
      <c r="R67">
        <v>106.67449999999999</v>
      </c>
      <c r="S67">
        <v>100.09650000000001</v>
      </c>
      <c r="T67">
        <v>99.529499999999999</v>
      </c>
    </row>
    <row r="68" spans="2:20">
      <c r="B68" s="27">
        <v>42461</v>
      </c>
      <c r="L68">
        <v>100.06295</v>
      </c>
      <c r="M68">
        <v>100.0615</v>
      </c>
      <c r="N68">
        <v>102.577</v>
      </c>
      <c r="O68">
        <v>98.893000000000001</v>
      </c>
      <c r="Q68">
        <v>98.084000000000003</v>
      </c>
      <c r="R68">
        <v>106.46550000000001</v>
      </c>
      <c r="S68">
        <v>100.0975</v>
      </c>
      <c r="T68">
        <v>99.177000000000007</v>
      </c>
    </row>
    <row r="69" spans="2:20">
      <c r="B69" s="27">
        <v>42460</v>
      </c>
      <c r="L69">
        <v>100.0699</v>
      </c>
      <c r="M69">
        <v>100.0685</v>
      </c>
      <c r="N69">
        <v>102.6365</v>
      </c>
      <c r="O69">
        <v>98.858000000000004</v>
      </c>
      <c r="Q69">
        <v>98.078000000000003</v>
      </c>
      <c r="R69">
        <v>106.5955</v>
      </c>
      <c r="S69">
        <v>100.09650000000001</v>
      </c>
      <c r="T69">
        <v>99.216499999999996</v>
      </c>
    </row>
    <row r="70" spans="2:20">
      <c r="B70" s="27">
        <v>42459</v>
      </c>
      <c r="L70">
        <v>100.07684999999999</v>
      </c>
      <c r="M70">
        <v>100.07550000000001</v>
      </c>
      <c r="N70">
        <v>102.63549999999999</v>
      </c>
      <c r="O70">
        <v>98.87</v>
      </c>
      <c r="Q70">
        <v>98.061999999999998</v>
      </c>
      <c r="R70">
        <v>106.48650000000001</v>
      </c>
      <c r="S70">
        <v>100.0975</v>
      </c>
      <c r="T70">
        <v>99.405500000000004</v>
      </c>
    </row>
    <row r="71" spans="2:20">
      <c r="B71" s="27">
        <v>42458</v>
      </c>
      <c r="L71">
        <v>100.09780000000001</v>
      </c>
      <c r="M71">
        <v>100.09650000000001</v>
      </c>
      <c r="N71">
        <v>102.60250000000001</v>
      </c>
      <c r="O71">
        <v>98.876999999999995</v>
      </c>
      <c r="Q71">
        <v>98.055999999999997</v>
      </c>
      <c r="R71">
        <v>106.2825</v>
      </c>
      <c r="S71">
        <v>100.0955</v>
      </c>
      <c r="T71">
        <v>98.948499999999996</v>
      </c>
    </row>
    <row r="72" spans="2:20">
      <c r="B72" s="27">
        <v>42457</v>
      </c>
      <c r="L72">
        <v>100.08945</v>
      </c>
      <c r="M72">
        <v>100.08799999999999</v>
      </c>
      <c r="N72">
        <v>102.58150000000001</v>
      </c>
      <c r="O72">
        <v>98.843000000000004</v>
      </c>
      <c r="Q72">
        <v>98.051000000000002</v>
      </c>
      <c r="R72">
        <v>106.3175</v>
      </c>
      <c r="S72">
        <v>100.0945</v>
      </c>
      <c r="T72">
        <v>99.189499999999995</v>
      </c>
    </row>
    <row r="73" spans="2:20">
      <c r="B73" s="27">
        <v>42454</v>
      </c>
      <c r="L73">
        <v>100.10465000000001</v>
      </c>
      <c r="M73">
        <v>100.08799999999999</v>
      </c>
      <c r="N73">
        <v>102.5915</v>
      </c>
      <c r="O73">
        <v>98.843000000000004</v>
      </c>
      <c r="Q73">
        <v>98.051000000000002</v>
      </c>
      <c r="R73">
        <v>106.2885</v>
      </c>
      <c r="S73">
        <v>100.0945</v>
      </c>
      <c r="T73">
        <v>99.189499999999995</v>
      </c>
    </row>
    <row r="74" spans="2:20">
      <c r="B74" s="27">
        <v>42453</v>
      </c>
      <c r="L74">
        <v>100.10465000000001</v>
      </c>
      <c r="M74">
        <v>100.08799999999999</v>
      </c>
      <c r="N74">
        <v>102.5945</v>
      </c>
      <c r="O74">
        <v>98.843000000000004</v>
      </c>
      <c r="Q74">
        <v>98.051000000000002</v>
      </c>
      <c r="R74">
        <v>106.3085</v>
      </c>
      <c r="S74">
        <v>100.0945</v>
      </c>
      <c r="T74">
        <v>99.248500000000007</v>
      </c>
    </row>
    <row r="75" spans="2:20">
      <c r="B75" s="27">
        <v>42452</v>
      </c>
      <c r="L75">
        <v>100.11150000000001</v>
      </c>
      <c r="M75">
        <v>100.10299999999999</v>
      </c>
      <c r="N75">
        <v>102.5715</v>
      </c>
      <c r="O75">
        <v>98.86</v>
      </c>
      <c r="Q75">
        <v>98.045000000000002</v>
      </c>
      <c r="R75">
        <v>106.10550000000001</v>
      </c>
      <c r="S75">
        <v>100.0925</v>
      </c>
      <c r="T75">
        <v>99.250500000000002</v>
      </c>
    </row>
    <row r="76" spans="2:20">
      <c r="B76" s="27">
        <v>42451</v>
      </c>
      <c r="L76">
        <v>100.11839999999999</v>
      </c>
      <c r="M76">
        <v>100.11</v>
      </c>
      <c r="N76">
        <v>102.63800000000001</v>
      </c>
      <c r="O76">
        <v>98.832999999999998</v>
      </c>
      <c r="Q76">
        <v>98.016999999999996</v>
      </c>
      <c r="R76">
        <v>106.35</v>
      </c>
      <c r="S76">
        <v>100.093</v>
      </c>
      <c r="T76">
        <v>99.492500000000007</v>
      </c>
    </row>
    <row r="77" spans="2:20">
      <c r="B77" s="27">
        <v>42450</v>
      </c>
      <c r="L77">
        <v>100.14575000000001</v>
      </c>
      <c r="M77">
        <v>100.14400000000001</v>
      </c>
      <c r="N77">
        <v>102.697</v>
      </c>
      <c r="O77">
        <v>98.924000000000007</v>
      </c>
      <c r="Q77">
        <v>98.01</v>
      </c>
      <c r="R77">
        <v>106.43</v>
      </c>
      <c r="S77">
        <v>100.09099999999999</v>
      </c>
      <c r="T77">
        <v>99.625500000000002</v>
      </c>
    </row>
    <row r="78" spans="2:20">
      <c r="B78" s="27">
        <v>42447</v>
      </c>
      <c r="L78">
        <v>100.15295</v>
      </c>
      <c r="M78">
        <v>100.1515</v>
      </c>
      <c r="N78">
        <v>102.673</v>
      </c>
      <c r="O78">
        <v>98.974999999999994</v>
      </c>
      <c r="Q78">
        <v>98.004000000000005</v>
      </c>
      <c r="R78">
        <v>106.407</v>
      </c>
      <c r="S78">
        <v>100.09</v>
      </c>
      <c r="T78">
        <v>99.660499999999999</v>
      </c>
    </row>
    <row r="79" spans="2:20">
      <c r="B79" s="27">
        <v>42446</v>
      </c>
      <c r="L79">
        <v>100.1596</v>
      </c>
      <c r="M79">
        <v>100.1575</v>
      </c>
      <c r="N79">
        <v>102.706</v>
      </c>
      <c r="O79">
        <v>99.227999999999994</v>
      </c>
      <c r="Q79">
        <v>97.998999999999995</v>
      </c>
      <c r="R79">
        <v>106.4695</v>
      </c>
      <c r="S79">
        <v>100.09099999999999</v>
      </c>
      <c r="T79">
        <v>99.652500000000003</v>
      </c>
    </row>
    <row r="80" spans="2:20">
      <c r="B80" s="27">
        <v>42445</v>
      </c>
      <c r="L80">
        <v>100.1661</v>
      </c>
      <c r="M80">
        <v>100.1645</v>
      </c>
      <c r="N80">
        <v>102.63849999999999</v>
      </c>
      <c r="O80">
        <v>99.21</v>
      </c>
      <c r="Q80">
        <v>97.981999999999999</v>
      </c>
      <c r="R80">
        <v>106.203</v>
      </c>
      <c r="S80">
        <v>100.08799999999999</v>
      </c>
      <c r="T80">
        <v>99.407499999999999</v>
      </c>
    </row>
    <row r="81" spans="2:20">
      <c r="B81" s="27">
        <v>42444</v>
      </c>
      <c r="L81">
        <v>100.1863</v>
      </c>
      <c r="M81">
        <v>100.1845</v>
      </c>
      <c r="N81">
        <v>102.6675</v>
      </c>
      <c r="O81">
        <v>99.197000000000003</v>
      </c>
      <c r="Q81">
        <v>97.977000000000004</v>
      </c>
      <c r="R81">
        <v>106.2195</v>
      </c>
      <c r="S81">
        <v>100.08799999999999</v>
      </c>
      <c r="T81">
        <v>99.536500000000004</v>
      </c>
    </row>
    <row r="82" spans="2:20">
      <c r="B82" s="27">
        <v>42443</v>
      </c>
      <c r="L82">
        <v>100.19305</v>
      </c>
      <c r="M82">
        <v>100.1905</v>
      </c>
      <c r="N82">
        <v>102.62649999999999</v>
      </c>
      <c r="O82">
        <v>99.194000000000003</v>
      </c>
      <c r="Q82">
        <v>97.971000000000004</v>
      </c>
      <c r="R82">
        <v>106.09699999999999</v>
      </c>
      <c r="S82">
        <v>100.0975</v>
      </c>
      <c r="T82">
        <v>99.218500000000006</v>
      </c>
    </row>
    <row r="83" spans="2:20">
      <c r="B83" s="27">
        <v>42440</v>
      </c>
      <c r="L83">
        <v>100.20025</v>
      </c>
      <c r="M83">
        <v>100.19799999999999</v>
      </c>
      <c r="N83">
        <v>102.66549999999999</v>
      </c>
      <c r="O83">
        <v>99.191999999999993</v>
      </c>
      <c r="Q83">
        <v>97.965999999999994</v>
      </c>
      <c r="R83">
        <v>106.2055</v>
      </c>
      <c r="S83">
        <v>100.0985</v>
      </c>
      <c r="T83">
        <v>99.554000000000002</v>
      </c>
    </row>
    <row r="84" spans="2:20">
      <c r="B84" s="27">
        <v>42439</v>
      </c>
      <c r="L84">
        <v>100.2069</v>
      </c>
      <c r="M84">
        <v>100.205</v>
      </c>
      <c r="N84">
        <v>102.7385</v>
      </c>
      <c r="O84">
        <v>99.201999999999998</v>
      </c>
      <c r="Q84">
        <v>97.960999999999999</v>
      </c>
      <c r="R84">
        <v>106.4965</v>
      </c>
      <c r="S84">
        <v>100.0895</v>
      </c>
      <c r="T84">
        <v>99.703999999999994</v>
      </c>
    </row>
    <row r="85" spans="2:20">
      <c r="B85" s="27">
        <v>42438</v>
      </c>
      <c r="L85">
        <v>100.21355</v>
      </c>
      <c r="M85">
        <v>100.211</v>
      </c>
      <c r="N85">
        <v>102.771</v>
      </c>
      <c r="O85">
        <v>99.194999999999993</v>
      </c>
      <c r="Q85">
        <v>97.944999999999993</v>
      </c>
      <c r="R85">
        <v>106.425</v>
      </c>
      <c r="S85">
        <v>100.0895</v>
      </c>
      <c r="T85">
        <v>99.68</v>
      </c>
    </row>
    <row r="86" spans="2:20">
      <c r="B86" s="27">
        <v>42437</v>
      </c>
      <c r="L86">
        <v>100.23309999999999</v>
      </c>
      <c r="M86">
        <v>100.23099999999999</v>
      </c>
      <c r="N86">
        <v>102.79900000000001</v>
      </c>
      <c r="O86">
        <v>99.182000000000002</v>
      </c>
      <c r="Q86">
        <v>97.938000000000002</v>
      </c>
      <c r="R86">
        <v>106.54600000000001</v>
      </c>
      <c r="S86">
        <v>100.0895</v>
      </c>
      <c r="T86">
        <v>99.881500000000003</v>
      </c>
    </row>
    <row r="87" spans="2:20">
      <c r="B87" s="27">
        <v>42436</v>
      </c>
      <c r="L87">
        <v>100.23975</v>
      </c>
      <c r="M87">
        <v>100.23699999999999</v>
      </c>
      <c r="N87">
        <v>102.804</v>
      </c>
      <c r="O87">
        <v>99.159000000000006</v>
      </c>
      <c r="Q87">
        <v>97.933999999999997</v>
      </c>
      <c r="R87">
        <v>106.53</v>
      </c>
      <c r="S87">
        <v>100.09099999999999</v>
      </c>
      <c r="T87">
        <v>99.722499999999997</v>
      </c>
    </row>
    <row r="88" spans="2:20">
      <c r="B88" s="27">
        <v>42433</v>
      </c>
      <c r="L88">
        <v>100.2466</v>
      </c>
      <c r="M88">
        <v>100.2445</v>
      </c>
      <c r="N88">
        <v>102.81399999999999</v>
      </c>
      <c r="O88">
        <v>99.17</v>
      </c>
      <c r="Q88">
        <v>97.933999999999997</v>
      </c>
      <c r="R88">
        <v>106.64</v>
      </c>
      <c r="S88">
        <v>100.09099999999999</v>
      </c>
      <c r="T88">
        <v>99.744500000000002</v>
      </c>
    </row>
    <row r="89" spans="2:20">
      <c r="B89" s="27">
        <v>42432</v>
      </c>
      <c r="L89">
        <v>100.253</v>
      </c>
      <c r="M89">
        <v>100.2505</v>
      </c>
      <c r="N89">
        <v>102.84099999999999</v>
      </c>
      <c r="O89">
        <v>99.200999999999993</v>
      </c>
      <c r="Q89">
        <v>97.929000000000002</v>
      </c>
      <c r="R89">
        <v>106.75449999999999</v>
      </c>
      <c r="S89">
        <v>100.09099999999999</v>
      </c>
      <c r="T89">
        <v>99.816500000000005</v>
      </c>
    </row>
    <row r="90" spans="2:20">
      <c r="B90" s="27">
        <v>42431</v>
      </c>
      <c r="L90">
        <v>100.25985</v>
      </c>
      <c r="M90">
        <v>100.25749999999999</v>
      </c>
      <c r="N90">
        <v>102.88200000000001</v>
      </c>
      <c r="O90">
        <v>99.222999999999999</v>
      </c>
      <c r="Q90">
        <v>97.926000000000002</v>
      </c>
      <c r="R90">
        <v>106.94450000000001</v>
      </c>
      <c r="S90">
        <v>100.09099999999999</v>
      </c>
      <c r="T90">
        <v>100.005</v>
      </c>
    </row>
    <row r="91" spans="2:20">
      <c r="B91" s="27">
        <v>42430</v>
      </c>
      <c r="L91">
        <v>100.27975000000001</v>
      </c>
      <c r="M91">
        <v>100.2765</v>
      </c>
      <c r="N91">
        <v>102.9795</v>
      </c>
      <c r="O91">
        <v>99.207999999999998</v>
      </c>
      <c r="Q91">
        <v>97.911000000000001</v>
      </c>
      <c r="R91">
        <v>107.346</v>
      </c>
      <c r="S91">
        <v>100.09099999999999</v>
      </c>
      <c r="T91">
        <v>100.3625</v>
      </c>
    </row>
    <row r="92" spans="2:20">
      <c r="B92" s="27">
        <v>42429</v>
      </c>
      <c r="L92">
        <v>100.28574999999999</v>
      </c>
      <c r="M92">
        <v>100.2825</v>
      </c>
      <c r="N92">
        <v>102.9965</v>
      </c>
      <c r="O92">
        <v>99.182000000000002</v>
      </c>
      <c r="Q92">
        <v>97.905000000000001</v>
      </c>
      <c r="R92">
        <v>107.259</v>
      </c>
      <c r="S92">
        <v>100.09099999999999</v>
      </c>
      <c r="T92">
        <v>100.3955</v>
      </c>
    </row>
    <row r="93" spans="2:20">
      <c r="B93" s="27">
        <v>42426</v>
      </c>
      <c r="L93">
        <v>100.2923</v>
      </c>
      <c r="M93">
        <v>100.29</v>
      </c>
      <c r="N93">
        <v>102.9815</v>
      </c>
      <c r="O93">
        <v>99.159000000000006</v>
      </c>
      <c r="Q93">
        <v>97.9</v>
      </c>
      <c r="R93">
        <v>107.273</v>
      </c>
      <c r="S93">
        <v>100.0925</v>
      </c>
      <c r="T93">
        <v>100.2565</v>
      </c>
    </row>
    <row r="94" spans="2:20">
      <c r="B94" s="27">
        <v>42425</v>
      </c>
      <c r="L94">
        <v>100.2989</v>
      </c>
      <c r="M94">
        <v>100.29600000000001</v>
      </c>
      <c r="N94">
        <v>103.01349999999999</v>
      </c>
      <c r="O94">
        <v>99.179000000000002</v>
      </c>
      <c r="Q94">
        <v>97.894999999999996</v>
      </c>
      <c r="R94">
        <v>107.2985</v>
      </c>
      <c r="S94">
        <v>100.0925</v>
      </c>
      <c r="T94">
        <v>100.3415</v>
      </c>
    </row>
    <row r="95" spans="2:20">
      <c r="B95" s="27">
        <v>42424</v>
      </c>
      <c r="L95">
        <v>100.32044999999999</v>
      </c>
      <c r="M95">
        <v>100.318</v>
      </c>
      <c r="N95">
        <v>102.9735</v>
      </c>
      <c r="O95">
        <v>99.155000000000001</v>
      </c>
      <c r="Q95">
        <v>97.891000000000005</v>
      </c>
      <c r="R95">
        <v>107.15</v>
      </c>
      <c r="S95">
        <v>100.0925</v>
      </c>
      <c r="T95">
        <v>100.15349999999999</v>
      </c>
    </row>
    <row r="96" spans="2:20">
      <c r="B96" s="27">
        <v>42423</v>
      </c>
      <c r="L96">
        <v>100.33114999999999</v>
      </c>
      <c r="M96">
        <v>100.328</v>
      </c>
      <c r="N96">
        <v>102.988</v>
      </c>
      <c r="O96">
        <v>99.183000000000007</v>
      </c>
      <c r="Q96">
        <v>97.873999999999995</v>
      </c>
      <c r="R96">
        <v>107.0985</v>
      </c>
      <c r="S96">
        <v>100.09350000000001</v>
      </c>
      <c r="T96">
        <v>100.1965</v>
      </c>
    </row>
    <row r="97" spans="2:20">
      <c r="B97" s="27">
        <v>42422</v>
      </c>
      <c r="L97">
        <v>100.3377</v>
      </c>
      <c r="M97">
        <v>100.33450000000001</v>
      </c>
      <c r="N97">
        <v>102.96</v>
      </c>
      <c r="O97">
        <v>99.147000000000006</v>
      </c>
      <c r="Q97">
        <v>97.869</v>
      </c>
      <c r="R97">
        <v>107.0355</v>
      </c>
      <c r="S97">
        <v>100.09350000000001</v>
      </c>
      <c r="T97">
        <v>100.0265</v>
      </c>
    </row>
    <row r="98" spans="2:20">
      <c r="B98" s="27">
        <v>42419</v>
      </c>
      <c r="L98">
        <v>100.34435000000001</v>
      </c>
      <c r="M98">
        <v>100.3415</v>
      </c>
      <c r="N98">
        <v>102.989</v>
      </c>
      <c r="O98">
        <v>99.132999999999996</v>
      </c>
      <c r="Q98">
        <v>97.864000000000004</v>
      </c>
      <c r="R98">
        <v>107.1095</v>
      </c>
      <c r="S98">
        <v>100.09399999999999</v>
      </c>
      <c r="T98">
        <v>99.907499999999999</v>
      </c>
    </row>
    <row r="99" spans="2:20">
      <c r="B99" s="27">
        <v>42418</v>
      </c>
      <c r="L99">
        <v>100.35065</v>
      </c>
      <c r="M99">
        <v>100.3475</v>
      </c>
      <c r="N99">
        <v>102.982</v>
      </c>
      <c r="O99">
        <v>99.119</v>
      </c>
      <c r="Q99">
        <v>97.856999999999999</v>
      </c>
      <c r="R99">
        <v>106.9115</v>
      </c>
      <c r="S99">
        <v>100.09399999999999</v>
      </c>
      <c r="T99">
        <v>99.854500000000002</v>
      </c>
    </row>
    <row r="100" spans="2:20">
      <c r="B100" s="27">
        <v>42417</v>
      </c>
      <c r="L100">
        <v>100.35720000000001</v>
      </c>
      <c r="M100">
        <v>100.3545</v>
      </c>
      <c r="N100">
        <v>102.988</v>
      </c>
      <c r="O100">
        <v>99.117000000000004</v>
      </c>
      <c r="Q100">
        <v>97.852000000000004</v>
      </c>
      <c r="R100">
        <v>106.9495</v>
      </c>
      <c r="S100">
        <v>100.09399999999999</v>
      </c>
      <c r="T100">
        <v>99.985500000000002</v>
      </c>
    </row>
    <row r="101" spans="2:20">
      <c r="B101" s="27">
        <v>42416</v>
      </c>
      <c r="L101">
        <v>100.3762</v>
      </c>
      <c r="M101">
        <v>100.3725</v>
      </c>
      <c r="N101">
        <v>102.98650000000001</v>
      </c>
      <c r="O101">
        <v>99.1</v>
      </c>
      <c r="Q101">
        <v>97.837000000000003</v>
      </c>
      <c r="R101">
        <v>106.86150000000001</v>
      </c>
      <c r="S101">
        <v>100.095</v>
      </c>
      <c r="T101">
        <v>99.783500000000004</v>
      </c>
    </row>
    <row r="102" spans="2:20">
      <c r="B102" s="27">
        <v>42415</v>
      </c>
      <c r="L102">
        <v>100.3826</v>
      </c>
      <c r="M102">
        <v>100.38</v>
      </c>
      <c r="N102">
        <v>102.99250000000001</v>
      </c>
      <c r="O102">
        <v>99.085999999999999</v>
      </c>
      <c r="Q102">
        <v>97.831000000000003</v>
      </c>
      <c r="R102">
        <v>106.9495</v>
      </c>
      <c r="S102">
        <v>100.095</v>
      </c>
      <c r="T102">
        <v>100.014</v>
      </c>
    </row>
    <row r="103" spans="2:20">
      <c r="B103" s="27">
        <v>42412</v>
      </c>
      <c r="L103">
        <v>100.38249999999999</v>
      </c>
      <c r="M103">
        <v>100.38</v>
      </c>
      <c r="N103">
        <v>103.0605</v>
      </c>
      <c r="O103">
        <v>99.072999999999993</v>
      </c>
      <c r="Q103">
        <v>97.826999999999998</v>
      </c>
      <c r="R103">
        <v>107.19799999999999</v>
      </c>
      <c r="S103">
        <v>100.096</v>
      </c>
      <c r="T103">
        <v>100.223</v>
      </c>
    </row>
    <row r="104" spans="2:20">
      <c r="B104" s="27">
        <v>42411</v>
      </c>
      <c r="L104">
        <v>100.38934999999999</v>
      </c>
      <c r="M104">
        <v>100.386</v>
      </c>
      <c r="N104">
        <v>103.13549999999999</v>
      </c>
      <c r="O104">
        <v>99.046999999999997</v>
      </c>
      <c r="Q104">
        <v>97.820999999999998</v>
      </c>
      <c r="R104">
        <v>107.455</v>
      </c>
      <c r="S104">
        <v>100.096</v>
      </c>
      <c r="T104">
        <v>100.3455</v>
      </c>
    </row>
    <row r="105" spans="2:20">
      <c r="B105" s="27">
        <v>42410</v>
      </c>
      <c r="L105">
        <v>100.39534999999999</v>
      </c>
      <c r="M105">
        <v>100.392</v>
      </c>
      <c r="N105">
        <v>103.0745</v>
      </c>
      <c r="O105">
        <v>99.022000000000006</v>
      </c>
      <c r="Q105">
        <v>97.816000000000003</v>
      </c>
      <c r="R105">
        <v>107.217</v>
      </c>
      <c r="S105">
        <v>100.09650000000001</v>
      </c>
      <c r="T105">
        <v>99.994</v>
      </c>
    </row>
    <row r="106" spans="2:20">
      <c r="B106" s="27">
        <v>42409</v>
      </c>
      <c r="L106">
        <v>100.41970000000001</v>
      </c>
      <c r="M106">
        <v>100.416</v>
      </c>
      <c r="N106">
        <v>103.152</v>
      </c>
      <c r="O106">
        <v>99.025999999999996</v>
      </c>
      <c r="Q106">
        <v>97.799000000000007</v>
      </c>
      <c r="R106">
        <v>107.29349999999999</v>
      </c>
      <c r="S106">
        <v>100.0975</v>
      </c>
      <c r="T106">
        <v>100.1895</v>
      </c>
    </row>
    <row r="107" spans="2:20">
      <c r="B107" s="27">
        <v>42408</v>
      </c>
      <c r="L107">
        <v>100.42525000000001</v>
      </c>
      <c r="M107">
        <v>100.4225</v>
      </c>
      <c r="N107">
        <v>103.1</v>
      </c>
      <c r="O107">
        <v>98.99</v>
      </c>
      <c r="Q107">
        <v>97.793999999999997</v>
      </c>
      <c r="R107">
        <v>106.893</v>
      </c>
      <c r="S107">
        <v>100.0975</v>
      </c>
      <c r="T107">
        <v>100.001</v>
      </c>
    </row>
    <row r="108" spans="2:20">
      <c r="B108" s="27">
        <v>42405</v>
      </c>
      <c r="L108">
        <v>100.43095</v>
      </c>
      <c r="M108">
        <v>100.42749999999999</v>
      </c>
      <c r="N108">
        <v>103.127</v>
      </c>
      <c r="O108">
        <v>98.986000000000004</v>
      </c>
      <c r="Q108">
        <v>97.787999999999997</v>
      </c>
      <c r="R108">
        <v>106.96599999999999</v>
      </c>
      <c r="S108">
        <v>100.0975</v>
      </c>
      <c r="T108">
        <v>100.0585</v>
      </c>
    </row>
    <row r="109" spans="2:20">
      <c r="B109" s="27">
        <v>42404</v>
      </c>
      <c r="L109">
        <v>100.4376</v>
      </c>
      <c r="M109">
        <v>100.4345</v>
      </c>
      <c r="N109">
        <v>103.114</v>
      </c>
      <c r="O109">
        <v>99.006</v>
      </c>
      <c r="Q109">
        <v>97.781999999999996</v>
      </c>
      <c r="R109">
        <v>106.901</v>
      </c>
      <c r="S109">
        <v>100.0975</v>
      </c>
      <c r="T109">
        <v>99.933000000000007</v>
      </c>
    </row>
    <row r="110" spans="2:20">
      <c r="B110" s="27">
        <v>42403</v>
      </c>
      <c r="L110">
        <v>100.443</v>
      </c>
      <c r="M110">
        <v>100.4395</v>
      </c>
      <c r="N110">
        <v>103.15</v>
      </c>
      <c r="O110">
        <v>99.004999999999995</v>
      </c>
      <c r="Q110">
        <v>97.778000000000006</v>
      </c>
      <c r="R110">
        <v>106.99850000000001</v>
      </c>
      <c r="S110">
        <v>100.09950000000001</v>
      </c>
      <c r="T110">
        <v>100.11750000000001</v>
      </c>
    </row>
    <row r="111" spans="2:20">
      <c r="B111" s="27">
        <v>42402</v>
      </c>
      <c r="L111">
        <v>100.46120000000001</v>
      </c>
      <c r="M111">
        <v>100.4575</v>
      </c>
      <c r="N111">
        <v>103.16249999999999</v>
      </c>
      <c r="O111">
        <v>98.846000000000004</v>
      </c>
      <c r="Q111">
        <v>97.763999999999996</v>
      </c>
      <c r="R111">
        <v>106.8715</v>
      </c>
      <c r="S111">
        <v>100.101</v>
      </c>
      <c r="T111">
        <v>100.36199999999999</v>
      </c>
    </row>
    <row r="112" spans="2:20">
      <c r="B112" s="27">
        <v>42401</v>
      </c>
      <c r="L112">
        <v>100.46665</v>
      </c>
      <c r="M112">
        <v>100.46299999999999</v>
      </c>
      <c r="N112">
        <v>103.17749999999999</v>
      </c>
      <c r="O112">
        <v>98.938999999999993</v>
      </c>
      <c r="Q112">
        <v>97.759</v>
      </c>
      <c r="R112">
        <v>106.8755</v>
      </c>
      <c r="S112">
        <v>100.102</v>
      </c>
      <c r="T112">
        <v>100.05249999999999</v>
      </c>
    </row>
    <row r="113" spans="2:20">
      <c r="B113" s="27">
        <v>42398</v>
      </c>
      <c r="L113">
        <v>100.47355</v>
      </c>
      <c r="M113">
        <v>100.47</v>
      </c>
      <c r="N113">
        <v>103.1895</v>
      </c>
      <c r="O113">
        <v>98.826999999999998</v>
      </c>
      <c r="Q113">
        <v>97.751000000000005</v>
      </c>
      <c r="R113">
        <v>106.8685</v>
      </c>
      <c r="S113">
        <v>100.1</v>
      </c>
      <c r="T113">
        <v>100.36799999999999</v>
      </c>
    </row>
    <row r="114" spans="2:20">
      <c r="B114" s="27">
        <v>42397</v>
      </c>
      <c r="L114">
        <v>100.4789</v>
      </c>
      <c r="M114">
        <v>100.47499999999999</v>
      </c>
      <c r="N114">
        <v>103.1405</v>
      </c>
      <c r="O114">
        <v>99.004000000000005</v>
      </c>
      <c r="Q114">
        <v>97.747</v>
      </c>
      <c r="R114">
        <v>106.66549999999999</v>
      </c>
      <c r="S114">
        <v>100.101</v>
      </c>
      <c r="T114">
        <v>100.22799999999999</v>
      </c>
    </row>
    <row r="115" spans="2:20">
      <c r="B115" s="27">
        <v>42396</v>
      </c>
      <c r="L115">
        <v>100.48484999999999</v>
      </c>
      <c r="M115">
        <v>100.48099999999999</v>
      </c>
      <c r="N115">
        <v>103.1915</v>
      </c>
      <c r="O115">
        <v>98.858999999999995</v>
      </c>
      <c r="Q115">
        <v>97.742999999999995</v>
      </c>
      <c r="R115">
        <v>106.6795</v>
      </c>
      <c r="S115">
        <v>100.102</v>
      </c>
      <c r="T115">
        <v>100.301</v>
      </c>
    </row>
    <row r="116" spans="2:20">
      <c r="B116" s="27">
        <v>42395</v>
      </c>
      <c r="L116">
        <v>100.5065</v>
      </c>
      <c r="M116">
        <v>100.503</v>
      </c>
      <c r="N116">
        <v>103.238</v>
      </c>
      <c r="O116">
        <v>99.022000000000006</v>
      </c>
      <c r="Q116">
        <v>97.727999999999994</v>
      </c>
      <c r="R116">
        <v>106.8045</v>
      </c>
      <c r="S116">
        <v>100.104</v>
      </c>
      <c r="T116">
        <v>100.178</v>
      </c>
    </row>
    <row r="117" spans="2:20">
      <c r="B117" s="27">
        <v>42394</v>
      </c>
      <c r="L117">
        <v>100.5128</v>
      </c>
      <c r="M117">
        <v>100.509</v>
      </c>
      <c r="N117">
        <v>103.239</v>
      </c>
      <c r="O117">
        <v>99.022000000000006</v>
      </c>
      <c r="Q117">
        <v>97.727999999999994</v>
      </c>
      <c r="R117">
        <v>106.6835</v>
      </c>
      <c r="S117">
        <v>100.104</v>
      </c>
      <c r="T117">
        <v>100.131</v>
      </c>
    </row>
    <row r="118" spans="2:20">
      <c r="B118" s="27">
        <v>42391</v>
      </c>
      <c r="L118">
        <v>100.51935</v>
      </c>
      <c r="M118">
        <v>100.51600000000001</v>
      </c>
      <c r="N118">
        <v>103.23399999999999</v>
      </c>
      <c r="O118">
        <v>98.992000000000004</v>
      </c>
      <c r="Q118">
        <v>97.694999999999993</v>
      </c>
      <c r="R118">
        <v>106.59950000000001</v>
      </c>
      <c r="S118">
        <v>100.1045</v>
      </c>
      <c r="T118">
        <v>100.16</v>
      </c>
    </row>
    <row r="119" spans="2:20">
      <c r="B119" s="27">
        <v>42390</v>
      </c>
      <c r="L119">
        <v>100.52549999999999</v>
      </c>
      <c r="M119">
        <v>100.52249999999999</v>
      </c>
      <c r="N119">
        <v>103.271</v>
      </c>
      <c r="O119">
        <v>98.988</v>
      </c>
      <c r="Q119">
        <v>97.688999999999993</v>
      </c>
      <c r="R119">
        <v>106.79600000000001</v>
      </c>
      <c r="S119">
        <v>100.1045</v>
      </c>
      <c r="T119">
        <v>100.5275</v>
      </c>
    </row>
    <row r="120" spans="2:20">
      <c r="B120" s="27">
        <v>42389</v>
      </c>
      <c r="L120">
        <v>100.5312</v>
      </c>
      <c r="M120">
        <v>100.5275</v>
      </c>
      <c r="N120">
        <v>103.336</v>
      </c>
      <c r="O120">
        <v>98.956999999999994</v>
      </c>
      <c r="Q120">
        <v>97.676000000000002</v>
      </c>
      <c r="R120">
        <v>106.913</v>
      </c>
      <c r="S120">
        <v>100.1035</v>
      </c>
      <c r="T120">
        <v>100.60899999999999</v>
      </c>
    </row>
    <row r="121" spans="2:20">
      <c r="B121" s="27">
        <v>42388</v>
      </c>
      <c r="L121">
        <v>100.5483</v>
      </c>
      <c r="M121">
        <v>100.5445</v>
      </c>
      <c r="N121">
        <v>103.28749999999999</v>
      </c>
      <c r="O121">
        <v>99.018000000000001</v>
      </c>
      <c r="Q121">
        <v>97.691000000000003</v>
      </c>
      <c r="R121">
        <v>106.762</v>
      </c>
      <c r="S121">
        <v>100.1035</v>
      </c>
      <c r="T121">
        <v>100.47199999999999</v>
      </c>
    </row>
    <row r="122" spans="2:20">
      <c r="B122" s="27">
        <v>42387</v>
      </c>
      <c r="L122">
        <v>100.55415000000001</v>
      </c>
      <c r="M122">
        <v>100.5505</v>
      </c>
      <c r="N122">
        <v>103.2915</v>
      </c>
      <c r="O122">
        <v>98.991</v>
      </c>
      <c r="Q122">
        <v>97.685000000000002</v>
      </c>
      <c r="R122">
        <v>106.782</v>
      </c>
      <c r="S122">
        <v>100.10250000000001</v>
      </c>
      <c r="T122">
        <v>100.383</v>
      </c>
    </row>
    <row r="123" spans="2:20">
      <c r="B123" s="27">
        <v>42384</v>
      </c>
      <c r="L123">
        <v>100.55495000000001</v>
      </c>
      <c r="M123">
        <v>100.5515</v>
      </c>
      <c r="N123">
        <v>103.3075</v>
      </c>
      <c r="O123">
        <v>99.037000000000006</v>
      </c>
      <c r="Q123">
        <v>97.679000000000002</v>
      </c>
      <c r="R123">
        <v>106.791</v>
      </c>
      <c r="S123">
        <v>100.1005</v>
      </c>
      <c r="T123">
        <v>100.523</v>
      </c>
    </row>
    <row r="124" spans="2:20">
      <c r="B124" s="27">
        <v>42383</v>
      </c>
      <c r="L124">
        <v>100.56045</v>
      </c>
      <c r="M124">
        <v>100.5565</v>
      </c>
      <c r="N124">
        <v>103.2495</v>
      </c>
      <c r="O124">
        <v>99.06</v>
      </c>
      <c r="Q124">
        <v>97.674000000000007</v>
      </c>
      <c r="R124">
        <v>106.696</v>
      </c>
      <c r="S124">
        <v>100.10299999999999</v>
      </c>
      <c r="T124">
        <v>100.4</v>
      </c>
    </row>
    <row r="125" spans="2:20">
      <c r="B125" s="27">
        <v>42382</v>
      </c>
      <c r="L125">
        <v>100.566</v>
      </c>
      <c r="M125">
        <v>100.563</v>
      </c>
      <c r="N125">
        <v>103.23950000000001</v>
      </c>
      <c r="O125">
        <v>99.081999999999994</v>
      </c>
      <c r="Q125">
        <v>97.668000000000006</v>
      </c>
      <c r="R125">
        <v>106.488</v>
      </c>
      <c r="S125">
        <v>100.101</v>
      </c>
      <c r="T125">
        <v>100.1335</v>
      </c>
    </row>
    <row r="126" spans="2:20">
      <c r="B126" s="27">
        <v>42381</v>
      </c>
      <c r="L126">
        <v>100.58839999999999</v>
      </c>
      <c r="M126">
        <v>100.58499999999999</v>
      </c>
      <c r="N126">
        <v>103.262</v>
      </c>
      <c r="O126">
        <v>99.072999999999993</v>
      </c>
      <c r="Q126">
        <v>97.65</v>
      </c>
      <c r="R126">
        <v>106.503</v>
      </c>
      <c r="S126">
        <v>100.1</v>
      </c>
      <c r="T126">
        <v>99.963499999999996</v>
      </c>
    </row>
    <row r="127" spans="2:20">
      <c r="B127" s="27">
        <v>42380</v>
      </c>
      <c r="L127">
        <v>100.59475</v>
      </c>
      <c r="M127">
        <v>100.59099999999999</v>
      </c>
      <c r="N127">
        <v>103.247</v>
      </c>
      <c r="O127">
        <v>99.046000000000006</v>
      </c>
      <c r="Q127">
        <v>97.644000000000005</v>
      </c>
      <c r="R127">
        <v>106.47499999999999</v>
      </c>
      <c r="S127">
        <v>100.101</v>
      </c>
      <c r="T127">
        <v>100.142</v>
      </c>
    </row>
    <row r="128" spans="2:20">
      <c r="B128" s="27">
        <v>42377</v>
      </c>
      <c r="L128">
        <v>100.6009</v>
      </c>
      <c r="M128">
        <v>100.59699999999999</v>
      </c>
      <c r="N128">
        <v>103.258</v>
      </c>
      <c r="O128">
        <v>99.055999999999997</v>
      </c>
      <c r="Q128">
        <v>97.638999999999996</v>
      </c>
      <c r="R128">
        <v>106.45</v>
      </c>
      <c r="S128">
        <v>100.1</v>
      </c>
      <c r="T128">
        <v>100.14100000000001</v>
      </c>
    </row>
    <row r="129" spans="2:20">
      <c r="B129" s="27">
        <v>42376</v>
      </c>
      <c r="L129">
        <v>100.6079</v>
      </c>
      <c r="M129">
        <v>100.6045</v>
      </c>
      <c r="N129">
        <v>103.295</v>
      </c>
      <c r="O129">
        <v>99.016000000000005</v>
      </c>
      <c r="Q129">
        <v>97.632999999999996</v>
      </c>
      <c r="R129">
        <v>106.6615</v>
      </c>
      <c r="S129">
        <v>100.1</v>
      </c>
      <c r="T129">
        <v>100.5705</v>
      </c>
    </row>
    <row r="130" spans="2:20">
      <c r="B130" s="27">
        <v>42375</v>
      </c>
      <c r="L130">
        <v>100.61295</v>
      </c>
      <c r="M130">
        <v>100.6095</v>
      </c>
      <c r="N130">
        <v>103.26600000000001</v>
      </c>
      <c r="O130">
        <v>98.988</v>
      </c>
      <c r="Q130">
        <v>97.626999999999995</v>
      </c>
      <c r="R130">
        <v>106.5335</v>
      </c>
      <c r="S130">
        <v>100.099</v>
      </c>
      <c r="T130">
        <v>100.3985</v>
      </c>
    </row>
    <row r="131" spans="2:20">
      <c r="B131" s="27">
        <v>42374</v>
      </c>
      <c r="L131">
        <v>100.63124999999999</v>
      </c>
      <c r="M131">
        <v>100.6275</v>
      </c>
      <c r="N131">
        <v>103.3</v>
      </c>
      <c r="O131">
        <v>98.941999999999993</v>
      </c>
      <c r="Q131">
        <v>97.608999999999995</v>
      </c>
      <c r="R131">
        <v>106.5365</v>
      </c>
      <c r="S131">
        <v>100.0985</v>
      </c>
      <c r="T131">
        <v>100.2355</v>
      </c>
    </row>
    <row r="132" spans="2:20">
      <c r="B132" s="27">
        <v>42373</v>
      </c>
      <c r="L132">
        <v>100.63865</v>
      </c>
      <c r="M132">
        <v>100.6345</v>
      </c>
      <c r="N132">
        <v>103.29949999999999</v>
      </c>
      <c r="O132">
        <v>98.902000000000001</v>
      </c>
      <c r="Q132">
        <v>97.603999999999999</v>
      </c>
      <c r="R132">
        <v>106.5665</v>
      </c>
      <c r="S132">
        <v>100.0975</v>
      </c>
      <c r="T132">
        <v>100.3805</v>
      </c>
    </row>
    <row r="133" spans="2:20">
      <c r="B133" s="27">
        <v>42370</v>
      </c>
      <c r="L133">
        <v>100.6442</v>
      </c>
      <c r="M133">
        <v>100.6405</v>
      </c>
      <c r="N133">
        <v>103.2535</v>
      </c>
      <c r="O133">
        <v>98.91</v>
      </c>
      <c r="Q133">
        <v>97.596000000000004</v>
      </c>
      <c r="R133">
        <v>106.34950000000001</v>
      </c>
      <c r="S133">
        <v>100.09050000000001</v>
      </c>
      <c r="T133">
        <v>99.953999999999994</v>
      </c>
    </row>
    <row r="134" spans="2:20">
      <c r="B134" s="27">
        <v>42369</v>
      </c>
      <c r="L134">
        <v>100.6442</v>
      </c>
      <c r="M134">
        <v>100.6405</v>
      </c>
      <c r="N134">
        <v>103.2625</v>
      </c>
      <c r="O134">
        <v>98.91</v>
      </c>
      <c r="Q134">
        <v>97.596000000000004</v>
      </c>
      <c r="R134">
        <v>106.3535</v>
      </c>
      <c r="S134">
        <v>100.09050000000001</v>
      </c>
      <c r="T134">
        <v>99.953999999999994</v>
      </c>
    </row>
    <row r="135" spans="2:20">
      <c r="B135" s="27">
        <v>42368</v>
      </c>
      <c r="L135">
        <v>100.65015</v>
      </c>
      <c r="M135">
        <v>100.64700000000001</v>
      </c>
      <c r="N135">
        <v>103.2675</v>
      </c>
      <c r="O135">
        <v>98.855999999999995</v>
      </c>
      <c r="Q135">
        <v>97.590999999999994</v>
      </c>
      <c r="R135">
        <v>106.4515</v>
      </c>
      <c r="S135">
        <v>100.0915</v>
      </c>
      <c r="T135">
        <v>99.932000000000002</v>
      </c>
    </row>
    <row r="136" spans="2:20">
      <c r="B136" s="27">
        <v>42367</v>
      </c>
      <c r="L136">
        <v>100.65774999999999</v>
      </c>
      <c r="M136">
        <v>100.654</v>
      </c>
      <c r="N136">
        <v>103.28749999999999</v>
      </c>
      <c r="O136">
        <v>98.826999999999998</v>
      </c>
      <c r="Q136">
        <v>97.584000000000003</v>
      </c>
      <c r="R136">
        <v>106.523</v>
      </c>
      <c r="S136">
        <v>100.0915</v>
      </c>
      <c r="T136">
        <v>100.03749999999999</v>
      </c>
    </row>
    <row r="137" spans="2:20">
      <c r="B137" s="27">
        <v>42366</v>
      </c>
      <c r="L137">
        <v>100.667</v>
      </c>
      <c r="M137">
        <v>100.663</v>
      </c>
      <c r="N137">
        <v>103.367</v>
      </c>
      <c r="O137">
        <v>98.777000000000001</v>
      </c>
      <c r="Q137">
        <v>97.561000000000007</v>
      </c>
      <c r="R137">
        <v>106.321</v>
      </c>
      <c r="S137">
        <v>100.0925</v>
      </c>
      <c r="T137">
        <v>99.990499999999997</v>
      </c>
    </row>
    <row r="138" spans="2:20">
      <c r="B138" s="27">
        <v>42363</v>
      </c>
      <c r="L138">
        <v>100.68210000000001</v>
      </c>
      <c r="M138">
        <v>100.678</v>
      </c>
      <c r="N138">
        <v>103.34099999999999</v>
      </c>
      <c r="O138">
        <v>98.777000000000001</v>
      </c>
      <c r="Q138">
        <v>97.561000000000007</v>
      </c>
      <c r="R138">
        <v>106.31699999999999</v>
      </c>
      <c r="S138">
        <v>100.0925</v>
      </c>
      <c r="T138">
        <v>99.9345</v>
      </c>
    </row>
    <row r="139" spans="2:20">
      <c r="B139" s="27">
        <v>42362</v>
      </c>
      <c r="L139">
        <v>100.68210000000001</v>
      </c>
      <c r="M139">
        <v>100.678</v>
      </c>
      <c r="N139">
        <v>103.351</v>
      </c>
      <c r="O139">
        <v>98.777000000000001</v>
      </c>
      <c r="Q139">
        <v>97.561000000000007</v>
      </c>
      <c r="R139">
        <v>106.349</v>
      </c>
      <c r="S139">
        <v>100.0925</v>
      </c>
      <c r="T139">
        <v>99.9345</v>
      </c>
    </row>
    <row r="140" spans="2:20">
      <c r="B140" s="27">
        <v>42361</v>
      </c>
      <c r="L140">
        <v>100.6879</v>
      </c>
      <c r="M140">
        <v>100.684</v>
      </c>
      <c r="N140">
        <v>103.333</v>
      </c>
      <c r="O140">
        <v>98.864000000000004</v>
      </c>
      <c r="Q140">
        <v>97.555999999999997</v>
      </c>
      <c r="R140">
        <v>106.46299999999999</v>
      </c>
      <c r="S140">
        <v>100.0925</v>
      </c>
      <c r="T140">
        <v>99.948499999999996</v>
      </c>
    </row>
    <row r="141" spans="2:20">
      <c r="B141" s="27">
        <v>42360</v>
      </c>
      <c r="L141">
        <v>100.69625000000001</v>
      </c>
      <c r="M141">
        <v>100.69199999999999</v>
      </c>
      <c r="N141">
        <v>103.322</v>
      </c>
      <c r="O141">
        <v>98.963999999999999</v>
      </c>
      <c r="Q141">
        <v>97.55</v>
      </c>
      <c r="R141">
        <v>106.47</v>
      </c>
      <c r="S141">
        <v>100.0955</v>
      </c>
      <c r="T141">
        <v>99.953500000000005</v>
      </c>
    </row>
    <row r="142" spans="2:20">
      <c r="B142" s="27">
        <v>42359</v>
      </c>
      <c r="L142">
        <v>100.72024999999999</v>
      </c>
      <c r="M142">
        <v>100.7165</v>
      </c>
      <c r="N142">
        <v>103.386</v>
      </c>
      <c r="O142">
        <v>98.977000000000004</v>
      </c>
      <c r="Q142">
        <v>97.521000000000001</v>
      </c>
      <c r="R142">
        <v>106.4455</v>
      </c>
      <c r="S142">
        <v>100.096</v>
      </c>
      <c r="T142">
        <v>100.03700000000001</v>
      </c>
    </row>
    <row r="143" spans="2:20">
      <c r="B143" s="27">
        <v>42356</v>
      </c>
      <c r="L143">
        <v>100.7281</v>
      </c>
      <c r="M143">
        <v>100.72450000000001</v>
      </c>
      <c r="N143">
        <v>103.38249999999999</v>
      </c>
      <c r="O143">
        <v>98.974000000000004</v>
      </c>
      <c r="Q143">
        <v>97.516000000000005</v>
      </c>
      <c r="R143">
        <v>106.4545</v>
      </c>
      <c r="S143">
        <v>100.09699999999999</v>
      </c>
      <c r="T143">
        <v>100.25449999999999</v>
      </c>
    </row>
    <row r="144" spans="2:20">
      <c r="B144" s="27">
        <v>42355</v>
      </c>
      <c r="L144">
        <v>100.73865000000001</v>
      </c>
      <c r="M144">
        <v>100.7345</v>
      </c>
      <c r="N144">
        <v>103.3595</v>
      </c>
      <c r="O144">
        <v>98.971999999999994</v>
      </c>
      <c r="Q144">
        <v>97.51</v>
      </c>
      <c r="R144">
        <v>106.23050000000001</v>
      </c>
      <c r="S144">
        <v>100.09699999999999</v>
      </c>
      <c r="T144">
        <v>99.843000000000004</v>
      </c>
    </row>
    <row r="145" spans="2:20">
      <c r="B145" s="27">
        <v>42354</v>
      </c>
      <c r="L145">
        <v>100.75515</v>
      </c>
      <c r="M145">
        <v>100.75149999999999</v>
      </c>
      <c r="N145">
        <v>103.32550000000001</v>
      </c>
      <c r="O145">
        <v>98.981999999999999</v>
      </c>
      <c r="Q145">
        <v>97.504000000000005</v>
      </c>
      <c r="R145">
        <v>106.099</v>
      </c>
      <c r="S145">
        <v>100.098</v>
      </c>
      <c r="T145">
        <v>99.768000000000001</v>
      </c>
    </row>
    <row r="146" spans="2:20">
      <c r="B146" s="27">
        <v>42353</v>
      </c>
      <c r="L146">
        <v>100.77555</v>
      </c>
      <c r="M146">
        <v>100.77200000000001</v>
      </c>
      <c r="N146">
        <v>103.36450000000001</v>
      </c>
      <c r="O146">
        <v>98.984999999999999</v>
      </c>
      <c r="Q146">
        <v>97.484999999999999</v>
      </c>
      <c r="R146">
        <v>106.2385</v>
      </c>
      <c r="S146">
        <v>100.09350000000001</v>
      </c>
      <c r="T146">
        <v>100.02549999999999</v>
      </c>
    </row>
    <row r="147" spans="2:20">
      <c r="B147" s="27">
        <v>42352</v>
      </c>
      <c r="L147">
        <v>100.7839</v>
      </c>
      <c r="M147">
        <v>100.78100000000001</v>
      </c>
      <c r="N147">
        <v>103.3755</v>
      </c>
      <c r="O147">
        <v>98.944999999999993</v>
      </c>
      <c r="Q147">
        <v>97.480999999999995</v>
      </c>
      <c r="R147">
        <v>106.20650000000001</v>
      </c>
      <c r="S147">
        <v>100.0535</v>
      </c>
      <c r="T147">
        <v>99.808000000000007</v>
      </c>
    </row>
    <row r="148" spans="2:20">
      <c r="B148" s="27">
        <v>42349</v>
      </c>
      <c r="L148">
        <v>100.7912</v>
      </c>
      <c r="M148">
        <v>100.788</v>
      </c>
      <c r="N148">
        <v>103.4045</v>
      </c>
      <c r="O148">
        <v>98.956000000000003</v>
      </c>
      <c r="Q148">
        <v>97.474999999999994</v>
      </c>
      <c r="R148">
        <v>106.09650000000001</v>
      </c>
      <c r="S148">
        <v>100.0545</v>
      </c>
      <c r="T148">
        <v>99.849000000000004</v>
      </c>
    </row>
    <row r="149" spans="2:20">
      <c r="B149" s="27">
        <v>42348</v>
      </c>
      <c r="L149">
        <v>100.80045</v>
      </c>
      <c r="M149">
        <v>100.797</v>
      </c>
      <c r="N149">
        <v>103.371</v>
      </c>
      <c r="O149">
        <v>98.938999999999993</v>
      </c>
      <c r="Q149">
        <v>97.47</v>
      </c>
      <c r="R149">
        <v>105.9975</v>
      </c>
      <c r="S149">
        <v>100.05249999999999</v>
      </c>
      <c r="T149">
        <v>99.902500000000003</v>
      </c>
    </row>
    <row r="150" spans="2:20">
      <c r="B150" s="27">
        <v>42347</v>
      </c>
      <c r="L150">
        <v>100.8092</v>
      </c>
      <c r="M150">
        <v>100.806</v>
      </c>
      <c r="N150">
        <v>103.42400000000001</v>
      </c>
      <c r="O150">
        <v>98.929000000000002</v>
      </c>
      <c r="Q150">
        <v>97.468000000000004</v>
      </c>
      <c r="R150">
        <v>106.2375</v>
      </c>
      <c r="S150">
        <v>100.09399999999999</v>
      </c>
      <c r="T150">
        <v>100.1045</v>
      </c>
    </row>
    <row r="151" spans="2:20">
      <c r="B151" s="27">
        <v>42346</v>
      </c>
      <c r="L151">
        <v>100.82895000000001</v>
      </c>
      <c r="M151">
        <v>100.82550000000001</v>
      </c>
      <c r="N151">
        <v>103.51</v>
      </c>
      <c r="O151">
        <v>98.921999999999997</v>
      </c>
      <c r="Q151">
        <v>97.451999999999998</v>
      </c>
      <c r="R151">
        <v>106.229</v>
      </c>
      <c r="S151">
        <v>100.09399999999999</v>
      </c>
      <c r="T151">
        <v>100.13200000000001</v>
      </c>
    </row>
    <row r="152" spans="2:20">
      <c r="B152" s="27">
        <v>42345</v>
      </c>
      <c r="L152">
        <v>100.83799999999999</v>
      </c>
      <c r="M152">
        <v>100.83450000000001</v>
      </c>
      <c r="N152">
        <v>103.45099999999999</v>
      </c>
      <c r="O152">
        <v>98.891000000000005</v>
      </c>
      <c r="Q152">
        <v>97.444999999999993</v>
      </c>
      <c r="R152">
        <v>106.039</v>
      </c>
      <c r="S152">
        <v>100.093</v>
      </c>
      <c r="T152">
        <v>99.892499999999998</v>
      </c>
    </row>
    <row r="153" spans="2:20">
      <c r="B153" s="27">
        <v>42342</v>
      </c>
      <c r="L153">
        <v>100.84975</v>
      </c>
      <c r="M153">
        <v>100.84650000000001</v>
      </c>
      <c r="N153">
        <v>103.41</v>
      </c>
      <c r="O153">
        <v>98.929000000000002</v>
      </c>
      <c r="Q153">
        <v>97.438999999999993</v>
      </c>
      <c r="R153">
        <v>105.99</v>
      </c>
      <c r="S153">
        <v>100.093</v>
      </c>
      <c r="T153">
        <v>99.608500000000006</v>
      </c>
    </row>
    <row r="154" spans="2:20">
      <c r="B154" s="27">
        <v>42341</v>
      </c>
      <c r="L154">
        <v>100.85885</v>
      </c>
      <c r="M154">
        <v>100.85550000000001</v>
      </c>
      <c r="N154">
        <v>103.45350000000001</v>
      </c>
      <c r="O154">
        <v>98.966999999999999</v>
      </c>
      <c r="Q154">
        <v>97.433999999999997</v>
      </c>
      <c r="R154">
        <v>106.233</v>
      </c>
      <c r="S154">
        <v>100.092</v>
      </c>
      <c r="T154">
        <v>100.048</v>
      </c>
    </row>
    <row r="155" spans="2:20">
      <c r="B155" s="27">
        <v>42340</v>
      </c>
      <c r="L155">
        <v>100.8703</v>
      </c>
      <c r="M155">
        <v>100.86750000000001</v>
      </c>
      <c r="N155">
        <v>103.5085</v>
      </c>
      <c r="O155">
        <v>98.968000000000004</v>
      </c>
      <c r="Q155">
        <v>97.43</v>
      </c>
      <c r="R155">
        <v>106.31399999999999</v>
      </c>
      <c r="S155">
        <v>100.0925</v>
      </c>
      <c r="T155">
        <v>100.117</v>
      </c>
    </row>
    <row r="156" spans="2:20">
      <c r="B156" s="27">
        <v>42339</v>
      </c>
      <c r="L156">
        <v>100.8917</v>
      </c>
      <c r="M156">
        <v>100.889</v>
      </c>
      <c r="N156">
        <v>103.4935</v>
      </c>
      <c r="O156">
        <v>98.974999999999994</v>
      </c>
      <c r="Q156">
        <v>97.415000000000006</v>
      </c>
      <c r="R156">
        <v>106.24850000000001</v>
      </c>
      <c r="S156">
        <v>100.0925</v>
      </c>
      <c r="T156">
        <v>100.09</v>
      </c>
    </row>
    <row r="157" spans="2:20">
      <c r="B157" s="27">
        <v>42338</v>
      </c>
      <c r="L157">
        <v>100.8994</v>
      </c>
      <c r="M157">
        <v>100.89700000000001</v>
      </c>
      <c r="N157">
        <v>103.57250000000001</v>
      </c>
      <c r="O157">
        <v>98.932000000000002</v>
      </c>
      <c r="Q157">
        <v>97.409000000000006</v>
      </c>
      <c r="R157">
        <v>106.27549999999999</v>
      </c>
      <c r="S157">
        <v>100.0915</v>
      </c>
      <c r="T157">
        <v>100.041</v>
      </c>
    </row>
    <row r="158" spans="2:20">
      <c r="B158" s="27">
        <v>42335</v>
      </c>
      <c r="L158">
        <v>100.90675</v>
      </c>
      <c r="M158">
        <v>100.904</v>
      </c>
      <c r="N158">
        <v>103.5565</v>
      </c>
      <c r="O158">
        <v>98.93</v>
      </c>
      <c r="Q158">
        <v>97.405000000000001</v>
      </c>
      <c r="R158">
        <v>106.34950000000001</v>
      </c>
      <c r="S158">
        <v>100.0925</v>
      </c>
      <c r="T158">
        <v>100.1985</v>
      </c>
    </row>
    <row r="159" spans="2:20">
      <c r="B159" s="27">
        <v>42334</v>
      </c>
      <c r="L159">
        <v>100.9128</v>
      </c>
      <c r="M159">
        <v>100.91</v>
      </c>
      <c r="N159">
        <v>103.596</v>
      </c>
      <c r="O159">
        <v>98.9</v>
      </c>
      <c r="Q159">
        <v>97.399000000000001</v>
      </c>
      <c r="R159">
        <v>106.42449999999999</v>
      </c>
      <c r="S159">
        <v>100.0915</v>
      </c>
      <c r="T159">
        <v>100.3305</v>
      </c>
    </row>
    <row r="160" spans="2:20">
      <c r="B160" s="27">
        <v>42333</v>
      </c>
      <c r="L160">
        <v>100.9149</v>
      </c>
      <c r="M160">
        <v>100.91200000000001</v>
      </c>
      <c r="N160">
        <v>103.56699999999999</v>
      </c>
      <c r="O160">
        <v>98.899000000000001</v>
      </c>
      <c r="Q160">
        <v>97.394000000000005</v>
      </c>
      <c r="R160">
        <v>106.3085</v>
      </c>
      <c r="S160">
        <v>100.0925</v>
      </c>
      <c r="T160">
        <v>100.1365</v>
      </c>
    </row>
    <row r="161" spans="2:20">
      <c r="B161" s="27">
        <v>42332</v>
      </c>
      <c r="L161">
        <v>100.92310000000001</v>
      </c>
      <c r="M161">
        <v>100.92</v>
      </c>
      <c r="N161">
        <v>103.60299999999999</v>
      </c>
      <c r="O161">
        <v>98.646000000000001</v>
      </c>
      <c r="Q161">
        <v>97.378</v>
      </c>
      <c r="R161">
        <v>106.2655</v>
      </c>
      <c r="S161">
        <v>100.09099999999999</v>
      </c>
      <c r="T161">
        <v>100.1215</v>
      </c>
    </row>
    <row r="162" spans="2:20">
      <c r="B162" s="27">
        <v>42331</v>
      </c>
      <c r="L162">
        <v>100.9439</v>
      </c>
      <c r="M162">
        <v>100.9415</v>
      </c>
      <c r="N162">
        <v>103.572</v>
      </c>
      <c r="O162">
        <v>98.631</v>
      </c>
      <c r="Q162">
        <v>97.373000000000005</v>
      </c>
      <c r="R162">
        <v>106.1165</v>
      </c>
      <c r="S162">
        <v>100.09099999999999</v>
      </c>
      <c r="T162">
        <v>99.995500000000007</v>
      </c>
    </row>
    <row r="163" spans="2:20">
      <c r="B163" s="27">
        <v>42328</v>
      </c>
      <c r="L163">
        <v>100.96065</v>
      </c>
      <c r="M163">
        <v>100.9585</v>
      </c>
      <c r="N163">
        <v>103.622</v>
      </c>
      <c r="O163">
        <v>98.643000000000001</v>
      </c>
      <c r="Q163">
        <v>97.369</v>
      </c>
      <c r="R163">
        <v>106.223</v>
      </c>
      <c r="S163">
        <v>100.092</v>
      </c>
      <c r="T163">
        <v>100.0175</v>
      </c>
    </row>
    <row r="164" spans="2:20">
      <c r="B164" s="27">
        <v>42327</v>
      </c>
      <c r="L164">
        <v>100.9688</v>
      </c>
      <c r="M164">
        <v>100.9665</v>
      </c>
      <c r="N164">
        <v>103.60299999999999</v>
      </c>
      <c r="O164">
        <v>98.653999999999996</v>
      </c>
      <c r="Q164">
        <v>97.363</v>
      </c>
      <c r="R164">
        <v>106.20399999999999</v>
      </c>
      <c r="S164">
        <v>100.09099999999999</v>
      </c>
      <c r="T164">
        <v>100.0635</v>
      </c>
    </row>
    <row r="165" spans="2:20">
      <c r="B165" s="27">
        <v>42326</v>
      </c>
      <c r="L165">
        <v>100.97735</v>
      </c>
      <c r="M165">
        <v>100.97450000000001</v>
      </c>
      <c r="N165">
        <v>103.6365</v>
      </c>
      <c r="O165">
        <v>98.625</v>
      </c>
      <c r="Q165">
        <v>97.358999999999995</v>
      </c>
      <c r="R165">
        <v>106.259</v>
      </c>
      <c r="S165">
        <v>100.092</v>
      </c>
      <c r="T165">
        <v>100.139</v>
      </c>
    </row>
    <row r="166" spans="2:20">
      <c r="B166" s="27">
        <v>42325</v>
      </c>
      <c r="L166">
        <v>100.9965</v>
      </c>
      <c r="M166">
        <v>100.994</v>
      </c>
      <c r="N166">
        <v>103.6455</v>
      </c>
      <c r="O166">
        <v>98.617999999999995</v>
      </c>
      <c r="Q166">
        <v>97.343000000000004</v>
      </c>
      <c r="R166">
        <v>106.23</v>
      </c>
      <c r="S166">
        <v>100.0915</v>
      </c>
      <c r="T166">
        <v>100.15</v>
      </c>
    </row>
    <row r="167" spans="2:20">
      <c r="B167" s="27">
        <v>42324</v>
      </c>
      <c r="L167">
        <v>101.08374999999999</v>
      </c>
      <c r="M167">
        <v>101.08199999999999</v>
      </c>
      <c r="N167">
        <v>103.6755</v>
      </c>
      <c r="O167">
        <v>98.602999999999994</v>
      </c>
      <c r="Q167">
        <v>97.338999999999999</v>
      </c>
      <c r="R167">
        <v>106.32550000000001</v>
      </c>
      <c r="S167">
        <v>100.0925</v>
      </c>
      <c r="T167">
        <v>100.086</v>
      </c>
    </row>
    <row r="168" spans="2:20">
      <c r="B168" s="27">
        <v>42321</v>
      </c>
      <c r="L168">
        <v>101.08995</v>
      </c>
      <c r="M168">
        <v>101.08799999999999</v>
      </c>
      <c r="N168">
        <v>103.6455</v>
      </c>
      <c r="O168">
        <v>98.581000000000003</v>
      </c>
      <c r="Q168">
        <v>97.33</v>
      </c>
      <c r="R168">
        <v>106.155</v>
      </c>
      <c r="S168">
        <v>100.09050000000001</v>
      </c>
      <c r="T168">
        <v>100.001</v>
      </c>
    </row>
    <row r="169" spans="2:20">
      <c r="B169" s="27">
        <v>42320</v>
      </c>
      <c r="L169">
        <v>101.09739999999999</v>
      </c>
      <c r="M169">
        <v>101.095</v>
      </c>
      <c r="N169">
        <v>103.6825</v>
      </c>
      <c r="O169">
        <v>98.626000000000005</v>
      </c>
      <c r="Q169">
        <v>97.331000000000003</v>
      </c>
      <c r="R169">
        <v>106.125</v>
      </c>
      <c r="S169">
        <v>100.09350000000001</v>
      </c>
      <c r="T169">
        <v>100.128</v>
      </c>
    </row>
    <row r="170" spans="2:20">
      <c r="B170" s="27">
        <v>42319</v>
      </c>
      <c r="L170">
        <v>101.10565</v>
      </c>
      <c r="M170">
        <v>101.10299999999999</v>
      </c>
      <c r="N170">
        <v>103.77200000000001</v>
      </c>
      <c r="O170">
        <v>98.623000000000005</v>
      </c>
      <c r="Q170">
        <v>97.325000000000003</v>
      </c>
      <c r="R170">
        <v>106.4935</v>
      </c>
      <c r="S170">
        <v>100.0925</v>
      </c>
      <c r="T170">
        <v>100.4145</v>
      </c>
    </row>
    <row r="171" spans="2:20">
      <c r="B171" s="27">
        <v>42318</v>
      </c>
      <c r="L171">
        <v>101.10695</v>
      </c>
      <c r="M171">
        <v>101.105</v>
      </c>
      <c r="N171">
        <v>103.80200000000001</v>
      </c>
      <c r="O171">
        <v>98.632000000000005</v>
      </c>
      <c r="Q171">
        <v>97.311000000000007</v>
      </c>
      <c r="R171">
        <v>106.44750000000001</v>
      </c>
      <c r="S171">
        <v>100.095</v>
      </c>
      <c r="T171">
        <v>100.28449999999999</v>
      </c>
    </row>
    <row r="172" spans="2:20">
      <c r="B172" s="27">
        <v>42317</v>
      </c>
      <c r="L172">
        <v>101.12515</v>
      </c>
      <c r="M172">
        <v>101.12350000000001</v>
      </c>
      <c r="N172">
        <v>103.81399999999999</v>
      </c>
      <c r="O172">
        <v>98.629000000000005</v>
      </c>
      <c r="Q172">
        <v>97.305999999999997</v>
      </c>
      <c r="R172">
        <v>106.45399999999999</v>
      </c>
      <c r="S172">
        <v>100.09399999999999</v>
      </c>
      <c r="T172">
        <v>100.2705</v>
      </c>
    </row>
    <row r="173" spans="2:20">
      <c r="B173" s="27">
        <v>42314</v>
      </c>
      <c r="L173">
        <v>101.14055</v>
      </c>
      <c r="M173">
        <v>101.13849999999999</v>
      </c>
      <c r="N173">
        <v>103.905</v>
      </c>
      <c r="O173">
        <v>98.67</v>
      </c>
      <c r="Q173">
        <v>97.301000000000002</v>
      </c>
      <c r="R173">
        <v>106.804</v>
      </c>
      <c r="S173">
        <v>100.095</v>
      </c>
      <c r="T173">
        <v>100.565</v>
      </c>
    </row>
    <row r="174" spans="2:20">
      <c r="B174" s="27">
        <v>42313</v>
      </c>
      <c r="L174">
        <v>101.15309999999999</v>
      </c>
      <c r="M174">
        <v>101.1515</v>
      </c>
      <c r="N174">
        <v>103.9515</v>
      </c>
      <c r="O174">
        <v>98.665999999999997</v>
      </c>
      <c r="Q174">
        <v>97.295000000000002</v>
      </c>
      <c r="R174">
        <v>106.88549999999999</v>
      </c>
      <c r="S174">
        <v>100.09399999999999</v>
      </c>
      <c r="T174">
        <v>100.55</v>
      </c>
    </row>
    <row r="175" spans="2:20">
      <c r="B175" s="27">
        <v>42312</v>
      </c>
      <c r="L175">
        <v>101.16345</v>
      </c>
      <c r="M175">
        <v>101.1615</v>
      </c>
      <c r="N175">
        <v>103.96250000000001</v>
      </c>
      <c r="O175">
        <v>98.638999999999996</v>
      </c>
      <c r="Q175">
        <v>97.293000000000006</v>
      </c>
      <c r="R175">
        <v>107.12949999999999</v>
      </c>
      <c r="S175">
        <v>100.09699999999999</v>
      </c>
      <c r="T175">
        <v>100.71250000000001</v>
      </c>
    </row>
    <row r="176" spans="2:20">
      <c r="B176" s="27">
        <v>42311</v>
      </c>
      <c r="L176">
        <v>101.18415</v>
      </c>
      <c r="M176">
        <v>101.18300000000001</v>
      </c>
      <c r="N176">
        <v>104.0305</v>
      </c>
      <c r="O176">
        <v>98.662000000000006</v>
      </c>
      <c r="Q176">
        <v>97.293000000000006</v>
      </c>
      <c r="R176">
        <v>107.21899999999999</v>
      </c>
      <c r="S176">
        <v>100.10550000000001</v>
      </c>
      <c r="T176">
        <v>100.7085</v>
      </c>
    </row>
    <row r="177" spans="2:20">
      <c r="B177" s="27">
        <v>42310</v>
      </c>
      <c r="L177">
        <v>101.19095</v>
      </c>
      <c r="M177">
        <v>101.18899999999999</v>
      </c>
      <c r="N177">
        <v>104.1015</v>
      </c>
      <c r="O177">
        <v>98.686999999999998</v>
      </c>
      <c r="Q177">
        <v>97.287000000000006</v>
      </c>
      <c r="R177">
        <v>107.41500000000001</v>
      </c>
      <c r="S177">
        <v>100.10550000000001</v>
      </c>
      <c r="T177">
        <v>100.8575</v>
      </c>
    </row>
    <row r="178" spans="2:20">
      <c r="B178" s="27">
        <v>42307</v>
      </c>
      <c r="L178">
        <v>101.19889999999999</v>
      </c>
      <c r="M178">
        <v>101.197</v>
      </c>
      <c r="N178">
        <v>104.133</v>
      </c>
      <c r="O178">
        <v>98.67</v>
      </c>
      <c r="Q178">
        <v>97.281000000000006</v>
      </c>
      <c r="R178">
        <v>107.47450000000001</v>
      </c>
      <c r="S178">
        <v>100.1045</v>
      </c>
      <c r="T178">
        <v>100.989</v>
      </c>
    </row>
    <row r="179" spans="2:20">
      <c r="B179" s="27">
        <v>42306</v>
      </c>
      <c r="L179">
        <v>101.20675</v>
      </c>
      <c r="M179">
        <v>101.205</v>
      </c>
      <c r="N179">
        <v>104.142</v>
      </c>
      <c r="O179">
        <v>98.697999999999993</v>
      </c>
      <c r="Q179">
        <v>97.278000000000006</v>
      </c>
      <c r="R179">
        <v>107.45950000000001</v>
      </c>
      <c r="S179">
        <v>100.1065</v>
      </c>
      <c r="T179">
        <v>100.992</v>
      </c>
    </row>
    <row r="180" spans="2:20">
      <c r="B180" s="27">
        <v>42305</v>
      </c>
      <c r="L180">
        <v>101.21935000000001</v>
      </c>
      <c r="M180">
        <v>101.218</v>
      </c>
      <c r="N180">
        <v>104.104</v>
      </c>
      <c r="O180">
        <v>98.671000000000006</v>
      </c>
      <c r="Q180">
        <v>97.263999999999996</v>
      </c>
      <c r="R180">
        <v>107.5275</v>
      </c>
      <c r="S180">
        <v>100.1015</v>
      </c>
      <c r="T180">
        <v>100.90300000000001</v>
      </c>
    </row>
    <row r="181" spans="2:20">
      <c r="B181" s="27">
        <v>42304</v>
      </c>
      <c r="L181">
        <v>101.23165</v>
      </c>
      <c r="M181">
        <v>101.23</v>
      </c>
      <c r="N181">
        <v>104.149</v>
      </c>
      <c r="O181">
        <v>98.634</v>
      </c>
      <c r="Q181">
        <v>97.248000000000005</v>
      </c>
      <c r="R181">
        <v>107.3095</v>
      </c>
      <c r="S181">
        <v>100.1015</v>
      </c>
      <c r="T181">
        <v>100.861</v>
      </c>
    </row>
    <row r="182" spans="2:20">
      <c r="B182" s="27">
        <v>42303</v>
      </c>
      <c r="L182">
        <v>101.23935</v>
      </c>
      <c r="M182">
        <v>101.2385</v>
      </c>
      <c r="N182">
        <v>104.184</v>
      </c>
      <c r="O182">
        <v>98.616</v>
      </c>
      <c r="Q182">
        <v>97.24</v>
      </c>
      <c r="R182">
        <v>107.26049999999999</v>
      </c>
      <c r="S182">
        <v>100.1005</v>
      </c>
      <c r="T182">
        <v>100.926</v>
      </c>
    </row>
    <row r="183" spans="2:20">
      <c r="B183" s="27">
        <v>42300</v>
      </c>
      <c r="L183">
        <v>101.24769999999999</v>
      </c>
      <c r="M183">
        <v>101.2465</v>
      </c>
      <c r="N183">
        <v>104.179</v>
      </c>
      <c r="O183">
        <v>98.578000000000003</v>
      </c>
      <c r="Q183">
        <v>97.228999999999999</v>
      </c>
      <c r="R183">
        <v>107.4045</v>
      </c>
      <c r="S183">
        <v>100.101</v>
      </c>
      <c r="T183">
        <v>100.92149999999999</v>
      </c>
    </row>
    <row r="184" spans="2:20">
      <c r="B184" s="27">
        <v>42299</v>
      </c>
      <c r="L184">
        <v>101.25369999999999</v>
      </c>
      <c r="M184">
        <v>101.2525</v>
      </c>
      <c r="N184">
        <v>104.19450000000001</v>
      </c>
      <c r="O184">
        <v>98.56</v>
      </c>
      <c r="Q184">
        <v>97.221999999999994</v>
      </c>
      <c r="R184">
        <v>107.2915</v>
      </c>
      <c r="S184">
        <v>100.1</v>
      </c>
      <c r="T184">
        <v>100.8785</v>
      </c>
    </row>
    <row r="185" spans="2:20">
      <c r="B185" s="27">
        <v>42298</v>
      </c>
      <c r="L185">
        <v>101.26094999999999</v>
      </c>
      <c r="M185">
        <v>101.2595</v>
      </c>
      <c r="N185">
        <v>104.12649999999999</v>
      </c>
      <c r="O185">
        <v>98.528999999999996</v>
      </c>
      <c r="Q185">
        <v>97.216999999999999</v>
      </c>
      <c r="R185">
        <v>107.2975</v>
      </c>
      <c r="S185">
        <v>100.1</v>
      </c>
      <c r="T185">
        <v>100.58799999999999</v>
      </c>
    </row>
    <row r="186" spans="2:20">
      <c r="B186" s="27">
        <v>42297</v>
      </c>
      <c r="L186">
        <v>101.28104999999999</v>
      </c>
      <c r="M186">
        <v>101.2795</v>
      </c>
      <c r="N186">
        <v>104.2225</v>
      </c>
      <c r="O186">
        <v>98.543000000000006</v>
      </c>
      <c r="Q186">
        <v>97.209000000000003</v>
      </c>
      <c r="R186">
        <v>107.44499999999999</v>
      </c>
      <c r="S186">
        <v>100.10299999999999</v>
      </c>
      <c r="T186">
        <v>101.04649999999999</v>
      </c>
    </row>
    <row r="187" spans="2:20">
      <c r="B187" s="27">
        <v>42296</v>
      </c>
      <c r="L187">
        <v>101.29049999999999</v>
      </c>
      <c r="M187">
        <v>101.29</v>
      </c>
      <c r="N187">
        <v>104.2675</v>
      </c>
      <c r="O187">
        <v>98.569000000000003</v>
      </c>
      <c r="Q187">
        <v>97.203000000000003</v>
      </c>
      <c r="R187">
        <v>107.413</v>
      </c>
      <c r="S187">
        <v>100.104</v>
      </c>
      <c r="T187">
        <v>100.9605</v>
      </c>
    </row>
    <row r="188" spans="2:20">
      <c r="B188" s="27">
        <v>42293</v>
      </c>
      <c r="L188">
        <v>101.2967</v>
      </c>
      <c r="M188">
        <v>101.29600000000001</v>
      </c>
      <c r="N188">
        <v>104.3115</v>
      </c>
      <c r="O188">
        <v>98.594999999999999</v>
      </c>
      <c r="Q188">
        <v>97.197999999999993</v>
      </c>
      <c r="R188">
        <v>107.514</v>
      </c>
      <c r="S188">
        <v>100.10299999999999</v>
      </c>
      <c r="T188">
        <v>101.161</v>
      </c>
    </row>
    <row r="189" spans="2:20">
      <c r="B189" s="27">
        <v>42292</v>
      </c>
      <c r="L189">
        <v>101.30425</v>
      </c>
      <c r="M189">
        <v>101.303</v>
      </c>
      <c r="N189">
        <v>104.27500000000001</v>
      </c>
      <c r="O189">
        <v>98.593000000000004</v>
      </c>
      <c r="Q189">
        <v>97.192999999999998</v>
      </c>
      <c r="R189">
        <v>107.492</v>
      </c>
      <c r="S189">
        <v>100.101</v>
      </c>
      <c r="T189">
        <v>101.26600000000001</v>
      </c>
    </row>
    <row r="190" spans="2:20">
      <c r="B190" s="27">
        <v>42291</v>
      </c>
      <c r="L190">
        <v>101.3087</v>
      </c>
      <c r="M190">
        <v>101.30800000000001</v>
      </c>
      <c r="N190">
        <v>104.244</v>
      </c>
      <c r="O190">
        <v>98.501999999999995</v>
      </c>
      <c r="Q190">
        <v>97.188000000000002</v>
      </c>
      <c r="R190">
        <v>107.459</v>
      </c>
      <c r="S190">
        <v>100.10250000000001</v>
      </c>
      <c r="T190">
        <v>101.08799999999999</v>
      </c>
    </row>
    <row r="191" spans="2:20">
      <c r="B191" s="27">
        <v>42290</v>
      </c>
      <c r="L191">
        <v>101.32565</v>
      </c>
      <c r="M191">
        <v>101.325</v>
      </c>
      <c r="N191">
        <v>104.193</v>
      </c>
      <c r="O191">
        <v>98.274000000000001</v>
      </c>
      <c r="Q191">
        <v>97.171999999999997</v>
      </c>
      <c r="R191">
        <v>107.253</v>
      </c>
      <c r="S191">
        <v>100.0975</v>
      </c>
      <c r="T191">
        <v>100.84699999999999</v>
      </c>
    </row>
    <row r="192" spans="2:20">
      <c r="B192" s="27">
        <v>42289</v>
      </c>
      <c r="L192">
        <v>101.33110000000001</v>
      </c>
      <c r="M192">
        <v>101.33</v>
      </c>
      <c r="N192">
        <v>104.157</v>
      </c>
      <c r="O192">
        <v>98.256</v>
      </c>
      <c r="Q192">
        <v>97.165999999999997</v>
      </c>
      <c r="R192">
        <v>107.119</v>
      </c>
      <c r="S192">
        <v>100.0975</v>
      </c>
      <c r="T192">
        <v>100.62350000000001</v>
      </c>
    </row>
    <row r="193" spans="2:20">
      <c r="B193" s="27">
        <v>42286</v>
      </c>
      <c r="L193">
        <v>101.3301</v>
      </c>
      <c r="M193">
        <v>101.32899999999999</v>
      </c>
      <c r="N193">
        <v>104.184</v>
      </c>
      <c r="O193">
        <v>98.253</v>
      </c>
      <c r="Q193">
        <v>97.161000000000001</v>
      </c>
      <c r="R193">
        <v>107.166</v>
      </c>
      <c r="S193">
        <v>100.0985</v>
      </c>
      <c r="T193">
        <v>100.68899999999999</v>
      </c>
    </row>
    <row r="194" spans="2:20">
      <c r="B194" s="27">
        <v>42285</v>
      </c>
      <c r="L194">
        <v>101.33725</v>
      </c>
      <c r="M194">
        <v>101.3365</v>
      </c>
      <c r="N194">
        <v>104.252</v>
      </c>
      <c r="O194">
        <v>98.25</v>
      </c>
      <c r="Q194">
        <v>97.155000000000001</v>
      </c>
      <c r="R194">
        <v>107.4135</v>
      </c>
      <c r="S194">
        <v>100.0985</v>
      </c>
      <c r="T194">
        <v>100.824</v>
      </c>
    </row>
    <row r="195" spans="2:20">
      <c r="B195" s="27">
        <v>42284</v>
      </c>
      <c r="L195">
        <v>101.34365</v>
      </c>
      <c r="M195">
        <v>101.3425</v>
      </c>
      <c r="N195">
        <v>104.17400000000001</v>
      </c>
      <c r="O195">
        <v>98.156999999999996</v>
      </c>
      <c r="Q195">
        <v>97.15</v>
      </c>
      <c r="R195">
        <v>107.2765</v>
      </c>
      <c r="S195">
        <v>100.09950000000001</v>
      </c>
      <c r="T195">
        <v>100.5055</v>
      </c>
    </row>
    <row r="196" spans="2:20">
      <c r="B196" s="27">
        <v>42283</v>
      </c>
      <c r="L196">
        <v>101.3698</v>
      </c>
      <c r="M196">
        <v>101.3685</v>
      </c>
      <c r="N196">
        <v>104.2495</v>
      </c>
      <c r="O196">
        <v>98.102999999999994</v>
      </c>
      <c r="Q196">
        <v>97.132999999999996</v>
      </c>
      <c r="R196">
        <v>107.4345</v>
      </c>
      <c r="S196">
        <v>100.101</v>
      </c>
      <c r="T196">
        <v>100.84</v>
      </c>
    </row>
    <row r="197" spans="2:20">
      <c r="B197" s="27">
        <v>42282</v>
      </c>
      <c r="L197">
        <v>101.3771</v>
      </c>
      <c r="M197">
        <v>101.37649999999999</v>
      </c>
      <c r="N197">
        <v>104.27549999999999</v>
      </c>
      <c r="O197">
        <v>98.1</v>
      </c>
      <c r="Q197">
        <v>97.128</v>
      </c>
      <c r="R197">
        <v>107.637</v>
      </c>
      <c r="S197">
        <v>100.101</v>
      </c>
      <c r="T197">
        <v>100.768</v>
      </c>
    </row>
    <row r="198" spans="2:20">
      <c r="B198" s="27">
        <v>42279</v>
      </c>
      <c r="L198">
        <v>101.37735000000001</v>
      </c>
      <c r="M198">
        <v>101.377</v>
      </c>
      <c r="N198">
        <v>104.2495</v>
      </c>
      <c r="O198">
        <v>98.084999999999994</v>
      </c>
      <c r="Q198">
        <v>97.128</v>
      </c>
      <c r="R198">
        <v>107.426</v>
      </c>
      <c r="S198">
        <v>100.101</v>
      </c>
      <c r="T198">
        <v>100.84650000000001</v>
      </c>
    </row>
    <row r="199" spans="2:20">
      <c r="B199" s="27">
        <v>42278</v>
      </c>
      <c r="L199">
        <v>101.3854</v>
      </c>
      <c r="M199">
        <v>101.357</v>
      </c>
      <c r="N199">
        <v>104.2465</v>
      </c>
      <c r="O199">
        <v>98.096000000000004</v>
      </c>
      <c r="Q199">
        <v>97.123000000000005</v>
      </c>
      <c r="R199">
        <v>107.437</v>
      </c>
      <c r="S199">
        <v>100.101</v>
      </c>
      <c r="T199">
        <v>100.8545</v>
      </c>
    </row>
    <row r="200" spans="2:20">
      <c r="B200" s="27">
        <v>42277</v>
      </c>
      <c r="L200">
        <v>101.3626</v>
      </c>
      <c r="M200">
        <v>101.36199999999999</v>
      </c>
      <c r="N200">
        <v>104.2745</v>
      </c>
      <c r="O200">
        <v>98.106999999999999</v>
      </c>
      <c r="Q200">
        <v>97.117000000000004</v>
      </c>
      <c r="R200">
        <v>107.398</v>
      </c>
      <c r="S200">
        <v>100.099</v>
      </c>
      <c r="T200">
        <v>100.9165</v>
      </c>
    </row>
    <row r="201" spans="2:20">
      <c r="B201" s="27">
        <v>42276</v>
      </c>
      <c r="L201">
        <v>101.3805</v>
      </c>
      <c r="M201">
        <v>101.38</v>
      </c>
      <c r="N201">
        <v>104.289</v>
      </c>
      <c r="O201">
        <v>98.048000000000002</v>
      </c>
      <c r="Q201">
        <v>97.094999999999999</v>
      </c>
      <c r="R201">
        <v>107.47199999999999</v>
      </c>
      <c r="S201">
        <v>100.098</v>
      </c>
      <c r="T201">
        <v>101.066</v>
      </c>
    </row>
    <row r="202" spans="2:20">
      <c r="B202" s="27">
        <v>42275</v>
      </c>
      <c r="J202">
        <v>100.01300000000001</v>
      </c>
      <c r="K202">
        <v>100.005</v>
      </c>
      <c r="L202">
        <v>101.38724999999999</v>
      </c>
      <c r="M202">
        <v>101.386</v>
      </c>
      <c r="N202">
        <v>104.242</v>
      </c>
      <c r="O202">
        <v>98.058999999999997</v>
      </c>
      <c r="Q202">
        <v>97.09</v>
      </c>
      <c r="R202">
        <v>107.17</v>
      </c>
      <c r="S202">
        <v>100.096</v>
      </c>
      <c r="T202">
        <v>100.7205</v>
      </c>
    </row>
    <row r="203" spans="2:20">
      <c r="B203" s="27">
        <v>42272</v>
      </c>
      <c r="J203">
        <v>100.01300000000001</v>
      </c>
      <c r="K203">
        <v>100.005</v>
      </c>
      <c r="L203">
        <v>101.39155</v>
      </c>
      <c r="M203">
        <v>101.3905</v>
      </c>
      <c r="N203">
        <v>104.232</v>
      </c>
      <c r="O203">
        <v>98.055999999999997</v>
      </c>
      <c r="Q203">
        <v>97.084999999999994</v>
      </c>
      <c r="R203">
        <v>107.092</v>
      </c>
      <c r="S203">
        <v>100.09950000000001</v>
      </c>
      <c r="T203">
        <v>100.7045</v>
      </c>
    </row>
    <row r="204" spans="2:20">
      <c r="B204" s="27">
        <v>42271</v>
      </c>
      <c r="J204">
        <v>100.01300000000001</v>
      </c>
      <c r="K204">
        <v>100.005</v>
      </c>
      <c r="L204">
        <v>101.4014</v>
      </c>
      <c r="M204">
        <v>101.40049999999999</v>
      </c>
      <c r="N204">
        <v>104.254</v>
      </c>
      <c r="O204">
        <v>98.082999999999998</v>
      </c>
      <c r="Q204">
        <v>97.078999999999994</v>
      </c>
      <c r="R204">
        <v>107.27800000000001</v>
      </c>
      <c r="S204">
        <v>100.0975</v>
      </c>
      <c r="T204">
        <v>100.80549999999999</v>
      </c>
    </row>
    <row r="205" spans="2:20">
      <c r="B205" s="27">
        <v>42270</v>
      </c>
      <c r="J205">
        <v>100.01300000000001</v>
      </c>
      <c r="K205">
        <v>100.005</v>
      </c>
      <c r="L205">
        <v>101.40900000000001</v>
      </c>
      <c r="M205">
        <v>101.4085</v>
      </c>
      <c r="N205">
        <v>104.242</v>
      </c>
      <c r="O205">
        <v>98.14</v>
      </c>
      <c r="Q205">
        <v>97.072999999999993</v>
      </c>
      <c r="R205">
        <v>107.169</v>
      </c>
      <c r="S205">
        <v>100.0985</v>
      </c>
      <c r="T205">
        <v>100.61150000000001</v>
      </c>
    </row>
    <row r="206" spans="2:20">
      <c r="B206" s="27">
        <v>42269</v>
      </c>
      <c r="J206">
        <v>100.05249999999999</v>
      </c>
      <c r="K206">
        <v>100.0205</v>
      </c>
      <c r="L206">
        <v>101.4271</v>
      </c>
      <c r="M206">
        <v>101.4265</v>
      </c>
      <c r="N206">
        <v>104.2625</v>
      </c>
      <c r="O206">
        <v>98.129000000000005</v>
      </c>
      <c r="Q206">
        <v>97.058000000000007</v>
      </c>
      <c r="R206">
        <v>107.06</v>
      </c>
      <c r="S206">
        <v>100.0985</v>
      </c>
      <c r="T206">
        <v>100.651</v>
      </c>
    </row>
    <row r="207" spans="2:20">
      <c r="B207" s="27">
        <v>42268</v>
      </c>
      <c r="J207">
        <v>100.0655</v>
      </c>
      <c r="K207">
        <v>100.02549999999999</v>
      </c>
      <c r="L207">
        <v>101.43415</v>
      </c>
      <c r="M207">
        <v>101.4335</v>
      </c>
      <c r="N207">
        <v>104.29049999999999</v>
      </c>
      <c r="O207">
        <v>98.156000000000006</v>
      </c>
      <c r="Q207">
        <v>97.052999999999997</v>
      </c>
      <c r="R207">
        <v>107.1255</v>
      </c>
      <c r="S207">
        <v>100.0985</v>
      </c>
      <c r="T207">
        <v>100.78100000000001</v>
      </c>
    </row>
    <row r="208" spans="2:20">
      <c r="B208" s="27">
        <v>42265</v>
      </c>
      <c r="J208">
        <v>100.0795</v>
      </c>
      <c r="K208">
        <v>100.0275</v>
      </c>
      <c r="L208">
        <v>101.44074999999999</v>
      </c>
      <c r="M208">
        <v>101.44</v>
      </c>
      <c r="N208">
        <v>104.2435</v>
      </c>
      <c r="O208">
        <v>98.153999999999996</v>
      </c>
      <c r="Q208">
        <v>97.046999999999997</v>
      </c>
      <c r="R208">
        <v>107.0805</v>
      </c>
      <c r="S208">
        <v>100.1005</v>
      </c>
      <c r="T208">
        <v>100.66200000000001</v>
      </c>
    </row>
    <row r="209" spans="2:20">
      <c r="B209" s="27">
        <v>42264</v>
      </c>
      <c r="J209">
        <v>100.09050000000001</v>
      </c>
      <c r="K209">
        <v>100.0355</v>
      </c>
      <c r="L209">
        <v>101.4297</v>
      </c>
      <c r="M209">
        <v>101.429</v>
      </c>
      <c r="N209">
        <v>104.2345</v>
      </c>
      <c r="O209">
        <v>98.12</v>
      </c>
      <c r="Q209">
        <v>97.042000000000002</v>
      </c>
      <c r="R209">
        <v>106.758</v>
      </c>
      <c r="S209">
        <v>100.102</v>
      </c>
      <c r="T209">
        <v>100.3295</v>
      </c>
    </row>
    <row r="210" spans="2:20">
      <c r="B210" s="27">
        <v>42263</v>
      </c>
      <c r="J210">
        <v>100.1005</v>
      </c>
      <c r="K210">
        <v>100.0395</v>
      </c>
      <c r="L210">
        <v>101.43835</v>
      </c>
      <c r="M210">
        <v>101.438</v>
      </c>
      <c r="N210">
        <v>104.2915</v>
      </c>
      <c r="O210">
        <v>98.132000000000005</v>
      </c>
      <c r="Q210">
        <v>97.037000000000006</v>
      </c>
      <c r="R210">
        <v>107.0035</v>
      </c>
      <c r="S210">
        <v>100.101</v>
      </c>
      <c r="T210">
        <v>100.524</v>
      </c>
    </row>
    <row r="211" spans="2:20">
      <c r="B211" s="27">
        <v>42262</v>
      </c>
      <c r="J211">
        <v>100.14</v>
      </c>
      <c r="K211">
        <v>100.05500000000001</v>
      </c>
      <c r="L211">
        <v>101.46174999999999</v>
      </c>
      <c r="M211">
        <v>101.461</v>
      </c>
      <c r="N211">
        <v>104.35599999999999</v>
      </c>
      <c r="O211">
        <v>98.122</v>
      </c>
      <c r="Q211">
        <v>97.021000000000001</v>
      </c>
      <c r="R211">
        <v>107.30500000000001</v>
      </c>
      <c r="S211">
        <v>100.101</v>
      </c>
      <c r="T211">
        <v>100.82250000000001</v>
      </c>
    </row>
    <row r="212" spans="2:20">
      <c r="B212" s="27">
        <v>42261</v>
      </c>
      <c r="J212">
        <v>100.15300000000001</v>
      </c>
      <c r="K212">
        <v>100.05800000000001</v>
      </c>
      <c r="L212">
        <v>101.46684999999999</v>
      </c>
      <c r="M212">
        <v>101.46599999999999</v>
      </c>
      <c r="N212">
        <v>104.29900000000001</v>
      </c>
      <c r="O212">
        <v>98.117999999999995</v>
      </c>
      <c r="Q212">
        <v>97.016000000000005</v>
      </c>
      <c r="R212">
        <v>107.277</v>
      </c>
      <c r="S212">
        <v>100.096</v>
      </c>
      <c r="T212">
        <v>100.476</v>
      </c>
    </row>
    <row r="213" spans="2:20">
      <c r="B213" s="27">
        <v>42258</v>
      </c>
      <c r="J213">
        <v>100.16200000000001</v>
      </c>
      <c r="K213">
        <v>100.06</v>
      </c>
      <c r="L213">
        <v>101.47320000000001</v>
      </c>
      <c r="M213">
        <v>101.4725</v>
      </c>
      <c r="N213">
        <v>104.35899999999999</v>
      </c>
      <c r="O213">
        <v>98.114000000000004</v>
      </c>
      <c r="Q213">
        <v>97.009</v>
      </c>
      <c r="R213">
        <v>107.28</v>
      </c>
      <c r="S213">
        <v>100.09399999999999</v>
      </c>
      <c r="T213">
        <v>100.71550000000001</v>
      </c>
    </row>
    <row r="214" spans="2:20">
      <c r="B214" s="27">
        <v>42257</v>
      </c>
      <c r="J214">
        <v>100.176</v>
      </c>
      <c r="K214">
        <v>100.07</v>
      </c>
      <c r="L214">
        <v>101.47929999999999</v>
      </c>
      <c r="M214">
        <v>101.4785</v>
      </c>
      <c r="N214">
        <v>104.384</v>
      </c>
      <c r="O214">
        <v>98.128</v>
      </c>
      <c r="Q214">
        <v>97.006</v>
      </c>
      <c r="R214">
        <v>107.304</v>
      </c>
      <c r="S214">
        <v>100.09950000000001</v>
      </c>
      <c r="T214">
        <v>100.7105</v>
      </c>
    </row>
    <row r="215" spans="2:20">
      <c r="B215" s="27">
        <v>42256</v>
      </c>
      <c r="J215">
        <v>100.18600000000001</v>
      </c>
      <c r="K215">
        <v>100.075</v>
      </c>
      <c r="L215">
        <v>101.48595</v>
      </c>
      <c r="M215">
        <v>101.4855</v>
      </c>
      <c r="N215">
        <v>104.36199999999999</v>
      </c>
      <c r="O215">
        <v>98.125</v>
      </c>
      <c r="Q215">
        <v>97</v>
      </c>
      <c r="R215">
        <v>107.34699999999999</v>
      </c>
      <c r="S215">
        <v>100.1005</v>
      </c>
      <c r="T215">
        <v>100.7565</v>
      </c>
    </row>
    <row r="216" spans="2:20">
      <c r="B216" s="27">
        <v>42255</v>
      </c>
      <c r="J216">
        <v>100.22750000000001</v>
      </c>
      <c r="K216">
        <v>100.074</v>
      </c>
      <c r="L216">
        <v>101.50375</v>
      </c>
      <c r="M216">
        <v>101.5025</v>
      </c>
      <c r="N216">
        <v>104.4905</v>
      </c>
      <c r="O216">
        <v>98.117999999999995</v>
      </c>
      <c r="Q216">
        <v>96.986000000000004</v>
      </c>
      <c r="R216">
        <v>107.5565</v>
      </c>
      <c r="S216">
        <v>100.1015</v>
      </c>
      <c r="T216">
        <v>100.97</v>
      </c>
    </row>
    <row r="217" spans="2:20">
      <c r="B217" s="27">
        <v>42254</v>
      </c>
      <c r="J217">
        <v>100.23950000000001</v>
      </c>
      <c r="K217">
        <v>100.07850000000001</v>
      </c>
      <c r="L217">
        <v>101.50754999999999</v>
      </c>
      <c r="M217">
        <v>101.5065</v>
      </c>
      <c r="N217">
        <v>104.5545</v>
      </c>
      <c r="O217">
        <v>98.146000000000001</v>
      </c>
      <c r="Q217">
        <v>96.980999999999995</v>
      </c>
      <c r="R217">
        <v>107.6985</v>
      </c>
      <c r="S217">
        <v>100.1015</v>
      </c>
      <c r="T217">
        <v>101.1755</v>
      </c>
    </row>
    <row r="218" spans="2:20">
      <c r="B218" s="27">
        <v>42251</v>
      </c>
      <c r="J218">
        <v>100.2525</v>
      </c>
      <c r="K218">
        <v>100.09950000000001</v>
      </c>
      <c r="L218">
        <v>101.51065</v>
      </c>
      <c r="M218">
        <v>101.5095</v>
      </c>
      <c r="N218">
        <v>104.59350000000001</v>
      </c>
      <c r="O218">
        <v>98.204999999999998</v>
      </c>
      <c r="Q218">
        <v>96.975999999999999</v>
      </c>
      <c r="R218">
        <v>107.878</v>
      </c>
      <c r="S218">
        <v>100.10250000000001</v>
      </c>
      <c r="T218">
        <v>101.2285</v>
      </c>
    </row>
    <row r="219" spans="2:20">
      <c r="B219" s="27">
        <v>42250</v>
      </c>
      <c r="J219">
        <v>100.2645</v>
      </c>
      <c r="K219">
        <v>100.1045</v>
      </c>
      <c r="L219">
        <v>101.5154</v>
      </c>
      <c r="M219">
        <v>101.5145</v>
      </c>
      <c r="N219">
        <v>104.5735</v>
      </c>
      <c r="O219">
        <v>98.375</v>
      </c>
      <c r="Q219">
        <v>96.971000000000004</v>
      </c>
      <c r="R219">
        <v>107.658</v>
      </c>
      <c r="S219">
        <v>100.102</v>
      </c>
      <c r="T219">
        <v>101.05</v>
      </c>
    </row>
    <row r="220" spans="2:20">
      <c r="B220" s="27">
        <v>42249</v>
      </c>
      <c r="J220">
        <v>100.27549999999999</v>
      </c>
      <c r="K220">
        <v>100.09950000000001</v>
      </c>
      <c r="L220">
        <v>101.52105</v>
      </c>
      <c r="M220">
        <v>101.52</v>
      </c>
      <c r="N220">
        <v>104.51049999999999</v>
      </c>
      <c r="O220">
        <v>98.215999999999994</v>
      </c>
      <c r="Q220">
        <v>96.966999999999999</v>
      </c>
      <c r="R220">
        <v>107.601</v>
      </c>
      <c r="S220">
        <v>100.102</v>
      </c>
      <c r="T220">
        <v>100.843</v>
      </c>
    </row>
    <row r="221" spans="2:20">
      <c r="B221" s="27">
        <v>42248</v>
      </c>
      <c r="J221">
        <v>100.316</v>
      </c>
      <c r="K221">
        <v>100.12350000000001</v>
      </c>
      <c r="L221">
        <v>101.54255000000001</v>
      </c>
      <c r="M221">
        <v>101.542</v>
      </c>
      <c r="N221">
        <v>104.631</v>
      </c>
      <c r="O221">
        <v>98.378</v>
      </c>
      <c r="Q221">
        <v>96.948999999999998</v>
      </c>
      <c r="R221">
        <v>107.822</v>
      </c>
      <c r="S221">
        <v>100.101</v>
      </c>
      <c r="T221">
        <v>101.1465</v>
      </c>
    </row>
    <row r="222" spans="2:20">
      <c r="B222" s="27">
        <v>42247</v>
      </c>
      <c r="J222">
        <v>100.328</v>
      </c>
      <c r="K222">
        <v>100.15600000000001</v>
      </c>
      <c r="L222">
        <v>101.55410000000001</v>
      </c>
      <c r="M222">
        <v>101.553</v>
      </c>
      <c r="N222">
        <v>104.636</v>
      </c>
      <c r="O222">
        <v>98.203999999999994</v>
      </c>
      <c r="Q222">
        <v>96.944999999999993</v>
      </c>
      <c r="R222">
        <v>107.8485</v>
      </c>
      <c r="S222">
        <v>100.101</v>
      </c>
      <c r="T222">
        <v>101.1155</v>
      </c>
    </row>
    <row r="223" spans="2:20">
      <c r="B223" s="27">
        <v>42244</v>
      </c>
      <c r="J223">
        <v>100.342</v>
      </c>
      <c r="K223">
        <v>100.124</v>
      </c>
      <c r="L223">
        <v>101.56</v>
      </c>
      <c r="M223">
        <v>101.559</v>
      </c>
      <c r="N223">
        <v>104.608</v>
      </c>
      <c r="O223">
        <v>98.168999999999997</v>
      </c>
      <c r="Q223">
        <v>96.941000000000003</v>
      </c>
      <c r="R223">
        <v>107.688</v>
      </c>
      <c r="S223">
        <v>100.102</v>
      </c>
      <c r="T223">
        <v>100.8575</v>
      </c>
    </row>
    <row r="224" spans="2:20">
      <c r="B224" s="27">
        <v>42243</v>
      </c>
      <c r="J224">
        <v>100.355</v>
      </c>
      <c r="K224">
        <v>100.13200000000001</v>
      </c>
      <c r="L224">
        <v>101.56565000000001</v>
      </c>
      <c r="M224">
        <v>101.5655</v>
      </c>
      <c r="N224">
        <v>104.634</v>
      </c>
      <c r="O224">
        <v>98.182000000000002</v>
      </c>
      <c r="Q224">
        <v>96.936000000000007</v>
      </c>
      <c r="R224">
        <v>107.65300000000001</v>
      </c>
      <c r="S224">
        <v>100.102</v>
      </c>
      <c r="T224">
        <v>100.8605</v>
      </c>
    </row>
    <row r="225" spans="2:20">
      <c r="B225" s="27">
        <v>42242</v>
      </c>
      <c r="J225">
        <v>100.36799999999999</v>
      </c>
      <c r="K225">
        <v>100.137</v>
      </c>
      <c r="L225">
        <v>101.56104999999999</v>
      </c>
      <c r="M225">
        <v>101.5605</v>
      </c>
      <c r="N225">
        <v>104.65300000000001</v>
      </c>
      <c r="O225">
        <v>98.195999999999998</v>
      </c>
      <c r="Q225">
        <v>96.932000000000002</v>
      </c>
      <c r="R225">
        <v>107.504</v>
      </c>
      <c r="S225">
        <v>100.1035</v>
      </c>
      <c r="T225">
        <v>101.0355</v>
      </c>
    </row>
    <row r="226" spans="2:20">
      <c r="B226" s="27">
        <v>42241</v>
      </c>
      <c r="J226">
        <v>100.40649999999999</v>
      </c>
      <c r="K226">
        <v>100.145</v>
      </c>
      <c r="L226">
        <v>101.59115</v>
      </c>
      <c r="M226">
        <v>101.59050000000001</v>
      </c>
      <c r="N226">
        <v>104.67149999999999</v>
      </c>
      <c r="O226">
        <v>98.459000000000003</v>
      </c>
      <c r="Q226">
        <v>96.915999999999997</v>
      </c>
      <c r="R226">
        <v>107.8035</v>
      </c>
      <c r="S226">
        <v>100.1035</v>
      </c>
      <c r="T226">
        <v>100.98399999999999</v>
      </c>
    </row>
    <row r="227" spans="2:20">
      <c r="B227" s="27">
        <v>42240</v>
      </c>
      <c r="J227">
        <v>100.42749999999999</v>
      </c>
      <c r="K227">
        <v>100.149</v>
      </c>
      <c r="L227">
        <v>101.59515</v>
      </c>
      <c r="M227">
        <v>101.5945</v>
      </c>
      <c r="N227">
        <v>104.8245</v>
      </c>
      <c r="O227">
        <v>98.26</v>
      </c>
      <c r="Q227">
        <v>96.906999999999996</v>
      </c>
      <c r="R227">
        <v>108.169</v>
      </c>
      <c r="S227">
        <v>100.1015</v>
      </c>
      <c r="T227">
        <v>101.32299999999999</v>
      </c>
    </row>
    <row r="228" spans="2:20">
      <c r="B228" s="27">
        <v>42237</v>
      </c>
      <c r="J228">
        <v>100.4315</v>
      </c>
      <c r="K228">
        <v>100.1525</v>
      </c>
      <c r="L228">
        <v>101.5973</v>
      </c>
      <c r="M228">
        <v>101.59650000000001</v>
      </c>
      <c r="N228">
        <v>104.65949999999999</v>
      </c>
      <c r="O228">
        <v>98.272999999999996</v>
      </c>
      <c r="Q228">
        <v>96.902000000000001</v>
      </c>
      <c r="R228">
        <v>107.84399999999999</v>
      </c>
      <c r="S228">
        <v>100.1015</v>
      </c>
      <c r="T228">
        <v>100.98099999999999</v>
      </c>
    </row>
    <row r="229" spans="2:20">
      <c r="B229" s="27">
        <v>42236</v>
      </c>
      <c r="J229">
        <v>100.4415</v>
      </c>
      <c r="K229">
        <v>100.1575</v>
      </c>
      <c r="L229">
        <v>101.59995000000001</v>
      </c>
      <c r="M229">
        <v>101.5985</v>
      </c>
      <c r="N229">
        <v>104.5665</v>
      </c>
      <c r="O229">
        <v>98.272999999999996</v>
      </c>
      <c r="Q229">
        <v>96.897999999999996</v>
      </c>
      <c r="R229">
        <v>107.4585</v>
      </c>
      <c r="S229">
        <v>100.10250000000001</v>
      </c>
      <c r="T229">
        <v>100.70650000000001</v>
      </c>
    </row>
    <row r="230" spans="2:20">
      <c r="B230" s="27">
        <v>42235</v>
      </c>
      <c r="J230">
        <v>100.4555</v>
      </c>
      <c r="K230">
        <v>100.1785</v>
      </c>
      <c r="L230">
        <v>101.60655</v>
      </c>
      <c r="M230">
        <v>101.60599999999999</v>
      </c>
      <c r="N230">
        <v>104.5735</v>
      </c>
      <c r="O230">
        <v>98.173000000000002</v>
      </c>
      <c r="Q230">
        <v>96.893000000000001</v>
      </c>
      <c r="R230">
        <v>107.42749999999999</v>
      </c>
      <c r="S230">
        <v>100.10250000000001</v>
      </c>
      <c r="T230">
        <v>100.6465</v>
      </c>
    </row>
    <row r="231" spans="2:20">
      <c r="B231" s="27">
        <v>42234</v>
      </c>
      <c r="J231">
        <v>100.49</v>
      </c>
      <c r="K231">
        <v>100.1915</v>
      </c>
      <c r="L231">
        <v>101.62685</v>
      </c>
      <c r="M231">
        <v>101.626</v>
      </c>
      <c r="N231">
        <v>104.566</v>
      </c>
      <c r="O231">
        <v>98.323999999999998</v>
      </c>
      <c r="Q231">
        <v>96.876000000000005</v>
      </c>
      <c r="R231">
        <v>107.3215</v>
      </c>
      <c r="S231">
        <v>100.10250000000001</v>
      </c>
      <c r="T231">
        <v>100.5485</v>
      </c>
    </row>
    <row r="232" spans="2:20">
      <c r="B232" s="27">
        <v>42233</v>
      </c>
      <c r="J232">
        <v>100.506</v>
      </c>
      <c r="K232">
        <v>100.1955</v>
      </c>
      <c r="L232">
        <v>101.6314</v>
      </c>
      <c r="M232">
        <v>101.631</v>
      </c>
      <c r="N232">
        <v>104.562</v>
      </c>
      <c r="O232">
        <v>98.224999999999994</v>
      </c>
      <c r="Q232">
        <v>96.872</v>
      </c>
      <c r="R232">
        <v>107.2925</v>
      </c>
      <c r="S232">
        <v>100.102</v>
      </c>
      <c r="T232">
        <v>100.4945</v>
      </c>
    </row>
    <row r="233" spans="2:20">
      <c r="B233" s="27">
        <v>42230</v>
      </c>
      <c r="J233">
        <v>100.517</v>
      </c>
      <c r="K233">
        <v>100.2015</v>
      </c>
      <c r="L233">
        <v>101.6404</v>
      </c>
      <c r="M233">
        <v>101.639</v>
      </c>
      <c r="N233">
        <v>104.517</v>
      </c>
      <c r="O233">
        <v>98.317999999999998</v>
      </c>
      <c r="Q233">
        <v>96.864999999999995</v>
      </c>
      <c r="R233">
        <v>107.2175</v>
      </c>
      <c r="S233">
        <v>100.10299999999999</v>
      </c>
      <c r="T233">
        <v>100.3355</v>
      </c>
    </row>
    <row r="234" spans="2:20">
      <c r="B234" s="27">
        <v>42229</v>
      </c>
      <c r="J234">
        <v>100.527</v>
      </c>
      <c r="K234">
        <v>100.206</v>
      </c>
      <c r="L234">
        <v>101.65075</v>
      </c>
      <c r="M234">
        <v>101.65</v>
      </c>
      <c r="N234">
        <v>104.55800000000001</v>
      </c>
      <c r="O234">
        <v>98.234999999999999</v>
      </c>
      <c r="Q234">
        <v>96.86</v>
      </c>
      <c r="R234">
        <v>107.26349999999999</v>
      </c>
      <c r="S234">
        <v>100.102</v>
      </c>
      <c r="T234">
        <v>100.4375</v>
      </c>
    </row>
    <row r="235" spans="2:20">
      <c r="B235" s="27">
        <v>42228</v>
      </c>
      <c r="J235">
        <v>100.54600000000001</v>
      </c>
      <c r="K235">
        <v>100.212</v>
      </c>
      <c r="L235">
        <v>101.66374999999999</v>
      </c>
      <c r="M235">
        <v>101.6635</v>
      </c>
      <c r="N235">
        <v>104.613</v>
      </c>
      <c r="O235">
        <v>98.328999999999994</v>
      </c>
      <c r="Q235">
        <v>96.855000000000004</v>
      </c>
      <c r="R235">
        <v>107.374</v>
      </c>
      <c r="S235">
        <v>100.10299999999999</v>
      </c>
      <c r="T235">
        <v>100.584</v>
      </c>
    </row>
    <row r="236" spans="2:20">
      <c r="B236" s="27">
        <v>42227</v>
      </c>
      <c r="J236">
        <v>100.57850000000001</v>
      </c>
      <c r="K236">
        <v>100.22499999999999</v>
      </c>
      <c r="L236">
        <v>101.67285</v>
      </c>
      <c r="M236">
        <v>101.6725</v>
      </c>
      <c r="N236">
        <v>104.53700000000001</v>
      </c>
      <c r="O236">
        <v>98.304000000000002</v>
      </c>
      <c r="Q236">
        <v>96.838999999999999</v>
      </c>
      <c r="R236">
        <v>107.1765</v>
      </c>
      <c r="S236">
        <v>100.10299999999999</v>
      </c>
      <c r="T236">
        <v>100.29349999999999</v>
      </c>
    </row>
    <row r="237" spans="2:20">
      <c r="B237" s="27">
        <v>42226</v>
      </c>
      <c r="J237">
        <v>100.5895</v>
      </c>
      <c r="K237">
        <v>100.23</v>
      </c>
      <c r="L237">
        <v>101.67610000000001</v>
      </c>
      <c r="M237">
        <v>101.6755</v>
      </c>
      <c r="N237">
        <v>104.5295</v>
      </c>
      <c r="O237">
        <v>98.284999999999997</v>
      </c>
      <c r="Q237">
        <v>96.834000000000003</v>
      </c>
      <c r="R237">
        <v>106.9735</v>
      </c>
      <c r="S237">
        <v>100.102</v>
      </c>
      <c r="T237">
        <v>100.2055</v>
      </c>
    </row>
    <row r="238" spans="2:20">
      <c r="B238" s="27">
        <v>42223</v>
      </c>
      <c r="J238">
        <v>100.6035</v>
      </c>
      <c r="K238">
        <v>100.233</v>
      </c>
      <c r="L238">
        <v>101.6885</v>
      </c>
      <c r="M238">
        <v>101.6875</v>
      </c>
      <c r="N238">
        <v>104.54049999999999</v>
      </c>
      <c r="O238">
        <v>98.266000000000005</v>
      </c>
      <c r="Q238">
        <v>96.828999999999994</v>
      </c>
      <c r="R238">
        <v>107.0795</v>
      </c>
      <c r="S238">
        <v>100.10299999999999</v>
      </c>
      <c r="T238">
        <v>100.1965</v>
      </c>
    </row>
    <row r="239" spans="2:20">
      <c r="B239" s="27">
        <v>42222</v>
      </c>
      <c r="J239">
        <v>100.61150000000001</v>
      </c>
      <c r="K239">
        <v>100.2385</v>
      </c>
      <c r="L239">
        <v>101.69475</v>
      </c>
      <c r="M239">
        <v>101.6935</v>
      </c>
      <c r="N239">
        <v>104.5625</v>
      </c>
      <c r="O239">
        <v>98.215000000000003</v>
      </c>
      <c r="Q239">
        <v>96.823999999999998</v>
      </c>
      <c r="R239">
        <v>107.083</v>
      </c>
      <c r="S239">
        <v>100.10250000000001</v>
      </c>
      <c r="T239">
        <v>100.26</v>
      </c>
    </row>
    <row r="240" spans="2:20">
      <c r="B240" s="27">
        <v>42221</v>
      </c>
      <c r="J240">
        <v>100.62350000000001</v>
      </c>
      <c r="K240">
        <v>100.2435</v>
      </c>
      <c r="L240">
        <v>101.70350000000001</v>
      </c>
      <c r="M240">
        <v>101.703</v>
      </c>
      <c r="N240">
        <v>104.5475</v>
      </c>
      <c r="O240">
        <v>98.198999999999998</v>
      </c>
      <c r="Q240">
        <v>96.822000000000003</v>
      </c>
      <c r="R240">
        <v>107.063</v>
      </c>
      <c r="S240">
        <v>100.10550000000001</v>
      </c>
      <c r="T240">
        <v>100.259</v>
      </c>
    </row>
    <row r="241" spans="2:20">
      <c r="B241" s="27">
        <v>42220</v>
      </c>
      <c r="J241">
        <v>100.6615</v>
      </c>
      <c r="K241">
        <v>100.2615</v>
      </c>
      <c r="L241">
        <v>101.73495</v>
      </c>
      <c r="M241">
        <v>101.73399999999999</v>
      </c>
      <c r="N241">
        <v>104.63249999999999</v>
      </c>
      <c r="O241">
        <v>98.043000000000006</v>
      </c>
      <c r="Q241">
        <v>96.807000000000002</v>
      </c>
      <c r="R241">
        <v>107.235</v>
      </c>
      <c r="S241">
        <v>100.10550000000001</v>
      </c>
      <c r="T241">
        <v>100.423</v>
      </c>
    </row>
    <row r="242" spans="2:20">
      <c r="B242" s="27">
        <v>42219</v>
      </c>
      <c r="J242">
        <v>100.68</v>
      </c>
      <c r="K242">
        <v>100.25749999999999</v>
      </c>
      <c r="L242">
        <v>101.7389</v>
      </c>
      <c r="M242">
        <v>101.745</v>
      </c>
      <c r="N242">
        <v>104.67100000000001</v>
      </c>
      <c r="O242">
        <v>98.034000000000006</v>
      </c>
      <c r="Q242">
        <v>96.796999999999997</v>
      </c>
      <c r="R242">
        <v>107.4395</v>
      </c>
      <c r="S242">
        <v>100.1015</v>
      </c>
      <c r="T242">
        <v>100.5885</v>
      </c>
    </row>
    <row r="243" spans="2:20">
      <c r="B243" s="27">
        <v>42216</v>
      </c>
      <c r="J243">
        <v>100.679</v>
      </c>
      <c r="K243">
        <v>100.25749999999999</v>
      </c>
      <c r="L243">
        <v>101.74525</v>
      </c>
      <c r="M243">
        <v>101.744</v>
      </c>
      <c r="N243">
        <v>104.667</v>
      </c>
      <c r="O243">
        <v>98.034000000000006</v>
      </c>
      <c r="Q243">
        <v>96.796999999999997</v>
      </c>
      <c r="R243">
        <v>107.3595</v>
      </c>
      <c r="S243">
        <v>100.1015</v>
      </c>
      <c r="T243">
        <v>100.5245</v>
      </c>
    </row>
    <row r="244" spans="2:20">
      <c r="B244" s="27">
        <v>42215</v>
      </c>
      <c r="J244">
        <v>100.684</v>
      </c>
      <c r="K244">
        <v>100.2645</v>
      </c>
      <c r="L244">
        <v>101.75915000000001</v>
      </c>
      <c r="M244">
        <v>101.758</v>
      </c>
      <c r="N244">
        <v>104.628</v>
      </c>
      <c r="O244">
        <v>98.001000000000005</v>
      </c>
      <c r="Q244">
        <v>96.793000000000006</v>
      </c>
      <c r="R244">
        <v>107.161</v>
      </c>
      <c r="S244">
        <v>100.1045</v>
      </c>
      <c r="T244">
        <v>100.27500000000001</v>
      </c>
    </row>
    <row r="245" spans="2:20">
      <c r="B245" s="27">
        <v>42214</v>
      </c>
      <c r="J245">
        <v>100.694</v>
      </c>
      <c r="K245">
        <v>100.27200000000001</v>
      </c>
      <c r="L245">
        <v>101.7705</v>
      </c>
      <c r="M245">
        <v>101.7705</v>
      </c>
      <c r="N245">
        <v>104.69199999999999</v>
      </c>
      <c r="O245">
        <v>98.066000000000003</v>
      </c>
      <c r="Q245">
        <v>96.790999999999997</v>
      </c>
      <c r="R245">
        <v>107.4495</v>
      </c>
      <c r="S245">
        <v>100.1045</v>
      </c>
      <c r="T245">
        <v>100.41849999999999</v>
      </c>
    </row>
    <row r="246" spans="2:20">
      <c r="B246" s="27">
        <v>42213</v>
      </c>
      <c r="J246">
        <v>100.753</v>
      </c>
      <c r="K246">
        <v>100.292</v>
      </c>
      <c r="L246">
        <v>101.7719</v>
      </c>
      <c r="M246">
        <v>101.7715</v>
      </c>
      <c r="N246">
        <v>104.676</v>
      </c>
      <c r="O246">
        <v>98.103999999999999</v>
      </c>
      <c r="Q246">
        <v>96.771000000000001</v>
      </c>
      <c r="R246">
        <v>107.2615</v>
      </c>
      <c r="S246">
        <v>100.107</v>
      </c>
      <c r="T246">
        <v>100.17749999999999</v>
      </c>
    </row>
    <row r="247" spans="2:20">
      <c r="B247" s="27">
        <v>42212</v>
      </c>
      <c r="J247">
        <v>100.77249999999999</v>
      </c>
      <c r="K247">
        <v>100.297</v>
      </c>
      <c r="L247">
        <v>101.7878</v>
      </c>
      <c r="M247">
        <v>101.7895</v>
      </c>
      <c r="N247">
        <v>104.7925</v>
      </c>
      <c r="O247">
        <v>98.066999999999993</v>
      </c>
      <c r="Q247">
        <v>96.763999999999996</v>
      </c>
      <c r="R247">
        <v>107.56399999999999</v>
      </c>
      <c r="S247">
        <v>100.10599999999999</v>
      </c>
      <c r="T247">
        <v>100.526</v>
      </c>
    </row>
    <row r="248" spans="2:20">
      <c r="B248" s="27">
        <v>42209</v>
      </c>
      <c r="J248">
        <v>100.7715</v>
      </c>
      <c r="K248">
        <v>100.285</v>
      </c>
      <c r="L248">
        <v>101.79340000000001</v>
      </c>
      <c r="M248">
        <v>101.7925</v>
      </c>
      <c r="N248">
        <v>104.7285</v>
      </c>
      <c r="O248">
        <v>98.04</v>
      </c>
      <c r="Q248">
        <v>96.784999999999997</v>
      </c>
      <c r="R248">
        <v>107.30800000000001</v>
      </c>
      <c r="S248">
        <v>100.105</v>
      </c>
      <c r="T248">
        <v>100.4285</v>
      </c>
    </row>
    <row r="249" spans="2:20">
      <c r="B249" s="27">
        <v>42208</v>
      </c>
      <c r="J249">
        <v>100.7915</v>
      </c>
      <c r="K249">
        <v>100.289</v>
      </c>
      <c r="L249">
        <v>101.79885</v>
      </c>
      <c r="M249">
        <v>101.7985</v>
      </c>
      <c r="N249">
        <v>104.7325</v>
      </c>
      <c r="O249">
        <v>98.004000000000005</v>
      </c>
      <c r="Q249">
        <v>96.78</v>
      </c>
      <c r="R249">
        <v>107.227</v>
      </c>
      <c r="S249">
        <v>100.104</v>
      </c>
      <c r="T249">
        <v>100.3265</v>
      </c>
    </row>
    <row r="250" spans="2:20">
      <c r="B250" s="27">
        <v>42207</v>
      </c>
      <c r="J250">
        <v>100.7975</v>
      </c>
      <c r="K250">
        <v>100.29600000000001</v>
      </c>
      <c r="L250">
        <v>101.8134</v>
      </c>
      <c r="M250">
        <v>101.8125</v>
      </c>
      <c r="N250">
        <v>104.66249999999999</v>
      </c>
      <c r="O250">
        <v>98.036000000000001</v>
      </c>
      <c r="Q250">
        <v>96.775999999999996</v>
      </c>
      <c r="R250">
        <v>107.0775</v>
      </c>
      <c r="S250">
        <v>100.10599999999999</v>
      </c>
      <c r="T250">
        <v>100.0635</v>
      </c>
    </row>
    <row r="251" spans="2:20">
      <c r="B251" s="27">
        <v>42206</v>
      </c>
      <c r="J251">
        <v>100.8385</v>
      </c>
      <c r="K251">
        <v>100.3215</v>
      </c>
      <c r="L251">
        <v>101.82875</v>
      </c>
      <c r="M251">
        <v>101.828</v>
      </c>
      <c r="N251">
        <v>104.69450000000001</v>
      </c>
      <c r="O251">
        <v>98.051000000000002</v>
      </c>
      <c r="Q251">
        <v>96.734999999999999</v>
      </c>
      <c r="R251">
        <v>107.15</v>
      </c>
      <c r="S251">
        <v>100.104</v>
      </c>
      <c r="T251">
        <v>100.0395</v>
      </c>
    </row>
    <row r="252" spans="2:20">
      <c r="B252" s="27">
        <v>42205</v>
      </c>
      <c r="J252">
        <v>100.85299999999999</v>
      </c>
      <c r="K252">
        <v>100.3095</v>
      </c>
      <c r="L252">
        <v>101.84</v>
      </c>
      <c r="M252">
        <v>101.839</v>
      </c>
      <c r="N252">
        <v>104.6645</v>
      </c>
      <c r="O252">
        <v>98.081999999999994</v>
      </c>
      <c r="Q252">
        <v>96.728999999999999</v>
      </c>
      <c r="R252">
        <v>107.03100000000001</v>
      </c>
      <c r="S252">
        <v>100.1065</v>
      </c>
      <c r="T252">
        <v>100.09950000000001</v>
      </c>
    </row>
    <row r="253" spans="2:20">
      <c r="B253" s="27">
        <v>42202</v>
      </c>
      <c r="J253">
        <v>100.86499999999999</v>
      </c>
      <c r="K253">
        <v>100.3155</v>
      </c>
      <c r="L253">
        <v>101.85395</v>
      </c>
      <c r="M253">
        <v>101.85299999999999</v>
      </c>
      <c r="N253">
        <v>104.693</v>
      </c>
      <c r="O253">
        <v>98.061999999999998</v>
      </c>
      <c r="Q253">
        <v>96.724999999999994</v>
      </c>
      <c r="R253">
        <v>107.02500000000001</v>
      </c>
      <c r="S253">
        <v>100.1045</v>
      </c>
      <c r="T253">
        <v>100.0475</v>
      </c>
    </row>
    <row r="254" spans="2:20">
      <c r="B254" s="27">
        <v>42201</v>
      </c>
      <c r="J254">
        <v>100.877</v>
      </c>
      <c r="K254">
        <v>100.31950000000001</v>
      </c>
      <c r="L254">
        <v>101.86235000000001</v>
      </c>
      <c r="M254">
        <v>101.861</v>
      </c>
      <c r="N254">
        <v>104.721</v>
      </c>
      <c r="O254">
        <v>97.992000000000004</v>
      </c>
      <c r="Q254">
        <v>96.72</v>
      </c>
      <c r="R254">
        <v>107.01300000000001</v>
      </c>
      <c r="S254">
        <v>100.10550000000001</v>
      </c>
      <c r="T254">
        <v>99.984499999999997</v>
      </c>
    </row>
    <row r="255" spans="2:20">
      <c r="B255" s="27">
        <v>42200</v>
      </c>
      <c r="J255">
        <v>100.886</v>
      </c>
      <c r="K255">
        <v>100.32250000000001</v>
      </c>
      <c r="L255">
        <v>101.8657</v>
      </c>
      <c r="M255">
        <v>101.86499999999999</v>
      </c>
      <c r="N255">
        <v>104.65300000000001</v>
      </c>
      <c r="O255">
        <v>98.022000000000006</v>
      </c>
      <c r="Q255">
        <v>96.715000000000003</v>
      </c>
      <c r="R255">
        <v>106.858</v>
      </c>
      <c r="S255">
        <v>100.1045</v>
      </c>
      <c r="T255">
        <v>99.828500000000005</v>
      </c>
    </row>
    <row r="256" spans="2:20">
      <c r="B256" s="27">
        <v>42199</v>
      </c>
      <c r="J256">
        <v>100.934</v>
      </c>
      <c r="K256">
        <v>100.336</v>
      </c>
      <c r="L256">
        <v>101.88</v>
      </c>
      <c r="M256">
        <v>101.87949999999999</v>
      </c>
      <c r="N256">
        <v>104.66</v>
      </c>
      <c r="O256">
        <v>98.015000000000001</v>
      </c>
      <c r="Q256">
        <v>96.700999999999993</v>
      </c>
      <c r="R256">
        <v>106.819</v>
      </c>
      <c r="S256">
        <v>100.1045</v>
      </c>
      <c r="T256">
        <v>99.799499999999995</v>
      </c>
    </row>
    <row r="257" spans="2:20">
      <c r="B257" s="27">
        <v>42198</v>
      </c>
      <c r="J257">
        <v>100.9385</v>
      </c>
      <c r="K257">
        <v>100.33799999999999</v>
      </c>
      <c r="L257">
        <v>101.8849</v>
      </c>
      <c r="M257">
        <v>101.8845</v>
      </c>
      <c r="N257">
        <v>104.679</v>
      </c>
      <c r="O257">
        <v>97.962000000000003</v>
      </c>
      <c r="Q257">
        <v>96.697000000000003</v>
      </c>
      <c r="R257">
        <v>106.848</v>
      </c>
      <c r="S257">
        <v>100.1045</v>
      </c>
      <c r="T257">
        <v>99.8095</v>
      </c>
    </row>
    <row r="258" spans="2:20">
      <c r="B258" s="27">
        <v>42195</v>
      </c>
      <c r="J258">
        <v>100.95050000000001</v>
      </c>
      <c r="K258">
        <v>100.346</v>
      </c>
      <c r="L258">
        <v>101.90094999999999</v>
      </c>
      <c r="M258">
        <v>101.90049999999999</v>
      </c>
      <c r="N258">
        <v>104.69499999999999</v>
      </c>
      <c r="O258">
        <v>97.959000000000003</v>
      </c>
      <c r="Q258">
        <v>96.691999999999993</v>
      </c>
      <c r="R258">
        <v>106.93300000000001</v>
      </c>
      <c r="S258">
        <v>100.10599999999999</v>
      </c>
      <c r="T258">
        <v>99.959000000000003</v>
      </c>
    </row>
    <row r="259" spans="2:20">
      <c r="B259" s="27">
        <v>42194</v>
      </c>
      <c r="J259">
        <v>100.9635</v>
      </c>
      <c r="K259">
        <v>100.35</v>
      </c>
      <c r="L259">
        <v>101.91175</v>
      </c>
      <c r="M259">
        <v>101.9105</v>
      </c>
      <c r="N259">
        <v>104.7795</v>
      </c>
      <c r="O259">
        <v>97.99</v>
      </c>
      <c r="Q259">
        <v>96.686999999999998</v>
      </c>
      <c r="R259">
        <v>107.0675</v>
      </c>
      <c r="S259">
        <v>100.105</v>
      </c>
      <c r="T259">
        <v>100.119</v>
      </c>
    </row>
    <row r="260" spans="2:20">
      <c r="B260" s="27">
        <v>42193</v>
      </c>
      <c r="J260">
        <v>100.9855</v>
      </c>
      <c r="K260">
        <v>100.35</v>
      </c>
      <c r="L260">
        <v>101.92010000000001</v>
      </c>
      <c r="M260">
        <v>101.9195</v>
      </c>
      <c r="N260">
        <v>104.9085</v>
      </c>
      <c r="O260">
        <v>97.918999999999997</v>
      </c>
      <c r="Q260">
        <v>96.682000000000002</v>
      </c>
      <c r="R260">
        <v>107.779</v>
      </c>
      <c r="S260">
        <v>100.10599999999999</v>
      </c>
      <c r="T260">
        <v>100.648</v>
      </c>
    </row>
    <row r="261" spans="2:20">
      <c r="B261" s="27">
        <v>42192</v>
      </c>
      <c r="J261">
        <v>101.01649999999999</v>
      </c>
      <c r="K261">
        <v>100.3695</v>
      </c>
      <c r="L261">
        <v>101.93389999999999</v>
      </c>
      <c r="M261">
        <v>101.93300000000001</v>
      </c>
      <c r="N261">
        <v>104.85250000000001</v>
      </c>
      <c r="O261">
        <v>98.013999999999996</v>
      </c>
      <c r="Q261">
        <v>96.667000000000002</v>
      </c>
      <c r="R261">
        <v>107.273</v>
      </c>
      <c r="S261">
        <v>100.108</v>
      </c>
      <c r="T261">
        <v>100.313979</v>
      </c>
    </row>
    <row r="262" spans="2:20">
      <c r="B262" s="27">
        <v>42191</v>
      </c>
      <c r="J262">
        <v>101.03700000000001</v>
      </c>
      <c r="K262">
        <v>100.3725</v>
      </c>
      <c r="L262">
        <v>101.92325</v>
      </c>
      <c r="M262">
        <v>101.923</v>
      </c>
      <c r="N262">
        <v>104.8515</v>
      </c>
      <c r="O262">
        <v>98.010999999999996</v>
      </c>
      <c r="Q262">
        <v>96.662000000000006</v>
      </c>
      <c r="R262">
        <v>107.0645</v>
      </c>
      <c r="S262">
        <v>100.107</v>
      </c>
      <c r="T262">
        <v>100.13614</v>
      </c>
    </row>
    <row r="263" spans="2:20">
      <c r="B263" s="27">
        <v>42188</v>
      </c>
      <c r="J263">
        <v>101.044</v>
      </c>
      <c r="K263">
        <v>100.3725</v>
      </c>
      <c r="L263">
        <v>101.92364999999999</v>
      </c>
      <c r="M263">
        <v>101.923</v>
      </c>
      <c r="N263">
        <v>104.76349999999999</v>
      </c>
      <c r="O263">
        <v>97.938999999999993</v>
      </c>
      <c r="Q263">
        <v>96.656999999999996</v>
      </c>
      <c r="R263">
        <v>106.9015</v>
      </c>
      <c r="S263">
        <v>100.105</v>
      </c>
      <c r="T263">
        <v>99.815342999999999</v>
      </c>
    </row>
    <row r="264" spans="2:20">
      <c r="B264" s="27">
        <v>42187</v>
      </c>
      <c r="J264">
        <v>101.05800000000001</v>
      </c>
      <c r="K264">
        <v>100.42149999999999</v>
      </c>
      <c r="L264">
        <v>101.91485</v>
      </c>
      <c r="M264">
        <v>101.914</v>
      </c>
      <c r="N264">
        <v>104.6865</v>
      </c>
      <c r="O264">
        <v>97.936000000000007</v>
      </c>
      <c r="Q264">
        <v>96.652000000000001</v>
      </c>
      <c r="R264">
        <v>106.559</v>
      </c>
      <c r="S264">
        <v>100.10599999999999</v>
      </c>
      <c r="T264">
        <v>99.497738999999996</v>
      </c>
    </row>
    <row r="265" spans="2:20">
      <c r="B265" s="27">
        <v>42186</v>
      </c>
      <c r="J265">
        <v>101.06699999999999</v>
      </c>
      <c r="K265">
        <v>100.3425</v>
      </c>
      <c r="L265">
        <v>101.9264</v>
      </c>
      <c r="M265">
        <v>101.926</v>
      </c>
      <c r="N265">
        <v>104.72199999999999</v>
      </c>
      <c r="O265">
        <v>97.927000000000007</v>
      </c>
      <c r="Q265">
        <v>96.644000000000005</v>
      </c>
      <c r="R265">
        <v>106.87649999999999</v>
      </c>
      <c r="S265">
        <v>100.0685</v>
      </c>
      <c r="T265">
        <v>99.755781999999996</v>
      </c>
    </row>
    <row r="266" spans="2:20">
      <c r="B266" s="27">
        <v>42185</v>
      </c>
      <c r="J266">
        <v>101.10599999999999</v>
      </c>
      <c r="K266">
        <v>100.398</v>
      </c>
      <c r="L266">
        <v>101.93575</v>
      </c>
      <c r="M266">
        <v>101.935</v>
      </c>
      <c r="N266">
        <v>104.71299999999999</v>
      </c>
      <c r="O266">
        <v>97.959000000000003</v>
      </c>
      <c r="P266">
        <f>'Bloomberg Bond Prices'!R300</f>
        <v>96.912999999999997</v>
      </c>
      <c r="Q266">
        <v>96.632000000000005</v>
      </c>
      <c r="R266">
        <v>106.7205</v>
      </c>
      <c r="S266">
        <v>100.10550000000001</v>
      </c>
      <c r="T266">
        <v>99.698295999999999</v>
      </c>
    </row>
    <row r="267" spans="2:20">
      <c r="B267" s="27">
        <v>42184</v>
      </c>
      <c r="J267">
        <v>101.124</v>
      </c>
      <c r="K267">
        <v>100.407</v>
      </c>
      <c r="L267">
        <v>101.96075</v>
      </c>
      <c r="M267">
        <v>101.9605</v>
      </c>
      <c r="N267">
        <v>104.70399999999999</v>
      </c>
      <c r="O267">
        <v>97.903999999999996</v>
      </c>
      <c r="Q267">
        <v>96.626999999999995</v>
      </c>
      <c r="R267">
        <v>106.6765</v>
      </c>
      <c r="S267">
        <v>100.1065</v>
      </c>
      <c r="T267">
        <v>99.672370999999998</v>
      </c>
    </row>
    <row r="268" spans="2:20">
      <c r="B268" s="27">
        <v>42181</v>
      </c>
      <c r="J268">
        <v>101.1255</v>
      </c>
      <c r="K268">
        <v>100.411</v>
      </c>
      <c r="L268">
        <v>101.9603</v>
      </c>
      <c r="M268">
        <v>101.95950000000001</v>
      </c>
      <c r="N268">
        <v>104.742</v>
      </c>
      <c r="O268">
        <v>97.902000000000001</v>
      </c>
      <c r="Q268">
        <v>96.623000000000005</v>
      </c>
      <c r="R268">
        <v>106.6635</v>
      </c>
      <c r="S268">
        <v>100.10550000000001</v>
      </c>
      <c r="T268">
        <v>99.645469000000006</v>
      </c>
    </row>
    <row r="269" spans="2:20">
      <c r="B269" s="27">
        <v>42180</v>
      </c>
      <c r="J269">
        <v>101.14449999999999</v>
      </c>
      <c r="K269">
        <v>100.41</v>
      </c>
      <c r="L269">
        <v>101.9665</v>
      </c>
      <c r="M269">
        <v>101.96550000000001</v>
      </c>
      <c r="N269">
        <v>104.77200000000001</v>
      </c>
      <c r="O269">
        <v>97.915999999999997</v>
      </c>
      <c r="Q269">
        <v>96.617000000000004</v>
      </c>
      <c r="R269">
        <v>106.63249999999999</v>
      </c>
      <c r="S269">
        <v>100.10250000000001</v>
      </c>
      <c r="T269">
        <v>99.641834000000003</v>
      </c>
    </row>
    <row r="270" spans="2:20">
      <c r="B270" s="27">
        <v>42179</v>
      </c>
      <c r="J270">
        <v>101.1665</v>
      </c>
      <c r="K270">
        <v>100.414</v>
      </c>
      <c r="L270">
        <v>101.97135</v>
      </c>
      <c r="M270">
        <v>101.9705</v>
      </c>
      <c r="N270">
        <v>104.7675</v>
      </c>
      <c r="O270">
        <v>97.947999999999993</v>
      </c>
      <c r="Q270">
        <v>96.613</v>
      </c>
      <c r="R270">
        <v>106.71599999999999</v>
      </c>
      <c r="S270">
        <v>100.1045</v>
      </c>
      <c r="T270">
        <v>99.607949000000005</v>
      </c>
    </row>
    <row r="271" spans="2:20">
      <c r="B271" s="27">
        <v>42178</v>
      </c>
      <c r="J271">
        <v>101.1955</v>
      </c>
      <c r="K271">
        <v>100.42749999999999</v>
      </c>
      <c r="L271">
        <v>101.99185</v>
      </c>
      <c r="M271">
        <v>101.991</v>
      </c>
      <c r="N271">
        <v>104.8115</v>
      </c>
      <c r="O271">
        <v>97.938999999999993</v>
      </c>
      <c r="Q271">
        <v>96.597999999999999</v>
      </c>
      <c r="R271">
        <v>106.688</v>
      </c>
      <c r="T271">
        <v>99.615364999999997</v>
      </c>
    </row>
    <row r="272" spans="2:20">
      <c r="B272" s="27">
        <v>42177</v>
      </c>
      <c r="J272">
        <v>101.2055</v>
      </c>
      <c r="K272">
        <v>100.4325</v>
      </c>
      <c r="L272">
        <v>101.99850000000001</v>
      </c>
      <c r="M272">
        <v>101.998</v>
      </c>
      <c r="N272">
        <v>104.9105</v>
      </c>
      <c r="O272">
        <v>97.867000000000004</v>
      </c>
      <c r="Q272">
        <v>96.593000000000004</v>
      </c>
      <c r="R272">
        <v>106.99550000000001</v>
      </c>
    </row>
    <row r="273" spans="2:18">
      <c r="B273" s="27">
        <v>42174</v>
      </c>
      <c r="J273">
        <v>101.21599999999999</v>
      </c>
      <c r="K273">
        <v>100.4615</v>
      </c>
      <c r="L273">
        <v>102.00369999999999</v>
      </c>
      <c r="M273">
        <v>102.003</v>
      </c>
      <c r="N273">
        <v>104.98350000000001</v>
      </c>
      <c r="O273">
        <v>97.846999999999994</v>
      </c>
      <c r="Q273">
        <v>96.587999999999994</v>
      </c>
      <c r="R273">
        <v>107.1835</v>
      </c>
    </row>
    <row r="274" spans="2:18">
      <c r="B274" s="27">
        <v>42173</v>
      </c>
      <c r="J274">
        <v>101.23699999999999</v>
      </c>
      <c r="K274">
        <v>100.47150000000001</v>
      </c>
      <c r="L274">
        <v>102.00935</v>
      </c>
      <c r="M274">
        <v>102.009</v>
      </c>
      <c r="N274">
        <v>104.968</v>
      </c>
      <c r="O274">
        <v>97.843999999999994</v>
      </c>
      <c r="Q274">
        <v>96.582999999999998</v>
      </c>
      <c r="R274">
        <v>107.22750000000001</v>
      </c>
    </row>
    <row r="275" spans="2:18">
      <c r="B275" s="27">
        <v>42172</v>
      </c>
      <c r="J275">
        <v>101.239</v>
      </c>
      <c r="K275">
        <v>100.4615</v>
      </c>
      <c r="L275">
        <v>102.0003</v>
      </c>
      <c r="M275">
        <v>101.999</v>
      </c>
      <c r="N275">
        <v>104.91500000000001</v>
      </c>
      <c r="O275">
        <v>97.774000000000001</v>
      </c>
      <c r="Q275">
        <v>96.567999999999998</v>
      </c>
      <c r="R275">
        <v>106.8275</v>
      </c>
    </row>
    <row r="276" spans="2:18">
      <c r="B276" s="27">
        <v>42171</v>
      </c>
      <c r="J276">
        <v>101.276</v>
      </c>
      <c r="K276">
        <v>100.46299999999999</v>
      </c>
      <c r="L276">
        <v>102.01615</v>
      </c>
      <c r="M276">
        <v>102.0155</v>
      </c>
      <c r="N276">
        <v>104.96</v>
      </c>
      <c r="O276">
        <v>97.763999999999996</v>
      </c>
      <c r="Q276">
        <v>96.551000000000002</v>
      </c>
      <c r="R276">
        <v>106.84950000000001</v>
      </c>
    </row>
    <row r="277" spans="2:18">
      <c r="B277" s="27">
        <v>42170</v>
      </c>
      <c r="J277">
        <v>101.288</v>
      </c>
      <c r="K277">
        <v>100.467</v>
      </c>
      <c r="L277">
        <v>102.02070000000001</v>
      </c>
      <c r="M277">
        <v>102.0205</v>
      </c>
      <c r="N277">
        <v>104.98</v>
      </c>
      <c r="O277">
        <v>97.81</v>
      </c>
      <c r="Q277">
        <v>96.557000000000002</v>
      </c>
      <c r="R277">
        <v>106.7955</v>
      </c>
    </row>
    <row r="278" spans="2:18">
      <c r="B278" s="27">
        <v>42167</v>
      </c>
      <c r="J278">
        <v>101.2925</v>
      </c>
      <c r="K278">
        <v>100.46599999999999</v>
      </c>
      <c r="L278">
        <v>102.02685</v>
      </c>
      <c r="M278">
        <v>102.0265</v>
      </c>
      <c r="N278">
        <v>104.94</v>
      </c>
      <c r="O278">
        <v>97.789000000000001</v>
      </c>
      <c r="Q278">
        <v>96.552999999999997</v>
      </c>
      <c r="R278">
        <v>106.6855</v>
      </c>
    </row>
    <row r="279" spans="2:18">
      <c r="B279" s="27">
        <v>42166</v>
      </c>
      <c r="J279">
        <v>101.29949999999999</v>
      </c>
      <c r="K279">
        <v>100.47</v>
      </c>
      <c r="L279">
        <v>102.03465</v>
      </c>
      <c r="M279">
        <v>102.0335</v>
      </c>
      <c r="N279">
        <v>104.86</v>
      </c>
      <c r="O279">
        <v>97.786000000000001</v>
      </c>
      <c r="Q279">
        <v>96.548000000000002</v>
      </c>
      <c r="R279">
        <v>106.40900000000001</v>
      </c>
    </row>
    <row r="280" spans="2:18">
      <c r="B280" s="27">
        <v>42165</v>
      </c>
      <c r="J280">
        <v>101.3065</v>
      </c>
      <c r="K280">
        <v>100.476</v>
      </c>
      <c r="L280">
        <v>102.0441</v>
      </c>
      <c r="M280">
        <v>102.04349999999999</v>
      </c>
      <c r="N280">
        <v>104.864</v>
      </c>
      <c r="O280">
        <v>97.909000000000006</v>
      </c>
      <c r="Q280">
        <v>96.543999999999997</v>
      </c>
      <c r="R280">
        <v>106.911</v>
      </c>
    </row>
    <row r="281" spans="2:18">
      <c r="B281" s="27">
        <v>42164</v>
      </c>
      <c r="J281">
        <v>101.3515</v>
      </c>
      <c r="K281">
        <v>100.4905</v>
      </c>
      <c r="L281">
        <v>102.0685</v>
      </c>
      <c r="M281">
        <v>102.068</v>
      </c>
      <c r="N281">
        <v>104.9915</v>
      </c>
      <c r="O281">
        <v>97.900999999999996</v>
      </c>
      <c r="Q281">
        <v>96.528999999999996</v>
      </c>
      <c r="R281">
        <v>107.018</v>
      </c>
    </row>
    <row r="282" spans="2:18">
      <c r="B282" s="27">
        <v>42163</v>
      </c>
      <c r="J282">
        <v>101.3605</v>
      </c>
      <c r="K282">
        <v>100.4935</v>
      </c>
      <c r="L282">
        <v>102.0727</v>
      </c>
      <c r="M282">
        <v>102.072</v>
      </c>
      <c r="N282">
        <v>104.9105</v>
      </c>
      <c r="O282">
        <v>97.825999999999993</v>
      </c>
      <c r="Q282">
        <v>96.524000000000001</v>
      </c>
      <c r="R282">
        <v>106.762</v>
      </c>
    </row>
    <row r="283" spans="2:18">
      <c r="B283" s="27">
        <v>42160</v>
      </c>
      <c r="J283">
        <v>101.3655</v>
      </c>
      <c r="K283">
        <v>100.4935</v>
      </c>
      <c r="L283">
        <v>102.09385</v>
      </c>
      <c r="M283">
        <v>102.093</v>
      </c>
      <c r="N283">
        <v>104.92749999999999</v>
      </c>
      <c r="O283">
        <v>97.825000000000003</v>
      </c>
      <c r="Q283">
        <v>96.522000000000006</v>
      </c>
      <c r="R283">
        <v>106.82599999999999</v>
      </c>
    </row>
    <row r="284" spans="2:18">
      <c r="B284" s="27">
        <v>42159</v>
      </c>
      <c r="J284">
        <v>101.3785</v>
      </c>
      <c r="K284">
        <v>100.49850000000001</v>
      </c>
      <c r="L284">
        <v>102.10039999999999</v>
      </c>
      <c r="M284">
        <v>102.1</v>
      </c>
      <c r="N284">
        <v>104.8905</v>
      </c>
      <c r="O284">
        <v>97.822000000000003</v>
      </c>
      <c r="Q284">
        <v>96.518000000000001</v>
      </c>
      <c r="R284">
        <v>106.643</v>
      </c>
    </row>
    <row r="285" spans="2:18">
      <c r="B285" s="27">
        <v>42158</v>
      </c>
      <c r="J285">
        <v>101.384</v>
      </c>
      <c r="K285">
        <v>100.4455</v>
      </c>
      <c r="L285">
        <v>102.15009999999999</v>
      </c>
      <c r="M285">
        <v>102.149</v>
      </c>
      <c r="N285">
        <v>104.9515</v>
      </c>
      <c r="O285">
        <v>97.819000000000003</v>
      </c>
      <c r="Q285">
        <v>96.513000000000005</v>
      </c>
      <c r="R285">
        <v>107.08450000000001</v>
      </c>
    </row>
    <row r="286" spans="2:18">
      <c r="B286" s="27">
        <v>42157</v>
      </c>
      <c r="J286">
        <v>101.437</v>
      </c>
      <c r="K286">
        <v>100.526</v>
      </c>
      <c r="L286">
        <v>102.1632</v>
      </c>
      <c r="M286">
        <v>102.16249999999999</v>
      </c>
      <c r="N286">
        <v>105.062</v>
      </c>
      <c r="O286">
        <v>97.792000000000002</v>
      </c>
      <c r="Q286">
        <v>96.495000000000005</v>
      </c>
      <c r="R286">
        <v>107.40900000000001</v>
      </c>
    </row>
    <row r="287" spans="2:18">
      <c r="B287" s="27">
        <v>42156</v>
      </c>
      <c r="J287">
        <v>101.465</v>
      </c>
      <c r="K287">
        <v>100.53100000000001</v>
      </c>
      <c r="L287">
        <v>102.16970000000001</v>
      </c>
      <c r="M287">
        <v>102.1695</v>
      </c>
      <c r="N287">
        <v>105.241</v>
      </c>
      <c r="O287">
        <v>97.789000000000001</v>
      </c>
      <c r="Q287">
        <v>96.49</v>
      </c>
      <c r="R287">
        <v>107.7465</v>
      </c>
    </row>
    <row r="288" spans="2:18">
      <c r="B288" s="27">
        <v>42153</v>
      </c>
      <c r="J288">
        <v>101.479</v>
      </c>
      <c r="K288">
        <v>100.535</v>
      </c>
      <c r="L288">
        <v>102.17355000000001</v>
      </c>
      <c r="M288">
        <v>102.1725</v>
      </c>
      <c r="N288">
        <v>105.214</v>
      </c>
      <c r="O288">
        <v>97.837999999999994</v>
      </c>
      <c r="Q288">
        <v>96.483999999999995</v>
      </c>
      <c r="R288">
        <v>107.7115</v>
      </c>
    </row>
    <row r="289" spans="2:18">
      <c r="B289" s="27">
        <v>42152</v>
      </c>
      <c r="J289">
        <v>101.4755</v>
      </c>
      <c r="K289">
        <v>100.539</v>
      </c>
      <c r="L289">
        <v>102.1771</v>
      </c>
      <c r="M289">
        <v>102.1765</v>
      </c>
      <c r="N289">
        <v>105.13800000000001</v>
      </c>
      <c r="O289">
        <v>97.888999999999996</v>
      </c>
      <c r="Q289">
        <v>96.478999999999999</v>
      </c>
      <c r="R289">
        <v>107.44499999999999</v>
      </c>
    </row>
    <row r="290" spans="2:18">
      <c r="B290" s="27">
        <v>42151</v>
      </c>
      <c r="J290">
        <v>101.4915</v>
      </c>
      <c r="K290">
        <v>100.57299999999999</v>
      </c>
      <c r="L290">
        <v>102.1828</v>
      </c>
      <c r="M290">
        <v>102.1815</v>
      </c>
      <c r="N290">
        <v>105.08799999999999</v>
      </c>
      <c r="O290">
        <v>97.94</v>
      </c>
      <c r="Q290">
        <v>96.474000000000004</v>
      </c>
      <c r="R290">
        <v>107.261</v>
      </c>
    </row>
    <row r="291" spans="2:18">
      <c r="B291" s="27">
        <v>42150</v>
      </c>
      <c r="J291">
        <v>101.5485</v>
      </c>
      <c r="K291">
        <v>100.5585</v>
      </c>
      <c r="L291">
        <v>102.1901</v>
      </c>
      <c r="M291">
        <v>102.1895</v>
      </c>
      <c r="N291">
        <v>105.1425</v>
      </c>
      <c r="O291">
        <v>97.933000000000007</v>
      </c>
      <c r="Q291">
        <v>96.46</v>
      </c>
      <c r="R291">
        <v>107.309</v>
      </c>
    </row>
    <row r="292" spans="2:18">
      <c r="B292" s="27">
        <v>42149</v>
      </c>
      <c r="J292">
        <v>101.5625</v>
      </c>
      <c r="K292">
        <v>100.5645</v>
      </c>
      <c r="L292">
        <v>102.2097</v>
      </c>
      <c r="M292">
        <v>102.2085</v>
      </c>
      <c r="N292">
        <v>105.1375</v>
      </c>
      <c r="O292">
        <v>97.896000000000001</v>
      </c>
      <c r="Q292">
        <v>96.456999999999994</v>
      </c>
      <c r="R292">
        <v>107.27</v>
      </c>
    </row>
    <row r="293" spans="2:18">
      <c r="B293" s="27">
        <v>42146</v>
      </c>
      <c r="J293">
        <v>101.5795</v>
      </c>
      <c r="K293">
        <v>100.5685</v>
      </c>
      <c r="L293">
        <v>102.2097</v>
      </c>
      <c r="M293">
        <v>102.2085</v>
      </c>
      <c r="N293">
        <v>105.15349999999999</v>
      </c>
      <c r="O293">
        <v>97.819000000000003</v>
      </c>
      <c r="Q293">
        <v>96.450999999999993</v>
      </c>
      <c r="R293">
        <v>107.3105</v>
      </c>
    </row>
    <row r="294" spans="2:18">
      <c r="B294" s="27">
        <v>42145</v>
      </c>
      <c r="J294">
        <v>101.589</v>
      </c>
      <c r="K294">
        <v>100.57250000000001</v>
      </c>
      <c r="L294">
        <v>102.21415</v>
      </c>
      <c r="M294">
        <v>102.214</v>
      </c>
      <c r="N294">
        <v>105.1895</v>
      </c>
      <c r="O294">
        <v>97.872</v>
      </c>
      <c r="Q294">
        <v>96.445999999999998</v>
      </c>
      <c r="R294">
        <v>107.3175</v>
      </c>
    </row>
    <row r="295" spans="2:18">
      <c r="B295" s="27">
        <v>42144</v>
      </c>
      <c r="J295">
        <v>101.605</v>
      </c>
      <c r="K295">
        <v>100.5775</v>
      </c>
      <c r="L295">
        <v>102.21955</v>
      </c>
      <c r="M295">
        <v>102.21899999999999</v>
      </c>
      <c r="N295">
        <v>105.0955</v>
      </c>
      <c r="O295">
        <v>97.869</v>
      </c>
      <c r="Q295">
        <v>96.441000000000003</v>
      </c>
      <c r="R295">
        <v>107.1315</v>
      </c>
    </row>
    <row r="296" spans="2:18">
      <c r="B296" s="27">
        <v>42143</v>
      </c>
      <c r="J296">
        <v>101.63200000000001</v>
      </c>
      <c r="K296">
        <v>100.51349999999999</v>
      </c>
      <c r="L296">
        <v>102.2496</v>
      </c>
      <c r="M296">
        <v>102.249</v>
      </c>
      <c r="N296">
        <v>105.169</v>
      </c>
      <c r="O296">
        <v>97.86</v>
      </c>
      <c r="Q296">
        <v>96.426000000000002</v>
      </c>
      <c r="R296">
        <v>107.14449999999999</v>
      </c>
    </row>
    <row r="297" spans="2:18">
      <c r="B297" s="27">
        <v>42142</v>
      </c>
      <c r="J297">
        <v>101.65600000000001</v>
      </c>
      <c r="K297">
        <v>100.518</v>
      </c>
      <c r="L297">
        <v>102.25695</v>
      </c>
      <c r="M297">
        <v>102.256</v>
      </c>
      <c r="N297">
        <v>105.16800000000001</v>
      </c>
      <c r="O297">
        <v>97.802999999999997</v>
      </c>
      <c r="Q297">
        <v>96.421000000000006</v>
      </c>
      <c r="R297">
        <v>107.18049999999999</v>
      </c>
    </row>
    <row r="298" spans="2:18">
      <c r="B298" s="27">
        <v>42139</v>
      </c>
      <c r="J298">
        <v>101.67100000000001</v>
      </c>
      <c r="K298">
        <v>100.521</v>
      </c>
      <c r="L298">
        <v>102.26394999999999</v>
      </c>
      <c r="M298">
        <v>102.26349999999999</v>
      </c>
      <c r="N298">
        <v>105.21599999999999</v>
      </c>
      <c r="O298">
        <v>97.8</v>
      </c>
      <c r="Q298">
        <v>96.415999999999997</v>
      </c>
      <c r="R298">
        <v>107.2685</v>
      </c>
    </row>
    <row r="299" spans="2:18">
      <c r="B299" s="27">
        <v>42138</v>
      </c>
      <c r="J299">
        <v>101.676</v>
      </c>
      <c r="K299">
        <v>100.52500000000001</v>
      </c>
      <c r="L299">
        <v>102.2697</v>
      </c>
      <c r="M299">
        <v>102.26949999999999</v>
      </c>
      <c r="N299">
        <v>105.129</v>
      </c>
      <c r="O299">
        <v>97.777000000000001</v>
      </c>
      <c r="Q299">
        <v>96.411000000000001</v>
      </c>
      <c r="R299">
        <v>106.95950000000001</v>
      </c>
    </row>
    <row r="300" spans="2:18">
      <c r="B300" s="27">
        <v>42137</v>
      </c>
      <c r="J300">
        <v>101.6645</v>
      </c>
      <c r="K300">
        <v>100.529</v>
      </c>
      <c r="L300">
        <v>102.26915</v>
      </c>
      <c r="M300">
        <v>102.2685</v>
      </c>
      <c r="N300">
        <v>105.05</v>
      </c>
      <c r="O300">
        <v>97.811000000000007</v>
      </c>
      <c r="Q300">
        <v>96.406000000000006</v>
      </c>
      <c r="R300">
        <v>106.8295</v>
      </c>
    </row>
    <row r="301" spans="2:18">
      <c r="B301" s="27">
        <v>42136</v>
      </c>
      <c r="J301">
        <v>101.6865</v>
      </c>
      <c r="K301">
        <v>100.53</v>
      </c>
      <c r="L301">
        <v>102.28175</v>
      </c>
      <c r="M301">
        <v>102.2805</v>
      </c>
      <c r="N301">
        <v>104.89100000000001</v>
      </c>
      <c r="O301">
        <v>97.748000000000005</v>
      </c>
      <c r="Q301">
        <v>96.391000000000005</v>
      </c>
      <c r="R301">
        <v>106.49299999999999</v>
      </c>
    </row>
    <row r="302" spans="2:18">
      <c r="B302" s="27">
        <v>42135</v>
      </c>
      <c r="J302">
        <v>101.72750000000001</v>
      </c>
      <c r="K302">
        <v>100.5455</v>
      </c>
      <c r="L302">
        <v>102.29545</v>
      </c>
      <c r="M302">
        <v>102.2945</v>
      </c>
      <c r="N302">
        <v>105.11150000000001</v>
      </c>
      <c r="O302">
        <v>97.783000000000001</v>
      </c>
      <c r="Q302">
        <v>96.387</v>
      </c>
      <c r="R302">
        <v>107.05800000000001</v>
      </c>
    </row>
    <row r="303" spans="2:18">
      <c r="B303" s="27">
        <v>42132</v>
      </c>
      <c r="J303">
        <v>101.7435</v>
      </c>
      <c r="K303">
        <v>100.5485</v>
      </c>
      <c r="L303">
        <v>102.29389999999999</v>
      </c>
      <c r="M303">
        <v>102.29300000000001</v>
      </c>
      <c r="N303">
        <v>105.1755</v>
      </c>
      <c r="O303">
        <v>97.775999999999996</v>
      </c>
      <c r="Q303">
        <v>96.379000000000005</v>
      </c>
      <c r="R303">
        <v>107.15600000000001</v>
      </c>
    </row>
    <row r="304" spans="2:18">
      <c r="B304" s="27">
        <v>42131</v>
      </c>
      <c r="J304">
        <v>101.7715</v>
      </c>
      <c r="K304">
        <v>100.5515</v>
      </c>
      <c r="L304">
        <v>102.29640000000001</v>
      </c>
      <c r="M304">
        <v>102.29600000000001</v>
      </c>
      <c r="N304">
        <v>105.0925</v>
      </c>
      <c r="O304">
        <v>97.716999999999999</v>
      </c>
      <c r="Q304">
        <v>96.373999999999995</v>
      </c>
      <c r="R304">
        <v>106.8755</v>
      </c>
    </row>
    <row r="305" spans="2:18">
      <c r="B305" s="27">
        <v>42130</v>
      </c>
      <c r="J305">
        <v>101.779</v>
      </c>
      <c r="K305">
        <v>100.5605</v>
      </c>
      <c r="L305">
        <v>102.30305</v>
      </c>
      <c r="M305">
        <v>102.30200000000001</v>
      </c>
      <c r="N305">
        <v>105.13849999999999</v>
      </c>
      <c r="O305">
        <v>97.734999999999999</v>
      </c>
      <c r="Q305">
        <v>96.370999999999995</v>
      </c>
      <c r="R305">
        <v>106.8045</v>
      </c>
    </row>
    <row r="306" spans="2:18">
      <c r="B306" s="27">
        <v>42129</v>
      </c>
      <c r="J306">
        <v>101.807</v>
      </c>
      <c r="K306">
        <v>100.54949999999999</v>
      </c>
      <c r="L306">
        <v>102.32965</v>
      </c>
      <c r="M306">
        <v>102.32899999999999</v>
      </c>
      <c r="N306">
        <v>105.15900000000001</v>
      </c>
      <c r="O306">
        <v>97.721999999999994</v>
      </c>
      <c r="Q306">
        <v>96.352000000000004</v>
      </c>
      <c r="R306">
        <v>107.3085</v>
      </c>
    </row>
    <row r="307" spans="2:18">
      <c r="B307" s="27">
        <v>42128</v>
      </c>
      <c r="J307">
        <v>101.827</v>
      </c>
      <c r="K307">
        <v>100.5585</v>
      </c>
      <c r="L307">
        <v>102.3382</v>
      </c>
      <c r="M307">
        <v>102.75449999999999</v>
      </c>
      <c r="N307">
        <v>105.34399999999999</v>
      </c>
      <c r="O307">
        <v>97.700999999999993</v>
      </c>
      <c r="Q307">
        <v>96.347999999999999</v>
      </c>
      <c r="R307">
        <v>107.816</v>
      </c>
    </row>
    <row r="308" spans="2:18">
      <c r="B308" s="27">
        <v>42125</v>
      </c>
      <c r="J308">
        <v>101.836</v>
      </c>
      <c r="K308">
        <v>100.571</v>
      </c>
      <c r="L308">
        <v>102.76545</v>
      </c>
      <c r="M308">
        <v>102.7655</v>
      </c>
      <c r="N308">
        <v>105.264</v>
      </c>
      <c r="O308">
        <v>97.656000000000006</v>
      </c>
      <c r="Q308">
        <v>96.338999999999999</v>
      </c>
      <c r="R308">
        <v>107.65</v>
      </c>
    </row>
    <row r="309" spans="2:18">
      <c r="B309" s="27">
        <v>42124</v>
      </c>
      <c r="J309">
        <v>101.842</v>
      </c>
      <c r="K309">
        <v>100.562</v>
      </c>
      <c r="L309">
        <v>102.7736</v>
      </c>
      <c r="M309">
        <v>102.7655</v>
      </c>
      <c r="N309">
        <v>105.29300000000001</v>
      </c>
      <c r="O309">
        <v>97.643000000000001</v>
      </c>
      <c r="Q309">
        <v>96.323999999999998</v>
      </c>
      <c r="R309">
        <v>107.702</v>
      </c>
    </row>
    <row r="310" spans="2:18">
      <c r="B310" s="27">
        <v>42123</v>
      </c>
      <c r="J310">
        <v>101.8075</v>
      </c>
      <c r="K310">
        <v>100.56100000000001</v>
      </c>
      <c r="L310">
        <v>102.7817</v>
      </c>
      <c r="M310">
        <v>102.76049999999999</v>
      </c>
      <c r="N310">
        <v>105.17400000000001</v>
      </c>
      <c r="O310">
        <v>97.619</v>
      </c>
      <c r="Q310">
        <v>96.317999999999998</v>
      </c>
      <c r="R310">
        <v>107.58499999999999</v>
      </c>
    </row>
    <row r="311" spans="2:18">
      <c r="B311" s="27">
        <v>42122</v>
      </c>
      <c r="J311">
        <v>101.8395</v>
      </c>
      <c r="K311">
        <v>100.574</v>
      </c>
      <c r="L311">
        <v>102.7915</v>
      </c>
      <c r="M311">
        <v>102.79349999999999</v>
      </c>
      <c r="N311">
        <v>105.16800000000001</v>
      </c>
      <c r="O311">
        <v>97.611999999999995</v>
      </c>
      <c r="Q311">
        <v>96.304000000000002</v>
      </c>
      <c r="R311">
        <v>107.505</v>
      </c>
    </row>
    <row r="312" spans="2:18">
      <c r="B312" s="27">
        <v>42121</v>
      </c>
      <c r="J312">
        <v>101.8665</v>
      </c>
      <c r="K312">
        <v>100.58199999999999</v>
      </c>
      <c r="L312">
        <v>102.83395</v>
      </c>
      <c r="M312">
        <v>102.833</v>
      </c>
      <c r="N312">
        <v>105.2985</v>
      </c>
      <c r="O312">
        <v>97.552000000000007</v>
      </c>
      <c r="Q312">
        <v>96.299000000000007</v>
      </c>
      <c r="R312">
        <v>107.83750000000001</v>
      </c>
    </row>
    <row r="313" spans="2:18">
      <c r="B313" s="27">
        <v>42118</v>
      </c>
      <c r="J313">
        <v>101.8635</v>
      </c>
      <c r="K313">
        <v>100.572</v>
      </c>
      <c r="L313">
        <v>102.84215</v>
      </c>
      <c r="M313">
        <v>102.837</v>
      </c>
      <c r="N313">
        <v>105.1755</v>
      </c>
      <c r="O313">
        <v>97.644999999999996</v>
      </c>
      <c r="Q313">
        <v>96.391999999999996</v>
      </c>
      <c r="R313">
        <v>107.7235</v>
      </c>
    </row>
    <row r="314" spans="2:18">
      <c r="B314" s="27">
        <v>42117</v>
      </c>
      <c r="J314">
        <v>101.8925</v>
      </c>
      <c r="K314">
        <v>100.5715</v>
      </c>
      <c r="L314">
        <v>102.8503</v>
      </c>
      <c r="M314">
        <v>102.845</v>
      </c>
      <c r="N314">
        <v>105.2615</v>
      </c>
      <c r="O314">
        <v>97.643000000000001</v>
      </c>
      <c r="Q314">
        <v>96.388000000000005</v>
      </c>
      <c r="R314">
        <v>107.86750000000001</v>
      </c>
    </row>
    <row r="315" spans="2:18">
      <c r="B315" s="27">
        <v>42116</v>
      </c>
      <c r="J315">
        <v>101.9015</v>
      </c>
      <c r="K315">
        <v>100.5895</v>
      </c>
      <c r="L315">
        <v>102.8536</v>
      </c>
      <c r="M315">
        <v>102.858</v>
      </c>
      <c r="N315">
        <v>105.2655</v>
      </c>
      <c r="O315">
        <v>97.736999999999995</v>
      </c>
      <c r="Q315">
        <v>96.385999999999996</v>
      </c>
      <c r="R315">
        <v>107.9585</v>
      </c>
    </row>
    <row r="316" spans="2:18">
      <c r="B316" s="27">
        <v>42115</v>
      </c>
      <c r="J316">
        <v>101.985</v>
      </c>
      <c r="K316">
        <v>100.6065</v>
      </c>
      <c r="L316">
        <v>102.88815</v>
      </c>
      <c r="M316">
        <v>102.88500000000001</v>
      </c>
      <c r="N316">
        <v>105.452</v>
      </c>
      <c r="O316">
        <v>97.631</v>
      </c>
      <c r="Q316">
        <v>96.272999999999996</v>
      </c>
      <c r="R316">
        <v>108.3805</v>
      </c>
    </row>
    <row r="317" spans="2:18">
      <c r="B317" s="27">
        <v>42114</v>
      </c>
      <c r="J317">
        <v>101.961</v>
      </c>
      <c r="K317">
        <v>100.60250000000001</v>
      </c>
      <c r="L317">
        <v>102.89135</v>
      </c>
      <c r="M317">
        <v>102.8935</v>
      </c>
      <c r="N317">
        <v>105.39100000000001</v>
      </c>
      <c r="O317">
        <v>97.629000000000005</v>
      </c>
      <c r="Q317">
        <v>96.269000000000005</v>
      </c>
      <c r="R317">
        <v>108.1795</v>
      </c>
    </row>
    <row r="318" spans="2:18">
      <c r="B318" s="27">
        <v>42111</v>
      </c>
      <c r="J318">
        <v>101.989</v>
      </c>
      <c r="K318">
        <v>100.605</v>
      </c>
      <c r="L318">
        <v>102.9046</v>
      </c>
      <c r="M318">
        <v>102.9085</v>
      </c>
      <c r="N318">
        <v>105.477</v>
      </c>
      <c r="O318">
        <v>97.628</v>
      </c>
      <c r="Q318">
        <v>96.266000000000005</v>
      </c>
      <c r="R318">
        <v>108.4255</v>
      </c>
    </row>
    <row r="319" spans="2:18">
      <c r="B319" s="27">
        <v>42110</v>
      </c>
      <c r="J319">
        <v>101.98399999999999</v>
      </c>
      <c r="K319">
        <v>100.614</v>
      </c>
      <c r="L319">
        <v>102.92285</v>
      </c>
      <c r="M319">
        <v>102.9145</v>
      </c>
      <c r="N319">
        <v>105.489</v>
      </c>
      <c r="O319">
        <v>97.626000000000005</v>
      </c>
      <c r="Q319">
        <v>96.262</v>
      </c>
      <c r="R319">
        <v>108.45050000000001</v>
      </c>
    </row>
    <row r="320" spans="2:18">
      <c r="B320" s="27">
        <v>42109</v>
      </c>
      <c r="J320">
        <v>102.014</v>
      </c>
      <c r="K320">
        <v>100.61199999999999</v>
      </c>
      <c r="L320">
        <v>102.92605</v>
      </c>
      <c r="M320">
        <v>102.91549999999999</v>
      </c>
      <c r="N320">
        <v>105.604</v>
      </c>
      <c r="O320">
        <v>97.623000000000005</v>
      </c>
      <c r="Q320">
        <v>96.257999999999996</v>
      </c>
      <c r="R320">
        <v>108.76</v>
      </c>
    </row>
    <row r="321" spans="2:18">
      <c r="B321" s="27">
        <v>42108</v>
      </c>
      <c r="J321">
        <v>102.0645</v>
      </c>
      <c r="K321">
        <v>100.628</v>
      </c>
      <c r="L321">
        <v>102.94055</v>
      </c>
      <c r="M321">
        <v>102.9295</v>
      </c>
      <c r="N321">
        <v>105.6765</v>
      </c>
      <c r="O321">
        <v>97.665000000000006</v>
      </c>
      <c r="Q321">
        <v>96.254000000000005</v>
      </c>
      <c r="R321">
        <v>108.8635</v>
      </c>
    </row>
    <row r="322" spans="2:18">
      <c r="B322" s="27">
        <v>42107</v>
      </c>
      <c r="J322">
        <v>102.0735</v>
      </c>
      <c r="K322">
        <v>100.626</v>
      </c>
      <c r="L322">
        <v>102.94365000000001</v>
      </c>
      <c r="M322">
        <v>102.93300000000001</v>
      </c>
      <c r="N322">
        <v>105.53749999999999</v>
      </c>
      <c r="O322">
        <v>97.662999999999997</v>
      </c>
      <c r="Q322">
        <v>96.25</v>
      </c>
      <c r="R322">
        <v>108.622</v>
      </c>
    </row>
    <row r="323" spans="2:18">
      <c r="B323" s="27">
        <v>42104</v>
      </c>
      <c r="J323">
        <v>102.0735</v>
      </c>
      <c r="K323">
        <v>100.63200000000001</v>
      </c>
      <c r="L323">
        <v>102.94159999999999</v>
      </c>
      <c r="M323">
        <v>102.949</v>
      </c>
      <c r="N323">
        <v>105.3965</v>
      </c>
      <c r="O323">
        <v>97.661000000000001</v>
      </c>
      <c r="Q323">
        <v>96.245999999999995</v>
      </c>
      <c r="R323">
        <v>108.52200000000001</v>
      </c>
    </row>
    <row r="324" spans="2:18">
      <c r="B324" s="27">
        <v>42103</v>
      </c>
      <c r="J324">
        <v>102.0825</v>
      </c>
      <c r="K324">
        <v>100.6365</v>
      </c>
      <c r="L324">
        <v>102.95985</v>
      </c>
      <c r="M324">
        <v>102.964</v>
      </c>
      <c r="N324">
        <v>105.40349999999999</v>
      </c>
      <c r="O324">
        <v>97.659000000000006</v>
      </c>
      <c r="Q324">
        <v>96.242000000000004</v>
      </c>
      <c r="R324">
        <v>108.55200000000001</v>
      </c>
    </row>
    <row r="325" spans="2:18">
      <c r="B325" s="27">
        <v>42102</v>
      </c>
      <c r="J325">
        <v>102.11150000000001</v>
      </c>
      <c r="K325">
        <v>100.6165</v>
      </c>
      <c r="L325">
        <v>102.7714</v>
      </c>
      <c r="M325">
        <v>102.76900000000001</v>
      </c>
      <c r="N325">
        <v>105.45050000000001</v>
      </c>
      <c r="O325">
        <v>97.656999999999996</v>
      </c>
      <c r="Q325">
        <v>96.238</v>
      </c>
      <c r="R325">
        <v>108.553</v>
      </c>
    </row>
    <row r="326" spans="2:18">
      <c r="B326" s="27">
        <v>42101</v>
      </c>
      <c r="J326">
        <v>102.101</v>
      </c>
      <c r="K326">
        <v>100.6845</v>
      </c>
      <c r="L326">
        <v>102.7938</v>
      </c>
      <c r="M326">
        <v>102.801</v>
      </c>
      <c r="N326">
        <v>105.2885</v>
      </c>
      <c r="O326">
        <v>97.555999999999997</v>
      </c>
      <c r="Q326">
        <v>96.225999999999999</v>
      </c>
      <c r="R326">
        <v>108.251</v>
      </c>
    </row>
    <row r="327" spans="2:18">
      <c r="B327" s="27">
        <v>42100</v>
      </c>
      <c r="J327">
        <v>102.214</v>
      </c>
      <c r="K327">
        <v>100.67749999999999</v>
      </c>
      <c r="L327">
        <v>102.81165</v>
      </c>
      <c r="M327">
        <v>102.80800000000001</v>
      </c>
      <c r="N327">
        <v>105.633</v>
      </c>
      <c r="O327">
        <v>97.65</v>
      </c>
      <c r="Q327">
        <v>96.221999999999994</v>
      </c>
      <c r="R327">
        <v>108.7265</v>
      </c>
    </row>
    <row r="328" spans="2:18">
      <c r="B328" s="27">
        <v>42097</v>
      </c>
      <c r="J328">
        <v>102.211</v>
      </c>
      <c r="K328">
        <v>100.67749999999999</v>
      </c>
      <c r="L328">
        <v>102.81910000000001</v>
      </c>
      <c r="M328">
        <v>102.80500000000001</v>
      </c>
      <c r="N328">
        <v>105.643</v>
      </c>
      <c r="O328">
        <v>97.65</v>
      </c>
      <c r="Q328">
        <v>96.221999999999994</v>
      </c>
      <c r="R328">
        <v>108.7265</v>
      </c>
    </row>
    <row r="329" spans="2:18">
      <c r="B329" s="27">
        <v>42096</v>
      </c>
      <c r="J329">
        <v>102.215</v>
      </c>
      <c r="K329">
        <v>100.67749999999999</v>
      </c>
      <c r="L329">
        <v>102.7775</v>
      </c>
      <c r="M329">
        <v>102.77200000000001</v>
      </c>
      <c r="N329">
        <v>105.633</v>
      </c>
      <c r="O329">
        <v>97.65</v>
      </c>
      <c r="Q329">
        <v>96.221999999999994</v>
      </c>
      <c r="R329">
        <v>108.7805</v>
      </c>
    </row>
    <row r="330" spans="2:18">
      <c r="B330" s="27">
        <v>42095</v>
      </c>
      <c r="J330">
        <v>102.21599999999999</v>
      </c>
      <c r="K330">
        <v>100.6825</v>
      </c>
      <c r="L330">
        <v>102.78485000000001</v>
      </c>
      <c r="M330">
        <v>102.759</v>
      </c>
      <c r="N330">
        <v>105.56100000000001</v>
      </c>
      <c r="O330">
        <v>97.647999999999996</v>
      </c>
      <c r="Q330">
        <v>96.218000000000004</v>
      </c>
      <c r="R330">
        <v>108.6375</v>
      </c>
    </row>
    <row r="331" spans="2:18">
      <c r="B331" s="27">
        <v>42094</v>
      </c>
      <c r="J331">
        <v>102.229</v>
      </c>
      <c r="K331">
        <v>100.67400000000001</v>
      </c>
      <c r="L331">
        <v>102.77655</v>
      </c>
      <c r="M331">
        <v>102.78149999999999</v>
      </c>
      <c r="N331">
        <v>105.608</v>
      </c>
      <c r="O331">
        <v>97.644999999999996</v>
      </c>
      <c r="Q331">
        <v>96.213999999999999</v>
      </c>
      <c r="R331">
        <v>108.73</v>
      </c>
    </row>
    <row r="332" spans="2:18">
      <c r="B332" s="27">
        <v>42093</v>
      </c>
      <c r="J332">
        <v>102.27849999999999</v>
      </c>
      <c r="K332">
        <v>100.82</v>
      </c>
      <c r="L332">
        <v>102.8165</v>
      </c>
      <c r="M332">
        <v>102.8215</v>
      </c>
      <c r="N332">
        <v>105.5735</v>
      </c>
      <c r="O332">
        <v>97.478999999999999</v>
      </c>
      <c r="Q332">
        <v>96.194000000000003</v>
      </c>
      <c r="R332">
        <v>108.687</v>
      </c>
    </row>
    <row r="333" spans="2:18">
      <c r="B333" s="27">
        <v>42090</v>
      </c>
      <c r="J333">
        <v>102.2715</v>
      </c>
      <c r="K333">
        <v>100.691</v>
      </c>
      <c r="L333">
        <v>102.82915</v>
      </c>
      <c r="M333">
        <v>102.8115</v>
      </c>
      <c r="N333">
        <v>105.48350000000001</v>
      </c>
      <c r="O333">
        <v>97.477000000000004</v>
      </c>
      <c r="Q333">
        <v>96.19</v>
      </c>
      <c r="R333">
        <v>108.398</v>
      </c>
    </row>
    <row r="334" spans="2:18">
      <c r="B334" s="27">
        <v>42089</v>
      </c>
      <c r="J334">
        <v>102.29049999999999</v>
      </c>
      <c r="K334">
        <v>100.687</v>
      </c>
      <c r="L334">
        <v>102.80544999999999</v>
      </c>
      <c r="M334">
        <v>102.81</v>
      </c>
      <c r="N334">
        <v>105.5545</v>
      </c>
      <c r="O334">
        <v>97.494</v>
      </c>
      <c r="Q334">
        <v>96.186000000000007</v>
      </c>
      <c r="R334">
        <v>108.664</v>
      </c>
    </row>
    <row r="335" spans="2:18">
      <c r="B335" s="27">
        <v>42088</v>
      </c>
      <c r="J335">
        <v>102.29949999999999</v>
      </c>
      <c r="K335">
        <v>100.70399999999999</v>
      </c>
      <c r="L335">
        <v>102.83655</v>
      </c>
      <c r="M335">
        <v>102.86</v>
      </c>
      <c r="N335">
        <v>105.5335</v>
      </c>
      <c r="O335">
        <v>97.491</v>
      </c>
      <c r="Q335">
        <v>96.182000000000002</v>
      </c>
      <c r="R335">
        <v>108.651</v>
      </c>
    </row>
    <row r="336" spans="2:18">
      <c r="B336" s="27">
        <v>42087</v>
      </c>
      <c r="J336">
        <v>102.31</v>
      </c>
      <c r="K336">
        <v>100.7055</v>
      </c>
      <c r="L336">
        <v>102.88549999999999</v>
      </c>
      <c r="M336">
        <v>102.88500000000001</v>
      </c>
      <c r="N336">
        <v>105.4965</v>
      </c>
      <c r="O336">
        <v>97.543000000000006</v>
      </c>
      <c r="Q336">
        <v>96.168000000000006</v>
      </c>
      <c r="R336">
        <v>108.417</v>
      </c>
    </row>
    <row r="337" spans="2:18">
      <c r="B337" s="27">
        <v>42086</v>
      </c>
      <c r="J337">
        <v>102.31399999999999</v>
      </c>
      <c r="K337">
        <v>100.70950000000001</v>
      </c>
      <c r="L337">
        <v>102.89295</v>
      </c>
      <c r="M337">
        <v>102.887</v>
      </c>
      <c r="N337">
        <v>105.47750000000001</v>
      </c>
      <c r="O337">
        <v>97.54</v>
      </c>
      <c r="Q337">
        <v>96.164000000000001</v>
      </c>
      <c r="R337">
        <v>108.428</v>
      </c>
    </row>
    <row r="338" spans="2:18">
      <c r="B338" s="27">
        <v>42083</v>
      </c>
      <c r="J338">
        <v>102.315</v>
      </c>
      <c r="K338">
        <v>100.7045</v>
      </c>
      <c r="L338">
        <v>102.895</v>
      </c>
      <c r="M338">
        <v>102.875</v>
      </c>
      <c r="N338">
        <v>105.4435</v>
      </c>
      <c r="O338">
        <v>97.537000000000006</v>
      </c>
      <c r="Q338">
        <v>96.159000000000006</v>
      </c>
      <c r="R338">
        <v>108.431</v>
      </c>
    </row>
    <row r="339" spans="2:18">
      <c r="B339" s="27">
        <v>42082</v>
      </c>
      <c r="J339">
        <v>102.327</v>
      </c>
      <c r="K339">
        <v>100.70950000000001</v>
      </c>
      <c r="L339">
        <v>102.8916</v>
      </c>
      <c r="M339">
        <v>102.92149999999999</v>
      </c>
      <c r="N339">
        <v>105.4355</v>
      </c>
      <c r="O339">
        <v>97.534999999999997</v>
      </c>
      <c r="Q339">
        <v>96.155000000000001</v>
      </c>
      <c r="R339">
        <v>108.386</v>
      </c>
    </row>
    <row r="340" spans="2:18">
      <c r="B340" s="27">
        <v>42081</v>
      </c>
      <c r="J340">
        <v>102.349</v>
      </c>
      <c r="K340">
        <v>100.741</v>
      </c>
      <c r="L340">
        <v>102.92615000000001</v>
      </c>
      <c r="M340">
        <v>102.8715</v>
      </c>
      <c r="N340">
        <v>105.35599999999999</v>
      </c>
      <c r="O340">
        <v>97.430999999999997</v>
      </c>
      <c r="Q340">
        <v>96.149000000000001</v>
      </c>
      <c r="R340">
        <v>108.05800000000001</v>
      </c>
    </row>
    <row r="341" spans="2:18">
      <c r="B341" s="27">
        <v>42080</v>
      </c>
      <c r="J341">
        <v>102.37</v>
      </c>
      <c r="K341">
        <v>100.738</v>
      </c>
      <c r="L341">
        <v>102.89395</v>
      </c>
      <c r="M341">
        <v>102.91249999999999</v>
      </c>
      <c r="N341">
        <v>105.23699999999999</v>
      </c>
      <c r="O341">
        <v>97.424000000000007</v>
      </c>
      <c r="Q341">
        <v>96.135999999999996</v>
      </c>
      <c r="R341">
        <v>107.99</v>
      </c>
    </row>
    <row r="342" spans="2:18">
      <c r="B342" s="27">
        <v>42079</v>
      </c>
      <c r="J342">
        <v>102.3745</v>
      </c>
      <c r="K342">
        <v>100.74299999999999</v>
      </c>
      <c r="L342">
        <v>102.91775</v>
      </c>
      <c r="M342">
        <v>102.92449999999999</v>
      </c>
      <c r="N342">
        <v>105.30500000000001</v>
      </c>
      <c r="O342">
        <v>97.361000000000004</v>
      </c>
      <c r="Q342">
        <v>96.132000000000005</v>
      </c>
      <c r="R342">
        <v>107.947</v>
      </c>
    </row>
    <row r="343" spans="2:18">
      <c r="B343" s="27">
        <v>42076</v>
      </c>
      <c r="J343">
        <v>102.38849999999999</v>
      </c>
      <c r="K343">
        <v>100.764</v>
      </c>
      <c r="L343">
        <v>102.9306</v>
      </c>
      <c r="M343">
        <v>102.9325</v>
      </c>
      <c r="N343">
        <v>105.188</v>
      </c>
      <c r="O343">
        <v>97.358999999999995</v>
      </c>
      <c r="Q343">
        <v>96.128</v>
      </c>
      <c r="R343">
        <v>107.902</v>
      </c>
    </row>
    <row r="344" spans="2:18">
      <c r="B344" s="27">
        <v>42075</v>
      </c>
      <c r="J344">
        <v>102.4075</v>
      </c>
      <c r="K344">
        <v>100.76900000000001</v>
      </c>
      <c r="L344">
        <v>102.88405</v>
      </c>
      <c r="M344">
        <v>102.8805</v>
      </c>
      <c r="N344">
        <v>105.374</v>
      </c>
      <c r="O344">
        <v>97.376000000000005</v>
      </c>
      <c r="Q344">
        <v>96.123000000000005</v>
      </c>
      <c r="R344">
        <v>108.059</v>
      </c>
    </row>
    <row r="345" spans="2:18">
      <c r="B345" s="27">
        <v>42074</v>
      </c>
      <c r="J345">
        <v>102.4135</v>
      </c>
      <c r="K345">
        <v>100.7745</v>
      </c>
      <c r="L345">
        <v>102.89135</v>
      </c>
      <c r="M345">
        <v>102.886</v>
      </c>
      <c r="N345">
        <v>105.363</v>
      </c>
      <c r="O345">
        <v>97.373000000000005</v>
      </c>
      <c r="Q345">
        <v>96.119</v>
      </c>
      <c r="R345">
        <v>107.92100000000001</v>
      </c>
    </row>
    <row r="346" spans="2:18">
      <c r="B346" s="27">
        <v>42073</v>
      </c>
      <c r="J346">
        <v>102.4405</v>
      </c>
      <c r="K346">
        <v>100.7885</v>
      </c>
      <c r="L346">
        <v>102.9131</v>
      </c>
      <c r="M346">
        <v>102.907</v>
      </c>
      <c r="N346">
        <v>105.3185</v>
      </c>
      <c r="O346">
        <v>97.325999999999993</v>
      </c>
      <c r="Q346">
        <v>96.105999999999995</v>
      </c>
      <c r="R346">
        <v>107.723</v>
      </c>
    </row>
    <row r="347" spans="2:18">
      <c r="B347" s="27">
        <v>42072</v>
      </c>
      <c r="J347">
        <v>102.473</v>
      </c>
      <c r="K347">
        <v>100.79349999999999</v>
      </c>
      <c r="L347">
        <v>102.9148</v>
      </c>
      <c r="M347">
        <v>102.895</v>
      </c>
      <c r="N347">
        <v>105.2445</v>
      </c>
      <c r="O347">
        <v>97.322999999999993</v>
      </c>
      <c r="Q347">
        <v>96.102000000000004</v>
      </c>
      <c r="R347">
        <v>107.68300000000001</v>
      </c>
    </row>
    <row r="348" spans="2:18">
      <c r="B348" s="27">
        <v>42069</v>
      </c>
      <c r="J348">
        <v>102.480379</v>
      </c>
      <c r="K348">
        <v>100.77056399999999</v>
      </c>
      <c r="L348">
        <v>102.905286</v>
      </c>
      <c r="M348">
        <v>102.91924400000001</v>
      </c>
      <c r="N348">
        <v>105.353993</v>
      </c>
      <c r="O348">
        <v>97.340135000000004</v>
      </c>
      <c r="Q348">
        <v>96.097120000000004</v>
      </c>
      <c r="R348">
        <v>107.881652</v>
      </c>
    </row>
    <row r="349" spans="2:18">
      <c r="B349" s="27">
        <v>42068</v>
      </c>
      <c r="J349">
        <v>102.466661</v>
      </c>
      <c r="K349">
        <v>100.803099</v>
      </c>
      <c r="L349">
        <v>102.94049699999999</v>
      </c>
      <c r="M349">
        <v>102.92648800000001</v>
      </c>
      <c r="N349">
        <v>105.361036</v>
      </c>
      <c r="O349">
        <v>97.336601000000002</v>
      </c>
      <c r="Q349">
        <v>96.092338999999996</v>
      </c>
      <c r="R349">
        <v>107.93559999999999</v>
      </c>
    </row>
    <row r="350" spans="2:18">
      <c r="B350" s="27">
        <v>42067</v>
      </c>
      <c r="J350">
        <v>102.505747</v>
      </c>
      <c r="K350">
        <v>100.802352</v>
      </c>
      <c r="L350">
        <v>102.93092900000001</v>
      </c>
      <c r="M350">
        <v>102.917224</v>
      </c>
      <c r="N350">
        <v>105.445637</v>
      </c>
      <c r="O350">
        <v>97.153735999999995</v>
      </c>
      <c r="Q350">
        <v>96.088111999999995</v>
      </c>
      <c r="R350">
        <v>108.03262599999999</v>
      </c>
    </row>
    <row r="351" spans="2:18">
      <c r="B351" s="27">
        <v>42066</v>
      </c>
      <c r="J351">
        <v>102.54254400000001</v>
      </c>
      <c r="K351">
        <v>100.826922</v>
      </c>
      <c r="L351">
        <v>102.941328</v>
      </c>
      <c r="M351">
        <v>103.013165</v>
      </c>
      <c r="N351">
        <v>105.49296200000001</v>
      </c>
      <c r="O351">
        <v>97.273097000000007</v>
      </c>
      <c r="Q351">
        <v>96.081653000000003</v>
      </c>
      <c r="R351">
        <v>108.256719</v>
      </c>
    </row>
    <row r="352" spans="2:18">
      <c r="B352" s="27">
        <v>42065</v>
      </c>
      <c r="J352">
        <v>102.605148</v>
      </c>
      <c r="K352">
        <v>100.83185400000001</v>
      </c>
      <c r="L352">
        <v>103.02230900000001</v>
      </c>
      <c r="M352">
        <v>103.022783</v>
      </c>
      <c r="N352">
        <v>105.56571099999999</v>
      </c>
      <c r="O352">
        <v>97.310004000000006</v>
      </c>
      <c r="Q352">
        <v>96.077110000000005</v>
      </c>
      <c r="R352">
        <v>108.362408</v>
      </c>
    </row>
    <row r="353" spans="2:18">
      <c r="B353" s="27">
        <v>42062</v>
      </c>
      <c r="J353">
        <v>102.585138</v>
      </c>
      <c r="K353">
        <v>100.8228</v>
      </c>
      <c r="L353">
        <v>103.02970500000001</v>
      </c>
      <c r="M353">
        <v>103.02125700000001</v>
      </c>
      <c r="N353">
        <v>105.533097</v>
      </c>
      <c r="O353">
        <v>97.283454000000006</v>
      </c>
      <c r="Q353">
        <v>96.068017999999995</v>
      </c>
      <c r="R353">
        <v>108.35183499999999</v>
      </c>
    </row>
    <row r="354" spans="2:18">
      <c r="B354" s="27">
        <v>42061</v>
      </c>
      <c r="J354">
        <v>102.591307</v>
      </c>
      <c r="K354">
        <v>100.82109</v>
      </c>
      <c r="L354">
        <v>103.026321</v>
      </c>
      <c r="M354">
        <v>103.040936</v>
      </c>
      <c r="N354">
        <v>105.577457</v>
      </c>
      <c r="O354">
        <v>97.279400999999993</v>
      </c>
      <c r="Q354">
        <v>96.062819000000005</v>
      </c>
      <c r="R354">
        <v>108.448234</v>
      </c>
    </row>
    <row r="355" spans="2:18">
      <c r="B355" s="27">
        <v>42060</v>
      </c>
      <c r="J355">
        <v>102.57906199999999</v>
      </c>
      <c r="K355">
        <v>100.825987</v>
      </c>
      <c r="L355">
        <v>103.050791</v>
      </c>
      <c r="M355">
        <v>102.518852</v>
      </c>
      <c r="N355">
        <v>105.478391</v>
      </c>
      <c r="O355">
        <v>97.257553999999999</v>
      </c>
      <c r="Q355">
        <v>96.059687999999994</v>
      </c>
      <c r="R355">
        <v>108.173281</v>
      </c>
    </row>
    <row r="356" spans="2:18">
      <c r="B356" s="27">
        <v>42059</v>
      </c>
      <c r="J356">
        <v>102.624362</v>
      </c>
      <c r="K356">
        <v>100.848366</v>
      </c>
      <c r="L356">
        <v>102.562152</v>
      </c>
      <c r="M356">
        <v>102.60003</v>
      </c>
      <c r="N356">
        <v>105.469677</v>
      </c>
      <c r="O356">
        <v>97.25121</v>
      </c>
      <c r="Q356">
        <v>96.048343000000003</v>
      </c>
      <c r="R356">
        <v>108.162306</v>
      </c>
    </row>
    <row r="357" spans="2:18">
      <c r="B357" s="27">
        <v>42058</v>
      </c>
      <c r="J357">
        <v>102.631636</v>
      </c>
      <c r="K357">
        <v>100.824251</v>
      </c>
      <c r="L357">
        <v>102.555464</v>
      </c>
      <c r="M357">
        <v>102.550887</v>
      </c>
      <c r="N357">
        <v>105.454308</v>
      </c>
      <c r="O357">
        <v>97.248133999999993</v>
      </c>
      <c r="Q357">
        <v>96.044013000000007</v>
      </c>
      <c r="R357">
        <v>108.007845</v>
      </c>
    </row>
    <row r="358" spans="2:18">
      <c r="B358" s="27">
        <v>42055</v>
      </c>
      <c r="J358">
        <v>102.65527899999999</v>
      </c>
      <c r="K358">
        <v>100.85139599999999</v>
      </c>
      <c r="L358">
        <v>102.52487000000001</v>
      </c>
      <c r="M358">
        <v>102.57508799999999</v>
      </c>
      <c r="N358">
        <v>105.497984</v>
      </c>
      <c r="O358">
        <v>97.224416000000005</v>
      </c>
      <c r="Q358">
        <v>96.038499999999999</v>
      </c>
      <c r="R358">
        <v>108.075069</v>
      </c>
    </row>
    <row r="359" spans="2:18">
      <c r="B359" s="27">
        <v>42054</v>
      </c>
      <c r="J359">
        <v>102.683798</v>
      </c>
      <c r="K359">
        <v>100.849463</v>
      </c>
      <c r="L359">
        <v>102.55918200000001</v>
      </c>
      <c r="M359">
        <v>102.568731</v>
      </c>
      <c r="N359">
        <v>105.522137</v>
      </c>
      <c r="O359">
        <v>97.221508</v>
      </c>
      <c r="Q359">
        <v>96.034335999999996</v>
      </c>
      <c r="R359">
        <v>108.08671200000001</v>
      </c>
    </row>
    <row r="360" spans="2:18">
      <c r="B360" s="27">
        <v>42053</v>
      </c>
      <c r="J360">
        <v>102.67596899999999</v>
      </c>
      <c r="K360">
        <v>100.855124</v>
      </c>
      <c r="L360">
        <v>102.58387</v>
      </c>
      <c r="M360">
        <v>102.519102</v>
      </c>
      <c r="N360">
        <v>105.43548800000001</v>
      </c>
      <c r="O360">
        <v>97.219063000000006</v>
      </c>
      <c r="Q360">
        <v>96.030584000000005</v>
      </c>
      <c r="R360">
        <v>107.95326300000001</v>
      </c>
    </row>
    <row r="361" spans="2:18">
      <c r="B361" s="27">
        <v>42052</v>
      </c>
      <c r="J361">
        <v>102.705562</v>
      </c>
      <c r="K361">
        <v>100.87090000000001</v>
      </c>
      <c r="L361">
        <v>102.519019</v>
      </c>
      <c r="M361">
        <v>102.5141</v>
      </c>
      <c r="N361">
        <v>105.41558000000001</v>
      </c>
      <c r="O361">
        <v>97.212114999999997</v>
      </c>
      <c r="Q361">
        <v>96.018793000000002</v>
      </c>
      <c r="R361">
        <v>107.961907</v>
      </c>
    </row>
    <row r="362" spans="2:18">
      <c r="B362" s="27">
        <v>42051</v>
      </c>
      <c r="J362">
        <v>102.761242</v>
      </c>
      <c r="K362">
        <v>100.875136</v>
      </c>
      <c r="L362">
        <v>102.571608</v>
      </c>
      <c r="M362">
        <v>102.57155400000001</v>
      </c>
      <c r="N362">
        <v>105.465491</v>
      </c>
      <c r="O362">
        <v>97.208482000000004</v>
      </c>
      <c r="Q362">
        <v>96.013987</v>
      </c>
      <c r="R362">
        <v>108.02856300000001</v>
      </c>
    </row>
    <row r="363" spans="2:18">
      <c r="B363" s="27">
        <v>42048</v>
      </c>
      <c r="J363">
        <v>102.749944</v>
      </c>
      <c r="K363">
        <v>100.88460000000001</v>
      </c>
      <c r="L363">
        <v>102.571608</v>
      </c>
      <c r="M363">
        <v>102.582311</v>
      </c>
      <c r="N363">
        <v>105.482311</v>
      </c>
      <c r="O363">
        <v>97.205060000000003</v>
      </c>
      <c r="Q363">
        <v>96.008471999999998</v>
      </c>
      <c r="R363">
        <v>108.09549</v>
      </c>
    </row>
    <row r="364" spans="2:18">
      <c r="B364" s="27">
        <v>42047</v>
      </c>
      <c r="J364">
        <v>102.76489100000001</v>
      </c>
      <c r="K364">
        <v>100.877869</v>
      </c>
      <c r="L364">
        <v>102.58776899999999</v>
      </c>
      <c r="M364">
        <v>102.589513</v>
      </c>
      <c r="N364">
        <v>105.47340800000001</v>
      </c>
      <c r="O364">
        <v>97.174401000000003</v>
      </c>
      <c r="Q364">
        <v>95.997786000000005</v>
      </c>
      <c r="R364">
        <v>108.039045</v>
      </c>
    </row>
    <row r="365" spans="2:18">
      <c r="B365" s="27">
        <v>42046</v>
      </c>
      <c r="J365">
        <v>102.739313</v>
      </c>
      <c r="K365">
        <v>100.88260200000001</v>
      </c>
      <c r="L365">
        <v>102.56627400000001</v>
      </c>
      <c r="M365">
        <v>102.563185</v>
      </c>
      <c r="N365">
        <v>105.319957</v>
      </c>
      <c r="O365">
        <v>97.232320999999999</v>
      </c>
      <c r="Q365">
        <v>95.993027999999995</v>
      </c>
      <c r="R365">
        <v>107.784736</v>
      </c>
    </row>
    <row r="366" spans="2:18">
      <c r="B366" s="27">
        <v>42045</v>
      </c>
      <c r="J366">
        <v>102.76754</v>
      </c>
      <c r="K366">
        <v>100.89655999999999</v>
      </c>
      <c r="L366">
        <v>102.581181</v>
      </c>
      <c r="M366">
        <v>102.585774</v>
      </c>
      <c r="N366">
        <v>105.329885</v>
      </c>
      <c r="O366">
        <v>97.223499000000004</v>
      </c>
      <c r="Q366">
        <v>95.979397000000006</v>
      </c>
      <c r="R366">
        <v>107.80983000000001</v>
      </c>
    </row>
    <row r="367" spans="2:18">
      <c r="B367" s="27">
        <v>42044</v>
      </c>
      <c r="J367">
        <v>102.759714</v>
      </c>
      <c r="K367">
        <v>100.90625900000001</v>
      </c>
      <c r="L367">
        <v>102.606099</v>
      </c>
      <c r="M367">
        <v>102.601102</v>
      </c>
      <c r="N367">
        <v>105.34470899999999</v>
      </c>
      <c r="O367">
        <v>97.219645999999997</v>
      </c>
      <c r="Q367">
        <v>95.974331000000006</v>
      </c>
      <c r="R367">
        <v>107.88266</v>
      </c>
    </row>
    <row r="368" spans="2:18">
      <c r="B368" s="27">
        <v>42041</v>
      </c>
      <c r="J368">
        <v>102.78923399999999</v>
      </c>
      <c r="K368">
        <v>100.90435100000001</v>
      </c>
      <c r="L368">
        <v>102.61235600000001</v>
      </c>
      <c r="M368">
        <v>102.611795</v>
      </c>
      <c r="N368">
        <v>105.382633</v>
      </c>
      <c r="O368">
        <v>97.237688000000006</v>
      </c>
      <c r="Q368">
        <v>95.969504000000001</v>
      </c>
      <c r="R368">
        <v>108.03415099999999</v>
      </c>
    </row>
    <row r="369" spans="2:18">
      <c r="B369" s="27">
        <v>42040</v>
      </c>
      <c r="J369">
        <v>102.798349</v>
      </c>
      <c r="K369">
        <v>100.90853</v>
      </c>
      <c r="L369">
        <v>102.75897399999999</v>
      </c>
      <c r="M369">
        <v>102.77282200000001</v>
      </c>
      <c r="N369">
        <v>105.46968099999999</v>
      </c>
      <c r="O369">
        <v>97.254748000000006</v>
      </c>
      <c r="Q369">
        <v>95.964646000000002</v>
      </c>
      <c r="R369">
        <v>108.275254</v>
      </c>
    </row>
    <row r="370" spans="2:18">
      <c r="B370" s="27">
        <v>42039</v>
      </c>
      <c r="J370">
        <v>102.80106600000001</v>
      </c>
      <c r="K370">
        <v>100.929332</v>
      </c>
      <c r="L370">
        <v>102.774698</v>
      </c>
      <c r="M370">
        <v>102.769785</v>
      </c>
      <c r="N370">
        <v>105.446856</v>
      </c>
      <c r="O370">
        <v>97.297306000000006</v>
      </c>
      <c r="Q370">
        <v>95.964065000000005</v>
      </c>
      <c r="R370">
        <v>108.15007</v>
      </c>
    </row>
    <row r="371" spans="2:18">
      <c r="B371" s="27">
        <v>42038</v>
      </c>
      <c r="J371">
        <v>102.874223</v>
      </c>
      <c r="K371">
        <v>100.904814</v>
      </c>
      <c r="L371">
        <v>102.80324400000001</v>
      </c>
      <c r="M371">
        <v>102.812622</v>
      </c>
      <c r="N371">
        <v>105.609696</v>
      </c>
      <c r="O371">
        <v>97.334898999999993</v>
      </c>
      <c r="Q371">
        <v>95.934872999999996</v>
      </c>
      <c r="R371">
        <v>108.582055</v>
      </c>
    </row>
    <row r="372" spans="2:18">
      <c r="B372" s="27">
        <v>42037</v>
      </c>
      <c r="J372">
        <v>102.794571</v>
      </c>
      <c r="K372">
        <v>100.907985</v>
      </c>
      <c r="L372">
        <v>102.856607</v>
      </c>
      <c r="M372">
        <v>102.852363</v>
      </c>
      <c r="N372">
        <v>105.29988400000001</v>
      </c>
      <c r="O372">
        <v>97.330287999999996</v>
      </c>
      <c r="Q372">
        <v>95.928960000000004</v>
      </c>
      <c r="R372">
        <v>107.876542</v>
      </c>
    </row>
    <row r="373" spans="2:18">
      <c r="B373" s="27">
        <v>42034</v>
      </c>
      <c r="J373">
        <v>102.821538</v>
      </c>
      <c r="K373">
        <v>100.900092</v>
      </c>
      <c r="L373">
        <v>102.863066</v>
      </c>
      <c r="M373">
        <v>102.85886499999999</v>
      </c>
      <c r="N373">
        <v>105.43313499999999</v>
      </c>
      <c r="O373">
        <v>97.333341000000004</v>
      </c>
      <c r="Q373">
        <v>95.910306000000006</v>
      </c>
      <c r="R373">
        <v>108.121753</v>
      </c>
    </row>
    <row r="374" spans="2:18">
      <c r="B374" s="27">
        <v>42033</v>
      </c>
      <c r="J374">
        <v>102.786573</v>
      </c>
      <c r="K374">
        <v>100.71686699999999</v>
      </c>
      <c r="L374">
        <v>102.803635</v>
      </c>
      <c r="M374">
        <v>102.80322099999999</v>
      </c>
      <c r="N374">
        <v>105.308992</v>
      </c>
      <c r="O374">
        <v>97.341161999999997</v>
      </c>
      <c r="Q374">
        <v>95.896800999999996</v>
      </c>
      <c r="R374">
        <v>107.880019</v>
      </c>
    </row>
    <row r="375" spans="2:18">
      <c r="B375" s="27">
        <v>42032</v>
      </c>
      <c r="J375">
        <v>102.72273199999999</v>
      </c>
      <c r="K375">
        <v>100.890823</v>
      </c>
      <c r="L375">
        <v>102.828884</v>
      </c>
      <c r="M375">
        <v>102.826347</v>
      </c>
      <c r="N375">
        <v>105.023989</v>
      </c>
      <c r="O375">
        <v>97.374532000000002</v>
      </c>
      <c r="Q375">
        <v>95.887495000000001</v>
      </c>
      <c r="R375">
        <v>107.272504</v>
      </c>
    </row>
    <row r="376" spans="2:18">
      <c r="B376" s="27">
        <v>42031</v>
      </c>
      <c r="J376">
        <v>102.791889</v>
      </c>
      <c r="K376">
        <v>100.900655</v>
      </c>
      <c r="L376">
        <v>102.838555</v>
      </c>
      <c r="M376">
        <v>102.84877400000001</v>
      </c>
      <c r="N376">
        <v>105.09415300000001</v>
      </c>
      <c r="O376">
        <v>97.426107999999999</v>
      </c>
      <c r="Q376">
        <v>95.870894000000007</v>
      </c>
      <c r="R376">
        <v>107.40076500000001</v>
      </c>
    </row>
    <row r="377" spans="2:18">
      <c r="B377" s="27">
        <v>42030</v>
      </c>
      <c r="J377">
        <v>102.813587</v>
      </c>
      <c r="K377">
        <v>100.89749</v>
      </c>
      <c r="L377">
        <v>102.82509</v>
      </c>
      <c r="M377">
        <v>102.83951999999999</v>
      </c>
      <c r="N377">
        <v>105.20802999999999</v>
      </c>
      <c r="O377">
        <v>96.880602999999994</v>
      </c>
      <c r="Q377">
        <v>95.887490999999997</v>
      </c>
      <c r="R377">
        <v>107.40961900000001</v>
      </c>
    </row>
    <row r="378" spans="2:18">
      <c r="B378" s="27">
        <v>42027</v>
      </c>
      <c r="J378">
        <v>102.80825400000001</v>
      </c>
      <c r="K378">
        <v>100.89749</v>
      </c>
      <c r="L378">
        <v>102.860801</v>
      </c>
      <c r="M378">
        <v>102.85557799999999</v>
      </c>
      <c r="N378">
        <v>105.16956999999999</v>
      </c>
      <c r="O378">
        <v>96.880602999999994</v>
      </c>
      <c r="Q378">
        <v>95.887490999999997</v>
      </c>
      <c r="R378">
        <v>107.27452700000001</v>
      </c>
    </row>
    <row r="379" spans="2:18">
      <c r="B379" s="27">
        <v>42026</v>
      </c>
      <c r="J379">
        <v>102.794884</v>
      </c>
      <c r="K379">
        <v>100.91368300000001</v>
      </c>
      <c r="L379">
        <v>102.846948</v>
      </c>
      <c r="M379">
        <v>102.847453</v>
      </c>
      <c r="N379">
        <v>105.033827</v>
      </c>
      <c r="O379">
        <v>96.875600000000006</v>
      </c>
      <c r="Q379">
        <v>95.881585000000001</v>
      </c>
      <c r="R379">
        <v>107.239549</v>
      </c>
    </row>
    <row r="380" spans="2:18">
      <c r="B380" s="27">
        <v>42025</v>
      </c>
      <c r="J380">
        <v>102.76621</v>
      </c>
      <c r="K380">
        <v>100.901229</v>
      </c>
      <c r="L380">
        <v>102.872803</v>
      </c>
      <c r="M380">
        <v>102.86840100000001</v>
      </c>
      <c r="N380">
        <v>104.970705</v>
      </c>
      <c r="O380">
        <v>96.860153999999994</v>
      </c>
      <c r="Q380">
        <v>95.865009999999998</v>
      </c>
      <c r="R380">
        <v>107.221136</v>
      </c>
    </row>
    <row r="381" spans="2:18">
      <c r="B381" s="27">
        <v>42024</v>
      </c>
      <c r="J381">
        <v>102.798072</v>
      </c>
      <c r="K381">
        <v>100.916017</v>
      </c>
      <c r="L381">
        <v>102.911625</v>
      </c>
      <c r="M381">
        <v>102.926773</v>
      </c>
      <c r="N381">
        <v>104.95700600000001</v>
      </c>
      <c r="O381">
        <v>96.840594999999993</v>
      </c>
      <c r="Q381">
        <v>95.840579000000005</v>
      </c>
      <c r="R381">
        <v>107.12822199999999</v>
      </c>
    </row>
    <row r="382" spans="2:18">
      <c r="B382" s="27">
        <v>42023</v>
      </c>
      <c r="J382">
        <v>102.806054</v>
      </c>
      <c r="K382">
        <v>100.917069</v>
      </c>
      <c r="L382">
        <v>102.99695199999999</v>
      </c>
      <c r="M382">
        <v>102.99693000000001</v>
      </c>
      <c r="N382">
        <v>104.882907</v>
      </c>
      <c r="O382">
        <v>96.837895000000003</v>
      </c>
      <c r="Q382">
        <v>95.836119999999994</v>
      </c>
      <c r="R382">
        <v>107.201193</v>
      </c>
    </row>
    <row r="383" spans="2:18">
      <c r="B383" s="27">
        <v>42020</v>
      </c>
      <c r="J383">
        <v>102.82364</v>
      </c>
      <c r="K383">
        <v>100.740151</v>
      </c>
      <c r="L383">
        <v>102.927744</v>
      </c>
      <c r="M383">
        <v>102.94961000000001</v>
      </c>
      <c r="N383">
        <v>105.07557199999999</v>
      </c>
      <c r="O383">
        <v>96.833410000000001</v>
      </c>
      <c r="Q383">
        <v>95.830502999999993</v>
      </c>
      <c r="R383">
        <v>107.609708</v>
      </c>
    </row>
    <row r="384" spans="2:18">
      <c r="B384" s="27">
        <v>42019</v>
      </c>
      <c r="J384">
        <v>102.815034</v>
      </c>
      <c r="K384">
        <v>100.923948</v>
      </c>
      <c r="L384">
        <v>102.98249800000001</v>
      </c>
      <c r="M384">
        <v>102.954905</v>
      </c>
      <c r="N384">
        <v>104.943102</v>
      </c>
      <c r="O384">
        <v>96.872673000000006</v>
      </c>
      <c r="Q384">
        <v>95.826025999999999</v>
      </c>
      <c r="R384">
        <v>107.170866</v>
      </c>
    </row>
    <row r="385" spans="2:18">
      <c r="B385" s="27">
        <v>42018</v>
      </c>
      <c r="J385">
        <v>102.85272500000001</v>
      </c>
      <c r="K385">
        <v>100.92489999999999</v>
      </c>
      <c r="L385">
        <v>102.91973900000001</v>
      </c>
      <c r="M385">
        <v>102.945384</v>
      </c>
      <c r="N385">
        <v>105.067789</v>
      </c>
      <c r="O385">
        <v>96.868742999999995</v>
      </c>
      <c r="Q385">
        <v>95.822226999999998</v>
      </c>
      <c r="R385">
        <v>107.52487600000001</v>
      </c>
    </row>
    <row r="386" spans="2:18">
      <c r="B386" s="27">
        <v>42017</v>
      </c>
      <c r="J386">
        <v>102.895201</v>
      </c>
      <c r="K386">
        <v>100.936635</v>
      </c>
      <c r="L386">
        <v>102.895599</v>
      </c>
      <c r="M386">
        <v>102.88538800000001</v>
      </c>
      <c r="N386">
        <v>105.14401700000001</v>
      </c>
      <c r="O386">
        <v>96.850935000000007</v>
      </c>
      <c r="Q386">
        <v>95.799319999999994</v>
      </c>
      <c r="R386">
        <v>107.601536</v>
      </c>
    </row>
    <row r="387" spans="2:18">
      <c r="B387" s="27">
        <v>42016</v>
      </c>
      <c r="J387">
        <v>102.90528</v>
      </c>
      <c r="K387">
        <v>100.94257399999999</v>
      </c>
      <c r="L387">
        <v>102.88188</v>
      </c>
      <c r="M387">
        <v>102.871807</v>
      </c>
      <c r="N387">
        <v>105.04915</v>
      </c>
      <c r="O387">
        <v>96.846579000000006</v>
      </c>
      <c r="Q387">
        <v>95.794798999999998</v>
      </c>
      <c r="R387">
        <v>107.352763</v>
      </c>
    </row>
    <row r="388" spans="2:18">
      <c r="B388" s="27">
        <v>42013</v>
      </c>
      <c r="J388">
        <v>102.92283999999999</v>
      </c>
      <c r="K388">
        <v>100.75157299999999</v>
      </c>
      <c r="L388">
        <v>102.85816800000001</v>
      </c>
      <c r="M388">
        <v>102.883064</v>
      </c>
      <c r="N388">
        <v>105.050532</v>
      </c>
      <c r="O388">
        <v>96.843351999999996</v>
      </c>
      <c r="Q388">
        <v>95.789553999999995</v>
      </c>
      <c r="R388">
        <v>107.46167699999999</v>
      </c>
    </row>
    <row r="389" spans="2:18">
      <c r="B389" s="27">
        <v>42012</v>
      </c>
      <c r="J389">
        <v>102.90168300000001</v>
      </c>
      <c r="K389">
        <v>100.75363</v>
      </c>
      <c r="L389">
        <v>102.824372</v>
      </c>
      <c r="M389">
        <v>102.81944</v>
      </c>
      <c r="N389">
        <v>105.04637700000001</v>
      </c>
      <c r="O389">
        <v>96.839125999999993</v>
      </c>
      <c r="Q389">
        <v>95.784310000000005</v>
      </c>
      <c r="R389">
        <v>107.23319499999999</v>
      </c>
    </row>
    <row r="390" spans="2:18">
      <c r="B390" s="27">
        <v>42011</v>
      </c>
      <c r="J390">
        <v>102.952287</v>
      </c>
      <c r="K390">
        <v>100.76575200000001</v>
      </c>
      <c r="L390">
        <v>102.820533</v>
      </c>
      <c r="M390">
        <v>102.82056900000001</v>
      </c>
      <c r="N390">
        <v>105.141777</v>
      </c>
      <c r="O390">
        <v>96.835880000000003</v>
      </c>
      <c r="Q390">
        <v>95.778898999999996</v>
      </c>
      <c r="R390">
        <v>107.436024</v>
      </c>
    </row>
    <row r="391" spans="2:18">
      <c r="B391" s="27">
        <v>42010</v>
      </c>
      <c r="J391">
        <v>102.955614</v>
      </c>
      <c r="K391">
        <v>100.765315</v>
      </c>
      <c r="L391">
        <v>102.81887399999999</v>
      </c>
      <c r="M391">
        <v>102.869148</v>
      </c>
      <c r="N391">
        <v>105.14601999999999</v>
      </c>
      <c r="O391">
        <v>96.824208999999996</v>
      </c>
      <c r="Q391">
        <v>95.764398</v>
      </c>
      <c r="R391">
        <v>107.152558</v>
      </c>
    </row>
    <row r="392" spans="2:18">
      <c r="B392" s="27">
        <v>42009</v>
      </c>
      <c r="J392">
        <v>102.99021399999999</v>
      </c>
      <c r="K392">
        <v>100.766442</v>
      </c>
      <c r="L392">
        <v>102.784908</v>
      </c>
      <c r="M392">
        <v>102.789579</v>
      </c>
      <c r="N392">
        <v>105.113659</v>
      </c>
      <c r="O392">
        <v>96.820907000000005</v>
      </c>
      <c r="Q392">
        <v>95.759203999999997</v>
      </c>
      <c r="R392">
        <v>107.26193000000001</v>
      </c>
    </row>
    <row r="393" spans="2:18">
      <c r="B393" s="27">
        <v>42006</v>
      </c>
      <c r="J393">
        <v>103.003186</v>
      </c>
      <c r="K393">
        <v>100.96918599999999</v>
      </c>
      <c r="L393">
        <v>102.780946</v>
      </c>
      <c r="M393">
        <v>102.78042600000001</v>
      </c>
      <c r="N393">
        <v>105.100131</v>
      </c>
      <c r="O393">
        <v>96.796360000000007</v>
      </c>
      <c r="Q393">
        <v>95.753930999999994</v>
      </c>
      <c r="R393">
        <v>107.09786699999999</v>
      </c>
    </row>
    <row r="394" spans="2:18">
      <c r="B394" s="27">
        <v>42005</v>
      </c>
      <c r="J394">
        <v>103.05778599999999</v>
      </c>
      <c r="K394">
        <v>100.967927</v>
      </c>
      <c r="L394">
        <v>102.787161</v>
      </c>
      <c r="M394">
        <v>102.78766400000001</v>
      </c>
      <c r="N394">
        <v>105.352857</v>
      </c>
      <c r="O394">
        <v>96.791776999999996</v>
      </c>
      <c r="Q394">
        <v>95.748698000000005</v>
      </c>
      <c r="R394">
        <v>107.499771</v>
      </c>
    </row>
    <row r="395" spans="2:18">
      <c r="B395" s="27">
        <v>42004</v>
      </c>
      <c r="J395">
        <v>103.05851699999999</v>
      </c>
      <c r="K395">
        <v>100.967927</v>
      </c>
      <c r="L395">
        <v>102.787161</v>
      </c>
      <c r="M395">
        <v>102.78766400000001</v>
      </c>
      <c r="N395">
        <v>105.19166199999999</v>
      </c>
      <c r="O395">
        <v>96.791776999999996</v>
      </c>
      <c r="Q395">
        <v>95.748698000000005</v>
      </c>
      <c r="R395">
        <v>107.447531</v>
      </c>
    </row>
    <row r="396" spans="2:18">
      <c r="B396" s="27">
        <v>42003</v>
      </c>
      <c r="J396">
        <v>103.062878</v>
      </c>
      <c r="K396">
        <v>100.804958</v>
      </c>
      <c r="L396">
        <v>102.77330000000001</v>
      </c>
      <c r="M396">
        <v>102.77842</v>
      </c>
      <c r="N396">
        <v>105.064364</v>
      </c>
      <c r="O396">
        <v>96.788366999999994</v>
      </c>
      <c r="Q396">
        <v>95.744371000000001</v>
      </c>
      <c r="R396">
        <v>107.156588</v>
      </c>
    </row>
    <row r="397" spans="2:18">
      <c r="B397" s="27">
        <v>42002</v>
      </c>
      <c r="J397">
        <v>103.067232</v>
      </c>
      <c r="K397">
        <v>100.81309</v>
      </c>
      <c r="L397">
        <v>102.760904</v>
      </c>
      <c r="M397">
        <v>102.75542299999999</v>
      </c>
      <c r="N397">
        <v>105.059777</v>
      </c>
      <c r="O397">
        <v>96.776228000000003</v>
      </c>
      <c r="Q397">
        <v>95.728335999999999</v>
      </c>
      <c r="R397">
        <v>106.94577099999999</v>
      </c>
    </row>
    <row r="398" spans="2:18">
      <c r="B398" s="27">
        <v>41999</v>
      </c>
      <c r="J398">
        <v>103.01201500000001</v>
      </c>
      <c r="K398">
        <v>100.68673699999999</v>
      </c>
      <c r="L398">
        <v>102.727177</v>
      </c>
      <c r="M398">
        <v>102.722544</v>
      </c>
      <c r="N398">
        <v>105.018203</v>
      </c>
      <c r="O398">
        <v>96.768676999999997</v>
      </c>
      <c r="Q398">
        <v>95.718732000000003</v>
      </c>
      <c r="R398">
        <v>106.576262</v>
      </c>
    </row>
    <row r="399" spans="2:18">
      <c r="B399" s="27">
        <v>41998</v>
      </c>
      <c r="J399">
        <v>103.08736500000001</v>
      </c>
      <c r="K399">
        <v>100.818578</v>
      </c>
      <c r="L399">
        <v>102.73220499999999</v>
      </c>
      <c r="M399">
        <v>102.717422</v>
      </c>
      <c r="N399">
        <v>105.018203</v>
      </c>
      <c r="O399">
        <v>96.768676999999997</v>
      </c>
      <c r="Q399">
        <v>95.718732000000003</v>
      </c>
      <c r="R399">
        <v>106.585117</v>
      </c>
    </row>
    <row r="400" spans="2:18">
      <c r="B400" s="27">
        <v>41997</v>
      </c>
      <c r="J400">
        <v>103.088112</v>
      </c>
      <c r="K400">
        <v>100.818578</v>
      </c>
      <c r="L400">
        <v>102.742316</v>
      </c>
      <c r="M400">
        <v>102.722544</v>
      </c>
      <c r="N400">
        <v>105.018203</v>
      </c>
      <c r="O400">
        <v>96.768676999999997</v>
      </c>
      <c r="Q400">
        <v>95.718732000000003</v>
      </c>
      <c r="R400">
        <v>106.567408</v>
      </c>
    </row>
    <row r="401" spans="2:18">
      <c r="B401" s="27">
        <v>41996</v>
      </c>
      <c r="J401">
        <v>103.06720300000001</v>
      </c>
      <c r="K401">
        <v>100.81976400000001</v>
      </c>
      <c r="L401">
        <v>102.74812300000001</v>
      </c>
      <c r="M401">
        <v>102.742805</v>
      </c>
      <c r="N401">
        <v>105.031536</v>
      </c>
      <c r="O401">
        <v>96.765237999999997</v>
      </c>
      <c r="Q401">
        <v>95.713353999999995</v>
      </c>
      <c r="R401">
        <v>106.883822</v>
      </c>
    </row>
    <row r="402" spans="2:18">
      <c r="B402" s="27">
        <v>41995</v>
      </c>
      <c r="J402">
        <v>103.12300500000001</v>
      </c>
      <c r="K402">
        <v>100.82335399999999</v>
      </c>
      <c r="L402">
        <v>102.78594200000001</v>
      </c>
      <c r="M402">
        <v>102.77685200000001</v>
      </c>
      <c r="N402">
        <v>105.07403100000001</v>
      </c>
      <c r="O402">
        <v>96.760897999999997</v>
      </c>
      <c r="Q402">
        <v>95.708025000000006</v>
      </c>
      <c r="R402">
        <v>106.770824</v>
      </c>
    </row>
    <row r="403" spans="2:18">
      <c r="B403" s="27">
        <v>41992</v>
      </c>
      <c r="J403">
        <v>103.173136</v>
      </c>
      <c r="K403">
        <v>100.840267</v>
      </c>
      <c r="L403">
        <v>102.82809899999999</v>
      </c>
      <c r="M403">
        <v>102.83345799999999</v>
      </c>
      <c r="N403">
        <v>105.04504799999999</v>
      </c>
      <c r="O403">
        <v>96.742137999999997</v>
      </c>
      <c r="Q403">
        <v>95.682353000000006</v>
      </c>
      <c r="R403">
        <v>106.686898</v>
      </c>
    </row>
    <row r="404" spans="2:18">
      <c r="B404" s="27">
        <v>41991</v>
      </c>
      <c r="J404">
        <v>103.16319900000001</v>
      </c>
      <c r="K404">
        <v>100.842949</v>
      </c>
      <c r="L404">
        <v>102.85588199999999</v>
      </c>
      <c r="M404">
        <v>102.840689</v>
      </c>
      <c r="N404">
        <v>105.08784199999999</v>
      </c>
      <c r="O404">
        <v>96.739305999999999</v>
      </c>
      <c r="Q404">
        <v>95.677381999999994</v>
      </c>
      <c r="R404">
        <v>106.88530299999999</v>
      </c>
    </row>
    <row r="405" spans="2:18">
      <c r="B405" s="27">
        <v>41990</v>
      </c>
      <c r="J405">
        <v>103.190905</v>
      </c>
      <c r="K405">
        <v>101.07384</v>
      </c>
      <c r="L405">
        <v>102.883162</v>
      </c>
      <c r="M405">
        <v>102.91965</v>
      </c>
      <c r="N405">
        <v>105.09156400000001</v>
      </c>
      <c r="O405">
        <v>96.736056000000005</v>
      </c>
      <c r="Q405">
        <v>95.672842000000003</v>
      </c>
      <c r="R405">
        <v>106.89847</v>
      </c>
    </row>
    <row r="406" spans="2:18">
      <c r="B406" s="27">
        <v>41989</v>
      </c>
      <c r="J406">
        <v>103.227728</v>
      </c>
      <c r="K406">
        <v>101.09107899999999</v>
      </c>
      <c r="L406">
        <v>102.975522</v>
      </c>
      <c r="M406">
        <v>102.960238</v>
      </c>
      <c r="N406">
        <v>105.0984</v>
      </c>
      <c r="O406">
        <v>96.725908000000004</v>
      </c>
      <c r="Q406">
        <v>95.658579000000003</v>
      </c>
      <c r="R406">
        <v>106.859426</v>
      </c>
    </row>
    <row r="407" spans="2:18">
      <c r="B407" s="27">
        <v>41988</v>
      </c>
      <c r="J407">
        <v>103.199415</v>
      </c>
      <c r="K407">
        <v>101.033602</v>
      </c>
      <c r="L407">
        <v>102.939415</v>
      </c>
      <c r="M407">
        <v>102.95058400000001</v>
      </c>
      <c r="N407">
        <v>105.04748600000001</v>
      </c>
      <c r="O407">
        <v>96.721051000000003</v>
      </c>
      <c r="Q407">
        <v>95.652889000000002</v>
      </c>
      <c r="R407">
        <v>106.689269</v>
      </c>
    </row>
    <row r="408" spans="2:18">
      <c r="B408" s="27">
        <v>41985</v>
      </c>
      <c r="J408">
        <v>103.24147000000001</v>
      </c>
      <c r="K408">
        <v>101.09862</v>
      </c>
      <c r="L408">
        <v>102.998665</v>
      </c>
      <c r="M408">
        <v>103.004167</v>
      </c>
      <c r="N408">
        <v>104.99724500000001</v>
      </c>
      <c r="O408">
        <v>96.717142999999993</v>
      </c>
      <c r="Q408">
        <v>95.648149000000004</v>
      </c>
      <c r="R408">
        <v>106.643294</v>
      </c>
    </row>
    <row r="409" spans="2:18">
      <c r="B409" s="27">
        <v>41984</v>
      </c>
      <c r="J409">
        <v>103.282757</v>
      </c>
      <c r="K409">
        <v>101.101865</v>
      </c>
      <c r="L409">
        <v>102.931061</v>
      </c>
      <c r="M409">
        <v>102.915246</v>
      </c>
      <c r="N409">
        <v>105.184106</v>
      </c>
      <c r="O409">
        <v>96.692074000000005</v>
      </c>
      <c r="Q409">
        <v>95.643690000000007</v>
      </c>
      <c r="R409">
        <v>106.94273</v>
      </c>
    </row>
    <row r="410" spans="2:18">
      <c r="B410" s="27">
        <v>41983</v>
      </c>
      <c r="J410">
        <v>103.29599899999999</v>
      </c>
      <c r="K410">
        <v>101.106652</v>
      </c>
      <c r="L410">
        <v>102.969055</v>
      </c>
      <c r="M410">
        <v>102.94771900000001</v>
      </c>
      <c r="N410">
        <v>105.15901100000001</v>
      </c>
      <c r="O410">
        <v>96.689884000000006</v>
      </c>
      <c r="Q410">
        <v>95.639309999999995</v>
      </c>
      <c r="R410">
        <v>106.85928</v>
      </c>
    </row>
    <row r="411" spans="2:18">
      <c r="B411" s="27">
        <v>41982</v>
      </c>
      <c r="J411">
        <v>103.31022299999999</v>
      </c>
      <c r="K411">
        <v>100.88320299999999</v>
      </c>
      <c r="L411">
        <v>102.93432900000001</v>
      </c>
      <c r="M411">
        <v>102.93928200000001</v>
      </c>
      <c r="N411">
        <v>105.17161400000001</v>
      </c>
      <c r="O411">
        <v>96.679034999999999</v>
      </c>
      <c r="Q411">
        <v>95.625422</v>
      </c>
      <c r="R411">
        <v>106.703187</v>
      </c>
    </row>
    <row r="412" spans="2:18">
      <c r="B412" s="27">
        <v>41981</v>
      </c>
      <c r="J412">
        <v>103.308795</v>
      </c>
      <c r="K412">
        <v>100.886431</v>
      </c>
      <c r="L412">
        <v>102.919252</v>
      </c>
      <c r="M412">
        <v>102.90795199999999</v>
      </c>
      <c r="N412">
        <v>105.00177100000001</v>
      </c>
      <c r="O412">
        <v>96.632369999999995</v>
      </c>
      <c r="Q412">
        <v>95.620607000000007</v>
      </c>
      <c r="R412">
        <v>106.429384</v>
      </c>
    </row>
    <row r="413" spans="2:18">
      <c r="B413" s="27">
        <v>41978</v>
      </c>
      <c r="J413">
        <v>103.321158</v>
      </c>
      <c r="K413">
        <v>101.064007</v>
      </c>
      <c r="L413">
        <v>102.914804</v>
      </c>
      <c r="M413">
        <v>102.90988</v>
      </c>
      <c r="N413">
        <v>105.061728</v>
      </c>
      <c r="O413">
        <v>96.628572000000005</v>
      </c>
      <c r="Q413">
        <v>95.615819999999999</v>
      </c>
      <c r="R413">
        <v>106.495659</v>
      </c>
    </row>
    <row r="414" spans="2:18">
      <c r="B414" s="27">
        <v>41977</v>
      </c>
      <c r="J414">
        <v>103.33110600000001</v>
      </c>
      <c r="K414">
        <v>100.749111</v>
      </c>
      <c r="L414">
        <v>103.059727</v>
      </c>
      <c r="M414">
        <v>103.044428</v>
      </c>
      <c r="N414">
        <v>105.18432900000001</v>
      </c>
      <c r="O414">
        <v>96.623795000000001</v>
      </c>
      <c r="Q414">
        <v>95.609399999999994</v>
      </c>
      <c r="R414">
        <v>106.446088</v>
      </c>
    </row>
    <row r="415" spans="2:18">
      <c r="B415" s="27">
        <v>41976</v>
      </c>
      <c r="J415">
        <v>103.302181</v>
      </c>
      <c r="K415">
        <v>101.068212</v>
      </c>
      <c r="L415">
        <v>103.044752</v>
      </c>
      <c r="M415">
        <v>103.03986999999999</v>
      </c>
      <c r="N415">
        <v>104.93441199999999</v>
      </c>
      <c r="O415">
        <v>96.619065000000006</v>
      </c>
      <c r="Q415">
        <v>95.603005999999993</v>
      </c>
      <c r="R415">
        <v>106.23223400000001</v>
      </c>
    </row>
    <row r="416" spans="2:18">
      <c r="B416" s="27">
        <v>41975</v>
      </c>
      <c r="J416">
        <v>103.25291900000001</v>
      </c>
      <c r="K416">
        <v>101.07896100000001</v>
      </c>
      <c r="L416">
        <v>103.084762</v>
      </c>
      <c r="M416">
        <v>103.08947499999999</v>
      </c>
      <c r="N416">
        <v>104.70525499999999</v>
      </c>
      <c r="O416">
        <v>96.607685000000004</v>
      </c>
      <c r="Q416">
        <v>95.588812000000004</v>
      </c>
      <c r="R416">
        <v>105.842009</v>
      </c>
    </row>
    <row r="417" spans="2:18">
      <c r="B417" s="27">
        <v>41974</v>
      </c>
      <c r="J417">
        <v>103.302589</v>
      </c>
      <c r="K417">
        <v>100.769122</v>
      </c>
      <c r="L417">
        <v>103.14450600000001</v>
      </c>
      <c r="M417">
        <v>103.160775</v>
      </c>
      <c r="N417">
        <v>104.899193</v>
      </c>
      <c r="O417">
        <v>96.604909000000006</v>
      </c>
      <c r="Q417">
        <v>95.584048999999993</v>
      </c>
      <c r="R417">
        <v>106.14404</v>
      </c>
    </row>
    <row r="418" spans="2:18">
      <c r="B418" s="27">
        <v>41971</v>
      </c>
      <c r="J418">
        <v>103.301529</v>
      </c>
      <c r="K418">
        <v>101.086001</v>
      </c>
      <c r="L418">
        <v>103.161531</v>
      </c>
      <c r="M418">
        <v>103.161705</v>
      </c>
      <c r="N418">
        <v>104.797639</v>
      </c>
      <c r="O418">
        <v>96.599633999999995</v>
      </c>
      <c r="Q418">
        <v>95.578012000000001</v>
      </c>
      <c r="R418">
        <v>106.061892</v>
      </c>
    </row>
    <row r="419" spans="2:18">
      <c r="B419" s="27">
        <v>41970</v>
      </c>
      <c r="J419">
        <v>103.335703</v>
      </c>
      <c r="K419">
        <v>101.089861</v>
      </c>
      <c r="L419">
        <v>103.15717100000001</v>
      </c>
      <c r="M419">
        <v>103.15716999999999</v>
      </c>
      <c r="N419">
        <v>104.68064099999999</v>
      </c>
      <c r="O419">
        <v>96.596352999999993</v>
      </c>
      <c r="Q419">
        <v>95.573819</v>
      </c>
      <c r="R419">
        <v>105.723788</v>
      </c>
    </row>
    <row r="420" spans="2:18">
      <c r="B420" s="27">
        <v>41969</v>
      </c>
      <c r="J420">
        <v>103.323008</v>
      </c>
      <c r="K420">
        <v>100.768565</v>
      </c>
      <c r="L420">
        <v>103.135738</v>
      </c>
      <c r="M420">
        <v>103.141684</v>
      </c>
      <c r="N420">
        <v>104.749267</v>
      </c>
      <c r="O420">
        <v>96.637307000000007</v>
      </c>
      <c r="Q420">
        <v>95.569389999999999</v>
      </c>
      <c r="R420">
        <v>105.84262</v>
      </c>
    </row>
    <row r="421" spans="2:18">
      <c r="B421" s="27">
        <v>41968</v>
      </c>
      <c r="J421">
        <v>103.33667199999999</v>
      </c>
      <c r="K421">
        <v>100.776535</v>
      </c>
      <c r="L421">
        <v>103.131291</v>
      </c>
      <c r="M421">
        <v>103.139988</v>
      </c>
      <c r="N421">
        <v>104.691532</v>
      </c>
      <c r="O421">
        <v>96.627836000000002</v>
      </c>
      <c r="Q421">
        <v>95.554886999999994</v>
      </c>
      <c r="R421">
        <v>105.61917200000001</v>
      </c>
    </row>
    <row r="422" spans="2:18">
      <c r="B422" s="27">
        <v>41967</v>
      </c>
      <c r="J422">
        <v>103.337628</v>
      </c>
      <c r="K422">
        <v>100.77947</v>
      </c>
      <c r="L422">
        <v>103.12849799999999</v>
      </c>
      <c r="M422">
        <v>103.170979</v>
      </c>
      <c r="N422">
        <v>104.621144</v>
      </c>
      <c r="O422">
        <v>96.623857999999998</v>
      </c>
      <c r="Q422">
        <v>95.550923999999995</v>
      </c>
      <c r="R422">
        <v>105.462847</v>
      </c>
    </row>
    <row r="423" spans="2:18">
      <c r="B423" s="27">
        <v>41964</v>
      </c>
      <c r="J423">
        <v>103.372338</v>
      </c>
      <c r="K423">
        <v>101.178133</v>
      </c>
      <c r="L423">
        <v>103.188209</v>
      </c>
      <c r="M423">
        <v>103.18279200000001</v>
      </c>
      <c r="N423">
        <v>104.630264</v>
      </c>
      <c r="O423">
        <v>96.619478000000001</v>
      </c>
      <c r="Q423">
        <v>95.544746000000004</v>
      </c>
      <c r="R423">
        <v>105.415511</v>
      </c>
    </row>
    <row r="424" spans="2:18">
      <c r="B424" s="27">
        <v>41963</v>
      </c>
      <c r="J424">
        <v>103.359931</v>
      </c>
      <c r="K424">
        <v>100.93219000000001</v>
      </c>
      <c r="L424">
        <v>103.184105</v>
      </c>
      <c r="M424">
        <v>103.17254699999999</v>
      </c>
      <c r="N424">
        <v>104.562758</v>
      </c>
      <c r="O424">
        <v>96.615048000000002</v>
      </c>
      <c r="Q424">
        <v>95.538516999999999</v>
      </c>
      <c r="R424">
        <v>105.44652499999999</v>
      </c>
    </row>
    <row r="425" spans="2:18">
      <c r="B425" s="27">
        <v>41962</v>
      </c>
      <c r="J425">
        <v>103.366851</v>
      </c>
      <c r="K425">
        <v>100.934264</v>
      </c>
      <c r="L425">
        <v>103.16828099999999</v>
      </c>
      <c r="M425">
        <v>103.156712</v>
      </c>
      <c r="N425">
        <v>104.612604</v>
      </c>
      <c r="O425">
        <v>96.610825000000006</v>
      </c>
      <c r="Q425">
        <v>95.533338000000001</v>
      </c>
      <c r="R425">
        <v>105.29626</v>
      </c>
    </row>
    <row r="426" spans="2:18">
      <c r="B426" s="27">
        <v>41961</v>
      </c>
      <c r="J426">
        <v>103.415524</v>
      </c>
      <c r="K426">
        <v>101.194191</v>
      </c>
      <c r="L426">
        <v>103.221119</v>
      </c>
      <c r="M426">
        <v>103.2102</v>
      </c>
      <c r="N426">
        <v>104.545068</v>
      </c>
      <c r="O426">
        <v>96.598162000000002</v>
      </c>
      <c r="Q426">
        <v>95.517049</v>
      </c>
      <c r="R426">
        <v>105.226985</v>
      </c>
    </row>
    <row r="427" spans="2:18">
      <c r="B427" s="27">
        <v>41960</v>
      </c>
      <c r="J427">
        <v>103.41557</v>
      </c>
      <c r="K427">
        <v>101.19579899999999</v>
      </c>
      <c r="L427">
        <v>103.21644999999999</v>
      </c>
      <c r="M427">
        <v>103.21651</v>
      </c>
      <c r="N427">
        <v>104.498931</v>
      </c>
      <c r="O427">
        <v>96.547023999999993</v>
      </c>
      <c r="Q427">
        <v>95.510035999999999</v>
      </c>
      <c r="R427">
        <v>105.071939</v>
      </c>
    </row>
    <row r="428" spans="2:18">
      <c r="B428" s="27">
        <v>41957</v>
      </c>
      <c r="J428">
        <v>103.409527</v>
      </c>
      <c r="K428">
        <v>101.19973400000001</v>
      </c>
      <c r="L428">
        <v>103.22302999999999</v>
      </c>
      <c r="M428">
        <v>103.217236</v>
      </c>
      <c r="N428">
        <v>104.51910100000001</v>
      </c>
      <c r="O428">
        <v>96.543684999999996</v>
      </c>
      <c r="Q428">
        <v>95.504789000000002</v>
      </c>
      <c r="R428">
        <v>105.104302</v>
      </c>
    </row>
    <row r="429" spans="2:18">
      <c r="B429" s="27">
        <v>41956</v>
      </c>
      <c r="J429">
        <v>103.418774</v>
      </c>
      <c r="K429">
        <v>101.20257700000001</v>
      </c>
      <c r="L429">
        <v>103.21890999999999</v>
      </c>
      <c r="M429">
        <v>103.20814900000001</v>
      </c>
      <c r="N429">
        <v>104.497062</v>
      </c>
      <c r="O429">
        <v>96.537937999999997</v>
      </c>
      <c r="Q429">
        <v>95.498290999999995</v>
      </c>
      <c r="R429">
        <v>104.872168</v>
      </c>
    </row>
    <row r="430" spans="2:18">
      <c r="B430" s="27">
        <v>41955</v>
      </c>
      <c r="J430">
        <v>103.409111</v>
      </c>
      <c r="K430">
        <v>101.206605</v>
      </c>
      <c r="L430">
        <v>103.203002</v>
      </c>
      <c r="M430">
        <v>103.19760599999999</v>
      </c>
      <c r="N430">
        <v>104.504188</v>
      </c>
      <c r="O430">
        <v>96.58099</v>
      </c>
      <c r="Q430">
        <v>95.495300999999998</v>
      </c>
      <c r="R430">
        <v>105.035366</v>
      </c>
    </row>
    <row r="431" spans="2:18">
      <c r="B431" s="27">
        <v>41954</v>
      </c>
      <c r="J431">
        <v>103.453604</v>
      </c>
      <c r="K431">
        <v>101.21874200000001</v>
      </c>
      <c r="L431">
        <v>103.210778</v>
      </c>
      <c r="M431">
        <v>103.216328</v>
      </c>
      <c r="N431">
        <v>104.578768</v>
      </c>
      <c r="O431">
        <v>96.524767999999995</v>
      </c>
      <c r="Q431">
        <v>95.480260999999999</v>
      </c>
      <c r="R431">
        <v>105.052744</v>
      </c>
    </row>
    <row r="432" spans="2:18">
      <c r="B432" s="27">
        <v>41953</v>
      </c>
      <c r="J432">
        <v>103.477712</v>
      </c>
      <c r="K432">
        <v>100.963604</v>
      </c>
      <c r="L432">
        <v>103.210778</v>
      </c>
      <c r="M432">
        <v>103.228218</v>
      </c>
      <c r="N432">
        <v>104.57565200000001</v>
      </c>
      <c r="O432">
        <v>96.521713000000005</v>
      </c>
      <c r="Q432">
        <v>95.476274000000004</v>
      </c>
      <c r="R432">
        <v>105.187315</v>
      </c>
    </row>
    <row r="433" spans="2:18">
      <c r="B433" s="27">
        <v>41950</v>
      </c>
      <c r="J433">
        <v>103.502032</v>
      </c>
      <c r="K433">
        <v>101.226472</v>
      </c>
      <c r="L433">
        <v>103.274078</v>
      </c>
      <c r="M433">
        <v>103.08183099999999</v>
      </c>
      <c r="N433">
        <v>104.60041200000001</v>
      </c>
      <c r="O433">
        <v>96.517917999999995</v>
      </c>
      <c r="Q433">
        <v>95.471520999999996</v>
      </c>
      <c r="R433">
        <v>105.00586</v>
      </c>
    </row>
    <row r="434" spans="2:18">
      <c r="B434" s="27">
        <v>41949</v>
      </c>
      <c r="J434">
        <v>103.548503</v>
      </c>
      <c r="K434">
        <v>101.23330199999999</v>
      </c>
      <c r="L434">
        <v>103.02710500000001</v>
      </c>
      <c r="M434">
        <v>103.03264299999999</v>
      </c>
      <c r="N434">
        <v>104.726659</v>
      </c>
      <c r="O434">
        <v>96.404713000000001</v>
      </c>
      <c r="Q434">
        <v>95.469181000000006</v>
      </c>
      <c r="R434">
        <v>105.334273</v>
      </c>
    </row>
    <row r="435" spans="2:18">
      <c r="B435" s="27">
        <v>41948</v>
      </c>
      <c r="J435">
        <v>103.565983</v>
      </c>
      <c r="K435">
        <v>101.22905</v>
      </c>
      <c r="L435">
        <v>103.061657</v>
      </c>
      <c r="M435">
        <v>103.06116400000001</v>
      </c>
      <c r="N435">
        <v>104.716515</v>
      </c>
      <c r="O435">
        <v>96.401622000000003</v>
      </c>
      <c r="Q435">
        <v>95.464275000000001</v>
      </c>
      <c r="R435">
        <v>105.40014499999999</v>
      </c>
    </row>
    <row r="436" spans="2:18">
      <c r="B436" s="27">
        <v>41947</v>
      </c>
      <c r="J436">
        <v>103.60336100000001</v>
      </c>
      <c r="K436">
        <v>101.251223</v>
      </c>
      <c r="L436">
        <v>103.09096599999999</v>
      </c>
      <c r="M436">
        <v>103.10167199999999</v>
      </c>
      <c r="N436">
        <v>104.721906</v>
      </c>
      <c r="O436">
        <v>96.392627000000005</v>
      </c>
      <c r="Q436">
        <v>95.452648999999994</v>
      </c>
      <c r="R436">
        <v>105.151641</v>
      </c>
    </row>
    <row r="437" spans="2:18">
      <c r="B437" s="27">
        <v>41946</v>
      </c>
      <c r="J437">
        <v>103.61109500000001</v>
      </c>
      <c r="K437">
        <v>100.989976</v>
      </c>
      <c r="L437">
        <v>103.097174</v>
      </c>
      <c r="M437">
        <v>103.09191300000001</v>
      </c>
      <c r="N437">
        <v>104.820937</v>
      </c>
      <c r="O437">
        <v>96.502450999999994</v>
      </c>
      <c r="Q437">
        <v>95.447039000000004</v>
      </c>
      <c r="R437">
        <v>105.66855700000001</v>
      </c>
    </row>
    <row r="438" spans="2:18">
      <c r="B438" s="27">
        <v>41943</v>
      </c>
      <c r="J438">
        <v>103.63589399999999</v>
      </c>
      <c r="K438">
        <v>101.221799</v>
      </c>
      <c r="L438">
        <v>103.13732400000001</v>
      </c>
      <c r="M438">
        <v>103.14361599999999</v>
      </c>
      <c r="N438">
        <v>104.74423</v>
      </c>
      <c r="O438">
        <v>96.497084000000001</v>
      </c>
      <c r="Q438">
        <v>95.440873999999994</v>
      </c>
      <c r="R438">
        <v>105.301894</v>
      </c>
    </row>
    <row r="439" spans="2:18">
      <c r="B439" s="27">
        <v>41942</v>
      </c>
      <c r="J439">
        <v>103.611172</v>
      </c>
      <c r="K439">
        <v>101.225746</v>
      </c>
      <c r="L439">
        <v>103.166588</v>
      </c>
      <c r="M439">
        <v>103.15535800000001</v>
      </c>
      <c r="N439">
        <v>104.63686</v>
      </c>
      <c r="O439">
        <v>96.493871999999996</v>
      </c>
      <c r="Q439">
        <v>95.435758000000007</v>
      </c>
      <c r="R439">
        <v>105.190454</v>
      </c>
    </row>
    <row r="440" spans="2:18">
      <c r="B440" s="27">
        <v>41941</v>
      </c>
      <c r="J440">
        <v>103.625034</v>
      </c>
      <c r="K440">
        <v>101.193917</v>
      </c>
      <c r="L440">
        <v>103.15001100000001</v>
      </c>
      <c r="M440">
        <v>103.223179</v>
      </c>
      <c r="N440">
        <v>104.732524</v>
      </c>
      <c r="O440">
        <v>96.489661999999996</v>
      </c>
      <c r="Q440">
        <v>95.431642999999994</v>
      </c>
      <c r="R440">
        <v>105.180037</v>
      </c>
    </row>
    <row r="441" spans="2:18">
      <c r="B441" s="27">
        <v>41940</v>
      </c>
      <c r="J441">
        <v>103.66519599999999</v>
      </c>
      <c r="K441">
        <v>101.204606</v>
      </c>
      <c r="L441">
        <v>103.236594</v>
      </c>
      <c r="M441">
        <v>103.294293</v>
      </c>
      <c r="N441">
        <v>104.766513</v>
      </c>
      <c r="O441">
        <v>92.827848000000003</v>
      </c>
      <c r="Q441">
        <v>95.416308000000001</v>
      </c>
      <c r="R441">
        <v>105.393303</v>
      </c>
    </row>
    <row r="442" spans="2:18">
      <c r="B442" s="27">
        <v>41939</v>
      </c>
      <c r="J442">
        <v>103.668238</v>
      </c>
      <c r="K442">
        <v>101.207504</v>
      </c>
      <c r="L442">
        <v>103.315798</v>
      </c>
      <c r="M442">
        <v>103.321012</v>
      </c>
      <c r="N442">
        <v>104.71950699999999</v>
      </c>
      <c r="O442">
        <v>92.820017000000007</v>
      </c>
      <c r="Q442">
        <v>95.411199999999994</v>
      </c>
      <c r="R442">
        <v>105.154686</v>
      </c>
    </row>
    <row r="443" spans="2:18">
      <c r="B443" s="27">
        <v>41936</v>
      </c>
      <c r="J443">
        <v>103.685838</v>
      </c>
      <c r="K443">
        <v>101.210756</v>
      </c>
      <c r="L443">
        <v>103.310034</v>
      </c>
      <c r="M443">
        <v>103.315696</v>
      </c>
      <c r="N443">
        <v>104.720652</v>
      </c>
      <c r="O443">
        <v>92.792831000000007</v>
      </c>
      <c r="Q443">
        <v>95.386621000000005</v>
      </c>
      <c r="R443">
        <v>105.15009999999999</v>
      </c>
    </row>
    <row r="444" spans="2:18">
      <c r="B444" s="27">
        <v>41935</v>
      </c>
      <c r="J444">
        <v>103.71461499999999</v>
      </c>
      <c r="K444">
        <v>101.25045799999999</v>
      </c>
      <c r="L444">
        <v>103.31563199999999</v>
      </c>
      <c r="M444">
        <v>103.308887</v>
      </c>
      <c r="N444">
        <v>104.760158</v>
      </c>
      <c r="O444">
        <v>92.785521000000003</v>
      </c>
      <c r="Q444">
        <v>95.380923999999993</v>
      </c>
      <c r="R444">
        <v>105.263294</v>
      </c>
    </row>
    <row r="445" spans="2:18">
      <c r="B445" s="27">
        <v>41934</v>
      </c>
      <c r="I445">
        <v>100.046947</v>
      </c>
      <c r="J445">
        <v>103.75921099999999</v>
      </c>
      <c r="K445">
        <v>101.255351</v>
      </c>
      <c r="L445">
        <v>103.35701</v>
      </c>
      <c r="M445">
        <v>103.35151500000001</v>
      </c>
      <c r="N445">
        <v>104.914895</v>
      </c>
      <c r="O445">
        <v>92.778434000000004</v>
      </c>
      <c r="Q445">
        <v>95.376720000000006</v>
      </c>
      <c r="R445">
        <v>105.5012</v>
      </c>
    </row>
    <row r="446" spans="2:18">
      <c r="B446" s="27">
        <v>41933</v>
      </c>
      <c r="I446">
        <v>100.046988</v>
      </c>
      <c r="J446">
        <v>103.79810500000001</v>
      </c>
      <c r="K446">
        <v>101.269115</v>
      </c>
      <c r="L446">
        <v>103.39936</v>
      </c>
      <c r="M446">
        <v>103.40558900000001</v>
      </c>
      <c r="N446">
        <v>104.870734</v>
      </c>
      <c r="O446">
        <v>92.774745999999993</v>
      </c>
      <c r="Q446">
        <v>95.380729000000002</v>
      </c>
      <c r="R446">
        <v>105.490599</v>
      </c>
    </row>
    <row r="447" spans="2:18">
      <c r="B447" s="27">
        <v>41932</v>
      </c>
      <c r="I447">
        <v>100.046988</v>
      </c>
      <c r="J447">
        <v>103.76001100000001</v>
      </c>
      <c r="K447">
        <v>101.23623000000001</v>
      </c>
      <c r="L447">
        <v>103.405422</v>
      </c>
      <c r="M447">
        <v>103.410498</v>
      </c>
      <c r="N447">
        <v>104.812308</v>
      </c>
      <c r="O447">
        <v>92.766971999999996</v>
      </c>
      <c r="Q447">
        <v>95.375671999999994</v>
      </c>
      <c r="R447">
        <v>105.321935</v>
      </c>
    </row>
    <row r="448" spans="2:18">
      <c r="B448" s="27">
        <v>41929</v>
      </c>
      <c r="I448">
        <v>100.046947</v>
      </c>
      <c r="J448">
        <v>103.788192</v>
      </c>
      <c r="K448">
        <v>101.240134</v>
      </c>
      <c r="L448">
        <v>103.37597</v>
      </c>
      <c r="M448">
        <v>103.38747600000001</v>
      </c>
      <c r="N448">
        <v>104.782629</v>
      </c>
      <c r="O448">
        <v>92.759777999999997</v>
      </c>
      <c r="Q448">
        <v>95.370356000000001</v>
      </c>
      <c r="R448">
        <v>105.334549</v>
      </c>
    </row>
    <row r="449" spans="2:18">
      <c r="B449" s="27">
        <v>41928</v>
      </c>
      <c r="I449">
        <v>100.046083</v>
      </c>
      <c r="J449">
        <v>103.838109</v>
      </c>
      <c r="K449">
        <v>100.999883</v>
      </c>
      <c r="L449">
        <v>103.440572</v>
      </c>
      <c r="M449">
        <v>103.423247</v>
      </c>
      <c r="N449">
        <v>104.99464</v>
      </c>
      <c r="O449">
        <v>92.750108999999995</v>
      </c>
      <c r="Q449">
        <v>95.364155999999994</v>
      </c>
      <c r="R449">
        <v>105.54086</v>
      </c>
    </row>
    <row r="450" spans="2:18">
      <c r="B450" s="27">
        <v>41927</v>
      </c>
      <c r="I450">
        <v>100.043001</v>
      </c>
      <c r="J450">
        <v>103.840091</v>
      </c>
      <c r="K450">
        <v>101.28601399999999</v>
      </c>
      <c r="L450">
        <v>103.49390099999999</v>
      </c>
      <c r="M450">
        <v>103.55218600000001</v>
      </c>
      <c r="N450">
        <v>104.842862</v>
      </c>
      <c r="O450">
        <v>92.743870000000001</v>
      </c>
      <c r="Q450">
        <v>95.360042000000007</v>
      </c>
      <c r="R450">
        <v>105.028577</v>
      </c>
    </row>
    <row r="451" spans="2:18">
      <c r="B451" s="27">
        <v>41926</v>
      </c>
      <c r="I451">
        <v>100.03576700000001</v>
      </c>
      <c r="J451">
        <v>103.869685</v>
      </c>
      <c r="K451">
        <v>101.25880100000001</v>
      </c>
      <c r="L451">
        <v>103.406218</v>
      </c>
      <c r="M451">
        <v>103.399812</v>
      </c>
      <c r="N451">
        <v>104.874331</v>
      </c>
      <c r="O451">
        <v>92.714652000000001</v>
      </c>
      <c r="Q451">
        <v>95.338442999999998</v>
      </c>
      <c r="R451">
        <v>105.253721</v>
      </c>
    </row>
    <row r="452" spans="2:18">
      <c r="B452" s="27">
        <v>41925</v>
      </c>
      <c r="I452">
        <v>100.033209</v>
      </c>
      <c r="J452">
        <v>103.888758</v>
      </c>
      <c r="K452">
        <v>101.302511</v>
      </c>
      <c r="L452">
        <v>103.37665699999999</v>
      </c>
      <c r="M452">
        <v>103.340774</v>
      </c>
      <c r="N452">
        <v>104.870452</v>
      </c>
      <c r="O452">
        <v>92.706085000000002</v>
      </c>
      <c r="Q452">
        <v>95.332943</v>
      </c>
      <c r="R452">
        <v>105.24585399999999</v>
      </c>
    </row>
    <row r="453" spans="2:18">
      <c r="B453" s="27">
        <v>41922</v>
      </c>
      <c r="I453">
        <v>100.029866</v>
      </c>
      <c r="J453">
        <v>103.91357600000001</v>
      </c>
      <c r="K453">
        <v>101.302429</v>
      </c>
      <c r="L453">
        <v>103.31729199999999</v>
      </c>
      <c r="M453">
        <v>103.311272</v>
      </c>
      <c r="N453">
        <v>104.87251999999999</v>
      </c>
      <c r="O453">
        <v>92.700239999999994</v>
      </c>
      <c r="Q453">
        <v>95.328349000000003</v>
      </c>
      <c r="R453">
        <v>105.147047</v>
      </c>
    </row>
    <row r="454" spans="2:18">
      <c r="B454" s="27">
        <v>41921</v>
      </c>
      <c r="I454">
        <v>100.026521</v>
      </c>
      <c r="J454">
        <v>103.9318</v>
      </c>
      <c r="K454">
        <v>101.26075400000001</v>
      </c>
      <c r="L454">
        <v>103.31112400000001</v>
      </c>
      <c r="M454">
        <v>103.31118600000001</v>
      </c>
      <c r="N454">
        <v>104.875822</v>
      </c>
      <c r="O454">
        <v>92.691824999999994</v>
      </c>
      <c r="Q454">
        <v>95.321945999999997</v>
      </c>
      <c r="R454">
        <v>105.13046</v>
      </c>
    </row>
    <row r="455" spans="2:18">
      <c r="B455" s="27">
        <v>41920</v>
      </c>
      <c r="I455">
        <v>100.024326</v>
      </c>
      <c r="J455">
        <v>103.92792300000001</v>
      </c>
      <c r="K455">
        <v>101.31560500000001</v>
      </c>
      <c r="L455">
        <v>103.305058</v>
      </c>
      <c r="M455">
        <v>103.239527</v>
      </c>
      <c r="N455">
        <v>104.854645</v>
      </c>
      <c r="O455">
        <v>92.682936999999995</v>
      </c>
      <c r="Q455">
        <v>95.316344000000001</v>
      </c>
      <c r="R455">
        <v>104.923331</v>
      </c>
    </row>
    <row r="456" spans="2:18">
      <c r="B456" s="27">
        <v>41919</v>
      </c>
      <c r="I456">
        <v>100.016102</v>
      </c>
      <c r="J456">
        <v>103.96137400000001</v>
      </c>
      <c r="K456">
        <v>101.277036</v>
      </c>
      <c r="L456">
        <v>103.245003</v>
      </c>
      <c r="M456">
        <v>103.25667799999999</v>
      </c>
      <c r="N456">
        <v>104.750173</v>
      </c>
      <c r="O456">
        <v>92.661139000000006</v>
      </c>
      <c r="Q456">
        <v>95.301374999999993</v>
      </c>
      <c r="R456">
        <v>104.850275</v>
      </c>
    </row>
    <row r="457" spans="2:18">
      <c r="B457" s="27">
        <v>41918</v>
      </c>
      <c r="I457">
        <v>100.01277</v>
      </c>
      <c r="J457">
        <v>103.929075</v>
      </c>
      <c r="K457">
        <v>101.31926799999999</v>
      </c>
      <c r="L457">
        <v>103.226896</v>
      </c>
      <c r="M457">
        <v>103.238046</v>
      </c>
      <c r="N457">
        <v>104.753038</v>
      </c>
      <c r="O457">
        <v>92.653216999999998</v>
      </c>
      <c r="Q457">
        <v>95.296244999999999</v>
      </c>
      <c r="R457">
        <v>104.74884900000001</v>
      </c>
    </row>
    <row r="458" spans="2:18">
      <c r="B458" s="27">
        <v>41915</v>
      </c>
      <c r="I458">
        <v>100.01277</v>
      </c>
      <c r="J458">
        <v>103.926157</v>
      </c>
      <c r="K458">
        <v>101.31926799999999</v>
      </c>
      <c r="L458">
        <v>103.17299300000001</v>
      </c>
      <c r="M458">
        <v>103.167428</v>
      </c>
      <c r="N458">
        <v>104.722747</v>
      </c>
      <c r="O458">
        <v>92.653216999999998</v>
      </c>
      <c r="Q458">
        <v>95.296244999999999</v>
      </c>
      <c r="R458">
        <v>104.65867299999999</v>
      </c>
    </row>
    <row r="459" spans="2:18">
      <c r="B459" s="27">
        <v>41914</v>
      </c>
      <c r="I459">
        <v>100.01131700000001</v>
      </c>
      <c r="J459">
        <v>103.95604899999999</v>
      </c>
      <c r="K459">
        <v>101.334204</v>
      </c>
      <c r="L459">
        <v>103.226568</v>
      </c>
      <c r="M459">
        <v>103.25576</v>
      </c>
      <c r="N459">
        <v>104.739164</v>
      </c>
      <c r="O459">
        <v>92.645899</v>
      </c>
      <c r="Q459">
        <v>95.290993</v>
      </c>
      <c r="R459">
        <v>104.953597</v>
      </c>
    </row>
    <row r="460" spans="2:18">
      <c r="B460" s="27">
        <v>41913</v>
      </c>
      <c r="I460">
        <v>100.009011</v>
      </c>
      <c r="J460">
        <v>103.96256700000001</v>
      </c>
      <c r="K460">
        <v>101.347145</v>
      </c>
      <c r="L460">
        <v>103.256085</v>
      </c>
      <c r="M460">
        <v>103.25541200000001</v>
      </c>
      <c r="N460">
        <v>104.712874</v>
      </c>
      <c r="O460">
        <v>92.638253000000006</v>
      </c>
      <c r="Q460">
        <v>95.285972000000001</v>
      </c>
      <c r="R460">
        <v>104.62212700000001</v>
      </c>
    </row>
    <row r="461" spans="2:18">
      <c r="B461" s="27">
        <v>41912</v>
      </c>
      <c r="I461">
        <v>99.994789999999995</v>
      </c>
      <c r="J461">
        <v>103.98046600000001</v>
      </c>
      <c r="K461">
        <v>101.35268600000001</v>
      </c>
      <c r="L461">
        <v>103.177558</v>
      </c>
      <c r="M461">
        <v>103.189053</v>
      </c>
      <c r="N461">
        <v>104.70889699999999</v>
      </c>
      <c r="O461">
        <v>92.609566999999998</v>
      </c>
      <c r="Q461">
        <v>95.265818999999993</v>
      </c>
      <c r="R461">
        <v>104.728736</v>
      </c>
    </row>
    <row r="462" spans="2:18">
      <c r="B462" s="27">
        <v>41911</v>
      </c>
      <c r="I462">
        <v>99.991448000000005</v>
      </c>
      <c r="J462">
        <v>104.025513</v>
      </c>
      <c r="K462">
        <v>101.33797800000001</v>
      </c>
      <c r="L462">
        <v>103.19520300000001</v>
      </c>
      <c r="M462">
        <v>103.194582</v>
      </c>
      <c r="N462">
        <v>104.704678</v>
      </c>
      <c r="O462">
        <v>92.602666999999997</v>
      </c>
      <c r="Q462">
        <v>95.260647000000006</v>
      </c>
      <c r="R462">
        <v>104.55909</v>
      </c>
    </row>
    <row r="463" spans="2:18">
      <c r="B463" s="27">
        <v>41908</v>
      </c>
      <c r="I463">
        <v>99.988051999999996</v>
      </c>
      <c r="J463">
        <v>104.037925</v>
      </c>
      <c r="K463">
        <v>101.34469</v>
      </c>
      <c r="L463">
        <v>103.18875199999999</v>
      </c>
      <c r="M463">
        <v>103.181862</v>
      </c>
      <c r="N463">
        <v>104.702529</v>
      </c>
      <c r="O463">
        <v>92.594457000000006</v>
      </c>
      <c r="Q463">
        <v>95.255498000000003</v>
      </c>
      <c r="R463">
        <v>104.578217</v>
      </c>
    </row>
    <row r="464" spans="2:18">
      <c r="B464" s="27">
        <v>41907</v>
      </c>
      <c r="I464">
        <v>99.984082999999998</v>
      </c>
      <c r="J464">
        <v>104.04436800000001</v>
      </c>
      <c r="K464">
        <v>101.34075</v>
      </c>
      <c r="L464">
        <v>103.23026900000001</v>
      </c>
      <c r="M464">
        <v>103.217833</v>
      </c>
      <c r="N464">
        <v>104.594111</v>
      </c>
      <c r="O464">
        <v>92.586250000000007</v>
      </c>
      <c r="Q464">
        <v>95.250411999999997</v>
      </c>
      <c r="R464">
        <v>104.312422</v>
      </c>
    </row>
    <row r="465" spans="2:18">
      <c r="B465" s="27">
        <v>41906</v>
      </c>
      <c r="I465">
        <v>99.982521000000006</v>
      </c>
      <c r="J465">
        <v>104.04378699999999</v>
      </c>
      <c r="K465">
        <v>101.352555</v>
      </c>
      <c r="L465">
        <v>103.187749</v>
      </c>
      <c r="M465">
        <v>103.205068</v>
      </c>
      <c r="N465">
        <v>104.52349700000001</v>
      </c>
      <c r="O465">
        <v>92.578620999999998</v>
      </c>
      <c r="Q465">
        <v>95.245521999999994</v>
      </c>
      <c r="R465">
        <v>104.08515300000001</v>
      </c>
    </row>
    <row r="466" spans="2:18">
      <c r="B466" s="27">
        <v>41905</v>
      </c>
      <c r="I466">
        <v>99.976286999999999</v>
      </c>
      <c r="J466">
        <v>104.085628</v>
      </c>
      <c r="K466">
        <v>101.35028800000001</v>
      </c>
      <c r="L466">
        <v>103.22840100000001</v>
      </c>
      <c r="M466">
        <v>103.267686</v>
      </c>
      <c r="N466">
        <v>104.634637</v>
      </c>
      <c r="O466">
        <v>92.554974999999999</v>
      </c>
      <c r="Q466">
        <v>95.230734999999996</v>
      </c>
      <c r="R466">
        <v>104.386129</v>
      </c>
    </row>
    <row r="467" spans="2:18">
      <c r="B467" s="27">
        <v>41904</v>
      </c>
      <c r="I467">
        <v>99.973297000000002</v>
      </c>
      <c r="J467">
        <v>104.07548</v>
      </c>
      <c r="K467">
        <v>101.354393</v>
      </c>
      <c r="L467">
        <v>103.280035</v>
      </c>
      <c r="M467">
        <v>103.273293</v>
      </c>
      <c r="N467">
        <v>104.54051200000001</v>
      </c>
      <c r="O467">
        <v>92.548167000000007</v>
      </c>
      <c r="Q467">
        <v>95.225876999999997</v>
      </c>
      <c r="R467">
        <v>104.08109</v>
      </c>
    </row>
    <row r="468" spans="2:18">
      <c r="B468" s="27">
        <v>41901</v>
      </c>
      <c r="I468">
        <v>99.964372999999995</v>
      </c>
      <c r="J468">
        <v>104.04962999999999</v>
      </c>
      <c r="K468">
        <v>101.338123</v>
      </c>
      <c r="L468">
        <v>103.248234</v>
      </c>
      <c r="M468">
        <v>103.248086</v>
      </c>
      <c r="N468">
        <v>104.355424</v>
      </c>
      <c r="O468">
        <v>92.540323000000001</v>
      </c>
      <c r="Q468">
        <v>95.221158000000003</v>
      </c>
      <c r="R468">
        <v>103.551028</v>
      </c>
    </row>
    <row r="469" spans="2:18">
      <c r="B469" s="27">
        <v>41900</v>
      </c>
      <c r="I469">
        <v>99.967414000000005</v>
      </c>
      <c r="J469">
        <v>104.070774</v>
      </c>
      <c r="K469">
        <v>101.36218</v>
      </c>
      <c r="L469">
        <v>103.254261</v>
      </c>
      <c r="M469">
        <v>103.259812</v>
      </c>
      <c r="N469">
        <v>104.398523</v>
      </c>
      <c r="O469">
        <v>92.532635999999997</v>
      </c>
      <c r="Q469">
        <v>95.216308999999995</v>
      </c>
      <c r="R469">
        <v>103.641912</v>
      </c>
    </row>
    <row r="470" spans="2:18">
      <c r="B470" s="27">
        <v>41899</v>
      </c>
      <c r="I470">
        <v>99.965373999999997</v>
      </c>
      <c r="J470">
        <v>104.101511</v>
      </c>
      <c r="K470">
        <v>101.36586699999999</v>
      </c>
      <c r="L470">
        <v>103.284938</v>
      </c>
      <c r="M470">
        <v>103.316412</v>
      </c>
      <c r="N470">
        <v>104.517398</v>
      </c>
      <c r="O470">
        <v>92.525923000000006</v>
      </c>
      <c r="Q470">
        <v>95.211608999999996</v>
      </c>
      <c r="R470">
        <v>104.07336599999999</v>
      </c>
    </row>
    <row r="471" spans="2:18">
      <c r="B471" s="27">
        <v>41898</v>
      </c>
      <c r="I471">
        <v>99.957970000000003</v>
      </c>
      <c r="J471">
        <v>104.13908600000001</v>
      </c>
      <c r="K471">
        <v>101.375935</v>
      </c>
      <c r="L471">
        <v>103.339457</v>
      </c>
      <c r="M471">
        <v>103.339606</v>
      </c>
      <c r="N471">
        <v>104.602034</v>
      </c>
      <c r="O471">
        <v>92.504088999999993</v>
      </c>
      <c r="Q471">
        <v>95.196887000000004</v>
      </c>
      <c r="R471">
        <v>104.11263</v>
      </c>
    </row>
    <row r="472" spans="2:18">
      <c r="B472" s="27">
        <v>41897</v>
      </c>
      <c r="I472">
        <v>99.953678999999994</v>
      </c>
      <c r="J472">
        <v>104.12481699999999</v>
      </c>
      <c r="K472">
        <v>101.35969799999999</v>
      </c>
      <c r="L472">
        <v>103.320127</v>
      </c>
      <c r="M472">
        <v>103.32035</v>
      </c>
      <c r="N472">
        <v>104.56626799999999</v>
      </c>
      <c r="O472">
        <v>92.496471</v>
      </c>
      <c r="Q472">
        <v>95.191759000000005</v>
      </c>
      <c r="R472">
        <v>103.96289</v>
      </c>
    </row>
    <row r="473" spans="2:18">
      <c r="B473" s="27">
        <v>41894</v>
      </c>
      <c r="I473">
        <v>99.947671999999997</v>
      </c>
      <c r="J473">
        <v>104.134045</v>
      </c>
      <c r="K473">
        <v>101.362596</v>
      </c>
      <c r="L473">
        <v>103.30077799999999</v>
      </c>
      <c r="M473">
        <v>103.307255</v>
      </c>
      <c r="N473">
        <v>104.515124</v>
      </c>
      <c r="O473">
        <v>92.488833</v>
      </c>
      <c r="Q473">
        <v>95.186728000000002</v>
      </c>
      <c r="R473">
        <v>103.628885</v>
      </c>
    </row>
    <row r="474" spans="2:18">
      <c r="B474" s="27">
        <v>41893</v>
      </c>
      <c r="I474">
        <v>99.948363999999998</v>
      </c>
      <c r="J474">
        <v>104.17007700000001</v>
      </c>
      <c r="K474">
        <v>101.38755399999999</v>
      </c>
      <c r="L474">
        <v>103.319289</v>
      </c>
      <c r="M474">
        <v>103.331605</v>
      </c>
      <c r="N474">
        <v>104.582644</v>
      </c>
      <c r="O474">
        <v>92.482294999999993</v>
      </c>
      <c r="Q474">
        <v>95.182428999999999</v>
      </c>
      <c r="R474">
        <v>103.838195</v>
      </c>
    </row>
    <row r="475" spans="2:18">
      <c r="B475" s="27">
        <v>41892</v>
      </c>
      <c r="I475">
        <v>99.944592999999998</v>
      </c>
      <c r="J475">
        <v>104.20504</v>
      </c>
      <c r="K475">
        <v>101.3913</v>
      </c>
      <c r="L475">
        <v>103.31250300000001</v>
      </c>
      <c r="M475">
        <v>103.312184</v>
      </c>
      <c r="N475">
        <v>104.62793600000001</v>
      </c>
      <c r="O475">
        <v>92.474789999999999</v>
      </c>
      <c r="Q475">
        <v>95.177992000000003</v>
      </c>
      <c r="R475">
        <v>104.058093</v>
      </c>
    </row>
    <row r="476" spans="2:18">
      <c r="B476" s="27">
        <v>41891</v>
      </c>
      <c r="I476">
        <v>99.938540000000003</v>
      </c>
      <c r="J476">
        <v>104.236352</v>
      </c>
      <c r="K476">
        <v>101.402379</v>
      </c>
      <c r="L476">
        <v>103.329403</v>
      </c>
      <c r="M476">
        <v>103.335238</v>
      </c>
      <c r="N476">
        <v>104.65224000000001</v>
      </c>
      <c r="O476">
        <v>92.453108999999998</v>
      </c>
      <c r="Q476">
        <v>95.163466</v>
      </c>
      <c r="R476">
        <v>104.12673599999999</v>
      </c>
    </row>
    <row r="477" spans="2:18">
      <c r="B477" s="27">
        <v>41890</v>
      </c>
      <c r="I477">
        <v>99.935264000000004</v>
      </c>
      <c r="J477">
        <v>104.262528</v>
      </c>
      <c r="K477">
        <v>101.406261</v>
      </c>
      <c r="L477">
        <v>103.385395</v>
      </c>
      <c r="M477">
        <v>103.410234</v>
      </c>
      <c r="N477">
        <v>104.78810199999999</v>
      </c>
      <c r="O477">
        <v>92.445460999999995</v>
      </c>
      <c r="Q477">
        <v>95.158359000000004</v>
      </c>
      <c r="R477">
        <v>104.66289999999999</v>
      </c>
    </row>
    <row r="478" spans="2:18">
      <c r="B478" s="27">
        <v>41887</v>
      </c>
      <c r="I478">
        <v>99.926698000000002</v>
      </c>
      <c r="J478">
        <v>104.261979</v>
      </c>
      <c r="K478">
        <v>101.410282</v>
      </c>
      <c r="L478">
        <v>103.41628</v>
      </c>
      <c r="M478">
        <v>103.428601</v>
      </c>
      <c r="N478">
        <v>104.758324</v>
      </c>
      <c r="O478">
        <v>92.437895999999995</v>
      </c>
      <c r="Q478">
        <v>95.153509999999997</v>
      </c>
      <c r="R478">
        <v>104.624044</v>
      </c>
    </row>
    <row r="479" spans="2:18">
      <c r="B479" s="27">
        <v>41886</v>
      </c>
      <c r="I479">
        <v>99.924443999999994</v>
      </c>
      <c r="J479">
        <v>104.2795</v>
      </c>
      <c r="K479">
        <v>101.393113</v>
      </c>
      <c r="L479">
        <v>103.384485</v>
      </c>
      <c r="M479">
        <v>103.383685</v>
      </c>
      <c r="N479">
        <v>104.83142700000001</v>
      </c>
      <c r="O479">
        <v>92.431451999999993</v>
      </c>
      <c r="Q479">
        <v>95.148955999999998</v>
      </c>
      <c r="R479">
        <v>104.915003</v>
      </c>
    </row>
    <row r="480" spans="2:18">
      <c r="B480" s="27">
        <v>41885</v>
      </c>
      <c r="I480">
        <v>99.921606999999995</v>
      </c>
      <c r="J480">
        <v>104.293648</v>
      </c>
      <c r="K480">
        <v>101.397116</v>
      </c>
      <c r="L480">
        <v>103.415317</v>
      </c>
      <c r="M480">
        <v>103.421055</v>
      </c>
      <c r="N480">
        <v>104.77365399999999</v>
      </c>
      <c r="O480">
        <v>92.423903999999993</v>
      </c>
      <c r="Q480">
        <v>95.144122999999993</v>
      </c>
      <c r="R480">
        <v>104.613659</v>
      </c>
    </row>
    <row r="481" spans="2:18">
      <c r="B481" s="27">
        <v>41884</v>
      </c>
      <c r="I481">
        <v>99.913756000000006</v>
      </c>
      <c r="J481">
        <v>104.341914</v>
      </c>
      <c r="K481">
        <v>101.408816</v>
      </c>
      <c r="L481">
        <v>103.419887</v>
      </c>
      <c r="M481">
        <v>103.425442</v>
      </c>
      <c r="N481">
        <v>104.917171</v>
      </c>
      <c r="O481">
        <v>92.448746999999997</v>
      </c>
      <c r="Q481">
        <v>95.129979000000006</v>
      </c>
      <c r="R481">
        <v>104.92468100000001</v>
      </c>
    </row>
    <row r="482" spans="2:18">
      <c r="B482" s="27">
        <v>41883</v>
      </c>
      <c r="I482">
        <v>99.912270000000007</v>
      </c>
      <c r="J482">
        <v>104.382429</v>
      </c>
      <c r="K482">
        <v>101.432813</v>
      </c>
      <c r="L482">
        <v>103.488612</v>
      </c>
      <c r="M482">
        <v>103.48863799999999</v>
      </c>
      <c r="N482">
        <v>105.00386399999999</v>
      </c>
      <c r="O482">
        <v>92.441265000000001</v>
      </c>
      <c r="Q482">
        <v>95.125164999999996</v>
      </c>
      <c r="R482">
        <v>105.036767</v>
      </c>
    </row>
    <row r="483" spans="2:18">
      <c r="B483" s="27">
        <v>41880</v>
      </c>
      <c r="I483">
        <v>99.908350999999996</v>
      </c>
      <c r="J483">
        <v>104.37271</v>
      </c>
      <c r="K483">
        <v>101.41551</v>
      </c>
      <c r="L483">
        <v>103.488612</v>
      </c>
      <c r="M483">
        <v>103.500833</v>
      </c>
      <c r="N483">
        <v>104.974503</v>
      </c>
      <c r="O483">
        <v>92.434460000000001</v>
      </c>
      <c r="Q483">
        <v>95.119737000000001</v>
      </c>
      <c r="R483">
        <v>105.166568</v>
      </c>
    </row>
    <row r="484" spans="2:18">
      <c r="B484" s="27">
        <v>41879</v>
      </c>
      <c r="I484">
        <v>99.905539000000005</v>
      </c>
      <c r="J484">
        <v>104.38414299999999</v>
      </c>
      <c r="K484">
        <v>101.440549</v>
      </c>
      <c r="L484">
        <v>103.469173</v>
      </c>
      <c r="M484">
        <v>103.468163</v>
      </c>
      <c r="N484">
        <v>104.938548</v>
      </c>
      <c r="O484">
        <v>92.426962000000003</v>
      </c>
      <c r="Q484">
        <v>95.114904999999993</v>
      </c>
      <c r="R484">
        <v>104.987168</v>
      </c>
    </row>
    <row r="485" spans="2:18">
      <c r="B485" s="27">
        <v>41878</v>
      </c>
      <c r="I485">
        <v>99.901076000000003</v>
      </c>
      <c r="J485">
        <v>104.410512</v>
      </c>
      <c r="K485">
        <v>101.443507</v>
      </c>
      <c r="L485">
        <v>103.46228600000001</v>
      </c>
      <c r="M485">
        <v>103.46748100000001</v>
      </c>
      <c r="N485">
        <v>105.070497</v>
      </c>
      <c r="O485">
        <v>92.419392000000002</v>
      </c>
      <c r="Q485">
        <v>95.109941000000006</v>
      </c>
      <c r="R485">
        <v>105.34084799999999</v>
      </c>
    </row>
    <row r="486" spans="2:18">
      <c r="B486" s="27">
        <v>41877</v>
      </c>
      <c r="I486">
        <v>99.894304000000005</v>
      </c>
      <c r="J486">
        <v>104.421229</v>
      </c>
      <c r="K486">
        <v>101.454674</v>
      </c>
      <c r="L486">
        <v>103.454069</v>
      </c>
      <c r="M486">
        <v>103.498272</v>
      </c>
      <c r="N486">
        <v>104.993769</v>
      </c>
      <c r="O486">
        <v>92.467934</v>
      </c>
      <c r="Q486">
        <v>95.095596999999998</v>
      </c>
      <c r="R486">
        <v>105.21172799999999</v>
      </c>
    </row>
    <row r="487" spans="2:18">
      <c r="B487" s="27">
        <v>41876</v>
      </c>
      <c r="I487">
        <v>99.890478999999999</v>
      </c>
      <c r="J487">
        <v>104.421311</v>
      </c>
      <c r="K487">
        <v>101.458382</v>
      </c>
      <c r="L487">
        <v>103.51068600000001</v>
      </c>
      <c r="M487">
        <v>103.504198</v>
      </c>
      <c r="N487">
        <v>104.910588</v>
      </c>
      <c r="O487">
        <v>92.460143000000002</v>
      </c>
      <c r="Q487">
        <v>95.090172999999993</v>
      </c>
      <c r="R487">
        <v>104.77591</v>
      </c>
    </row>
    <row r="488" spans="2:18">
      <c r="B488" s="27">
        <v>41873</v>
      </c>
      <c r="I488">
        <v>99.886107999999993</v>
      </c>
      <c r="J488">
        <v>104.426816</v>
      </c>
      <c r="K488">
        <v>101.46140699999999</v>
      </c>
      <c r="L488">
        <v>103.52961500000001</v>
      </c>
      <c r="M488">
        <v>103.542303</v>
      </c>
      <c r="N488">
        <v>104.893664</v>
      </c>
      <c r="O488">
        <v>92.453708000000006</v>
      </c>
      <c r="Q488">
        <v>95.085335000000001</v>
      </c>
      <c r="R488">
        <v>104.807475</v>
      </c>
    </row>
    <row r="489" spans="2:18">
      <c r="B489" s="27">
        <v>41872</v>
      </c>
      <c r="I489">
        <v>99.884834999999995</v>
      </c>
      <c r="J489">
        <v>104.44727399999999</v>
      </c>
      <c r="K489">
        <v>101.466443</v>
      </c>
      <c r="L489">
        <v>103.574719</v>
      </c>
      <c r="M489">
        <v>103.57405</v>
      </c>
      <c r="N489">
        <v>104.889684</v>
      </c>
      <c r="O489">
        <v>92.446876000000003</v>
      </c>
      <c r="Q489">
        <v>95.081446999999997</v>
      </c>
      <c r="R489">
        <v>104.705524</v>
      </c>
    </row>
    <row r="490" spans="2:18">
      <c r="B490" s="27">
        <v>41871</v>
      </c>
      <c r="I490">
        <v>99.883616000000004</v>
      </c>
      <c r="J490">
        <v>104.446781</v>
      </c>
      <c r="K490">
        <v>101.472009</v>
      </c>
      <c r="L490">
        <v>103.567387</v>
      </c>
      <c r="M490">
        <v>103.62051099999999</v>
      </c>
      <c r="N490">
        <v>104.825205</v>
      </c>
      <c r="O490">
        <v>92.440096999999994</v>
      </c>
      <c r="Q490">
        <v>95.077611000000005</v>
      </c>
      <c r="R490">
        <v>104.793029</v>
      </c>
    </row>
    <row r="491" spans="2:18">
      <c r="B491" s="27">
        <v>41870</v>
      </c>
      <c r="I491">
        <v>99.869352000000006</v>
      </c>
      <c r="J491">
        <v>104.526116</v>
      </c>
      <c r="K491">
        <v>101.45999399999999</v>
      </c>
      <c r="L491">
        <v>103.663899</v>
      </c>
      <c r="M491">
        <v>103.670974</v>
      </c>
      <c r="N491">
        <v>105.128225</v>
      </c>
      <c r="O491">
        <v>92.417918999999998</v>
      </c>
      <c r="Q491">
        <v>95.061695</v>
      </c>
      <c r="R491">
        <v>105.14661</v>
      </c>
    </row>
    <row r="492" spans="2:18">
      <c r="B492" s="27">
        <v>41869</v>
      </c>
      <c r="I492">
        <v>99.867323999999996</v>
      </c>
      <c r="J492">
        <v>104.546119</v>
      </c>
      <c r="K492">
        <v>101.484067</v>
      </c>
      <c r="L492">
        <v>103.68288800000001</v>
      </c>
      <c r="M492">
        <v>103.68351</v>
      </c>
      <c r="N492">
        <v>105.10479100000001</v>
      </c>
      <c r="O492">
        <v>92.434640999999999</v>
      </c>
      <c r="Q492">
        <v>95.055341999999996</v>
      </c>
      <c r="R492">
        <v>105.212356</v>
      </c>
    </row>
    <row r="493" spans="2:18">
      <c r="B493" s="27">
        <v>41866</v>
      </c>
      <c r="I493">
        <v>99.861850000000004</v>
      </c>
      <c r="J493">
        <v>104.52111600000001</v>
      </c>
      <c r="K493">
        <v>101.487799</v>
      </c>
      <c r="L493">
        <v>103.70188400000001</v>
      </c>
      <c r="M493">
        <v>103.709182</v>
      </c>
      <c r="N493">
        <v>105.098338</v>
      </c>
      <c r="O493">
        <v>92.426867999999999</v>
      </c>
      <c r="Q493">
        <v>95.049965</v>
      </c>
      <c r="R493">
        <v>105.117065</v>
      </c>
    </row>
    <row r="494" spans="2:18">
      <c r="B494" s="27">
        <v>41865</v>
      </c>
      <c r="I494">
        <v>99.858361000000002</v>
      </c>
      <c r="J494">
        <v>104.559645</v>
      </c>
      <c r="K494">
        <v>101.468715</v>
      </c>
      <c r="L494">
        <v>103.707306</v>
      </c>
      <c r="M494">
        <v>103.70044300000001</v>
      </c>
      <c r="N494">
        <v>105.178962</v>
      </c>
      <c r="O494">
        <v>92.419203999999993</v>
      </c>
      <c r="Q494">
        <v>95.044756000000007</v>
      </c>
      <c r="R494">
        <v>105.280745</v>
      </c>
    </row>
    <row r="495" spans="2:18">
      <c r="B495" s="27">
        <v>41864</v>
      </c>
      <c r="I495">
        <v>99.857827</v>
      </c>
      <c r="J495">
        <v>104.536432</v>
      </c>
      <c r="K495">
        <v>101.47291300000001</v>
      </c>
      <c r="L495">
        <v>103.69998</v>
      </c>
      <c r="M495">
        <v>103.693303</v>
      </c>
      <c r="N495">
        <v>104.96153</v>
      </c>
      <c r="O495">
        <v>92.460184999999996</v>
      </c>
      <c r="Q495">
        <v>95.040293000000005</v>
      </c>
      <c r="R495">
        <v>104.79515499999999</v>
      </c>
    </row>
    <row r="496" spans="2:18">
      <c r="B496" s="27">
        <v>41863</v>
      </c>
      <c r="I496">
        <v>99.848577000000006</v>
      </c>
      <c r="J496">
        <v>104.636357</v>
      </c>
      <c r="K496">
        <v>101.485353</v>
      </c>
      <c r="L496">
        <v>103.691416</v>
      </c>
      <c r="M496">
        <v>103.671637</v>
      </c>
      <c r="N496">
        <v>105.09919499999999</v>
      </c>
      <c r="O496">
        <v>92.438709000000003</v>
      </c>
      <c r="Q496">
        <v>95.026619999999994</v>
      </c>
      <c r="R496">
        <v>104.979797</v>
      </c>
    </row>
    <row r="497" spans="2:18">
      <c r="B497" s="27">
        <v>41862</v>
      </c>
      <c r="I497">
        <v>99.847268999999997</v>
      </c>
      <c r="J497">
        <v>104.643953</v>
      </c>
      <c r="K497">
        <v>101.512463</v>
      </c>
      <c r="L497">
        <v>103.684029</v>
      </c>
      <c r="M497">
        <v>103.684183</v>
      </c>
      <c r="N497">
        <v>105.028453</v>
      </c>
      <c r="O497">
        <v>92.433128999999994</v>
      </c>
      <c r="Q497">
        <v>95.022851000000003</v>
      </c>
      <c r="R497">
        <v>105.22275</v>
      </c>
    </row>
    <row r="498" spans="2:18">
      <c r="B498" s="27">
        <v>41859</v>
      </c>
      <c r="I498">
        <v>99.846333999999999</v>
      </c>
      <c r="J498">
        <v>104.703951</v>
      </c>
      <c r="K498">
        <v>101.184335</v>
      </c>
      <c r="L498">
        <v>103.703047</v>
      </c>
      <c r="M498">
        <v>103.72327300000001</v>
      </c>
      <c r="N498">
        <v>105.219758</v>
      </c>
      <c r="O498">
        <v>92.425816999999995</v>
      </c>
      <c r="Q498">
        <v>95.018062</v>
      </c>
      <c r="R498">
        <v>105.918312</v>
      </c>
    </row>
    <row r="499" spans="2:18">
      <c r="B499" s="27">
        <v>41858</v>
      </c>
      <c r="I499">
        <v>99.839264999999997</v>
      </c>
      <c r="J499">
        <v>104.671706</v>
      </c>
      <c r="K499">
        <v>101.496143</v>
      </c>
      <c r="L499">
        <v>103.708574</v>
      </c>
      <c r="M499">
        <v>103.696066</v>
      </c>
      <c r="N499">
        <v>105.049402</v>
      </c>
      <c r="O499">
        <v>92.417385999999993</v>
      </c>
      <c r="Q499">
        <v>95.011747</v>
      </c>
      <c r="R499">
        <v>105.561989</v>
      </c>
    </row>
    <row r="500" spans="2:18">
      <c r="B500" s="27">
        <v>41857</v>
      </c>
      <c r="I500">
        <v>99.838355000000007</v>
      </c>
      <c r="J500">
        <v>104.603009</v>
      </c>
      <c r="K500">
        <v>101.50015</v>
      </c>
      <c r="L500">
        <v>103.674859</v>
      </c>
      <c r="M500">
        <v>103.68206000000001</v>
      </c>
      <c r="N500">
        <v>104.829221</v>
      </c>
      <c r="O500">
        <v>92.458501999999996</v>
      </c>
      <c r="Q500">
        <v>95.006932000000006</v>
      </c>
      <c r="R500">
        <v>105.166096</v>
      </c>
    </row>
    <row r="501" spans="2:18">
      <c r="B501" s="27">
        <v>41856</v>
      </c>
      <c r="I501">
        <v>99.829094999999995</v>
      </c>
      <c r="J501">
        <v>104.63432400000001</v>
      </c>
      <c r="K501">
        <v>101.509924</v>
      </c>
      <c r="L501">
        <v>103.679242</v>
      </c>
      <c r="M501">
        <v>103.673072</v>
      </c>
      <c r="N501">
        <v>104.846278</v>
      </c>
      <c r="O501">
        <v>92.437285000000003</v>
      </c>
      <c r="Q501">
        <v>94.992034000000004</v>
      </c>
      <c r="R501">
        <v>105.23943</v>
      </c>
    </row>
    <row r="502" spans="2:18">
      <c r="B502" s="27">
        <v>41855</v>
      </c>
      <c r="I502">
        <v>99.827960000000004</v>
      </c>
      <c r="J502">
        <v>104.675685</v>
      </c>
      <c r="K502">
        <v>101.513797</v>
      </c>
      <c r="L502">
        <v>103.68504799999999</v>
      </c>
      <c r="M502">
        <v>103.685631</v>
      </c>
      <c r="N502">
        <v>104.913177</v>
      </c>
      <c r="O502">
        <v>92.429807999999994</v>
      </c>
      <c r="Q502">
        <v>94.986973000000006</v>
      </c>
      <c r="R502">
        <v>105.25525399999999</v>
      </c>
    </row>
    <row r="503" spans="2:18">
      <c r="B503" s="27">
        <v>41852</v>
      </c>
      <c r="I503">
        <v>99.827960000000004</v>
      </c>
      <c r="J503">
        <v>104.667959</v>
      </c>
      <c r="K503">
        <v>101.513797</v>
      </c>
      <c r="L503">
        <v>103.677622</v>
      </c>
      <c r="M503">
        <v>103.684811</v>
      </c>
      <c r="N503">
        <v>104.853836</v>
      </c>
      <c r="O503">
        <v>92.429807999999994</v>
      </c>
      <c r="Q503">
        <v>94.986973000000006</v>
      </c>
      <c r="R503">
        <v>105.156325</v>
      </c>
    </row>
    <row r="504" spans="2:18">
      <c r="B504" s="27">
        <v>41851</v>
      </c>
      <c r="I504">
        <v>99.818079999999995</v>
      </c>
      <c r="J504">
        <v>104.704157</v>
      </c>
      <c r="K504">
        <v>101.515755</v>
      </c>
      <c r="L504">
        <v>103.57769999999999</v>
      </c>
      <c r="M504">
        <v>103.585037</v>
      </c>
      <c r="N504">
        <v>104.98753000000001</v>
      </c>
      <c r="O504">
        <v>92.421031999999997</v>
      </c>
      <c r="Q504">
        <v>94.980214000000004</v>
      </c>
      <c r="R504">
        <v>105.457628</v>
      </c>
    </row>
    <row r="505" spans="2:18">
      <c r="B505" s="27">
        <v>41850</v>
      </c>
      <c r="I505">
        <v>99.818358000000003</v>
      </c>
      <c r="J505">
        <v>104.66557400000001</v>
      </c>
      <c r="K505">
        <v>101.204116</v>
      </c>
      <c r="L505">
        <v>103.543854</v>
      </c>
      <c r="M505">
        <v>103.516918</v>
      </c>
      <c r="N505">
        <v>104.977011</v>
      </c>
      <c r="O505">
        <v>92.415278000000001</v>
      </c>
      <c r="Q505">
        <v>94.976105000000004</v>
      </c>
      <c r="R505">
        <v>105.46310699999999</v>
      </c>
    </row>
    <row r="506" spans="2:18">
      <c r="B506" s="27">
        <v>41849</v>
      </c>
      <c r="I506">
        <v>99.806805999999995</v>
      </c>
      <c r="J506">
        <v>104.732457</v>
      </c>
      <c r="K506">
        <v>101.53461799999999</v>
      </c>
      <c r="L506">
        <v>103.600545</v>
      </c>
      <c r="M506">
        <v>103.580859</v>
      </c>
      <c r="N506">
        <v>104.996331</v>
      </c>
      <c r="O506">
        <v>92.458905000000001</v>
      </c>
      <c r="Q506">
        <v>94.956768999999994</v>
      </c>
      <c r="R506">
        <v>105.37087</v>
      </c>
    </row>
    <row r="507" spans="2:18">
      <c r="B507" s="27">
        <v>41848</v>
      </c>
      <c r="I507">
        <v>99.801259000000002</v>
      </c>
      <c r="J507">
        <v>104.72152199999999</v>
      </c>
      <c r="K507">
        <v>101.53746700000001</v>
      </c>
      <c r="L507">
        <v>103.577804</v>
      </c>
      <c r="M507">
        <v>103.65079299999999</v>
      </c>
      <c r="N507">
        <v>104.91565900000001</v>
      </c>
      <c r="O507">
        <v>92.451452000000003</v>
      </c>
      <c r="Q507">
        <v>94.951665000000006</v>
      </c>
      <c r="R507">
        <v>105.49150299999999</v>
      </c>
    </row>
    <row r="508" spans="2:18">
      <c r="B508" s="27">
        <v>41845</v>
      </c>
      <c r="I508">
        <v>99.793374</v>
      </c>
      <c r="J508">
        <v>104.77391299999999</v>
      </c>
      <c r="K508">
        <v>101.54132</v>
      </c>
      <c r="L508">
        <v>103.686544</v>
      </c>
      <c r="M508">
        <v>103.679458</v>
      </c>
      <c r="N508">
        <v>105.020212</v>
      </c>
      <c r="O508">
        <v>92.444006999999999</v>
      </c>
      <c r="Q508">
        <v>94.946571000000006</v>
      </c>
      <c r="R508">
        <v>105.53348</v>
      </c>
    </row>
    <row r="509" spans="2:18">
      <c r="B509" s="27">
        <v>41844</v>
      </c>
      <c r="I509">
        <v>99.795826000000005</v>
      </c>
      <c r="J509">
        <v>104.76890299999999</v>
      </c>
      <c r="K509">
        <v>101.547505</v>
      </c>
      <c r="L509">
        <v>103.692303</v>
      </c>
      <c r="M509">
        <v>103.68526799999999</v>
      </c>
      <c r="N509">
        <v>104.96493</v>
      </c>
      <c r="O509">
        <v>92.444822000000002</v>
      </c>
      <c r="Q509">
        <v>94.951948000000002</v>
      </c>
      <c r="R509">
        <v>105.441648</v>
      </c>
    </row>
    <row r="510" spans="2:18">
      <c r="B510" s="27">
        <v>41843</v>
      </c>
      <c r="I510">
        <v>99.785453000000004</v>
      </c>
      <c r="J510">
        <v>104.75167399999999</v>
      </c>
      <c r="K510">
        <v>101.55036200000001</v>
      </c>
      <c r="L510">
        <v>103.72566399999999</v>
      </c>
      <c r="M510">
        <v>103.740285</v>
      </c>
      <c r="N510">
        <v>104.96093500000001</v>
      </c>
      <c r="O510">
        <v>92.438388000000003</v>
      </c>
      <c r="Q510">
        <v>94.946860999999998</v>
      </c>
      <c r="R510">
        <v>105.32074299999999</v>
      </c>
    </row>
    <row r="511" spans="2:18">
      <c r="B511" s="27">
        <v>41842</v>
      </c>
      <c r="I511">
        <v>99.774309000000002</v>
      </c>
      <c r="J511">
        <v>104.835791</v>
      </c>
      <c r="K511">
        <v>101.563033</v>
      </c>
      <c r="L511">
        <v>103.729383</v>
      </c>
      <c r="M511">
        <v>103.728972</v>
      </c>
      <c r="N511">
        <v>105.196029</v>
      </c>
      <c r="O511">
        <v>92.418729999999996</v>
      </c>
      <c r="Q511">
        <v>94.933639999999997</v>
      </c>
      <c r="R511">
        <v>105.85729600000001</v>
      </c>
    </row>
    <row r="512" spans="2:18">
      <c r="B512" s="27">
        <v>41841</v>
      </c>
      <c r="I512">
        <v>99.785527000000002</v>
      </c>
      <c r="J512">
        <v>104.876448</v>
      </c>
      <c r="K512">
        <v>101.56835599999999</v>
      </c>
      <c r="L512">
        <v>103.707531</v>
      </c>
      <c r="M512">
        <v>103.72798899999999</v>
      </c>
      <c r="N512">
        <v>105.25229299999999</v>
      </c>
      <c r="O512">
        <v>92.472206</v>
      </c>
      <c r="Q512">
        <v>94.915639999999996</v>
      </c>
      <c r="R512">
        <v>105.852617</v>
      </c>
    </row>
    <row r="513" spans="2:18">
      <c r="B513" s="27">
        <v>41838</v>
      </c>
      <c r="I513">
        <v>99.779241999999996</v>
      </c>
      <c r="J513">
        <v>104.897785</v>
      </c>
      <c r="K513">
        <v>101.593205</v>
      </c>
      <c r="L513">
        <v>103.741</v>
      </c>
      <c r="M513">
        <v>103.74750899999999</v>
      </c>
      <c r="N513">
        <v>105.232631</v>
      </c>
      <c r="O513">
        <v>92.467487000000006</v>
      </c>
      <c r="Q513">
        <v>94.911824999999993</v>
      </c>
      <c r="R513">
        <v>105.834628</v>
      </c>
    </row>
    <row r="514" spans="2:18">
      <c r="B514" s="27">
        <v>41837</v>
      </c>
      <c r="I514">
        <v>99.780088000000006</v>
      </c>
      <c r="J514">
        <v>104.923317</v>
      </c>
      <c r="K514">
        <v>101.595251</v>
      </c>
      <c r="L514">
        <v>103.774325</v>
      </c>
      <c r="M514">
        <v>103.773929</v>
      </c>
      <c r="N514">
        <v>105.33021599999999</v>
      </c>
      <c r="O514">
        <v>92.460865999999996</v>
      </c>
      <c r="Q514">
        <v>94.907376999999997</v>
      </c>
      <c r="R514">
        <v>105.98875700000001</v>
      </c>
    </row>
    <row r="515" spans="2:18">
      <c r="B515" s="27">
        <v>41836</v>
      </c>
      <c r="I515">
        <v>99.777227999999994</v>
      </c>
      <c r="J515">
        <v>104.933463</v>
      </c>
      <c r="K515">
        <v>101.599788</v>
      </c>
      <c r="L515">
        <v>103.738741</v>
      </c>
      <c r="M515">
        <v>103.73864</v>
      </c>
      <c r="N515">
        <v>105.37214400000001</v>
      </c>
      <c r="O515">
        <v>92.454730999999995</v>
      </c>
      <c r="Q515">
        <v>94.902578000000005</v>
      </c>
      <c r="R515">
        <v>106.072541</v>
      </c>
    </row>
    <row r="516" spans="2:18">
      <c r="B516" s="27">
        <v>41835</v>
      </c>
      <c r="I516">
        <v>99.769397999999995</v>
      </c>
      <c r="J516">
        <v>104.951655</v>
      </c>
      <c r="K516">
        <v>101.60680499999999</v>
      </c>
      <c r="L516">
        <v>103.783902</v>
      </c>
      <c r="M516">
        <v>103.783711</v>
      </c>
      <c r="N516">
        <v>105.321367</v>
      </c>
      <c r="O516">
        <v>92.436155999999997</v>
      </c>
      <c r="Q516">
        <v>94.889347000000001</v>
      </c>
      <c r="R516">
        <v>105.936801</v>
      </c>
    </row>
    <row r="517" spans="2:18">
      <c r="B517" s="27">
        <v>41834</v>
      </c>
      <c r="I517">
        <v>99.766643999999999</v>
      </c>
      <c r="J517">
        <v>104.967213</v>
      </c>
      <c r="K517">
        <v>101.611879</v>
      </c>
      <c r="L517">
        <v>103.803567</v>
      </c>
      <c r="M517">
        <v>103.810312</v>
      </c>
      <c r="N517">
        <v>105.24441299999999</v>
      </c>
      <c r="O517">
        <v>92.451772000000005</v>
      </c>
      <c r="Q517">
        <v>94.884208999999998</v>
      </c>
      <c r="R517">
        <v>105.706564</v>
      </c>
    </row>
    <row r="518" spans="2:18">
      <c r="B518" s="27">
        <v>41831</v>
      </c>
      <c r="I518">
        <v>99.764067999999995</v>
      </c>
      <c r="J518">
        <v>104.994856</v>
      </c>
      <c r="K518">
        <v>101.61969999999999</v>
      </c>
      <c r="L518">
        <v>103.83708799999999</v>
      </c>
      <c r="M518">
        <v>103.843907</v>
      </c>
      <c r="N518">
        <v>105.291341</v>
      </c>
      <c r="O518">
        <v>92.443101999999996</v>
      </c>
      <c r="Q518">
        <v>94.878418999999994</v>
      </c>
      <c r="R518">
        <v>105.81125299999999</v>
      </c>
    </row>
    <row r="519" spans="2:18">
      <c r="B519" s="27">
        <v>41830</v>
      </c>
      <c r="I519">
        <v>99.760244999999998</v>
      </c>
      <c r="J519">
        <v>104.99998100000001</v>
      </c>
      <c r="K519">
        <v>101.60643</v>
      </c>
      <c r="L519">
        <v>103.828868</v>
      </c>
      <c r="M519">
        <v>103.822129</v>
      </c>
      <c r="N519">
        <v>105.291206</v>
      </c>
      <c r="O519">
        <v>92.438107000000002</v>
      </c>
      <c r="Q519">
        <v>94.874885000000006</v>
      </c>
      <c r="R519">
        <v>105.751926</v>
      </c>
    </row>
    <row r="520" spans="2:18">
      <c r="B520" s="27">
        <v>41829</v>
      </c>
      <c r="I520">
        <v>99.757735999999994</v>
      </c>
      <c r="J520">
        <v>104.95446099999999</v>
      </c>
      <c r="K520">
        <v>101.625562</v>
      </c>
      <c r="L520">
        <v>103.765595</v>
      </c>
      <c r="M520">
        <v>103.717037</v>
      </c>
      <c r="N520">
        <v>105.12875099999999</v>
      </c>
      <c r="O520">
        <v>92.430235999999994</v>
      </c>
      <c r="Q520">
        <v>94.869003000000006</v>
      </c>
      <c r="R520">
        <v>105.434562</v>
      </c>
    </row>
    <row r="521" spans="2:18">
      <c r="B521" s="27">
        <v>41828</v>
      </c>
      <c r="I521">
        <v>99.751919000000001</v>
      </c>
      <c r="J521">
        <v>104.990218</v>
      </c>
      <c r="K521">
        <v>101.638261</v>
      </c>
      <c r="L521">
        <v>103.76916799999999</v>
      </c>
      <c r="M521">
        <v>103.77605200000001</v>
      </c>
      <c r="N521">
        <v>105.10313499999999</v>
      </c>
      <c r="O521">
        <v>92.409236000000007</v>
      </c>
      <c r="Q521">
        <v>94.854166000000006</v>
      </c>
      <c r="R521">
        <v>105.367079</v>
      </c>
    </row>
    <row r="522" spans="2:18">
      <c r="B522" s="27">
        <v>41827</v>
      </c>
      <c r="I522">
        <v>99.748103999999998</v>
      </c>
      <c r="J522">
        <v>104.99406500000001</v>
      </c>
      <c r="K522">
        <v>101.636222</v>
      </c>
      <c r="L522">
        <v>103.761109</v>
      </c>
      <c r="M522">
        <v>103.753941</v>
      </c>
      <c r="N522">
        <v>105.074164</v>
      </c>
      <c r="O522">
        <v>92.403913000000003</v>
      </c>
      <c r="Q522">
        <v>94.850290999999999</v>
      </c>
      <c r="R522">
        <v>105.30170200000001</v>
      </c>
    </row>
    <row r="523" spans="2:18">
      <c r="B523" s="27">
        <v>41824</v>
      </c>
      <c r="I523">
        <v>99.742904999999993</v>
      </c>
      <c r="J523">
        <v>104.996979</v>
      </c>
      <c r="K523">
        <v>101.637067</v>
      </c>
      <c r="L523">
        <v>103.753047</v>
      </c>
      <c r="M523">
        <v>103.773681</v>
      </c>
      <c r="N523">
        <v>105.201368</v>
      </c>
      <c r="O523">
        <v>92.398328000000006</v>
      </c>
      <c r="Q523">
        <v>94.845703999999998</v>
      </c>
      <c r="R523">
        <v>105.277959</v>
      </c>
    </row>
    <row r="524" spans="2:18">
      <c r="B524" s="27">
        <v>41823</v>
      </c>
      <c r="I524">
        <v>99.739894000000007</v>
      </c>
      <c r="J524">
        <v>104.989773</v>
      </c>
      <c r="K524">
        <v>101.641069</v>
      </c>
      <c r="L524">
        <v>103.766919</v>
      </c>
      <c r="M524">
        <v>103.779465</v>
      </c>
      <c r="N524">
        <v>105.064685</v>
      </c>
      <c r="O524">
        <v>92.391046000000003</v>
      </c>
      <c r="Q524">
        <v>94.84075</v>
      </c>
      <c r="R524">
        <v>105.432483</v>
      </c>
    </row>
    <row r="525" spans="2:18">
      <c r="B525" s="27">
        <v>41822</v>
      </c>
      <c r="I525">
        <v>99.736884000000003</v>
      </c>
      <c r="J525">
        <v>104.95491699999999</v>
      </c>
      <c r="K525">
        <v>101.645072</v>
      </c>
      <c r="L525">
        <v>103.828107</v>
      </c>
      <c r="M525">
        <v>103.820313</v>
      </c>
      <c r="N525">
        <v>105.074558</v>
      </c>
      <c r="O525">
        <v>92.383767000000006</v>
      </c>
      <c r="Q525">
        <v>94.835796999999999</v>
      </c>
      <c r="R525">
        <v>105.236634</v>
      </c>
    </row>
    <row r="526" spans="2:18">
      <c r="B526" s="27">
        <v>41821</v>
      </c>
      <c r="I526">
        <v>99.730948999999995</v>
      </c>
      <c r="J526">
        <v>104.96322600000001</v>
      </c>
      <c r="K526">
        <v>101.655795</v>
      </c>
      <c r="L526">
        <v>103.86156800000001</v>
      </c>
      <c r="M526">
        <v>103.88541600000001</v>
      </c>
      <c r="N526">
        <v>104.928107</v>
      </c>
      <c r="O526">
        <v>92.363849999999999</v>
      </c>
      <c r="Q526">
        <v>94.820913000000004</v>
      </c>
      <c r="R526">
        <v>105.131186</v>
      </c>
    </row>
    <row r="527" spans="2:18">
      <c r="B527" s="27">
        <v>41820</v>
      </c>
      <c r="I527">
        <v>99.726363000000006</v>
      </c>
      <c r="J527">
        <v>104.980363</v>
      </c>
      <c r="K527">
        <v>101.62791</v>
      </c>
      <c r="L527">
        <v>103.89899800000001</v>
      </c>
      <c r="M527">
        <v>103.898394</v>
      </c>
      <c r="N527">
        <v>104.977459</v>
      </c>
      <c r="O527">
        <v>92.358154999999996</v>
      </c>
      <c r="P527">
        <f>'Bloomberg Bond Prices'!R96</f>
        <v>94.793000000000006</v>
      </c>
      <c r="Q527">
        <v>94.816537999999994</v>
      </c>
      <c r="R527">
        <v>105.337884</v>
      </c>
    </row>
    <row r="528" spans="2:18">
      <c r="B528" s="27">
        <v>41817</v>
      </c>
      <c r="I528">
        <v>99.723026000000004</v>
      </c>
      <c r="J528">
        <v>104.997732</v>
      </c>
      <c r="K528">
        <v>101.628486</v>
      </c>
      <c r="L528">
        <v>103.904831</v>
      </c>
      <c r="M528">
        <v>103.90432199999999</v>
      </c>
      <c r="N528">
        <v>104.737396</v>
      </c>
      <c r="O528">
        <v>93.013541000000004</v>
      </c>
      <c r="Q528">
        <v>94.812602999999996</v>
      </c>
      <c r="R528">
        <v>105.379172</v>
      </c>
    </row>
    <row r="529" spans="2:18">
      <c r="B529" s="27">
        <v>41816</v>
      </c>
      <c r="I529">
        <v>99.719663999999995</v>
      </c>
      <c r="J529">
        <v>105.03309900000001</v>
      </c>
      <c r="K529">
        <v>101.66656399999999</v>
      </c>
      <c r="L529">
        <v>103.896849</v>
      </c>
      <c r="M529">
        <v>103.896083</v>
      </c>
      <c r="N529">
        <v>104.897122</v>
      </c>
      <c r="O529">
        <v>92.720062999999996</v>
      </c>
      <c r="Q529">
        <v>94.807642999999999</v>
      </c>
      <c r="R529">
        <v>105.13427299999999</v>
      </c>
    </row>
    <row r="530" spans="2:18">
      <c r="B530" s="27">
        <v>41815</v>
      </c>
      <c r="I530">
        <v>99.716453000000001</v>
      </c>
      <c r="J530">
        <v>105.036737</v>
      </c>
      <c r="K530">
        <v>101.653559</v>
      </c>
      <c r="L530">
        <v>103.860964</v>
      </c>
      <c r="M530">
        <v>103.88248400000001</v>
      </c>
      <c r="N530">
        <v>104.787781</v>
      </c>
      <c r="O530">
        <v>92.425915000000003</v>
      </c>
      <c r="Q530">
        <v>94.802807999999999</v>
      </c>
      <c r="R530">
        <v>105.196386</v>
      </c>
    </row>
    <row r="531" spans="2:18">
      <c r="B531" s="27">
        <v>41814</v>
      </c>
      <c r="I531">
        <v>99.705288999999993</v>
      </c>
      <c r="J531">
        <v>105.047881</v>
      </c>
      <c r="K531">
        <v>101.674279</v>
      </c>
      <c r="L531">
        <v>103.850509</v>
      </c>
      <c r="M531">
        <v>103.91971700000001</v>
      </c>
      <c r="N531">
        <v>104.86146599999999</v>
      </c>
      <c r="O531">
        <v>93.897980000000004</v>
      </c>
      <c r="Q531">
        <v>94.787492</v>
      </c>
      <c r="R531">
        <v>105.26861</v>
      </c>
    </row>
    <row r="532" spans="2:18">
      <c r="B532" s="27">
        <v>41813</v>
      </c>
      <c r="I532">
        <v>99.706011000000004</v>
      </c>
      <c r="J532">
        <v>105.014276</v>
      </c>
      <c r="K532">
        <v>101.65301700000001</v>
      </c>
      <c r="L532">
        <v>103.933943</v>
      </c>
      <c r="M532">
        <v>103.93455</v>
      </c>
      <c r="N532">
        <v>104.622454</v>
      </c>
      <c r="O532">
        <v>93.687042000000005</v>
      </c>
      <c r="Q532">
        <v>94.782458000000005</v>
      </c>
      <c r="R532">
        <v>104.828692</v>
      </c>
    </row>
    <row r="533" spans="2:18">
      <c r="B533" s="27">
        <v>41810</v>
      </c>
      <c r="I533">
        <v>99.700230000000005</v>
      </c>
      <c r="J533">
        <v>105.06267200000001</v>
      </c>
      <c r="K533">
        <v>101.68139499999999</v>
      </c>
      <c r="L533">
        <v>103.94009</v>
      </c>
      <c r="M533">
        <v>103.94047500000001</v>
      </c>
      <c r="N533">
        <v>104.677947</v>
      </c>
      <c r="O533">
        <v>93.475551999999993</v>
      </c>
      <c r="Q533">
        <v>94.777465000000007</v>
      </c>
      <c r="R533">
        <v>104.920529</v>
      </c>
    </row>
    <row r="534" spans="2:18">
      <c r="B534" s="27">
        <v>41809</v>
      </c>
      <c r="I534">
        <v>99.696394999999995</v>
      </c>
      <c r="J534">
        <v>105.05871500000001</v>
      </c>
      <c r="K534">
        <v>101.660365</v>
      </c>
      <c r="L534">
        <v>103.961157</v>
      </c>
      <c r="M534">
        <v>103.967883</v>
      </c>
      <c r="N534">
        <v>104.63927200000001</v>
      </c>
      <c r="O534">
        <v>93.263527999999994</v>
      </c>
      <c r="Q534">
        <v>94.772435999999999</v>
      </c>
      <c r="R534">
        <v>104.848688</v>
      </c>
    </row>
    <row r="535" spans="2:18">
      <c r="B535" s="27">
        <v>41808</v>
      </c>
      <c r="I535">
        <v>99.693584000000001</v>
      </c>
      <c r="J535">
        <v>105.05264200000001</v>
      </c>
      <c r="K535">
        <v>101.688256</v>
      </c>
      <c r="L535">
        <v>103.92388</v>
      </c>
      <c r="M535">
        <v>103.94515699999999</v>
      </c>
      <c r="N535">
        <v>104.576452</v>
      </c>
      <c r="O535">
        <v>93.053859000000003</v>
      </c>
      <c r="Q535">
        <v>94.767449999999997</v>
      </c>
      <c r="R535">
        <v>104.71749800000001</v>
      </c>
    </row>
    <row r="536" spans="2:18">
      <c r="B536" s="27">
        <v>41807</v>
      </c>
      <c r="I536">
        <v>99.682896</v>
      </c>
      <c r="J536">
        <v>105.07907</v>
      </c>
      <c r="K536">
        <v>101.697965</v>
      </c>
      <c r="L536">
        <v>103.92727600000001</v>
      </c>
      <c r="M536">
        <v>103.93410299999999</v>
      </c>
      <c r="N536">
        <v>103.761325</v>
      </c>
      <c r="O536">
        <v>92.425996999999995</v>
      </c>
      <c r="Q536">
        <v>94.752602999999993</v>
      </c>
      <c r="R536">
        <v>104.801079</v>
      </c>
    </row>
    <row r="537" spans="2:18">
      <c r="B537" s="27">
        <v>41806</v>
      </c>
      <c r="I537">
        <v>99.684150000000002</v>
      </c>
      <c r="J537">
        <v>105.067098</v>
      </c>
      <c r="K537">
        <v>101.702586</v>
      </c>
      <c r="L537">
        <v>103.976994</v>
      </c>
      <c r="M537">
        <v>103.977845</v>
      </c>
      <c r="N537">
        <v>103.689312</v>
      </c>
      <c r="O537">
        <v>92.990049999999997</v>
      </c>
      <c r="Q537">
        <v>94.747806999999995</v>
      </c>
      <c r="R537">
        <v>104.63856199999999</v>
      </c>
    </row>
    <row r="538" spans="2:18">
      <c r="B538" s="27">
        <v>41803</v>
      </c>
      <c r="I538">
        <v>99.677745000000002</v>
      </c>
      <c r="J538">
        <v>105.11048</v>
      </c>
      <c r="K538">
        <v>101.701699</v>
      </c>
      <c r="L538">
        <v>103.99767199999999</v>
      </c>
      <c r="M538">
        <v>103.991004</v>
      </c>
      <c r="N538">
        <v>103.77468500000001</v>
      </c>
      <c r="O538">
        <v>92.800621000000007</v>
      </c>
      <c r="Q538">
        <v>94.743407000000005</v>
      </c>
      <c r="R538">
        <v>104.45080299999999</v>
      </c>
    </row>
    <row r="539" spans="2:18">
      <c r="B539" s="27">
        <v>41802</v>
      </c>
      <c r="I539">
        <v>99.675351000000006</v>
      </c>
      <c r="J539">
        <v>105.096052</v>
      </c>
      <c r="K539">
        <v>101.705838</v>
      </c>
      <c r="L539">
        <v>104.062169</v>
      </c>
      <c r="M539">
        <v>104.03314</v>
      </c>
      <c r="N539">
        <v>103.728171</v>
      </c>
      <c r="O539">
        <v>92.613439</v>
      </c>
      <c r="Q539">
        <v>94.738704999999996</v>
      </c>
      <c r="R539">
        <v>104.257019</v>
      </c>
    </row>
    <row r="540" spans="2:18">
      <c r="B540" s="27">
        <v>41801</v>
      </c>
      <c r="I540">
        <v>99.660003000000003</v>
      </c>
      <c r="J540">
        <v>105.098237</v>
      </c>
      <c r="K540">
        <v>101.709745</v>
      </c>
      <c r="L540">
        <v>104.05384599999999</v>
      </c>
      <c r="M540">
        <v>104.05364299999999</v>
      </c>
      <c r="N540">
        <v>103.680753</v>
      </c>
      <c r="O540">
        <v>92.426181999999997</v>
      </c>
      <c r="Q540">
        <v>94.733908</v>
      </c>
      <c r="R540">
        <v>104.07843099999999</v>
      </c>
    </row>
    <row r="541" spans="2:18">
      <c r="B541" s="27">
        <v>41800</v>
      </c>
      <c r="I541">
        <v>99.653903999999997</v>
      </c>
      <c r="J541">
        <v>105.121443</v>
      </c>
      <c r="K541">
        <v>101.721248</v>
      </c>
      <c r="L541">
        <v>104.057524</v>
      </c>
      <c r="M541">
        <v>104.05714500000001</v>
      </c>
      <c r="N541">
        <v>103.78668399999999</v>
      </c>
      <c r="O541">
        <v>92.915615000000003</v>
      </c>
      <c r="Q541">
        <v>94.719407000000004</v>
      </c>
      <c r="R541">
        <v>104.40109200000001</v>
      </c>
    </row>
    <row r="542" spans="2:18">
      <c r="B542" s="27">
        <v>41799</v>
      </c>
      <c r="I542">
        <v>99.648814000000002</v>
      </c>
      <c r="J542">
        <v>105.11908200000001</v>
      </c>
      <c r="K542">
        <v>101.724445</v>
      </c>
      <c r="L542">
        <v>104.092754</v>
      </c>
      <c r="M542">
        <v>104.09233</v>
      </c>
      <c r="N542">
        <v>103.80956</v>
      </c>
      <c r="O542">
        <v>92.751532999999995</v>
      </c>
      <c r="Q542">
        <v>94.714200000000005</v>
      </c>
      <c r="R542">
        <v>104.26209900000001</v>
      </c>
    </row>
    <row r="543" spans="2:18">
      <c r="B543" s="27">
        <v>41796</v>
      </c>
      <c r="I543">
        <v>99.648814000000002</v>
      </c>
      <c r="J543">
        <v>105.130944</v>
      </c>
      <c r="K543">
        <v>101.724445</v>
      </c>
      <c r="L543">
        <v>104.12799</v>
      </c>
      <c r="M543">
        <v>104.134925</v>
      </c>
      <c r="N543">
        <v>103.86272599999999</v>
      </c>
      <c r="O543">
        <v>92.751532999999995</v>
      </c>
      <c r="Q543">
        <v>94.714200000000005</v>
      </c>
      <c r="R543">
        <v>104.3916</v>
      </c>
    </row>
    <row r="544" spans="2:18">
      <c r="B544" s="27">
        <v>41795</v>
      </c>
      <c r="I544">
        <v>99.646372999999997</v>
      </c>
      <c r="J544">
        <v>105.13014099999999</v>
      </c>
      <c r="K544">
        <v>101.728104</v>
      </c>
      <c r="L544">
        <v>104.177806</v>
      </c>
      <c r="M544">
        <v>104.177645</v>
      </c>
      <c r="N544">
        <v>103.81258699999999</v>
      </c>
      <c r="O544">
        <v>92.588688000000005</v>
      </c>
      <c r="Q544">
        <v>94.709331000000006</v>
      </c>
      <c r="R544">
        <v>104.33605799999999</v>
      </c>
    </row>
    <row r="545" spans="2:18">
      <c r="B545" s="27">
        <v>41794</v>
      </c>
      <c r="I545">
        <v>99.642618999999996</v>
      </c>
      <c r="J545">
        <v>105.12286899999999</v>
      </c>
      <c r="K545">
        <v>101.730385</v>
      </c>
      <c r="L545">
        <v>104.154989</v>
      </c>
      <c r="M545">
        <v>104.15446300000001</v>
      </c>
      <c r="N545">
        <v>103.758861</v>
      </c>
      <c r="O545">
        <v>92.426681000000002</v>
      </c>
      <c r="Q545">
        <v>94.704272000000003</v>
      </c>
      <c r="R545">
        <v>104.207598</v>
      </c>
    </row>
    <row r="546" spans="2:18">
      <c r="B546" s="27">
        <v>41793</v>
      </c>
      <c r="I546">
        <v>99.631998999999993</v>
      </c>
      <c r="J546">
        <v>105.17661099999999</v>
      </c>
      <c r="K546">
        <v>101.72</v>
      </c>
      <c r="L546">
        <v>104.17339800000001</v>
      </c>
      <c r="M546">
        <v>104.180176</v>
      </c>
      <c r="N546">
        <v>103.926596</v>
      </c>
      <c r="O546">
        <v>92.696213</v>
      </c>
      <c r="Q546">
        <v>94.684715999999995</v>
      </c>
      <c r="R546">
        <v>104.38074400000001</v>
      </c>
    </row>
    <row r="547" spans="2:18">
      <c r="B547" s="27">
        <v>41792</v>
      </c>
      <c r="I547">
        <v>99.630589000000001</v>
      </c>
      <c r="J547">
        <v>105.24099099999999</v>
      </c>
      <c r="K547">
        <v>101.75081400000001</v>
      </c>
      <c r="L547">
        <v>104.179575</v>
      </c>
      <c r="M547">
        <v>104.18630400000001</v>
      </c>
      <c r="N547">
        <v>104.02251</v>
      </c>
      <c r="O547">
        <v>92.553155000000004</v>
      </c>
      <c r="Q547">
        <v>94.679798000000005</v>
      </c>
      <c r="R547">
        <v>104.73513199999999</v>
      </c>
    </row>
    <row r="548" spans="2:18">
      <c r="B548" s="27">
        <v>41789</v>
      </c>
      <c r="I548">
        <v>99.625322999999995</v>
      </c>
      <c r="J548">
        <v>105.237905</v>
      </c>
      <c r="K548">
        <v>101.751924</v>
      </c>
      <c r="L548">
        <v>104.24393000000001</v>
      </c>
      <c r="M548">
        <v>104.23677499999999</v>
      </c>
      <c r="N548">
        <v>103.972801</v>
      </c>
      <c r="O548">
        <v>92.407116000000002</v>
      </c>
      <c r="Q548">
        <v>94.673771000000002</v>
      </c>
      <c r="R548">
        <v>104.69655299999999</v>
      </c>
    </row>
    <row r="549" spans="2:18">
      <c r="B549" s="27">
        <v>41788</v>
      </c>
      <c r="I549">
        <v>99.619206000000005</v>
      </c>
      <c r="J549">
        <v>105.26956300000001</v>
      </c>
      <c r="K549">
        <v>101.75292</v>
      </c>
      <c r="L549">
        <v>104.24088</v>
      </c>
      <c r="M549">
        <v>104.241119</v>
      </c>
      <c r="N549">
        <v>103.98793000000001</v>
      </c>
      <c r="O549">
        <v>92.897379000000001</v>
      </c>
      <c r="Q549">
        <v>94.669224999999997</v>
      </c>
      <c r="R549">
        <v>104.72815900000001</v>
      </c>
    </row>
    <row r="550" spans="2:18">
      <c r="B550" s="27">
        <v>41787</v>
      </c>
      <c r="I550">
        <v>99.616845999999995</v>
      </c>
      <c r="J550">
        <v>105.259095</v>
      </c>
      <c r="K550">
        <v>101.757622</v>
      </c>
      <c r="L550">
        <v>104.247073</v>
      </c>
      <c r="M550">
        <v>104.239898</v>
      </c>
      <c r="N550">
        <v>103.96147000000001</v>
      </c>
      <c r="O550">
        <v>92.767767000000006</v>
      </c>
      <c r="Q550">
        <v>94.665042999999997</v>
      </c>
      <c r="R550">
        <v>104.541084</v>
      </c>
    </row>
    <row r="551" spans="2:18">
      <c r="B551" s="27">
        <v>41786</v>
      </c>
      <c r="I551">
        <v>99.608728999999997</v>
      </c>
      <c r="J551">
        <v>105.23617299999999</v>
      </c>
      <c r="K551">
        <v>101.76874599999999</v>
      </c>
      <c r="L551">
        <v>104.215576</v>
      </c>
      <c r="M551">
        <v>104.28944799999999</v>
      </c>
      <c r="N551">
        <v>103.899833</v>
      </c>
      <c r="O551">
        <v>92.374618999999996</v>
      </c>
      <c r="Q551">
        <v>94.650762</v>
      </c>
      <c r="R551">
        <v>104.34902</v>
      </c>
    </row>
    <row r="552" spans="2:18">
      <c r="B552" s="27">
        <v>41785</v>
      </c>
      <c r="I552">
        <v>99.604769000000005</v>
      </c>
      <c r="J552">
        <v>105.300155</v>
      </c>
      <c r="K552">
        <v>101.770582</v>
      </c>
      <c r="L552">
        <v>104.31167600000001</v>
      </c>
      <c r="M552">
        <v>104.304998</v>
      </c>
      <c r="N552">
        <v>103.925281</v>
      </c>
      <c r="O552">
        <v>92.500816</v>
      </c>
      <c r="Q552">
        <v>94.645481000000004</v>
      </c>
      <c r="R552">
        <v>104.430952</v>
      </c>
    </row>
    <row r="553" spans="2:18">
      <c r="B553" s="27">
        <v>41782</v>
      </c>
      <c r="I553">
        <v>99.604264000000001</v>
      </c>
      <c r="J553">
        <v>105.278839</v>
      </c>
      <c r="K553">
        <v>101.77628</v>
      </c>
      <c r="L553">
        <v>104.31167600000001</v>
      </c>
      <c r="M553">
        <v>104.311251</v>
      </c>
      <c r="N553">
        <v>103.92503000000001</v>
      </c>
      <c r="O553">
        <v>92.375933000000003</v>
      </c>
      <c r="Q553">
        <v>94.641153000000003</v>
      </c>
      <c r="R553">
        <v>104.34004899999999</v>
      </c>
    </row>
    <row r="554" spans="2:18">
      <c r="B554" s="27">
        <v>41781</v>
      </c>
      <c r="I554">
        <v>99.584998999999996</v>
      </c>
      <c r="J554">
        <v>105.31723</v>
      </c>
      <c r="K554">
        <v>101.777502</v>
      </c>
      <c r="L554">
        <v>104.302496</v>
      </c>
      <c r="M554">
        <v>104.308165</v>
      </c>
      <c r="N554">
        <v>103.904562</v>
      </c>
      <c r="O554">
        <v>93.042406999999997</v>
      </c>
      <c r="Q554">
        <v>94.635097999999999</v>
      </c>
      <c r="R554">
        <v>104.32106899999999</v>
      </c>
    </row>
    <row r="555" spans="2:18">
      <c r="B555" s="27">
        <v>41780</v>
      </c>
      <c r="I555">
        <v>99.582998000000003</v>
      </c>
      <c r="J555">
        <v>105.311938</v>
      </c>
      <c r="K555">
        <v>101.754497</v>
      </c>
      <c r="L555">
        <v>104.323773</v>
      </c>
      <c r="M555">
        <v>104.321888</v>
      </c>
      <c r="N555">
        <v>103.996861</v>
      </c>
      <c r="O555">
        <v>92.930909</v>
      </c>
      <c r="Q555">
        <v>94.631718000000006</v>
      </c>
      <c r="R555">
        <v>104.65566800000001</v>
      </c>
    </row>
    <row r="556" spans="2:18">
      <c r="B556" s="27">
        <v>41779</v>
      </c>
      <c r="I556">
        <v>99.571635000000001</v>
      </c>
      <c r="J556">
        <v>105.330535</v>
      </c>
      <c r="K556">
        <v>101.79101300000001</v>
      </c>
      <c r="L556">
        <v>104.363913</v>
      </c>
      <c r="M556">
        <v>104.355678</v>
      </c>
      <c r="N556">
        <v>103.934432</v>
      </c>
      <c r="O556">
        <v>92.591350000000006</v>
      </c>
      <c r="Q556">
        <v>94.617028000000005</v>
      </c>
      <c r="R556">
        <v>104.388671</v>
      </c>
    </row>
    <row r="557" spans="2:18">
      <c r="B557" s="27">
        <v>41778</v>
      </c>
      <c r="I557">
        <v>99.572608000000002</v>
      </c>
      <c r="J557">
        <v>105.34939</v>
      </c>
      <c r="K557">
        <v>101.79879800000001</v>
      </c>
      <c r="L557">
        <v>104.354928</v>
      </c>
      <c r="M557">
        <v>104.354428</v>
      </c>
      <c r="N557">
        <v>103.93659599999999</v>
      </c>
      <c r="O557">
        <v>92.479011999999997</v>
      </c>
      <c r="Q557">
        <v>94.612870999999998</v>
      </c>
      <c r="R557">
        <v>104.555465</v>
      </c>
    </row>
    <row r="558" spans="2:18">
      <c r="B558" s="27">
        <v>41775</v>
      </c>
      <c r="I558">
        <v>99.568578000000002</v>
      </c>
      <c r="J558">
        <v>105.333686</v>
      </c>
      <c r="K558">
        <v>101.79971</v>
      </c>
      <c r="L558">
        <v>104.315603</v>
      </c>
      <c r="M558">
        <v>104.33055</v>
      </c>
      <c r="N558">
        <v>104.08035</v>
      </c>
      <c r="O558">
        <v>92.362497000000005</v>
      </c>
      <c r="Q558">
        <v>94.606030000000004</v>
      </c>
      <c r="R558">
        <v>104.381913</v>
      </c>
    </row>
    <row r="559" spans="2:18">
      <c r="B559" s="27">
        <v>41774</v>
      </c>
      <c r="I559">
        <v>99.561897000000002</v>
      </c>
      <c r="J559">
        <v>105.34584599999999</v>
      </c>
      <c r="K559">
        <v>101.805992</v>
      </c>
      <c r="L559">
        <v>104.336868</v>
      </c>
      <c r="M559">
        <v>104.329228</v>
      </c>
      <c r="N559">
        <v>104.058108</v>
      </c>
      <c r="O559">
        <v>92.358722999999998</v>
      </c>
      <c r="Q559">
        <v>94.600786999999997</v>
      </c>
      <c r="R559">
        <v>104.211986</v>
      </c>
    </row>
    <row r="560" spans="2:18">
      <c r="B560" s="27">
        <v>41773</v>
      </c>
      <c r="I560">
        <v>99.545407999999995</v>
      </c>
      <c r="J560">
        <v>105.357001</v>
      </c>
      <c r="K560">
        <v>101.8087</v>
      </c>
      <c r="L560">
        <v>104.327921</v>
      </c>
      <c r="M560">
        <v>104.34299799999999</v>
      </c>
      <c r="N560">
        <v>104.150543</v>
      </c>
      <c r="O560">
        <v>92.840269000000006</v>
      </c>
      <c r="Q560">
        <v>94.596539000000007</v>
      </c>
      <c r="R560">
        <v>104.20045</v>
      </c>
    </row>
    <row r="561" spans="2:18">
      <c r="B561" s="27">
        <v>41772</v>
      </c>
      <c r="I561">
        <v>99.536685000000006</v>
      </c>
      <c r="J561">
        <v>105.368431</v>
      </c>
      <c r="K561">
        <v>101.820409</v>
      </c>
      <c r="L561">
        <v>104.30099199999999</v>
      </c>
      <c r="M561">
        <v>104.308571</v>
      </c>
      <c r="N561">
        <v>104.05549000000001</v>
      </c>
      <c r="O561">
        <v>92.532758000000001</v>
      </c>
      <c r="Q561">
        <v>94.582430000000002</v>
      </c>
      <c r="R561">
        <v>103.968771</v>
      </c>
    </row>
    <row r="562" spans="2:18">
      <c r="B562" s="27">
        <v>41771</v>
      </c>
      <c r="I562">
        <v>99.535543000000004</v>
      </c>
      <c r="J562">
        <v>105.38141899999999</v>
      </c>
      <c r="K562">
        <v>101.812433</v>
      </c>
      <c r="L562">
        <v>104.291999</v>
      </c>
      <c r="M562">
        <v>104.307129</v>
      </c>
      <c r="N562">
        <v>104.221722</v>
      </c>
      <c r="O562">
        <v>92.432715999999999</v>
      </c>
      <c r="Q562">
        <v>94.578750999999997</v>
      </c>
      <c r="R562">
        <v>103.937482</v>
      </c>
    </row>
    <row r="563" spans="2:18">
      <c r="B563" s="27">
        <v>41768</v>
      </c>
      <c r="I563">
        <v>99.534484000000006</v>
      </c>
      <c r="J563">
        <v>105.38227500000001</v>
      </c>
      <c r="K563">
        <v>101.83042500000001</v>
      </c>
      <c r="L563">
        <v>104.328531</v>
      </c>
      <c r="M563">
        <v>104.320875</v>
      </c>
      <c r="N563">
        <v>104.053017</v>
      </c>
      <c r="O563">
        <v>92.331873000000002</v>
      </c>
      <c r="Q563">
        <v>94.575143999999995</v>
      </c>
      <c r="R563">
        <v>103.944397</v>
      </c>
    </row>
    <row r="564" spans="2:18">
      <c r="B564" s="27">
        <v>41767</v>
      </c>
      <c r="I564">
        <v>99.526280999999997</v>
      </c>
      <c r="J564">
        <v>105.392405</v>
      </c>
      <c r="K564">
        <v>101.819543</v>
      </c>
      <c r="L564">
        <v>104.31962</v>
      </c>
      <c r="M564">
        <v>104.319413</v>
      </c>
      <c r="N564">
        <v>104.00479900000001</v>
      </c>
      <c r="O564">
        <v>92.744166000000007</v>
      </c>
      <c r="Q564">
        <v>94.569366000000002</v>
      </c>
      <c r="R564">
        <v>103.83129700000001</v>
      </c>
    </row>
    <row r="565" spans="2:18">
      <c r="B565" s="27">
        <v>41766</v>
      </c>
      <c r="I565">
        <v>99.520199000000005</v>
      </c>
      <c r="J565">
        <v>105.43660199999999</v>
      </c>
      <c r="K565">
        <v>101.838348</v>
      </c>
      <c r="L565">
        <v>104.295535</v>
      </c>
      <c r="M565">
        <v>104.30268</v>
      </c>
      <c r="N565">
        <v>104.12881899999999</v>
      </c>
      <c r="O565">
        <v>92.650555999999995</v>
      </c>
      <c r="Q565">
        <v>94.565442000000004</v>
      </c>
      <c r="R565">
        <v>104.08283299999999</v>
      </c>
    </row>
    <row r="566" spans="2:18">
      <c r="B566" s="27">
        <v>41765</v>
      </c>
      <c r="I566">
        <v>99.511709999999994</v>
      </c>
      <c r="J566">
        <v>105.446037</v>
      </c>
      <c r="K566">
        <v>101.849261</v>
      </c>
      <c r="L566">
        <v>104.268388</v>
      </c>
      <c r="M566">
        <v>104.275091</v>
      </c>
      <c r="N566">
        <v>104.074164</v>
      </c>
      <c r="O566">
        <v>92.365431999999998</v>
      </c>
      <c r="Q566">
        <v>94.551717999999994</v>
      </c>
      <c r="R566">
        <v>103.88434700000001</v>
      </c>
    </row>
    <row r="567" spans="2:18">
      <c r="B567" s="27">
        <v>41764</v>
      </c>
      <c r="I567">
        <v>99.505709999999993</v>
      </c>
      <c r="J567">
        <v>105.459551</v>
      </c>
      <c r="K567">
        <v>101.810256</v>
      </c>
      <c r="L567">
        <v>104.28975199999999</v>
      </c>
      <c r="M567">
        <v>104.29646700000001</v>
      </c>
      <c r="N567">
        <v>104.088014</v>
      </c>
      <c r="O567">
        <v>92.267525000000006</v>
      </c>
      <c r="Q567">
        <v>94.545226</v>
      </c>
      <c r="R567">
        <v>103.8689</v>
      </c>
    </row>
    <row r="568" spans="2:18">
      <c r="B568" s="27">
        <v>41761</v>
      </c>
      <c r="I568">
        <v>99.498576</v>
      </c>
      <c r="J568">
        <v>105.43735</v>
      </c>
      <c r="K568">
        <v>101.842082</v>
      </c>
      <c r="L568">
        <v>104.280756</v>
      </c>
      <c r="M568">
        <v>104.26609000000001</v>
      </c>
      <c r="N568">
        <v>103.814286</v>
      </c>
      <c r="O568">
        <v>92.265677999999994</v>
      </c>
      <c r="Q568">
        <v>94.540799000000007</v>
      </c>
      <c r="R568">
        <v>103.588556</v>
      </c>
    </row>
    <row r="569" spans="2:18">
      <c r="B569" s="27">
        <v>41760</v>
      </c>
      <c r="I569">
        <v>99.502627000000004</v>
      </c>
      <c r="J569">
        <v>105.44838300000001</v>
      </c>
      <c r="K569">
        <v>101.84712399999999</v>
      </c>
      <c r="L569">
        <v>104.33264699999999</v>
      </c>
      <c r="M569">
        <v>104.325906</v>
      </c>
      <c r="N569">
        <v>103.836669</v>
      </c>
      <c r="O569">
        <v>92.625478999999999</v>
      </c>
      <c r="Q569">
        <v>94.537672000000001</v>
      </c>
      <c r="R569">
        <v>103.52836499999999</v>
      </c>
    </row>
    <row r="570" spans="2:18">
      <c r="B570" s="27">
        <v>41759</v>
      </c>
      <c r="I570">
        <v>99.497893000000005</v>
      </c>
      <c r="J570">
        <v>105.446764</v>
      </c>
      <c r="K570">
        <v>101.849113</v>
      </c>
      <c r="L570">
        <v>104.32369300000001</v>
      </c>
      <c r="M570">
        <v>104.302847</v>
      </c>
      <c r="N570">
        <v>103.770217</v>
      </c>
      <c r="O570">
        <v>92.534339000000003</v>
      </c>
      <c r="Q570">
        <v>94.532315999999994</v>
      </c>
      <c r="R570">
        <v>103.44861</v>
      </c>
    </row>
    <row r="571" spans="2:18">
      <c r="B571" s="27">
        <v>41758</v>
      </c>
      <c r="I571">
        <v>99.488230999999999</v>
      </c>
      <c r="J571">
        <v>105.504577</v>
      </c>
      <c r="K571">
        <v>101.873856</v>
      </c>
      <c r="L571">
        <v>104.281323</v>
      </c>
      <c r="M571">
        <v>104.27043999999999</v>
      </c>
      <c r="N571">
        <v>103.74673799999999</v>
      </c>
      <c r="O571">
        <v>92.269005000000007</v>
      </c>
      <c r="Q571">
        <v>94.517799999999994</v>
      </c>
      <c r="R571">
        <v>103.343357</v>
      </c>
    </row>
    <row r="572" spans="2:18">
      <c r="B572" s="27">
        <v>41757</v>
      </c>
      <c r="I572">
        <v>99.487853999999999</v>
      </c>
      <c r="J572">
        <v>105.480259</v>
      </c>
      <c r="K572">
        <v>101.84938699999999</v>
      </c>
      <c r="L572">
        <v>104.30253399999999</v>
      </c>
      <c r="M572">
        <v>104.303929</v>
      </c>
      <c r="N572">
        <v>103.776533</v>
      </c>
      <c r="O572">
        <v>92.341345000000004</v>
      </c>
      <c r="Q572">
        <v>94.512737000000001</v>
      </c>
      <c r="R572">
        <v>103.438332</v>
      </c>
    </row>
    <row r="573" spans="2:18">
      <c r="B573" s="27">
        <v>41754</v>
      </c>
      <c r="I573">
        <v>99.481943000000001</v>
      </c>
      <c r="J573">
        <v>105.533822</v>
      </c>
      <c r="K573">
        <v>101.851721</v>
      </c>
      <c r="L573">
        <v>104.30856</v>
      </c>
      <c r="M573">
        <v>104.316001</v>
      </c>
      <c r="N573">
        <v>103.862118</v>
      </c>
      <c r="O573">
        <v>92.241390999999993</v>
      </c>
      <c r="Q573">
        <v>94.506930999999994</v>
      </c>
      <c r="R573">
        <v>103.336921</v>
      </c>
    </row>
    <row r="574" spans="2:18">
      <c r="B574" s="27">
        <v>41753</v>
      </c>
      <c r="I574">
        <v>99.481943000000001</v>
      </c>
      <c r="J574">
        <v>105.515107</v>
      </c>
      <c r="K574">
        <v>101.851721</v>
      </c>
      <c r="L574">
        <v>104.29933800000001</v>
      </c>
      <c r="M574">
        <v>104.29101</v>
      </c>
      <c r="N574">
        <v>103.80577599999999</v>
      </c>
      <c r="O574">
        <v>92.241390999999993</v>
      </c>
      <c r="Q574">
        <v>94.491442000000006</v>
      </c>
      <c r="R574">
        <v>103.193511</v>
      </c>
    </row>
    <row r="575" spans="2:18">
      <c r="B575" s="27">
        <v>41752</v>
      </c>
      <c r="I575">
        <v>99.485028999999997</v>
      </c>
      <c r="J575">
        <v>105.481537</v>
      </c>
      <c r="K575">
        <v>101.88349700000001</v>
      </c>
      <c r="L575">
        <v>104.305345</v>
      </c>
      <c r="M575">
        <v>104.320308</v>
      </c>
      <c r="N575">
        <v>103.75260299999999</v>
      </c>
      <c r="O575">
        <v>94.617339000000001</v>
      </c>
      <c r="Q575">
        <v>94.486592000000002</v>
      </c>
      <c r="R575">
        <v>103.27372099999999</v>
      </c>
    </row>
    <row r="576" spans="2:18">
      <c r="B576" s="27">
        <v>41751</v>
      </c>
      <c r="I576">
        <v>99.474715000000003</v>
      </c>
      <c r="J576">
        <v>105.458133</v>
      </c>
      <c r="K576">
        <v>101.888547</v>
      </c>
      <c r="L576">
        <v>104.30803899999999</v>
      </c>
      <c r="M576">
        <v>104.40668100000001</v>
      </c>
      <c r="N576">
        <v>103.636385</v>
      </c>
      <c r="O576">
        <v>94.559394999999995</v>
      </c>
      <c r="Q576">
        <v>94.483493999999993</v>
      </c>
      <c r="R576">
        <v>103.040363</v>
      </c>
    </row>
    <row r="577" spans="2:18">
      <c r="B577" s="27">
        <v>41750</v>
      </c>
      <c r="I577">
        <v>99.446630999999996</v>
      </c>
      <c r="J577">
        <v>105.51514899999999</v>
      </c>
      <c r="K577">
        <v>101.903283</v>
      </c>
      <c r="L577">
        <v>104.435919</v>
      </c>
      <c r="M577">
        <v>104.43626399999999</v>
      </c>
      <c r="N577">
        <v>103.648608</v>
      </c>
      <c r="O577">
        <v>94.331266999999997</v>
      </c>
      <c r="Q577">
        <v>94.477058</v>
      </c>
      <c r="R577">
        <v>103.13027200000001</v>
      </c>
    </row>
    <row r="578" spans="2:18">
      <c r="B578" s="27">
        <v>41747</v>
      </c>
      <c r="I578">
        <v>99.446630999999996</v>
      </c>
      <c r="J578">
        <v>105.51514899999999</v>
      </c>
      <c r="K578">
        <v>101.903283</v>
      </c>
      <c r="M578">
        <v>104.420624</v>
      </c>
      <c r="N578">
        <v>103.648608</v>
      </c>
      <c r="O578">
        <v>94.331266999999997</v>
      </c>
      <c r="Q578">
        <v>94.477058</v>
      </c>
      <c r="R578">
        <v>103.13165499999999</v>
      </c>
    </row>
    <row r="579" spans="2:18">
      <c r="B579" s="27">
        <v>41746</v>
      </c>
      <c r="I579">
        <v>99.446630999999996</v>
      </c>
      <c r="J579">
        <v>105.53065100000001</v>
      </c>
      <c r="K579">
        <v>101.903283</v>
      </c>
      <c r="L579">
        <v>104.426295</v>
      </c>
      <c r="M579">
        <v>104.420624</v>
      </c>
      <c r="N579">
        <v>103.704401</v>
      </c>
      <c r="O579">
        <v>94.331266999999997</v>
      </c>
      <c r="Q579">
        <v>94.477058</v>
      </c>
      <c r="R579">
        <v>103.263222</v>
      </c>
    </row>
    <row r="580" spans="2:18">
      <c r="B580" s="27">
        <v>41745</v>
      </c>
      <c r="I580">
        <v>99.457982999999999</v>
      </c>
      <c r="J580">
        <v>105.528716</v>
      </c>
      <c r="K580">
        <v>101.90826</v>
      </c>
      <c r="L580">
        <v>104.479969</v>
      </c>
      <c r="M580">
        <v>104.465918</v>
      </c>
      <c r="N580">
        <v>103.631561</v>
      </c>
      <c r="O580">
        <v>94.271079999999998</v>
      </c>
      <c r="Q580">
        <v>94.470483000000002</v>
      </c>
      <c r="R580">
        <v>103.158709</v>
      </c>
    </row>
    <row r="581" spans="2:18">
      <c r="B581" s="27">
        <v>41744</v>
      </c>
      <c r="I581">
        <v>99.454537000000002</v>
      </c>
      <c r="J581">
        <v>105.52860699999999</v>
      </c>
      <c r="K581">
        <v>101.904188</v>
      </c>
      <c r="L581">
        <v>104.48617</v>
      </c>
      <c r="M581">
        <v>104.50349199999999</v>
      </c>
      <c r="N581">
        <v>103.54955099999999</v>
      </c>
      <c r="O581">
        <v>94.210909999999998</v>
      </c>
      <c r="Q581">
        <v>94.468620999999999</v>
      </c>
      <c r="R581">
        <v>103.019267</v>
      </c>
    </row>
    <row r="582" spans="2:18">
      <c r="B582" s="27">
        <v>41743</v>
      </c>
      <c r="I582">
        <v>99.418041000000002</v>
      </c>
      <c r="J582">
        <v>105.562782</v>
      </c>
      <c r="K582">
        <v>101.948806</v>
      </c>
      <c r="L582">
        <v>104.52681</v>
      </c>
      <c r="M582">
        <v>104.51097300000001</v>
      </c>
      <c r="N582">
        <v>103.576089</v>
      </c>
      <c r="O582">
        <v>94.268122000000005</v>
      </c>
      <c r="Q582">
        <v>94.453508999999997</v>
      </c>
      <c r="R582">
        <v>102.967885</v>
      </c>
    </row>
    <row r="583" spans="2:18">
      <c r="B583" s="27">
        <v>41740</v>
      </c>
      <c r="I583">
        <v>99.437866999999997</v>
      </c>
      <c r="J583">
        <v>105.590413</v>
      </c>
      <c r="K583">
        <v>101.924812</v>
      </c>
      <c r="L583">
        <v>104.54883599999999</v>
      </c>
      <c r="M583">
        <v>104.564651</v>
      </c>
      <c r="N583">
        <v>103.63951900000001</v>
      </c>
      <c r="O583">
        <v>94.211101999999997</v>
      </c>
      <c r="Q583">
        <v>94.448126999999999</v>
      </c>
      <c r="R583">
        <v>102.92797299999999</v>
      </c>
    </row>
    <row r="584" spans="2:18">
      <c r="B584" s="27">
        <v>41739</v>
      </c>
      <c r="I584">
        <v>99.432486999999995</v>
      </c>
      <c r="J584">
        <v>105.558227</v>
      </c>
      <c r="K584">
        <v>101.914648</v>
      </c>
      <c r="L584">
        <v>104.57073</v>
      </c>
      <c r="M584">
        <v>104.57092299999999</v>
      </c>
      <c r="N584">
        <v>103.592595</v>
      </c>
      <c r="O584">
        <v>94.404092000000006</v>
      </c>
      <c r="Q584">
        <v>94.442149000000001</v>
      </c>
      <c r="R584">
        <v>102.797977</v>
      </c>
    </row>
    <row r="585" spans="2:18">
      <c r="B585" s="27">
        <v>41738</v>
      </c>
      <c r="I585">
        <v>99.428195000000002</v>
      </c>
      <c r="J585">
        <v>105.597143</v>
      </c>
      <c r="K585">
        <v>101.937443</v>
      </c>
      <c r="L585">
        <v>104.545148</v>
      </c>
      <c r="M585">
        <v>104.465935</v>
      </c>
      <c r="N585">
        <v>103.565579</v>
      </c>
      <c r="O585">
        <v>94.349839000000003</v>
      </c>
      <c r="Q585">
        <v>94.436125000000004</v>
      </c>
      <c r="R585">
        <v>102.822557</v>
      </c>
    </row>
    <row r="586" spans="2:18">
      <c r="B586" s="27">
        <v>41737</v>
      </c>
      <c r="I586">
        <v>99.352356</v>
      </c>
      <c r="J586">
        <v>105.628252</v>
      </c>
      <c r="K586">
        <v>101.91725700000001</v>
      </c>
      <c r="L586">
        <v>104.499832</v>
      </c>
      <c r="M586">
        <v>104.491558</v>
      </c>
      <c r="N586">
        <v>103.620068</v>
      </c>
      <c r="O586">
        <v>94.186910999999995</v>
      </c>
      <c r="Q586">
        <v>93.557274000000007</v>
      </c>
      <c r="R586">
        <v>102.772361</v>
      </c>
    </row>
    <row r="587" spans="2:18">
      <c r="B587" s="27">
        <v>41736</v>
      </c>
      <c r="I587">
        <v>99.347652999999994</v>
      </c>
      <c r="J587">
        <v>105.635402</v>
      </c>
      <c r="K587">
        <v>101.921193</v>
      </c>
      <c r="L587">
        <v>104.57123300000001</v>
      </c>
      <c r="M587">
        <v>104.50542900000001</v>
      </c>
      <c r="N587">
        <v>103.627472</v>
      </c>
      <c r="O587">
        <v>94.181291999999999</v>
      </c>
      <c r="Q587">
        <v>93.578543999999994</v>
      </c>
      <c r="R587">
        <v>102.782933</v>
      </c>
    </row>
    <row r="588" spans="2:18">
      <c r="B588" s="27">
        <v>41733</v>
      </c>
      <c r="I588">
        <v>99.343310000000002</v>
      </c>
      <c r="J588">
        <v>105.628919</v>
      </c>
      <c r="K588">
        <v>101.884282</v>
      </c>
      <c r="L588">
        <v>104.561021</v>
      </c>
      <c r="M588">
        <v>104.487399</v>
      </c>
      <c r="N588">
        <v>103.488169</v>
      </c>
      <c r="O588">
        <v>95.838941000000005</v>
      </c>
      <c r="Q588">
        <v>93.572411000000002</v>
      </c>
      <c r="R588">
        <v>102.57921</v>
      </c>
    </row>
    <row r="589" spans="2:18">
      <c r="B589" s="27">
        <v>41732</v>
      </c>
      <c r="I589">
        <v>99.373270000000005</v>
      </c>
      <c r="J589">
        <v>105.75202899999999</v>
      </c>
      <c r="K589">
        <v>102.048286</v>
      </c>
      <c r="L589">
        <v>104.485569</v>
      </c>
      <c r="M589">
        <v>104.407425</v>
      </c>
      <c r="N589">
        <v>103.716711</v>
      </c>
      <c r="O589">
        <v>95.801575</v>
      </c>
      <c r="Q589">
        <v>93.566244999999995</v>
      </c>
      <c r="R589">
        <v>102.382384</v>
      </c>
    </row>
    <row r="590" spans="2:18">
      <c r="B590" s="27">
        <v>41731</v>
      </c>
      <c r="I590">
        <v>99.373459999999994</v>
      </c>
      <c r="J590">
        <v>105.766563</v>
      </c>
      <c r="K590">
        <v>102.054179</v>
      </c>
      <c r="L590">
        <v>104.47541</v>
      </c>
      <c r="M590">
        <v>104.40519500000001</v>
      </c>
      <c r="N590">
        <v>103.698736</v>
      </c>
      <c r="O590">
        <v>95.763065999999995</v>
      </c>
      <c r="Q590">
        <v>93.560378</v>
      </c>
      <c r="R590">
        <v>102.429614</v>
      </c>
    </row>
    <row r="591" spans="2:18">
      <c r="B591" s="27">
        <v>41730</v>
      </c>
      <c r="I591">
        <v>99.357919999999993</v>
      </c>
      <c r="J591">
        <v>105.79774399999999</v>
      </c>
      <c r="K591">
        <v>102.068691</v>
      </c>
      <c r="L591">
        <v>104.54308</v>
      </c>
      <c r="M591">
        <v>104.47062099999999</v>
      </c>
      <c r="N591">
        <v>103.718368</v>
      </c>
      <c r="O591">
        <v>95.648351000000005</v>
      </c>
      <c r="Q591">
        <v>93.542400000000001</v>
      </c>
      <c r="R591">
        <v>102.538836</v>
      </c>
    </row>
    <row r="592" spans="2:18">
      <c r="B592" s="27">
        <v>41729</v>
      </c>
      <c r="I592">
        <v>99.371526000000003</v>
      </c>
      <c r="J592">
        <v>105.80870899999999</v>
      </c>
      <c r="K592">
        <v>102.060952</v>
      </c>
      <c r="L592">
        <v>104.56596399999999</v>
      </c>
      <c r="M592">
        <v>104.48448399999999</v>
      </c>
      <c r="N592">
        <v>103.728447</v>
      </c>
      <c r="O592">
        <v>95.607397000000006</v>
      </c>
      <c r="Q592">
        <v>93.538466</v>
      </c>
      <c r="R592">
        <v>102.698948</v>
      </c>
    </row>
    <row r="593" spans="2:18">
      <c r="B593" s="27">
        <v>41726</v>
      </c>
      <c r="I593">
        <v>99.360248999999996</v>
      </c>
      <c r="J593">
        <v>105.825902</v>
      </c>
      <c r="K593">
        <v>102.069463</v>
      </c>
      <c r="L593">
        <v>104.52268100000001</v>
      </c>
      <c r="M593">
        <v>104.442013</v>
      </c>
      <c r="N593">
        <v>103.73964599999999</v>
      </c>
      <c r="O593">
        <v>95.597458000000003</v>
      </c>
      <c r="Q593">
        <v>93.505618999999996</v>
      </c>
      <c r="R593">
        <v>102.630239</v>
      </c>
    </row>
    <row r="594" spans="2:18">
      <c r="B594" s="27">
        <v>41725</v>
      </c>
      <c r="I594">
        <v>99.357443000000004</v>
      </c>
      <c r="J594">
        <v>105.60333199999999</v>
      </c>
      <c r="K594">
        <v>102.071648</v>
      </c>
      <c r="L594">
        <v>104.529956</v>
      </c>
      <c r="M594">
        <v>104.45583999999999</v>
      </c>
      <c r="N594">
        <v>103.72674600000001</v>
      </c>
      <c r="O594">
        <v>95.593117000000007</v>
      </c>
      <c r="Q594">
        <v>93.500230999999999</v>
      </c>
      <c r="R594">
        <v>102.481413</v>
      </c>
    </row>
    <row r="595" spans="2:18">
      <c r="B595" s="27">
        <v>41724</v>
      </c>
      <c r="I595">
        <v>99.354034999999996</v>
      </c>
      <c r="J595">
        <v>105.563226</v>
      </c>
      <c r="K595">
        <v>102.080569</v>
      </c>
      <c r="L595">
        <v>104.537654</v>
      </c>
      <c r="M595">
        <v>104.45455200000001</v>
      </c>
      <c r="N595">
        <v>103.671041</v>
      </c>
      <c r="O595">
        <v>95.588224999999994</v>
      </c>
      <c r="Q595">
        <v>93.521073000000001</v>
      </c>
      <c r="R595">
        <v>102.52479</v>
      </c>
    </row>
    <row r="596" spans="2:18">
      <c r="B596" s="27">
        <v>41723</v>
      </c>
      <c r="I596">
        <v>99.350527999999997</v>
      </c>
      <c r="J596">
        <v>105.610249</v>
      </c>
      <c r="K596">
        <v>102.084221</v>
      </c>
      <c r="L596">
        <v>104.51549799999999</v>
      </c>
      <c r="M596">
        <v>104.52377799999999</v>
      </c>
      <c r="N596">
        <v>103.703039</v>
      </c>
      <c r="O596">
        <v>95.586049000000003</v>
      </c>
      <c r="Q596">
        <v>93.503001999999995</v>
      </c>
      <c r="R596">
        <v>102.426232</v>
      </c>
    </row>
    <row r="597" spans="2:18">
      <c r="B597" s="27">
        <v>41722</v>
      </c>
      <c r="I597">
        <v>99.348219</v>
      </c>
      <c r="J597">
        <v>105.59854300000001</v>
      </c>
      <c r="K597">
        <v>102.08832099999999</v>
      </c>
      <c r="L597">
        <v>104.488817</v>
      </c>
      <c r="M597">
        <v>104.48098899999999</v>
      </c>
      <c r="N597">
        <v>103.599762</v>
      </c>
      <c r="O597">
        <v>95.583534999999998</v>
      </c>
      <c r="Q597">
        <v>93.497515000000007</v>
      </c>
      <c r="R597">
        <v>102.29169899999999</v>
      </c>
    </row>
    <row r="598" spans="2:18">
      <c r="B598" s="27">
        <v>41719</v>
      </c>
      <c r="I598">
        <v>99.336168000000001</v>
      </c>
      <c r="J598">
        <v>105.690281</v>
      </c>
      <c r="K598">
        <v>102.091292</v>
      </c>
      <c r="L598">
        <v>104.511681</v>
      </c>
      <c r="M598">
        <v>104.53548000000001</v>
      </c>
      <c r="N598">
        <v>103.798317</v>
      </c>
      <c r="O598">
        <v>95.568607</v>
      </c>
      <c r="Q598">
        <v>93.492171999999997</v>
      </c>
      <c r="R598">
        <v>102.45443400000001</v>
      </c>
    </row>
    <row r="599" spans="2:18">
      <c r="B599" s="27">
        <v>41718</v>
      </c>
      <c r="I599">
        <v>99.334456000000003</v>
      </c>
      <c r="J599">
        <v>105.712244</v>
      </c>
      <c r="K599">
        <v>102.096024</v>
      </c>
      <c r="L599">
        <v>104.51908899999999</v>
      </c>
      <c r="M599">
        <v>104.518975</v>
      </c>
      <c r="N599">
        <v>103.885273</v>
      </c>
      <c r="O599">
        <v>95.564082999999997</v>
      </c>
      <c r="Q599">
        <v>93.486546000000004</v>
      </c>
      <c r="R599">
        <v>102.876154</v>
      </c>
    </row>
    <row r="600" spans="2:18">
      <c r="B600" s="27">
        <v>41717</v>
      </c>
      <c r="I600">
        <v>99.330338999999995</v>
      </c>
      <c r="J600">
        <v>105.701108</v>
      </c>
      <c r="K600">
        <v>102.09894199999999</v>
      </c>
      <c r="L600">
        <v>104.541905</v>
      </c>
      <c r="M600">
        <v>104.632721</v>
      </c>
      <c r="N600">
        <v>103.872567</v>
      </c>
      <c r="O600">
        <v>95.557996000000003</v>
      </c>
      <c r="Q600">
        <v>93.481185999999994</v>
      </c>
      <c r="R600">
        <v>102.39316100000001</v>
      </c>
    </row>
    <row r="601" spans="2:18">
      <c r="B601" s="27">
        <v>41716</v>
      </c>
      <c r="I601">
        <v>99.326772000000005</v>
      </c>
      <c r="J601">
        <v>105.748429</v>
      </c>
      <c r="K601">
        <v>102.109753</v>
      </c>
      <c r="L601">
        <v>104.752898</v>
      </c>
      <c r="M601">
        <v>104.71612500000001</v>
      </c>
      <c r="N601">
        <v>104.053354</v>
      </c>
      <c r="O601">
        <v>95.553619999999995</v>
      </c>
      <c r="Q601">
        <v>93.464585999999997</v>
      </c>
      <c r="R601">
        <v>102.71490799999999</v>
      </c>
    </row>
    <row r="602" spans="2:18">
      <c r="B602" s="27">
        <v>41715</v>
      </c>
      <c r="I602">
        <v>99.327288999999993</v>
      </c>
      <c r="J602">
        <v>105.82980000000001</v>
      </c>
      <c r="K602">
        <v>102.03803000000001</v>
      </c>
      <c r="L602">
        <v>104.74171</v>
      </c>
      <c r="M602">
        <v>104.71398499999999</v>
      </c>
      <c r="N602">
        <v>104.15194700000001</v>
      </c>
      <c r="O602">
        <v>95.551021000000006</v>
      </c>
      <c r="Q602">
        <v>93.459136999999998</v>
      </c>
      <c r="R602">
        <v>102.625773</v>
      </c>
    </row>
    <row r="603" spans="2:18">
      <c r="B603" s="27">
        <v>41712</v>
      </c>
      <c r="I603">
        <v>99.314027999999993</v>
      </c>
      <c r="J603">
        <v>105.78663899999999</v>
      </c>
      <c r="K603">
        <v>102.040999</v>
      </c>
      <c r="L603">
        <v>104.782032</v>
      </c>
      <c r="M603">
        <v>104.754262</v>
      </c>
      <c r="N603">
        <v>103.88321000000001</v>
      </c>
      <c r="O603">
        <v>95.544212999999999</v>
      </c>
      <c r="Q603">
        <v>93.452680000000001</v>
      </c>
      <c r="R603">
        <v>102.291715</v>
      </c>
    </row>
    <row r="604" spans="2:18">
      <c r="B604" s="27">
        <v>41711</v>
      </c>
      <c r="I604">
        <v>99.312630999999996</v>
      </c>
      <c r="J604">
        <v>105.860922</v>
      </c>
      <c r="K604">
        <v>102.059685</v>
      </c>
      <c r="L604">
        <v>104.787711</v>
      </c>
      <c r="M604">
        <v>104.744646</v>
      </c>
      <c r="N604">
        <v>104.01138400000001</v>
      </c>
      <c r="O604">
        <v>95.538155000000003</v>
      </c>
      <c r="Q604">
        <v>93.447215999999997</v>
      </c>
      <c r="R604">
        <v>102.464325</v>
      </c>
    </row>
    <row r="605" spans="2:18">
      <c r="B605" s="27">
        <v>41710</v>
      </c>
      <c r="I605">
        <v>99.308030000000002</v>
      </c>
      <c r="J605">
        <v>105.80451499999999</v>
      </c>
      <c r="K605">
        <v>102.04867</v>
      </c>
      <c r="L605">
        <v>104.74235299999999</v>
      </c>
      <c r="M605">
        <v>104.701606</v>
      </c>
      <c r="N605">
        <v>103.89923</v>
      </c>
      <c r="O605">
        <v>95.534463000000002</v>
      </c>
      <c r="Q605">
        <v>93.441748000000004</v>
      </c>
      <c r="R605">
        <v>102.320463</v>
      </c>
    </row>
    <row r="606" spans="2:18">
      <c r="B606" s="27">
        <v>41709</v>
      </c>
      <c r="I606">
        <v>99.306331</v>
      </c>
      <c r="J606">
        <v>105.746139</v>
      </c>
      <c r="K606">
        <v>102.059376</v>
      </c>
      <c r="L606">
        <v>104.760476</v>
      </c>
      <c r="M606">
        <v>104.703475</v>
      </c>
      <c r="N606">
        <v>103.72236100000001</v>
      </c>
      <c r="O606">
        <v>95.533214000000001</v>
      </c>
      <c r="Q606">
        <v>93.452994000000004</v>
      </c>
      <c r="R606">
        <v>102.23800900000001</v>
      </c>
    </row>
    <row r="607" spans="2:18">
      <c r="B607" s="27">
        <v>41708</v>
      </c>
      <c r="I607">
        <v>99.303875000000005</v>
      </c>
      <c r="J607">
        <v>105.80092</v>
      </c>
      <c r="K607">
        <v>102.06329599999999</v>
      </c>
      <c r="L607">
        <v>104.766468</v>
      </c>
      <c r="M607">
        <v>104.72633500000001</v>
      </c>
      <c r="N607">
        <v>103.903406</v>
      </c>
      <c r="O607">
        <v>95.529989999999998</v>
      </c>
      <c r="Q607">
        <v>93.447552999999999</v>
      </c>
      <c r="R607">
        <v>102.40570200000001</v>
      </c>
    </row>
    <row r="608" spans="2:18">
      <c r="B608" s="27">
        <v>41705</v>
      </c>
      <c r="I608">
        <v>99.291308000000001</v>
      </c>
      <c r="J608">
        <v>105.83964</v>
      </c>
      <c r="K608">
        <v>102.08041900000001</v>
      </c>
      <c r="L608">
        <v>104.77246100000001</v>
      </c>
      <c r="M608">
        <v>104.73269000000001</v>
      </c>
      <c r="N608">
        <v>103.93439100000001</v>
      </c>
      <c r="O608">
        <v>95.515303000000003</v>
      </c>
      <c r="Q608">
        <v>93.414377000000002</v>
      </c>
      <c r="R608">
        <v>102.41131</v>
      </c>
    </row>
    <row r="609" spans="2:18">
      <c r="B609" s="27">
        <v>41704</v>
      </c>
      <c r="I609">
        <v>99.287700000000001</v>
      </c>
      <c r="J609">
        <v>105.849407</v>
      </c>
      <c r="K609">
        <v>102.070127</v>
      </c>
      <c r="L609">
        <v>104.846711</v>
      </c>
      <c r="M609">
        <v>104.789097</v>
      </c>
      <c r="N609">
        <v>103.974289</v>
      </c>
      <c r="O609">
        <v>95.507739999999998</v>
      </c>
      <c r="Q609">
        <v>93.409085000000005</v>
      </c>
      <c r="R609">
        <v>102.48421500000001</v>
      </c>
    </row>
    <row r="610" spans="2:18">
      <c r="B610" s="27">
        <v>41703</v>
      </c>
      <c r="I610">
        <v>99.284722000000002</v>
      </c>
      <c r="J610">
        <v>105.939818</v>
      </c>
      <c r="K610">
        <v>102.074101</v>
      </c>
      <c r="L610">
        <v>104.86979700000001</v>
      </c>
      <c r="M610">
        <v>104.828367</v>
      </c>
      <c r="N610">
        <v>104.194188</v>
      </c>
      <c r="O610">
        <v>95.502190999999996</v>
      </c>
      <c r="Q610">
        <v>93.402951999999999</v>
      </c>
      <c r="R610">
        <v>102.963275</v>
      </c>
    </row>
    <row r="611" spans="2:18">
      <c r="B611" s="27">
        <v>41702</v>
      </c>
      <c r="I611">
        <v>99.279815999999997</v>
      </c>
      <c r="J611">
        <v>105.988285</v>
      </c>
      <c r="K611">
        <v>102.083938</v>
      </c>
      <c r="L611">
        <v>104.88815</v>
      </c>
      <c r="M611">
        <v>104.830478</v>
      </c>
      <c r="N611">
        <v>104.20940899999999</v>
      </c>
      <c r="O611">
        <v>95.493399999999994</v>
      </c>
      <c r="Q611">
        <v>93.386636999999993</v>
      </c>
      <c r="R611">
        <v>102.912131</v>
      </c>
    </row>
    <row r="612" spans="2:18">
      <c r="B612" s="27">
        <v>41701</v>
      </c>
      <c r="I612">
        <v>99.276253999999994</v>
      </c>
      <c r="J612">
        <v>106.021603</v>
      </c>
      <c r="K612">
        <v>102.09001000000001</v>
      </c>
      <c r="L612">
        <v>104.945561</v>
      </c>
      <c r="M612">
        <v>104.902838</v>
      </c>
      <c r="N612">
        <v>104.274467</v>
      </c>
      <c r="O612">
        <v>95.491133000000005</v>
      </c>
      <c r="Q612">
        <v>93.382062000000005</v>
      </c>
      <c r="R612">
        <v>102.900362</v>
      </c>
    </row>
    <row r="613" spans="2:18">
      <c r="B613" s="27">
        <v>41698</v>
      </c>
      <c r="I613">
        <v>99.270083</v>
      </c>
      <c r="J613">
        <v>106.00196699999999</v>
      </c>
      <c r="K613">
        <v>102.10708700000001</v>
      </c>
      <c r="L613">
        <v>104.917264</v>
      </c>
      <c r="M613">
        <v>104.85969299999999</v>
      </c>
      <c r="N613">
        <v>104.23174899999999</v>
      </c>
      <c r="O613">
        <v>95.487162999999995</v>
      </c>
      <c r="Q613">
        <v>93.376240999999993</v>
      </c>
      <c r="R613">
        <v>102.856314</v>
      </c>
    </row>
    <row r="614" spans="2:18">
      <c r="B614" s="27">
        <v>41697</v>
      </c>
      <c r="I614">
        <v>99.266968000000006</v>
      </c>
      <c r="J614">
        <v>105.958052</v>
      </c>
      <c r="K614">
        <v>102.11079700000001</v>
      </c>
      <c r="L614">
        <v>104.92280700000001</v>
      </c>
      <c r="M614">
        <v>104.866494</v>
      </c>
      <c r="N614">
        <v>104.043066</v>
      </c>
      <c r="O614">
        <v>95.48715</v>
      </c>
      <c r="Q614">
        <v>93.398334000000006</v>
      </c>
      <c r="R614">
        <v>102.498425</v>
      </c>
    </row>
    <row r="615" spans="2:18">
      <c r="B615" s="27">
        <v>41696</v>
      </c>
      <c r="I615">
        <v>99.136752000000001</v>
      </c>
      <c r="J615">
        <v>105.904507</v>
      </c>
      <c r="K615">
        <v>101.944981</v>
      </c>
      <c r="L615">
        <v>104.92879499999999</v>
      </c>
      <c r="M615">
        <v>104.872629</v>
      </c>
      <c r="N615">
        <v>103.90537</v>
      </c>
      <c r="O615">
        <v>95.485409000000004</v>
      </c>
      <c r="Q615">
        <v>93.392964000000006</v>
      </c>
      <c r="R615">
        <v>102.1533</v>
      </c>
    </row>
    <row r="616" spans="2:18">
      <c r="B616" s="27">
        <v>41695</v>
      </c>
      <c r="I616">
        <v>99.005090999999993</v>
      </c>
      <c r="J616">
        <v>105.914458</v>
      </c>
      <c r="K616">
        <v>101.34276199999999</v>
      </c>
      <c r="L616">
        <v>104.943225</v>
      </c>
      <c r="M616">
        <v>104.888234</v>
      </c>
      <c r="N616">
        <v>103.903448</v>
      </c>
      <c r="O616">
        <v>94.496562999999995</v>
      </c>
      <c r="Q616">
        <v>92.325857999999997</v>
      </c>
      <c r="R616">
        <v>102.28667</v>
      </c>
    </row>
    <row r="617" spans="2:18">
      <c r="B617" s="27">
        <v>41694</v>
      </c>
      <c r="I617">
        <v>99.000404000000003</v>
      </c>
      <c r="J617">
        <v>105.899304</v>
      </c>
      <c r="K617">
        <v>101.344544</v>
      </c>
      <c r="L617">
        <v>105.00012599999999</v>
      </c>
      <c r="M617">
        <v>104.914107</v>
      </c>
      <c r="N617">
        <v>103.795641</v>
      </c>
      <c r="O617">
        <v>94.494129999999998</v>
      </c>
      <c r="Q617">
        <v>92.319665000000001</v>
      </c>
      <c r="R617">
        <v>102.10255100000001</v>
      </c>
    </row>
    <row r="618" spans="2:18">
      <c r="B618" s="27">
        <v>41691</v>
      </c>
      <c r="I618">
        <v>98.987269999999995</v>
      </c>
      <c r="J618">
        <v>105.931437</v>
      </c>
      <c r="K618">
        <v>101.34749600000001</v>
      </c>
      <c r="L618">
        <v>105.02534799999999</v>
      </c>
      <c r="M618">
        <v>104.937274</v>
      </c>
      <c r="N618">
        <v>103.875557</v>
      </c>
      <c r="O618">
        <v>94.477541000000002</v>
      </c>
      <c r="Q618">
        <v>92.313591000000002</v>
      </c>
      <c r="R618">
        <v>102.14515299999999</v>
      </c>
    </row>
    <row r="619" spans="2:18">
      <c r="B619" s="27">
        <v>41690</v>
      </c>
      <c r="I619">
        <v>98.969423000000006</v>
      </c>
      <c r="J619">
        <v>105.946533</v>
      </c>
      <c r="K619">
        <v>101.34936500000001</v>
      </c>
      <c r="L619">
        <v>105.01311</v>
      </c>
      <c r="M619">
        <v>104.942927</v>
      </c>
      <c r="N619">
        <v>103.635991</v>
      </c>
      <c r="O619">
        <v>94.472426999999996</v>
      </c>
      <c r="Q619">
        <v>92.307460000000006</v>
      </c>
      <c r="R619">
        <v>102.409617</v>
      </c>
    </row>
    <row r="620" spans="2:18">
      <c r="B620" s="27">
        <v>41689</v>
      </c>
      <c r="I620">
        <v>98.978459999999998</v>
      </c>
      <c r="J620">
        <v>105.888982</v>
      </c>
      <c r="K620">
        <v>101.352594</v>
      </c>
      <c r="L620">
        <v>105.019486</v>
      </c>
      <c r="M620">
        <v>104.948927</v>
      </c>
      <c r="N620">
        <v>103.491034</v>
      </c>
      <c r="O620">
        <v>94.472611999999998</v>
      </c>
      <c r="Q620">
        <v>92.301612000000006</v>
      </c>
      <c r="R620">
        <v>102.037943</v>
      </c>
    </row>
    <row r="621" spans="2:18">
      <c r="B621" s="27">
        <v>41688</v>
      </c>
      <c r="I621">
        <v>98.979460000000003</v>
      </c>
      <c r="J621">
        <v>105.899137</v>
      </c>
      <c r="K621">
        <v>101.359425</v>
      </c>
      <c r="L621">
        <v>105.094858</v>
      </c>
      <c r="M621">
        <v>105.001583</v>
      </c>
      <c r="N621">
        <v>103.488595</v>
      </c>
      <c r="O621">
        <v>94.470106999999999</v>
      </c>
      <c r="Q621">
        <v>92.311076999999997</v>
      </c>
      <c r="R621">
        <v>102.086258</v>
      </c>
    </row>
    <row r="622" spans="2:18">
      <c r="B622" s="27">
        <v>41687</v>
      </c>
      <c r="I622">
        <v>98.973457999999994</v>
      </c>
      <c r="J622">
        <v>105.93475599999999</v>
      </c>
      <c r="K622">
        <v>101.36122</v>
      </c>
      <c r="L622">
        <v>105.063585</v>
      </c>
      <c r="M622">
        <v>104.99042300000001</v>
      </c>
      <c r="N622">
        <v>103.637219</v>
      </c>
      <c r="O622">
        <v>94.462954999999994</v>
      </c>
      <c r="Q622">
        <v>92.276838999999995</v>
      </c>
      <c r="R622">
        <v>102.296736</v>
      </c>
    </row>
    <row r="623" spans="2:18">
      <c r="B623" s="27">
        <v>41684</v>
      </c>
      <c r="I623">
        <v>98.960781999999995</v>
      </c>
      <c r="J623">
        <v>105.950577</v>
      </c>
      <c r="K623">
        <v>101.361988</v>
      </c>
      <c r="L623">
        <v>105.044766</v>
      </c>
      <c r="M623">
        <v>104.97944</v>
      </c>
      <c r="N623">
        <v>103.580449</v>
      </c>
      <c r="O623">
        <v>94.451644999999999</v>
      </c>
      <c r="Q623">
        <v>92.269177999999997</v>
      </c>
      <c r="R623">
        <v>102.225463</v>
      </c>
    </row>
    <row r="624" spans="2:18">
      <c r="B624" s="27">
        <v>41683</v>
      </c>
      <c r="I624">
        <v>98.957442</v>
      </c>
      <c r="J624">
        <v>105.92074</v>
      </c>
      <c r="K624">
        <v>101.362934</v>
      </c>
      <c r="L624">
        <v>105.07021899999999</v>
      </c>
      <c r="M624">
        <v>105.002037</v>
      </c>
      <c r="N624">
        <v>103.476972</v>
      </c>
      <c r="O624">
        <v>94.452862999999994</v>
      </c>
      <c r="Q624">
        <v>92.290332000000006</v>
      </c>
      <c r="R624">
        <v>102.07600100000001</v>
      </c>
    </row>
    <row r="625" spans="2:18">
      <c r="B625" s="27">
        <v>41682</v>
      </c>
      <c r="I625">
        <v>98.950479000000001</v>
      </c>
      <c r="J625">
        <v>105.88472299999999</v>
      </c>
      <c r="K625">
        <v>101.365078</v>
      </c>
      <c r="L625">
        <v>105.001705</v>
      </c>
      <c r="M625">
        <v>104.939634</v>
      </c>
      <c r="N625">
        <v>103.31764699999999</v>
      </c>
      <c r="O625">
        <v>94.443064000000007</v>
      </c>
      <c r="Q625">
        <v>92.284001000000004</v>
      </c>
      <c r="R625">
        <v>101.783637</v>
      </c>
    </row>
    <row r="626" spans="2:18">
      <c r="B626" s="27">
        <v>41681</v>
      </c>
      <c r="I626">
        <v>98.948457000000005</v>
      </c>
      <c r="J626">
        <v>105.91151499999999</v>
      </c>
      <c r="K626">
        <v>101.373638</v>
      </c>
      <c r="L626">
        <v>105.064266</v>
      </c>
      <c r="M626">
        <v>103.331576</v>
      </c>
      <c r="N626">
        <v>103.365906</v>
      </c>
      <c r="O626">
        <v>94.439279999999997</v>
      </c>
      <c r="Q626">
        <v>92.266594999999995</v>
      </c>
      <c r="R626">
        <v>101.74088399999999</v>
      </c>
    </row>
    <row r="627" spans="2:18">
      <c r="B627" s="27">
        <v>41680</v>
      </c>
      <c r="I627">
        <v>98.943145999999999</v>
      </c>
      <c r="J627">
        <v>105.926574</v>
      </c>
      <c r="K627">
        <v>101.375666</v>
      </c>
      <c r="L627">
        <v>103.82458200000001</v>
      </c>
      <c r="M627">
        <v>103.369086</v>
      </c>
      <c r="N627">
        <v>103.402705</v>
      </c>
      <c r="O627">
        <v>94.436459999999997</v>
      </c>
      <c r="Q627">
        <v>92.260149999999996</v>
      </c>
      <c r="R627">
        <v>101.903756</v>
      </c>
    </row>
    <row r="628" spans="2:18">
      <c r="B628" s="27">
        <v>41677</v>
      </c>
      <c r="I628">
        <v>98.929596000000004</v>
      </c>
      <c r="J628">
        <v>105.928044</v>
      </c>
      <c r="K628">
        <v>101.376912</v>
      </c>
      <c r="L628">
        <v>103.847827</v>
      </c>
      <c r="M628">
        <v>103.38979</v>
      </c>
      <c r="N628">
        <v>103.397994</v>
      </c>
      <c r="O628">
        <v>94.419275999999996</v>
      </c>
      <c r="Q628">
        <v>92.253921000000005</v>
      </c>
      <c r="R628">
        <v>101.76741</v>
      </c>
    </row>
    <row r="629" spans="2:18">
      <c r="B629" s="27">
        <v>41676</v>
      </c>
      <c r="I629">
        <v>98.925180999999995</v>
      </c>
      <c r="J629">
        <v>105.99875299999999</v>
      </c>
      <c r="K629">
        <v>101.381614</v>
      </c>
      <c r="L629">
        <v>103.815827</v>
      </c>
      <c r="M629">
        <v>103.343035</v>
      </c>
      <c r="N629">
        <v>103.59219</v>
      </c>
      <c r="O629">
        <v>94.414159999999995</v>
      </c>
      <c r="Q629">
        <v>92.248684999999995</v>
      </c>
      <c r="R629">
        <v>102.048434</v>
      </c>
    </row>
    <row r="630" spans="2:18">
      <c r="B630" s="27">
        <v>41675</v>
      </c>
      <c r="I630">
        <v>98.917514999999995</v>
      </c>
      <c r="J630">
        <v>106.065212</v>
      </c>
      <c r="K630">
        <v>101.383495</v>
      </c>
      <c r="L630">
        <v>103.839012</v>
      </c>
      <c r="M630">
        <v>103.363696</v>
      </c>
      <c r="N630">
        <v>103.66873099999999</v>
      </c>
      <c r="O630">
        <v>94.405032000000006</v>
      </c>
      <c r="Q630">
        <v>92.241607000000002</v>
      </c>
      <c r="R630">
        <v>102.42755</v>
      </c>
    </row>
    <row r="631" spans="2:18">
      <c r="B631" s="27">
        <v>41674</v>
      </c>
      <c r="I631">
        <v>98.918254000000005</v>
      </c>
      <c r="J631">
        <v>106.021241</v>
      </c>
      <c r="K631">
        <v>101.39418499999999</v>
      </c>
      <c r="L631">
        <v>103.871585</v>
      </c>
      <c r="M631">
        <v>103.392555</v>
      </c>
      <c r="N631">
        <v>103.556129</v>
      </c>
      <c r="O631">
        <v>94.402204999999995</v>
      </c>
      <c r="Q631">
        <v>92.225076999999999</v>
      </c>
      <c r="R631">
        <v>102.143119</v>
      </c>
    </row>
    <row r="632" spans="2:18">
      <c r="B632" s="27">
        <v>41673</v>
      </c>
      <c r="I632">
        <v>98.916133000000002</v>
      </c>
      <c r="J632">
        <v>106.114405</v>
      </c>
      <c r="K632">
        <v>101.396097</v>
      </c>
      <c r="L632">
        <v>103.894802</v>
      </c>
      <c r="M632">
        <v>103.39646999999999</v>
      </c>
      <c r="N632">
        <v>103.836202</v>
      </c>
      <c r="O632">
        <v>94.399991999999997</v>
      </c>
      <c r="Q632">
        <v>92.219058000000004</v>
      </c>
      <c r="R632">
        <v>102.48635</v>
      </c>
    </row>
    <row r="633" spans="2:18">
      <c r="B633" s="27">
        <v>41670</v>
      </c>
      <c r="I633">
        <v>98.901105000000001</v>
      </c>
      <c r="J633">
        <v>106.198306</v>
      </c>
      <c r="K633">
        <v>101.395415</v>
      </c>
      <c r="L633">
        <v>103.844179</v>
      </c>
      <c r="M633">
        <v>103.333274</v>
      </c>
      <c r="N633">
        <v>103.85227999999999</v>
      </c>
      <c r="O633">
        <v>94.385658000000006</v>
      </c>
      <c r="Q633">
        <v>92.211251000000004</v>
      </c>
      <c r="R633">
        <v>102.554919</v>
      </c>
    </row>
    <row r="634" spans="2:18">
      <c r="B634" s="27">
        <v>41669</v>
      </c>
      <c r="I634">
        <v>98.897931</v>
      </c>
      <c r="J634">
        <v>106.124684</v>
      </c>
      <c r="K634">
        <v>101.397301</v>
      </c>
      <c r="L634">
        <v>103.81237299999999</v>
      </c>
      <c r="M634">
        <v>103.320286</v>
      </c>
      <c r="N634">
        <v>103.66774700000001</v>
      </c>
      <c r="O634">
        <v>94.384647999999999</v>
      </c>
      <c r="Q634">
        <v>92.205186999999995</v>
      </c>
      <c r="R634">
        <v>102.11743</v>
      </c>
    </row>
    <row r="635" spans="2:18">
      <c r="B635" s="27">
        <v>41668</v>
      </c>
      <c r="I635">
        <v>98.893939000000003</v>
      </c>
      <c r="J635">
        <v>106.19520799999999</v>
      </c>
      <c r="K635">
        <v>101.400048</v>
      </c>
      <c r="L635">
        <v>103.83553999999999</v>
      </c>
      <c r="M635">
        <v>103.324288</v>
      </c>
      <c r="N635">
        <v>103.83589499999999</v>
      </c>
      <c r="O635">
        <v>94.367726000000005</v>
      </c>
      <c r="Q635">
        <v>92.198964000000004</v>
      </c>
      <c r="R635">
        <v>102.045992</v>
      </c>
    </row>
    <row r="636" spans="2:18">
      <c r="B636" s="27">
        <v>41667</v>
      </c>
      <c r="I636">
        <v>98.889605000000003</v>
      </c>
      <c r="J636">
        <v>106.232213</v>
      </c>
      <c r="K636">
        <v>101.407003</v>
      </c>
      <c r="L636">
        <v>103.76071899999999</v>
      </c>
      <c r="M636">
        <v>103.253913</v>
      </c>
      <c r="N636">
        <v>103.94516900000001</v>
      </c>
      <c r="O636">
        <v>94.364788000000004</v>
      </c>
      <c r="Q636">
        <v>92.180121999999997</v>
      </c>
      <c r="R636">
        <v>102.316433</v>
      </c>
    </row>
    <row r="637" spans="2:18">
      <c r="B637" s="27">
        <v>41666</v>
      </c>
      <c r="I637">
        <v>98.86833</v>
      </c>
      <c r="J637">
        <v>106.251204</v>
      </c>
      <c r="K637">
        <v>101.40918600000001</v>
      </c>
      <c r="L637">
        <v>103.776105</v>
      </c>
      <c r="M637">
        <v>103.343874</v>
      </c>
      <c r="N637">
        <v>103.735615</v>
      </c>
      <c r="O637">
        <v>94.364789999999999</v>
      </c>
      <c r="Q637">
        <v>92.202502999999993</v>
      </c>
      <c r="R637">
        <v>102.06334099999999</v>
      </c>
    </row>
    <row r="638" spans="2:18">
      <c r="B638" s="27">
        <v>41663</v>
      </c>
      <c r="I638">
        <v>98.86833</v>
      </c>
      <c r="J638">
        <v>106.25008</v>
      </c>
      <c r="K638">
        <v>101.40918600000001</v>
      </c>
      <c r="L638">
        <v>103.78089900000001</v>
      </c>
      <c r="M638">
        <v>103.34818799999999</v>
      </c>
      <c r="N638">
        <v>103.734782</v>
      </c>
      <c r="O638">
        <v>94.364789999999999</v>
      </c>
      <c r="Q638">
        <v>92.202502999999993</v>
      </c>
      <c r="R638">
        <v>101.934534</v>
      </c>
    </row>
    <row r="639" spans="2:18">
      <c r="B639" s="27">
        <v>41662</v>
      </c>
      <c r="I639">
        <v>98.858604</v>
      </c>
      <c r="J639">
        <v>106.218191</v>
      </c>
      <c r="K639">
        <v>101.411638</v>
      </c>
      <c r="L639">
        <v>103.76784499999999</v>
      </c>
      <c r="M639">
        <v>103.31819400000001</v>
      </c>
      <c r="N639">
        <v>103.63836999999999</v>
      </c>
      <c r="O639">
        <v>94.347643000000005</v>
      </c>
      <c r="Q639">
        <v>92.190595999999999</v>
      </c>
      <c r="R639">
        <v>101.755833</v>
      </c>
    </row>
    <row r="640" spans="2:18">
      <c r="B640" s="27">
        <v>41661</v>
      </c>
      <c r="I640">
        <v>98.853419000000002</v>
      </c>
      <c r="J640">
        <v>106.31255299999999</v>
      </c>
      <c r="K640">
        <v>101.420659</v>
      </c>
      <c r="L640">
        <v>103.680976</v>
      </c>
      <c r="M640">
        <v>103.23526200000001</v>
      </c>
      <c r="N640">
        <v>103.874465</v>
      </c>
      <c r="O640">
        <v>94.337828999999999</v>
      </c>
      <c r="Q640">
        <v>92.160809999999998</v>
      </c>
      <c r="R640">
        <v>102.13991900000001</v>
      </c>
    </row>
    <row r="641" spans="2:18">
      <c r="B641" s="27">
        <v>41660</v>
      </c>
      <c r="I641">
        <v>98.850038999999995</v>
      </c>
      <c r="J641">
        <v>106.353773</v>
      </c>
      <c r="K641">
        <v>101.43062</v>
      </c>
      <c r="L641">
        <v>103.749759</v>
      </c>
      <c r="M641">
        <v>103.299823</v>
      </c>
      <c r="N641">
        <v>103.945452</v>
      </c>
      <c r="O641">
        <v>94.330121000000005</v>
      </c>
      <c r="Q641">
        <v>92.160763000000003</v>
      </c>
      <c r="R641">
        <v>102.187304</v>
      </c>
    </row>
    <row r="642" spans="2:18">
      <c r="B642" s="27">
        <v>41659</v>
      </c>
      <c r="I642">
        <v>98.843461000000005</v>
      </c>
      <c r="J642">
        <v>106.387957</v>
      </c>
      <c r="K642">
        <v>101.432254</v>
      </c>
      <c r="L642">
        <v>103.75457299999999</v>
      </c>
      <c r="M642">
        <v>103.30416</v>
      </c>
      <c r="N642">
        <v>103.951373</v>
      </c>
      <c r="O642">
        <v>94.327558999999994</v>
      </c>
      <c r="Q642">
        <v>92.155894000000004</v>
      </c>
      <c r="R642">
        <v>102.183729</v>
      </c>
    </row>
    <row r="643" spans="2:18">
      <c r="B643" s="27">
        <v>41656</v>
      </c>
      <c r="I643">
        <v>98.835548000000003</v>
      </c>
      <c r="J643">
        <v>106.386757</v>
      </c>
      <c r="K643">
        <v>101.431382</v>
      </c>
      <c r="L643">
        <v>103.75457299999999</v>
      </c>
      <c r="M643">
        <v>103.30810200000001</v>
      </c>
      <c r="N643">
        <v>103.860643</v>
      </c>
      <c r="O643">
        <v>94.320504</v>
      </c>
      <c r="Q643">
        <v>92.151583000000002</v>
      </c>
      <c r="R643">
        <v>101.91932</v>
      </c>
    </row>
    <row r="644" spans="2:18">
      <c r="B644" s="27">
        <v>41655</v>
      </c>
      <c r="I644">
        <v>98.832250999999999</v>
      </c>
      <c r="J644">
        <v>106.345234</v>
      </c>
      <c r="K644">
        <v>101.430302</v>
      </c>
      <c r="L644">
        <v>103.74207199999999</v>
      </c>
      <c r="M644">
        <v>103.296192</v>
      </c>
      <c r="N644">
        <v>103.770732</v>
      </c>
      <c r="O644">
        <v>94.324870000000004</v>
      </c>
      <c r="Q644">
        <v>92.148007000000007</v>
      </c>
      <c r="R644">
        <v>101.861845</v>
      </c>
    </row>
    <row r="645" spans="2:18">
      <c r="B645" s="27">
        <v>41654</v>
      </c>
      <c r="I645">
        <v>98.822091</v>
      </c>
      <c r="J645">
        <v>106.27267399999999</v>
      </c>
      <c r="K645">
        <v>101.428169</v>
      </c>
      <c r="L645">
        <v>103.74688999999999</v>
      </c>
      <c r="M645">
        <v>103.300533</v>
      </c>
      <c r="N645">
        <v>103.645296</v>
      </c>
      <c r="O645">
        <v>94.317549999999997</v>
      </c>
      <c r="Q645">
        <v>92.145330999999999</v>
      </c>
      <c r="R645">
        <v>101.720082</v>
      </c>
    </row>
    <row r="646" spans="2:18">
      <c r="B646" s="27">
        <v>41653</v>
      </c>
      <c r="I646">
        <v>98.816828000000001</v>
      </c>
      <c r="J646">
        <v>106.21463900000001</v>
      </c>
      <c r="K646">
        <v>101.436319</v>
      </c>
      <c r="L646">
        <v>103.76513199999999</v>
      </c>
      <c r="M646">
        <v>103.33019899999999</v>
      </c>
      <c r="N646">
        <v>103.51891000000001</v>
      </c>
      <c r="O646">
        <v>94.314943999999997</v>
      </c>
      <c r="Q646">
        <v>92.145793999999995</v>
      </c>
      <c r="R646">
        <v>101.460464</v>
      </c>
    </row>
    <row r="647" spans="2:18">
      <c r="B647" s="27">
        <v>41652</v>
      </c>
      <c r="I647">
        <v>98.813948999999994</v>
      </c>
      <c r="J647">
        <v>106.179174</v>
      </c>
      <c r="K647">
        <v>101.43923700000001</v>
      </c>
      <c r="L647">
        <v>103.843309</v>
      </c>
      <c r="M647">
        <v>103.38693000000001</v>
      </c>
      <c r="N647">
        <v>103.390064</v>
      </c>
      <c r="O647">
        <v>94.314189999999996</v>
      </c>
      <c r="Q647">
        <v>92.139129999999994</v>
      </c>
      <c r="R647">
        <v>101.093011</v>
      </c>
    </row>
    <row r="648" spans="2:18">
      <c r="B648" s="27">
        <v>41649</v>
      </c>
      <c r="I648">
        <v>98.801390999999995</v>
      </c>
      <c r="J648">
        <v>106.208417</v>
      </c>
      <c r="K648">
        <v>101.440943</v>
      </c>
      <c r="L648">
        <v>103.793115</v>
      </c>
      <c r="M648">
        <v>103.338886</v>
      </c>
      <c r="N648">
        <v>103.37664700000001</v>
      </c>
      <c r="O648">
        <v>94.301928000000004</v>
      </c>
      <c r="Q648">
        <v>92.133188000000004</v>
      </c>
      <c r="R648">
        <v>101.04525599999999</v>
      </c>
    </row>
    <row r="649" spans="2:18">
      <c r="B649" s="27">
        <v>41648</v>
      </c>
      <c r="I649">
        <v>98.797776999999996</v>
      </c>
      <c r="J649">
        <v>106.28519799999999</v>
      </c>
      <c r="K649">
        <v>101.444018</v>
      </c>
      <c r="L649">
        <v>103.68893</v>
      </c>
      <c r="M649">
        <v>103.23957299999999</v>
      </c>
      <c r="N649">
        <v>103.19512400000001</v>
      </c>
      <c r="O649">
        <v>94.293108000000004</v>
      </c>
      <c r="Q649">
        <v>92.126896000000002</v>
      </c>
      <c r="R649">
        <v>101.330825</v>
      </c>
    </row>
    <row r="650" spans="2:18">
      <c r="B650" s="27">
        <v>41647</v>
      </c>
      <c r="I650">
        <v>98.792770000000004</v>
      </c>
      <c r="J650">
        <v>106.22618300000001</v>
      </c>
      <c r="K650">
        <v>101.448021</v>
      </c>
      <c r="L650">
        <v>103.69377799999999</v>
      </c>
      <c r="M650">
        <v>103.22653699999999</v>
      </c>
      <c r="N650">
        <v>103.047634</v>
      </c>
      <c r="O650">
        <v>94.290492999999998</v>
      </c>
      <c r="Q650">
        <v>92.119795999999994</v>
      </c>
      <c r="R650">
        <v>101.124771</v>
      </c>
    </row>
    <row r="651" spans="2:18">
      <c r="B651" s="27">
        <v>41646</v>
      </c>
      <c r="I651">
        <v>98.787693000000004</v>
      </c>
      <c r="J651">
        <v>106.233743</v>
      </c>
      <c r="K651">
        <v>101.439474</v>
      </c>
      <c r="L651">
        <v>103.780613</v>
      </c>
      <c r="M651">
        <v>103.325743</v>
      </c>
      <c r="N651">
        <v>103.018728</v>
      </c>
      <c r="O651">
        <v>94.339138000000005</v>
      </c>
      <c r="Q651">
        <v>92.129058999999998</v>
      </c>
      <c r="R651">
        <v>101.074674</v>
      </c>
    </row>
    <row r="652" spans="2:18">
      <c r="B652" s="27">
        <v>41645</v>
      </c>
      <c r="I652">
        <v>98.783433000000002</v>
      </c>
      <c r="J652">
        <v>106.256705</v>
      </c>
      <c r="K652">
        <v>101.441569</v>
      </c>
      <c r="L652">
        <v>103.785449</v>
      </c>
      <c r="M652">
        <v>103.312662</v>
      </c>
      <c r="N652">
        <v>102.98683</v>
      </c>
      <c r="O652">
        <v>94.282403000000002</v>
      </c>
      <c r="Q652">
        <v>92.12285</v>
      </c>
      <c r="R652">
        <v>100.907155</v>
      </c>
    </row>
    <row r="653" spans="2:18">
      <c r="B653" s="27">
        <v>41642</v>
      </c>
      <c r="I653">
        <v>98.771234000000007</v>
      </c>
      <c r="J653">
        <v>106.26205400000001</v>
      </c>
      <c r="K653">
        <v>101.46630999999999</v>
      </c>
      <c r="L653">
        <v>103.771985</v>
      </c>
      <c r="M653">
        <v>103.334458</v>
      </c>
      <c r="N653">
        <v>102.99037</v>
      </c>
      <c r="O653">
        <v>94.271893000000006</v>
      </c>
      <c r="Q653">
        <v>92.114947999999998</v>
      </c>
      <c r="R653">
        <v>100.89275499999999</v>
      </c>
    </row>
    <row r="654" spans="2:18">
      <c r="B654" s="27">
        <v>41641</v>
      </c>
      <c r="I654">
        <v>98.769389000000004</v>
      </c>
      <c r="J654">
        <v>106.33154999999999</v>
      </c>
      <c r="K654">
        <v>101.467358</v>
      </c>
      <c r="L654">
        <v>103.81410099999999</v>
      </c>
      <c r="M654">
        <v>103.357066</v>
      </c>
      <c r="N654">
        <v>103.11148900000001</v>
      </c>
      <c r="O654">
        <v>94.264025000000004</v>
      </c>
      <c r="Q654">
        <v>92.080635999999998</v>
      </c>
      <c r="R654">
        <v>101.16382400000001</v>
      </c>
    </row>
    <row r="655" spans="2:18">
      <c r="B655" s="27">
        <v>41640</v>
      </c>
      <c r="I655">
        <v>98.757392999999993</v>
      </c>
      <c r="J655">
        <v>106.374695</v>
      </c>
      <c r="K655">
        <v>101.461573</v>
      </c>
      <c r="L655">
        <v>103.733723</v>
      </c>
      <c r="M655">
        <v>103.27182000000001</v>
      </c>
      <c r="N655">
        <v>103.124368</v>
      </c>
      <c r="O655">
        <v>94.258413000000004</v>
      </c>
      <c r="Q655">
        <v>92.105041</v>
      </c>
      <c r="R655">
        <v>101.032529</v>
      </c>
    </row>
    <row r="656" spans="2:18">
      <c r="B656" s="27">
        <v>41639</v>
      </c>
      <c r="I656">
        <v>98.757392999999993</v>
      </c>
      <c r="J656">
        <v>106.374695</v>
      </c>
      <c r="K656">
        <v>101.461573</v>
      </c>
      <c r="L656">
        <v>103.733723</v>
      </c>
      <c r="M656">
        <v>103.27182000000001</v>
      </c>
      <c r="N656">
        <v>103.124368</v>
      </c>
      <c r="O656">
        <v>94.258413000000004</v>
      </c>
      <c r="Q656">
        <v>92.105041</v>
      </c>
      <c r="R656">
        <v>101.097492</v>
      </c>
    </row>
    <row r="657" spans="2:18">
      <c r="B657" s="27">
        <v>41638</v>
      </c>
      <c r="I657">
        <v>98.753201000000004</v>
      </c>
      <c r="J657">
        <v>106.30612499999999</v>
      </c>
      <c r="K657">
        <v>101.466415</v>
      </c>
      <c r="L657">
        <v>103.759626</v>
      </c>
      <c r="M657">
        <v>103.295784</v>
      </c>
      <c r="N657">
        <v>102.937755</v>
      </c>
      <c r="O657">
        <v>94.251311000000001</v>
      </c>
      <c r="Q657">
        <v>92.087270000000004</v>
      </c>
      <c r="R657">
        <v>100.902822</v>
      </c>
    </row>
    <row r="658" spans="2:18">
      <c r="B658" s="27">
        <v>41635</v>
      </c>
      <c r="I658">
        <v>98.740859</v>
      </c>
      <c r="J658">
        <v>106.355073</v>
      </c>
      <c r="K658">
        <v>101.44396</v>
      </c>
      <c r="L658">
        <v>103.71521199999999</v>
      </c>
      <c r="M658">
        <v>103.252449</v>
      </c>
      <c r="N658">
        <v>103.02166200000001</v>
      </c>
      <c r="O658">
        <v>94.234080000000006</v>
      </c>
      <c r="Q658">
        <v>92.080226999999994</v>
      </c>
      <c r="R658">
        <v>101.213769</v>
      </c>
    </row>
    <row r="659" spans="2:18">
      <c r="B659" s="27">
        <v>41634</v>
      </c>
      <c r="I659">
        <v>98.691614000000001</v>
      </c>
      <c r="J659">
        <v>106.47478099999999</v>
      </c>
      <c r="K659">
        <v>101.469792</v>
      </c>
      <c r="L659">
        <v>103.67281199999999</v>
      </c>
      <c r="M659">
        <v>103.22214200000001</v>
      </c>
      <c r="N659">
        <v>103.203625</v>
      </c>
      <c r="O659">
        <v>94.411499000000006</v>
      </c>
      <c r="Q659">
        <v>92.066558999999998</v>
      </c>
      <c r="R659">
        <v>101.24898399999999</v>
      </c>
    </row>
    <row r="660" spans="2:18">
      <c r="B660" s="27">
        <v>41633</v>
      </c>
      <c r="I660">
        <v>98.691614000000001</v>
      </c>
      <c r="J660">
        <v>106.47478099999999</v>
      </c>
      <c r="K660">
        <v>101.469792</v>
      </c>
      <c r="L660">
        <v>103.68825099999999</v>
      </c>
      <c r="M660">
        <v>103.222477</v>
      </c>
      <c r="N660">
        <v>103.203625</v>
      </c>
      <c r="O660">
        <v>94.411499000000006</v>
      </c>
      <c r="Q660">
        <v>92.066558999999998</v>
      </c>
      <c r="R660">
        <v>101.24898399999999</v>
      </c>
    </row>
    <row r="661" spans="2:18">
      <c r="B661" s="27">
        <v>41632</v>
      </c>
      <c r="I661">
        <v>98.691614000000001</v>
      </c>
      <c r="J661">
        <v>106.47478099999999</v>
      </c>
      <c r="K661">
        <v>101.469792</v>
      </c>
      <c r="L661">
        <v>103.68825099999999</v>
      </c>
      <c r="M661">
        <v>103.222477</v>
      </c>
      <c r="N661">
        <v>103.203625</v>
      </c>
      <c r="O661">
        <v>94.411499000000006</v>
      </c>
      <c r="Q661">
        <v>92.066558999999998</v>
      </c>
      <c r="R661">
        <v>101.28108899999999</v>
      </c>
    </row>
    <row r="662" spans="2:18">
      <c r="B662" s="27">
        <v>41631</v>
      </c>
      <c r="I662">
        <v>98.724646000000007</v>
      </c>
      <c r="J662">
        <v>106.487756</v>
      </c>
      <c r="K662">
        <v>101.473978</v>
      </c>
      <c r="L662">
        <v>103.787649</v>
      </c>
      <c r="M662">
        <v>103.321088</v>
      </c>
      <c r="N662">
        <v>103.18722200000001</v>
      </c>
      <c r="O662">
        <v>94.217237999999995</v>
      </c>
      <c r="Q662">
        <v>92.059890999999993</v>
      </c>
      <c r="R662">
        <v>101.16714</v>
      </c>
    </row>
    <row r="663" spans="2:18">
      <c r="B663" s="27">
        <v>41628</v>
      </c>
      <c r="I663">
        <v>98.711933000000002</v>
      </c>
      <c r="J663">
        <v>106.49297199999999</v>
      </c>
      <c r="K663">
        <v>101.485674</v>
      </c>
      <c r="L663">
        <v>103.85361</v>
      </c>
      <c r="M663">
        <v>103.380426</v>
      </c>
      <c r="N663">
        <v>103.277725</v>
      </c>
      <c r="O663">
        <v>94.201728000000003</v>
      </c>
      <c r="Q663">
        <v>92.042046999999997</v>
      </c>
      <c r="R663">
        <v>101.182642</v>
      </c>
    </row>
    <row r="664" spans="2:18">
      <c r="B664" s="27">
        <v>41627</v>
      </c>
      <c r="I664">
        <v>98.706530000000001</v>
      </c>
      <c r="J664">
        <v>106.555953</v>
      </c>
      <c r="K664">
        <v>101.492542</v>
      </c>
      <c r="L664">
        <v>103.936616</v>
      </c>
      <c r="M664">
        <v>103.46408599999999</v>
      </c>
      <c r="N664">
        <v>103.22690799999999</v>
      </c>
      <c r="O664">
        <v>94.193408000000005</v>
      </c>
      <c r="Q664">
        <v>92.022773999999998</v>
      </c>
      <c r="R664">
        <v>101.213138</v>
      </c>
    </row>
    <row r="665" spans="2:18">
      <c r="B665" s="27">
        <v>41626</v>
      </c>
      <c r="I665">
        <v>98.703419999999994</v>
      </c>
      <c r="J665">
        <v>106.62608299999999</v>
      </c>
      <c r="K665">
        <v>101.478258</v>
      </c>
      <c r="L665">
        <v>104.08834899999999</v>
      </c>
      <c r="M665">
        <v>103.610623</v>
      </c>
      <c r="N665">
        <v>103.379603</v>
      </c>
      <c r="O665">
        <v>94.191092999999995</v>
      </c>
      <c r="Q665">
        <v>92.016024000000002</v>
      </c>
      <c r="R665">
        <v>101.394851</v>
      </c>
    </row>
    <row r="666" spans="2:18">
      <c r="B666" s="27">
        <v>41625</v>
      </c>
      <c r="I666">
        <v>98.698285999999996</v>
      </c>
      <c r="J666">
        <v>106.63367</v>
      </c>
      <c r="K666">
        <v>101.483519</v>
      </c>
      <c r="L666">
        <v>104.065715</v>
      </c>
      <c r="M666">
        <v>103.599453</v>
      </c>
      <c r="N666">
        <v>103.36729699999999</v>
      </c>
      <c r="O666">
        <v>94.184918999999994</v>
      </c>
      <c r="Q666">
        <v>92.025901000000005</v>
      </c>
      <c r="R666">
        <v>101.528363</v>
      </c>
    </row>
    <row r="667" spans="2:18">
      <c r="B667" s="27">
        <v>41624</v>
      </c>
      <c r="I667">
        <v>98.697860000000006</v>
      </c>
      <c r="J667">
        <v>106.663223</v>
      </c>
      <c r="K667">
        <v>101.485429</v>
      </c>
      <c r="L667">
        <v>104.021261</v>
      </c>
      <c r="M667">
        <v>103.544184</v>
      </c>
      <c r="N667">
        <v>103.386431</v>
      </c>
      <c r="O667">
        <v>94.187415000000001</v>
      </c>
      <c r="Q667">
        <v>92.019934000000006</v>
      </c>
      <c r="R667">
        <v>101.621032</v>
      </c>
    </row>
    <row r="668" spans="2:18">
      <c r="B668" s="27">
        <v>41621</v>
      </c>
      <c r="I668">
        <v>98.680235999999994</v>
      </c>
      <c r="J668">
        <v>106.715948</v>
      </c>
      <c r="K668">
        <v>101.504045</v>
      </c>
      <c r="L668">
        <v>104.01366</v>
      </c>
      <c r="M668">
        <v>103.548383</v>
      </c>
      <c r="N668">
        <v>103.31368500000001</v>
      </c>
      <c r="O668">
        <v>94.170479999999998</v>
      </c>
      <c r="Q668">
        <v>92.015173000000004</v>
      </c>
      <c r="R668">
        <v>101.36246</v>
      </c>
    </row>
    <row r="669" spans="2:18">
      <c r="B669" s="27">
        <v>41620</v>
      </c>
      <c r="I669">
        <v>98.677694000000002</v>
      </c>
      <c r="J669">
        <v>106.62240799999999</v>
      </c>
      <c r="K669">
        <v>101.506883</v>
      </c>
      <c r="L669">
        <v>104.01844</v>
      </c>
      <c r="M669">
        <v>103.54057299999999</v>
      </c>
      <c r="N669">
        <v>103.172291</v>
      </c>
      <c r="O669">
        <v>94.169062999999994</v>
      </c>
      <c r="Q669">
        <v>92.008585999999994</v>
      </c>
      <c r="R669">
        <v>101.222962</v>
      </c>
    </row>
    <row r="670" spans="2:18">
      <c r="B670" s="27">
        <v>41619</v>
      </c>
      <c r="I670">
        <v>98.674104999999997</v>
      </c>
      <c r="J670">
        <v>106.625557</v>
      </c>
      <c r="K670">
        <v>101.50896899999999</v>
      </c>
      <c r="L670">
        <v>104.09677600000001</v>
      </c>
      <c r="M670">
        <v>103.62815500000001</v>
      </c>
      <c r="N670">
        <v>103.10777299999999</v>
      </c>
      <c r="O670">
        <v>94.170488000000006</v>
      </c>
      <c r="Q670">
        <v>92.002424000000005</v>
      </c>
      <c r="R670">
        <v>100.98410199999999</v>
      </c>
    </row>
    <row r="671" spans="2:18">
      <c r="B671" s="27">
        <v>41618</v>
      </c>
      <c r="I671">
        <v>98.667017000000001</v>
      </c>
      <c r="J671">
        <v>106.561162</v>
      </c>
      <c r="K671">
        <v>101.497789</v>
      </c>
      <c r="L671">
        <v>104.160167</v>
      </c>
      <c r="M671">
        <v>103.67662799999999</v>
      </c>
      <c r="N671">
        <v>103.02819</v>
      </c>
      <c r="O671">
        <v>94.161949000000007</v>
      </c>
      <c r="Q671">
        <v>91.983832000000007</v>
      </c>
      <c r="R671">
        <v>100.877199</v>
      </c>
    </row>
    <row r="672" spans="2:18">
      <c r="B672" s="27">
        <v>41617</v>
      </c>
      <c r="I672">
        <v>98.664044000000004</v>
      </c>
      <c r="J672">
        <v>106.5582</v>
      </c>
      <c r="K672">
        <v>101.501575</v>
      </c>
      <c r="L672">
        <v>104.103359</v>
      </c>
      <c r="M672">
        <v>103.69315400000001</v>
      </c>
      <c r="N672">
        <v>102.958337</v>
      </c>
      <c r="O672">
        <v>94.165226000000004</v>
      </c>
      <c r="Q672">
        <v>92.006827000000001</v>
      </c>
      <c r="R672">
        <v>100.90913</v>
      </c>
    </row>
    <row r="673" spans="2:18">
      <c r="B673" s="27">
        <v>41614</v>
      </c>
      <c r="I673">
        <v>98.65119</v>
      </c>
      <c r="J673">
        <v>106.521868</v>
      </c>
      <c r="K673">
        <v>101.519886</v>
      </c>
      <c r="L673">
        <v>104.108069</v>
      </c>
      <c r="M673">
        <v>103.697391</v>
      </c>
      <c r="N673">
        <v>102.813384</v>
      </c>
      <c r="O673">
        <v>94.150040000000004</v>
      </c>
      <c r="Q673">
        <v>92.001058999999998</v>
      </c>
      <c r="R673">
        <v>100.66877599999999</v>
      </c>
    </row>
    <row r="674" spans="2:18">
      <c r="B674" s="27">
        <v>41613</v>
      </c>
      <c r="I674">
        <v>98.645662000000002</v>
      </c>
      <c r="J674">
        <v>106.591075</v>
      </c>
      <c r="K674">
        <v>101.52142600000001</v>
      </c>
      <c r="L674">
        <v>104.186485</v>
      </c>
      <c r="M674">
        <v>103.77497</v>
      </c>
      <c r="N674">
        <v>102.936649</v>
      </c>
      <c r="O674">
        <v>94.144625000000005</v>
      </c>
      <c r="Q674">
        <v>91.966115000000002</v>
      </c>
      <c r="R674">
        <v>100.791214</v>
      </c>
    </row>
    <row r="675" spans="2:18">
      <c r="B675" s="27">
        <v>41612</v>
      </c>
      <c r="I675">
        <v>98.641840000000002</v>
      </c>
      <c r="J675">
        <v>106.545884</v>
      </c>
      <c r="K675">
        <v>101.524478</v>
      </c>
      <c r="L675">
        <v>104.228081</v>
      </c>
      <c r="M675">
        <v>103.815912</v>
      </c>
      <c r="N675">
        <v>102.87988799999999</v>
      </c>
      <c r="O675">
        <v>94.143625</v>
      </c>
      <c r="Q675">
        <v>91.989350000000002</v>
      </c>
      <c r="R675">
        <v>100.69441500000001</v>
      </c>
    </row>
    <row r="676" spans="2:18">
      <c r="B676" s="27">
        <v>41611</v>
      </c>
      <c r="I676">
        <v>98.639100999999997</v>
      </c>
      <c r="J676">
        <v>106.541089</v>
      </c>
      <c r="K676">
        <v>101.514577</v>
      </c>
      <c r="L676">
        <v>104.291802</v>
      </c>
      <c r="M676">
        <v>103.87796899999999</v>
      </c>
      <c r="N676">
        <v>102.88702499999999</v>
      </c>
      <c r="O676">
        <v>94.139521000000002</v>
      </c>
      <c r="Q676">
        <v>91.970654999999994</v>
      </c>
      <c r="R676">
        <v>100.801489</v>
      </c>
    </row>
    <row r="677" spans="2:18">
      <c r="B677" s="27">
        <v>41610</v>
      </c>
      <c r="I677">
        <v>98.642183000000003</v>
      </c>
      <c r="J677">
        <v>106.585446</v>
      </c>
      <c r="K677">
        <v>101.534543</v>
      </c>
      <c r="L677">
        <v>104.271911</v>
      </c>
      <c r="M677">
        <v>103.85772799999999</v>
      </c>
      <c r="N677">
        <v>102.95326</v>
      </c>
      <c r="O677">
        <v>94.135379</v>
      </c>
      <c r="Q677">
        <v>91.964816999999996</v>
      </c>
      <c r="R677">
        <v>100.829854</v>
      </c>
    </row>
    <row r="678" spans="2:18">
      <c r="B678" s="27">
        <v>41607</v>
      </c>
      <c r="I678">
        <v>98.624731999999995</v>
      </c>
      <c r="J678">
        <v>106.634811</v>
      </c>
      <c r="K678">
        <v>101.534103</v>
      </c>
      <c r="L678">
        <v>104.301305</v>
      </c>
      <c r="M678">
        <v>103.886527</v>
      </c>
      <c r="N678">
        <v>102.983096</v>
      </c>
      <c r="O678">
        <v>94.122225999999998</v>
      </c>
      <c r="Q678">
        <v>91.958910000000003</v>
      </c>
      <c r="R678">
        <v>100.806111</v>
      </c>
    </row>
    <row r="679" spans="2:18">
      <c r="B679" s="27">
        <v>41606</v>
      </c>
      <c r="I679">
        <v>98.619442000000006</v>
      </c>
      <c r="J679">
        <v>106.704207</v>
      </c>
      <c r="K679">
        <v>101.536187</v>
      </c>
      <c r="L679">
        <v>104.318038</v>
      </c>
      <c r="M679">
        <v>103.902728</v>
      </c>
      <c r="N679">
        <v>103.04862900000001</v>
      </c>
      <c r="O679">
        <v>94.112223999999998</v>
      </c>
      <c r="Q679">
        <v>91.952979999999997</v>
      </c>
      <c r="R679">
        <v>100.91357499999999</v>
      </c>
    </row>
    <row r="680" spans="2:18">
      <c r="B680" s="27">
        <v>41605</v>
      </c>
      <c r="I680">
        <v>98.614345999999998</v>
      </c>
      <c r="J680">
        <v>106.621267</v>
      </c>
      <c r="K680">
        <v>101.53908300000001</v>
      </c>
      <c r="L680">
        <v>104.318038</v>
      </c>
      <c r="M680">
        <v>103.907183</v>
      </c>
      <c r="N680">
        <v>102.954666</v>
      </c>
      <c r="O680">
        <v>94.110806999999994</v>
      </c>
      <c r="Q680">
        <v>91.946162000000001</v>
      </c>
      <c r="R680">
        <v>100.813564</v>
      </c>
    </row>
    <row r="681" spans="2:18">
      <c r="B681" s="27">
        <v>41604</v>
      </c>
      <c r="I681">
        <v>98.610330000000005</v>
      </c>
      <c r="J681">
        <v>106.661833</v>
      </c>
      <c r="K681">
        <v>101.26508800000001</v>
      </c>
      <c r="L681">
        <v>104.33491600000001</v>
      </c>
      <c r="M681">
        <v>103.932486</v>
      </c>
      <c r="N681">
        <v>102.955448</v>
      </c>
      <c r="O681">
        <v>93.572295999999994</v>
      </c>
      <c r="Q681">
        <v>91.576374000000001</v>
      </c>
      <c r="R681">
        <v>100.66349200000001</v>
      </c>
    </row>
    <row r="682" spans="2:18">
      <c r="B682" s="27">
        <v>41603</v>
      </c>
      <c r="I682">
        <v>98.694805000000002</v>
      </c>
      <c r="J682">
        <v>106.567211</v>
      </c>
      <c r="K682">
        <v>101.267118</v>
      </c>
      <c r="L682">
        <v>104.300265</v>
      </c>
      <c r="M682">
        <v>103.887666</v>
      </c>
      <c r="N682">
        <v>102.769801</v>
      </c>
      <c r="O682">
        <v>93.567424000000003</v>
      </c>
      <c r="Q682">
        <v>91.570361000000005</v>
      </c>
      <c r="R682">
        <v>100.51917</v>
      </c>
    </row>
    <row r="683" spans="2:18">
      <c r="B683" s="27">
        <v>41600</v>
      </c>
      <c r="I683">
        <v>98.681453000000005</v>
      </c>
      <c r="J683">
        <v>106.589754</v>
      </c>
      <c r="K683">
        <v>101.26982599999999</v>
      </c>
      <c r="L683">
        <v>104.30990799999999</v>
      </c>
      <c r="M683">
        <v>103.891948</v>
      </c>
      <c r="N683">
        <v>102.771761</v>
      </c>
      <c r="O683">
        <v>93.555363999999997</v>
      </c>
      <c r="Q683">
        <v>91.564289000000002</v>
      </c>
      <c r="R683">
        <v>100.604472</v>
      </c>
    </row>
    <row r="684" spans="2:18">
      <c r="B684" s="27">
        <v>41599</v>
      </c>
      <c r="I684">
        <v>98.677094999999994</v>
      </c>
      <c r="J684">
        <v>106.631694</v>
      </c>
      <c r="K684">
        <v>101.271035</v>
      </c>
      <c r="L684">
        <v>104.35135099999999</v>
      </c>
      <c r="M684">
        <v>103.93273600000001</v>
      </c>
      <c r="N684">
        <v>102.741068</v>
      </c>
      <c r="O684">
        <v>93.546347999999995</v>
      </c>
      <c r="Q684">
        <v>91.557219000000003</v>
      </c>
      <c r="R684">
        <v>100.753873</v>
      </c>
    </row>
    <row r="685" spans="2:18">
      <c r="B685" s="27">
        <v>41598</v>
      </c>
      <c r="I685">
        <v>98.674798999999993</v>
      </c>
      <c r="J685">
        <v>106.67672399999999</v>
      </c>
      <c r="K685">
        <v>101.27396</v>
      </c>
      <c r="L685">
        <v>104.340219</v>
      </c>
      <c r="M685">
        <v>103.92476499999999</v>
      </c>
      <c r="N685">
        <v>102.993404</v>
      </c>
      <c r="O685">
        <v>93.540869000000001</v>
      </c>
      <c r="Q685">
        <v>91.551404000000005</v>
      </c>
      <c r="R685">
        <v>100.890821</v>
      </c>
    </row>
    <row r="686" spans="2:18">
      <c r="B686" s="27">
        <v>41597</v>
      </c>
      <c r="I686">
        <v>98.669865999999999</v>
      </c>
      <c r="J686">
        <v>106.643428</v>
      </c>
      <c r="K686">
        <v>101.278766</v>
      </c>
      <c r="L686">
        <v>104.303944</v>
      </c>
      <c r="M686">
        <v>103.876485</v>
      </c>
      <c r="N686">
        <v>102.935282</v>
      </c>
      <c r="O686">
        <v>93.533514999999994</v>
      </c>
      <c r="Q686">
        <v>91.533137999999994</v>
      </c>
      <c r="R686">
        <v>100.788904</v>
      </c>
    </row>
    <row r="687" spans="2:18">
      <c r="B687" s="27">
        <v>41596</v>
      </c>
      <c r="I687">
        <v>98.663848000000002</v>
      </c>
      <c r="J687">
        <v>106.70437099999999</v>
      </c>
      <c r="K687">
        <v>101.280787</v>
      </c>
      <c r="L687">
        <v>104.346777</v>
      </c>
      <c r="M687">
        <v>103.92995000000001</v>
      </c>
      <c r="N687">
        <v>103.124904</v>
      </c>
      <c r="O687">
        <v>93.524871000000005</v>
      </c>
      <c r="Q687">
        <v>91.526996999999994</v>
      </c>
      <c r="R687">
        <v>101.064604</v>
      </c>
    </row>
    <row r="688" spans="2:18">
      <c r="B688" s="27">
        <v>41593</v>
      </c>
      <c r="I688">
        <v>98.655849000000003</v>
      </c>
      <c r="J688">
        <v>106.660369</v>
      </c>
      <c r="K688">
        <v>101.283309</v>
      </c>
      <c r="L688">
        <v>104.313357</v>
      </c>
      <c r="M688">
        <v>103.88504399999999</v>
      </c>
      <c r="N688">
        <v>102.934506</v>
      </c>
      <c r="O688">
        <v>93.518574999999998</v>
      </c>
      <c r="Q688">
        <v>91.520105000000001</v>
      </c>
      <c r="R688">
        <v>100.694298</v>
      </c>
    </row>
    <row r="689" spans="2:18">
      <c r="B689" s="27">
        <v>41592</v>
      </c>
      <c r="I689">
        <v>98.651197999999994</v>
      </c>
      <c r="J689">
        <v>106.72156</v>
      </c>
      <c r="K689">
        <v>101.28260400000001</v>
      </c>
      <c r="L689">
        <v>104.31775399999999</v>
      </c>
      <c r="M689">
        <v>103.9014</v>
      </c>
      <c r="N689">
        <v>102.90548699999999</v>
      </c>
      <c r="O689">
        <v>93.516510999999994</v>
      </c>
      <c r="Q689">
        <v>91.513563000000005</v>
      </c>
      <c r="R689">
        <v>100.49368</v>
      </c>
    </row>
    <row r="690" spans="2:18">
      <c r="B690" s="27">
        <v>41591</v>
      </c>
      <c r="I690">
        <v>98.646252000000004</v>
      </c>
      <c r="J690">
        <v>106.628579</v>
      </c>
      <c r="K690">
        <v>101.28460099999999</v>
      </c>
      <c r="L690">
        <v>104.233604</v>
      </c>
      <c r="M690">
        <v>103.807441</v>
      </c>
      <c r="N690">
        <v>102.81146200000001</v>
      </c>
      <c r="O690">
        <v>93.512409000000005</v>
      </c>
      <c r="Q690">
        <v>91.507373999999999</v>
      </c>
      <c r="R690">
        <v>100.667512</v>
      </c>
    </row>
    <row r="691" spans="2:18">
      <c r="B691" s="27">
        <v>41590</v>
      </c>
      <c r="I691">
        <v>98.641559000000001</v>
      </c>
      <c r="J691">
        <v>106.653291</v>
      </c>
      <c r="K691">
        <v>101.291051</v>
      </c>
      <c r="L691">
        <v>104.184196</v>
      </c>
      <c r="M691">
        <v>103.74628199999999</v>
      </c>
      <c r="N691">
        <v>102.784916</v>
      </c>
      <c r="O691">
        <v>93.503190000000004</v>
      </c>
      <c r="Q691">
        <v>91.518958999999995</v>
      </c>
      <c r="R691">
        <v>100.45031400000001</v>
      </c>
    </row>
    <row r="692" spans="2:18">
      <c r="B692" s="27">
        <v>41589</v>
      </c>
      <c r="I692">
        <v>98.637546</v>
      </c>
      <c r="J692">
        <v>106.75435899999999</v>
      </c>
      <c r="K692">
        <v>101.29406899999999</v>
      </c>
      <c r="L692">
        <v>104.22707200000001</v>
      </c>
      <c r="M692">
        <v>103.850651</v>
      </c>
      <c r="N692">
        <v>103.039727</v>
      </c>
      <c r="O692">
        <v>93.494033999999999</v>
      </c>
      <c r="Q692">
        <v>91.482856999999996</v>
      </c>
      <c r="R692">
        <v>101.10756000000001</v>
      </c>
    </row>
    <row r="693" spans="2:18">
      <c r="B693" s="27">
        <v>41586</v>
      </c>
      <c r="I693">
        <v>98.623293000000004</v>
      </c>
      <c r="J693">
        <v>106.701305</v>
      </c>
      <c r="K693">
        <v>101.29494699999999</v>
      </c>
      <c r="L693">
        <v>104.25252999999999</v>
      </c>
      <c r="M693">
        <v>103.880347</v>
      </c>
      <c r="N693">
        <v>102.91656999999999</v>
      </c>
      <c r="O693">
        <v>93.484001000000006</v>
      </c>
      <c r="Q693">
        <v>91.476589000000004</v>
      </c>
      <c r="R693">
        <v>100.75721900000001</v>
      </c>
    </row>
    <row r="694" spans="2:18">
      <c r="B694" s="27">
        <v>41585</v>
      </c>
      <c r="I694">
        <v>98.622765000000001</v>
      </c>
      <c r="J694">
        <v>106.71194300000001</v>
      </c>
      <c r="K694">
        <v>101.298766</v>
      </c>
      <c r="L694">
        <v>104.383945</v>
      </c>
      <c r="M694">
        <v>104.01091599999999</v>
      </c>
      <c r="N694">
        <v>102.796284</v>
      </c>
      <c r="O694">
        <v>93.487436000000002</v>
      </c>
      <c r="Q694">
        <v>91.500631999999996</v>
      </c>
      <c r="R694">
        <v>100.780478</v>
      </c>
    </row>
    <row r="695" spans="2:18">
      <c r="B695" s="27">
        <v>41584</v>
      </c>
      <c r="I695">
        <v>98.615554000000003</v>
      </c>
      <c r="J695">
        <v>106.70605399999999</v>
      </c>
      <c r="K695">
        <v>101.297906</v>
      </c>
      <c r="L695">
        <v>104.36327799999999</v>
      </c>
      <c r="M695">
        <v>103.989918</v>
      </c>
      <c r="N695">
        <v>102.829971</v>
      </c>
      <c r="O695">
        <v>93.476104000000007</v>
      </c>
      <c r="Q695">
        <v>91.464161000000004</v>
      </c>
      <c r="R695">
        <v>100.872299</v>
      </c>
    </row>
    <row r="696" spans="2:18">
      <c r="B696" s="27">
        <v>41583</v>
      </c>
      <c r="I696">
        <v>98.607980999999995</v>
      </c>
      <c r="J696">
        <v>106.65479499999999</v>
      </c>
      <c r="K696">
        <v>101.303943</v>
      </c>
      <c r="L696">
        <v>104.371109</v>
      </c>
      <c r="M696">
        <v>103.92706099999999</v>
      </c>
      <c r="N696">
        <v>102.742814</v>
      </c>
      <c r="O696">
        <v>93.469635999999994</v>
      </c>
      <c r="Q696">
        <v>91.475059000000002</v>
      </c>
      <c r="R696">
        <v>100.824956</v>
      </c>
    </row>
    <row r="697" spans="2:18">
      <c r="B697" s="27">
        <v>41582</v>
      </c>
      <c r="I697">
        <v>98.610805999999997</v>
      </c>
      <c r="J697">
        <v>106.75658</v>
      </c>
      <c r="K697">
        <v>101.308605</v>
      </c>
      <c r="L697">
        <v>104.375257</v>
      </c>
      <c r="M697">
        <v>103.944036</v>
      </c>
      <c r="N697">
        <v>102.934051</v>
      </c>
      <c r="O697">
        <v>93.464720999999997</v>
      </c>
      <c r="Q697">
        <v>91.470219</v>
      </c>
      <c r="R697">
        <v>101.216182</v>
      </c>
    </row>
    <row r="698" spans="2:18">
      <c r="B698" s="27">
        <v>41579</v>
      </c>
      <c r="I698">
        <v>98.599628999999993</v>
      </c>
      <c r="J698">
        <v>106.888442</v>
      </c>
      <c r="K698">
        <v>101.327499</v>
      </c>
      <c r="L698">
        <v>104.353291</v>
      </c>
      <c r="M698">
        <v>103.922955</v>
      </c>
      <c r="N698">
        <v>103.156693</v>
      </c>
      <c r="O698">
        <v>93.447967000000006</v>
      </c>
      <c r="Q698">
        <v>91.433715000000007</v>
      </c>
      <c r="R698">
        <v>101.463038</v>
      </c>
    </row>
    <row r="699" spans="2:18">
      <c r="B699" s="27">
        <v>41578</v>
      </c>
      <c r="I699">
        <v>98.594061999999994</v>
      </c>
      <c r="J699">
        <v>106.89511</v>
      </c>
      <c r="K699">
        <v>101.32639</v>
      </c>
      <c r="L699">
        <v>104.40817199999999</v>
      </c>
      <c r="M699">
        <v>103.977745</v>
      </c>
      <c r="N699">
        <v>103.123874</v>
      </c>
      <c r="O699">
        <v>93.437653999999995</v>
      </c>
      <c r="Q699">
        <v>91.426564999999997</v>
      </c>
      <c r="R699">
        <v>101.670416</v>
      </c>
    </row>
    <row r="700" spans="2:18">
      <c r="B700" s="27">
        <v>41577</v>
      </c>
      <c r="I700">
        <v>98.587575999999999</v>
      </c>
      <c r="J700">
        <v>106.93772199999999</v>
      </c>
      <c r="K700">
        <v>101.32629</v>
      </c>
      <c r="L700">
        <v>104.386257</v>
      </c>
      <c r="M700">
        <v>103.944039</v>
      </c>
      <c r="N700">
        <v>103.185962</v>
      </c>
      <c r="O700">
        <v>93.432321000000002</v>
      </c>
      <c r="Q700">
        <v>91.419809999999998</v>
      </c>
      <c r="R700">
        <v>101.518512</v>
      </c>
    </row>
    <row r="701" spans="2:18">
      <c r="B701" s="27">
        <v>41576</v>
      </c>
      <c r="I701">
        <v>98.578601000000006</v>
      </c>
      <c r="J701">
        <v>106.92865399999999</v>
      </c>
      <c r="K701">
        <v>101.312522</v>
      </c>
      <c r="L701">
        <v>104.400161</v>
      </c>
      <c r="M701">
        <v>103.982517</v>
      </c>
      <c r="N701">
        <v>103.285523</v>
      </c>
      <c r="O701">
        <v>93.495695999999995</v>
      </c>
      <c r="Q701">
        <v>91.430207999999993</v>
      </c>
      <c r="R701">
        <v>101.49234800000001</v>
      </c>
    </row>
    <row r="702" spans="2:18">
      <c r="B702" s="27">
        <v>41575</v>
      </c>
      <c r="I702">
        <v>98.577190000000002</v>
      </c>
      <c r="J702">
        <v>106.86313699999999</v>
      </c>
      <c r="K702">
        <v>101.314132</v>
      </c>
      <c r="L702">
        <v>104.376107</v>
      </c>
      <c r="M702">
        <v>103.94627699999999</v>
      </c>
      <c r="N702">
        <v>103.130528</v>
      </c>
      <c r="O702">
        <v>93.422797000000003</v>
      </c>
      <c r="Q702">
        <v>91.423613000000003</v>
      </c>
      <c r="R702">
        <v>101.331442</v>
      </c>
    </row>
    <row r="703" spans="2:18">
      <c r="B703" s="27">
        <v>41572</v>
      </c>
      <c r="I703">
        <v>98.568314000000001</v>
      </c>
      <c r="J703">
        <v>106.92855</v>
      </c>
      <c r="K703">
        <v>101.336472</v>
      </c>
      <c r="L703">
        <v>104.390536</v>
      </c>
      <c r="M703">
        <v>103.961321</v>
      </c>
      <c r="N703">
        <v>103.230684</v>
      </c>
      <c r="O703">
        <v>93.412462000000005</v>
      </c>
      <c r="Q703">
        <v>91.389041000000006</v>
      </c>
      <c r="R703">
        <v>101.71838700000001</v>
      </c>
    </row>
    <row r="704" spans="2:18">
      <c r="B704" s="27">
        <v>41571</v>
      </c>
      <c r="I704">
        <v>98.564537999999999</v>
      </c>
      <c r="J704">
        <v>106.95353799999999</v>
      </c>
      <c r="K704">
        <v>101.319379</v>
      </c>
      <c r="L704">
        <v>104.380242</v>
      </c>
      <c r="M704">
        <v>103.952763</v>
      </c>
      <c r="N704">
        <v>103.167896</v>
      </c>
      <c r="O704">
        <v>93.437552999999994</v>
      </c>
      <c r="Q704">
        <v>91.415458000000001</v>
      </c>
      <c r="R704">
        <v>101.43502599999999</v>
      </c>
    </row>
    <row r="705" spans="2:18">
      <c r="B705" s="27">
        <v>41570</v>
      </c>
      <c r="I705">
        <v>98.530478000000002</v>
      </c>
      <c r="J705">
        <v>106.793993</v>
      </c>
      <c r="K705">
        <v>101.32497499999999</v>
      </c>
      <c r="L705">
        <v>104.41046299999999</v>
      </c>
      <c r="M705">
        <v>103.96973300000001</v>
      </c>
      <c r="N705">
        <v>102.823459</v>
      </c>
      <c r="O705">
        <v>93.440591999999995</v>
      </c>
      <c r="Q705">
        <v>91.44068</v>
      </c>
      <c r="R705">
        <v>100.993556</v>
      </c>
    </row>
    <row r="706" spans="2:18">
      <c r="B706" s="27">
        <v>41569</v>
      </c>
      <c r="I706">
        <v>98.560089000000005</v>
      </c>
      <c r="J706">
        <v>106.91467900000001</v>
      </c>
      <c r="K706">
        <v>101.331829</v>
      </c>
      <c r="L706">
        <v>104.424373</v>
      </c>
      <c r="M706">
        <v>103.982829</v>
      </c>
      <c r="N706">
        <v>103.002262</v>
      </c>
      <c r="O706">
        <v>93.432612000000006</v>
      </c>
      <c r="Q706">
        <v>91.424357999999998</v>
      </c>
      <c r="R706">
        <v>100.98664599999999</v>
      </c>
    </row>
    <row r="707" spans="2:18">
      <c r="B707" s="27">
        <v>41568</v>
      </c>
      <c r="I707">
        <v>98.562143000000006</v>
      </c>
      <c r="J707">
        <v>106.97780899999999</v>
      </c>
      <c r="K707">
        <v>101.335875</v>
      </c>
      <c r="L707">
        <v>104.323992</v>
      </c>
      <c r="M707">
        <v>103.898207</v>
      </c>
      <c r="N707">
        <v>102.968915</v>
      </c>
      <c r="O707">
        <v>93.433031</v>
      </c>
      <c r="Q707">
        <v>91.436757999999998</v>
      </c>
      <c r="R707">
        <v>100.92610000000001</v>
      </c>
    </row>
    <row r="708" spans="2:18">
      <c r="B708" s="27">
        <v>41565</v>
      </c>
      <c r="I708">
        <v>98.553075000000007</v>
      </c>
      <c r="J708">
        <v>106.89308</v>
      </c>
      <c r="K708">
        <v>101.335652</v>
      </c>
      <c r="L708">
        <v>104.35427799999999</v>
      </c>
      <c r="M708">
        <v>103.915205</v>
      </c>
      <c r="N708">
        <v>102.8379</v>
      </c>
      <c r="O708">
        <v>93.422488999999999</v>
      </c>
      <c r="Q708">
        <v>91.402321000000001</v>
      </c>
      <c r="R708">
        <v>100.713486</v>
      </c>
    </row>
    <row r="709" spans="2:18">
      <c r="B709" s="27">
        <v>41564</v>
      </c>
      <c r="I709">
        <v>98.547499000000002</v>
      </c>
      <c r="J709">
        <v>106.937302</v>
      </c>
      <c r="K709">
        <v>101.336573</v>
      </c>
      <c r="L709">
        <v>104.38323699999999</v>
      </c>
      <c r="M709">
        <v>103.944819</v>
      </c>
      <c r="N709">
        <v>102.834081</v>
      </c>
      <c r="O709">
        <v>93.427069000000003</v>
      </c>
      <c r="Q709">
        <v>91.426736000000005</v>
      </c>
      <c r="R709">
        <v>100.34911099999999</v>
      </c>
    </row>
    <row r="710" spans="2:18">
      <c r="B710" s="27">
        <v>41563</v>
      </c>
      <c r="I710">
        <v>98.544152999999994</v>
      </c>
      <c r="J710">
        <v>106.721237</v>
      </c>
      <c r="K710">
        <v>101.335626</v>
      </c>
      <c r="L710">
        <v>104.296046</v>
      </c>
      <c r="M710">
        <v>103.860297</v>
      </c>
      <c r="N710">
        <v>102.44520199999999</v>
      </c>
      <c r="O710">
        <v>93.422297999999998</v>
      </c>
      <c r="Q710">
        <v>91.422535999999994</v>
      </c>
      <c r="R710">
        <v>99.944417999999999</v>
      </c>
    </row>
    <row r="711" spans="2:18">
      <c r="B711" s="27">
        <v>41562</v>
      </c>
      <c r="I711">
        <v>98.539946999999998</v>
      </c>
      <c r="J711">
        <v>106.88426</v>
      </c>
      <c r="K711">
        <v>101.34439999999999</v>
      </c>
      <c r="L711">
        <v>104.24422800000001</v>
      </c>
      <c r="M711">
        <v>103.80949099999999</v>
      </c>
      <c r="N711">
        <v>102.66742000000001</v>
      </c>
      <c r="O711">
        <v>93.409782000000007</v>
      </c>
      <c r="Q711">
        <v>91.401576000000006</v>
      </c>
      <c r="R711">
        <v>100.487505</v>
      </c>
    </row>
    <row r="712" spans="2:18">
      <c r="B712" s="27">
        <v>41561</v>
      </c>
      <c r="I712">
        <v>98.5351</v>
      </c>
      <c r="J712">
        <v>106.822692</v>
      </c>
      <c r="K712">
        <v>101.344616</v>
      </c>
      <c r="L712">
        <v>104.19602500000001</v>
      </c>
      <c r="M712">
        <v>103.75014899999999</v>
      </c>
      <c r="N712">
        <v>102.572729</v>
      </c>
      <c r="O712">
        <v>93.408124999999998</v>
      </c>
      <c r="Q712">
        <v>91.392989999999998</v>
      </c>
      <c r="R712">
        <v>100.40483500000001</v>
      </c>
    </row>
    <row r="713" spans="2:18">
      <c r="B713" s="27">
        <v>41558</v>
      </c>
      <c r="I713">
        <v>98.538255000000007</v>
      </c>
      <c r="J713">
        <v>106.821388</v>
      </c>
      <c r="K713">
        <v>101.345635</v>
      </c>
      <c r="L713">
        <v>104.261449</v>
      </c>
      <c r="M713">
        <v>103.817961</v>
      </c>
      <c r="N713">
        <v>102.53185999999999</v>
      </c>
      <c r="O713">
        <v>93.458658</v>
      </c>
      <c r="Q713">
        <v>91.387859000000006</v>
      </c>
      <c r="R713">
        <v>100.466549</v>
      </c>
    </row>
    <row r="714" spans="2:18">
      <c r="B714" s="27">
        <v>41557</v>
      </c>
      <c r="I714">
        <v>98.520127000000002</v>
      </c>
      <c r="J714">
        <v>106.925032</v>
      </c>
      <c r="K714">
        <v>101.347559</v>
      </c>
      <c r="L714">
        <v>104.211805</v>
      </c>
      <c r="M714">
        <v>103.758394</v>
      </c>
      <c r="N714">
        <v>102.602217</v>
      </c>
      <c r="O714">
        <v>93.387404000000004</v>
      </c>
      <c r="Q714">
        <v>91.381584000000004</v>
      </c>
      <c r="R714">
        <v>100.38437</v>
      </c>
    </row>
    <row r="715" spans="2:18">
      <c r="B715" s="27">
        <v>41556</v>
      </c>
      <c r="I715">
        <v>98.518752000000006</v>
      </c>
      <c r="J715">
        <v>107.044184</v>
      </c>
      <c r="K715">
        <v>101.353335</v>
      </c>
      <c r="L715">
        <v>104.22899</v>
      </c>
      <c r="M715">
        <v>103.77499400000001</v>
      </c>
      <c r="N715">
        <v>102.850286</v>
      </c>
      <c r="O715">
        <v>93.373013</v>
      </c>
      <c r="Q715">
        <v>91.374160000000003</v>
      </c>
      <c r="R715">
        <v>100.948667</v>
      </c>
    </row>
    <row r="716" spans="2:18">
      <c r="B716" s="27">
        <v>41555</v>
      </c>
      <c r="I716">
        <v>98.513891999999998</v>
      </c>
      <c r="J716">
        <v>107.05368</v>
      </c>
      <c r="K716">
        <v>101.36218100000001</v>
      </c>
      <c r="L716">
        <v>104.249078</v>
      </c>
      <c r="M716">
        <v>103.735314</v>
      </c>
      <c r="N716">
        <v>102.810411</v>
      </c>
      <c r="O716">
        <v>93.369367999999994</v>
      </c>
      <c r="Q716">
        <v>91.354535999999996</v>
      </c>
      <c r="R716">
        <v>100.966212</v>
      </c>
    </row>
    <row r="717" spans="2:18">
      <c r="B717" s="27">
        <v>41554</v>
      </c>
      <c r="I717">
        <v>98.512647000000001</v>
      </c>
      <c r="J717">
        <v>107.071119</v>
      </c>
      <c r="K717">
        <v>101.360135</v>
      </c>
      <c r="L717">
        <v>104.34824500000001</v>
      </c>
      <c r="M717">
        <v>103.89889700000001</v>
      </c>
      <c r="N717">
        <v>102.925065</v>
      </c>
      <c r="O717">
        <v>93.368753999999996</v>
      </c>
      <c r="Q717">
        <v>91.350982999999999</v>
      </c>
      <c r="R717">
        <v>100.91909699999999</v>
      </c>
    </row>
    <row r="718" spans="2:18">
      <c r="B718" s="27">
        <v>41551</v>
      </c>
      <c r="I718">
        <v>98.498777000000004</v>
      </c>
      <c r="J718">
        <v>107.22102</v>
      </c>
      <c r="K718">
        <v>101.360135</v>
      </c>
      <c r="L718">
        <v>104.379762</v>
      </c>
      <c r="M718">
        <v>103.941461</v>
      </c>
      <c r="N718">
        <v>103.17216500000001</v>
      </c>
      <c r="O718">
        <v>93.345035999999993</v>
      </c>
      <c r="Q718">
        <v>91.320644000000001</v>
      </c>
      <c r="R718">
        <v>101.373386</v>
      </c>
    </row>
    <row r="719" spans="2:18">
      <c r="B719" s="27">
        <v>41550</v>
      </c>
      <c r="I719">
        <v>98.496117999999996</v>
      </c>
      <c r="J719">
        <v>107.117784</v>
      </c>
      <c r="K719">
        <v>101.366756</v>
      </c>
      <c r="L719">
        <v>104.438176</v>
      </c>
      <c r="M719">
        <v>104.00887299999999</v>
      </c>
      <c r="N719">
        <v>102.970052</v>
      </c>
      <c r="O719">
        <v>93.340956000000006</v>
      </c>
      <c r="Q719">
        <v>91.313255999999996</v>
      </c>
      <c r="R719">
        <v>101.084703</v>
      </c>
    </row>
    <row r="720" spans="2:18">
      <c r="B720" s="27">
        <v>41549</v>
      </c>
      <c r="I720">
        <v>98.547539999999998</v>
      </c>
      <c r="J720">
        <v>107.28137599999999</v>
      </c>
      <c r="K720">
        <v>101.36674499999999</v>
      </c>
      <c r="L720">
        <v>104.429129</v>
      </c>
      <c r="M720">
        <v>103.999324</v>
      </c>
      <c r="N720">
        <v>103.25174699999999</v>
      </c>
      <c r="O720">
        <v>93.556804999999997</v>
      </c>
      <c r="Q720">
        <v>91.338447000000002</v>
      </c>
      <c r="R720">
        <v>101.447012</v>
      </c>
    </row>
    <row r="721" spans="2:18">
      <c r="B721" s="27">
        <v>41548</v>
      </c>
      <c r="I721">
        <v>98.490864999999999</v>
      </c>
      <c r="J721">
        <v>107.286575</v>
      </c>
      <c r="K721">
        <v>101.37741</v>
      </c>
      <c r="L721">
        <v>104.36141499999999</v>
      </c>
      <c r="M721">
        <v>103.93265</v>
      </c>
      <c r="N721">
        <v>103.31280599999999</v>
      </c>
      <c r="O721">
        <v>93.324467999999996</v>
      </c>
      <c r="Q721">
        <v>91.28425</v>
      </c>
      <c r="R721">
        <v>101.513171</v>
      </c>
    </row>
    <row r="722" spans="2:18">
      <c r="B722" s="27">
        <v>41547</v>
      </c>
      <c r="I722">
        <v>98.486925999999997</v>
      </c>
      <c r="J722">
        <v>107.221424</v>
      </c>
      <c r="K722">
        <v>101.36865899999999</v>
      </c>
      <c r="L722">
        <v>104.420052</v>
      </c>
      <c r="M722">
        <v>103.975257</v>
      </c>
      <c r="N722">
        <v>103.161349</v>
      </c>
      <c r="O722">
        <v>93.324107999999995</v>
      </c>
      <c r="Q722">
        <v>91.312889999999996</v>
      </c>
      <c r="R722">
        <v>101.107333</v>
      </c>
    </row>
    <row r="723" spans="2:18">
      <c r="B723" s="27">
        <v>41544</v>
      </c>
      <c r="I723">
        <v>98.476318000000006</v>
      </c>
      <c r="J723">
        <v>107.392915</v>
      </c>
      <c r="K723">
        <v>101.368337</v>
      </c>
      <c r="L723">
        <v>104.410967</v>
      </c>
      <c r="M723">
        <v>103.96566900000001</v>
      </c>
      <c r="N723">
        <v>103.421323</v>
      </c>
      <c r="O723">
        <v>93.310124000000002</v>
      </c>
      <c r="Q723">
        <v>91.276022999999995</v>
      </c>
      <c r="R723">
        <v>101.46057</v>
      </c>
    </row>
    <row r="724" spans="2:18">
      <c r="B724" s="27">
        <v>41543</v>
      </c>
      <c r="I724">
        <v>98.473451999999995</v>
      </c>
      <c r="J724">
        <v>107.32645599999999</v>
      </c>
      <c r="K724">
        <v>101.37447299999999</v>
      </c>
      <c r="L724">
        <v>104.36125199999999</v>
      </c>
      <c r="M724">
        <v>103.902862</v>
      </c>
      <c r="N724">
        <v>103.29752999999999</v>
      </c>
      <c r="O724">
        <v>93.306549000000004</v>
      </c>
      <c r="Q724">
        <v>91.268507</v>
      </c>
      <c r="R724">
        <v>101.28585099999999</v>
      </c>
    </row>
    <row r="725" spans="2:18">
      <c r="B725" s="27">
        <v>41542</v>
      </c>
      <c r="I725">
        <v>98.472331999999994</v>
      </c>
      <c r="J725">
        <v>107.295545</v>
      </c>
      <c r="K725">
        <v>101.378455</v>
      </c>
      <c r="L725">
        <v>104.39276099999999</v>
      </c>
      <c r="M725">
        <v>103.932383</v>
      </c>
      <c r="N725">
        <v>103.36299099999999</v>
      </c>
      <c r="O725">
        <v>93.308177000000001</v>
      </c>
      <c r="Q725">
        <v>91.292490999999998</v>
      </c>
      <c r="R725">
        <v>100.98500799999999</v>
      </c>
    </row>
    <row r="726" spans="2:18">
      <c r="B726" s="27">
        <v>41541</v>
      </c>
      <c r="I726">
        <v>98.466960999999998</v>
      </c>
      <c r="J726">
        <v>107.345529</v>
      </c>
      <c r="K726">
        <v>101.39624999999999</v>
      </c>
      <c r="L726">
        <v>104.351938</v>
      </c>
      <c r="M726">
        <v>103.90461000000001</v>
      </c>
      <c r="N726">
        <v>103.052218</v>
      </c>
      <c r="O726">
        <v>93.310419999999993</v>
      </c>
      <c r="Q726">
        <v>91.306495999999996</v>
      </c>
      <c r="R726">
        <v>100.77275</v>
      </c>
    </row>
    <row r="727" spans="2:18">
      <c r="B727" s="27">
        <v>41540</v>
      </c>
      <c r="I727">
        <v>98.463026999999997</v>
      </c>
      <c r="J727">
        <v>107.24358599999999</v>
      </c>
      <c r="K727">
        <v>101.39800700000001</v>
      </c>
      <c r="L727">
        <v>104.32926999999999</v>
      </c>
      <c r="M727">
        <v>103.868863</v>
      </c>
      <c r="N727">
        <v>103.02993600000001</v>
      </c>
      <c r="O727">
        <v>93.304333</v>
      </c>
      <c r="Q727">
        <v>91.300758000000002</v>
      </c>
      <c r="R727">
        <v>100.699457</v>
      </c>
    </row>
    <row r="728" spans="2:18">
      <c r="B728" s="27">
        <v>41537</v>
      </c>
      <c r="I728">
        <v>98.451804999999993</v>
      </c>
      <c r="J728">
        <v>107.366542</v>
      </c>
      <c r="K728">
        <v>101.400175</v>
      </c>
      <c r="L728">
        <v>104.320159</v>
      </c>
      <c r="M728">
        <v>103.859246</v>
      </c>
      <c r="N728">
        <v>103.167793</v>
      </c>
      <c r="O728">
        <v>93.288081000000005</v>
      </c>
      <c r="Q728">
        <v>91.261950999999996</v>
      </c>
      <c r="R728">
        <v>100.924587</v>
      </c>
    </row>
    <row r="729" spans="2:18">
      <c r="B729" s="27">
        <v>41536</v>
      </c>
      <c r="I729">
        <v>98.449477000000002</v>
      </c>
      <c r="J729">
        <v>107.30967699999999</v>
      </c>
      <c r="K729">
        <v>101.40202499999999</v>
      </c>
      <c r="L729">
        <v>104.324758</v>
      </c>
      <c r="M729">
        <v>103.861825</v>
      </c>
      <c r="N729">
        <v>102.885941</v>
      </c>
      <c r="O729">
        <v>93.298357999999993</v>
      </c>
      <c r="Q729">
        <v>91.287597000000005</v>
      </c>
      <c r="R729">
        <v>100.147012</v>
      </c>
    </row>
    <row r="730" spans="2:18">
      <c r="B730" s="27">
        <v>41535</v>
      </c>
      <c r="I730">
        <v>98.445420999999996</v>
      </c>
      <c r="J730">
        <v>107.181985</v>
      </c>
      <c r="K730">
        <v>101.404681</v>
      </c>
      <c r="L730">
        <v>104.356296</v>
      </c>
      <c r="M730">
        <v>103.878328</v>
      </c>
      <c r="N730">
        <v>102.512435</v>
      </c>
      <c r="O730">
        <v>93.293032999999994</v>
      </c>
      <c r="Q730">
        <v>91.282490999999993</v>
      </c>
      <c r="R730">
        <v>100.253944</v>
      </c>
    </row>
    <row r="731" spans="2:18">
      <c r="B731" s="27">
        <v>41534</v>
      </c>
      <c r="I731">
        <v>98.439331999999993</v>
      </c>
      <c r="J731">
        <v>107.230142</v>
      </c>
      <c r="K731">
        <v>101.395543</v>
      </c>
      <c r="L731">
        <v>104.09805</v>
      </c>
      <c r="M731">
        <v>103.627934</v>
      </c>
      <c r="N731">
        <v>102.60734600000001</v>
      </c>
      <c r="O731">
        <v>93.283394000000001</v>
      </c>
      <c r="Q731">
        <v>91.265957</v>
      </c>
      <c r="R731">
        <v>100.433212</v>
      </c>
    </row>
    <row r="732" spans="2:18">
      <c r="B732" s="27">
        <v>41533</v>
      </c>
      <c r="I732">
        <v>98.436356000000004</v>
      </c>
      <c r="J732">
        <v>107.196314</v>
      </c>
      <c r="K732">
        <v>101.39765</v>
      </c>
      <c r="L732">
        <v>104.04814500000001</v>
      </c>
      <c r="M732">
        <v>103.578999</v>
      </c>
      <c r="N732">
        <v>102.480991</v>
      </c>
      <c r="O732">
        <v>93.285335000000003</v>
      </c>
      <c r="Q732">
        <v>91.292024999999995</v>
      </c>
      <c r="R732">
        <v>99.953394000000003</v>
      </c>
    </row>
    <row r="733" spans="2:18">
      <c r="B733" s="27">
        <v>41530</v>
      </c>
      <c r="I733">
        <v>98.425306000000006</v>
      </c>
      <c r="J733">
        <v>107.363827</v>
      </c>
      <c r="K733">
        <v>101.417531</v>
      </c>
      <c r="L733">
        <v>103.88952399999999</v>
      </c>
      <c r="M733">
        <v>103.399101</v>
      </c>
      <c r="N733">
        <v>102.64907700000001</v>
      </c>
      <c r="O733">
        <v>93.269037999999995</v>
      </c>
      <c r="Q733">
        <v>91.256592999999995</v>
      </c>
      <c r="R733">
        <v>100.301624</v>
      </c>
    </row>
    <row r="734" spans="2:18">
      <c r="B734" s="27">
        <v>41529</v>
      </c>
      <c r="I734">
        <v>98.419516999999999</v>
      </c>
      <c r="J734">
        <v>107.300563</v>
      </c>
      <c r="K734">
        <v>101.41943999999999</v>
      </c>
      <c r="L734">
        <v>103.894914</v>
      </c>
      <c r="M734">
        <v>103.40248</v>
      </c>
      <c r="N734">
        <v>102.499089</v>
      </c>
      <c r="O734">
        <v>93.271970999999994</v>
      </c>
      <c r="Q734">
        <v>91.282030000000006</v>
      </c>
      <c r="R734">
        <v>100.065181</v>
      </c>
    </row>
    <row r="735" spans="2:18">
      <c r="B735" s="27">
        <v>41528</v>
      </c>
      <c r="I735">
        <v>98.419054000000003</v>
      </c>
      <c r="J735">
        <v>107.18549299999999</v>
      </c>
      <c r="K735">
        <v>101.42263</v>
      </c>
      <c r="L735">
        <v>103.88574199999999</v>
      </c>
      <c r="M735">
        <v>103.392736</v>
      </c>
      <c r="N735">
        <v>102.296581</v>
      </c>
      <c r="O735">
        <v>93.271024999999995</v>
      </c>
      <c r="Q735">
        <v>91.274854000000005</v>
      </c>
      <c r="R735">
        <v>99.724525999999997</v>
      </c>
    </row>
    <row r="736" spans="2:18">
      <c r="B736" s="27">
        <v>41527</v>
      </c>
      <c r="I736">
        <v>98.423495000000003</v>
      </c>
      <c r="J736">
        <v>106.99029899999999</v>
      </c>
      <c r="K736">
        <v>101.410115</v>
      </c>
      <c r="L736">
        <v>103.816321</v>
      </c>
      <c r="M736">
        <v>103.297511</v>
      </c>
      <c r="N736">
        <v>102.003455</v>
      </c>
      <c r="O736">
        <v>93.412636000000006</v>
      </c>
      <c r="Q736">
        <v>91.258554000000004</v>
      </c>
      <c r="R736">
        <v>99.302629999999994</v>
      </c>
    </row>
    <row r="737" spans="2:18">
      <c r="B737" s="27">
        <v>41526</v>
      </c>
      <c r="I737">
        <v>98.414016000000004</v>
      </c>
      <c r="J737">
        <v>107.25184</v>
      </c>
      <c r="K737">
        <v>101.41409</v>
      </c>
      <c r="L737">
        <v>103.929513</v>
      </c>
      <c r="M737">
        <v>103.529751</v>
      </c>
      <c r="N737">
        <v>102.328451</v>
      </c>
      <c r="O737">
        <v>93.263666000000001</v>
      </c>
      <c r="Q737">
        <v>91.251346999999996</v>
      </c>
      <c r="R737">
        <v>99.721857999999997</v>
      </c>
    </row>
    <row r="738" spans="2:18">
      <c r="B738" s="27">
        <v>41523</v>
      </c>
      <c r="I738">
        <v>98.403525000000002</v>
      </c>
      <c r="J738">
        <v>107.251302</v>
      </c>
      <c r="K738">
        <v>101.434954</v>
      </c>
      <c r="L738">
        <v>103.81149499999999</v>
      </c>
      <c r="M738">
        <v>103.411895</v>
      </c>
      <c r="N738">
        <v>102.382436</v>
      </c>
      <c r="O738">
        <v>93.245161999999993</v>
      </c>
      <c r="Q738">
        <v>91.246285</v>
      </c>
      <c r="R738">
        <v>100.00542</v>
      </c>
    </row>
    <row r="739" spans="2:18">
      <c r="B739" s="27">
        <v>41522</v>
      </c>
      <c r="I739">
        <v>98.394144999999995</v>
      </c>
      <c r="J739">
        <v>107.284459</v>
      </c>
      <c r="K739">
        <v>101.43687</v>
      </c>
      <c r="L739">
        <v>103.66766</v>
      </c>
      <c r="M739">
        <v>103.268343</v>
      </c>
      <c r="N739">
        <v>102.47188199999999</v>
      </c>
      <c r="O739">
        <v>93.235167000000004</v>
      </c>
      <c r="Q739">
        <v>91.240680999999995</v>
      </c>
      <c r="R739">
        <v>100.147144</v>
      </c>
    </row>
    <row r="740" spans="2:18">
      <c r="B740" s="27">
        <v>41521</v>
      </c>
      <c r="I740">
        <v>98.392510999999999</v>
      </c>
      <c r="J740">
        <v>107.296116</v>
      </c>
      <c r="K740">
        <v>101.440774</v>
      </c>
      <c r="L740">
        <v>103.862208</v>
      </c>
      <c r="M740">
        <v>103.461566</v>
      </c>
      <c r="N740">
        <v>102.555508</v>
      </c>
      <c r="O740">
        <v>93.222318999999999</v>
      </c>
      <c r="Q740">
        <v>91.203907000000001</v>
      </c>
      <c r="R740">
        <v>100.08218100000001</v>
      </c>
    </row>
    <row r="741" spans="2:18">
      <c r="B741" s="27">
        <v>41520</v>
      </c>
      <c r="I741">
        <v>98.388136000000003</v>
      </c>
      <c r="J741">
        <v>107.43750300000001</v>
      </c>
      <c r="K741">
        <v>101.42894699999999</v>
      </c>
      <c r="L741">
        <v>104.181639</v>
      </c>
      <c r="M741">
        <v>103.634939</v>
      </c>
      <c r="N741">
        <v>102.79116</v>
      </c>
      <c r="O741">
        <v>93.207702999999995</v>
      </c>
      <c r="Q741">
        <v>91.185798000000005</v>
      </c>
      <c r="R741">
        <v>100.51758599999999</v>
      </c>
    </row>
    <row r="742" spans="2:18">
      <c r="B742" s="27">
        <v>41519</v>
      </c>
      <c r="I742">
        <v>98.388732000000005</v>
      </c>
      <c r="J742">
        <v>107.55004700000001</v>
      </c>
      <c r="K742">
        <v>101.432571</v>
      </c>
      <c r="L742">
        <v>104.172021</v>
      </c>
      <c r="M742">
        <v>103.62539599999999</v>
      </c>
      <c r="N742">
        <v>103.095617</v>
      </c>
      <c r="O742">
        <v>93.201369999999997</v>
      </c>
      <c r="Q742">
        <v>91.179580999999999</v>
      </c>
      <c r="R742">
        <v>100.83709399999999</v>
      </c>
    </row>
    <row r="743" spans="2:18">
      <c r="B743" s="27">
        <v>41516</v>
      </c>
      <c r="I743">
        <v>98.374441000000004</v>
      </c>
      <c r="J743">
        <v>107.65126100000001</v>
      </c>
      <c r="K743">
        <v>101.452749</v>
      </c>
      <c r="L743">
        <v>104.291352</v>
      </c>
      <c r="M743">
        <v>103.75100399999999</v>
      </c>
      <c r="N743">
        <v>103.185241</v>
      </c>
      <c r="O743">
        <v>93.189079000000007</v>
      </c>
      <c r="Q743">
        <v>91.175342999999998</v>
      </c>
      <c r="R743">
        <v>100.904229</v>
      </c>
    </row>
    <row r="744" spans="2:18">
      <c r="B744" s="27">
        <v>41515</v>
      </c>
      <c r="I744">
        <v>98.372805999999997</v>
      </c>
      <c r="J744">
        <v>107.622833</v>
      </c>
      <c r="K744">
        <v>101.454539</v>
      </c>
      <c r="L744">
        <v>104.25511</v>
      </c>
      <c r="M744">
        <v>103.72889499999999</v>
      </c>
      <c r="N744">
        <v>103.084492</v>
      </c>
      <c r="O744">
        <v>93.184117999999998</v>
      </c>
      <c r="Q744">
        <v>91.169684000000004</v>
      </c>
      <c r="R744">
        <v>100.905112</v>
      </c>
    </row>
    <row r="745" spans="2:18">
      <c r="B745" s="27">
        <v>41514</v>
      </c>
      <c r="I745">
        <v>98.369287999999997</v>
      </c>
      <c r="J745">
        <v>107.598788</v>
      </c>
      <c r="K745">
        <v>101.45657799999999</v>
      </c>
      <c r="L745">
        <v>104.23066300000001</v>
      </c>
      <c r="M745">
        <v>103.719387</v>
      </c>
      <c r="N745">
        <v>103.03117399999999</v>
      </c>
      <c r="O745">
        <v>93.181528</v>
      </c>
      <c r="Q745">
        <v>91.163832999999997</v>
      </c>
      <c r="R745">
        <v>100.697565</v>
      </c>
    </row>
    <row r="746" spans="2:18">
      <c r="B746" s="27">
        <v>41513</v>
      </c>
      <c r="I746">
        <v>98.365551999999994</v>
      </c>
      <c r="J746">
        <v>107.522892</v>
      </c>
      <c r="K746">
        <v>101.46234699999999</v>
      </c>
      <c r="L746">
        <v>104.31891</v>
      </c>
      <c r="M746">
        <v>103.808314</v>
      </c>
      <c r="N746">
        <v>102.915263</v>
      </c>
      <c r="O746">
        <v>93.182218000000006</v>
      </c>
      <c r="Q746">
        <v>91.178296000000003</v>
      </c>
      <c r="R746">
        <v>100.59854799999999</v>
      </c>
    </row>
    <row r="747" spans="2:18">
      <c r="B747" s="27">
        <v>41512</v>
      </c>
      <c r="I747">
        <v>98.361745999999997</v>
      </c>
      <c r="J747">
        <v>107.477358</v>
      </c>
      <c r="K747">
        <v>101.44452699999999</v>
      </c>
      <c r="L747">
        <v>104.294409</v>
      </c>
      <c r="M747">
        <v>103.73109700000001</v>
      </c>
      <c r="N747">
        <v>102.843412</v>
      </c>
      <c r="O747">
        <v>93.178809999999999</v>
      </c>
      <c r="Q747">
        <v>91.172387000000001</v>
      </c>
      <c r="R747">
        <v>100.297668</v>
      </c>
    </row>
    <row r="748" spans="2:18">
      <c r="B748" s="27">
        <v>41509</v>
      </c>
      <c r="I748">
        <v>98.352063000000001</v>
      </c>
      <c r="J748">
        <v>107.56785499999999</v>
      </c>
      <c r="K748">
        <v>101.468245</v>
      </c>
      <c r="L748">
        <v>104.24009100000001</v>
      </c>
      <c r="M748">
        <v>103.68094000000001</v>
      </c>
      <c r="N748">
        <v>102.917382</v>
      </c>
      <c r="O748">
        <v>93.169145</v>
      </c>
      <c r="Q748">
        <v>91.166319999999999</v>
      </c>
      <c r="R748">
        <v>100.31393199999999</v>
      </c>
    </row>
    <row r="749" spans="2:18">
      <c r="B749" s="27">
        <v>41508</v>
      </c>
      <c r="I749">
        <v>98.347026999999997</v>
      </c>
      <c r="J749">
        <v>107.672005</v>
      </c>
      <c r="K749">
        <v>101.469354</v>
      </c>
      <c r="L749">
        <v>104.18809</v>
      </c>
      <c r="M749">
        <v>103.63164</v>
      </c>
      <c r="N749">
        <v>103.08874900000001</v>
      </c>
      <c r="O749">
        <v>93.155319000000006</v>
      </c>
      <c r="Q749">
        <v>91.129294999999999</v>
      </c>
      <c r="R749">
        <v>100.537829</v>
      </c>
    </row>
    <row r="750" spans="2:18">
      <c r="B750" s="27">
        <v>41507</v>
      </c>
      <c r="I750">
        <v>98.342984999999999</v>
      </c>
      <c r="J750">
        <v>107.486279</v>
      </c>
      <c r="K750">
        <v>101.473377</v>
      </c>
      <c r="L750">
        <v>104.327308</v>
      </c>
      <c r="M750">
        <v>103.797926</v>
      </c>
      <c r="N750">
        <v>102.99014</v>
      </c>
      <c r="O750">
        <v>93.152331000000004</v>
      </c>
      <c r="Q750">
        <v>91.123233999999997</v>
      </c>
      <c r="R750">
        <v>100.440961</v>
      </c>
    </row>
    <row r="751" spans="2:18">
      <c r="B751" s="27">
        <v>41506</v>
      </c>
      <c r="I751">
        <v>98.342495999999997</v>
      </c>
      <c r="J751">
        <v>107.66994</v>
      </c>
      <c r="K751">
        <v>101.46178500000001</v>
      </c>
      <c r="L751">
        <v>104.445559</v>
      </c>
      <c r="M751">
        <v>103.904287</v>
      </c>
      <c r="N751">
        <v>103.123486</v>
      </c>
      <c r="O751">
        <v>93.152317999999994</v>
      </c>
      <c r="Q751">
        <v>91.137846999999994</v>
      </c>
      <c r="R751">
        <v>100.73855399999999</v>
      </c>
    </row>
    <row r="752" spans="2:18">
      <c r="B752" s="27">
        <v>41505</v>
      </c>
      <c r="I752">
        <v>98.339516000000003</v>
      </c>
      <c r="J752">
        <v>107.612155</v>
      </c>
      <c r="K752">
        <v>101.47383000000001</v>
      </c>
      <c r="L752">
        <v>104.361422</v>
      </c>
      <c r="M752">
        <v>103.813475</v>
      </c>
      <c r="N752">
        <v>103.06047599999999</v>
      </c>
      <c r="O752">
        <v>93.146182999999994</v>
      </c>
      <c r="Q752">
        <v>91.122044000000002</v>
      </c>
      <c r="R752">
        <v>100.65872899999999</v>
      </c>
    </row>
    <row r="753" spans="2:18">
      <c r="B753" s="27">
        <v>41502</v>
      </c>
      <c r="I753">
        <v>98.326166000000001</v>
      </c>
      <c r="J753">
        <v>107.73310600000001</v>
      </c>
      <c r="K753">
        <v>101.48386600000001</v>
      </c>
      <c r="L753">
        <v>104.411474</v>
      </c>
      <c r="M753">
        <v>103.89882799999999</v>
      </c>
      <c r="N753">
        <v>103.295329</v>
      </c>
      <c r="O753">
        <v>93.123908999999998</v>
      </c>
      <c r="Q753">
        <v>91.095658</v>
      </c>
      <c r="R753">
        <v>100.82553299999999</v>
      </c>
    </row>
    <row r="754" spans="2:18">
      <c r="B754" s="27">
        <v>41501</v>
      </c>
      <c r="I754">
        <v>98.320654000000005</v>
      </c>
      <c r="J754">
        <v>107.753629</v>
      </c>
      <c r="K754">
        <v>101.483987</v>
      </c>
      <c r="L754">
        <v>104.49313600000001</v>
      </c>
      <c r="M754">
        <v>103.957424</v>
      </c>
      <c r="N754">
        <v>103.339778</v>
      </c>
      <c r="O754">
        <v>93.114231000000004</v>
      </c>
      <c r="Q754">
        <v>91.089606000000003</v>
      </c>
      <c r="R754">
        <v>101.101094</v>
      </c>
    </row>
    <row r="755" spans="2:18">
      <c r="B755" s="27">
        <v>41500</v>
      </c>
      <c r="I755">
        <v>98.313140000000004</v>
      </c>
      <c r="J755">
        <v>107.853683</v>
      </c>
      <c r="K755">
        <v>101.48499700000001</v>
      </c>
      <c r="L755">
        <v>104.54310700000001</v>
      </c>
      <c r="M755">
        <v>104.02912499999999</v>
      </c>
      <c r="N755">
        <v>103.541343</v>
      </c>
      <c r="O755">
        <v>93.100275999999994</v>
      </c>
      <c r="Q755">
        <v>91.052176000000003</v>
      </c>
      <c r="R755">
        <v>101.555842</v>
      </c>
    </row>
    <row r="756" spans="2:18">
      <c r="B756" s="27">
        <v>41499</v>
      </c>
      <c r="I756">
        <v>98.312501999999995</v>
      </c>
      <c r="J756">
        <v>107.926795</v>
      </c>
      <c r="K756">
        <v>101.474407</v>
      </c>
      <c r="L756">
        <v>104.557406</v>
      </c>
      <c r="M756">
        <v>104.041</v>
      </c>
      <c r="N756">
        <v>103.653358</v>
      </c>
      <c r="O756">
        <v>93.092743999999996</v>
      </c>
      <c r="Q756">
        <v>91.066809000000006</v>
      </c>
      <c r="R756">
        <v>102.28251</v>
      </c>
    </row>
    <row r="757" spans="2:18">
      <c r="B757" s="27">
        <v>41498</v>
      </c>
      <c r="I757">
        <v>98.305175000000006</v>
      </c>
      <c r="J757">
        <v>107.901151</v>
      </c>
      <c r="K757">
        <v>101.478514</v>
      </c>
      <c r="L757">
        <v>104.69695400000001</v>
      </c>
      <c r="M757">
        <v>104.180781</v>
      </c>
      <c r="N757">
        <v>103.634293</v>
      </c>
      <c r="O757">
        <v>93.083856999999995</v>
      </c>
      <c r="Q757">
        <v>91.029656000000003</v>
      </c>
      <c r="R757">
        <v>102.20913</v>
      </c>
    </row>
    <row r="758" spans="2:18">
      <c r="B758" s="27">
        <v>41495</v>
      </c>
      <c r="I758">
        <v>98.300593000000006</v>
      </c>
      <c r="J758">
        <v>108.051575</v>
      </c>
      <c r="K758">
        <v>101.502544</v>
      </c>
      <c r="L758">
        <v>104.687382</v>
      </c>
      <c r="M758">
        <v>104.198475</v>
      </c>
      <c r="N758">
        <v>103.890984</v>
      </c>
      <c r="O758">
        <v>93.069283999999996</v>
      </c>
      <c r="Q758">
        <v>91.023929999999993</v>
      </c>
      <c r="R758">
        <v>102.560355</v>
      </c>
    </row>
    <row r="759" spans="2:18">
      <c r="B759" s="27">
        <v>41494</v>
      </c>
      <c r="I759">
        <v>98.292254999999997</v>
      </c>
      <c r="J759">
        <v>108.15056</v>
      </c>
      <c r="K759">
        <v>101.503456</v>
      </c>
      <c r="L759">
        <v>104.709062</v>
      </c>
      <c r="M759">
        <v>104.20259</v>
      </c>
      <c r="N759">
        <v>104.030286</v>
      </c>
      <c r="O759">
        <v>93.057886999999994</v>
      </c>
      <c r="Q759">
        <v>91.017764</v>
      </c>
      <c r="R759">
        <v>102.672026</v>
      </c>
    </row>
    <row r="760" spans="2:18">
      <c r="B760" s="27">
        <v>41493</v>
      </c>
      <c r="I760">
        <v>98.288454999999999</v>
      </c>
      <c r="J760">
        <v>108.11679599999999</v>
      </c>
      <c r="K760">
        <v>101.486503</v>
      </c>
      <c r="L760">
        <v>104.699519</v>
      </c>
      <c r="M760">
        <v>104.193084</v>
      </c>
      <c r="N760">
        <v>103.96866799999999</v>
      </c>
      <c r="O760">
        <v>93.058786999999995</v>
      </c>
      <c r="Q760">
        <v>91.012174999999999</v>
      </c>
      <c r="R760">
        <v>102.666449</v>
      </c>
    </row>
    <row r="761" spans="2:18">
      <c r="B761" s="27">
        <v>41492</v>
      </c>
      <c r="I761">
        <v>98.301821000000004</v>
      </c>
      <c r="J761">
        <v>107.807514</v>
      </c>
      <c r="K761">
        <v>101.494113</v>
      </c>
      <c r="L761">
        <v>104.7141</v>
      </c>
      <c r="M761">
        <v>104.178071</v>
      </c>
      <c r="N761">
        <v>103.51092</v>
      </c>
      <c r="O761">
        <v>93.149201000000005</v>
      </c>
      <c r="Q761">
        <v>91.027062000000001</v>
      </c>
      <c r="R761">
        <v>102.030619</v>
      </c>
    </row>
    <row r="762" spans="2:18">
      <c r="B762" s="27">
        <v>41491</v>
      </c>
      <c r="I762">
        <v>98.284222</v>
      </c>
      <c r="J762">
        <v>107.968755</v>
      </c>
      <c r="K762">
        <v>101.489959</v>
      </c>
      <c r="L762">
        <v>104.70453000000001</v>
      </c>
      <c r="M762">
        <v>104.279583</v>
      </c>
      <c r="N762">
        <v>103.738167</v>
      </c>
      <c r="O762">
        <v>93.056381999999999</v>
      </c>
      <c r="Q762">
        <v>91.019665000000003</v>
      </c>
      <c r="R762">
        <v>102.384388</v>
      </c>
    </row>
    <row r="763" spans="2:18">
      <c r="B763" s="27">
        <v>41488</v>
      </c>
      <c r="I763">
        <v>98.266495000000006</v>
      </c>
      <c r="J763">
        <v>108.160556</v>
      </c>
      <c r="K763">
        <v>101.510153</v>
      </c>
      <c r="L763">
        <v>104.769547</v>
      </c>
      <c r="M763">
        <v>104.339489</v>
      </c>
      <c r="N763">
        <v>103.957612</v>
      </c>
      <c r="O763">
        <v>93.030986999999996</v>
      </c>
      <c r="Q763">
        <v>90.988086999999993</v>
      </c>
      <c r="R763">
        <v>102.55376099999999</v>
      </c>
    </row>
    <row r="764" spans="2:18">
      <c r="B764" s="27">
        <v>41487</v>
      </c>
      <c r="I764">
        <v>98.275831999999994</v>
      </c>
      <c r="J764">
        <v>108.286855</v>
      </c>
      <c r="K764">
        <v>101.514135</v>
      </c>
      <c r="L764">
        <v>104.567797</v>
      </c>
      <c r="M764">
        <v>104.148336</v>
      </c>
      <c r="N764">
        <v>103.93314599999999</v>
      </c>
      <c r="O764">
        <v>93.038115000000005</v>
      </c>
      <c r="Q764">
        <v>90.982477000000003</v>
      </c>
      <c r="R764">
        <v>102.544641</v>
      </c>
    </row>
    <row r="765" spans="2:18">
      <c r="B765" s="27">
        <v>41486</v>
      </c>
      <c r="I765">
        <v>98.268531999999993</v>
      </c>
      <c r="J765">
        <v>108.153083</v>
      </c>
      <c r="K765">
        <v>101.52879</v>
      </c>
      <c r="L765">
        <v>104.707157</v>
      </c>
      <c r="M765">
        <v>104.2778</v>
      </c>
      <c r="N765">
        <v>103.922962</v>
      </c>
      <c r="O765">
        <v>93.033665999999997</v>
      </c>
      <c r="Q765">
        <v>90.975429000000005</v>
      </c>
      <c r="R765">
        <v>102.37979900000001</v>
      </c>
    </row>
    <row r="766" spans="2:18">
      <c r="B766" s="27">
        <v>41485</v>
      </c>
      <c r="I766">
        <v>98.244622000000007</v>
      </c>
      <c r="J766">
        <v>108.171792</v>
      </c>
      <c r="K766">
        <v>101.508565</v>
      </c>
      <c r="L766">
        <v>104.706789</v>
      </c>
      <c r="M766">
        <v>104.29024099999999</v>
      </c>
      <c r="N766">
        <v>103.878309</v>
      </c>
      <c r="O766">
        <v>93.023539</v>
      </c>
      <c r="Q766">
        <v>90.980177999999995</v>
      </c>
      <c r="R766">
        <v>102.269232</v>
      </c>
    </row>
    <row r="767" spans="2:18">
      <c r="B767" s="27">
        <v>41484</v>
      </c>
      <c r="I767">
        <v>98.246629999999996</v>
      </c>
      <c r="J767">
        <v>107.85945</v>
      </c>
      <c r="K767">
        <v>101.51251000000001</v>
      </c>
      <c r="L767">
        <v>104.741984</v>
      </c>
      <c r="M767">
        <v>104.322267</v>
      </c>
      <c r="N767">
        <v>103.390316</v>
      </c>
      <c r="O767">
        <v>93.028529000000006</v>
      </c>
      <c r="Q767">
        <v>91.007215000000002</v>
      </c>
      <c r="R767">
        <v>101.774778</v>
      </c>
    </row>
    <row r="768" spans="2:18">
      <c r="B768" s="27">
        <v>41481</v>
      </c>
      <c r="I768">
        <v>98.220443000000003</v>
      </c>
      <c r="J768">
        <v>107.834762</v>
      </c>
      <c r="K768">
        <v>101.508819</v>
      </c>
      <c r="L768">
        <v>104.73220000000001</v>
      </c>
      <c r="M768">
        <v>104.325197</v>
      </c>
      <c r="N768">
        <v>103.312099</v>
      </c>
      <c r="O768">
        <v>92.996354999999994</v>
      </c>
      <c r="Q768">
        <v>90.999364</v>
      </c>
      <c r="R768">
        <v>101.62035400000001</v>
      </c>
    </row>
    <row r="769" spans="2:18">
      <c r="B769" s="27">
        <v>41480</v>
      </c>
      <c r="I769">
        <v>98.215959999999995</v>
      </c>
      <c r="J769">
        <v>107.743042</v>
      </c>
      <c r="K769">
        <v>101.511876</v>
      </c>
      <c r="L769">
        <v>104.61561500000001</v>
      </c>
      <c r="M769">
        <v>104.200789</v>
      </c>
      <c r="N769">
        <v>103.267627</v>
      </c>
      <c r="O769">
        <v>92.955303000000001</v>
      </c>
      <c r="Q769">
        <v>90.930103000000003</v>
      </c>
      <c r="R769">
        <v>101.72086299999999</v>
      </c>
    </row>
    <row r="770" spans="2:18">
      <c r="B770" s="27">
        <v>41479</v>
      </c>
      <c r="I770">
        <v>98.211202999999998</v>
      </c>
      <c r="J770">
        <v>107.944818</v>
      </c>
      <c r="K770">
        <v>101.514798</v>
      </c>
      <c r="L770">
        <v>104.620963</v>
      </c>
      <c r="M770">
        <v>104.204886</v>
      </c>
      <c r="N770">
        <v>103.561932</v>
      </c>
      <c r="O770">
        <v>92.997955000000005</v>
      </c>
      <c r="Q770">
        <v>90.972453999999999</v>
      </c>
      <c r="R770">
        <v>101.915705</v>
      </c>
    </row>
    <row r="771" spans="2:18">
      <c r="B771" s="27">
        <v>41478</v>
      </c>
      <c r="I771">
        <v>98.140518</v>
      </c>
      <c r="J771">
        <v>107.92701599999999</v>
      </c>
      <c r="K771">
        <v>101.49849399999999</v>
      </c>
      <c r="L771">
        <v>104.72476899999999</v>
      </c>
      <c r="M771">
        <v>104.314826</v>
      </c>
      <c r="N771">
        <v>103.50077899999999</v>
      </c>
      <c r="O771">
        <v>92.983542999999997</v>
      </c>
      <c r="Q771">
        <v>90.955042000000006</v>
      </c>
      <c r="R771">
        <v>101.97631</v>
      </c>
    </row>
    <row r="772" spans="2:18">
      <c r="B772" s="27">
        <v>41477</v>
      </c>
      <c r="I772">
        <v>98.207532</v>
      </c>
      <c r="J772">
        <v>107.810304</v>
      </c>
      <c r="K772">
        <v>101.505572</v>
      </c>
      <c r="L772">
        <v>104.730126</v>
      </c>
      <c r="M772">
        <v>104.332892</v>
      </c>
      <c r="N772">
        <v>103.199386</v>
      </c>
      <c r="O772">
        <v>92.998085000000003</v>
      </c>
      <c r="Q772">
        <v>90.983778999999998</v>
      </c>
      <c r="R772">
        <v>101.62247000000001</v>
      </c>
    </row>
    <row r="773" spans="2:18">
      <c r="B773" s="27">
        <v>41474</v>
      </c>
      <c r="I773">
        <v>98.198324</v>
      </c>
      <c r="J773">
        <v>107.838745</v>
      </c>
      <c r="K773">
        <v>101.525052</v>
      </c>
      <c r="L773">
        <v>104.765309</v>
      </c>
      <c r="M773">
        <v>104.35096299999999</v>
      </c>
      <c r="N773">
        <v>103.16686900000001</v>
      </c>
      <c r="O773">
        <v>92.981752</v>
      </c>
      <c r="Q773">
        <v>90.956519</v>
      </c>
      <c r="R773">
        <v>101.59484</v>
      </c>
    </row>
    <row r="774" spans="2:18">
      <c r="B774" s="27">
        <v>41473</v>
      </c>
      <c r="I774">
        <v>98.190899999999999</v>
      </c>
      <c r="J774">
        <v>107.79830699999999</v>
      </c>
      <c r="K774">
        <v>101.52440199999999</v>
      </c>
      <c r="L774">
        <v>104.742383</v>
      </c>
      <c r="M774">
        <v>104.327035</v>
      </c>
      <c r="N774">
        <v>102.897406</v>
      </c>
      <c r="O774">
        <v>92.983951000000005</v>
      </c>
      <c r="Q774">
        <v>90.984171000000003</v>
      </c>
      <c r="R774">
        <v>101.16682299999999</v>
      </c>
    </row>
    <row r="775" spans="2:18">
      <c r="B775" s="27">
        <v>41472</v>
      </c>
      <c r="I775">
        <v>98.186915999999997</v>
      </c>
      <c r="J775">
        <v>107.739189</v>
      </c>
      <c r="K775">
        <v>101.50408</v>
      </c>
      <c r="L775">
        <v>104.747742</v>
      </c>
      <c r="M775">
        <v>104.331152</v>
      </c>
      <c r="N775">
        <v>102.96851700000001</v>
      </c>
      <c r="O775">
        <v>92.979787999999999</v>
      </c>
      <c r="Q775">
        <v>90.980529000000004</v>
      </c>
      <c r="R775">
        <v>101.120234</v>
      </c>
    </row>
    <row r="776" spans="2:18">
      <c r="B776" s="27">
        <v>41471</v>
      </c>
      <c r="I776">
        <v>98.182333</v>
      </c>
      <c r="J776">
        <v>107.641238</v>
      </c>
      <c r="K776">
        <v>101.51215999999999</v>
      </c>
      <c r="L776">
        <v>104.672803</v>
      </c>
      <c r="M776">
        <v>104.245892</v>
      </c>
      <c r="N776">
        <v>102.837372</v>
      </c>
      <c r="O776">
        <v>92.966883999999993</v>
      </c>
      <c r="Q776">
        <v>90.960362000000003</v>
      </c>
      <c r="R776">
        <v>100.937547</v>
      </c>
    </row>
    <row r="777" spans="2:18">
      <c r="B777" s="27">
        <v>41470</v>
      </c>
      <c r="I777">
        <v>98.177325999999994</v>
      </c>
      <c r="J777">
        <v>107.813417</v>
      </c>
      <c r="K777">
        <v>101.51381600000001</v>
      </c>
      <c r="L777">
        <v>104.618498</v>
      </c>
      <c r="M777">
        <v>104.19413900000001</v>
      </c>
      <c r="N777">
        <v>103.057551</v>
      </c>
      <c r="O777">
        <v>92.966087999999999</v>
      </c>
      <c r="Q777">
        <v>90.955715999999995</v>
      </c>
      <c r="R777">
        <v>101.353138</v>
      </c>
    </row>
    <row r="778" spans="2:18">
      <c r="B778" s="27">
        <v>41467</v>
      </c>
      <c r="I778">
        <v>98.168364999999994</v>
      </c>
      <c r="J778">
        <v>107.928831</v>
      </c>
      <c r="K778">
        <v>101.527925</v>
      </c>
      <c r="L778">
        <v>104.579105</v>
      </c>
      <c r="M778">
        <v>104.142375</v>
      </c>
      <c r="N778">
        <v>103.174306</v>
      </c>
      <c r="O778">
        <v>92.954234999999997</v>
      </c>
      <c r="Q778">
        <v>90.935834999999997</v>
      </c>
      <c r="R778">
        <v>101.42648800000001</v>
      </c>
    </row>
    <row r="779" spans="2:18">
      <c r="B779" s="27">
        <v>41466</v>
      </c>
      <c r="I779">
        <v>98.163802000000004</v>
      </c>
      <c r="J779">
        <v>107.86487200000001</v>
      </c>
      <c r="K779">
        <v>101.52595599999999</v>
      </c>
      <c r="L779">
        <v>104.631029</v>
      </c>
      <c r="M779">
        <v>104.20228400000001</v>
      </c>
      <c r="N779">
        <v>102.945001</v>
      </c>
      <c r="O779">
        <v>92.956969000000001</v>
      </c>
      <c r="Q779">
        <v>90.955477999999999</v>
      </c>
      <c r="R779">
        <v>101.204606</v>
      </c>
    </row>
    <row r="780" spans="2:18">
      <c r="B780" s="27">
        <v>41465</v>
      </c>
      <c r="I780">
        <v>98.161563000000001</v>
      </c>
      <c r="J780">
        <v>107.69174</v>
      </c>
      <c r="K780">
        <v>101.523639</v>
      </c>
      <c r="L780">
        <v>104.457689</v>
      </c>
      <c r="M780">
        <v>104.024366</v>
      </c>
      <c r="N780">
        <v>102.70767499999999</v>
      </c>
      <c r="O780">
        <v>92.959359000000006</v>
      </c>
      <c r="Q780">
        <v>90.953023000000002</v>
      </c>
      <c r="R780">
        <v>100.68955699999999</v>
      </c>
    </row>
    <row r="781" spans="2:18">
      <c r="B781" s="27">
        <v>41464</v>
      </c>
      <c r="I781">
        <v>98.159531000000001</v>
      </c>
      <c r="J781">
        <v>107.613947</v>
      </c>
      <c r="K781">
        <v>101.508408</v>
      </c>
      <c r="L781">
        <v>104.501464</v>
      </c>
      <c r="M781">
        <v>104.06403</v>
      </c>
      <c r="N781">
        <v>102.561419</v>
      </c>
      <c r="O781">
        <v>92.963177000000002</v>
      </c>
      <c r="Q781">
        <v>90.967633000000006</v>
      </c>
      <c r="R781">
        <v>100.307957</v>
      </c>
    </row>
    <row r="782" spans="2:18">
      <c r="B782" s="27">
        <v>41463</v>
      </c>
      <c r="I782">
        <v>98.155085999999997</v>
      </c>
      <c r="J782">
        <v>107.628111</v>
      </c>
      <c r="K782">
        <v>101.505449</v>
      </c>
      <c r="L782">
        <v>104.506826</v>
      </c>
      <c r="M782">
        <v>104.166156</v>
      </c>
      <c r="N782">
        <v>102.69914300000001</v>
      </c>
      <c r="O782">
        <v>92.950812999999997</v>
      </c>
      <c r="Q782">
        <v>90.932903999999994</v>
      </c>
      <c r="R782">
        <v>101.185901</v>
      </c>
    </row>
    <row r="783" spans="2:18">
      <c r="B783" s="27">
        <v>41460</v>
      </c>
      <c r="I783">
        <v>98.146225000000001</v>
      </c>
      <c r="J783">
        <v>107.59928600000001</v>
      </c>
      <c r="K783">
        <v>101.530469</v>
      </c>
      <c r="L783">
        <v>104.348022</v>
      </c>
      <c r="M783">
        <v>103.997856</v>
      </c>
      <c r="N783">
        <v>102.565123</v>
      </c>
      <c r="O783">
        <v>92.932462999999998</v>
      </c>
      <c r="Q783">
        <v>90.926135000000002</v>
      </c>
      <c r="R783">
        <v>100.690781</v>
      </c>
    </row>
    <row r="784" spans="2:18">
      <c r="B784" s="27">
        <v>41459</v>
      </c>
      <c r="I784">
        <v>98.142368000000005</v>
      </c>
      <c r="J784">
        <v>107.77863000000001</v>
      </c>
      <c r="K784">
        <v>101.53248000000001</v>
      </c>
      <c r="L784">
        <v>104.54942200000001</v>
      </c>
      <c r="M784">
        <v>104.23334199999999</v>
      </c>
      <c r="N784">
        <v>102.735043</v>
      </c>
      <c r="O784">
        <v>92.919945999999996</v>
      </c>
      <c r="Q784">
        <v>90.920535999999998</v>
      </c>
      <c r="R784">
        <v>101.10745199999999</v>
      </c>
    </row>
    <row r="785" spans="2:18">
      <c r="B785" s="27">
        <v>41458</v>
      </c>
      <c r="I785">
        <v>98.138459999999995</v>
      </c>
      <c r="J785">
        <v>107.97632900000001</v>
      </c>
      <c r="K785">
        <v>101.53358900000001</v>
      </c>
      <c r="L785">
        <v>104.564317</v>
      </c>
      <c r="M785">
        <v>104.251768</v>
      </c>
      <c r="N785">
        <v>103.30587300000001</v>
      </c>
      <c r="O785">
        <v>92.921250999999998</v>
      </c>
      <c r="Q785">
        <v>90.914376000000004</v>
      </c>
      <c r="R785">
        <v>101.39881</v>
      </c>
    </row>
    <row r="786" spans="2:18">
      <c r="B786" s="27">
        <v>41457</v>
      </c>
      <c r="I786">
        <v>98.133163999999994</v>
      </c>
      <c r="J786">
        <v>107.74253299999999</v>
      </c>
      <c r="K786">
        <v>101.54202100000001</v>
      </c>
      <c r="L786">
        <v>104.645083</v>
      </c>
      <c r="M786">
        <v>104.32227899999999</v>
      </c>
      <c r="N786">
        <v>102.885786</v>
      </c>
      <c r="O786">
        <v>92.923598999999996</v>
      </c>
      <c r="Q786">
        <v>90.928433999999996</v>
      </c>
      <c r="R786">
        <v>101.607872</v>
      </c>
    </row>
    <row r="787" spans="2:18">
      <c r="B787" s="27">
        <v>41456</v>
      </c>
      <c r="I787">
        <v>98.130131000000006</v>
      </c>
      <c r="J787">
        <v>107.67221499999999</v>
      </c>
      <c r="K787">
        <v>101.54695700000001</v>
      </c>
      <c r="L787">
        <v>104.614615</v>
      </c>
      <c r="M787">
        <v>104.28353300000001</v>
      </c>
      <c r="N787">
        <v>102.883447</v>
      </c>
      <c r="O787">
        <v>92.908803000000006</v>
      </c>
      <c r="Q787">
        <v>90.888392999999994</v>
      </c>
      <c r="R787">
        <v>101.382364</v>
      </c>
    </row>
    <row r="788" spans="2:18">
      <c r="B788" s="27">
        <v>41453</v>
      </c>
      <c r="I788">
        <v>98.120716000000002</v>
      </c>
      <c r="J788">
        <v>107.89836699999999</v>
      </c>
      <c r="K788">
        <v>101.460843</v>
      </c>
      <c r="L788">
        <v>104.62439500000001</v>
      </c>
      <c r="M788">
        <v>104.28796800000001</v>
      </c>
      <c r="N788">
        <v>103.026855</v>
      </c>
      <c r="O788">
        <v>92.907459000000003</v>
      </c>
      <c r="Q788">
        <v>90.916667000000004</v>
      </c>
      <c r="R788">
        <v>100.731723</v>
      </c>
    </row>
    <row r="789" spans="2:18">
      <c r="B789" s="27">
        <v>41452</v>
      </c>
      <c r="I789">
        <v>98.122146000000001</v>
      </c>
      <c r="J789">
        <v>107.625</v>
      </c>
      <c r="K789">
        <v>101.52906</v>
      </c>
      <c r="L789">
        <v>104.63169499999999</v>
      </c>
      <c r="M789">
        <v>104.27874199999999</v>
      </c>
      <c r="N789">
        <v>102.55</v>
      </c>
      <c r="O789">
        <v>92.915643000000003</v>
      </c>
      <c r="Q789">
        <v>90.912394000000006</v>
      </c>
      <c r="R789">
        <v>100.150924</v>
      </c>
    </row>
    <row r="790" spans="2:18">
      <c r="B790" s="27">
        <v>41451</v>
      </c>
      <c r="I790">
        <v>98.118211000000002</v>
      </c>
      <c r="J790">
        <v>107.63142000000001</v>
      </c>
      <c r="K790">
        <v>101.52911</v>
      </c>
      <c r="L790">
        <v>104.502965</v>
      </c>
      <c r="M790">
        <v>104.153825</v>
      </c>
      <c r="N790">
        <v>102.60947899999999</v>
      </c>
      <c r="O790">
        <v>92.909495000000007</v>
      </c>
      <c r="Q790">
        <v>90.908073000000002</v>
      </c>
      <c r="R790">
        <v>100.758037</v>
      </c>
    </row>
    <row r="791" spans="2:18">
      <c r="B791" s="27">
        <v>41450</v>
      </c>
      <c r="I791">
        <v>98.114469999999997</v>
      </c>
      <c r="J791">
        <v>107.383506</v>
      </c>
      <c r="K791">
        <v>101.544541</v>
      </c>
      <c r="L791">
        <v>104.397464</v>
      </c>
      <c r="M791">
        <v>104.065341</v>
      </c>
      <c r="N791">
        <v>102.355684</v>
      </c>
      <c r="O791">
        <v>92.922509000000005</v>
      </c>
      <c r="Q791">
        <v>90.92165</v>
      </c>
      <c r="R791">
        <v>100.13594500000001</v>
      </c>
    </row>
    <row r="792" spans="2:18">
      <c r="B792" s="27">
        <v>41449</v>
      </c>
      <c r="I792">
        <v>98.111830999999995</v>
      </c>
      <c r="J792">
        <v>107.547561</v>
      </c>
      <c r="K792">
        <v>101.546538</v>
      </c>
      <c r="L792">
        <v>104.4327</v>
      </c>
      <c r="M792">
        <v>104.098581</v>
      </c>
      <c r="N792">
        <v>102.96899999999999</v>
      </c>
      <c r="O792">
        <v>92.890731000000002</v>
      </c>
      <c r="Q792">
        <v>90.883042000000003</v>
      </c>
      <c r="R792">
        <v>100.48971899999999</v>
      </c>
    </row>
    <row r="793" spans="2:18">
      <c r="B793" s="27">
        <v>41446</v>
      </c>
      <c r="I793">
        <v>98.097757999999999</v>
      </c>
      <c r="J793">
        <v>107.852276</v>
      </c>
      <c r="K793">
        <v>101.548486</v>
      </c>
      <c r="L793">
        <v>104.527666</v>
      </c>
      <c r="M793">
        <v>104.175037</v>
      </c>
      <c r="N793">
        <v>103.582267</v>
      </c>
      <c r="O793">
        <v>92.855249999999998</v>
      </c>
      <c r="Q793">
        <v>90.844110999999998</v>
      </c>
      <c r="R793">
        <v>101.690023</v>
      </c>
    </row>
    <row r="794" spans="2:18">
      <c r="B794" s="27">
        <v>41445</v>
      </c>
      <c r="I794">
        <v>98.090298000000004</v>
      </c>
      <c r="J794">
        <v>108.009916</v>
      </c>
      <c r="K794">
        <v>101.550634</v>
      </c>
      <c r="L794">
        <v>104.743849</v>
      </c>
      <c r="M794">
        <v>104.517315</v>
      </c>
      <c r="N794">
        <v>104.012338</v>
      </c>
      <c r="O794">
        <v>92.832329999999999</v>
      </c>
      <c r="Q794">
        <v>90.804586999999998</v>
      </c>
      <c r="R794">
        <v>102.526746</v>
      </c>
    </row>
    <row r="795" spans="2:18">
      <c r="B795" s="27">
        <v>41444</v>
      </c>
      <c r="I795">
        <v>98.094611999999998</v>
      </c>
      <c r="J795">
        <v>108.263069</v>
      </c>
      <c r="K795">
        <v>101.55242200000001</v>
      </c>
      <c r="L795">
        <v>104.96016899999999</v>
      </c>
      <c r="M795">
        <v>104.622682</v>
      </c>
      <c r="N795">
        <v>104.441569</v>
      </c>
      <c r="O795">
        <v>92.828480999999996</v>
      </c>
      <c r="Q795">
        <v>90.796834000000004</v>
      </c>
      <c r="R795">
        <v>102.919875</v>
      </c>
    </row>
    <row r="796" spans="2:18">
      <c r="B796" s="27">
        <v>41443</v>
      </c>
      <c r="I796">
        <v>98.082967999999994</v>
      </c>
      <c r="J796">
        <v>108.276556</v>
      </c>
      <c r="K796">
        <v>101.561944</v>
      </c>
      <c r="L796">
        <v>105.244258</v>
      </c>
      <c r="M796">
        <v>104.910082</v>
      </c>
      <c r="N796">
        <v>104.462366</v>
      </c>
      <c r="O796">
        <v>92.825320000000005</v>
      </c>
      <c r="Q796">
        <v>90.782375999999999</v>
      </c>
      <c r="R796">
        <v>102.94859099999999</v>
      </c>
    </row>
    <row r="797" spans="2:18">
      <c r="B797" s="27">
        <v>41442</v>
      </c>
      <c r="I797">
        <v>98.087815000000006</v>
      </c>
      <c r="J797">
        <v>108.178346</v>
      </c>
      <c r="K797">
        <v>101.565245</v>
      </c>
      <c r="L797">
        <v>105.249792</v>
      </c>
      <c r="M797">
        <v>104.914686</v>
      </c>
      <c r="N797">
        <v>104.387518</v>
      </c>
      <c r="O797">
        <v>92.821011999999996</v>
      </c>
      <c r="Q797">
        <v>90.774930999999995</v>
      </c>
      <c r="R797">
        <v>102.894081</v>
      </c>
    </row>
    <row r="798" spans="2:18">
      <c r="B798" s="27">
        <v>41439</v>
      </c>
      <c r="I798">
        <v>98.076156999999995</v>
      </c>
      <c r="J798">
        <v>108.3775</v>
      </c>
      <c r="K798">
        <v>101.566316</v>
      </c>
      <c r="L798">
        <v>105.27028</v>
      </c>
      <c r="M798">
        <v>104.919291</v>
      </c>
      <c r="N798">
        <v>104.511723</v>
      </c>
      <c r="O798">
        <v>92.810203000000001</v>
      </c>
      <c r="Q798">
        <v>90.772913000000003</v>
      </c>
      <c r="R798">
        <v>103.048872</v>
      </c>
    </row>
    <row r="799" spans="2:18">
      <c r="B799" s="27">
        <v>41438</v>
      </c>
      <c r="I799">
        <v>98.073170000000005</v>
      </c>
      <c r="J799">
        <v>108.35148700000001</v>
      </c>
      <c r="K799">
        <v>101.569073</v>
      </c>
      <c r="L799">
        <v>105.09780499999999</v>
      </c>
      <c r="M799">
        <v>104.750682</v>
      </c>
      <c r="N799">
        <v>104.45714099999999</v>
      </c>
      <c r="O799">
        <v>92.810480999999996</v>
      </c>
      <c r="Q799">
        <v>90.767748999999995</v>
      </c>
      <c r="R799">
        <v>103.047837</v>
      </c>
    </row>
    <row r="800" spans="2:18">
      <c r="B800" s="27">
        <v>41437</v>
      </c>
      <c r="I800">
        <v>98.068382</v>
      </c>
      <c r="J800">
        <v>108.37085</v>
      </c>
      <c r="K800">
        <v>101.572856</v>
      </c>
      <c r="L800">
        <v>105.043622</v>
      </c>
      <c r="M800">
        <v>104.682894</v>
      </c>
      <c r="N800">
        <v>104.51996800000001</v>
      </c>
      <c r="O800">
        <v>92.800037000000003</v>
      </c>
      <c r="Q800">
        <v>90.758049</v>
      </c>
      <c r="R800">
        <v>103.018726</v>
      </c>
    </row>
    <row r="801" spans="2:18">
      <c r="B801" s="27">
        <v>41436</v>
      </c>
      <c r="I801">
        <v>98.067997000000005</v>
      </c>
      <c r="J801">
        <v>108.46963599999999</v>
      </c>
      <c r="K801">
        <v>101.58183200000001</v>
      </c>
      <c r="L801">
        <v>105.07363100000001</v>
      </c>
      <c r="M801">
        <v>104.71064</v>
      </c>
      <c r="N801">
        <v>104.841014</v>
      </c>
      <c r="O801">
        <v>92.785255000000006</v>
      </c>
      <c r="Q801">
        <v>90.741189000000006</v>
      </c>
      <c r="R801">
        <v>103.327383</v>
      </c>
    </row>
    <row r="802" spans="2:18">
      <c r="B802" s="27">
        <v>41435</v>
      </c>
      <c r="I802">
        <v>98.056887000000003</v>
      </c>
      <c r="J802">
        <v>108.420051</v>
      </c>
      <c r="K802">
        <v>101.58188699999999</v>
      </c>
      <c r="L802">
        <v>105.109082</v>
      </c>
      <c r="M802">
        <v>104.805729</v>
      </c>
      <c r="N802">
        <v>104.709889</v>
      </c>
      <c r="O802">
        <v>92.935091</v>
      </c>
      <c r="Q802">
        <v>90.736930999999998</v>
      </c>
      <c r="R802">
        <v>103.22624</v>
      </c>
    </row>
    <row r="803" spans="2:18">
      <c r="B803" s="27">
        <v>41432</v>
      </c>
      <c r="I803">
        <v>98.056887000000003</v>
      </c>
      <c r="J803">
        <v>108.50547400000001</v>
      </c>
      <c r="K803">
        <v>101.58188699999999</v>
      </c>
      <c r="L803">
        <v>105.189407</v>
      </c>
      <c r="M803">
        <v>104.885501</v>
      </c>
      <c r="N803">
        <v>104.85791399999999</v>
      </c>
      <c r="O803">
        <v>92.935091</v>
      </c>
      <c r="Q803">
        <v>90.736930999999998</v>
      </c>
      <c r="R803">
        <v>103.60181799999999</v>
      </c>
    </row>
    <row r="804" spans="2:18">
      <c r="B804" s="27">
        <v>41431</v>
      </c>
      <c r="I804">
        <v>98.049655000000001</v>
      </c>
      <c r="J804">
        <v>108.434765</v>
      </c>
      <c r="K804">
        <v>101.585554</v>
      </c>
      <c r="L804">
        <v>105.315702</v>
      </c>
      <c r="M804">
        <v>105.011079</v>
      </c>
      <c r="N804">
        <v>104.725594</v>
      </c>
      <c r="O804">
        <v>92.773481000000004</v>
      </c>
      <c r="Q804">
        <v>90.730883000000006</v>
      </c>
      <c r="R804">
        <v>103.177014</v>
      </c>
    </row>
    <row r="805" spans="2:18">
      <c r="B805" s="27">
        <v>41430</v>
      </c>
      <c r="I805">
        <v>98.039232999999996</v>
      </c>
      <c r="J805">
        <v>108.376638</v>
      </c>
      <c r="K805">
        <v>101.58677</v>
      </c>
      <c r="L805">
        <v>105.306316</v>
      </c>
      <c r="M805">
        <v>105.001454</v>
      </c>
      <c r="N805">
        <v>104.617982</v>
      </c>
      <c r="O805">
        <v>92.769874000000002</v>
      </c>
      <c r="Q805">
        <v>90.726889</v>
      </c>
      <c r="R805">
        <v>103.19894499999999</v>
      </c>
    </row>
    <row r="806" spans="2:18">
      <c r="B806" s="27">
        <v>41429</v>
      </c>
      <c r="I806">
        <v>98.038839999999993</v>
      </c>
      <c r="J806">
        <v>108.26938800000001</v>
      </c>
      <c r="K806">
        <v>101.598482</v>
      </c>
      <c r="L806">
        <v>105.306872</v>
      </c>
      <c r="M806">
        <v>105.00119599999999</v>
      </c>
      <c r="N806">
        <v>104.47995299999999</v>
      </c>
      <c r="O806">
        <v>92.767932999999999</v>
      </c>
      <c r="Q806">
        <v>90.735850999999997</v>
      </c>
      <c r="R806">
        <v>102.928254</v>
      </c>
    </row>
    <row r="807" spans="2:18">
      <c r="B807" s="27">
        <v>41428</v>
      </c>
      <c r="I807">
        <v>98.045174000000003</v>
      </c>
      <c r="J807">
        <v>108.372325</v>
      </c>
      <c r="K807">
        <v>101.60211</v>
      </c>
      <c r="L807">
        <v>105.282501</v>
      </c>
      <c r="M807">
        <v>104.976642</v>
      </c>
      <c r="N807">
        <v>104.640615</v>
      </c>
      <c r="O807">
        <v>92.767599000000004</v>
      </c>
      <c r="Q807">
        <v>90.729534999999998</v>
      </c>
      <c r="R807">
        <v>103.296331</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DBE1D-892C-4A65-BF41-B3D344ED089F}">
  <sheetPr>
    <tabColor theme="0" tint="-0.249977111117893"/>
  </sheetPr>
  <dimension ref="A2:N37"/>
  <sheetViews>
    <sheetView workbookViewId="0">
      <selection activeCell="C3" sqref="C3"/>
    </sheetView>
  </sheetViews>
  <sheetFormatPr defaultRowHeight="14.25"/>
  <cols>
    <col min="1" max="1" width="9.83203125" bestFit="1" customWidth="1"/>
    <col min="2" max="2" width="10.83203125" bestFit="1" customWidth="1"/>
    <col min="4" max="6" width="9.83203125" bestFit="1" customWidth="1"/>
  </cols>
  <sheetData>
    <row r="2" spans="1:10" ht="14.75">
      <c r="A2" s="101" t="s">
        <v>2133</v>
      </c>
      <c r="C2" s="116" t="s">
        <v>2134</v>
      </c>
    </row>
    <row r="4" spans="1:10">
      <c r="A4" s="1" t="s">
        <v>66</v>
      </c>
      <c r="B4" s="1" t="s">
        <v>1112</v>
      </c>
      <c r="C4" s="1" t="s">
        <v>202</v>
      </c>
      <c r="D4" s="1" t="s">
        <v>1113</v>
      </c>
      <c r="E4" s="1" t="s">
        <v>1114</v>
      </c>
      <c r="F4" s="1" t="s">
        <v>203</v>
      </c>
      <c r="G4" s="1" t="s">
        <v>1115</v>
      </c>
      <c r="J4" s="1" t="s">
        <v>1115</v>
      </c>
    </row>
    <row r="5" spans="1:10">
      <c r="A5" s="27">
        <v>43361</v>
      </c>
      <c r="B5">
        <v>120</v>
      </c>
      <c r="D5">
        <v>3</v>
      </c>
      <c r="F5" s="27">
        <f>D5*365+A5</f>
        <v>44456</v>
      </c>
      <c r="J5" t="s">
        <v>1116</v>
      </c>
    </row>
    <row r="6" spans="1:10">
      <c r="A6" s="27">
        <v>42324</v>
      </c>
      <c r="B6">
        <v>225</v>
      </c>
      <c r="D6">
        <v>3</v>
      </c>
      <c r="F6" s="27">
        <f t="shared" ref="F6:F19" si="0">D6*365+A6</f>
        <v>43419</v>
      </c>
      <c r="J6" t="s">
        <v>1117</v>
      </c>
    </row>
    <row r="7" spans="1:10">
      <c r="A7" s="27">
        <v>42324</v>
      </c>
      <c r="B7">
        <v>25</v>
      </c>
      <c r="D7">
        <v>5</v>
      </c>
      <c r="F7" s="27">
        <f t="shared" si="0"/>
        <v>44149</v>
      </c>
      <c r="J7" t="s">
        <v>1117</v>
      </c>
    </row>
    <row r="8" spans="1:10">
      <c r="A8" s="27">
        <v>41715</v>
      </c>
      <c r="B8">
        <v>125</v>
      </c>
      <c r="D8">
        <v>3</v>
      </c>
      <c r="F8" s="27">
        <f t="shared" si="0"/>
        <v>42810</v>
      </c>
      <c r="J8" t="s">
        <v>1117</v>
      </c>
    </row>
    <row r="9" spans="1:10">
      <c r="A9" s="27">
        <v>41715</v>
      </c>
      <c r="F9" s="27">
        <f t="shared" si="0"/>
        <v>41715</v>
      </c>
      <c r="J9" t="s">
        <v>1118</v>
      </c>
    </row>
    <row r="10" spans="1:10">
      <c r="A10" s="27">
        <v>41346</v>
      </c>
      <c r="B10">
        <v>75</v>
      </c>
      <c r="D10">
        <v>3</v>
      </c>
      <c r="F10" s="27">
        <f t="shared" si="0"/>
        <v>42441</v>
      </c>
      <c r="J10" t="s">
        <v>1119</v>
      </c>
    </row>
    <row r="11" spans="1:10">
      <c r="A11" s="27">
        <v>41346</v>
      </c>
      <c r="B11">
        <v>75</v>
      </c>
      <c r="D11">
        <v>3</v>
      </c>
      <c r="F11" s="27">
        <f t="shared" si="0"/>
        <v>42441</v>
      </c>
      <c r="J11" t="s">
        <v>1119</v>
      </c>
    </row>
    <row r="12" spans="1:10">
      <c r="A12" s="27">
        <v>40434</v>
      </c>
      <c r="B12">
        <v>165</v>
      </c>
      <c r="D12">
        <v>3</v>
      </c>
      <c r="F12" s="27">
        <f t="shared" si="0"/>
        <v>41529</v>
      </c>
      <c r="J12" t="s">
        <v>1117</v>
      </c>
    </row>
    <row r="13" spans="1:10">
      <c r="A13" s="27">
        <v>40434</v>
      </c>
      <c r="B13">
        <v>85</v>
      </c>
      <c r="D13">
        <v>4</v>
      </c>
      <c r="F13" s="27">
        <f t="shared" si="0"/>
        <v>41894</v>
      </c>
      <c r="J13" t="s">
        <v>1117</v>
      </c>
    </row>
    <row r="14" spans="1:10">
      <c r="A14" s="27">
        <v>40358</v>
      </c>
      <c r="B14">
        <v>165</v>
      </c>
      <c r="D14">
        <v>3</v>
      </c>
      <c r="F14" s="27">
        <f t="shared" si="0"/>
        <v>41453</v>
      </c>
      <c r="J14" t="s">
        <v>1117</v>
      </c>
    </row>
    <row r="15" spans="1:10">
      <c r="A15" s="27">
        <v>40358</v>
      </c>
      <c r="B15">
        <v>85</v>
      </c>
      <c r="D15">
        <v>4</v>
      </c>
      <c r="F15" s="27">
        <f t="shared" si="0"/>
        <v>41818</v>
      </c>
      <c r="J15" t="s">
        <v>1117</v>
      </c>
    </row>
    <row r="16" spans="1:10">
      <c r="A16" s="27">
        <v>40358</v>
      </c>
      <c r="B16">
        <v>135</v>
      </c>
      <c r="D16">
        <v>3</v>
      </c>
      <c r="F16" s="27">
        <f t="shared" si="0"/>
        <v>41453</v>
      </c>
      <c r="J16" t="s">
        <v>1117</v>
      </c>
    </row>
    <row r="17" spans="1:14">
      <c r="A17" s="27">
        <v>40358</v>
      </c>
      <c r="B17">
        <v>65</v>
      </c>
      <c r="D17">
        <v>4</v>
      </c>
      <c r="F17" s="27">
        <f t="shared" si="0"/>
        <v>41818</v>
      </c>
      <c r="J17" t="s">
        <v>1117</v>
      </c>
    </row>
    <row r="18" spans="1:14">
      <c r="A18" s="27">
        <v>39762</v>
      </c>
      <c r="B18">
        <v>50</v>
      </c>
      <c r="D18">
        <v>2</v>
      </c>
      <c r="F18" s="27">
        <f t="shared" si="0"/>
        <v>40492</v>
      </c>
      <c r="J18" t="s">
        <v>1117</v>
      </c>
    </row>
    <row r="19" spans="1:14">
      <c r="A19" s="27">
        <v>39762</v>
      </c>
      <c r="B19">
        <v>50</v>
      </c>
      <c r="D19">
        <v>3</v>
      </c>
      <c r="F19" s="27">
        <f t="shared" si="0"/>
        <v>40857</v>
      </c>
      <c r="J19" t="s">
        <v>1117</v>
      </c>
    </row>
    <row r="22" spans="1:14">
      <c r="B22" s="1" t="s">
        <v>1120</v>
      </c>
      <c r="C22" s="147">
        <v>44742</v>
      </c>
      <c r="D22" s="1">
        <v>2011</v>
      </c>
      <c r="E22" s="1">
        <v>2012</v>
      </c>
      <c r="F22" s="1">
        <v>2013</v>
      </c>
      <c r="G22" s="1">
        <v>2014</v>
      </c>
      <c r="H22" s="1">
        <v>2015</v>
      </c>
      <c r="I22" s="1">
        <v>2016</v>
      </c>
      <c r="J22" s="1">
        <v>2017</v>
      </c>
      <c r="K22" s="1">
        <v>2018</v>
      </c>
      <c r="L22" s="1">
        <v>2019</v>
      </c>
      <c r="M22" s="1">
        <v>2020</v>
      </c>
      <c r="N22" s="1">
        <v>2021</v>
      </c>
    </row>
    <row r="23" spans="1:14">
      <c r="D23">
        <f>B19+B17+B16+B15+B14+B13+B12</f>
        <v>750</v>
      </c>
      <c r="E23">
        <f>B17+B16+B15+B14+B13+B12</f>
        <v>700</v>
      </c>
      <c r="F23">
        <f>B17+B12+B13+B15+B11+B10</f>
        <v>550</v>
      </c>
      <c r="G23">
        <f>B13+B11+B10+B8</f>
        <v>360</v>
      </c>
      <c r="H23">
        <f>B11+B10+B8</f>
        <v>275</v>
      </c>
      <c r="I23">
        <f>B8+B7+B6</f>
        <v>375</v>
      </c>
      <c r="J23">
        <f>B7+B6</f>
        <v>250</v>
      </c>
      <c r="K23">
        <f>B7+B6</f>
        <v>250</v>
      </c>
      <c r="L23">
        <f>B7+B5</f>
        <v>145</v>
      </c>
      <c r="M23">
        <f>B7+B5+SUM(F32:F37)</f>
        <v>545.02</v>
      </c>
      <c r="N23">
        <f>B5+SUM(F32:F37)</f>
        <v>520.02</v>
      </c>
    </row>
    <row r="27" spans="1:14" ht="14.75">
      <c r="A27" s="101" t="s">
        <v>1121</v>
      </c>
      <c r="C27" s="116" t="s">
        <v>1122</v>
      </c>
    </row>
    <row r="29" spans="1:14">
      <c r="A29" s="1" t="s">
        <v>272</v>
      </c>
    </row>
    <row r="31" spans="1:14">
      <c r="A31" t="s">
        <v>1123</v>
      </c>
      <c r="B31" t="s">
        <v>1124</v>
      </c>
      <c r="C31" t="s">
        <v>1125</v>
      </c>
      <c r="D31" t="s">
        <v>413</v>
      </c>
      <c r="E31" t="s">
        <v>405</v>
      </c>
      <c r="F31" t="s">
        <v>1126</v>
      </c>
      <c r="G31" t="s">
        <v>1127</v>
      </c>
      <c r="H31" t="s">
        <v>1128</v>
      </c>
      <c r="I31" t="s">
        <v>1129</v>
      </c>
      <c r="J31" t="s">
        <v>1130</v>
      </c>
      <c r="K31" t="s">
        <v>1131</v>
      </c>
    </row>
    <row r="32" spans="1:14">
      <c r="B32">
        <v>3966507116</v>
      </c>
      <c r="C32">
        <v>1</v>
      </c>
      <c r="D32" s="27">
        <v>43887</v>
      </c>
      <c r="E32" s="27">
        <v>44983</v>
      </c>
      <c r="F32">
        <v>66.67</v>
      </c>
    </row>
    <row r="33" spans="2:6">
      <c r="B33">
        <v>3966507116</v>
      </c>
      <c r="C33">
        <v>2</v>
      </c>
      <c r="D33" s="27">
        <v>43887</v>
      </c>
      <c r="E33" s="27">
        <v>44983</v>
      </c>
      <c r="F33">
        <v>66.67</v>
      </c>
    </row>
    <row r="34" spans="2:6">
      <c r="B34">
        <v>3966507116</v>
      </c>
      <c r="C34">
        <v>3</v>
      </c>
      <c r="D34" s="27">
        <v>43887</v>
      </c>
      <c r="E34" s="27">
        <v>44983</v>
      </c>
      <c r="F34">
        <v>66.67</v>
      </c>
    </row>
    <row r="35" spans="2:6">
      <c r="B35">
        <v>3966507116</v>
      </c>
      <c r="C35">
        <v>4</v>
      </c>
      <c r="D35" s="27">
        <v>43887</v>
      </c>
      <c r="E35" s="27">
        <v>44983</v>
      </c>
      <c r="F35">
        <v>66.67</v>
      </c>
    </row>
    <row r="36" spans="2:6">
      <c r="B36">
        <v>3966507116</v>
      </c>
      <c r="C36">
        <v>5</v>
      </c>
      <c r="D36" s="27">
        <v>43887</v>
      </c>
      <c r="E36" s="27">
        <v>44983</v>
      </c>
      <c r="F36">
        <v>66.67</v>
      </c>
    </row>
    <row r="37" spans="2:6">
      <c r="B37">
        <v>3966507116</v>
      </c>
      <c r="C37">
        <v>6</v>
      </c>
      <c r="D37" s="27">
        <v>43887</v>
      </c>
      <c r="E37" s="27">
        <v>44983</v>
      </c>
      <c r="F37">
        <v>66.67</v>
      </c>
    </row>
  </sheetData>
  <pageMargins left="0.7" right="0.7" top="0.75" bottom="0.75" header="0.3" footer="0.3"/>
  <pageSetup orientation="portrait" horizontalDpi="200" verticalDpi="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58942-6A55-4139-8652-7775236BDA5E}">
  <sheetPr>
    <tabColor theme="0" tint="-0.249977111117893"/>
  </sheetPr>
  <dimension ref="A1:AI185"/>
  <sheetViews>
    <sheetView topLeftCell="A162" workbookViewId="0">
      <selection activeCell="F43" sqref="F43"/>
    </sheetView>
  </sheetViews>
  <sheetFormatPr defaultRowHeight="14.25"/>
  <cols>
    <col min="2" max="2" width="16.83203125" customWidth="1"/>
    <col min="3" max="11" width="17.33203125" bestFit="1" customWidth="1"/>
    <col min="12" max="12" width="25.58203125" bestFit="1" customWidth="1"/>
    <col min="13" max="13" width="41.83203125" bestFit="1" customWidth="1"/>
  </cols>
  <sheetData>
    <row r="1" spans="1:30" ht="14.75">
      <c r="A1" s="210" t="s">
        <v>1132</v>
      </c>
      <c r="B1" s="210"/>
      <c r="C1" s="210"/>
      <c r="D1" s="210"/>
      <c r="E1" s="210"/>
      <c r="F1" s="210"/>
      <c r="G1" s="210"/>
      <c r="H1" s="210"/>
      <c r="I1" s="210"/>
      <c r="J1" s="210"/>
      <c r="K1" s="210"/>
      <c r="L1" s="210"/>
      <c r="M1" s="210"/>
      <c r="N1" s="210"/>
      <c r="O1" s="210"/>
      <c r="P1" s="210"/>
      <c r="Q1" s="210"/>
      <c r="R1" s="210"/>
      <c r="S1" s="210"/>
      <c r="T1" s="210"/>
      <c r="U1" s="210"/>
      <c r="V1" s="210"/>
      <c r="W1" s="210"/>
      <c r="X1" s="210"/>
      <c r="Y1" s="210"/>
      <c r="Z1" s="210"/>
      <c r="AA1" s="210"/>
      <c r="AB1" s="210"/>
      <c r="AC1" s="210"/>
      <c r="AD1" s="210"/>
    </row>
    <row r="3" spans="1:30" ht="14.75">
      <c r="A3" s="92" t="s">
        <v>386</v>
      </c>
      <c r="B3" s="92"/>
      <c r="C3" s="92"/>
      <c r="D3" s="92"/>
      <c r="E3" s="92"/>
      <c r="F3" s="92"/>
      <c r="G3" s="92"/>
      <c r="H3" s="92"/>
      <c r="I3" s="92"/>
      <c r="J3" s="92"/>
      <c r="K3" s="92"/>
      <c r="L3" s="92"/>
      <c r="M3" s="92"/>
      <c r="N3" s="92"/>
      <c r="O3" s="92"/>
      <c r="P3" s="92"/>
      <c r="Q3" s="92"/>
      <c r="R3" s="92"/>
      <c r="S3" s="92"/>
      <c r="T3" s="92"/>
      <c r="U3" s="92"/>
      <c r="V3" s="92"/>
      <c r="W3" s="92"/>
      <c r="X3" s="92"/>
      <c r="Y3" s="92"/>
      <c r="Z3" s="92"/>
      <c r="AA3" s="92"/>
      <c r="AB3" s="92"/>
      <c r="AC3" s="92"/>
      <c r="AD3" s="92"/>
    </row>
    <row r="4" spans="1:30" ht="14.75">
      <c r="A4" s="92" t="s">
        <v>387</v>
      </c>
      <c r="B4" s="92"/>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row>
    <row r="6" spans="1:30" ht="15.5" thickBot="1">
      <c r="A6" s="211" t="s">
        <v>388</v>
      </c>
      <c r="B6" s="211"/>
      <c r="C6" s="92"/>
      <c r="D6" s="92"/>
      <c r="E6" s="92"/>
      <c r="F6" s="92"/>
      <c r="G6" s="92"/>
      <c r="H6" s="92"/>
      <c r="I6" s="92"/>
      <c r="J6" s="92"/>
      <c r="K6" s="92"/>
      <c r="L6" s="92"/>
      <c r="M6" s="92"/>
      <c r="N6" s="92"/>
      <c r="O6" s="92"/>
      <c r="P6" s="92"/>
      <c r="Q6" s="92"/>
      <c r="R6" s="92"/>
      <c r="S6" s="92"/>
      <c r="T6" s="92"/>
      <c r="U6" s="92"/>
      <c r="V6" s="92"/>
      <c r="W6" s="92"/>
      <c r="X6" s="92"/>
      <c r="Y6" s="92"/>
      <c r="Z6" s="92"/>
      <c r="AA6" s="92"/>
      <c r="AB6" s="92"/>
      <c r="AC6" s="92"/>
      <c r="AD6" s="92"/>
    </row>
    <row r="7" spans="1:30" ht="15.5" thickTop="1">
      <c r="A7" s="92" t="s">
        <v>388</v>
      </c>
      <c r="B7" s="92" t="s">
        <v>1133</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row>
    <row r="8" spans="1:30" ht="14.75">
      <c r="A8" s="92" t="s">
        <v>390</v>
      </c>
      <c r="B8" s="92" t="s">
        <v>1134</v>
      </c>
      <c r="C8" s="92"/>
      <c r="D8" s="92"/>
      <c r="E8" s="92"/>
      <c r="F8" s="92"/>
      <c r="G8" s="92"/>
      <c r="H8" s="92"/>
      <c r="I8" s="92"/>
      <c r="J8" s="92"/>
      <c r="K8" s="92"/>
      <c r="L8" s="92"/>
      <c r="M8" s="92"/>
      <c r="N8" s="92"/>
      <c r="O8" s="92"/>
      <c r="P8" s="92"/>
      <c r="Q8" s="92"/>
      <c r="R8" s="92"/>
      <c r="S8" s="92"/>
      <c r="T8" s="92"/>
      <c r="U8" s="92"/>
      <c r="V8" s="92"/>
      <c r="W8" s="92"/>
      <c r="X8" s="92"/>
      <c r="Y8" s="92"/>
      <c r="Z8" s="92"/>
      <c r="AA8" s="92"/>
      <c r="AB8" s="92"/>
      <c r="AC8" s="92"/>
      <c r="AD8" s="92"/>
    </row>
    <row r="9" spans="1:30" ht="14.75">
      <c r="A9" s="92" t="s">
        <v>392</v>
      </c>
      <c r="B9" s="92" t="s">
        <v>1135</v>
      </c>
      <c r="C9" s="92"/>
      <c r="D9" s="92"/>
      <c r="E9" s="92"/>
      <c r="F9" s="92"/>
      <c r="G9" s="92"/>
      <c r="H9" s="92"/>
      <c r="I9" s="92"/>
      <c r="J9" s="92"/>
      <c r="K9" s="92"/>
      <c r="L9" s="92"/>
      <c r="M9" s="92"/>
      <c r="N9" s="92"/>
      <c r="O9" s="92"/>
      <c r="P9" s="92"/>
      <c r="Q9" s="92"/>
      <c r="R9" s="92"/>
      <c r="S9" s="92"/>
      <c r="T9" s="92"/>
      <c r="U9" s="92"/>
      <c r="V9" s="92"/>
      <c r="W9" s="92"/>
      <c r="X9" s="92"/>
      <c r="Y9" s="92"/>
      <c r="Z9" s="92"/>
      <c r="AA9" s="92"/>
      <c r="AB9" s="92"/>
      <c r="AC9" s="92"/>
      <c r="AD9" s="92"/>
    </row>
    <row r="11" spans="1:30" ht="15.5" thickBot="1">
      <c r="A11" s="211" t="s">
        <v>386</v>
      </c>
      <c r="B11" s="211"/>
      <c r="C11" s="211"/>
      <c r="D11" s="211"/>
      <c r="E11" s="92"/>
      <c r="F11" s="92"/>
      <c r="G11" s="92"/>
      <c r="H11" s="92"/>
      <c r="I11" s="92"/>
      <c r="J11" s="92"/>
      <c r="K11" s="92"/>
      <c r="L11" s="92"/>
      <c r="M11" s="92"/>
      <c r="N11" s="92"/>
      <c r="O11" s="92"/>
      <c r="P11" s="92"/>
      <c r="Q11" s="92"/>
      <c r="R11" s="92"/>
      <c r="S11" s="92"/>
      <c r="T11" s="92"/>
      <c r="U11" s="92"/>
      <c r="V11" s="92"/>
      <c r="W11" s="92"/>
      <c r="X11" s="92"/>
      <c r="Y11" s="92"/>
      <c r="Z11" s="92"/>
      <c r="AA11" s="92"/>
      <c r="AB11" s="92"/>
      <c r="AC11" s="92"/>
      <c r="AD11" s="92"/>
    </row>
    <row r="12" spans="1:30" ht="15.5" thickTop="1">
      <c r="A12" s="101" t="s">
        <v>394</v>
      </c>
      <c r="B12" s="102" t="s">
        <v>395</v>
      </c>
      <c r="C12" s="102" t="s">
        <v>396</v>
      </c>
      <c r="D12" s="102" t="s">
        <v>397</v>
      </c>
      <c r="E12" s="92"/>
      <c r="F12" s="92"/>
      <c r="G12" s="92"/>
      <c r="H12" s="92"/>
      <c r="I12" s="92"/>
      <c r="J12" s="92"/>
      <c r="K12" s="92"/>
      <c r="L12" s="92"/>
      <c r="M12" s="92"/>
      <c r="N12" s="92"/>
      <c r="O12" s="92"/>
      <c r="P12" s="92"/>
      <c r="Q12" s="92"/>
      <c r="R12" s="92"/>
      <c r="S12" s="92"/>
      <c r="T12" s="92"/>
      <c r="U12" s="92"/>
      <c r="V12" s="92"/>
      <c r="W12" s="92"/>
      <c r="X12" s="92"/>
      <c r="Y12" s="92"/>
      <c r="Z12" s="92"/>
      <c r="AA12" s="92"/>
      <c r="AB12" s="92"/>
      <c r="AC12" s="92"/>
      <c r="AD12" s="92"/>
    </row>
    <row r="13" spans="1:30" ht="14.75">
      <c r="A13" s="92" t="s">
        <v>398</v>
      </c>
      <c r="B13" s="99">
        <v>0</v>
      </c>
      <c r="C13" s="99">
        <v>0</v>
      </c>
      <c r="D13" s="99">
        <v>0</v>
      </c>
      <c r="E13" s="92"/>
      <c r="F13" s="92"/>
      <c r="G13" s="92"/>
      <c r="H13" s="92"/>
      <c r="I13" s="92"/>
      <c r="J13" s="92"/>
      <c r="K13" s="92"/>
      <c r="L13" s="92"/>
      <c r="M13" s="92"/>
      <c r="N13" s="92"/>
      <c r="O13" s="92"/>
      <c r="P13" s="92"/>
      <c r="Q13" s="92"/>
      <c r="R13" s="92"/>
      <c r="S13" s="92"/>
      <c r="T13" s="92"/>
      <c r="U13" s="92"/>
      <c r="V13" s="92"/>
      <c r="W13" s="92"/>
      <c r="X13" s="92"/>
      <c r="Y13" s="92"/>
      <c r="Z13" s="92"/>
      <c r="AA13" s="92"/>
      <c r="AB13" s="92"/>
      <c r="AC13" s="92"/>
      <c r="AD13" s="92"/>
    </row>
    <row r="14" spans="1:30" ht="14.75">
      <c r="A14" s="92" t="s">
        <v>399</v>
      </c>
      <c r="B14" s="99">
        <v>0</v>
      </c>
      <c r="C14" s="99">
        <v>0</v>
      </c>
      <c r="D14" s="99">
        <v>0</v>
      </c>
      <c r="E14" s="92"/>
      <c r="F14" s="92"/>
      <c r="G14" s="92"/>
      <c r="H14" s="92"/>
      <c r="I14" s="92"/>
      <c r="J14" s="92"/>
      <c r="K14" s="92"/>
      <c r="L14" s="92"/>
      <c r="M14" s="92"/>
      <c r="N14" s="92"/>
      <c r="O14" s="92"/>
      <c r="P14" s="92"/>
      <c r="Q14" s="92"/>
      <c r="R14" s="92"/>
      <c r="S14" s="92"/>
      <c r="T14" s="92"/>
      <c r="U14" s="92"/>
      <c r="V14" s="92"/>
      <c r="W14" s="92"/>
      <c r="X14" s="92"/>
      <c r="Y14" s="92"/>
      <c r="Z14" s="92"/>
      <c r="AA14" s="92"/>
      <c r="AB14" s="92"/>
      <c r="AC14" s="92"/>
      <c r="AD14" s="92"/>
    </row>
    <row r="15" spans="1:30" ht="14.75">
      <c r="A15" s="92" t="s">
        <v>400</v>
      </c>
      <c r="B15" s="99">
        <v>0</v>
      </c>
      <c r="C15" s="99">
        <v>0</v>
      </c>
      <c r="D15" s="99">
        <v>0</v>
      </c>
      <c r="E15" s="92"/>
      <c r="F15" s="92"/>
      <c r="G15" s="92"/>
      <c r="H15" s="92"/>
      <c r="I15" s="92"/>
      <c r="J15" s="92"/>
      <c r="K15" s="92"/>
      <c r="L15" s="92"/>
      <c r="M15" s="92"/>
      <c r="N15" s="92"/>
      <c r="O15" s="92"/>
      <c r="P15" s="92"/>
      <c r="Q15" s="92"/>
      <c r="R15" s="92"/>
      <c r="S15" s="92"/>
      <c r="T15" s="92"/>
      <c r="U15" s="92"/>
      <c r="V15" s="92"/>
      <c r="W15" s="92"/>
      <c r="X15" s="92"/>
      <c r="Y15" s="92"/>
      <c r="Z15" s="92"/>
      <c r="AA15" s="92"/>
      <c r="AB15" s="92"/>
      <c r="AC15" s="92"/>
      <c r="AD15" s="92"/>
    </row>
    <row r="16" spans="1:30" ht="14.75">
      <c r="A16" s="92" t="s">
        <v>401</v>
      </c>
      <c r="B16" s="99">
        <v>0</v>
      </c>
      <c r="C16" s="99">
        <v>0</v>
      </c>
      <c r="D16" s="99">
        <v>0</v>
      </c>
      <c r="E16" s="92"/>
      <c r="F16" s="92"/>
      <c r="G16" s="92"/>
      <c r="H16" s="92"/>
      <c r="I16" s="92"/>
      <c r="J16" s="92"/>
      <c r="K16" s="92"/>
      <c r="L16" s="92"/>
      <c r="M16" s="92"/>
      <c r="N16" s="92"/>
      <c r="O16" s="92"/>
      <c r="P16" s="92"/>
      <c r="Q16" s="92"/>
      <c r="R16" s="92"/>
      <c r="S16" s="92"/>
      <c r="T16" s="92"/>
      <c r="U16" s="92"/>
      <c r="V16" s="92"/>
      <c r="W16" s="92"/>
      <c r="X16" s="92"/>
      <c r="Y16" s="92"/>
      <c r="Z16" s="92"/>
      <c r="AA16" s="92"/>
      <c r="AB16" s="92"/>
      <c r="AC16" s="92"/>
      <c r="AD16" s="92"/>
    </row>
    <row r="17" spans="1:30" ht="14.75">
      <c r="A17" s="92" t="s">
        <v>272</v>
      </c>
      <c r="B17" s="99">
        <v>0</v>
      </c>
      <c r="C17" s="99" t="s">
        <v>1136</v>
      </c>
      <c r="D17" s="99">
        <v>0</v>
      </c>
    </row>
    <row r="18" spans="1:30" ht="15.5" thickBot="1">
      <c r="A18" s="103" t="s">
        <v>89</v>
      </c>
      <c r="B18" s="104">
        <v>0</v>
      </c>
      <c r="C18" s="104">
        <v>0</v>
      </c>
      <c r="D18" s="104">
        <v>0</v>
      </c>
    </row>
    <row r="19" spans="1:30" ht="15.5" thickTop="1">
      <c r="A19" s="92" t="s">
        <v>402</v>
      </c>
      <c r="B19" s="99">
        <v>8</v>
      </c>
      <c r="C19" s="99" t="s">
        <v>1136</v>
      </c>
      <c r="D19" s="99">
        <v>1289009497.9649501</v>
      </c>
    </row>
    <row r="21" spans="1:30" ht="14.75">
      <c r="A21" s="210" t="s">
        <v>402</v>
      </c>
      <c r="B21" s="210"/>
      <c r="C21" s="210"/>
      <c r="D21" s="210"/>
      <c r="E21" s="210"/>
      <c r="F21" s="210"/>
      <c r="G21" s="210"/>
      <c r="H21" s="210"/>
      <c r="I21" s="210"/>
      <c r="J21" s="210"/>
      <c r="K21" s="210"/>
      <c r="L21" s="210"/>
      <c r="M21" s="210"/>
      <c r="N21" s="210"/>
      <c r="O21" s="210"/>
      <c r="P21" s="210"/>
      <c r="Q21" s="210"/>
      <c r="R21" s="210"/>
      <c r="S21" s="210"/>
      <c r="T21" s="210"/>
      <c r="U21" s="210"/>
      <c r="V21" s="210"/>
      <c r="W21" s="210"/>
      <c r="X21" s="210"/>
      <c r="Y21" s="210"/>
      <c r="Z21" s="210"/>
      <c r="AA21" s="210"/>
      <c r="AB21" s="210"/>
      <c r="AC21" s="210"/>
      <c r="AD21" s="210"/>
    </row>
    <row r="22" spans="1:30" ht="14.75">
      <c r="A22" s="93" t="s">
        <v>403</v>
      </c>
      <c r="B22" s="93" t="s">
        <v>404</v>
      </c>
      <c r="C22" s="93" t="s">
        <v>405</v>
      </c>
      <c r="D22" s="94" t="s">
        <v>406</v>
      </c>
      <c r="E22" s="93" t="s">
        <v>407</v>
      </c>
      <c r="F22" s="93" t="s">
        <v>408</v>
      </c>
      <c r="G22" s="93" t="s">
        <v>409</v>
      </c>
      <c r="H22" s="93" t="s">
        <v>410</v>
      </c>
      <c r="I22" s="93" t="s">
        <v>411</v>
      </c>
      <c r="J22" s="93" t="s">
        <v>412</v>
      </c>
      <c r="K22" s="93" t="s">
        <v>413</v>
      </c>
      <c r="L22" s="93" t="s">
        <v>414</v>
      </c>
      <c r="M22" s="93" t="s">
        <v>415</v>
      </c>
      <c r="N22" s="93" t="s">
        <v>416</v>
      </c>
      <c r="O22" s="93" t="s">
        <v>417</v>
      </c>
      <c r="P22" s="94" t="s">
        <v>418</v>
      </c>
      <c r="Q22" s="94" t="s">
        <v>419</v>
      </c>
      <c r="R22" s="93" t="s">
        <v>420</v>
      </c>
      <c r="S22" s="93" t="s">
        <v>421</v>
      </c>
      <c r="T22" s="93" t="s">
        <v>422</v>
      </c>
      <c r="U22" s="93" t="s">
        <v>423</v>
      </c>
      <c r="V22" s="93" t="s">
        <v>424</v>
      </c>
      <c r="W22" s="93" t="s">
        <v>425</v>
      </c>
      <c r="X22" s="93" t="s">
        <v>426</v>
      </c>
      <c r="Y22" s="93" t="s">
        <v>226</v>
      </c>
      <c r="Z22" s="93" t="s">
        <v>427</v>
      </c>
      <c r="AA22" s="92"/>
      <c r="AB22" s="92"/>
      <c r="AC22" s="92"/>
      <c r="AD22" s="92"/>
    </row>
    <row r="23" spans="1:30" ht="14.75">
      <c r="A23" s="92" t="s">
        <v>1137</v>
      </c>
      <c r="B23" s="92" t="s">
        <v>429</v>
      </c>
      <c r="C23" s="95">
        <v>39052</v>
      </c>
      <c r="D23" s="99">
        <v>339213026</v>
      </c>
      <c r="E23" s="92" t="s">
        <v>430</v>
      </c>
      <c r="F23" s="92" t="s">
        <v>441</v>
      </c>
      <c r="G23" s="92" t="s">
        <v>442</v>
      </c>
      <c r="H23" s="92" t="s">
        <v>323</v>
      </c>
      <c r="I23" s="92" t="s">
        <v>1138</v>
      </c>
      <c r="J23" s="92" t="s">
        <v>1139</v>
      </c>
      <c r="K23" s="95">
        <v>35402</v>
      </c>
      <c r="L23" s="92" t="s">
        <v>434</v>
      </c>
      <c r="M23" s="92" t="s">
        <v>434</v>
      </c>
      <c r="N23" s="92" t="s">
        <v>435</v>
      </c>
      <c r="O23" s="92" t="s">
        <v>436</v>
      </c>
      <c r="P23" s="100" t="s">
        <v>429</v>
      </c>
      <c r="Q23" s="100" t="s">
        <v>429</v>
      </c>
      <c r="R23" s="92" t="s">
        <v>429</v>
      </c>
      <c r="S23" s="92" t="s">
        <v>429</v>
      </c>
      <c r="T23" s="92" t="s">
        <v>445</v>
      </c>
      <c r="U23" s="92" t="s">
        <v>429</v>
      </c>
      <c r="V23" s="92" t="s">
        <v>431</v>
      </c>
      <c r="W23" s="92" t="s">
        <v>438</v>
      </c>
      <c r="X23" s="92" t="s">
        <v>436</v>
      </c>
      <c r="Y23" s="92" t="s">
        <v>1133</v>
      </c>
      <c r="Z23" s="92" t="s">
        <v>429</v>
      </c>
      <c r="AA23" s="92"/>
      <c r="AB23" s="92"/>
      <c r="AC23" s="92"/>
      <c r="AD23" s="92"/>
    </row>
    <row r="24" spans="1:30" ht="14.75">
      <c r="A24" s="92" t="s">
        <v>1137</v>
      </c>
      <c r="B24" s="92" t="s">
        <v>429</v>
      </c>
      <c r="C24" s="95">
        <v>39052</v>
      </c>
      <c r="D24" s="99">
        <v>339213026</v>
      </c>
      <c r="E24" s="92" t="s">
        <v>430</v>
      </c>
      <c r="F24" s="92" t="s">
        <v>441</v>
      </c>
      <c r="G24" s="92" t="s">
        <v>442</v>
      </c>
      <c r="H24" s="92" t="s">
        <v>324</v>
      </c>
      <c r="I24" s="92" t="s">
        <v>1138</v>
      </c>
      <c r="J24" s="92" t="s">
        <v>429</v>
      </c>
      <c r="K24" s="95">
        <v>35402</v>
      </c>
      <c r="L24" s="92" t="s">
        <v>434</v>
      </c>
      <c r="M24" s="92" t="s">
        <v>458</v>
      </c>
      <c r="N24" s="92" t="s">
        <v>435</v>
      </c>
      <c r="O24" s="92" t="s">
        <v>436</v>
      </c>
      <c r="P24" s="100" t="s">
        <v>429</v>
      </c>
      <c r="Q24" s="100" t="s">
        <v>429</v>
      </c>
      <c r="R24" s="92" t="s">
        <v>429</v>
      </c>
      <c r="S24" s="92" t="s">
        <v>429</v>
      </c>
      <c r="T24" s="92" t="s">
        <v>429</v>
      </c>
      <c r="U24" s="92" t="s">
        <v>429</v>
      </c>
      <c r="V24" s="92" t="s">
        <v>431</v>
      </c>
      <c r="W24" s="92" t="s">
        <v>438</v>
      </c>
      <c r="X24" s="92" t="s">
        <v>436</v>
      </c>
      <c r="Y24" s="92" t="s">
        <v>1133</v>
      </c>
      <c r="Z24" s="92" t="s">
        <v>429</v>
      </c>
      <c r="AA24" s="92"/>
      <c r="AB24" s="92"/>
      <c r="AC24" s="92"/>
      <c r="AD24" s="92"/>
    </row>
    <row r="25" spans="1:30" ht="14.75">
      <c r="A25" s="92" t="s">
        <v>1137</v>
      </c>
      <c r="B25" s="92" t="s">
        <v>1140</v>
      </c>
      <c r="C25" s="95">
        <v>39052</v>
      </c>
      <c r="D25" s="99">
        <v>339213026</v>
      </c>
      <c r="E25" s="92" t="s">
        <v>430</v>
      </c>
      <c r="F25" s="92" t="s">
        <v>441</v>
      </c>
      <c r="G25" s="92" t="s">
        <v>442</v>
      </c>
      <c r="H25" s="92" t="s">
        <v>325</v>
      </c>
      <c r="I25" s="92" t="s">
        <v>1138</v>
      </c>
      <c r="J25" s="92" t="s">
        <v>1141</v>
      </c>
      <c r="K25" s="95">
        <v>35402</v>
      </c>
      <c r="L25" s="92" t="s">
        <v>434</v>
      </c>
      <c r="M25" s="92" t="s">
        <v>434</v>
      </c>
      <c r="N25" s="92" t="s">
        <v>435</v>
      </c>
      <c r="O25" s="92" t="s">
        <v>436</v>
      </c>
      <c r="P25" s="100" t="s">
        <v>429</v>
      </c>
      <c r="Q25" s="100" t="s">
        <v>429</v>
      </c>
      <c r="R25" s="92" t="s">
        <v>429</v>
      </c>
      <c r="S25" s="92" t="s">
        <v>429</v>
      </c>
      <c r="T25" s="92" t="s">
        <v>445</v>
      </c>
      <c r="U25" s="92" t="s">
        <v>429</v>
      </c>
      <c r="V25" s="92" t="s">
        <v>431</v>
      </c>
      <c r="W25" s="92" t="s">
        <v>438</v>
      </c>
      <c r="X25" s="92" t="s">
        <v>436</v>
      </c>
      <c r="Y25" s="92" t="s">
        <v>1133</v>
      </c>
      <c r="Z25" s="92" t="s">
        <v>429</v>
      </c>
      <c r="AA25" s="92"/>
      <c r="AB25" s="92"/>
      <c r="AC25" s="92"/>
      <c r="AD25" s="92"/>
    </row>
    <row r="26" spans="1:30" ht="14.75">
      <c r="A26" s="92" t="s">
        <v>1137</v>
      </c>
      <c r="B26" s="92" t="s">
        <v>429</v>
      </c>
      <c r="C26" s="95">
        <v>39052</v>
      </c>
      <c r="D26" s="99">
        <v>339213026</v>
      </c>
      <c r="E26" s="92" t="s">
        <v>430</v>
      </c>
      <c r="F26" s="92" t="s">
        <v>441</v>
      </c>
      <c r="G26" s="92" t="s">
        <v>442</v>
      </c>
      <c r="H26" s="92" t="s">
        <v>326</v>
      </c>
      <c r="I26" s="92" t="s">
        <v>1138</v>
      </c>
      <c r="J26" s="92" t="s">
        <v>1142</v>
      </c>
      <c r="K26" s="95">
        <v>35402</v>
      </c>
      <c r="L26" s="92" t="s">
        <v>434</v>
      </c>
      <c r="M26" s="92" t="s">
        <v>434</v>
      </c>
      <c r="N26" s="92" t="s">
        <v>435</v>
      </c>
      <c r="O26" s="92" t="s">
        <v>436</v>
      </c>
      <c r="P26" s="100" t="s">
        <v>429</v>
      </c>
      <c r="Q26" s="100" t="s">
        <v>429</v>
      </c>
      <c r="R26" s="92" t="s">
        <v>429</v>
      </c>
      <c r="S26" s="92" t="s">
        <v>429</v>
      </c>
      <c r="T26" s="92" t="s">
        <v>445</v>
      </c>
      <c r="U26" s="92" t="s">
        <v>429</v>
      </c>
      <c r="V26" s="92" t="s">
        <v>431</v>
      </c>
      <c r="W26" s="92" t="s">
        <v>438</v>
      </c>
      <c r="X26" s="92" t="s">
        <v>436</v>
      </c>
      <c r="Y26" s="92" t="s">
        <v>1133</v>
      </c>
      <c r="Z26" s="92" t="s">
        <v>429</v>
      </c>
      <c r="AA26" s="92"/>
      <c r="AB26" s="92"/>
      <c r="AC26" s="92"/>
      <c r="AD26" s="92"/>
    </row>
    <row r="27" spans="1:30" ht="14.75">
      <c r="A27" s="92" t="s">
        <v>1137</v>
      </c>
      <c r="B27" s="92" t="s">
        <v>1140</v>
      </c>
      <c r="C27" s="95">
        <v>39052</v>
      </c>
      <c r="D27" s="99">
        <v>339213026</v>
      </c>
      <c r="E27" s="92" t="s">
        <v>430</v>
      </c>
      <c r="F27" s="92" t="s">
        <v>441</v>
      </c>
      <c r="G27" s="92" t="s">
        <v>442</v>
      </c>
      <c r="H27" s="92" t="s">
        <v>327</v>
      </c>
      <c r="I27" s="92" t="s">
        <v>1138</v>
      </c>
      <c r="J27" s="92" t="s">
        <v>1143</v>
      </c>
      <c r="K27" s="95">
        <v>35402</v>
      </c>
      <c r="L27" s="92" t="s">
        <v>434</v>
      </c>
      <c r="M27" s="92" t="s">
        <v>434</v>
      </c>
      <c r="N27" s="92" t="s">
        <v>435</v>
      </c>
      <c r="O27" s="92" t="s">
        <v>436</v>
      </c>
      <c r="P27" s="100" t="s">
        <v>429</v>
      </c>
      <c r="Q27" s="100" t="s">
        <v>429</v>
      </c>
      <c r="R27" s="92" t="s">
        <v>429</v>
      </c>
      <c r="S27" s="92" t="s">
        <v>429</v>
      </c>
      <c r="T27" s="92" t="s">
        <v>445</v>
      </c>
      <c r="U27" s="92" t="s">
        <v>429</v>
      </c>
      <c r="V27" s="92" t="s">
        <v>431</v>
      </c>
      <c r="W27" s="92" t="s">
        <v>438</v>
      </c>
      <c r="X27" s="92" t="s">
        <v>436</v>
      </c>
      <c r="Y27" s="92" t="s">
        <v>1133</v>
      </c>
      <c r="Z27" s="92" t="s">
        <v>429</v>
      </c>
      <c r="AA27" s="92"/>
      <c r="AB27" s="92"/>
      <c r="AC27" s="92"/>
      <c r="AD27" s="92"/>
    </row>
    <row r="28" spans="1:30" ht="14.75">
      <c r="A28" s="92" t="s">
        <v>1144</v>
      </c>
      <c r="B28" s="92" t="s">
        <v>429</v>
      </c>
      <c r="C28" s="95">
        <v>42705</v>
      </c>
      <c r="D28" s="99">
        <v>135685210</v>
      </c>
      <c r="E28" s="92" t="s">
        <v>430</v>
      </c>
      <c r="F28" s="92" t="s">
        <v>441</v>
      </c>
      <c r="G28" s="92" t="s">
        <v>442</v>
      </c>
      <c r="H28" s="92" t="s">
        <v>333</v>
      </c>
      <c r="I28" s="92" t="s">
        <v>1138</v>
      </c>
      <c r="J28" s="92" t="s">
        <v>1145</v>
      </c>
      <c r="K28" s="95">
        <v>35402</v>
      </c>
      <c r="L28" s="92" t="s">
        <v>434</v>
      </c>
      <c r="M28" s="92" t="s">
        <v>434</v>
      </c>
      <c r="N28" s="92" t="s">
        <v>435</v>
      </c>
      <c r="O28" s="92" t="s">
        <v>436</v>
      </c>
      <c r="P28" s="100" t="s">
        <v>429</v>
      </c>
      <c r="Q28" s="100" t="s">
        <v>429</v>
      </c>
      <c r="R28" s="92" t="s">
        <v>429</v>
      </c>
      <c r="S28" s="92" t="s">
        <v>429</v>
      </c>
      <c r="T28" s="92" t="s">
        <v>445</v>
      </c>
      <c r="U28" s="92" t="s">
        <v>429</v>
      </c>
      <c r="V28" s="92" t="s">
        <v>431</v>
      </c>
      <c r="W28" s="92" t="s">
        <v>438</v>
      </c>
      <c r="X28" s="92" t="s">
        <v>436</v>
      </c>
      <c r="Y28" s="92" t="s">
        <v>1133</v>
      </c>
      <c r="Z28" s="92" t="s">
        <v>429</v>
      </c>
      <c r="AA28" s="92"/>
      <c r="AB28" s="92"/>
      <c r="AC28" s="92"/>
      <c r="AD28" s="92"/>
    </row>
    <row r="29" spans="1:30" ht="14.75">
      <c r="A29" s="92" t="s">
        <v>1144</v>
      </c>
      <c r="B29" s="92" t="s">
        <v>462</v>
      </c>
      <c r="C29" s="95">
        <v>42705</v>
      </c>
      <c r="D29" s="99">
        <v>54274084</v>
      </c>
      <c r="E29" s="92" t="s">
        <v>430</v>
      </c>
      <c r="F29" s="92" t="s">
        <v>463</v>
      </c>
      <c r="G29" s="92" t="s">
        <v>442</v>
      </c>
      <c r="H29" s="92" t="s">
        <v>231</v>
      </c>
      <c r="I29" s="92" t="s">
        <v>1138</v>
      </c>
      <c r="J29" s="92" t="s">
        <v>429</v>
      </c>
      <c r="K29" s="95">
        <v>35402</v>
      </c>
      <c r="L29" s="92" t="s">
        <v>434</v>
      </c>
      <c r="M29" s="92" t="s">
        <v>434</v>
      </c>
      <c r="N29" s="92" t="s">
        <v>1146</v>
      </c>
      <c r="O29" s="92" t="s">
        <v>436</v>
      </c>
      <c r="P29" s="100" t="s">
        <v>429</v>
      </c>
      <c r="Q29" s="100" t="s">
        <v>429</v>
      </c>
      <c r="R29" s="92" t="s">
        <v>429</v>
      </c>
      <c r="S29" s="92" t="s">
        <v>429</v>
      </c>
      <c r="T29" s="92" t="s">
        <v>464</v>
      </c>
      <c r="U29" s="92" t="s">
        <v>429</v>
      </c>
      <c r="V29" s="92" t="s">
        <v>431</v>
      </c>
      <c r="W29" s="92" t="s">
        <v>438</v>
      </c>
      <c r="X29" s="92" t="s">
        <v>436</v>
      </c>
      <c r="Y29" s="92" t="s">
        <v>1133</v>
      </c>
      <c r="Z29" s="92" t="s">
        <v>429</v>
      </c>
      <c r="AA29" s="92"/>
      <c r="AB29" s="92"/>
      <c r="AC29" s="92"/>
      <c r="AD29" s="92"/>
    </row>
    <row r="30" spans="1:30" ht="14.75">
      <c r="A30" s="92" t="s">
        <v>1144</v>
      </c>
      <c r="B30" s="92" t="s">
        <v>429</v>
      </c>
      <c r="C30" s="95">
        <v>42705</v>
      </c>
      <c r="D30" s="99">
        <v>135685210</v>
      </c>
      <c r="E30" s="92" t="s">
        <v>430</v>
      </c>
      <c r="F30" s="92" t="s">
        <v>441</v>
      </c>
      <c r="G30" s="92" t="s">
        <v>442</v>
      </c>
      <c r="H30" s="92" t="s">
        <v>334</v>
      </c>
      <c r="I30" s="92" t="s">
        <v>1138</v>
      </c>
      <c r="J30" s="92" t="s">
        <v>1147</v>
      </c>
      <c r="K30" s="95">
        <v>35402</v>
      </c>
      <c r="L30" s="92" t="s">
        <v>434</v>
      </c>
      <c r="M30" s="92" t="s">
        <v>434</v>
      </c>
      <c r="N30" s="92" t="s">
        <v>435</v>
      </c>
      <c r="O30" s="92" t="s">
        <v>436</v>
      </c>
      <c r="P30" s="100" t="s">
        <v>429</v>
      </c>
      <c r="Q30" s="100" t="s">
        <v>429</v>
      </c>
      <c r="R30" s="92" t="s">
        <v>429</v>
      </c>
      <c r="S30" s="92" t="s">
        <v>429</v>
      </c>
      <c r="T30" s="92" t="s">
        <v>445</v>
      </c>
      <c r="U30" s="92" t="s">
        <v>429</v>
      </c>
      <c r="V30" s="92" t="s">
        <v>431</v>
      </c>
      <c r="W30" s="92" t="s">
        <v>438</v>
      </c>
      <c r="X30" s="92" t="s">
        <v>436</v>
      </c>
      <c r="Y30" s="92" t="s">
        <v>1133</v>
      </c>
      <c r="Z30" s="92" t="s">
        <v>429</v>
      </c>
      <c r="AA30" s="92"/>
      <c r="AB30" s="92"/>
      <c r="AC30" s="92"/>
      <c r="AD30" s="92"/>
    </row>
    <row r="32" spans="1:30" ht="14.75">
      <c r="A32" s="210" t="s">
        <v>1148</v>
      </c>
      <c r="B32" s="210"/>
      <c r="C32" s="210"/>
      <c r="D32" s="210"/>
      <c r="E32" s="210"/>
      <c r="F32" s="210"/>
      <c r="G32" s="210"/>
      <c r="H32" s="210"/>
      <c r="I32" s="210"/>
      <c r="J32" s="210"/>
      <c r="K32" s="210"/>
      <c r="L32" s="210"/>
      <c r="M32" s="210"/>
      <c r="N32" s="210"/>
      <c r="O32" s="210"/>
      <c r="P32" s="210"/>
      <c r="Q32" s="210"/>
      <c r="R32" s="210"/>
      <c r="S32" s="210"/>
      <c r="T32" s="210"/>
      <c r="U32" s="210"/>
      <c r="V32" s="210"/>
      <c r="W32" s="210"/>
      <c r="X32" s="210"/>
      <c r="Y32" s="210"/>
      <c r="Z32" s="210"/>
      <c r="AA32" s="210"/>
      <c r="AB32" s="210"/>
      <c r="AC32" s="210"/>
      <c r="AD32" s="210"/>
    </row>
    <row r="34" spans="1:30" ht="14.75">
      <c r="A34" s="92" t="s">
        <v>386</v>
      </c>
      <c r="B34" s="92"/>
      <c r="C34" s="92"/>
      <c r="D34" s="92"/>
      <c r="E34" s="92"/>
      <c r="F34" s="92"/>
      <c r="G34" s="92"/>
      <c r="H34" s="92"/>
      <c r="I34" s="92"/>
      <c r="J34" s="92"/>
      <c r="K34" s="92"/>
      <c r="L34" s="92"/>
      <c r="M34" s="92"/>
      <c r="N34" s="92"/>
      <c r="O34" s="92"/>
      <c r="P34" s="92"/>
      <c r="Q34" s="92"/>
      <c r="R34" s="92"/>
      <c r="S34" s="92"/>
      <c r="T34" s="92"/>
      <c r="U34" s="92"/>
      <c r="V34" s="92"/>
      <c r="W34" s="92"/>
      <c r="X34" s="92"/>
      <c r="Y34" s="92"/>
      <c r="Z34" s="92"/>
      <c r="AA34" s="92"/>
      <c r="AB34" s="92"/>
      <c r="AC34" s="92"/>
      <c r="AD34" s="92"/>
    </row>
    <row r="35" spans="1:30" ht="14.75">
      <c r="A35" s="92" t="s">
        <v>387</v>
      </c>
      <c r="B35" s="92"/>
      <c r="C35" s="92"/>
      <c r="D35" s="92"/>
      <c r="E35" s="92"/>
      <c r="F35" s="92"/>
      <c r="G35" s="92"/>
      <c r="H35" s="92"/>
      <c r="I35" s="92"/>
      <c r="J35" s="92"/>
      <c r="K35" s="92"/>
      <c r="L35" s="92"/>
      <c r="M35" s="92"/>
      <c r="N35" s="92"/>
      <c r="O35" s="92"/>
      <c r="P35" s="92"/>
      <c r="Q35" s="92"/>
      <c r="R35" s="92"/>
      <c r="S35" s="92"/>
      <c r="T35" s="92"/>
      <c r="U35" s="92"/>
      <c r="V35" s="92"/>
      <c r="W35" s="92"/>
      <c r="X35" s="92"/>
      <c r="Y35" s="92"/>
      <c r="Z35" s="92"/>
      <c r="AA35" s="92"/>
      <c r="AB35" s="92"/>
      <c r="AC35" s="92"/>
      <c r="AD35" s="92"/>
    </row>
    <row r="37" spans="1:30" ht="15.5" thickBot="1">
      <c r="A37" s="211" t="s">
        <v>388</v>
      </c>
      <c r="B37" s="211"/>
      <c r="C37" s="92"/>
      <c r="D37" s="92"/>
      <c r="E37" s="92"/>
      <c r="F37" s="92"/>
      <c r="G37" s="92"/>
      <c r="H37" s="92"/>
      <c r="I37" s="92"/>
      <c r="J37" s="92"/>
      <c r="K37" s="92"/>
      <c r="L37" s="92"/>
      <c r="M37" s="92"/>
      <c r="N37" s="92"/>
      <c r="O37" s="92"/>
      <c r="P37" s="92"/>
      <c r="Q37" s="92"/>
      <c r="R37" s="92"/>
      <c r="S37" s="92"/>
      <c r="T37" s="92"/>
      <c r="U37" s="92"/>
      <c r="V37" s="92"/>
      <c r="W37" s="92"/>
      <c r="X37" s="92"/>
      <c r="Y37" s="92"/>
      <c r="Z37" s="92"/>
      <c r="AA37" s="92"/>
      <c r="AB37" s="92"/>
      <c r="AC37" s="92"/>
      <c r="AD37" s="92"/>
    </row>
    <row r="38" spans="1:30" ht="15.5" thickTop="1">
      <c r="A38" s="92" t="s">
        <v>388</v>
      </c>
      <c r="B38" s="92" t="s">
        <v>1149</v>
      </c>
      <c r="C38" s="92"/>
      <c r="D38" s="92"/>
      <c r="E38" s="92"/>
      <c r="F38" s="92"/>
      <c r="G38" s="92"/>
      <c r="H38" s="92"/>
      <c r="I38" s="92"/>
      <c r="J38" s="92"/>
      <c r="K38" s="92"/>
      <c r="L38" s="92"/>
      <c r="M38" s="92"/>
      <c r="N38" s="92"/>
      <c r="O38" s="92"/>
      <c r="P38" s="92"/>
      <c r="Q38" s="92"/>
      <c r="R38" s="92"/>
      <c r="S38" s="92"/>
      <c r="T38" s="92"/>
      <c r="U38" s="92"/>
      <c r="V38" s="92"/>
      <c r="W38" s="92"/>
      <c r="X38" s="92"/>
      <c r="Y38" s="92"/>
      <c r="Z38" s="92"/>
      <c r="AA38" s="92"/>
      <c r="AB38" s="92"/>
      <c r="AC38" s="92"/>
      <c r="AD38" s="92"/>
    </row>
    <row r="39" spans="1:30" ht="14.75">
      <c r="A39" s="92" t="s">
        <v>390</v>
      </c>
      <c r="B39" s="92" t="s">
        <v>1150</v>
      </c>
      <c r="C39" s="92"/>
      <c r="D39" s="92"/>
      <c r="E39" s="92"/>
      <c r="F39" s="92"/>
      <c r="G39" s="92"/>
      <c r="H39" s="92"/>
      <c r="I39" s="92"/>
      <c r="J39" s="92"/>
      <c r="K39" s="92"/>
      <c r="L39" s="92"/>
      <c r="M39" s="92"/>
      <c r="N39" s="92"/>
      <c r="O39" s="92"/>
      <c r="P39" s="92"/>
      <c r="Q39" s="92"/>
      <c r="R39" s="92"/>
      <c r="S39" s="92"/>
      <c r="T39" s="92"/>
      <c r="U39" s="92"/>
      <c r="V39" s="92"/>
      <c r="W39" s="92"/>
      <c r="X39" s="92"/>
      <c r="Y39" s="92"/>
      <c r="Z39" s="92"/>
      <c r="AA39" s="92"/>
      <c r="AB39" s="92"/>
      <c r="AC39" s="92"/>
      <c r="AD39" s="92"/>
    </row>
    <row r="40" spans="1:30" ht="14.75">
      <c r="A40" s="92" t="s">
        <v>392</v>
      </c>
      <c r="B40" s="92" t="s">
        <v>1135</v>
      </c>
      <c r="C40" s="92"/>
      <c r="D40" s="92"/>
      <c r="E40" s="92"/>
      <c r="F40" s="92"/>
      <c r="G40" s="92"/>
      <c r="H40" s="92"/>
      <c r="I40" s="92"/>
      <c r="J40" s="92"/>
      <c r="K40" s="92"/>
      <c r="L40" s="92"/>
      <c r="M40" s="92"/>
      <c r="N40" s="92"/>
      <c r="O40" s="92"/>
      <c r="P40" s="92"/>
      <c r="Q40" s="92"/>
      <c r="R40" s="92"/>
      <c r="S40" s="92"/>
      <c r="T40" s="92"/>
      <c r="U40" s="92"/>
      <c r="V40" s="92"/>
      <c r="W40" s="92"/>
      <c r="X40" s="92"/>
      <c r="Y40" s="92"/>
      <c r="Z40" s="92"/>
      <c r="AA40" s="92"/>
      <c r="AB40" s="92"/>
      <c r="AC40" s="92"/>
      <c r="AD40" s="92"/>
    </row>
    <row r="42" spans="1:30" ht="15.5" thickBot="1">
      <c r="A42" s="211" t="s">
        <v>386</v>
      </c>
      <c r="B42" s="211"/>
      <c r="C42" s="211"/>
      <c r="D42" s="211"/>
      <c r="E42" s="92"/>
      <c r="F42" s="92"/>
      <c r="G42" s="92"/>
      <c r="H42" s="92"/>
      <c r="I42" s="92"/>
      <c r="J42" s="92"/>
      <c r="K42" s="92"/>
      <c r="L42" s="92"/>
      <c r="M42" s="92"/>
      <c r="N42" s="92"/>
      <c r="O42" s="92"/>
      <c r="P42" s="92"/>
      <c r="Q42" s="92"/>
      <c r="R42" s="92"/>
      <c r="S42" s="92"/>
      <c r="T42" s="92"/>
      <c r="U42" s="92"/>
      <c r="V42" s="92"/>
      <c r="W42" s="92"/>
      <c r="X42" s="92"/>
      <c r="Y42" s="92"/>
      <c r="Z42" s="92"/>
      <c r="AA42" s="92"/>
      <c r="AB42" s="92"/>
      <c r="AC42" s="92"/>
      <c r="AD42" s="92"/>
    </row>
    <row r="43" spans="1:30" ht="15.5" thickTop="1">
      <c r="A43" s="101" t="s">
        <v>394</v>
      </c>
      <c r="B43" s="102" t="s">
        <v>395</v>
      </c>
      <c r="C43" s="102" t="s">
        <v>396</v>
      </c>
      <c r="D43" s="102" t="s">
        <v>397</v>
      </c>
      <c r="E43" s="92"/>
      <c r="F43" s="92"/>
      <c r="G43" s="92"/>
      <c r="H43" s="92"/>
      <c r="I43" s="92"/>
      <c r="J43" s="92"/>
      <c r="K43" s="92"/>
      <c r="L43" s="92"/>
      <c r="M43" s="92"/>
      <c r="N43" s="92"/>
      <c r="O43" s="92"/>
      <c r="P43" s="92"/>
      <c r="Q43" s="92"/>
      <c r="R43" s="92"/>
      <c r="S43" s="92"/>
      <c r="T43" s="92"/>
      <c r="U43" s="92"/>
      <c r="V43" s="92"/>
      <c r="W43" s="92"/>
      <c r="X43" s="92"/>
      <c r="Y43" s="92"/>
      <c r="Z43" s="92"/>
      <c r="AA43" s="92"/>
      <c r="AB43" s="92"/>
      <c r="AC43" s="92"/>
      <c r="AD43" s="92"/>
    </row>
    <row r="44" spans="1:30" ht="14.75">
      <c r="A44" s="92" t="s">
        <v>398</v>
      </c>
      <c r="B44" s="99">
        <v>30</v>
      </c>
      <c r="C44" s="99">
        <v>7630290093.0708103</v>
      </c>
      <c r="D44" s="99">
        <v>7630290093.0708103</v>
      </c>
      <c r="E44" s="92"/>
      <c r="F44" s="92"/>
      <c r="G44" s="92"/>
      <c r="H44" s="92"/>
      <c r="I44" s="92"/>
      <c r="J44" s="92"/>
      <c r="K44" s="92"/>
      <c r="L44" s="92"/>
      <c r="M44" s="92"/>
      <c r="N44" s="92"/>
      <c r="O44" s="92"/>
      <c r="P44" s="92"/>
      <c r="Q44" s="92"/>
      <c r="R44" s="92"/>
      <c r="S44" s="92"/>
      <c r="T44" s="92"/>
      <c r="U44" s="92"/>
      <c r="V44" s="92"/>
      <c r="W44" s="92"/>
      <c r="X44" s="92"/>
      <c r="Y44" s="92"/>
      <c r="Z44" s="92"/>
      <c r="AA44" s="92"/>
      <c r="AB44" s="92"/>
      <c r="AC44" s="92"/>
      <c r="AD44" s="92"/>
    </row>
    <row r="45" spans="1:30" ht="14.75">
      <c r="A45" s="92" t="s">
        <v>399</v>
      </c>
      <c r="B45" s="99">
        <v>0</v>
      </c>
      <c r="C45" s="99">
        <v>0</v>
      </c>
      <c r="D45" s="99">
        <v>0</v>
      </c>
      <c r="E45" s="92"/>
      <c r="F45" s="92"/>
      <c r="G45" s="92"/>
      <c r="H45" s="92"/>
      <c r="I45" s="92"/>
      <c r="J45" s="92"/>
      <c r="K45" s="92"/>
      <c r="L45" s="92"/>
      <c r="M45" s="92"/>
      <c r="N45" s="92"/>
      <c r="O45" s="92"/>
      <c r="P45" s="92"/>
      <c r="Q45" s="92"/>
      <c r="R45" s="92"/>
      <c r="S45" s="92"/>
      <c r="T45" s="92"/>
      <c r="U45" s="92"/>
      <c r="V45" s="92"/>
      <c r="W45" s="92"/>
      <c r="X45" s="92"/>
      <c r="Y45" s="92"/>
      <c r="Z45" s="92"/>
      <c r="AA45" s="92"/>
      <c r="AB45" s="92"/>
      <c r="AC45" s="92"/>
      <c r="AD45" s="92"/>
    </row>
    <row r="46" spans="1:30" ht="14.75">
      <c r="A46" s="92" t="s">
        <v>400</v>
      </c>
      <c r="B46" s="99">
        <v>0</v>
      </c>
      <c r="C46" s="99">
        <v>0</v>
      </c>
      <c r="D46" s="99">
        <v>0</v>
      </c>
      <c r="E46" s="92"/>
      <c r="F46" s="92"/>
      <c r="G46" s="92"/>
      <c r="H46" s="92"/>
      <c r="I46" s="92"/>
      <c r="J46" s="92"/>
      <c r="K46" s="92"/>
      <c r="L46" s="92"/>
      <c r="M46" s="92"/>
      <c r="N46" s="92"/>
      <c r="O46" s="92"/>
      <c r="P46" s="92"/>
      <c r="Q46" s="92"/>
      <c r="R46" s="92"/>
      <c r="S46" s="92"/>
      <c r="T46" s="92"/>
      <c r="U46" s="92"/>
      <c r="V46" s="92"/>
      <c r="W46" s="92"/>
      <c r="X46" s="92"/>
      <c r="Y46" s="92"/>
      <c r="Z46" s="92"/>
      <c r="AA46" s="92"/>
      <c r="AB46" s="92"/>
      <c r="AC46" s="92"/>
      <c r="AD46" s="92"/>
    </row>
    <row r="47" spans="1:30" ht="14.75">
      <c r="A47" s="92" t="s">
        <v>401</v>
      </c>
      <c r="B47" s="99">
        <v>0</v>
      </c>
      <c r="C47" s="99">
        <v>0</v>
      </c>
      <c r="D47" s="99">
        <v>0</v>
      </c>
      <c r="E47" s="92"/>
      <c r="F47" s="92"/>
      <c r="G47" s="92"/>
      <c r="H47" s="92"/>
      <c r="I47" s="92"/>
      <c r="J47" s="92"/>
      <c r="K47" s="92"/>
      <c r="L47" s="92"/>
      <c r="M47" s="92"/>
      <c r="N47" s="92"/>
      <c r="O47" s="92"/>
      <c r="P47" s="92"/>
      <c r="Q47" s="92"/>
      <c r="R47" s="92"/>
      <c r="S47" s="92"/>
      <c r="T47" s="92"/>
      <c r="U47" s="92"/>
      <c r="V47" s="92"/>
      <c r="W47" s="92"/>
      <c r="X47" s="92"/>
      <c r="Y47" s="92"/>
      <c r="Z47" s="92"/>
      <c r="AA47" s="92"/>
      <c r="AB47" s="92"/>
      <c r="AC47" s="92"/>
      <c r="AD47" s="92"/>
    </row>
    <row r="48" spans="1:30" ht="14.75">
      <c r="A48" s="92" t="s">
        <v>272</v>
      </c>
      <c r="B48" s="99">
        <v>2</v>
      </c>
      <c r="C48" s="99" t="s">
        <v>1136</v>
      </c>
      <c r="D48" s="99">
        <v>1200000000</v>
      </c>
    </row>
    <row r="49" spans="1:35" ht="15.5" thickBot="1">
      <c r="A49" s="103" t="s">
        <v>89</v>
      </c>
      <c r="B49" s="104">
        <v>32</v>
      </c>
      <c r="C49" s="104">
        <v>7630290093.0708103</v>
      </c>
      <c r="D49" s="104">
        <v>8830290093.0708103</v>
      </c>
    </row>
    <row r="50" spans="1:35" ht="15.5" thickTop="1">
      <c r="A50" s="92" t="s">
        <v>402</v>
      </c>
      <c r="B50" s="99">
        <v>25</v>
      </c>
      <c r="C50" s="99" t="s">
        <v>1136</v>
      </c>
      <c r="D50" s="99">
        <v>6938873612.8218498</v>
      </c>
    </row>
    <row r="52" spans="1:35" ht="14.75">
      <c r="A52" s="210" t="s">
        <v>398</v>
      </c>
      <c r="B52" s="210"/>
      <c r="C52" s="210"/>
      <c r="D52" s="210"/>
      <c r="E52" s="210"/>
      <c r="F52" s="210"/>
      <c r="G52" s="210"/>
      <c r="H52" s="210"/>
      <c r="I52" s="210"/>
      <c r="J52" s="210"/>
      <c r="K52" s="210"/>
      <c r="L52" s="210"/>
      <c r="M52" s="210"/>
      <c r="N52" s="210"/>
      <c r="O52" s="210"/>
      <c r="P52" s="210"/>
      <c r="Q52" s="210"/>
      <c r="R52" s="210"/>
      <c r="S52" s="210"/>
      <c r="T52" s="210"/>
      <c r="U52" s="210"/>
      <c r="V52" s="210"/>
      <c r="W52" s="210"/>
      <c r="X52" s="210"/>
      <c r="Y52" s="210"/>
      <c r="Z52" s="210"/>
      <c r="AA52" s="210"/>
      <c r="AB52" s="210"/>
      <c r="AC52" s="210"/>
      <c r="AD52" s="210"/>
      <c r="AE52" s="92"/>
      <c r="AF52" s="92"/>
      <c r="AG52" s="92"/>
      <c r="AH52" s="92"/>
      <c r="AI52" s="92"/>
    </row>
    <row r="53" spans="1:35" ht="14.75">
      <c r="A53" s="93" t="s">
        <v>403</v>
      </c>
      <c r="B53" s="93" t="s">
        <v>404</v>
      </c>
      <c r="C53" s="93" t="s">
        <v>405</v>
      </c>
      <c r="D53" s="94" t="s">
        <v>1151</v>
      </c>
      <c r="E53" s="94" t="s">
        <v>406</v>
      </c>
      <c r="F53" s="94" t="s">
        <v>1128</v>
      </c>
      <c r="G53" s="93" t="s">
        <v>407</v>
      </c>
      <c r="H53" s="93" t="s">
        <v>408</v>
      </c>
      <c r="I53" s="93" t="s">
        <v>409</v>
      </c>
      <c r="J53" s="93" t="s">
        <v>410</v>
      </c>
      <c r="K53" s="93" t="s">
        <v>411</v>
      </c>
      <c r="L53" s="93" t="s">
        <v>412</v>
      </c>
      <c r="M53" s="93" t="s">
        <v>413</v>
      </c>
      <c r="N53" s="93" t="s">
        <v>414</v>
      </c>
      <c r="O53" s="93" t="s">
        <v>415</v>
      </c>
      <c r="P53" s="93" t="s">
        <v>416</v>
      </c>
      <c r="Q53" s="93" t="s">
        <v>417</v>
      </c>
      <c r="R53" s="94" t="s">
        <v>418</v>
      </c>
      <c r="S53" s="94" t="s">
        <v>419</v>
      </c>
      <c r="T53" s="94" t="s">
        <v>1152</v>
      </c>
      <c r="U53" s="94" t="s">
        <v>1153</v>
      </c>
      <c r="V53" s="93" t="s">
        <v>1154</v>
      </c>
      <c r="W53" s="93" t="s">
        <v>1155</v>
      </c>
      <c r="X53" s="93" t="s">
        <v>1156</v>
      </c>
      <c r="Y53" s="94" t="s">
        <v>1157</v>
      </c>
      <c r="Z53" s="93" t="s">
        <v>420</v>
      </c>
      <c r="AA53" s="93" t="s">
        <v>421</v>
      </c>
      <c r="AB53" s="93" t="s">
        <v>1158</v>
      </c>
      <c r="AC53" s="93" t="s">
        <v>422</v>
      </c>
      <c r="AD53" s="93" t="s">
        <v>423</v>
      </c>
      <c r="AE53" s="93" t="s">
        <v>424</v>
      </c>
      <c r="AF53" s="93" t="s">
        <v>425</v>
      </c>
      <c r="AG53" s="93" t="s">
        <v>426</v>
      </c>
      <c r="AH53" s="93" t="s">
        <v>226</v>
      </c>
      <c r="AI53" s="93" t="s">
        <v>427</v>
      </c>
    </row>
    <row r="54" spans="1:35" ht="14.75">
      <c r="A54" s="92" t="s">
        <v>1159</v>
      </c>
      <c r="B54" s="92" t="s">
        <v>429</v>
      </c>
      <c r="C54" s="95">
        <v>44740</v>
      </c>
      <c r="D54" s="96">
        <v>305000000</v>
      </c>
      <c r="E54" s="96">
        <v>305000000</v>
      </c>
      <c r="F54" s="97">
        <v>5.75</v>
      </c>
      <c r="G54" s="92" t="s">
        <v>430</v>
      </c>
      <c r="H54" s="92" t="s">
        <v>431</v>
      </c>
      <c r="I54" s="92" t="s">
        <v>432</v>
      </c>
      <c r="J54" s="92" t="s">
        <v>293</v>
      </c>
      <c r="K54" s="92" t="s">
        <v>1160</v>
      </c>
      <c r="L54" s="92" t="s">
        <v>429</v>
      </c>
      <c r="M54" s="95">
        <v>41088</v>
      </c>
      <c r="N54" s="92" t="s">
        <v>434</v>
      </c>
      <c r="O54" s="92" t="s">
        <v>434</v>
      </c>
      <c r="P54" s="92" t="s">
        <v>435</v>
      </c>
      <c r="Q54" s="92" t="s">
        <v>436</v>
      </c>
      <c r="R54" s="98">
        <v>0.30499100000000001</v>
      </c>
      <c r="S54" s="98">
        <v>0.30628300000000003</v>
      </c>
      <c r="T54" s="98">
        <v>33.670578999999996</v>
      </c>
      <c r="U54" s="98">
        <v>0.60299999999999998</v>
      </c>
      <c r="V54" s="92" t="s">
        <v>1161</v>
      </c>
      <c r="W54" s="92" t="s">
        <v>1162</v>
      </c>
      <c r="X54" s="95">
        <v>44740</v>
      </c>
      <c r="Y54" s="98">
        <v>101.579002</v>
      </c>
      <c r="Z54" s="92" t="s">
        <v>137</v>
      </c>
      <c r="AA54" s="92" t="s">
        <v>429</v>
      </c>
      <c r="AB54" s="92" t="s">
        <v>436</v>
      </c>
      <c r="AC54" s="92" t="s">
        <v>470</v>
      </c>
      <c r="AD54" s="92" t="s">
        <v>437</v>
      </c>
      <c r="AE54" s="92" t="s">
        <v>431</v>
      </c>
      <c r="AF54" s="92" t="s">
        <v>1163</v>
      </c>
      <c r="AG54" s="92" t="s">
        <v>436</v>
      </c>
      <c r="AH54" s="92" t="s">
        <v>1164</v>
      </c>
      <c r="AI54" s="92" t="s">
        <v>137</v>
      </c>
    </row>
    <row r="55" spans="1:35" ht="14.75">
      <c r="A55" s="92" t="s">
        <v>1159</v>
      </c>
      <c r="B55" s="92" t="s">
        <v>429</v>
      </c>
      <c r="C55" s="95">
        <v>44740</v>
      </c>
      <c r="D55" s="96">
        <v>30000000</v>
      </c>
      <c r="E55" s="96">
        <v>30000000</v>
      </c>
      <c r="F55" s="97">
        <v>5.75</v>
      </c>
      <c r="G55" s="92" t="s">
        <v>430</v>
      </c>
      <c r="H55" s="92" t="s">
        <v>431</v>
      </c>
      <c r="I55" s="92" t="s">
        <v>432</v>
      </c>
      <c r="J55" s="92" t="s">
        <v>294</v>
      </c>
      <c r="K55" s="92" t="s">
        <v>1165</v>
      </c>
      <c r="L55" s="92" t="s">
        <v>429</v>
      </c>
      <c r="M55" s="95">
        <v>41088</v>
      </c>
      <c r="N55" s="92" t="s">
        <v>434</v>
      </c>
      <c r="O55" s="92" t="s">
        <v>434</v>
      </c>
      <c r="P55" s="92" t="s">
        <v>435</v>
      </c>
      <c r="Q55" s="92" t="s">
        <v>436</v>
      </c>
      <c r="R55" s="98">
        <v>0.30500100000000002</v>
      </c>
      <c r="S55" s="98">
        <v>0.30629200000000001</v>
      </c>
      <c r="T55" s="98">
        <v>32.668737</v>
      </c>
      <c r="U55" s="98">
        <v>0.59299999999999997</v>
      </c>
      <c r="V55" s="92" t="s">
        <v>1161</v>
      </c>
      <c r="W55" s="92" t="s">
        <v>1162</v>
      </c>
      <c r="X55" s="95">
        <v>44740</v>
      </c>
      <c r="Y55" s="98">
        <v>101.58214700000001</v>
      </c>
      <c r="Z55" s="92" t="s">
        <v>137</v>
      </c>
      <c r="AA55" s="92" t="s">
        <v>429</v>
      </c>
      <c r="AB55" s="92" t="s">
        <v>436</v>
      </c>
      <c r="AC55" s="92" t="s">
        <v>470</v>
      </c>
      <c r="AD55" s="92" t="s">
        <v>437</v>
      </c>
      <c r="AE55" s="92" t="s">
        <v>431</v>
      </c>
      <c r="AF55" s="92" t="s">
        <v>397</v>
      </c>
      <c r="AG55" s="92" t="s">
        <v>436</v>
      </c>
      <c r="AH55" s="92" t="s">
        <v>1164</v>
      </c>
      <c r="AI55" s="92" t="s">
        <v>137</v>
      </c>
    </row>
    <row r="56" spans="1:35" ht="14.75">
      <c r="A56" s="92" t="s">
        <v>1166</v>
      </c>
      <c r="B56" s="92" t="s">
        <v>429</v>
      </c>
      <c r="C56" s="95">
        <v>45335</v>
      </c>
      <c r="D56" s="96">
        <v>518873813</v>
      </c>
      <c r="E56" s="96">
        <v>518873813</v>
      </c>
      <c r="F56" s="97">
        <v>3</v>
      </c>
      <c r="G56" s="92" t="s">
        <v>430</v>
      </c>
      <c r="H56" s="92" t="s">
        <v>463</v>
      </c>
      <c r="I56" s="92" t="s">
        <v>1167</v>
      </c>
      <c r="J56" s="92" t="s">
        <v>295</v>
      </c>
      <c r="K56" s="92" t="s">
        <v>1168</v>
      </c>
      <c r="L56" s="92" t="s">
        <v>429</v>
      </c>
      <c r="M56" s="95">
        <v>41683</v>
      </c>
      <c r="N56" s="92" t="s">
        <v>434</v>
      </c>
      <c r="O56" s="92" t="s">
        <v>434</v>
      </c>
      <c r="P56" s="92" t="s">
        <v>435</v>
      </c>
      <c r="Q56" s="92" t="s">
        <v>436</v>
      </c>
      <c r="R56" s="98">
        <v>1.90137</v>
      </c>
      <c r="S56" s="98">
        <v>1.9069419999999999</v>
      </c>
      <c r="T56" s="98">
        <v>85.503617000000006</v>
      </c>
      <c r="U56" s="98">
        <v>9.0053999999999995E-2</v>
      </c>
      <c r="V56" s="92" t="s">
        <v>1161</v>
      </c>
      <c r="W56" s="92" t="s">
        <v>1162</v>
      </c>
      <c r="X56" s="95">
        <v>45335</v>
      </c>
      <c r="Y56" s="98">
        <v>105.629</v>
      </c>
      <c r="Z56" s="92" t="s">
        <v>137</v>
      </c>
      <c r="AA56" s="92" t="s">
        <v>429</v>
      </c>
      <c r="AB56" s="92" t="s">
        <v>436</v>
      </c>
      <c r="AC56" s="92" t="s">
        <v>464</v>
      </c>
      <c r="AD56" s="92" t="s">
        <v>437</v>
      </c>
      <c r="AE56" s="92" t="s">
        <v>431</v>
      </c>
      <c r="AF56" s="92" t="s">
        <v>397</v>
      </c>
      <c r="AG56" s="92" t="s">
        <v>436</v>
      </c>
      <c r="AH56" s="92" t="s">
        <v>1164</v>
      </c>
      <c r="AI56" s="92" t="s">
        <v>137</v>
      </c>
    </row>
    <row r="57" spans="1:35" ht="14.75">
      <c r="A57" s="92" t="s">
        <v>1169</v>
      </c>
      <c r="B57" s="92" t="s">
        <v>429</v>
      </c>
      <c r="C57" s="95">
        <v>45475</v>
      </c>
      <c r="D57" s="96">
        <v>125000000</v>
      </c>
      <c r="E57" s="96">
        <v>125000000</v>
      </c>
      <c r="F57" s="97">
        <v>5.375</v>
      </c>
      <c r="G57" s="92" t="s">
        <v>430</v>
      </c>
      <c r="H57" s="92" t="s">
        <v>463</v>
      </c>
      <c r="I57" s="92" t="s">
        <v>432</v>
      </c>
      <c r="J57" s="92" t="s">
        <v>296</v>
      </c>
      <c r="K57" s="92" t="s">
        <v>1170</v>
      </c>
      <c r="L57" s="92" t="s">
        <v>429</v>
      </c>
      <c r="M57" s="95">
        <v>41822</v>
      </c>
      <c r="N57" s="92" t="s">
        <v>434</v>
      </c>
      <c r="O57" s="92" t="s">
        <v>434</v>
      </c>
      <c r="P57" s="92" t="s">
        <v>435</v>
      </c>
      <c r="Q57" s="92" t="s">
        <v>436</v>
      </c>
      <c r="R57" s="98">
        <v>2.1479910000000002</v>
      </c>
      <c r="S57" s="98">
        <v>2.123427</v>
      </c>
      <c r="T57" s="98">
        <v>103.78316700000001</v>
      </c>
      <c r="U57" s="98">
        <v>2.3270710000000001</v>
      </c>
      <c r="V57" s="92" t="s">
        <v>1161</v>
      </c>
      <c r="W57" s="92" t="s">
        <v>1162</v>
      </c>
      <c r="X57" s="95">
        <v>45475</v>
      </c>
      <c r="Y57" s="98">
        <v>106.78400000000001</v>
      </c>
      <c r="Z57" s="92" t="s">
        <v>137</v>
      </c>
      <c r="AA57" s="92" t="s">
        <v>429</v>
      </c>
      <c r="AB57" s="92" t="s">
        <v>436</v>
      </c>
      <c r="AC57" s="92" t="s">
        <v>464</v>
      </c>
      <c r="AD57" s="92" t="s">
        <v>437</v>
      </c>
      <c r="AE57" s="92" t="s">
        <v>431</v>
      </c>
      <c r="AF57" s="92" t="s">
        <v>397</v>
      </c>
      <c r="AG57" s="92" t="s">
        <v>436</v>
      </c>
      <c r="AH57" s="92" t="s">
        <v>1164</v>
      </c>
      <c r="AI57" s="92" t="s">
        <v>137</v>
      </c>
    </row>
    <row r="58" spans="1:35" ht="14.75">
      <c r="A58" s="92" t="s">
        <v>1171</v>
      </c>
      <c r="B58" s="92" t="s">
        <v>429</v>
      </c>
      <c r="C58" s="95">
        <v>46097</v>
      </c>
      <c r="D58" s="96">
        <v>98461035</v>
      </c>
      <c r="E58" s="96">
        <v>98461035</v>
      </c>
      <c r="F58" s="97">
        <v>3.0840000000000001</v>
      </c>
      <c r="G58" s="92" t="s">
        <v>430</v>
      </c>
      <c r="H58" s="92" t="s">
        <v>463</v>
      </c>
      <c r="I58" s="92" t="s">
        <v>1172</v>
      </c>
      <c r="J58" s="92" t="s">
        <v>297</v>
      </c>
      <c r="K58" s="92" t="s">
        <v>1173</v>
      </c>
      <c r="L58" s="92" t="s">
        <v>429</v>
      </c>
      <c r="M58" s="95">
        <v>42719</v>
      </c>
      <c r="N58" s="92" t="s">
        <v>434</v>
      </c>
      <c r="O58" s="92" t="s">
        <v>434</v>
      </c>
      <c r="P58" s="92" t="s">
        <v>435</v>
      </c>
      <c r="Q58" s="92" t="s">
        <v>436</v>
      </c>
      <c r="R58" s="98">
        <v>3.696367</v>
      </c>
      <c r="S58" s="98">
        <v>3.6547879999999999</v>
      </c>
      <c r="T58" s="98">
        <v>112.80680700000001</v>
      </c>
      <c r="U58" s="98">
        <v>2.2712020000000002</v>
      </c>
      <c r="V58" s="92" t="s">
        <v>1174</v>
      </c>
      <c r="W58" s="92" t="s">
        <v>1162</v>
      </c>
      <c r="X58" s="95">
        <v>46097</v>
      </c>
      <c r="Y58" s="98">
        <v>103.09</v>
      </c>
      <c r="Z58" s="92" t="s">
        <v>137</v>
      </c>
      <c r="AA58" s="92" t="s">
        <v>429</v>
      </c>
      <c r="AB58" s="92" t="s">
        <v>436</v>
      </c>
      <c r="AC58" s="92" t="s">
        <v>464</v>
      </c>
      <c r="AD58" s="92" t="s">
        <v>437</v>
      </c>
      <c r="AE58" s="92" t="s">
        <v>431</v>
      </c>
      <c r="AF58" s="92" t="s">
        <v>397</v>
      </c>
      <c r="AG58" s="92" t="s">
        <v>436</v>
      </c>
      <c r="AH58" s="92" t="s">
        <v>1164</v>
      </c>
      <c r="AI58" s="92" t="s">
        <v>137</v>
      </c>
    </row>
    <row r="59" spans="1:35" ht="14.75">
      <c r="A59" s="92" t="s">
        <v>1171</v>
      </c>
      <c r="B59" s="92" t="s">
        <v>429</v>
      </c>
      <c r="C59" s="95">
        <v>46097</v>
      </c>
      <c r="D59" s="96">
        <v>109922108</v>
      </c>
      <c r="E59" s="96">
        <v>109922108</v>
      </c>
      <c r="F59" s="97">
        <v>3.0840000000000001</v>
      </c>
      <c r="G59" s="92" t="s">
        <v>430</v>
      </c>
      <c r="H59" s="92" t="s">
        <v>463</v>
      </c>
      <c r="I59" s="92" t="s">
        <v>1172</v>
      </c>
      <c r="J59" s="92" t="s">
        <v>298</v>
      </c>
      <c r="K59" s="92" t="s">
        <v>1175</v>
      </c>
      <c r="L59" s="92" t="s">
        <v>429</v>
      </c>
      <c r="M59" s="95">
        <v>42719</v>
      </c>
      <c r="N59" s="92" t="s">
        <v>434</v>
      </c>
      <c r="O59" s="92" t="s">
        <v>434</v>
      </c>
      <c r="P59" s="92" t="s">
        <v>435</v>
      </c>
      <c r="Q59" s="92" t="s">
        <v>436</v>
      </c>
      <c r="R59" s="98">
        <v>3.696367</v>
      </c>
      <c r="S59" s="98">
        <v>3.6547879999999999</v>
      </c>
      <c r="T59" s="98">
        <v>112.80680700000001</v>
      </c>
      <c r="U59" s="98">
        <v>2.2712020000000002</v>
      </c>
      <c r="V59" s="92" t="s">
        <v>1174</v>
      </c>
      <c r="W59" s="92" t="s">
        <v>1162</v>
      </c>
      <c r="X59" s="95">
        <v>46097</v>
      </c>
      <c r="Y59" s="98">
        <v>103.09</v>
      </c>
      <c r="Z59" s="92" t="s">
        <v>137</v>
      </c>
      <c r="AA59" s="92" t="s">
        <v>429</v>
      </c>
      <c r="AB59" s="92" t="s">
        <v>436</v>
      </c>
      <c r="AC59" s="92" t="s">
        <v>470</v>
      </c>
      <c r="AD59" s="92" t="s">
        <v>437</v>
      </c>
      <c r="AE59" s="92" t="s">
        <v>431</v>
      </c>
      <c r="AF59" s="92" t="s">
        <v>397</v>
      </c>
      <c r="AG59" s="92" t="s">
        <v>436</v>
      </c>
      <c r="AH59" s="92" t="s">
        <v>1164</v>
      </c>
      <c r="AI59" s="92" t="s">
        <v>137</v>
      </c>
    </row>
    <row r="60" spans="1:35" ht="14.75">
      <c r="A60" s="92" t="s">
        <v>1176</v>
      </c>
      <c r="B60" s="92" t="s">
        <v>429</v>
      </c>
      <c r="C60" s="95">
        <v>46444</v>
      </c>
      <c r="D60" s="96">
        <v>830198100</v>
      </c>
      <c r="E60" s="96">
        <v>830198100</v>
      </c>
      <c r="F60" s="97">
        <v>1.5</v>
      </c>
      <c r="G60" s="92" t="s">
        <v>430</v>
      </c>
      <c r="H60" s="92" t="s">
        <v>463</v>
      </c>
      <c r="I60" s="92" t="s">
        <v>1167</v>
      </c>
      <c r="J60" s="92" t="s">
        <v>299</v>
      </c>
      <c r="K60" s="92" t="s">
        <v>1177</v>
      </c>
      <c r="L60" s="92" t="s">
        <v>429</v>
      </c>
      <c r="M60" s="95">
        <v>42061</v>
      </c>
      <c r="N60" s="92" t="s">
        <v>434</v>
      </c>
      <c r="O60" s="92" t="s">
        <v>434</v>
      </c>
      <c r="P60" s="92" t="s">
        <v>435</v>
      </c>
      <c r="Q60" s="92" t="s">
        <v>436</v>
      </c>
      <c r="R60" s="98">
        <v>4.8014510000000001</v>
      </c>
      <c r="S60" s="98">
        <v>4.7855100000000004</v>
      </c>
      <c r="T60" s="98">
        <v>132.42170899999999</v>
      </c>
      <c r="U60" s="98">
        <v>0.91661800000000004</v>
      </c>
      <c r="V60" s="92" t="s">
        <v>1161</v>
      </c>
      <c r="W60" s="92" t="s">
        <v>1162</v>
      </c>
      <c r="X60" s="95">
        <v>46444</v>
      </c>
      <c r="Y60" s="98">
        <v>102.82299999999999</v>
      </c>
      <c r="Z60" s="92" t="s">
        <v>137</v>
      </c>
      <c r="AA60" s="92" t="s">
        <v>429</v>
      </c>
      <c r="AB60" s="92" t="s">
        <v>436</v>
      </c>
      <c r="AC60" s="92" t="s">
        <v>464</v>
      </c>
      <c r="AD60" s="92" t="s">
        <v>437</v>
      </c>
      <c r="AE60" s="92" t="s">
        <v>431</v>
      </c>
      <c r="AF60" s="92" t="s">
        <v>397</v>
      </c>
      <c r="AG60" s="92" t="s">
        <v>436</v>
      </c>
      <c r="AH60" s="92" t="s">
        <v>1164</v>
      </c>
      <c r="AI60" s="92" t="s">
        <v>137</v>
      </c>
    </row>
    <row r="61" spans="1:35" ht="14.75">
      <c r="A61" s="92" t="s">
        <v>1178</v>
      </c>
      <c r="B61" s="92" t="s">
        <v>429</v>
      </c>
      <c r="C61" s="95">
        <v>46591</v>
      </c>
      <c r="D61" s="96">
        <v>151569717</v>
      </c>
      <c r="E61" s="96">
        <v>151569717</v>
      </c>
      <c r="F61" s="97">
        <v>2.79</v>
      </c>
      <c r="G61" s="92" t="s">
        <v>430</v>
      </c>
      <c r="H61" s="92" t="s">
        <v>463</v>
      </c>
      <c r="I61" s="92" t="s">
        <v>1179</v>
      </c>
      <c r="J61" s="92" t="s">
        <v>300</v>
      </c>
      <c r="K61" s="92" t="s">
        <v>1180</v>
      </c>
      <c r="L61" s="92" t="s">
        <v>429</v>
      </c>
      <c r="M61" s="95">
        <v>42758</v>
      </c>
      <c r="N61" s="92" t="s">
        <v>434</v>
      </c>
      <c r="O61" s="92" t="s">
        <v>434</v>
      </c>
      <c r="P61" s="92" t="s">
        <v>435</v>
      </c>
      <c r="Q61" s="92" t="s">
        <v>436</v>
      </c>
      <c r="R61" s="98">
        <v>4.9002030000000003</v>
      </c>
      <c r="S61" s="98">
        <v>4.8245550000000001</v>
      </c>
      <c r="T61" s="98">
        <v>134.35051799999999</v>
      </c>
      <c r="U61" s="98">
        <v>3.1750799999999999</v>
      </c>
      <c r="V61" s="92" t="s">
        <v>1161</v>
      </c>
      <c r="W61" s="92" t="s">
        <v>1162</v>
      </c>
      <c r="X61" s="95">
        <v>46591</v>
      </c>
      <c r="Y61" s="98">
        <v>98.114000000000004</v>
      </c>
      <c r="Z61" s="92" t="s">
        <v>137</v>
      </c>
      <c r="AA61" s="92" t="s">
        <v>429</v>
      </c>
      <c r="AB61" s="92" t="s">
        <v>436</v>
      </c>
      <c r="AC61" s="92" t="s">
        <v>464</v>
      </c>
      <c r="AD61" s="92" t="s">
        <v>437</v>
      </c>
      <c r="AE61" s="92" t="s">
        <v>431</v>
      </c>
      <c r="AF61" s="92" t="s">
        <v>397</v>
      </c>
      <c r="AG61" s="92" t="s">
        <v>436</v>
      </c>
      <c r="AH61" s="92" t="s">
        <v>1164</v>
      </c>
      <c r="AI61" s="92" t="s">
        <v>137</v>
      </c>
    </row>
    <row r="62" spans="1:35" ht="14.75">
      <c r="A62" s="92" t="s">
        <v>1181</v>
      </c>
      <c r="B62" s="92" t="s">
        <v>429</v>
      </c>
      <c r="C62" s="95">
        <v>46615</v>
      </c>
      <c r="D62" s="96">
        <v>425000000</v>
      </c>
      <c r="E62" s="96">
        <v>425000000</v>
      </c>
      <c r="F62" s="97">
        <v>4.4000000000000004</v>
      </c>
      <c r="G62" s="92" t="s">
        <v>430</v>
      </c>
      <c r="H62" s="92" t="s">
        <v>431</v>
      </c>
      <c r="I62" s="92" t="s">
        <v>432</v>
      </c>
      <c r="J62" s="92" t="s">
        <v>301</v>
      </c>
      <c r="K62" s="92" t="s">
        <v>1182</v>
      </c>
      <c r="L62" s="92" t="s">
        <v>429</v>
      </c>
      <c r="M62" s="95">
        <v>42782</v>
      </c>
      <c r="N62" s="92" t="s">
        <v>434</v>
      </c>
      <c r="O62" s="92" t="s">
        <v>434</v>
      </c>
      <c r="P62" s="92" t="s">
        <v>435</v>
      </c>
      <c r="Q62" s="92" t="s">
        <v>436</v>
      </c>
      <c r="R62" s="98">
        <v>4.8255299999999997</v>
      </c>
      <c r="S62" s="98">
        <v>4.8314519999999996</v>
      </c>
      <c r="T62" s="98">
        <v>130.16954999999999</v>
      </c>
      <c r="U62" s="98">
        <v>3.199821</v>
      </c>
      <c r="V62" s="92" t="s">
        <v>1161</v>
      </c>
      <c r="W62" s="92" t="s">
        <v>1162</v>
      </c>
      <c r="X62" s="95">
        <v>46615</v>
      </c>
      <c r="Y62" s="98">
        <v>105.952</v>
      </c>
      <c r="Z62" s="92" t="s">
        <v>137</v>
      </c>
      <c r="AA62" s="92" t="s">
        <v>429</v>
      </c>
      <c r="AB62" s="92" t="s">
        <v>436</v>
      </c>
      <c r="AC62" s="92" t="s">
        <v>470</v>
      </c>
      <c r="AD62" s="92" t="s">
        <v>437</v>
      </c>
      <c r="AE62" s="92" t="s">
        <v>431</v>
      </c>
      <c r="AF62" s="92" t="s">
        <v>397</v>
      </c>
      <c r="AG62" s="92" t="s">
        <v>436</v>
      </c>
      <c r="AH62" s="92" t="s">
        <v>1164</v>
      </c>
      <c r="AI62" s="92" t="s">
        <v>137</v>
      </c>
    </row>
    <row r="63" spans="1:35" ht="14.75">
      <c r="A63" s="92" t="s">
        <v>1183</v>
      </c>
      <c r="B63" s="92" t="s">
        <v>429</v>
      </c>
      <c r="C63" s="95">
        <v>46619</v>
      </c>
      <c r="D63" s="96">
        <v>69461048</v>
      </c>
      <c r="E63" s="96">
        <v>69461048</v>
      </c>
      <c r="F63" s="97">
        <v>3.2</v>
      </c>
      <c r="G63" s="92" t="s">
        <v>430</v>
      </c>
      <c r="H63" s="92" t="s">
        <v>463</v>
      </c>
      <c r="I63" s="92" t="s">
        <v>1172</v>
      </c>
      <c r="J63" s="92" t="s">
        <v>302</v>
      </c>
      <c r="K63" s="92" t="s">
        <v>1184</v>
      </c>
      <c r="L63" s="92" t="s">
        <v>429</v>
      </c>
      <c r="M63" s="95">
        <v>41141</v>
      </c>
      <c r="N63" s="92" t="s">
        <v>434</v>
      </c>
      <c r="O63" s="92" t="s">
        <v>434</v>
      </c>
      <c r="P63" s="92" t="s">
        <v>435</v>
      </c>
      <c r="Q63" s="92" t="s">
        <v>436</v>
      </c>
      <c r="R63" s="98">
        <v>4.9654819999999997</v>
      </c>
      <c r="S63" s="98">
        <v>4.9954989999999997</v>
      </c>
      <c r="T63" s="98">
        <v>104.268688</v>
      </c>
      <c r="U63" s="98">
        <v>2.4180220000000001</v>
      </c>
      <c r="V63" s="92" t="s">
        <v>1174</v>
      </c>
      <c r="W63" s="92" t="s">
        <v>1162</v>
      </c>
      <c r="X63" s="95">
        <v>46619</v>
      </c>
      <c r="Y63" s="98">
        <v>104.001</v>
      </c>
      <c r="Z63" s="92" t="s">
        <v>137</v>
      </c>
      <c r="AA63" s="92" t="s">
        <v>429</v>
      </c>
      <c r="AB63" s="92" t="s">
        <v>436</v>
      </c>
      <c r="AC63" s="92" t="s">
        <v>470</v>
      </c>
      <c r="AD63" s="92" t="s">
        <v>437</v>
      </c>
      <c r="AE63" s="92" t="s">
        <v>431</v>
      </c>
      <c r="AF63" s="92" t="s">
        <v>397</v>
      </c>
      <c r="AG63" s="92" t="s">
        <v>436</v>
      </c>
      <c r="AH63" s="92" t="s">
        <v>1164</v>
      </c>
      <c r="AI63" s="92" t="s">
        <v>137</v>
      </c>
    </row>
    <row r="64" spans="1:35" ht="14.75">
      <c r="A64" s="92" t="s">
        <v>1185</v>
      </c>
      <c r="B64" s="92" t="s">
        <v>429</v>
      </c>
      <c r="C64" s="95">
        <v>46811</v>
      </c>
      <c r="D64" s="96">
        <v>121556833</v>
      </c>
      <c r="E64" s="96">
        <v>121556833</v>
      </c>
      <c r="F64" s="97">
        <v>3.21</v>
      </c>
      <c r="G64" s="92" t="s">
        <v>430</v>
      </c>
      <c r="H64" s="92" t="s">
        <v>463</v>
      </c>
      <c r="I64" s="92" t="s">
        <v>1172</v>
      </c>
      <c r="J64" s="92" t="s">
        <v>303</v>
      </c>
      <c r="K64" s="92" t="s">
        <v>1186</v>
      </c>
      <c r="L64" s="92" t="s">
        <v>429</v>
      </c>
      <c r="M64" s="95">
        <v>41333</v>
      </c>
      <c r="N64" s="92" t="s">
        <v>434</v>
      </c>
      <c r="O64" s="92" t="s">
        <v>434</v>
      </c>
      <c r="P64" s="92" t="s">
        <v>435</v>
      </c>
      <c r="Q64" s="92" t="s">
        <v>436</v>
      </c>
      <c r="R64" s="98">
        <v>5.4002840000000001</v>
      </c>
      <c r="S64" s="98">
        <v>5.4331740000000002</v>
      </c>
      <c r="T64" s="98">
        <v>104.65103000000001</v>
      </c>
      <c r="U64" s="98">
        <v>2.458971</v>
      </c>
      <c r="V64" s="92" t="s">
        <v>1174</v>
      </c>
      <c r="W64" s="92" t="s">
        <v>1162</v>
      </c>
      <c r="X64" s="95">
        <v>46811</v>
      </c>
      <c r="Y64" s="98">
        <v>104.179</v>
      </c>
      <c r="Z64" s="92" t="s">
        <v>137</v>
      </c>
      <c r="AA64" s="92" t="s">
        <v>429</v>
      </c>
      <c r="AB64" s="92" t="s">
        <v>436</v>
      </c>
      <c r="AC64" s="92" t="s">
        <v>470</v>
      </c>
      <c r="AD64" s="92" t="s">
        <v>437</v>
      </c>
      <c r="AE64" s="92" t="s">
        <v>431</v>
      </c>
      <c r="AF64" s="92" t="s">
        <v>397</v>
      </c>
      <c r="AG64" s="92" t="s">
        <v>436</v>
      </c>
      <c r="AH64" s="92" t="s">
        <v>1164</v>
      </c>
      <c r="AI64" s="92" t="s">
        <v>137</v>
      </c>
    </row>
    <row r="65" spans="1:35" ht="14.75">
      <c r="A65" s="92" t="s">
        <v>1187</v>
      </c>
      <c r="B65" s="92" t="s">
        <v>429</v>
      </c>
      <c r="C65" s="95">
        <v>46836</v>
      </c>
      <c r="D65" s="96">
        <v>151946042</v>
      </c>
      <c r="E65" s="96">
        <v>151946042</v>
      </c>
      <c r="F65" s="97">
        <v>2.62</v>
      </c>
      <c r="G65" s="92" t="s">
        <v>430</v>
      </c>
      <c r="H65" s="92" t="s">
        <v>463</v>
      </c>
      <c r="I65" s="92" t="s">
        <v>1172</v>
      </c>
      <c r="J65" s="92" t="s">
        <v>304</v>
      </c>
      <c r="K65" s="92" t="s">
        <v>1188</v>
      </c>
      <c r="L65" s="92" t="s">
        <v>429</v>
      </c>
      <c r="M65" s="95">
        <v>42453</v>
      </c>
      <c r="N65" s="92" t="s">
        <v>434</v>
      </c>
      <c r="O65" s="92" t="s">
        <v>434</v>
      </c>
      <c r="P65" s="92" t="s">
        <v>435</v>
      </c>
      <c r="Q65" s="92" t="s">
        <v>436</v>
      </c>
      <c r="R65" s="98">
        <v>5.4671890000000003</v>
      </c>
      <c r="S65" s="98">
        <v>5.4007680000000002</v>
      </c>
      <c r="T65" s="98">
        <v>100.968864</v>
      </c>
      <c r="U65" s="98">
        <v>2.4517859999999998</v>
      </c>
      <c r="V65" s="92" t="s">
        <v>1174</v>
      </c>
      <c r="W65" s="92" t="s">
        <v>1162</v>
      </c>
      <c r="X65" s="95">
        <v>46836</v>
      </c>
      <c r="Y65" s="98">
        <v>100.93300000000001</v>
      </c>
      <c r="Z65" s="92" t="s">
        <v>137</v>
      </c>
      <c r="AA65" s="92" t="s">
        <v>429</v>
      </c>
      <c r="AB65" s="92" t="s">
        <v>436</v>
      </c>
      <c r="AC65" s="92" t="s">
        <v>464</v>
      </c>
      <c r="AD65" s="92" t="s">
        <v>437</v>
      </c>
      <c r="AE65" s="92" t="s">
        <v>431</v>
      </c>
      <c r="AF65" s="92" t="s">
        <v>397</v>
      </c>
      <c r="AG65" s="92" t="s">
        <v>436</v>
      </c>
      <c r="AH65" s="92" t="s">
        <v>1164</v>
      </c>
      <c r="AI65" s="92" t="s">
        <v>137</v>
      </c>
    </row>
    <row r="66" spans="1:35" ht="14.75">
      <c r="A66" s="92" t="s">
        <v>1189</v>
      </c>
      <c r="B66" s="92" t="s">
        <v>429</v>
      </c>
      <c r="C66" s="95">
        <v>46986</v>
      </c>
      <c r="D66" s="96">
        <v>550000000</v>
      </c>
      <c r="E66" s="96">
        <v>550000000</v>
      </c>
      <c r="F66" s="97">
        <v>4.2</v>
      </c>
      <c r="G66" s="92" t="s">
        <v>430</v>
      </c>
      <c r="H66" s="92" t="s">
        <v>431</v>
      </c>
      <c r="I66" s="92" t="s">
        <v>432</v>
      </c>
      <c r="J66" s="92" t="s">
        <v>305</v>
      </c>
      <c r="K66" s="92" t="s">
        <v>1190</v>
      </c>
      <c r="L66" s="92" t="s">
        <v>429</v>
      </c>
      <c r="M66" s="95">
        <v>43152</v>
      </c>
      <c r="N66" s="92" t="s">
        <v>434</v>
      </c>
      <c r="O66" s="92" t="s">
        <v>434</v>
      </c>
      <c r="P66" s="92" t="s">
        <v>435</v>
      </c>
      <c r="Q66" s="92" t="s">
        <v>436</v>
      </c>
      <c r="R66" s="98">
        <v>5.633737</v>
      </c>
      <c r="S66" s="98">
        <v>5.6396059999999997</v>
      </c>
      <c r="T66" s="98">
        <v>140.148695</v>
      </c>
      <c r="U66" s="98">
        <v>3.3750849999999999</v>
      </c>
      <c r="V66" s="92" t="s">
        <v>1161</v>
      </c>
      <c r="W66" s="92" t="s">
        <v>1162</v>
      </c>
      <c r="X66" s="95">
        <v>46986</v>
      </c>
      <c r="Y66" s="98">
        <v>104.75</v>
      </c>
      <c r="Z66" s="92" t="s">
        <v>137</v>
      </c>
      <c r="AA66" s="92" t="s">
        <v>429</v>
      </c>
      <c r="AB66" s="92" t="s">
        <v>436</v>
      </c>
      <c r="AC66" s="92" t="s">
        <v>470</v>
      </c>
      <c r="AD66" s="92" t="s">
        <v>437</v>
      </c>
      <c r="AE66" s="92" t="s">
        <v>431</v>
      </c>
      <c r="AF66" s="92" t="s">
        <v>397</v>
      </c>
      <c r="AG66" s="92" t="s">
        <v>436</v>
      </c>
      <c r="AH66" s="92" t="s">
        <v>1164</v>
      </c>
      <c r="AI66" s="92" t="s">
        <v>137</v>
      </c>
    </row>
    <row r="67" spans="1:35" ht="14.75">
      <c r="A67" s="92" t="s">
        <v>1191</v>
      </c>
      <c r="B67" s="92" t="s">
        <v>429</v>
      </c>
      <c r="C67" s="95">
        <v>47196</v>
      </c>
      <c r="D67" s="96">
        <v>151569717</v>
      </c>
      <c r="E67" s="96">
        <v>151569717</v>
      </c>
      <c r="F67" s="97">
        <v>3.0375000000000001</v>
      </c>
      <c r="G67" s="92" t="s">
        <v>430</v>
      </c>
      <c r="H67" s="92" t="s">
        <v>463</v>
      </c>
      <c r="I67" s="92" t="s">
        <v>1179</v>
      </c>
      <c r="J67" s="92" t="s">
        <v>306</v>
      </c>
      <c r="K67" s="92" t="s">
        <v>1192</v>
      </c>
      <c r="L67" s="92" t="s">
        <v>429</v>
      </c>
      <c r="M67" s="95">
        <v>43543</v>
      </c>
      <c r="N67" s="92" t="s">
        <v>434</v>
      </c>
      <c r="O67" s="92" t="s">
        <v>434</v>
      </c>
      <c r="P67" s="92" t="s">
        <v>435</v>
      </c>
      <c r="Q67" s="92" t="s">
        <v>436</v>
      </c>
      <c r="R67" s="98">
        <v>6.1377600000000001</v>
      </c>
      <c r="S67" s="98">
        <v>6.0364950000000004</v>
      </c>
      <c r="T67" s="98">
        <v>151.992715</v>
      </c>
      <c r="U67" s="98">
        <v>3.3832369999999998</v>
      </c>
      <c r="V67" s="92" t="s">
        <v>1161</v>
      </c>
      <c r="W67" s="92" t="s">
        <v>1162</v>
      </c>
      <c r="X67" s="95">
        <v>47196</v>
      </c>
      <c r="Y67" s="98">
        <v>97.867000000000004</v>
      </c>
      <c r="Z67" s="92" t="s">
        <v>137</v>
      </c>
      <c r="AA67" s="92" t="s">
        <v>429</v>
      </c>
      <c r="AB67" s="92" t="s">
        <v>436</v>
      </c>
      <c r="AC67" s="92" t="s">
        <v>464</v>
      </c>
      <c r="AD67" s="92" t="s">
        <v>437</v>
      </c>
      <c r="AE67" s="92" t="s">
        <v>431</v>
      </c>
      <c r="AF67" s="92" t="s">
        <v>397</v>
      </c>
      <c r="AG67" s="92" t="s">
        <v>436</v>
      </c>
      <c r="AH67" s="92" t="s">
        <v>1164</v>
      </c>
      <c r="AI67" s="92" t="s">
        <v>137</v>
      </c>
    </row>
    <row r="68" spans="1:35" ht="14.75">
      <c r="A68" s="92" t="s">
        <v>1193</v>
      </c>
      <c r="B68" s="92" t="s">
        <v>429</v>
      </c>
      <c r="C68" s="95">
        <v>47196</v>
      </c>
      <c r="D68" s="96">
        <v>75784858</v>
      </c>
      <c r="E68" s="96">
        <v>75784858</v>
      </c>
      <c r="F68" s="97">
        <v>3.0274999999999999</v>
      </c>
      <c r="G68" s="92" t="s">
        <v>430</v>
      </c>
      <c r="H68" s="92" t="s">
        <v>463</v>
      </c>
      <c r="I68" s="92" t="s">
        <v>1179</v>
      </c>
      <c r="J68" s="92" t="s">
        <v>307</v>
      </c>
      <c r="K68" s="92" t="s">
        <v>1194</v>
      </c>
      <c r="L68" s="92" t="s">
        <v>429</v>
      </c>
      <c r="M68" s="95">
        <v>43543</v>
      </c>
      <c r="N68" s="92" t="s">
        <v>434</v>
      </c>
      <c r="O68" s="92" t="s">
        <v>434</v>
      </c>
      <c r="P68" s="92" t="s">
        <v>435</v>
      </c>
      <c r="Q68" s="92" t="s">
        <v>436</v>
      </c>
      <c r="R68" s="98">
        <v>6.1403970000000001</v>
      </c>
      <c r="S68" s="98">
        <v>6.0393840000000001</v>
      </c>
      <c r="T68" s="98">
        <v>150.99384699999999</v>
      </c>
      <c r="U68" s="98">
        <v>3.3731070000000001</v>
      </c>
      <c r="V68" s="92" t="s">
        <v>1161</v>
      </c>
      <c r="W68" s="92" t="s">
        <v>1162</v>
      </c>
      <c r="X68" s="95">
        <v>47196</v>
      </c>
      <c r="Y68" s="98">
        <v>97.867000000000004</v>
      </c>
      <c r="Z68" s="92" t="s">
        <v>137</v>
      </c>
      <c r="AA68" s="92" t="s">
        <v>429</v>
      </c>
      <c r="AB68" s="92" t="s">
        <v>436</v>
      </c>
      <c r="AC68" s="92" t="s">
        <v>464</v>
      </c>
      <c r="AD68" s="92" t="s">
        <v>437</v>
      </c>
      <c r="AE68" s="92" t="s">
        <v>431</v>
      </c>
      <c r="AF68" s="92" t="s">
        <v>397</v>
      </c>
      <c r="AG68" s="92" t="s">
        <v>436</v>
      </c>
      <c r="AH68" s="92" t="s">
        <v>1164</v>
      </c>
      <c r="AI68" s="92" t="s">
        <v>137</v>
      </c>
    </row>
    <row r="69" spans="1:35" ht="14.75">
      <c r="A69" s="92" t="s">
        <v>1195</v>
      </c>
      <c r="B69" s="92" t="s">
        <v>429</v>
      </c>
      <c r="C69" s="95">
        <v>47294</v>
      </c>
      <c r="D69" s="96">
        <v>136412745</v>
      </c>
      <c r="E69" s="96">
        <v>136412745</v>
      </c>
      <c r="F69" s="97">
        <v>3.97</v>
      </c>
      <c r="G69" s="92" t="s">
        <v>430</v>
      </c>
      <c r="H69" s="92" t="s">
        <v>463</v>
      </c>
      <c r="I69" s="92" t="s">
        <v>1179</v>
      </c>
      <c r="J69" s="92" t="s">
        <v>308</v>
      </c>
      <c r="K69" s="92" t="s">
        <v>1196</v>
      </c>
      <c r="L69" s="92" t="s">
        <v>429</v>
      </c>
      <c r="M69" s="95">
        <v>41815</v>
      </c>
      <c r="N69" s="92" t="s">
        <v>434</v>
      </c>
      <c r="O69" s="92" t="s">
        <v>434</v>
      </c>
      <c r="P69" s="92" t="s">
        <v>435</v>
      </c>
      <c r="Q69" s="92" t="s">
        <v>436</v>
      </c>
      <c r="R69" s="98">
        <v>6.2228909999999997</v>
      </c>
      <c r="S69" s="98">
        <v>6.1210009999999997</v>
      </c>
      <c r="T69" s="98">
        <v>153.625317</v>
      </c>
      <c r="U69" s="98">
        <v>3.4046379999999998</v>
      </c>
      <c r="V69" s="92" t="s">
        <v>1161</v>
      </c>
      <c r="W69" s="92" t="s">
        <v>1162</v>
      </c>
      <c r="X69" s="95">
        <v>47294</v>
      </c>
      <c r="Y69" s="98">
        <v>103.586</v>
      </c>
      <c r="Z69" s="92" t="s">
        <v>137</v>
      </c>
      <c r="AA69" s="92" t="s">
        <v>429</v>
      </c>
      <c r="AB69" s="92" t="s">
        <v>436</v>
      </c>
      <c r="AC69" s="92" t="s">
        <v>470</v>
      </c>
      <c r="AD69" s="92" t="s">
        <v>437</v>
      </c>
      <c r="AE69" s="92" t="s">
        <v>431</v>
      </c>
      <c r="AF69" s="92" t="s">
        <v>397</v>
      </c>
      <c r="AG69" s="92" t="s">
        <v>436</v>
      </c>
      <c r="AH69" s="92" t="s">
        <v>1164</v>
      </c>
      <c r="AI69" s="92" t="s">
        <v>137</v>
      </c>
    </row>
    <row r="70" spans="1:35" ht="14.75">
      <c r="A70" s="92" t="s">
        <v>1197</v>
      </c>
      <c r="B70" s="92" t="s">
        <v>429</v>
      </c>
      <c r="C70" s="95">
        <v>47330</v>
      </c>
      <c r="D70" s="96">
        <v>350000000</v>
      </c>
      <c r="E70" s="96">
        <v>350000000</v>
      </c>
      <c r="F70" s="97">
        <v>2.6</v>
      </c>
      <c r="G70" s="92" t="s">
        <v>430</v>
      </c>
      <c r="H70" s="92" t="s">
        <v>431</v>
      </c>
      <c r="I70" s="92" t="s">
        <v>432</v>
      </c>
      <c r="J70" s="92" t="s">
        <v>309</v>
      </c>
      <c r="K70" s="92" t="s">
        <v>1198</v>
      </c>
      <c r="L70" s="92" t="s">
        <v>429</v>
      </c>
      <c r="M70" s="95">
        <v>43677</v>
      </c>
      <c r="N70" s="92" t="s">
        <v>434</v>
      </c>
      <c r="O70" s="92" t="s">
        <v>434</v>
      </c>
      <c r="P70" s="92" t="s">
        <v>435</v>
      </c>
      <c r="Q70" s="92" t="s">
        <v>436</v>
      </c>
      <c r="R70" s="98">
        <v>6.6079100000000004</v>
      </c>
      <c r="S70" s="98">
        <v>6.6112900000000003</v>
      </c>
      <c r="T70" s="98">
        <v>165.388789</v>
      </c>
      <c r="U70" s="98">
        <v>3.6852529999999999</v>
      </c>
      <c r="V70" s="92" t="s">
        <v>1161</v>
      </c>
      <c r="W70" s="92" t="s">
        <v>1162</v>
      </c>
      <c r="X70" s="95">
        <v>47330</v>
      </c>
      <c r="Y70" s="98">
        <v>93.024000000000001</v>
      </c>
      <c r="Z70" s="92" t="s">
        <v>137</v>
      </c>
      <c r="AA70" s="92" t="s">
        <v>429</v>
      </c>
      <c r="AB70" s="92" t="s">
        <v>436</v>
      </c>
      <c r="AC70" s="92" t="s">
        <v>470</v>
      </c>
      <c r="AD70" s="92" t="s">
        <v>437</v>
      </c>
      <c r="AE70" s="92" t="s">
        <v>431</v>
      </c>
      <c r="AF70" s="92" t="s">
        <v>397</v>
      </c>
      <c r="AG70" s="92" t="s">
        <v>436</v>
      </c>
      <c r="AH70" s="92" t="s">
        <v>1164</v>
      </c>
      <c r="AI70" s="92" t="s">
        <v>137</v>
      </c>
    </row>
    <row r="71" spans="1:35" ht="14.75">
      <c r="A71" s="92" t="s">
        <v>1199</v>
      </c>
      <c r="B71" s="92" t="s">
        <v>429</v>
      </c>
      <c r="C71" s="95">
        <v>47543</v>
      </c>
      <c r="D71" s="96">
        <v>222374491</v>
      </c>
      <c r="E71" s="96">
        <v>222374491</v>
      </c>
      <c r="F71" s="97">
        <v>1.625</v>
      </c>
      <c r="G71" s="92" t="s">
        <v>430</v>
      </c>
      <c r="H71" s="92" t="s">
        <v>463</v>
      </c>
      <c r="I71" s="92" t="s">
        <v>1167</v>
      </c>
      <c r="J71" s="92" t="s">
        <v>310</v>
      </c>
      <c r="K71" s="92" t="s">
        <v>1200</v>
      </c>
      <c r="L71" s="92" t="s">
        <v>429</v>
      </c>
      <c r="M71" s="95">
        <v>43160</v>
      </c>
      <c r="N71" s="92" t="s">
        <v>434</v>
      </c>
      <c r="O71" s="92" t="s">
        <v>434</v>
      </c>
      <c r="P71" s="92" t="s">
        <v>435</v>
      </c>
      <c r="Q71" s="92" t="s">
        <v>436</v>
      </c>
      <c r="R71" s="98">
        <v>7.4903469999999999</v>
      </c>
      <c r="S71" s="98">
        <v>7.433122</v>
      </c>
      <c r="T71" s="98">
        <v>180.12642500000001</v>
      </c>
      <c r="U71" s="98">
        <v>1.5529059999999999</v>
      </c>
      <c r="V71" s="92" t="s">
        <v>1161</v>
      </c>
      <c r="W71" s="92" t="s">
        <v>1162</v>
      </c>
      <c r="X71" s="95">
        <v>47543</v>
      </c>
      <c r="Y71" s="98">
        <v>100.53700000000001</v>
      </c>
      <c r="Z71" s="92" t="s">
        <v>137</v>
      </c>
      <c r="AA71" s="92" t="s">
        <v>429</v>
      </c>
      <c r="AB71" s="92" t="s">
        <v>436</v>
      </c>
      <c r="AC71" s="92" t="s">
        <v>464</v>
      </c>
      <c r="AD71" s="92" t="s">
        <v>437</v>
      </c>
      <c r="AE71" s="92" t="s">
        <v>431</v>
      </c>
      <c r="AF71" s="92" t="s">
        <v>397</v>
      </c>
      <c r="AG71" s="92" t="s">
        <v>436</v>
      </c>
      <c r="AH71" s="92" t="s">
        <v>1164</v>
      </c>
      <c r="AI71" s="92" t="s">
        <v>137</v>
      </c>
    </row>
    <row r="72" spans="1:35" ht="14.75">
      <c r="A72" s="92" t="s">
        <v>1201</v>
      </c>
      <c r="B72" s="92" t="s">
        <v>429</v>
      </c>
      <c r="C72" s="95">
        <v>47544</v>
      </c>
      <c r="D72" s="96">
        <v>16307463</v>
      </c>
      <c r="E72" s="96">
        <v>16307463</v>
      </c>
      <c r="F72" s="97">
        <v>1.7</v>
      </c>
      <c r="G72" s="92" t="s">
        <v>430</v>
      </c>
      <c r="H72" s="92" t="s">
        <v>463</v>
      </c>
      <c r="I72" s="92" t="s">
        <v>1167</v>
      </c>
      <c r="J72" s="92" t="s">
        <v>311</v>
      </c>
      <c r="K72" s="92" t="s">
        <v>1202</v>
      </c>
      <c r="L72" s="92" t="s">
        <v>429</v>
      </c>
      <c r="M72" s="95">
        <v>43161</v>
      </c>
      <c r="N72" s="92" t="s">
        <v>434</v>
      </c>
      <c r="O72" s="92" t="s">
        <v>434</v>
      </c>
      <c r="P72" s="92" t="s">
        <v>435</v>
      </c>
      <c r="Q72" s="92" t="s">
        <v>436</v>
      </c>
      <c r="R72" s="98">
        <v>7.4757899999999999</v>
      </c>
      <c r="S72" s="98">
        <v>7.4186370000000004</v>
      </c>
      <c r="T72" s="98">
        <v>180.03417099999999</v>
      </c>
      <c r="U72" s="98">
        <v>1.552942</v>
      </c>
      <c r="V72" s="92" t="s">
        <v>1161</v>
      </c>
      <c r="W72" s="92" t="s">
        <v>1162</v>
      </c>
      <c r="X72" s="95">
        <v>47546</v>
      </c>
      <c r="Y72" s="98">
        <v>101.096</v>
      </c>
      <c r="Z72" s="92" t="s">
        <v>137</v>
      </c>
      <c r="AA72" s="92" t="s">
        <v>429</v>
      </c>
      <c r="AB72" s="92" t="s">
        <v>436</v>
      </c>
      <c r="AC72" s="92" t="s">
        <v>464</v>
      </c>
      <c r="AD72" s="92" t="s">
        <v>437</v>
      </c>
      <c r="AE72" s="92" t="s">
        <v>431</v>
      </c>
      <c r="AF72" s="92" t="s">
        <v>397</v>
      </c>
      <c r="AG72" s="92" t="s">
        <v>436</v>
      </c>
      <c r="AH72" s="92" t="s">
        <v>1164</v>
      </c>
      <c r="AI72" s="92" t="s">
        <v>137</v>
      </c>
    </row>
    <row r="73" spans="1:35" ht="14.75">
      <c r="A73" s="92" t="s">
        <v>1203</v>
      </c>
      <c r="B73" s="92" t="s">
        <v>429</v>
      </c>
      <c r="C73" s="95">
        <v>47702</v>
      </c>
      <c r="D73" s="96">
        <v>100000000</v>
      </c>
      <c r="E73" s="96">
        <v>100000000</v>
      </c>
      <c r="F73" s="97">
        <v>2.2000000000000002</v>
      </c>
      <c r="G73" s="92" t="s">
        <v>430</v>
      </c>
      <c r="H73" s="92" t="s">
        <v>463</v>
      </c>
      <c r="I73" s="92" t="s">
        <v>432</v>
      </c>
      <c r="J73" s="92" t="s">
        <v>312</v>
      </c>
      <c r="K73" s="92" t="s">
        <v>1204</v>
      </c>
      <c r="L73" s="92" t="s">
        <v>429</v>
      </c>
      <c r="M73" s="95">
        <v>44050</v>
      </c>
      <c r="N73" s="92" t="s">
        <v>434</v>
      </c>
      <c r="O73" s="92" t="s">
        <v>434</v>
      </c>
      <c r="P73" s="92" t="s">
        <v>435</v>
      </c>
      <c r="Q73" s="92" t="s">
        <v>436</v>
      </c>
      <c r="R73" s="98">
        <v>7.4812349999999999</v>
      </c>
      <c r="S73" s="98">
        <v>7.3454319999999997</v>
      </c>
      <c r="T73" s="98">
        <v>163.86419699999999</v>
      </c>
      <c r="U73" s="98">
        <v>3.7318009999999999</v>
      </c>
      <c r="V73" s="92" t="s">
        <v>1161</v>
      </c>
      <c r="W73" s="92" t="s">
        <v>1162</v>
      </c>
      <c r="X73" s="95">
        <v>47702</v>
      </c>
      <c r="Y73" s="98">
        <v>89.100999999999999</v>
      </c>
      <c r="Z73" s="92" t="s">
        <v>137</v>
      </c>
      <c r="AA73" s="92" t="s">
        <v>429</v>
      </c>
      <c r="AB73" s="92" t="s">
        <v>436</v>
      </c>
      <c r="AC73" s="92" t="s">
        <v>464</v>
      </c>
      <c r="AD73" s="92" t="s">
        <v>437</v>
      </c>
      <c r="AE73" s="92" t="s">
        <v>431</v>
      </c>
      <c r="AF73" s="92" t="s">
        <v>397</v>
      </c>
      <c r="AG73" s="92" t="s">
        <v>436</v>
      </c>
      <c r="AH73" s="92" t="s">
        <v>1164</v>
      </c>
      <c r="AI73" s="92" t="s">
        <v>137</v>
      </c>
    </row>
    <row r="74" spans="1:35" ht="14.75">
      <c r="A74" s="92" t="s">
        <v>1205</v>
      </c>
      <c r="B74" s="92" t="s">
        <v>429</v>
      </c>
      <c r="C74" s="95">
        <v>47720</v>
      </c>
      <c r="D74" s="96">
        <v>741248304</v>
      </c>
      <c r="E74" s="96">
        <v>741248304</v>
      </c>
      <c r="F74" s="97">
        <v>0.625</v>
      </c>
      <c r="G74" s="92" t="s">
        <v>430</v>
      </c>
      <c r="H74" s="92" t="s">
        <v>463</v>
      </c>
      <c r="I74" s="92" t="s">
        <v>1167</v>
      </c>
      <c r="J74" s="92" t="s">
        <v>313</v>
      </c>
      <c r="K74" s="92" t="s">
        <v>1206</v>
      </c>
      <c r="L74" s="92" t="s">
        <v>429</v>
      </c>
      <c r="M74" s="95">
        <v>43886</v>
      </c>
      <c r="N74" s="92" t="s">
        <v>434</v>
      </c>
      <c r="O74" s="92" t="s">
        <v>458</v>
      </c>
      <c r="P74" s="92" t="s">
        <v>435</v>
      </c>
      <c r="Q74" s="92" t="s">
        <v>436</v>
      </c>
      <c r="R74" s="98">
        <v>8.1794619999999991</v>
      </c>
      <c r="S74" s="98">
        <v>8.1265459999999994</v>
      </c>
      <c r="T74" s="98">
        <v>156.33268200000001</v>
      </c>
      <c r="U74" s="98">
        <v>1.3528199999999999</v>
      </c>
      <c r="V74" s="92" t="s">
        <v>1161</v>
      </c>
      <c r="W74" s="92" t="s">
        <v>1162</v>
      </c>
      <c r="X74" s="95">
        <v>47721</v>
      </c>
      <c r="Y74" s="98">
        <v>94.213999999999999</v>
      </c>
      <c r="Z74" s="92" t="s">
        <v>137</v>
      </c>
      <c r="AA74" s="92" t="s">
        <v>429</v>
      </c>
      <c r="AB74" s="92" t="s">
        <v>436</v>
      </c>
      <c r="AC74" s="92" t="s">
        <v>464</v>
      </c>
      <c r="AD74" s="92" t="s">
        <v>437</v>
      </c>
      <c r="AE74" s="92" t="s">
        <v>431</v>
      </c>
      <c r="AF74" s="92" t="s">
        <v>397</v>
      </c>
      <c r="AG74" s="92" t="s">
        <v>436</v>
      </c>
      <c r="AH74" s="92" t="s">
        <v>1164</v>
      </c>
      <c r="AI74" s="92" t="s">
        <v>137</v>
      </c>
    </row>
    <row r="75" spans="1:35" ht="14.75">
      <c r="A75" s="92" t="s">
        <v>1207</v>
      </c>
      <c r="B75" s="92" t="s">
        <v>429</v>
      </c>
      <c r="C75" s="95">
        <v>48628</v>
      </c>
      <c r="D75" s="96">
        <v>105928098</v>
      </c>
      <c r="E75" s="96">
        <v>105928098</v>
      </c>
      <c r="F75" s="97">
        <v>3.5350000000000001</v>
      </c>
      <c r="G75" s="92" t="s">
        <v>430</v>
      </c>
      <c r="H75" s="92" t="s">
        <v>463</v>
      </c>
      <c r="I75" s="92" t="s">
        <v>1172</v>
      </c>
      <c r="J75" s="92" t="s">
        <v>314</v>
      </c>
      <c r="K75" s="92" t="s">
        <v>1208</v>
      </c>
      <c r="L75" s="92" t="s">
        <v>429</v>
      </c>
      <c r="M75" s="95">
        <v>43160</v>
      </c>
      <c r="N75" s="92" t="s">
        <v>434</v>
      </c>
      <c r="O75" s="92" t="s">
        <v>434</v>
      </c>
      <c r="P75" s="92" t="s">
        <v>435</v>
      </c>
      <c r="Q75" s="92" t="s">
        <v>436</v>
      </c>
      <c r="R75" s="98">
        <v>9.17319</v>
      </c>
      <c r="S75" s="98">
        <v>9.0447450000000007</v>
      </c>
      <c r="T75" s="98">
        <v>118.851668</v>
      </c>
      <c r="U75" s="98">
        <v>2.9600919999999999</v>
      </c>
      <c r="V75" s="92" t="s">
        <v>1174</v>
      </c>
      <c r="W75" s="92" t="s">
        <v>1162</v>
      </c>
      <c r="X75" s="95">
        <v>48628</v>
      </c>
      <c r="Y75" s="98">
        <v>105.31100000000001</v>
      </c>
      <c r="Z75" s="92" t="s">
        <v>137</v>
      </c>
      <c r="AA75" s="92" t="s">
        <v>429</v>
      </c>
      <c r="AB75" s="92" t="s">
        <v>436</v>
      </c>
      <c r="AC75" s="92" t="s">
        <v>464</v>
      </c>
      <c r="AD75" s="92" t="s">
        <v>437</v>
      </c>
      <c r="AE75" s="92" t="s">
        <v>431</v>
      </c>
      <c r="AF75" s="92" t="s">
        <v>397</v>
      </c>
      <c r="AG75" s="92" t="s">
        <v>436</v>
      </c>
      <c r="AH75" s="92" t="s">
        <v>1164</v>
      </c>
      <c r="AI75" s="92" t="s">
        <v>137</v>
      </c>
    </row>
    <row r="76" spans="1:35" ht="14.75">
      <c r="A76" s="92" t="s">
        <v>1209</v>
      </c>
      <c r="B76" s="92" t="s">
        <v>429</v>
      </c>
      <c r="C76" s="95">
        <v>49009</v>
      </c>
      <c r="D76" s="96">
        <v>105928098</v>
      </c>
      <c r="E76" s="96">
        <v>105928098</v>
      </c>
      <c r="F76" s="97">
        <v>3.45</v>
      </c>
      <c r="G76" s="92" t="s">
        <v>430</v>
      </c>
      <c r="H76" s="92" t="s">
        <v>463</v>
      </c>
      <c r="I76" s="92" t="s">
        <v>1172</v>
      </c>
      <c r="J76" s="92" t="s">
        <v>315</v>
      </c>
      <c r="K76" s="92" t="s">
        <v>1210</v>
      </c>
      <c r="L76" s="92" t="s">
        <v>429</v>
      </c>
      <c r="M76" s="95">
        <v>43538</v>
      </c>
      <c r="N76" s="92" t="s">
        <v>434</v>
      </c>
      <c r="O76" s="92" t="s">
        <v>434</v>
      </c>
      <c r="P76" s="92" t="s">
        <v>435</v>
      </c>
      <c r="Q76" s="92" t="s">
        <v>436</v>
      </c>
      <c r="R76" s="98">
        <v>9.6066070000000003</v>
      </c>
      <c r="S76" s="98">
        <v>9.4637879999999992</v>
      </c>
      <c r="T76" s="98">
        <v>120.86941299999999</v>
      </c>
      <c r="U76" s="98">
        <v>3.0400800000000001</v>
      </c>
      <c r="V76" s="92" t="s">
        <v>1174</v>
      </c>
      <c r="W76" s="92" t="s">
        <v>1162</v>
      </c>
      <c r="X76" s="95">
        <v>49009</v>
      </c>
      <c r="Y76" s="98">
        <v>104.069</v>
      </c>
      <c r="Z76" s="92" t="s">
        <v>137</v>
      </c>
      <c r="AA76" s="92" t="s">
        <v>429</v>
      </c>
      <c r="AB76" s="92" t="s">
        <v>436</v>
      </c>
      <c r="AC76" s="92" t="s">
        <v>464</v>
      </c>
      <c r="AD76" s="92" t="s">
        <v>437</v>
      </c>
      <c r="AE76" s="92" t="s">
        <v>431</v>
      </c>
      <c r="AF76" s="92" t="s">
        <v>397</v>
      </c>
      <c r="AG76" s="92" t="s">
        <v>436</v>
      </c>
      <c r="AH76" s="92" t="s">
        <v>1164</v>
      </c>
      <c r="AI76" s="92" t="s">
        <v>137</v>
      </c>
    </row>
    <row r="77" spans="1:35" ht="14.75">
      <c r="A77" s="92" t="s">
        <v>1211</v>
      </c>
      <c r="B77" s="92" t="s">
        <v>429</v>
      </c>
      <c r="C77" s="95">
        <v>49528</v>
      </c>
      <c r="D77" s="96">
        <v>50000000</v>
      </c>
      <c r="E77" s="96">
        <v>50000000</v>
      </c>
      <c r="F77" s="97">
        <v>2.57</v>
      </c>
      <c r="G77" s="92" t="s">
        <v>430</v>
      </c>
      <c r="H77" s="92" t="s">
        <v>463</v>
      </c>
      <c r="I77" s="92" t="s">
        <v>432</v>
      </c>
      <c r="J77" s="92" t="s">
        <v>316</v>
      </c>
      <c r="K77" s="92" t="s">
        <v>1212</v>
      </c>
      <c r="L77" s="92" t="s">
        <v>429</v>
      </c>
      <c r="M77" s="95">
        <v>44050</v>
      </c>
      <c r="N77" s="92" t="s">
        <v>434</v>
      </c>
      <c r="O77" s="92" t="s">
        <v>434</v>
      </c>
      <c r="P77" s="92" t="s">
        <v>435</v>
      </c>
      <c r="Q77" s="92" t="s">
        <v>436</v>
      </c>
      <c r="R77" s="98">
        <v>0</v>
      </c>
      <c r="S77" s="98">
        <v>0</v>
      </c>
      <c r="T77" s="98">
        <v>0</v>
      </c>
      <c r="U77" s="98">
        <v>0</v>
      </c>
      <c r="V77" s="92" t="s">
        <v>429</v>
      </c>
      <c r="W77" s="92" t="s">
        <v>429</v>
      </c>
      <c r="X77" s="95" t="s">
        <v>429</v>
      </c>
      <c r="Y77" s="98">
        <v>0</v>
      </c>
      <c r="Z77" s="92" t="s">
        <v>137</v>
      </c>
      <c r="AA77" s="92" t="s">
        <v>429</v>
      </c>
      <c r="AB77" s="92" t="s">
        <v>436</v>
      </c>
      <c r="AC77" s="92" t="s">
        <v>470</v>
      </c>
      <c r="AD77" s="92" t="s">
        <v>437</v>
      </c>
      <c r="AE77" s="92" t="s">
        <v>431</v>
      </c>
      <c r="AF77" s="92" t="s">
        <v>397</v>
      </c>
      <c r="AG77" s="92" t="s">
        <v>436</v>
      </c>
      <c r="AH77" s="92" t="s">
        <v>1164</v>
      </c>
      <c r="AI77" s="92" t="s">
        <v>137</v>
      </c>
    </row>
    <row r="78" spans="1:35" ht="14.75">
      <c r="A78" s="92" t="s">
        <v>1211</v>
      </c>
      <c r="B78" s="92" t="s">
        <v>429</v>
      </c>
      <c r="C78" s="95">
        <v>49528</v>
      </c>
      <c r="D78" s="96">
        <v>20000000</v>
      </c>
      <c r="E78" s="96">
        <v>20000000</v>
      </c>
      <c r="F78" s="97">
        <v>2.57</v>
      </c>
      <c r="G78" s="92" t="s">
        <v>430</v>
      </c>
      <c r="H78" s="92" t="s">
        <v>463</v>
      </c>
      <c r="I78" s="92" t="s">
        <v>432</v>
      </c>
      <c r="J78" s="92" t="s">
        <v>317</v>
      </c>
      <c r="K78" s="92" t="s">
        <v>1213</v>
      </c>
      <c r="L78" s="92" t="s">
        <v>429</v>
      </c>
      <c r="M78" s="95">
        <v>44050</v>
      </c>
      <c r="N78" s="92" t="s">
        <v>434</v>
      </c>
      <c r="O78" s="92" t="s">
        <v>434</v>
      </c>
      <c r="P78" s="92" t="s">
        <v>435</v>
      </c>
      <c r="Q78" s="92" t="s">
        <v>436</v>
      </c>
      <c r="R78" s="98">
        <v>10.995371</v>
      </c>
      <c r="S78" s="98">
        <v>10.995371</v>
      </c>
      <c r="T78" s="98">
        <v>168.28308999999999</v>
      </c>
      <c r="U78" s="98">
        <v>3.9117679999999999</v>
      </c>
      <c r="V78" s="92" t="s">
        <v>1161</v>
      </c>
      <c r="W78" s="92" t="s">
        <v>1162</v>
      </c>
      <c r="X78" s="95">
        <v>49528</v>
      </c>
      <c r="Y78" s="98">
        <v>86.096999999999994</v>
      </c>
      <c r="Z78" s="92" t="s">
        <v>137</v>
      </c>
      <c r="AA78" s="92" t="s">
        <v>429</v>
      </c>
      <c r="AB78" s="92" t="s">
        <v>436</v>
      </c>
      <c r="AC78" s="92" t="s">
        <v>470</v>
      </c>
      <c r="AD78" s="92" t="s">
        <v>437</v>
      </c>
      <c r="AE78" s="92" t="s">
        <v>431</v>
      </c>
      <c r="AF78" s="92" t="s">
        <v>397</v>
      </c>
      <c r="AG78" s="92" t="s">
        <v>436</v>
      </c>
      <c r="AH78" s="92" t="s">
        <v>1164</v>
      </c>
      <c r="AI78" s="92" t="s">
        <v>137</v>
      </c>
    </row>
    <row r="79" spans="1:35" ht="14.75">
      <c r="A79" s="92" t="s">
        <v>1214</v>
      </c>
      <c r="B79" s="92" t="s">
        <v>429</v>
      </c>
      <c r="C79" s="95">
        <v>51355</v>
      </c>
      <c r="D79" s="96">
        <v>180000000</v>
      </c>
      <c r="E79" s="96">
        <v>180000000</v>
      </c>
      <c r="F79" s="97">
        <v>0</v>
      </c>
      <c r="G79" s="92" t="s">
        <v>448</v>
      </c>
      <c r="H79" s="92" t="s">
        <v>463</v>
      </c>
      <c r="I79" s="92" t="s">
        <v>432</v>
      </c>
      <c r="J79" s="92" t="s">
        <v>318</v>
      </c>
      <c r="K79" s="92" t="s">
        <v>1215</v>
      </c>
      <c r="L79" s="92" t="s">
        <v>429</v>
      </c>
      <c r="M79" s="95">
        <v>44050</v>
      </c>
      <c r="N79" s="92" t="s">
        <v>434</v>
      </c>
      <c r="O79" s="92" t="s">
        <v>434</v>
      </c>
      <c r="P79" s="92" t="s">
        <v>435</v>
      </c>
      <c r="Q79" s="92" t="s">
        <v>436</v>
      </c>
      <c r="R79" s="98">
        <v>0</v>
      </c>
      <c r="S79" s="98">
        <v>0</v>
      </c>
      <c r="T79" s="98">
        <v>0</v>
      </c>
      <c r="U79" s="98">
        <v>0</v>
      </c>
      <c r="V79" s="92" t="s">
        <v>429</v>
      </c>
      <c r="W79" s="92" t="s">
        <v>429</v>
      </c>
      <c r="X79" s="95" t="s">
        <v>429</v>
      </c>
      <c r="Y79" s="98">
        <v>0</v>
      </c>
      <c r="Z79" s="92" t="s">
        <v>137</v>
      </c>
      <c r="AA79" s="92" t="s">
        <v>429</v>
      </c>
      <c r="AB79" s="92" t="s">
        <v>436</v>
      </c>
      <c r="AC79" s="92" t="s">
        <v>464</v>
      </c>
      <c r="AD79" s="92" t="s">
        <v>437</v>
      </c>
      <c r="AE79" s="92" t="s">
        <v>431</v>
      </c>
      <c r="AF79" s="92" t="s">
        <v>397</v>
      </c>
      <c r="AG79" s="92" t="s">
        <v>436</v>
      </c>
      <c r="AH79" s="92" t="s">
        <v>1164</v>
      </c>
      <c r="AI79" s="92" t="s">
        <v>137</v>
      </c>
    </row>
    <row r="80" spans="1:35" ht="14.75">
      <c r="A80" s="92" t="s">
        <v>1216</v>
      </c>
      <c r="B80" s="92" t="s">
        <v>429</v>
      </c>
      <c r="C80" s="95">
        <v>52380</v>
      </c>
      <c r="D80" s="96">
        <v>150000000</v>
      </c>
      <c r="E80" s="96">
        <v>150000000</v>
      </c>
      <c r="F80" s="97">
        <v>4.5</v>
      </c>
      <c r="G80" s="92" t="s">
        <v>430</v>
      </c>
      <c r="H80" s="92" t="s">
        <v>463</v>
      </c>
      <c r="I80" s="92" t="s">
        <v>432</v>
      </c>
      <c r="J80" s="92" t="s">
        <v>319</v>
      </c>
      <c r="K80" s="92" t="s">
        <v>1217</v>
      </c>
      <c r="L80" s="92" t="s">
        <v>429</v>
      </c>
      <c r="M80" s="95">
        <v>43249</v>
      </c>
      <c r="N80" s="92" t="s">
        <v>434</v>
      </c>
      <c r="O80" s="92" t="s">
        <v>434</v>
      </c>
      <c r="P80" s="92" t="s">
        <v>435</v>
      </c>
      <c r="Q80" s="92" t="s">
        <v>436</v>
      </c>
      <c r="R80" s="98">
        <v>14.281834999999999</v>
      </c>
      <c r="S80" s="98">
        <v>14.281834999999999</v>
      </c>
      <c r="T80" s="98">
        <v>53.523530999999998</v>
      </c>
      <c r="U80" s="98">
        <v>3.0862590000000001</v>
      </c>
      <c r="V80" s="92" t="s">
        <v>1161</v>
      </c>
      <c r="W80" s="92" t="s">
        <v>1162</v>
      </c>
      <c r="X80" s="95">
        <v>52380</v>
      </c>
      <c r="Y80" s="98">
        <v>121.89100000000001</v>
      </c>
      <c r="Z80" s="92" t="s">
        <v>137</v>
      </c>
      <c r="AA80" s="92" t="s">
        <v>429</v>
      </c>
      <c r="AB80" s="92" t="s">
        <v>436</v>
      </c>
      <c r="AC80" s="92" t="s">
        <v>464</v>
      </c>
      <c r="AD80" s="92" t="s">
        <v>437</v>
      </c>
      <c r="AE80" s="92" t="s">
        <v>431</v>
      </c>
      <c r="AF80" s="92" t="s">
        <v>397</v>
      </c>
      <c r="AG80" s="92" t="s">
        <v>436</v>
      </c>
      <c r="AH80" s="92" t="s">
        <v>1164</v>
      </c>
      <c r="AI80" s="92" t="s">
        <v>137</v>
      </c>
    </row>
    <row r="81" spans="1:35" ht="14.75">
      <c r="A81" s="92" t="s">
        <v>1218</v>
      </c>
      <c r="B81" s="92" t="s">
        <v>429</v>
      </c>
      <c r="C81" s="95">
        <v>52559</v>
      </c>
      <c r="D81" s="96">
        <v>50000000</v>
      </c>
      <c r="E81" s="96">
        <v>50000000</v>
      </c>
      <c r="F81" s="97"/>
      <c r="G81" s="92" t="s">
        <v>430</v>
      </c>
      <c r="H81" s="92" t="s">
        <v>463</v>
      </c>
      <c r="I81" s="92" t="s">
        <v>432</v>
      </c>
      <c r="J81" s="92" t="s">
        <v>320</v>
      </c>
      <c r="K81" s="92" t="s">
        <v>1219</v>
      </c>
      <c r="L81" s="92" t="s">
        <v>429</v>
      </c>
      <c r="M81" s="95">
        <v>43244</v>
      </c>
      <c r="N81" s="92" t="s">
        <v>434</v>
      </c>
      <c r="O81" s="92" t="s">
        <v>434</v>
      </c>
      <c r="P81" s="92" t="s">
        <v>435</v>
      </c>
      <c r="Q81" s="92" t="s">
        <v>436</v>
      </c>
      <c r="R81" s="98">
        <v>14.497225</v>
      </c>
      <c r="S81" s="98">
        <v>14.497055</v>
      </c>
      <c r="T81" s="98">
        <v>52.667724999999997</v>
      </c>
      <c r="U81" s="98">
        <v>3.0863049999999999</v>
      </c>
      <c r="V81" s="92" t="s">
        <v>1161</v>
      </c>
      <c r="W81" s="92" t="s">
        <v>1162</v>
      </c>
      <c r="X81" s="95">
        <v>52559</v>
      </c>
      <c r="Y81" s="98">
        <v>122.262</v>
      </c>
      <c r="Z81" s="92" t="s">
        <v>137</v>
      </c>
      <c r="AA81" s="92" t="s">
        <v>429</v>
      </c>
      <c r="AB81" s="92" t="s">
        <v>436</v>
      </c>
      <c r="AC81" s="92" t="s">
        <v>464</v>
      </c>
      <c r="AD81" s="92" t="s">
        <v>437</v>
      </c>
      <c r="AE81" s="92" t="s">
        <v>431</v>
      </c>
      <c r="AF81" s="92" t="s">
        <v>397</v>
      </c>
      <c r="AG81" s="92" t="s">
        <v>436</v>
      </c>
      <c r="AH81" s="92" t="s">
        <v>1164</v>
      </c>
      <c r="AI81" s="92" t="s">
        <v>137</v>
      </c>
    </row>
    <row r="82" spans="1:35" ht="14.75">
      <c r="A82" s="92" t="s">
        <v>1220</v>
      </c>
      <c r="B82" s="92" t="s">
        <v>429</v>
      </c>
      <c r="C82" s="95">
        <v>66025</v>
      </c>
      <c r="D82" s="96">
        <v>650000000</v>
      </c>
      <c r="E82" s="96">
        <v>650000000</v>
      </c>
      <c r="F82" s="97">
        <v>3.1692999999999998</v>
      </c>
      <c r="G82" s="92" t="s">
        <v>448</v>
      </c>
      <c r="H82" s="92" t="s">
        <v>431</v>
      </c>
      <c r="I82" s="92" t="s">
        <v>432</v>
      </c>
      <c r="J82" s="92" t="s">
        <v>321</v>
      </c>
      <c r="K82" s="92" t="s">
        <v>1221</v>
      </c>
      <c r="L82" s="92" t="s">
        <v>429</v>
      </c>
      <c r="M82" s="95">
        <v>44110</v>
      </c>
      <c r="N82" s="92" t="s">
        <v>1222</v>
      </c>
      <c r="O82" s="92" t="s">
        <v>1222</v>
      </c>
      <c r="P82" s="92" t="s">
        <v>435</v>
      </c>
      <c r="Q82" s="92" t="s">
        <v>436</v>
      </c>
      <c r="R82" s="98">
        <v>7.7778E-2</v>
      </c>
      <c r="S82" s="98">
        <v>0</v>
      </c>
      <c r="T82" s="98">
        <v>0</v>
      </c>
      <c r="U82" s="98">
        <v>3.2521230000000001</v>
      </c>
      <c r="V82" s="92" t="s">
        <v>1161</v>
      </c>
      <c r="W82" s="92" t="s">
        <v>1223</v>
      </c>
      <c r="X82" s="95">
        <v>45936</v>
      </c>
      <c r="Y82" s="98">
        <v>99.894000000000005</v>
      </c>
      <c r="Z82" s="92" t="s">
        <v>137</v>
      </c>
      <c r="AA82" s="92" t="s">
        <v>429</v>
      </c>
      <c r="AB82" s="92" t="s">
        <v>436</v>
      </c>
      <c r="AC82" s="92" t="s">
        <v>470</v>
      </c>
      <c r="AD82" s="92" t="s">
        <v>437</v>
      </c>
      <c r="AE82" s="92" t="s">
        <v>431</v>
      </c>
      <c r="AF82" s="92" t="s">
        <v>397</v>
      </c>
      <c r="AG82" s="92" t="s">
        <v>436</v>
      </c>
      <c r="AH82" s="92" t="s">
        <v>1164</v>
      </c>
      <c r="AI82" s="92" t="s">
        <v>137</v>
      </c>
    </row>
    <row r="83" spans="1:35" ht="14.75">
      <c r="A83" s="92" t="s">
        <v>1224</v>
      </c>
      <c r="B83" s="92" t="s">
        <v>429</v>
      </c>
      <c r="C83" s="95">
        <v>66181</v>
      </c>
      <c r="D83" s="96">
        <v>1037747626</v>
      </c>
      <c r="E83" s="96">
        <v>1037747626</v>
      </c>
      <c r="F83" s="97">
        <v>1.625</v>
      </c>
      <c r="G83" s="92" t="s">
        <v>448</v>
      </c>
      <c r="H83" s="92" t="s">
        <v>463</v>
      </c>
      <c r="I83" s="92" t="s">
        <v>1167</v>
      </c>
      <c r="J83" s="92" t="s">
        <v>322</v>
      </c>
      <c r="K83" s="92" t="s">
        <v>1225</v>
      </c>
      <c r="L83" s="92" t="s">
        <v>429</v>
      </c>
      <c r="M83" s="95">
        <v>44266</v>
      </c>
      <c r="N83" s="92" t="s">
        <v>1222</v>
      </c>
      <c r="O83" s="92" t="s">
        <v>1222</v>
      </c>
      <c r="P83" s="92" t="s">
        <v>435</v>
      </c>
      <c r="Q83" s="92" t="s">
        <v>436</v>
      </c>
      <c r="R83" s="98">
        <v>3.5822959999999999</v>
      </c>
      <c r="S83" s="98">
        <v>4.2801710000000002</v>
      </c>
      <c r="T83" s="98">
        <v>359.63287200000002</v>
      </c>
      <c r="U83" s="98">
        <v>3.1616249999999999</v>
      </c>
      <c r="V83" s="92" t="s">
        <v>1161</v>
      </c>
      <c r="W83" s="92" t="s">
        <v>1223</v>
      </c>
      <c r="X83" s="95">
        <v>46276</v>
      </c>
      <c r="Y83" s="98">
        <v>93.625</v>
      </c>
      <c r="Z83" s="92" t="s">
        <v>137</v>
      </c>
      <c r="AA83" s="92" t="s">
        <v>429</v>
      </c>
      <c r="AB83" s="92" t="s">
        <v>436</v>
      </c>
      <c r="AC83" s="92" t="s">
        <v>464</v>
      </c>
      <c r="AD83" s="92" t="s">
        <v>429</v>
      </c>
      <c r="AE83" s="92" t="s">
        <v>431</v>
      </c>
      <c r="AF83" s="92" t="s">
        <v>397</v>
      </c>
      <c r="AG83" s="92" t="s">
        <v>436</v>
      </c>
      <c r="AH83" s="92" t="s">
        <v>1164</v>
      </c>
      <c r="AI83" s="92" t="s">
        <v>137</v>
      </c>
    </row>
    <row r="85" spans="1:35" ht="14.75">
      <c r="A85" s="210" t="s">
        <v>402</v>
      </c>
      <c r="B85" s="210"/>
      <c r="C85" s="210"/>
      <c r="D85" s="210"/>
      <c r="E85" s="210"/>
      <c r="F85" s="210"/>
      <c r="G85" s="210"/>
      <c r="H85" s="210"/>
      <c r="I85" s="210"/>
      <c r="J85" s="210"/>
      <c r="K85" s="210"/>
      <c r="L85" s="210"/>
      <c r="M85" s="210"/>
      <c r="N85" s="210"/>
      <c r="O85" s="210"/>
      <c r="P85" s="210"/>
      <c r="Q85" s="210"/>
      <c r="R85" s="210"/>
      <c r="S85" s="210"/>
      <c r="T85" s="210"/>
      <c r="U85" s="210"/>
      <c r="V85" s="210"/>
      <c r="W85" s="210"/>
      <c r="X85" s="210"/>
      <c r="Y85" s="210"/>
      <c r="Z85" s="210"/>
      <c r="AA85" s="210"/>
      <c r="AB85" s="210"/>
      <c r="AC85" s="210"/>
      <c r="AD85" s="210"/>
    </row>
    <row r="86" spans="1:35" ht="14.75">
      <c r="A86" s="93" t="s">
        <v>403</v>
      </c>
      <c r="B86" s="93" t="s">
        <v>404</v>
      </c>
      <c r="C86" s="93" t="s">
        <v>405</v>
      </c>
      <c r="D86" s="94" t="s">
        <v>406</v>
      </c>
      <c r="E86" s="93" t="s">
        <v>407</v>
      </c>
      <c r="F86" s="93" t="s">
        <v>408</v>
      </c>
      <c r="G86" s="93" t="s">
        <v>409</v>
      </c>
      <c r="H86" s="93" t="s">
        <v>410</v>
      </c>
      <c r="I86" s="93" t="s">
        <v>411</v>
      </c>
      <c r="J86" s="93" t="s">
        <v>412</v>
      </c>
      <c r="K86" s="93" t="s">
        <v>413</v>
      </c>
      <c r="L86" s="93" t="s">
        <v>414</v>
      </c>
      <c r="M86" s="93" t="s">
        <v>415</v>
      </c>
      <c r="N86" s="93" t="s">
        <v>416</v>
      </c>
      <c r="O86" s="93" t="s">
        <v>417</v>
      </c>
      <c r="P86" s="94" t="s">
        <v>418</v>
      </c>
      <c r="Q86" s="94" t="s">
        <v>419</v>
      </c>
      <c r="R86" s="93" t="s">
        <v>420</v>
      </c>
      <c r="S86" s="93" t="s">
        <v>421</v>
      </c>
      <c r="T86" s="93" t="s">
        <v>422</v>
      </c>
      <c r="U86" s="93" t="s">
        <v>423</v>
      </c>
      <c r="V86" s="93" t="s">
        <v>424</v>
      </c>
      <c r="W86" s="93" t="s">
        <v>425</v>
      </c>
      <c r="X86" s="93" t="s">
        <v>426</v>
      </c>
      <c r="Y86" s="93" t="s">
        <v>226</v>
      </c>
      <c r="Z86" s="93" t="s">
        <v>427</v>
      </c>
      <c r="AA86" s="92"/>
      <c r="AB86" s="92"/>
      <c r="AC86" s="92"/>
      <c r="AD86" s="92"/>
    </row>
    <row r="87" spans="1:35" ht="14.75">
      <c r="A87" s="92" t="s">
        <v>1137</v>
      </c>
      <c r="B87" s="92" t="s">
        <v>429</v>
      </c>
      <c r="C87" s="95">
        <v>39052</v>
      </c>
      <c r="D87" s="99">
        <v>339213026</v>
      </c>
      <c r="E87" s="92" t="s">
        <v>430</v>
      </c>
      <c r="F87" s="92" t="s">
        <v>441</v>
      </c>
      <c r="G87" s="92" t="s">
        <v>442</v>
      </c>
      <c r="H87" s="92" t="s">
        <v>323</v>
      </c>
      <c r="I87" s="92" t="s">
        <v>1138</v>
      </c>
      <c r="J87" s="92" t="s">
        <v>1139</v>
      </c>
      <c r="K87" s="95">
        <v>35402</v>
      </c>
      <c r="L87" s="92" t="s">
        <v>434</v>
      </c>
      <c r="M87" s="92" t="s">
        <v>434</v>
      </c>
      <c r="N87" s="92" t="s">
        <v>435</v>
      </c>
      <c r="O87" s="92" t="s">
        <v>436</v>
      </c>
      <c r="P87" s="100" t="s">
        <v>429</v>
      </c>
      <c r="Q87" s="100" t="s">
        <v>429</v>
      </c>
      <c r="R87" s="92" t="s">
        <v>429</v>
      </c>
      <c r="S87" s="92" t="s">
        <v>429</v>
      </c>
      <c r="T87" s="92" t="s">
        <v>445</v>
      </c>
      <c r="U87" s="92" t="s">
        <v>429</v>
      </c>
      <c r="V87" s="92" t="s">
        <v>431</v>
      </c>
      <c r="W87" s="92" t="s">
        <v>438</v>
      </c>
      <c r="X87" s="92" t="s">
        <v>436</v>
      </c>
      <c r="Y87" s="92" t="s">
        <v>1133</v>
      </c>
      <c r="Z87" s="92" t="s">
        <v>429</v>
      </c>
      <c r="AA87" s="92"/>
      <c r="AB87" s="92"/>
      <c r="AC87" s="92"/>
      <c r="AD87" s="92"/>
    </row>
    <row r="88" spans="1:35" ht="14.75">
      <c r="A88" s="92" t="s">
        <v>1137</v>
      </c>
      <c r="B88" s="92" t="s">
        <v>429</v>
      </c>
      <c r="C88" s="95">
        <v>39052</v>
      </c>
      <c r="D88" s="99">
        <v>339213026</v>
      </c>
      <c r="E88" s="92" t="s">
        <v>430</v>
      </c>
      <c r="F88" s="92" t="s">
        <v>441</v>
      </c>
      <c r="G88" s="92" t="s">
        <v>442</v>
      </c>
      <c r="H88" s="92" t="s">
        <v>324</v>
      </c>
      <c r="I88" s="92" t="s">
        <v>1138</v>
      </c>
      <c r="J88" s="92" t="s">
        <v>429</v>
      </c>
      <c r="K88" s="95">
        <v>35402</v>
      </c>
      <c r="L88" s="92" t="s">
        <v>434</v>
      </c>
      <c r="M88" s="92" t="s">
        <v>458</v>
      </c>
      <c r="N88" s="92" t="s">
        <v>435</v>
      </c>
      <c r="O88" s="92" t="s">
        <v>436</v>
      </c>
      <c r="P88" s="100" t="s">
        <v>429</v>
      </c>
      <c r="Q88" s="100" t="s">
        <v>429</v>
      </c>
      <c r="R88" s="92" t="s">
        <v>429</v>
      </c>
      <c r="S88" s="92" t="s">
        <v>429</v>
      </c>
      <c r="T88" s="92" t="s">
        <v>429</v>
      </c>
      <c r="U88" s="92" t="s">
        <v>429</v>
      </c>
      <c r="V88" s="92" t="s">
        <v>431</v>
      </c>
      <c r="W88" s="92" t="s">
        <v>438</v>
      </c>
      <c r="X88" s="92" t="s">
        <v>436</v>
      </c>
      <c r="Y88" s="92" t="s">
        <v>1133</v>
      </c>
      <c r="Z88" s="92" t="s">
        <v>429</v>
      </c>
      <c r="AA88" s="92"/>
      <c r="AB88" s="92"/>
      <c r="AC88" s="92"/>
      <c r="AD88" s="92"/>
    </row>
    <row r="89" spans="1:35" ht="14.75">
      <c r="A89" s="92" t="s">
        <v>1137</v>
      </c>
      <c r="B89" s="92" t="s">
        <v>1140</v>
      </c>
      <c r="C89" s="95">
        <v>39052</v>
      </c>
      <c r="D89" s="99">
        <v>339213026</v>
      </c>
      <c r="E89" s="92" t="s">
        <v>430</v>
      </c>
      <c r="F89" s="92" t="s">
        <v>441</v>
      </c>
      <c r="G89" s="92" t="s">
        <v>442</v>
      </c>
      <c r="H89" s="92" t="s">
        <v>325</v>
      </c>
      <c r="I89" s="92" t="s">
        <v>1138</v>
      </c>
      <c r="J89" s="92" t="s">
        <v>1141</v>
      </c>
      <c r="K89" s="95">
        <v>35402</v>
      </c>
      <c r="L89" s="92" t="s">
        <v>434</v>
      </c>
      <c r="M89" s="92" t="s">
        <v>434</v>
      </c>
      <c r="N89" s="92" t="s">
        <v>435</v>
      </c>
      <c r="O89" s="92" t="s">
        <v>436</v>
      </c>
      <c r="P89" s="100" t="s">
        <v>429</v>
      </c>
      <c r="Q89" s="100" t="s">
        <v>429</v>
      </c>
      <c r="R89" s="92" t="s">
        <v>429</v>
      </c>
      <c r="S89" s="92" t="s">
        <v>429</v>
      </c>
      <c r="T89" s="92" t="s">
        <v>445</v>
      </c>
      <c r="U89" s="92" t="s">
        <v>429</v>
      </c>
      <c r="V89" s="92" t="s">
        <v>431</v>
      </c>
      <c r="W89" s="92" t="s">
        <v>438</v>
      </c>
      <c r="X89" s="92" t="s">
        <v>436</v>
      </c>
      <c r="Y89" s="92" t="s">
        <v>1133</v>
      </c>
      <c r="Z89" s="92" t="s">
        <v>429</v>
      </c>
      <c r="AA89" s="92"/>
      <c r="AB89" s="92"/>
      <c r="AC89" s="92"/>
      <c r="AD89" s="92"/>
    </row>
    <row r="90" spans="1:35" ht="14.75">
      <c r="A90" s="92" t="s">
        <v>1137</v>
      </c>
      <c r="B90" s="92" t="s">
        <v>429</v>
      </c>
      <c r="C90" s="95">
        <v>39052</v>
      </c>
      <c r="D90" s="99">
        <v>339213026</v>
      </c>
      <c r="E90" s="92" t="s">
        <v>430</v>
      </c>
      <c r="F90" s="92" t="s">
        <v>441</v>
      </c>
      <c r="G90" s="92" t="s">
        <v>442</v>
      </c>
      <c r="H90" s="92" t="s">
        <v>326</v>
      </c>
      <c r="I90" s="92" t="s">
        <v>1138</v>
      </c>
      <c r="J90" s="92" t="s">
        <v>1142</v>
      </c>
      <c r="K90" s="95">
        <v>35402</v>
      </c>
      <c r="L90" s="92" t="s">
        <v>434</v>
      </c>
      <c r="M90" s="92" t="s">
        <v>434</v>
      </c>
      <c r="N90" s="92" t="s">
        <v>435</v>
      </c>
      <c r="O90" s="92" t="s">
        <v>436</v>
      </c>
      <c r="P90" s="100" t="s">
        <v>429</v>
      </c>
      <c r="Q90" s="100" t="s">
        <v>429</v>
      </c>
      <c r="R90" s="92" t="s">
        <v>429</v>
      </c>
      <c r="S90" s="92" t="s">
        <v>429</v>
      </c>
      <c r="T90" s="92" t="s">
        <v>445</v>
      </c>
      <c r="U90" s="92" t="s">
        <v>429</v>
      </c>
      <c r="V90" s="92" t="s">
        <v>431</v>
      </c>
      <c r="W90" s="92" t="s">
        <v>438</v>
      </c>
      <c r="X90" s="92" t="s">
        <v>436</v>
      </c>
      <c r="Y90" s="92" t="s">
        <v>1133</v>
      </c>
      <c r="Z90" s="92" t="s">
        <v>429</v>
      </c>
      <c r="AA90" s="92"/>
      <c r="AB90" s="92"/>
      <c r="AC90" s="92"/>
      <c r="AD90" s="92"/>
    </row>
    <row r="91" spans="1:35" ht="14.75">
      <c r="A91" s="92" t="s">
        <v>1137</v>
      </c>
      <c r="B91" s="92" t="s">
        <v>1140</v>
      </c>
      <c r="C91" s="95">
        <v>39052</v>
      </c>
      <c r="D91" s="99">
        <v>339213026</v>
      </c>
      <c r="E91" s="92" t="s">
        <v>430</v>
      </c>
      <c r="F91" s="92" t="s">
        <v>441</v>
      </c>
      <c r="G91" s="92" t="s">
        <v>442</v>
      </c>
      <c r="H91" s="92" t="s">
        <v>327</v>
      </c>
      <c r="I91" s="92" t="s">
        <v>1138</v>
      </c>
      <c r="J91" s="92" t="s">
        <v>1143</v>
      </c>
      <c r="K91" s="95">
        <v>35402</v>
      </c>
      <c r="L91" s="92" t="s">
        <v>434</v>
      </c>
      <c r="M91" s="92" t="s">
        <v>434</v>
      </c>
      <c r="N91" s="92" t="s">
        <v>435</v>
      </c>
      <c r="O91" s="92" t="s">
        <v>436</v>
      </c>
      <c r="P91" s="100" t="s">
        <v>429</v>
      </c>
      <c r="Q91" s="100" t="s">
        <v>429</v>
      </c>
      <c r="R91" s="92" t="s">
        <v>429</v>
      </c>
      <c r="S91" s="92" t="s">
        <v>429</v>
      </c>
      <c r="T91" s="92" t="s">
        <v>445</v>
      </c>
      <c r="U91" s="92" t="s">
        <v>429</v>
      </c>
      <c r="V91" s="92" t="s">
        <v>431</v>
      </c>
      <c r="W91" s="92" t="s">
        <v>438</v>
      </c>
      <c r="X91" s="92" t="s">
        <v>436</v>
      </c>
      <c r="Y91" s="92" t="s">
        <v>1133</v>
      </c>
      <c r="Z91" s="92" t="s">
        <v>429</v>
      </c>
      <c r="AA91" s="92"/>
      <c r="AB91" s="92"/>
      <c r="AC91" s="92"/>
      <c r="AD91" s="92"/>
    </row>
    <row r="92" spans="1:35" ht="14.75">
      <c r="A92" s="92" t="s">
        <v>1226</v>
      </c>
      <c r="B92" s="92" t="s">
        <v>429</v>
      </c>
      <c r="C92" s="95">
        <v>39755</v>
      </c>
      <c r="D92" s="99">
        <v>150000000</v>
      </c>
      <c r="E92" s="92" t="s">
        <v>448</v>
      </c>
      <c r="F92" s="92" t="s">
        <v>431</v>
      </c>
      <c r="G92" s="92" t="s">
        <v>432</v>
      </c>
      <c r="H92" s="92" t="s">
        <v>328</v>
      </c>
      <c r="I92" s="92" t="s">
        <v>1227</v>
      </c>
      <c r="J92" s="92" t="s">
        <v>429</v>
      </c>
      <c r="K92" s="95">
        <v>38294</v>
      </c>
      <c r="L92" s="92" t="s">
        <v>434</v>
      </c>
      <c r="M92" s="92" t="s">
        <v>458</v>
      </c>
      <c r="N92" s="92" t="s">
        <v>435</v>
      </c>
      <c r="O92" s="92" t="s">
        <v>436</v>
      </c>
      <c r="P92" s="100" t="s">
        <v>429</v>
      </c>
      <c r="Q92" s="100" t="s">
        <v>429</v>
      </c>
      <c r="R92" s="92" t="s">
        <v>429</v>
      </c>
      <c r="S92" s="92" t="s">
        <v>429</v>
      </c>
      <c r="T92" s="92" t="s">
        <v>429</v>
      </c>
      <c r="U92" s="92" t="s">
        <v>437</v>
      </c>
      <c r="V92" s="92" t="s">
        <v>431</v>
      </c>
      <c r="W92" s="92" t="s">
        <v>438</v>
      </c>
      <c r="X92" s="92" t="s">
        <v>436</v>
      </c>
      <c r="Y92" s="92" t="s">
        <v>1164</v>
      </c>
      <c r="Z92" s="92" t="s">
        <v>429</v>
      </c>
      <c r="AA92" s="92"/>
      <c r="AB92" s="92"/>
      <c r="AC92" s="92"/>
      <c r="AD92" s="92"/>
    </row>
    <row r="93" spans="1:35" ht="14.75">
      <c r="A93" s="92" t="s">
        <v>1228</v>
      </c>
      <c r="B93" s="92" t="s">
        <v>429</v>
      </c>
      <c r="C93" s="95">
        <v>40850</v>
      </c>
      <c r="D93" s="99">
        <v>200000000</v>
      </c>
      <c r="E93" s="92" t="s">
        <v>430</v>
      </c>
      <c r="F93" s="92" t="s">
        <v>431</v>
      </c>
      <c r="G93" s="92" t="s">
        <v>432</v>
      </c>
      <c r="H93" s="92" t="s">
        <v>329</v>
      </c>
      <c r="I93" s="92" t="s">
        <v>1227</v>
      </c>
      <c r="J93" s="92" t="s">
        <v>429</v>
      </c>
      <c r="K93" s="95">
        <v>38294</v>
      </c>
      <c r="L93" s="92" t="s">
        <v>434</v>
      </c>
      <c r="M93" s="92" t="s">
        <v>434</v>
      </c>
      <c r="N93" s="92" t="s">
        <v>435</v>
      </c>
      <c r="O93" s="92" t="s">
        <v>436</v>
      </c>
      <c r="P93" s="100" t="s">
        <v>429</v>
      </c>
      <c r="Q93" s="100" t="s">
        <v>429</v>
      </c>
      <c r="R93" s="92" t="s">
        <v>429</v>
      </c>
      <c r="S93" s="92" t="s">
        <v>429</v>
      </c>
      <c r="T93" s="92" t="s">
        <v>429</v>
      </c>
      <c r="U93" s="92" t="s">
        <v>437</v>
      </c>
      <c r="V93" s="92" t="s">
        <v>431</v>
      </c>
      <c r="W93" s="92" t="s">
        <v>438</v>
      </c>
      <c r="X93" s="92" t="s">
        <v>436</v>
      </c>
      <c r="Y93" s="92" t="s">
        <v>1164</v>
      </c>
      <c r="Z93" s="92" t="s">
        <v>429</v>
      </c>
      <c r="AA93" s="92"/>
      <c r="AB93" s="92"/>
      <c r="AC93" s="92"/>
      <c r="AD93" s="92"/>
    </row>
    <row r="94" spans="1:35" ht="14.75">
      <c r="A94" s="92" t="s">
        <v>1229</v>
      </c>
      <c r="B94" s="92" t="s">
        <v>429</v>
      </c>
      <c r="C94" s="95">
        <v>41947</v>
      </c>
      <c r="D94" s="99">
        <v>407055631</v>
      </c>
      <c r="E94" s="92" t="s">
        <v>430</v>
      </c>
      <c r="F94" s="92" t="s">
        <v>463</v>
      </c>
      <c r="G94" s="92" t="s">
        <v>442</v>
      </c>
      <c r="H94" s="92" t="s">
        <v>330</v>
      </c>
      <c r="I94" s="92" t="s">
        <v>1227</v>
      </c>
      <c r="J94" s="92" t="s">
        <v>429</v>
      </c>
      <c r="K94" s="95">
        <v>38295</v>
      </c>
      <c r="L94" s="92" t="s">
        <v>434</v>
      </c>
      <c r="M94" s="92" t="s">
        <v>434</v>
      </c>
      <c r="N94" s="92" t="s">
        <v>435</v>
      </c>
      <c r="O94" s="92" t="s">
        <v>436</v>
      </c>
      <c r="P94" s="100" t="s">
        <v>429</v>
      </c>
      <c r="Q94" s="100" t="s">
        <v>429</v>
      </c>
      <c r="R94" s="92" t="s">
        <v>429</v>
      </c>
      <c r="S94" s="92" t="s">
        <v>429</v>
      </c>
      <c r="T94" s="92" t="s">
        <v>470</v>
      </c>
      <c r="U94" s="92" t="s">
        <v>437</v>
      </c>
      <c r="V94" s="92" t="s">
        <v>431</v>
      </c>
      <c r="W94" s="92" t="s">
        <v>438</v>
      </c>
      <c r="X94" s="92" t="s">
        <v>436</v>
      </c>
      <c r="Y94" s="92" t="s">
        <v>1164</v>
      </c>
      <c r="Z94" s="92" t="s">
        <v>429</v>
      </c>
      <c r="AA94" s="92"/>
      <c r="AB94" s="92"/>
      <c r="AC94" s="92"/>
      <c r="AD94" s="92"/>
    </row>
    <row r="95" spans="1:35" ht="14.75">
      <c r="A95" s="92" t="s">
        <v>1230</v>
      </c>
      <c r="B95" s="92" t="s">
        <v>429</v>
      </c>
      <c r="C95" s="95">
        <v>42255</v>
      </c>
      <c r="D95" s="99">
        <v>703223949</v>
      </c>
      <c r="E95" s="92" t="s">
        <v>1231</v>
      </c>
      <c r="F95" s="92" t="s">
        <v>1232</v>
      </c>
      <c r="G95" s="92" t="s">
        <v>1233</v>
      </c>
      <c r="H95" s="92" t="s">
        <v>331</v>
      </c>
      <c r="I95" s="92" t="s">
        <v>1227</v>
      </c>
      <c r="J95" s="92" t="s">
        <v>429</v>
      </c>
      <c r="K95" s="95">
        <v>40245</v>
      </c>
      <c r="L95" s="92" t="s">
        <v>434</v>
      </c>
      <c r="M95" s="92" t="s">
        <v>434</v>
      </c>
      <c r="N95" s="92" t="s">
        <v>1146</v>
      </c>
      <c r="O95" s="92" t="s">
        <v>436</v>
      </c>
      <c r="P95" s="100" t="s">
        <v>429</v>
      </c>
      <c r="Q95" s="100" t="s">
        <v>429</v>
      </c>
      <c r="R95" s="92" t="s">
        <v>429</v>
      </c>
      <c r="S95" s="92" t="s">
        <v>429</v>
      </c>
      <c r="T95" s="92" t="s">
        <v>470</v>
      </c>
      <c r="U95" s="92" t="s">
        <v>437</v>
      </c>
      <c r="V95" s="92" t="s">
        <v>431</v>
      </c>
      <c r="W95" s="92" t="s">
        <v>438</v>
      </c>
      <c r="X95" s="92" t="s">
        <v>436</v>
      </c>
      <c r="Y95" s="92" t="s">
        <v>1164</v>
      </c>
      <c r="Z95" s="92" t="s">
        <v>429</v>
      </c>
      <c r="AA95" s="92"/>
      <c r="AB95" s="92"/>
      <c r="AC95" s="92"/>
      <c r="AD95" s="92"/>
    </row>
    <row r="96" spans="1:35" ht="14.75">
      <c r="A96" s="92" t="s">
        <v>1234</v>
      </c>
      <c r="B96" s="92" t="s">
        <v>429</v>
      </c>
      <c r="C96" s="95">
        <v>42627</v>
      </c>
      <c r="D96" s="99">
        <v>373134328</v>
      </c>
      <c r="E96" s="92" t="s">
        <v>430</v>
      </c>
      <c r="F96" s="92" t="s">
        <v>463</v>
      </c>
      <c r="G96" s="92" t="s">
        <v>442</v>
      </c>
      <c r="H96" s="92" t="s">
        <v>332</v>
      </c>
      <c r="I96" s="92" t="s">
        <v>1227</v>
      </c>
      <c r="J96" s="92" t="s">
        <v>429</v>
      </c>
      <c r="K96" s="95">
        <v>38974</v>
      </c>
      <c r="L96" s="92" t="s">
        <v>434</v>
      </c>
      <c r="M96" s="92" t="s">
        <v>434</v>
      </c>
      <c r="N96" s="92" t="s">
        <v>435</v>
      </c>
      <c r="O96" s="92" t="s">
        <v>436</v>
      </c>
      <c r="P96" s="100" t="s">
        <v>429</v>
      </c>
      <c r="Q96" s="100" t="s">
        <v>429</v>
      </c>
      <c r="R96" s="92" t="s">
        <v>429</v>
      </c>
      <c r="S96" s="92" t="s">
        <v>429</v>
      </c>
      <c r="T96" s="92" t="s">
        <v>464</v>
      </c>
      <c r="U96" s="92" t="s">
        <v>437</v>
      </c>
      <c r="V96" s="92" t="s">
        <v>431</v>
      </c>
      <c r="W96" s="92" t="s">
        <v>438</v>
      </c>
      <c r="X96" s="92" t="s">
        <v>436</v>
      </c>
      <c r="Y96" s="92" t="s">
        <v>1164</v>
      </c>
      <c r="Z96" s="92" t="s">
        <v>429</v>
      </c>
      <c r="AA96" s="92"/>
      <c r="AB96" s="92"/>
      <c r="AC96" s="92"/>
      <c r="AD96" s="92"/>
    </row>
    <row r="97" spans="1:30" ht="14.75">
      <c r="A97" s="92" t="s">
        <v>1144</v>
      </c>
      <c r="B97" s="92" t="s">
        <v>429</v>
      </c>
      <c r="C97" s="95">
        <v>42705</v>
      </c>
      <c r="D97" s="99">
        <v>135685210</v>
      </c>
      <c r="E97" s="92" t="s">
        <v>430</v>
      </c>
      <c r="F97" s="92" t="s">
        <v>441</v>
      </c>
      <c r="G97" s="92" t="s">
        <v>442</v>
      </c>
      <c r="H97" s="92" t="s">
        <v>333</v>
      </c>
      <c r="I97" s="92" t="s">
        <v>1138</v>
      </c>
      <c r="J97" s="92" t="s">
        <v>1145</v>
      </c>
      <c r="K97" s="95">
        <v>35402</v>
      </c>
      <c r="L97" s="92" t="s">
        <v>434</v>
      </c>
      <c r="M97" s="92" t="s">
        <v>434</v>
      </c>
      <c r="N97" s="92" t="s">
        <v>435</v>
      </c>
      <c r="O97" s="92" t="s">
        <v>436</v>
      </c>
      <c r="P97" s="100" t="s">
        <v>429</v>
      </c>
      <c r="Q97" s="100" t="s">
        <v>429</v>
      </c>
      <c r="R97" s="92" t="s">
        <v>429</v>
      </c>
      <c r="S97" s="92" t="s">
        <v>429</v>
      </c>
      <c r="T97" s="92" t="s">
        <v>445</v>
      </c>
      <c r="U97" s="92" t="s">
        <v>429</v>
      </c>
      <c r="V97" s="92" t="s">
        <v>431</v>
      </c>
      <c r="W97" s="92" t="s">
        <v>438</v>
      </c>
      <c r="X97" s="92" t="s">
        <v>436</v>
      </c>
      <c r="Y97" s="92" t="s">
        <v>1133</v>
      </c>
      <c r="Z97" s="92" t="s">
        <v>429</v>
      </c>
      <c r="AA97" s="92"/>
      <c r="AB97" s="92"/>
      <c r="AC97" s="92"/>
      <c r="AD97" s="92"/>
    </row>
    <row r="98" spans="1:30" ht="14.75">
      <c r="A98" s="92" t="s">
        <v>1144</v>
      </c>
      <c r="B98" s="92" t="s">
        <v>462</v>
      </c>
      <c r="C98" s="95">
        <v>42705</v>
      </c>
      <c r="D98" s="99">
        <v>54274084</v>
      </c>
      <c r="E98" s="92" t="s">
        <v>430</v>
      </c>
      <c r="F98" s="92" t="s">
        <v>463</v>
      </c>
      <c r="G98" s="92" t="s">
        <v>442</v>
      </c>
      <c r="H98" s="92" t="s">
        <v>231</v>
      </c>
      <c r="I98" s="92" t="s">
        <v>1138</v>
      </c>
      <c r="J98" s="92" t="s">
        <v>429</v>
      </c>
      <c r="K98" s="95">
        <v>35402</v>
      </c>
      <c r="L98" s="92" t="s">
        <v>434</v>
      </c>
      <c r="M98" s="92" t="s">
        <v>434</v>
      </c>
      <c r="N98" s="92" t="s">
        <v>1146</v>
      </c>
      <c r="O98" s="92" t="s">
        <v>436</v>
      </c>
      <c r="P98" s="100" t="s">
        <v>429</v>
      </c>
      <c r="Q98" s="100" t="s">
        <v>429</v>
      </c>
      <c r="R98" s="92" t="s">
        <v>429</v>
      </c>
      <c r="S98" s="92" t="s">
        <v>429</v>
      </c>
      <c r="T98" s="92" t="s">
        <v>464</v>
      </c>
      <c r="U98" s="92" t="s">
        <v>429</v>
      </c>
      <c r="V98" s="92" t="s">
        <v>431</v>
      </c>
      <c r="W98" s="92" t="s">
        <v>438</v>
      </c>
      <c r="X98" s="92" t="s">
        <v>436</v>
      </c>
      <c r="Y98" s="92" t="s">
        <v>1133</v>
      </c>
      <c r="Z98" s="92" t="s">
        <v>429</v>
      </c>
      <c r="AA98" s="92"/>
      <c r="AB98" s="92"/>
      <c r="AC98" s="92"/>
      <c r="AD98" s="92"/>
    </row>
    <row r="99" spans="1:30" ht="14.75">
      <c r="A99" s="92" t="s">
        <v>1144</v>
      </c>
      <c r="B99" s="92" t="s">
        <v>429</v>
      </c>
      <c r="C99" s="95">
        <v>42705</v>
      </c>
      <c r="D99" s="99">
        <v>135685210</v>
      </c>
      <c r="E99" s="92" t="s">
        <v>430</v>
      </c>
      <c r="F99" s="92" t="s">
        <v>441</v>
      </c>
      <c r="G99" s="92" t="s">
        <v>442</v>
      </c>
      <c r="H99" s="92" t="s">
        <v>334</v>
      </c>
      <c r="I99" s="92" t="s">
        <v>1138</v>
      </c>
      <c r="J99" s="92" t="s">
        <v>1147</v>
      </c>
      <c r="K99" s="95">
        <v>35402</v>
      </c>
      <c r="L99" s="92" t="s">
        <v>434</v>
      </c>
      <c r="M99" s="92" t="s">
        <v>434</v>
      </c>
      <c r="N99" s="92" t="s">
        <v>435</v>
      </c>
      <c r="O99" s="92" t="s">
        <v>436</v>
      </c>
      <c r="P99" s="100" t="s">
        <v>429</v>
      </c>
      <c r="Q99" s="100" t="s">
        <v>429</v>
      </c>
      <c r="R99" s="92" t="s">
        <v>429</v>
      </c>
      <c r="S99" s="92" t="s">
        <v>429</v>
      </c>
      <c r="T99" s="92" t="s">
        <v>445</v>
      </c>
      <c r="U99" s="92" t="s">
        <v>429</v>
      </c>
      <c r="V99" s="92" t="s">
        <v>431</v>
      </c>
      <c r="W99" s="92" t="s">
        <v>438</v>
      </c>
      <c r="X99" s="92" t="s">
        <v>436</v>
      </c>
      <c r="Y99" s="92" t="s">
        <v>1133</v>
      </c>
      <c r="Z99" s="92" t="s">
        <v>429</v>
      </c>
      <c r="AA99" s="92"/>
      <c r="AB99" s="92"/>
      <c r="AC99" s="92"/>
      <c r="AD99" s="92"/>
    </row>
    <row r="100" spans="1:30" ht="14.75">
      <c r="A100" s="92" t="s">
        <v>1235</v>
      </c>
      <c r="B100" s="92" t="s">
        <v>429</v>
      </c>
      <c r="C100" s="95">
        <v>42787</v>
      </c>
      <c r="D100" s="99">
        <v>370117868</v>
      </c>
      <c r="E100" s="92" t="s">
        <v>430</v>
      </c>
      <c r="F100" s="92" t="s">
        <v>1232</v>
      </c>
      <c r="G100" s="92" t="s">
        <v>1233</v>
      </c>
      <c r="H100" s="92" t="s">
        <v>335</v>
      </c>
      <c r="I100" s="92" t="s">
        <v>1227</v>
      </c>
      <c r="J100" s="92" t="s">
        <v>429</v>
      </c>
      <c r="K100" s="95">
        <v>40960</v>
      </c>
      <c r="L100" s="92" t="s">
        <v>434</v>
      </c>
      <c r="M100" s="92" t="s">
        <v>434</v>
      </c>
      <c r="N100" s="92" t="s">
        <v>435</v>
      </c>
      <c r="O100" s="92" t="s">
        <v>436</v>
      </c>
      <c r="P100" s="100" t="s">
        <v>429</v>
      </c>
      <c r="Q100" s="100" t="s">
        <v>429</v>
      </c>
      <c r="R100" s="92" t="s">
        <v>429</v>
      </c>
      <c r="S100" s="92" t="s">
        <v>429</v>
      </c>
      <c r="T100" s="92" t="s">
        <v>470</v>
      </c>
      <c r="U100" s="92" t="s">
        <v>437</v>
      </c>
      <c r="V100" s="92" t="s">
        <v>431</v>
      </c>
      <c r="W100" s="92" t="s">
        <v>438</v>
      </c>
      <c r="X100" s="92" t="s">
        <v>436</v>
      </c>
      <c r="Y100" s="92" t="s">
        <v>1164</v>
      </c>
      <c r="Z100" s="92" t="s">
        <v>429</v>
      </c>
      <c r="AA100" s="92"/>
      <c r="AB100" s="92"/>
      <c r="AC100" s="92"/>
      <c r="AD100" s="92"/>
    </row>
    <row r="101" spans="1:30" ht="14.75">
      <c r="A101" s="92" t="s">
        <v>1236</v>
      </c>
      <c r="B101" s="92" t="s">
        <v>429</v>
      </c>
      <c r="C101" s="95">
        <v>43003</v>
      </c>
      <c r="D101" s="99">
        <v>300000000</v>
      </c>
      <c r="E101" s="92" t="s">
        <v>430</v>
      </c>
      <c r="F101" s="92" t="s">
        <v>431</v>
      </c>
      <c r="G101" s="92" t="s">
        <v>432</v>
      </c>
      <c r="H101" s="92" t="s">
        <v>232</v>
      </c>
      <c r="I101" s="92" t="s">
        <v>1227</v>
      </c>
      <c r="J101" s="92" t="s">
        <v>429</v>
      </c>
      <c r="K101" s="95">
        <v>40262</v>
      </c>
      <c r="L101" s="92" t="s">
        <v>434</v>
      </c>
      <c r="M101" s="92" t="s">
        <v>458</v>
      </c>
      <c r="N101" s="92" t="s">
        <v>435</v>
      </c>
      <c r="O101" s="92" t="s">
        <v>436</v>
      </c>
      <c r="P101" s="100" t="s">
        <v>429</v>
      </c>
      <c r="Q101" s="100" t="s">
        <v>429</v>
      </c>
      <c r="R101" s="92" t="s">
        <v>429</v>
      </c>
      <c r="S101" s="92" t="s">
        <v>429</v>
      </c>
      <c r="T101" s="92" t="s">
        <v>429</v>
      </c>
      <c r="U101" s="92" t="s">
        <v>437</v>
      </c>
      <c r="V101" s="92" t="s">
        <v>431</v>
      </c>
      <c r="W101" s="92" t="s">
        <v>438</v>
      </c>
      <c r="X101" s="92" t="s">
        <v>436</v>
      </c>
      <c r="Y101" s="92" t="s">
        <v>1164</v>
      </c>
      <c r="Z101" s="92" t="s">
        <v>429</v>
      </c>
    </row>
    <row r="102" spans="1:30" ht="14.75">
      <c r="A102" s="92" t="s">
        <v>1237</v>
      </c>
      <c r="B102" s="92" t="s">
        <v>429</v>
      </c>
      <c r="C102" s="95">
        <v>43277</v>
      </c>
      <c r="D102" s="99">
        <v>448609227</v>
      </c>
      <c r="E102" s="92" t="s">
        <v>430</v>
      </c>
      <c r="F102" s="92" t="s">
        <v>463</v>
      </c>
      <c r="G102" s="92" t="s">
        <v>1238</v>
      </c>
      <c r="H102" s="92" t="s">
        <v>336</v>
      </c>
      <c r="I102" s="92" t="s">
        <v>1227</v>
      </c>
      <c r="J102" s="92" t="s">
        <v>429</v>
      </c>
      <c r="K102" s="95">
        <v>39625</v>
      </c>
      <c r="L102" s="92" t="s">
        <v>434</v>
      </c>
      <c r="M102" s="92" t="s">
        <v>434</v>
      </c>
      <c r="N102" s="92" t="s">
        <v>435</v>
      </c>
      <c r="O102" s="92" t="s">
        <v>436</v>
      </c>
      <c r="P102" s="100" t="s">
        <v>429</v>
      </c>
      <c r="Q102" s="100" t="s">
        <v>429</v>
      </c>
      <c r="R102" s="92" t="s">
        <v>429</v>
      </c>
      <c r="S102" s="92" t="s">
        <v>429</v>
      </c>
      <c r="T102" s="92" t="s">
        <v>464</v>
      </c>
      <c r="U102" s="92" t="s">
        <v>437</v>
      </c>
      <c r="V102" s="92" t="s">
        <v>431</v>
      </c>
      <c r="W102" s="92" t="s">
        <v>438</v>
      </c>
      <c r="X102" s="92" t="s">
        <v>436</v>
      </c>
      <c r="Y102" s="92" t="s">
        <v>1164</v>
      </c>
      <c r="Z102" s="92" t="s">
        <v>429</v>
      </c>
    </row>
    <row r="103" spans="1:30" ht="14.75">
      <c r="A103" s="92" t="s">
        <v>1239</v>
      </c>
      <c r="B103" s="92" t="s">
        <v>429</v>
      </c>
      <c r="C103" s="95">
        <v>43573</v>
      </c>
      <c r="D103" s="99">
        <v>407129655</v>
      </c>
      <c r="E103" s="92" t="s">
        <v>430</v>
      </c>
      <c r="F103" s="92" t="s">
        <v>1232</v>
      </c>
      <c r="G103" s="92" t="s">
        <v>1233</v>
      </c>
      <c r="H103" s="92" t="s">
        <v>337</v>
      </c>
      <c r="I103" s="92" t="s">
        <v>1227</v>
      </c>
      <c r="J103" s="92" t="s">
        <v>429</v>
      </c>
      <c r="K103" s="95">
        <v>41261</v>
      </c>
      <c r="L103" s="92" t="s">
        <v>434</v>
      </c>
      <c r="M103" s="92" t="s">
        <v>434</v>
      </c>
      <c r="N103" s="92" t="s">
        <v>435</v>
      </c>
      <c r="O103" s="92" t="s">
        <v>436</v>
      </c>
      <c r="P103" s="100" t="s">
        <v>429</v>
      </c>
      <c r="Q103" s="100" t="s">
        <v>429</v>
      </c>
      <c r="R103" s="92" t="s">
        <v>429</v>
      </c>
      <c r="S103" s="92" t="s">
        <v>429</v>
      </c>
      <c r="T103" s="92" t="s">
        <v>470</v>
      </c>
      <c r="U103" s="92" t="s">
        <v>437</v>
      </c>
      <c r="V103" s="92" t="s">
        <v>431</v>
      </c>
      <c r="W103" s="92" t="s">
        <v>438</v>
      </c>
      <c r="X103" s="92" t="s">
        <v>436</v>
      </c>
      <c r="Y103" s="92" t="s">
        <v>1164</v>
      </c>
      <c r="Z103" s="92" t="s">
        <v>429</v>
      </c>
    </row>
    <row r="104" spans="1:30" ht="14.75">
      <c r="A104" s="92" t="s">
        <v>1240</v>
      </c>
      <c r="B104" s="92" t="s">
        <v>429</v>
      </c>
      <c r="C104" s="95">
        <v>43875</v>
      </c>
      <c r="D104" s="99">
        <v>300000000</v>
      </c>
      <c r="E104" s="92" t="s">
        <v>430</v>
      </c>
      <c r="F104" s="92" t="s">
        <v>431</v>
      </c>
      <c r="G104" s="92" t="s">
        <v>432</v>
      </c>
      <c r="H104" s="92" t="s">
        <v>338</v>
      </c>
      <c r="I104" s="92" t="s">
        <v>1227</v>
      </c>
      <c r="J104" s="92" t="s">
        <v>429</v>
      </c>
      <c r="K104" s="95">
        <v>41319</v>
      </c>
      <c r="L104" s="92" t="s">
        <v>434</v>
      </c>
      <c r="M104" s="92" t="s">
        <v>434</v>
      </c>
      <c r="N104" s="92" t="s">
        <v>435</v>
      </c>
      <c r="O104" s="92" t="s">
        <v>436</v>
      </c>
      <c r="P104" s="100" t="s">
        <v>429</v>
      </c>
      <c r="Q104" s="100" t="s">
        <v>429</v>
      </c>
      <c r="R104" s="92" t="s">
        <v>429</v>
      </c>
      <c r="S104" s="92" t="s">
        <v>429</v>
      </c>
      <c r="T104" s="92" t="s">
        <v>470</v>
      </c>
      <c r="U104" s="92" t="s">
        <v>437</v>
      </c>
      <c r="V104" s="92" t="s">
        <v>431</v>
      </c>
      <c r="W104" s="92" t="s">
        <v>438</v>
      </c>
      <c r="X104" s="92" t="s">
        <v>436</v>
      </c>
      <c r="Y104" s="92" t="s">
        <v>1164</v>
      </c>
      <c r="Z104" s="92" t="s">
        <v>429</v>
      </c>
    </row>
    <row r="105" spans="1:30" ht="14.75">
      <c r="A105" s="92" t="s">
        <v>1241</v>
      </c>
      <c r="B105" s="92" t="s">
        <v>429</v>
      </c>
      <c r="C105" s="95">
        <v>43896</v>
      </c>
      <c r="D105" s="99">
        <v>100000000</v>
      </c>
      <c r="E105" s="92" t="s">
        <v>448</v>
      </c>
      <c r="F105" s="92" t="s">
        <v>463</v>
      </c>
      <c r="G105" s="92" t="s">
        <v>432</v>
      </c>
      <c r="H105" s="92" t="s">
        <v>233</v>
      </c>
      <c r="I105" s="92" t="s">
        <v>1227</v>
      </c>
      <c r="J105" s="92" t="s">
        <v>429</v>
      </c>
      <c r="K105" s="95">
        <v>41338</v>
      </c>
      <c r="L105" s="92" t="s">
        <v>434</v>
      </c>
      <c r="M105" s="92" t="s">
        <v>434</v>
      </c>
      <c r="N105" s="92" t="s">
        <v>435</v>
      </c>
      <c r="O105" s="92" t="s">
        <v>436</v>
      </c>
      <c r="P105" s="100" t="s">
        <v>429</v>
      </c>
      <c r="Q105" s="100" t="s">
        <v>429</v>
      </c>
      <c r="R105" s="92" t="s">
        <v>429</v>
      </c>
      <c r="S105" s="92" t="s">
        <v>429</v>
      </c>
      <c r="T105" s="92" t="s">
        <v>470</v>
      </c>
      <c r="U105" s="92" t="s">
        <v>437</v>
      </c>
      <c r="V105" s="92" t="s">
        <v>431</v>
      </c>
      <c r="W105" s="92" t="s">
        <v>438</v>
      </c>
      <c r="X105" s="92" t="s">
        <v>436</v>
      </c>
      <c r="Y105" s="92" t="s">
        <v>1164</v>
      </c>
      <c r="Z105" s="92" t="s">
        <v>429</v>
      </c>
    </row>
    <row r="106" spans="1:30" ht="14.75">
      <c r="A106" s="92" t="s">
        <v>1242</v>
      </c>
      <c r="B106" s="92" t="s">
        <v>429</v>
      </c>
      <c r="C106" s="95">
        <v>43906</v>
      </c>
      <c r="D106" s="99">
        <v>121556833</v>
      </c>
      <c r="E106" s="92" t="s">
        <v>430</v>
      </c>
      <c r="F106" s="92" t="s">
        <v>463</v>
      </c>
      <c r="G106" s="92" t="s">
        <v>1172</v>
      </c>
      <c r="H106" s="92" t="s">
        <v>339</v>
      </c>
      <c r="I106" s="92" t="s">
        <v>1227</v>
      </c>
      <c r="J106" s="92" t="s">
        <v>429</v>
      </c>
      <c r="K106" s="95">
        <v>40253</v>
      </c>
      <c r="L106" s="92" t="s">
        <v>434</v>
      </c>
      <c r="M106" s="92" t="s">
        <v>434</v>
      </c>
      <c r="N106" s="92" t="s">
        <v>435</v>
      </c>
      <c r="O106" s="92" t="s">
        <v>436</v>
      </c>
      <c r="P106" s="100" t="s">
        <v>429</v>
      </c>
      <c r="Q106" s="100" t="s">
        <v>429</v>
      </c>
      <c r="R106" s="92" t="s">
        <v>429</v>
      </c>
      <c r="S106" s="92" t="s">
        <v>429</v>
      </c>
      <c r="T106" s="92" t="s">
        <v>470</v>
      </c>
      <c r="U106" s="92" t="s">
        <v>437</v>
      </c>
      <c r="V106" s="92" t="s">
        <v>431</v>
      </c>
      <c r="W106" s="92" t="s">
        <v>438</v>
      </c>
      <c r="X106" s="92" t="s">
        <v>436</v>
      </c>
      <c r="Y106" s="92" t="s">
        <v>1164</v>
      </c>
      <c r="Z106" s="92" t="s">
        <v>429</v>
      </c>
    </row>
    <row r="107" spans="1:30" ht="14.75">
      <c r="A107" s="92" t="s">
        <v>1243</v>
      </c>
      <c r="B107" s="92" t="s">
        <v>429</v>
      </c>
      <c r="C107" s="95">
        <v>44036</v>
      </c>
      <c r="D107" s="99">
        <v>741248304</v>
      </c>
      <c r="E107" s="92" t="s">
        <v>430</v>
      </c>
      <c r="F107" s="92" t="s">
        <v>463</v>
      </c>
      <c r="G107" s="92" t="s">
        <v>1167</v>
      </c>
      <c r="H107" s="92" t="s">
        <v>340</v>
      </c>
      <c r="I107" s="92" t="s">
        <v>1227</v>
      </c>
      <c r="J107" s="92" t="s">
        <v>429</v>
      </c>
      <c r="K107" s="95">
        <v>41479</v>
      </c>
      <c r="L107" s="92" t="s">
        <v>434</v>
      </c>
      <c r="M107" s="92" t="s">
        <v>434</v>
      </c>
      <c r="N107" s="92" t="s">
        <v>435</v>
      </c>
      <c r="O107" s="92" t="s">
        <v>436</v>
      </c>
      <c r="P107" s="100" t="s">
        <v>429</v>
      </c>
      <c r="Q107" s="100" t="s">
        <v>429</v>
      </c>
      <c r="R107" s="92" t="s">
        <v>429</v>
      </c>
      <c r="S107" s="92" t="s">
        <v>429</v>
      </c>
      <c r="T107" s="92" t="s">
        <v>464</v>
      </c>
      <c r="U107" s="92" t="s">
        <v>437</v>
      </c>
      <c r="V107" s="92" t="s">
        <v>431</v>
      </c>
      <c r="W107" s="92" t="s">
        <v>438</v>
      </c>
      <c r="X107" s="92" t="s">
        <v>436</v>
      </c>
      <c r="Y107" s="92" t="s">
        <v>1164</v>
      </c>
      <c r="Z107" s="92" t="s">
        <v>429</v>
      </c>
    </row>
    <row r="108" spans="1:30" ht="14.75">
      <c r="A108" s="92" t="s">
        <v>1244</v>
      </c>
      <c r="B108" s="92" t="s">
        <v>429</v>
      </c>
      <c r="C108" s="95">
        <v>44287</v>
      </c>
      <c r="D108" s="99">
        <v>250000000</v>
      </c>
      <c r="E108" s="92" t="s">
        <v>430</v>
      </c>
      <c r="F108" s="92" t="s">
        <v>431</v>
      </c>
      <c r="G108" s="92" t="s">
        <v>432</v>
      </c>
      <c r="H108" s="92" t="s">
        <v>341</v>
      </c>
      <c r="I108" s="92" t="s">
        <v>1227</v>
      </c>
      <c r="J108" s="92" t="s">
        <v>429</v>
      </c>
      <c r="K108" s="95">
        <v>40634</v>
      </c>
      <c r="L108" s="92" t="s">
        <v>434</v>
      </c>
      <c r="M108" s="92" t="s">
        <v>434</v>
      </c>
      <c r="N108" s="92" t="s">
        <v>435</v>
      </c>
      <c r="O108" s="92" t="s">
        <v>436</v>
      </c>
      <c r="P108" s="100" t="s">
        <v>429</v>
      </c>
      <c r="Q108" s="100" t="s">
        <v>429</v>
      </c>
      <c r="R108" s="92" t="s">
        <v>429</v>
      </c>
      <c r="S108" s="92" t="s">
        <v>429</v>
      </c>
      <c r="T108" s="92" t="s">
        <v>470</v>
      </c>
      <c r="U108" s="92" t="s">
        <v>437</v>
      </c>
      <c r="V108" s="92" t="s">
        <v>431</v>
      </c>
      <c r="W108" s="92" t="s">
        <v>438</v>
      </c>
      <c r="X108" s="92" t="s">
        <v>436</v>
      </c>
      <c r="Y108" s="92" t="s">
        <v>1164</v>
      </c>
      <c r="Z108" s="92" t="s">
        <v>429</v>
      </c>
    </row>
    <row r="109" spans="1:30" ht="14.75">
      <c r="A109" s="92" t="s">
        <v>1245</v>
      </c>
      <c r="B109" s="92" t="s">
        <v>429</v>
      </c>
      <c r="C109" s="95">
        <v>44543</v>
      </c>
      <c r="D109" s="99">
        <v>69461048</v>
      </c>
      <c r="E109" s="92" t="s">
        <v>430</v>
      </c>
      <c r="F109" s="92" t="s">
        <v>463</v>
      </c>
      <c r="G109" s="92" t="s">
        <v>1172</v>
      </c>
      <c r="H109" s="92" t="s">
        <v>342</v>
      </c>
      <c r="I109" s="92" t="s">
        <v>1227</v>
      </c>
      <c r="J109" s="92" t="s">
        <v>429</v>
      </c>
      <c r="K109" s="95">
        <v>40890</v>
      </c>
      <c r="L109" s="92" t="s">
        <v>434</v>
      </c>
      <c r="M109" s="92" t="s">
        <v>434</v>
      </c>
      <c r="N109" s="92" t="s">
        <v>435</v>
      </c>
      <c r="O109" s="92" t="s">
        <v>436</v>
      </c>
      <c r="P109" s="100" t="s">
        <v>429</v>
      </c>
      <c r="Q109" s="100" t="s">
        <v>429</v>
      </c>
      <c r="R109" s="92" t="s">
        <v>429</v>
      </c>
      <c r="S109" s="92" t="s">
        <v>429</v>
      </c>
      <c r="T109" s="92" t="s">
        <v>470</v>
      </c>
      <c r="U109" s="92" t="s">
        <v>437</v>
      </c>
      <c r="V109" s="92" t="s">
        <v>431</v>
      </c>
      <c r="W109" s="92" t="s">
        <v>438</v>
      </c>
      <c r="X109" s="92" t="s">
        <v>436</v>
      </c>
      <c r="Y109" s="92" t="s">
        <v>1164</v>
      </c>
      <c r="Z109" s="92" t="s">
        <v>429</v>
      </c>
    </row>
    <row r="110" spans="1:30" ht="14.75">
      <c r="A110" s="92" t="s">
        <v>1246</v>
      </c>
      <c r="B110" s="92" t="s">
        <v>429</v>
      </c>
      <c r="C110" s="95">
        <v>64361</v>
      </c>
      <c r="D110" s="99">
        <v>508819539</v>
      </c>
      <c r="E110" s="92" t="s">
        <v>448</v>
      </c>
      <c r="F110" s="92" t="s">
        <v>463</v>
      </c>
      <c r="G110" s="92" t="s">
        <v>442</v>
      </c>
      <c r="H110" s="92" t="s">
        <v>343</v>
      </c>
      <c r="I110" s="92" t="s">
        <v>1227</v>
      </c>
      <c r="J110" s="92" t="s">
        <v>429</v>
      </c>
      <c r="K110" s="95">
        <v>42446</v>
      </c>
      <c r="L110" s="92" t="s">
        <v>1247</v>
      </c>
      <c r="M110" s="92" t="s">
        <v>1248</v>
      </c>
      <c r="N110" s="92" t="s">
        <v>1146</v>
      </c>
      <c r="O110" s="92" t="s">
        <v>436</v>
      </c>
      <c r="P110" s="100" t="s">
        <v>429</v>
      </c>
      <c r="Q110" s="100" t="s">
        <v>429</v>
      </c>
      <c r="R110" s="92" t="s">
        <v>429</v>
      </c>
      <c r="S110" s="92" t="s">
        <v>429</v>
      </c>
      <c r="T110" s="92" t="s">
        <v>464</v>
      </c>
      <c r="U110" s="92" t="s">
        <v>429</v>
      </c>
      <c r="V110" s="92" t="s">
        <v>431</v>
      </c>
      <c r="W110" s="92" t="s">
        <v>474</v>
      </c>
      <c r="X110" s="92" t="s">
        <v>436</v>
      </c>
      <c r="Y110" s="92" t="s">
        <v>1164</v>
      </c>
      <c r="Z110" s="92" t="s">
        <v>429</v>
      </c>
    </row>
    <row r="111" spans="1:30" ht="14.75">
      <c r="A111" s="92" t="s">
        <v>1249</v>
      </c>
      <c r="B111" s="92" t="s">
        <v>429</v>
      </c>
      <c r="C111" s="95">
        <v>64535</v>
      </c>
      <c r="D111" s="99">
        <v>199507735</v>
      </c>
      <c r="E111" s="92" t="s">
        <v>448</v>
      </c>
      <c r="F111" s="92" t="s">
        <v>463</v>
      </c>
      <c r="G111" s="92" t="s">
        <v>1250</v>
      </c>
      <c r="H111" s="92" t="s">
        <v>344</v>
      </c>
      <c r="I111" s="92" t="s">
        <v>1227</v>
      </c>
      <c r="J111" s="92" t="s">
        <v>429</v>
      </c>
      <c r="K111" s="95">
        <v>42436</v>
      </c>
      <c r="L111" s="92" t="s">
        <v>1247</v>
      </c>
      <c r="M111" s="92" t="s">
        <v>1248</v>
      </c>
      <c r="N111" s="92" t="s">
        <v>435</v>
      </c>
      <c r="O111" s="92" t="s">
        <v>436</v>
      </c>
      <c r="P111" s="100" t="s">
        <v>429</v>
      </c>
      <c r="Q111" s="100" t="s">
        <v>429</v>
      </c>
      <c r="R111" s="92" t="s">
        <v>429</v>
      </c>
      <c r="S111" s="92" t="s">
        <v>429</v>
      </c>
      <c r="T111" s="92" t="s">
        <v>464</v>
      </c>
      <c r="U111" s="92" t="s">
        <v>429</v>
      </c>
      <c r="V111" s="92" t="s">
        <v>431</v>
      </c>
      <c r="W111" s="92" t="s">
        <v>474</v>
      </c>
      <c r="X111" s="92" t="s">
        <v>436</v>
      </c>
      <c r="Y111" s="92" t="s">
        <v>1164</v>
      </c>
      <c r="Z111" s="92" t="s">
        <v>429</v>
      </c>
    </row>
    <row r="113" spans="1:30" ht="14.75">
      <c r="A113" s="210" t="s">
        <v>272</v>
      </c>
      <c r="B113" s="210"/>
      <c r="C113" s="210"/>
      <c r="D113" s="210"/>
      <c r="E113" s="210"/>
      <c r="F113" s="210"/>
      <c r="G113" s="210"/>
      <c r="H113" s="210"/>
      <c r="I113" s="210"/>
      <c r="J113" s="210"/>
      <c r="K113" s="210"/>
      <c r="L113" s="210"/>
      <c r="M113" s="210"/>
      <c r="N113" s="210"/>
      <c r="O113" s="210"/>
      <c r="P113" s="210"/>
      <c r="Q113" s="210"/>
      <c r="R113" s="210"/>
      <c r="S113" s="210"/>
      <c r="T113" s="210"/>
      <c r="U113" s="210"/>
      <c r="V113" s="210"/>
      <c r="W113" s="210"/>
      <c r="X113" s="210"/>
      <c r="Y113" s="210"/>
      <c r="Z113" s="210"/>
      <c r="AA113" s="210"/>
      <c r="AB113" s="210"/>
      <c r="AC113" s="210"/>
      <c r="AD113" s="210"/>
    </row>
    <row r="114" spans="1:30" ht="14.75">
      <c r="A114" s="93" t="s">
        <v>1251</v>
      </c>
      <c r="B114" s="93" t="s">
        <v>405</v>
      </c>
      <c r="C114" s="94" t="s">
        <v>1252</v>
      </c>
      <c r="D114" s="93" t="s">
        <v>1253</v>
      </c>
      <c r="E114" s="93" t="s">
        <v>409</v>
      </c>
      <c r="F114" s="93" t="s">
        <v>413</v>
      </c>
      <c r="G114" s="93" t="s">
        <v>411</v>
      </c>
      <c r="H114" s="93" t="s">
        <v>1254</v>
      </c>
      <c r="I114" s="94" t="s">
        <v>1255</v>
      </c>
      <c r="J114" s="94" t="s">
        <v>1256</v>
      </c>
      <c r="K114" s="94" t="s">
        <v>1257</v>
      </c>
      <c r="L114" s="94" t="s">
        <v>1258</v>
      </c>
      <c r="M114" s="94" t="s">
        <v>1259</v>
      </c>
      <c r="N114" s="92"/>
      <c r="O114" s="92"/>
      <c r="P114" s="92"/>
      <c r="Q114" s="92"/>
      <c r="R114" s="92"/>
      <c r="S114" s="92"/>
      <c r="T114" s="92"/>
      <c r="U114" s="92"/>
      <c r="V114" s="92"/>
      <c r="W114" s="92"/>
      <c r="X114" s="92"/>
      <c r="Y114" s="92"/>
      <c r="Z114" s="92"/>
      <c r="AA114" s="92"/>
      <c r="AB114" s="92"/>
      <c r="AC114" s="92"/>
      <c r="AD114" s="92"/>
    </row>
    <row r="115" spans="1:30" ht="14.75">
      <c r="A115" s="92" t="s">
        <v>277</v>
      </c>
      <c r="B115" s="95">
        <v>45169</v>
      </c>
      <c r="C115" s="96">
        <v>300000000</v>
      </c>
      <c r="D115" s="92" t="s">
        <v>431</v>
      </c>
      <c r="E115" s="92" t="s">
        <v>1260</v>
      </c>
      <c r="F115" s="95">
        <v>43343</v>
      </c>
      <c r="G115" s="92" t="s">
        <v>429</v>
      </c>
      <c r="H115" s="92" t="s">
        <v>429</v>
      </c>
      <c r="I115" s="115">
        <v>0</v>
      </c>
      <c r="J115" s="115">
        <v>0</v>
      </c>
      <c r="K115" s="115">
        <v>0</v>
      </c>
      <c r="L115" s="115">
        <v>0</v>
      </c>
      <c r="M115" s="115">
        <v>0</v>
      </c>
      <c r="N115" s="92"/>
      <c r="O115" s="92"/>
      <c r="P115" s="92"/>
      <c r="Q115" s="92"/>
      <c r="R115" s="92"/>
      <c r="S115" s="92"/>
      <c r="T115" s="92"/>
      <c r="U115" s="92"/>
      <c r="V115" s="92"/>
      <c r="W115" s="92"/>
      <c r="X115" s="92"/>
      <c r="Y115" s="92"/>
      <c r="Z115" s="92"/>
      <c r="AA115" s="92"/>
      <c r="AB115" s="92"/>
      <c r="AC115" s="92"/>
      <c r="AD115" s="92"/>
    </row>
    <row r="116" spans="1:30" ht="14.75">
      <c r="A116" s="92" t="s">
        <v>277</v>
      </c>
      <c r="B116" s="95">
        <v>45535</v>
      </c>
      <c r="C116" s="96">
        <v>100000000</v>
      </c>
      <c r="D116" s="92" t="s">
        <v>431</v>
      </c>
      <c r="E116" s="92" t="s">
        <v>1260</v>
      </c>
      <c r="F116" s="95">
        <v>43343</v>
      </c>
      <c r="G116" s="92" t="s">
        <v>429</v>
      </c>
      <c r="H116" s="92" t="s">
        <v>429</v>
      </c>
      <c r="I116" s="115">
        <v>0</v>
      </c>
      <c r="J116" s="115">
        <v>0</v>
      </c>
      <c r="K116" s="115">
        <v>0</v>
      </c>
      <c r="L116" s="115">
        <v>0</v>
      </c>
      <c r="M116" s="115">
        <v>0</v>
      </c>
      <c r="N116" s="92"/>
      <c r="O116" s="92"/>
      <c r="P116" s="92"/>
      <c r="Q116" s="92"/>
      <c r="R116" s="92"/>
      <c r="S116" s="92"/>
      <c r="T116" s="92"/>
      <c r="U116" s="92"/>
      <c r="V116" s="92"/>
      <c r="W116" s="92"/>
      <c r="X116" s="92"/>
      <c r="Y116" s="92"/>
      <c r="Z116" s="92"/>
      <c r="AA116" s="92"/>
      <c r="AB116" s="92"/>
      <c r="AC116" s="92"/>
      <c r="AD116" s="92"/>
    </row>
    <row r="117" spans="1:30" ht="14.75">
      <c r="A117" s="92" t="s">
        <v>277</v>
      </c>
      <c r="B117" s="95">
        <v>45900</v>
      </c>
      <c r="C117" s="96">
        <v>300000000</v>
      </c>
      <c r="D117" s="92" t="s">
        <v>431</v>
      </c>
      <c r="E117" s="92" t="s">
        <v>1260</v>
      </c>
      <c r="F117" s="95">
        <v>43343</v>
      </c>
      <c r="G117" s="92" t="s">
        <v>429</v>
      </c>
      <c r="H117" s="92" t="s">
        <v>429</v>
      </c>
      <c r="I117" s="115">
        <v>0</v>
      </c>
      <c r="J117" s="115">
        <v>0</v>
      </c>
      <c r="K117" s="115">
        <v>0</v>
      </c>
      <c r="L117" s="115">
        <v>0</v>
      </c>
      <c r="M117" s="115">
        <v>0</v>
      </c>
      <c r="N117" s="92"/>
      <c r="O117" s="92"/>
      <c r="P117" s="92"/>
      <c r="Q117" s="92"/>
      <c r="R117" s="92"/>
      <c r="S117" s="92"/>
      <c r="T117" s="92"/>
      <c r="U117" s="92"/>
      <c r="V117" s="92"/>
      <c r="W117" s="92"/>
      <c r="X117" s="92"/>
      <c r="Y117" s="92"/>
      <c r="Z117" s="92"/>
      <c r="AA117" s="92"/>
      <c r="AB117" s="92"/>
      <c r="AC117" s="92"/>
      <c r="AD117" s="92"/>
    </row>
    <row r="119" spans="1:30" ht="14.75">
      <c r="A119" s="210" t="s">
        <v>272</v>
      </c>
      <c r="B119" s="210"/>
      <c r="C119" s="210"/>
      <c r="D119" s="210"/>
      <c r="E119" s="210"/>
      <c r="F119" s="210"/>
      <c r="G119" s="210"/>
      <c r="H119" s="210"/>
      <c r="I119" s="210"/>
      <c r="J119" s="210"/>
      <c r="K119" s="210"/>
      <c r="L119" s="210"/>
      <c r="M119" s="210"/>
      <c r="N119" s="210"/>
      <c r="O119" s="210"/>
      <c r="P119" s="210"/>
      <c r="Q119" s="210"/>
      <c r="R119" s="210"/>
      <c r="S119" s="210"/>
      <c r="T119" s="210"/>
      <c r="U119" s="210"/>
      <c r="V119" s="210"/>
      <c r="W119" s="210"/>
      <c r="X119" s="210"/>
      <c r="Y119" s="210"/>
      <c r="Z119" s="210"/>
      <c r="AA119" s="210"/>
      <c r="AB119" s="210"/>
      <c r="AC119" s="210"/>
      <c r="AD119" s="210"/>
    </row>
    <row r="120" spans="1:30" ht="14.75">
      <c r="A120" s="93" t="s">
        <v>1251</v>
      </c>
      <c r="B120" s="93" t="s">
        <v>405</v>
      </c>
      <c r="C120" s="94" t="s">
        <v>1252</v>
      </c>
      <c r="D120" s="93" t="s">
        <v>1253</v>
      </c>
      <c r="E120" s="93" t="s">
        <v>409</v>
      </c>
      <c r="F120" s="93" t="s">
        <v>413</v>
      </c>
      <c r="G120" s="93" t="s">
        <v>411</v>
      </c>
      <c r="H120" s="93" t="s">
        <v>1254</v>
      </c>
      <c r="I120" s="94" t="s">
        <v>1255</v>
      </c>
      <c r="J120" s="94" t="s">
        <v>1256</v>
      </c>
      <c r="K120" s="94" t="s">
        <v>1257</v>
      </c>
      <c r="L120" s="94" t="s">
        <v>1258</v>
      </c>
      <c r="M120" s="94" t="s">
        <v>1259</v>
      </c>
      <c r="N120" s="92"/>
      <c r="O120" s="92"/>
      <c r="P120" s="92"/>
      <c r="Q120" s="92"/>
      <c r="R120" s="92"/>
      <c r="S120" s="92"/>
      <c r="T120" s="92"/>
      <c r="U120" s="92"/>
      <c r="V120" s="92"/>
      <c r="W120" s="92"/>
      <c r="X120" s="92"/>
      <c r="Y120" s="92"/>
      <c r="Z120" s="92"/>
      <c r="AA120" s="92"/>
      <c r="AB120" s="92"/>
      <c r="AC120" s="92"/>
      <c r="AD120" s="92"/>
    </row>
    <row r="121" spans="1:30" ht="14.75">
      <c r="A121" s="92" t="s">
        <v>277</v>
      </c>
      <c r="B121" s="95">
        <v>44688</v>
      </c>
      <c r="C121" s="96">
        <v>350000000</v>
      </c>
      <c r="D121" s="92" t="s">
        <v>431</v>
      </c>
      <c r="E121" s="92" t="s">
        <v>1260</v>
      </c>
      <c r="F121" s="95">
        <v>43958</v>
      </c>
      <c r="G121" s="92" t="s">
        <v>429</v>
      </c>
      <c r="H121" s="92" t="s">
        <v>429</v>
      </c>
      <c r="I121" s="115">
        <v>0</v>
      </c>
      <c r="J121" s="115">
        <v>0</v>
      </c>
      <c r="K121" s="115">
        <v>0</v>
      </c>
      <c r="L121" s="115">
        <v>0</v>
      </c>
      <c r="M121" s="115">
        <v>0</v>
      </c>
      <c r="N121" s="92"/>
      <c r="O121" s="92"/>
      <c r="P121" s="92"/>
      <c r="Q121" s="92"/>
      <c r="R121" s="92"/>
      <c r="S121" s="92"/>
      <c r="T121" s="92"/>
      <c r="U121" s="92"/>
      <c r="V121" s="92"/>
      <c r="W121" s="92"/>
      <c r="X121" s="92"/>
      <c r="Y121" s="92"/>
      <c r="Z121" s="92"/>
      <c r="AA121" s="92"/>
      <c r="AB121" s="92"/>
      <c r="AC121" s="92"/>
      <c r="AD121" s="92"/>
    </row>
    <row r="122" spans="1:30" ht="14.75">
      <c r="A122" s="92" t="s">
        <v>277</v>
      </c>
      <c r="B122" s="95">
        <v>45053</v>
      </c>
      <c r="C122" s="96">
        <v>100000000</v>
      </c>
      <c r="D122" s="92" t="s">
        <v>431</v>
      </c>
      <c r="E122" s="92" t="s">
        <v>1260</v>
      </c>
      <c r="F122" s="95">
        <v>43958</v>
      </c>
      <c r="G122" s="92" t="s">
        <v>429</v>
      </c>
      <c r="H122" s="92" t="s">
        <v>429</v>
      </c>
      <c r="I122" s="115">
        <v>0</v>
      </c>
      <c r="J122" s="115">
        <v>0</v>
      </c>
      <c r="K122" s="115">
        <v>0</v>
      </c>
      <c r="L122" s="115">
        <v>0</v>
      </c>
      <c r="M122" s="115">
        <v>0</v>
      </c>
      <c r="N122" s="92"/>
      <c r="O122" s="92"/>
      <c r="P122" s="92"/>
      <c r="Q122" s="92"/>
      <c r="R122" s="92"/>
      <c r="S122" s="92"/>
      <c r="T122" s="92"/>
      <c r="U122" s="92"/>
      <c r="V122" s="92"/>
      <c r="W122" s="92"/>
      <c r="X122" s="92"/>
      <c r="Y122" s="92"/>
      <c r="Z122" s="92"/>
      <c r="AA122" s="92"/>
      <c r="AB122" s="92"/>
      <c r="AC122" s="92"/>
      <c r="AD122" s="92"/>
    </row>
    <row r="123" spans="1:30" ht="14.75">
      <c r="A123" s="92" t="s">
        <v>277</v>
      </c>
      <c r="B123" s="95">
        <v>45784</v>
      </c>
      <c r="C123" s="96">
        <v>50000000</v>
      </c>
      <c r="D123" s="92" t="s">
        <v>431</v>
      </c>
      <c r="E123" s="92" t="s">
        <v>1260</v>
      </c>
      <c r="F123" s="95">
        <v>43958</v>
      </c>
      <c r="G123" s="92" t="s">
        <v>429</v>
      </c>
      <c r="H123" s="92" t="s">
        <v>429</v>
      </c>
      <c r="I123" s="115">
        <v>0</v>
      </c>
      <c r="J123" s="115">
        <v>0</v>
      </c>
      <c r="K123" s="115">
        <v>0</v>
      </c>
      <c r="L123" s="115">
        <v>0</v>
      </c>
      <c r="M123" s="115">
        <v>0</v>
      </c>
      <c r="N123" s="92"/>
      <c r="O123" s="92"/>
      <c r="P123" s="92"/>
      <c r="Q123" s="92"/>
      <c r="R123" s="92"/>
      <c r="S123" s="92"/>
      <c r="T123" s="92"/>
      <c r="U123" s="92"/>
      <c r="V123" s="92"/>
      <c r="W123" s="92"/>
      <c r="X123" s="92"/>
      <c r="Y123" s="92"/>
      <c r="Z123" s="92"/>
      <c r="AA123" s="92"/>
      <c r="AB123" s="92"/>
      <c r="AC123" s="92"/>
      <c r="AD123" s="92"/>
    </row>
    <row r="127" spans="1:30">
      <c r="A127" t="s">
        <v>66</v>
      </c>
      <c r="C127" s="135">
        <v>40632</v>
      </c>
      <c r="D127" s="135">
        <v>40998</v>
      </c>
      <c r="E127" s="135">
        <v>41363</v>
      </c>
      <c r="F127" s="135">
        <v>41728</v>
      </c>
      <c r="G127" s="135">
        <v>42093</v>
      </c>
      <c r="H127" s="135">
        <v>42459</v>
      </c>
      <c r="I127" s="135">
        <v>42824</v>
      </c>
      <c r="J127" s="135">
        <v>43189</v>
      </c>
      <c r="K127" s="135">
        <v>43554</v>
      </c>
      <c r="L127" s="135">
        <v>43920</v>
      </c>
      <c r="M127" s="135">
        <v>44285</v>
      </c>
    </row>
    <row r="128" spans="1:30" ht="14.75">
      <c r="B128" s="101" t="s">
        <v>293</v>
      </c>
      <c r="C128">
        <f>IF(AND($C54 &gt; C$127,$M54 &lt;= C$127),$E54,0)</f>
        <v>0</v>
      </c>
      <c r="D128">
        <f t="shared" ref="D128:M128" si="0">IF(AND($C54 &gt; D$127,$M54 &lt;= D$127),$E54,0)</f>
        <v>0</v>
      </c>
      <c r="E128">
        <f t="shared" si="0"/>
        <v>305000000</v>
      </c>
      <c r="F128">
        <f t="shared" si="0"/>
        <v>305000000</v>
      </c>
      <c r="G128">
        <f t="shared" si="0"/>
        <v>305000000</v>
      </c>
      <c r="H128">
        <f t="shared" si="0"/>
        <v>305000000</v>
      </c>
      <c r="I128">
        <f t="shared" si="0"/>
        <v>305000000</v>
      </c>
      <c r="J128">
        <f t="shared" si="0"/>
        <v>305000000</v>
      </c>
      <c r="K128">
        <f t="shared" si="0"/>
        <v>305000000</v>
      </c>
      <c r="L128">
        <f t="shared" si="0"/>
        <v>305000000</v>
      </c>
      <c r="M128">
        <f t="shared" si="0"/>
        <v>305000000</v>
      </c>
    </row>
    <row r="129" spans="2:13" ht="14.75">
      <c r="B129" s="101" t="s">
        <v>294</v>
      </c>
      <c r="C129">
        <f t="shared" ref="C129:M129" si="1">IF(AND($C55 &gt; C$127,$M55 &lt;= C$127),$E55,0)</f>
        <v>0</v>
      </c>
      <c r="D129">
        <f t="shared" si="1"/>
        <v>0</v>
      </c>
      <c r="E129">
        <f t="shared" si="1"/>
        <v>30000000</v>
      </c>
      <c r="F129">
        <f t="shared" si="1"/>
        <v>30000000</v>
      </c>
      <c r="G129">
        <f t="shared" si="1"/>
        <v>30000000</v>
      </c>
      <c r="H129">
        <f t="shared" si="1"/>
        <v>30000000</v>
      </c>
      <c r="I129">
        <f t="shared" si="1"/>
        <v>30000000</v>
      </c>
      <c r="J129">
        <f t="shared" si="1"/>
        <v>30000000</v>
      </c>
      <c r="K129">
        <f t="shared" si="1"/>
        <v>30000000</v>
      </c>
      <c r="L129">
        <f t="shared" si="1"/>
        <v>30000000</v>
      </c>
      <c r="M129">
        <f t="shared" si="1"/>
        <v>30000000</v>
      </c>
    </row>
    <row r="130" spans="2:13" ht="14.75">
      <c r="B130" s="101" t="s">
        <v>295</v>
      </c>
      <c r="C130">
        <f t="shared" ref="C130:M130" si="2">IF(AND($C56 &gt; C$127,$M56 &lt;= C$127),$E56,0)</f>
        <v>0</v>
      </c>
      <c r="D130">
        <f t="shared" si="2"/>
        <v>0</v>
      </c>
      <c r="E130">
        <f t="shared" si="2"/>
        <v>0</v>
      </c>
      <c r="F130">
        <f t="shared" si="2"/>
        <v>518873813</v>
      </c>
      <c r="G130">
        <f t="shared" si="2"/>
        <v>518873813</v>
      </c>
      <c r="H130">
        <f t="shared" si="2"/>
        <v>518873813</v>
      </c>
      <c r="I130">
        <f t="shared" si="2"/>
        <v>518873813</v>
      </c>
      <c r="J130">
        <f t="shared" si="2"/>
        <v>518873813</v>
      </c>
      <c r="K130">
        <f t="shared" si="2"/>
        <v>518873813</v>
      </c>
      <c r="L130">
        <f t="shared" si="2"/>
        <v>518873813</v>
      </c>
      <c r="M130">
        <f t="shared" si="2"/>
        <v>518873813</v>
      </c>
    </row>
    <row r="131" spans="2:13" ht="14.75">
      <c r="B131" s="101" t="s">
        <v>296</v>
      </c>
      <c r="C131">
        <f t="shared" ref="C131:M131" si="3">IF(AND($C57 &gt; C$127,$M57 &lt;= C$127),$E57,0)</f>
        <v>0</v>
      </c>
      <c r="D131">
        <f t="shared" si="3"/>
        <v>0</v>
      </c>
      <c r="E131">
        <f t="shared" si="3"/>
        <v>0</v>
      </c>
      <c r="F131">
        <f t="shared" si="3"/>
        <v>0</v>
      </c>
      <c r="G131">
        <f t="shared" si="3"/>
        <v>125000000</v>
      </c>
      <c r="H131">
        <f t="shared" si="3"/>
        <v>125000000</v>
      </c>
      <c r="I131">
        <f t="shared" si="3"/>
        <v>125000000</v>
      </c>
      <c r="J131">
        <f t="shared" si="3"/>
        <v>125000000</v>
      </c>
      <c r="K131">
        <f t="shared" si="3"/>
        <v>125000000</v>
      </c>
      <c r="L131">
        <f t="shared" si="3"/>
        <v>125000000</v>
      </c>
      <c r="M131">
        <f t="shared" si="3"/>
        <v>125000000</v>
      </c>
    </row>
    <row r="132" spans="2:13" ht="14.75">
      <c r="B132" s="101" t="s">
        <v>297</v>
      </c>
      <c r="C132">
        <f t="shared" ref="C132:M132" si="4">IF(AND($C58 &gt; C$127,$M58 &lt;= C$127),$E58,0)</f>
        <v>0</v>
      </c>
      <c r="D132">
        <f t="shared" si="4"/>
        <v>0</v>
      </c>
      <c r="E132">
        <f t="shared" si="4"/>
        <v>0</v>
      </c>
      <c r="F132">
        <f t="shared" si="4"/>
        <v>0</v>
      </c>
      <c r="G132">
        <f t="shared" si="4"/>
        <v>0</v>
      </c>
      <c r="H132">
        <f t="shared" si="4"/>
        <v>0</v>
      </c>
      <c r="I132">
        <f t="shared" si="4"/>
        <v>98461035</v>
      </c>
      <c r="J132">
        <f t="shared" si="4"/>
        <v>98461035</v>
      </c>
      <c r="K132">
        <f t="shared" si="4"/>
        <v>98461035</v>
      </c>
      <c r="L132">
        <f t="shared" si="4"/>
        <v>98461035</v>
      </c>
      <c r="M132">
        <f t="shared" si="4"/>
        <v>98461035</v>
      </c>
    </row>
    <row r="133" spans="2:13" ht="14.75">
      <c r="B133" s="101" t="s">
        <v>298</v>
      </c>
      <c r="C133">
        <f t="shared" ref="C133:M133" si="5">IF(AND($C59 &gt; C$127,$M59 &lt;= C$127),$E59,0)</f>
        <v>0</v>
      </c>
      <c r="D133">
        <f t="shared" si="5"/>
        <v>0</v>
      </c>
      <c r="E133">
        <f t="shared" si="5"/>
        <v>0</v>
      </c>
      <c r="F133">
        <f t="shared" si="5"/>
        <v>0</v>
      </c>
      <c r="G133">
        <f t="shared" si="5"/>
        <v>0</v>
      </c>
      <c r="H133">
        <f t="shared" si="5"/>
        <v>0</v>
      </c>
      <c r="I133">
        <f t="shared" si="5"/>
        <v>109922108</v>
      </c>
      <c r="J133">
        <f t="shared" si="5"/>
        <v>109922108</v>
      </c>
      <c r="K133">
        <f t="shared" si="5"/>
        <v>109922108</v>
      </c>
      <c r="L133">
        <f t="shared" si="5"/>
        <v>109922108</v>
      </c>
      <c r="M133">
        <f t="shared" si="5"/>
        <v>109922108</v>
      </c>
    </row>
    <row r="134" spans="2:13" ht="14.75">
      <c r="B134" s="101" t="s">
        <v>299</v>
      </c>
      <c r="C134">
        <f t="shared" ref="C134:M134" si="6">IF(AND($C60 &gt; C$127,$M60 &lt;= C$127),$E60,0)</f>
        <v>0</v>
      </c>
      <c r="D134">
        <f t="shared" si="6"/>
        <v>0</v>
      </c>
      <c r="E134">
        <f t="shared" si="6"/>
        <v>0</v>
      </c>
      <c r="F134">
        <f t="shared" si="6"/>
        <v>0</v>
      </c>
      <c r="G134">
        <f t="shared" si="6"/>
        <v>830198100</v>
      </c>
      <c r="H134">
        <f t="shared" si="6"/>
        <v>830198100</v>
      </c>
      <c r="I134">
        <f t="shared" si="6"/>
        <v>830198100</v>
      </c>
      <c r="J134">
        <f t="shared" si="6"/>
        <v>830198100</v>
      </c>
      <c r="K134">
        <f t="shared" si="6"/>
        <v>830198100</v>
      </c>
      <c r="L134">
        <f t="shared" si="6"/>
        <v>830198100</v>
      </c>
      <c r="M134">
        <f t="shared" si="6"/>
        <v>830198100</v>
      </c>
    </row>
    <row r="135" spans="2:13" ht="14.75">
      <c r="B135" s="101" t="s">
        <v>300</v>
      </c>
      <c r="C135">
        <f t="shared" ref="C135:M135" si="7">IF(AND($C61 &gt; C$127,$M61 &lt;= C$127),$E61,0)</f>
        <v>0</v>
      </c>
      <c r="D135">
        <f t="shared" si="7"/>
        <v>0</v>
      </c>
      <c r="E135">
        <f t="shared" si="7"/>
        <v>0</v>
      </c>
      <c r="F135">
        <f t="shared" si="7"/>
        <v>0</v>
      </c>
      <c r="G135">
        <f t="shared" si="7"/>
        <v>0</v>
      </c>
      <c r="H135">
        <f t="shared" si="7"/>
        <v>0</v>
      </c>
      <c r="I135">
        <f t="shared" si="7"/>
        <v>151569717</v>
      </c>
      <c r="J135">
        <f t="shared" si="7"/>
        <v>151569717</v>
      </c>
      <c r="K135">
        <f t="shared" si="7"/>
        <v>151569717</v>
      </c>
      <c r="L135">
        <f t="shared" si="7"/>
        <v>151569717</v>
      </c>
      <c r="M135">
        <f t="shared" si="7"/>
        <v>151569717</v>
      </c>
    </row>
    <row r="136" spans="2:13" ht="14.75">
      <c r="B136" s="101" t="s">
        <v>301</v>
      </c>
      <c r="C136">
        <f t="shared" ref="C136:M136" si="8">IF(AND($C62 &gt; C$127,$M62 &lt;= C$127),$E62,0)</f>
        <v>0</v>
      </c>
      <c r="D136">
        <f t="shared" si="8"/>
        <v>0</v>
      </c>
      <c r="E136">
        <f t="shared" si="8"/>
        <v>0</v>
      </c>
      <c r="F136">
        <f t="shared" si="8"/>
        <v>0</v>
      </c>
      <c r="G136">
        <f t="shared" si="8"/>
        <v>0</v>
      </c>
      <c r="H136">
        <f t="shared" si="8"/>
        <v>0</v>
      </c>
      <c r="I136">
        <f t="shared" si="8"/>
        <v>425000000</v>
      </c>
      <c r="J136">
        <f t="shared" si="8"/>
        <v>425000000</v>
      </c>
      <c r="K136">
        <f t="shared" si="8"/>
        <v>425000000</v>
      </c>
      <c r="L136">
        <f t="shared" si="8"/>
        <v>425000000</v>
      </c>
      <c r="M136">
        <f t="shared" si="8"/>
        <v>425000000</v>
      </c>
    </row>
    <row r="137" spans="2:13" ht="14.75">
      <c r="B137" s="101" t="s">
        <v>302</v>
      </c>
      <c r="C137">
        <f t="shared" ref="C137:M137" si="9">IF(AND($C63 &gt; C$127,$M63 &lt;= C$127),$E63,0)</f>
        <v>0</v>
      </c>
      <c r="D137">
        <f t="shared" si="9"/>
        <v>0</v>
      </c>
      <c r="E137">
        <f t="shared" si="9"/>
        <v>69461048</v>
      </c>
      <c r="F137">
        <f t="shared" si="9"/>
        <v>69461048</v>
      </c>
      <c r="G137">
        <f t="shared" si="9"/>
        <v>69461048</v>
      </c>
      <c r="H137">
        <f t="shared" si="9"/>
        <v>69461048</v>
      </c>
      <c r="I137">
        <f t="shared" si="9"/>
        <v>69461048</v>
      </c>
      <c r="J137">
        <f t="shared" si="9"/>
        <v>69461048</v>
      </c>
      <c r="K137">
        <f t="shared" si="9"/>
        <v>69461048</v>
      </c>
      <c r="L137">
        <f t="shared" si="9"/>
        <v>69461048</v>
      </c>
      <c r="M137">
        <f t="shared" si="9"/>
        <v>69461048</v>
      </c>
    </row>
    <row r="138" spans="2:13" ht="14.75">
      <c r="B138" s="101" t="s">
        <v>303</v>
      </c>
      <c r="C138">
        <f t="shared" ref="C138:M138" si="10">IF(AND($C64 &gt; C$127,$M64 &lt;= C$127),$E64,0)</f>
        <v>0</v>
      </c>
      <c r="D138">
        <f t="shared" si="10"/>
        <v>0</v>
      </c>
      <c r="E138">
        <f t="shared" si="10"/>
        <v>121556833</v>
      </c>
      <c r="F138">
        <f t="shared" si="10"/>
        <v>121556833</v>
      </c>
      <c r="G138">
        <f t="shared" si="10"/>
        <v>121556833</v>
      </c>
      <c r="H138">
        <f t="shared" si="10"/>
        <v>121556833</v>
      </c>
      <c r="I138">
        <f t="shared" si="10"/>
        <v>121556833</v>
      </c>
      <c r="J138">
        <f t="shared" si="10"/>
        <v>121556833</v>
      </c>
      <c r="K138">
        <f t="shared" si="10"/>
        <v>121556833</v>
      </c>
      <c r="L138">
        <f t="shared" si="10"/>
        <v>121556833</v>
      </c>
      <c r="M138">
        <f t="shared" si="10"/>
        <v>121556833</v>
      </c>
    </row>
    <row r="139" spans="2:13" ht="14.75">
      <c r="B139" s="101" t="s">
        <v>304</v>
      </c>
      <c r="C139">
        <f t="shared" ref="C139:M139" si="11">IF(AND($C65 &gt; C$127,$M65 &lt;= C$127),$E65,0)</f>
        <v>0</v>
      </c>
      <c r="D139">
        <f t="shared" si="11"/>
        <v>0</v>
      </c>
      <c r="E139">
        <f t="shared" si="11"/>
        <v>0</v>
      </c>
      <c r="F139">
        <f t="shared" si="11"/>
        <v>0</v>
      </c>
      <c r="G139">
        <f t="shared" si="11"/>
        <v>0</v>
      </c>
      <c r="H139">
        <f t="shared" si="11"/>
        <v>151946042</v>
      </c>
      <c r="I139">
        <f t="shared" si="11"/>
        <v>151946042</v>
      </c>
      <c r="J139">
        <f t="shared" si="11"/>
        <v>151946042</v>
      </c>
      <c r="K139">
        <f t="shared" si="11"/>
        <v>151946042</v>
      </c>
      <c r="L139">
        <f t="shared" si="11"/>
        <v>151946042</v>
      </c>
      <c r="M139">
        <f t="shared" si="11"/>
        <v>151946042</v>
      </c>
    </row>
    <row r="140" spans="2:13" ht="14.75">
      <c r="B140" s="101" t="s">
        <v>305</v>
      </c>
      <c r="C140">
        <f t="shared" ref="C140:M140" si="12">IF(AND($C66 &gt; C$127,$M66 &lt;= C$127),$E66,0)</f>
        <v>0</v>
      </c>
      <c r="D140">
        <f t="shared" si="12"/>
        <v>0</v>
      </c>
      <c r="E140">
        <f t="shared" si="12"/>
        <v>0</v>
      </c>
      <c r="F140">
        <f t="shared" si="12"/>
        <v>0</v>
      </c>
      <c r="G140">
        <f t="shared" si="12"/>
        <v>0</v>
      </c>
      <c r="H140">
        <f t="shared" si="12"/>
        <v>0</v>
      </c>
      <c r="I140">
        <f t="shared" si="12"/>
        <v>0</v>
      </c>
      <c r="J140">
        <f t="shared" si="12"/>
        <v>550000000</v>
      </c>
      <c r="K140">
        <f t="shared" si="12"/>
        <v>550000000</v>
      </c>
      <c r="L140">
        <f t="shared" si="12"/>
        <v>550000000</v>
      </c>
      <c r="M140">
        <f t="shared" si="12"/>
        <v>550000000</v>
      </c>
    </row>
    <row r="141" spans="2:13" ht="14.75">
      <c r="B141" s="101" t="s">
        <v>306</v>
      </c>
      <c r="C141">
        <f t="shared" ref="C141:M141" si="13">IF(AND($C67 &gt; C$127,$M67 &lt;= C$127),$E67,0)</f>
        <v>0</v>
      </c>
      <c r="D141">
        <f t="shared" si="13"/>
        <v>0</v>
      </c>
      <c r="E141">
        <f t="shared" si="13"/>
        <v>0</v>
      </c>
      <c r="F141">
        <f t="shared" si="13"/>
        <v>0</v>
      </c>
      <c r="G141">
        <f t="shared" si="13"/>
        <v>0</v>
      </c>
      <c r="H141">
        <f t="shared" si="13"/>
        <v>0</v>
      </c>
      <c r="I141">
        <f t="shared" si="13"/>
        <v>0</v>
      </c>
      <c r="J141">
        <f t="shared" si="13"/>
        <v>0</v>
      </c>
      <c r="K141">
        <f t="shared" si="13"/>
        <v>151569717</v>
      </c>
      <c r="L141">
        <f t="shared" si="13"/>
        <v>151569717</v>
      </c>
      <c r="M141">
        <f t="shared" si="13"/>
        <v>151569717</v>
      </c>
    </row>
    <row r="142" spans="2:13" ht="14.75">
      <c r="B142" s="101" t="s">
        <v>307</v>
      </c>
      <c r="C142">
        <f t="shared" ref="C142:M142" si="14">IF(AND($C68 &gt; C$127,$M68 &lt;= C$127),$E68,0)</f>
        <v>0</v>
      </c>
      <c r="D142">
        <f t="shared" si="14"/>
        <v>0</v>
      </c>
      <c r="E142">
        <f t="shared" si="14"/>
        <v>0</v>
      </c>
      <c r="F142">
        <f t="shared" si="14"/>
        <v>0</v>
      </c>
      <c r="G142">
        <f t="shared" si="14"/>
        <v>0</v>
      </c>
      <c r="H142">
        <f t="shared" si="14"/>
        <v>0</v>
      </c>
      <c r="I142">
        <f t="shared" si="14"/>
        <v>0</v>
      </c>
      <c r="J142">
        <f t="shared" si="14"/>
        <v>0</v>
      </c>
      <c r="K142">
        <f t="shared" si="14"/>
        <v>75784858</v>
      </c>
      <c r="L142">
        <f t="shared" si="14"/>
        <v>75784858</v>
      </c>
      <c r="M142">
        <f t="shared" si="14"/>
        <v>75784858</v>
      </c>
    </row>
    <row r="143" spans="2:13" ht="14.75">
      <c r="B143" s="101" t="s">
        <v>308</v>
      </c>
      <c r="C143">
        <f t="shared" ref="C143:M143" si="15">IF(AND($C69 &gt; C$127,$M69 &lt;= C$127),$E69,0)</f>
        <v>0</v>
      </c>
      <c r="D143">
        <f t="shared" si="15"/>
        <v>0</v>
      </c>
      <c r="E143">
        <f t="shared" si="15"/>
        <v>0</v>
      </c>
      <c r="F143">
        <f t="shared" si="15"/>
        <v>0</v>
      </c>
      <c r="G143">
        <f t="shared" si="15"/>
        <v>136412745</v>
      </c>
      <c r="H143">
        <f t="shared" si="15"/>
        <v>136412745</v>
      </c>
      <c r="I143">
        <f t="shared" si="15"/>
        <v>136412745</v>
      </c>
      <c r="J143">
        <f t="shared" si="15"/>
        <v>136412745</v>
      </c>
      <c r="K143">
        <f t="shared" si="15"/>
        <v>136412745</v>
      </c>
      <c r="L143">
        <f t="shared" si="15"/>
        <v>136412745</v>
      </c>
      <c r="M143">
        <f t="shared" si="15"/>
        <v>136412745</v>
      </c>
    </row>
    <row r="144" spans="2:13" ht="14.75">
      <c r="B144" s="101" t="s">
        <v>309</v>
      </c>
      <c r="C144">
        <f t="shared" ref="C144:M144" si="16">IF(AND($C70 &gt; C$127,$M70 &lt;= C$127),$E70,0)</f>
        <v>0</v>
      </c>
      <c r="D144">
        <f t="shared" si="16"/>
        <v>0</v>
      </c>
      <c r="E144">
        <f t="shared" si="16"/>
        <v>0</v>
      </c>
      <c r="F144">
        <f t="shared" si="16"/>
        <v>0</v>
      </c>
      <c r="G144">
        <f t="shared" si="16"/>
        <v>0</v>
      </c>
      <c r="H144">
        <f t="shared" si="16"/>
        <v>0</v>
      </c>
      <c r="I144">
        <f t="shared" si="16"/>
        <v>0</v>
      </c>
      <c r="J144">
        <f t="shared" si="16"/>
        <v>0</v>
      </c>
      <c r="K144">
        <f t="shared" si="16"/>
        <v>0</v>
      </c>
      <c r="L144">
        <f t="shared" si="16"/>
        <v>350000000</v>
      </c>
      <c r="M144">
        <f t="shared" si="16"/>
        <v>350000000</v>
      </c>
    </row>
    <row r="145" spans="2:13" ht="14.75">
      <c r="B145" s="101" t="s">
        <v>310</v>
      </c>
      <c r="C145">
        <f t="shared" ref="C145:M145" si="17">IF(AND($C71 &gt; C$127,$M71 &lt;= C$127),$E71,0)</f>
        <v>0</v>
      </c>
      <c r="D145">
        <f t="shared" si="17"/>
        <v>0</v>
      </c>
      <c r="E145">
        <f t="shared" si="17"/>
        <v>0</v>
      </c>
      <c r="F145">
        <f t="shared" si="17"/>
        <v>0</v>
      </c>
      <c r="G145">
        <f t="shared" si="17"/>
        <v>0</v>
      </c>
      <c r="H145">
        <f t="shared" si="17"/>
        <v>0</v>
      </c>
      <c r="I145">
        <f t="shared" si="17"/>
        <v>0</v>
      </c>
      <c r="J145">
        <f t="shared" si="17"/>
        <v>222374491</v>
      </c>
      <c r="K145">
        <f t="shared" si="17"/>
        <v>222374491</v>
      </c>
      <c r="L145">
        <f t="shared" si="17"/>
        <v>222374491</v>
      </c>
      <c r="M145">
        <f t="shared" si="17"/>
        <v>222374491</v>
      </c>
    </row>
    <row r="146" spans="2:13" ht="14.75">
      <c r="B146" s="101" t="s">
        <v>311</v>
      </c>
      <c r="C146">
        <f t="shared" ref="C146:M146" si="18">IF(AND($C72 &gt; C$127,$M72 &lt;= C$127),$E72,0)</f>
        <v>0</v>
      </c>
      <c r="D146">
        <f t="shared" si="18"/>
        <v>0</v>
      </c>
      <c r="E146">
        <f t="shared" si="18"/>
        <v>0</v>
      </c>
      <c r="F146">
        <f t="shared" si="18"/>
        <v>0</v>
      </c>
      <c r="G146">
        <f t="shared" si="18"/>
        <v>0</v>
      </c>
      <c r="H146">
        <f t="shared" si="18"/>
        <v>0</v>
      </c>
      <c r="I146">
        <f t="shared" si="18"/>
        <v>0</v>
      </c>
      <c r="J146">
        <f t="shared" si="18"/>
        <v>16307463</v>
      </c>
      <c r="K146">
        <f t="shared" si="18"/>
        <v>16307463</v>
      </c>
      <c r="L146">
        <f t="shared" si="18"/>
        <v>16307463</v>
      </c>
      <c r="M146">
        <f t="shared" si="18"/>
        <v>16307463</v>
      </c>
    </row>
    <row r="147" spans="2:13" ht="14.75">
      <c r="B147" s="101" t="s">
        <v>312</v>
      </c>
      <c r="C147">
        <f t="shared" ref="C147:M147" si="19">IF(AND($C73 &gt; C$127,$M73 &lt;= C$127),$E73,0)</f>
        <v>0</v>
      </c>
      <c r="D147">
        <f t="shared" si="19"/>
        <v>0</v>
      </c>
      <c r="E147">
        <f t="shared" si="19"/>
        <v>0</v>
      </c>
      <c r="F147">
        <f t="shared" si="19"/>
        <v>0</v>
      </c>
      <c r="G147">
        <f t="shared" si="19"/>
        <v>0</v>
      </c>
      <c r="H147">
        <f t="shared" si="19"/>
        <v>0</v>
      </c>
      <c r="I147">
        <f t="shared" si="19"/>
        <v>0</v>
      </c>
      <c r="J147">
        <f t="shared" si="19"/>
        <v>0</v>
      </c>
      <c r="K147">
        <f t="shared" si="19"/>
        <v>0</v>
      </c>
      <c r="L147">
        <f t="shared" si="19"/>
        <v>0</v>
      </c>
      <c r="M147">
        <f t="shared" si="19"/>
        <v>100000000</v>
      </c>
    </row>
    <row r="148" spans="2:13" ht="14.75">
      <c r="B148" s="101" t="s">
        <v>313</v>
      </c>
      <c r="C148">
        <f t="shared" ref="C148:M148" si="20">IF(AND($C74 &gt; C$127,$M74 &lt;= C$127),$E74,0)</f>
        <v>0</v>
      </c>
      <c r="D148">
        <f t="shared" si="20"/>
        <v>0</v>
      </c>
      <c r="E148">
        <f t="shared" si="20"/>
        <v>0</v>
      </c>
      <c r="F148">
        <f t="shared" si="20"/>
        <v>0</v>
      </c>
      <c r="G148">
        <f t="shared" si="20"/>
        <v>0</v>
      </c>
      <c r="H148">
        <f t="shared" si="20"/>
        <v>0</v>
      </c>
      <c r="I148">
        <f t="shared" si="20"/>
        <v>0</v>
      </c>
      <c r="J148">
        <f t="shared" si="20"/>
        <v>0</v>
      </c>
      <c r="K148">
        <f t="shared" si="20"/>
        <v>0</v>
      </c>
      <c r="L148">
        <f t="shared" si="20"/>
        <v>741248304</v>
      </c>
      <c r="M148">
        <f t="shared" si="20"/>
        <v>741248304</v>
      </c>
    </row>
    <row r="149" spans="2:13" ht="14.75">
      <c r="B149" s="101" t="s">
        <v>314</v>
      </c>
      <c r="C149">
        <f t="shared" ref="C149:M149" si="21">IF(AND($C75 &gt; C$127,$M75 &lt;= C$127),$E75,0)</f>
        <v>0</v>
      </c>
      <c r="D149">
        <f t="shared" si="21"/>
        <v>0</v>
      </c>
      <c r="E149">
        <f t="shared" si="21"/>
        <v>0</v>
      </c>
      <c r="F149">
        <f t="shared" si="21"/>
        <v>0</v>
      </c>
      <c r="G149">
        <f t="shared" si="21"/>
        <v>0</v>
      </c>
      <c r="H149">
        <f t="shared" si="21"/>
        <v>0</v>
      </c>
      <c r="I149">
        <f t="shared" si="21"/>
        <v>0</v>
      </c>
      <c r="J149">
        <f t="shared" si="21"/>
        <v>105928098</v>
      </c>
      <c r="K149">
        <f t="shared" si="21"/>
        <v>105928098</v>
      </c>
      <c r="L149">
        <f t="shared" si="21"/>
        <v>105928098</v>
      </c>
      <c r="M149">
        <f t="shared" si="21"/>
        <v>105928098</v>
      </c>
    </row>
    <row r="150" spans="2:13" ht="14.75">
      <c r="B150" s="101" t="s">
        <v>315</v>
      </c>
      <c r="C150">
        <f t="shared" ref="C150:M150" si="22">IF(AND($C76 &gt; C$127,$M76 &lt;= C$127),$E76,0)</f>
        <v>0</v>
      </c>
      <c r="D150">
        <f t="shared" si="22"/>
        <v>0</v>
      </c>
      <c r="E150">
        <f t="shared" si="22"/>
        <v>0</v>
      </c>
      <c r="F150">
        <f t="shared" si="22"/>
        <v>0</v>
      </c>
      <c r="G150">
        <f t="shared" si="22"/>
        <v>0</v>
      </c>
      <c r="H150">
        <f t="shared" si="22"/>
        <v>0</v>
      </c>
      <c r="I150">
        <f t="shared" si="22"/>
        <v>0</v>
      </c>
      <c r="J150">
        <f t="shared" si="22"/>
        <v>0</v>
      </c>
      <c r="K150">
        <f t="shared" si="22"/>
        <v>105928098</v>
      </c>
      <c r="L150">
        <f t="shared" si="22"/>
        <v>105928098</v>
      </c>
      <c r="M150">
        <f t="shared" si="22"/>
        <v>105928098</v>
      </c>
    </row>
    <row r="151" spans="2:13" ht="14.75">
      <c r="B151" s="101" t="s">
        <v>316</v>
      </c>
      <c r="C151">
        <f t="shared" ref="C151:M151" si="23">IF(AND($C77 &gt; C$127,$M77 &lt;= C$127),$E77,0)</f>
        <v>0</v>
      </c>
      <c r="D151">
        <f t="shared" si="23"/>
        <v>0</v>
      </c>
      <c r="E151">
        <f t="shared" si="23"/>
        <v>0</v>
      </c>
      <c r="F151">
        <f t="shared" si="23"/>
        <v>0</v>
      </c>
      <c r="G151">
        <f t="shared" si="23"/>
        <v>0</v>
      </c>
      <c r="H151">
        <f t="shared" si="23"/>
        <v>0</v>
      </c>
      <c r="I151">
        <f t="shared" si="23"/>
        <v>0</v>
      </c>
      <c r="J151">
        <f t="shared" si="23"/>
        <v>0</v>
      </c>
      <c r="K151">
        <f t="shared" si="23"/>
        <v>0</v>
      </c>
      <c r="L151">
        <f t="shared" si="23"/>
        <v>0</v>
      </c>
      <c r="M151">
        <f t="shared" si="23"/>
        <v>50000000</v>
      </c>
    </row>
    <row r="152" spans="2:13" ht="14.75">
      <c r="B152" s="101" t="s">
        <v>317</v>
      </c>
      <c r="C152">
        <f t="shared" ref="C152:M152" si="24">IF(AND($C78 &gt; C$127,$M78 &lt;= C$127),$E78,0)</f>
        <v>0</v>
      </c>
      <c r="D152">
        <f t="shared" si="24"/>
        <v>0</v>
      </c>
      <c r="E152">
        <f t="shared" si="24"/>
        <v>0</v>
      </c>
      <c r="F152">
        <f t="shared" si="24"/>
        <v>0</v>
      </c>
      <c r="G152">
        <f t="shared" si="24"/>
        <v>0</v>
      </c>
      <c r="H152">
        <f t="shared" si="24"/>
        <v>0</v>
      </c>
      <c r="I152">
        <f t="shared" si="24"/>
        <v>0</v>
      </c>
      <c r="J152">
        <f t="shared" si="24"/>
        <v>0</v>
      </c>
      <c r="K152">
        <f t="shared" si="24"/>
        <v>0</v>
      </c>
      <c r="L152">
        <f t="shared" si="24"/>
        <v>0</v>
      </c>
      <c r="M152">
        <f t="shared" si="24"/>
        <v>20000000</v>
      </c>
    </row>
    <row r="153" spans="2:13" ht="14.75">
      <c r="B153" s="101" t="s">
        <v>318</v>
      </c>
      <c r="C153">
        <f t="shared" ref="C153:M153" si="25">IF(AND($C79 &gt; C$127,$M79 &lt;= C$127),$E79,0)</f>
        <v>0</v>
      </c>
      <c r="D153">
        <f t="shared" si="25"/>
        <v>0</v>
      </c>
      <c r="E153">
        <f t="shared" si="25"/>
        <v>0</v>
      </c>
      <c r="F153">
        <f t="shared" si="25"/>
        <v>0</v>
      </c>
      <c r="G153">
        <f t="shared" si="25"/>
        <v>0</v>
      </c>
      <c r="H153">
        <f t="shared" si="25"/>
        <v>0</v>
      </c>
      <c r="I153">
        <f t="shared" si="25"/>
        <v>0</v>
      </c>
      <c r="J153">
        <f t="shared" si="25"/>
        <v>0</v>
      </c>
      <c r="K153">
        <f t="shared" si="25"/>
        <v>0</v>
      </c>
      <c r="L153">
        <f t="shared" si="25"/>
        <v>0</v>
      </c>
      <c r="M153">
        <f t="shared" si="25"/>
        <v>180000000</v>
      </c>
    </row>
    <row r="154" spans="2:13" ht="14.75">
      <c r="B154" s="101" t="s">
        <v>319</v>
      </c>
      <c r="C154">
        <f t="shared" ref="C154:M154" si="26">IF(AND($C80 &gt; C$127,$M80 &lt;= C$127),$E80,0)</f>
        <v>0</v>
      </c>
      <c r="D154">
        <f t="shared" si="26"/>
        <v>0</v>
      </c>
      <c r="E154">
        <f t="shared" si="26"/>
        <v>0</v>
      </c>
      <c r="F154">
        <f t="shared" si="26"/>
        <v>0</v>
      </c>
      <c r="G154">
        <f t="shared" si="26"/>
        <v>0</v>
      </c>
      <c r="H154">
        <f t="shared" si="26"/>
        <v>0</v>
      </c>
      <c r="I154">
        <f t="shared" si="26"/>
        <v>0</v>
      </c>
      <c r="J154">
        <f t="shared" si="26"/>
        <v>0</v>
      </c>
      <c r="K154">
        <f t="shared" si="26"/>
        <v>150000000</v>
      </c>
      <c r="L154">
        <f t="shared" si="26"/>
        <v>150000000</v>
      </c>
      <c r="M154">
        <f t="shared" si="26"/>
        <v>150000000</v>
      </c>
    </row>
    <row r="155" spans="2:13" ht="14.75">
      <c r="B155" s="101" t="s">
        <v>320</v>
      </c>
      <c r="C155">
        <f t="shared" ref="C155:M155" si="27">IF(AND($C81 &gt; C$127,$M81 &lt;= C$127),$E81,0)</f>
        <v>0</v>
      </c>
      <c r="D155">
        <f t="shared" si="27"/>
        <v>0</v>
      </c>
      <c r="E155">
        <f t="shared" si="27"/>
        <v>0</v>
      </c>
      <c r="F155">
        <f t="shared" si="27"/>
        <v>0</v>
      </c>
      <c r="G155">
        <f t="shared" si="27"/>
        <v>0</v>
      </c>
      <c r="H155">
        <f t="shared" si="27"/>
        <v>0</v>
      </c>
      <c r="I155">
        <f t="shared" si="27"/>
        <v>0</v>
      </c>
      <c r="J155">
        <f t="shared" si="27"/>
        <v>0</v>
      </c>
      <c r="K155">
        <f t="shared" si="27"/>
        <v>50000000</v>
      </c>
      <c r="L155">
        <f t="shared" si="27"/>
        <v>50000000</v>
      </c>
      <c r="M155">
        <f t="shared" si="27"/>
        <v>50000000</v>
      </c>
    </row>
    <row r="156" spans="2:13" ht="14.75">
      <c r="B156" s="101" t="s">
        <v>321</v>
      </c>
      <c r="C156">
        <f t="shared" ref="C156:M156" si="28">IF(AND($C82 &gt; C$127,$M82 &lt;= C$127),$E82,0)</f>
        <v>0</v>
      </c>
      <c r="D156">
        <f t="shared" si="28"/>
        <v>0</v>
      </c>
      <c r="E156">
        <f t="shared" si="28"/>
        <v>0</v>
      </c>
      <c r="F156">
        <f t="shared" si="28"/>
        <v>0</v>
      </c>
      <c r="G156">
        <f t="shared" si="28"/>
        <v>0</v>
      </c>
      <c r="H156">
        <f t="shared" si="28"/>
        <v>0</v>
      </c>
      <c r="I156">
        <f t="shared" si="28"/>
        <v>0</v>
      </c>
      <c r="J156">
        <f t="shared" si="28"/>
        <v>0</v>
      </c>
      <c r="K156">
        <f t="shared" si="28"/>
        <v>0</v>
      </c>
      <c r="L156">
        <f t="shared" si="28"/>
        <v>0</v>
      </c>
      <c r="M156">
        <f t="shared" si="28"/>
        <v>650000000</v>
      </c>
    </row>
    <row r="157" spans="2:13" ht="14.75">
      <c r="B157" s="101" t="s">
        <v>322</v>
      </c>
      <c r="C157">
        <f t="shared" ref="C157:M157" si="29">IF(AND($C83 &gt; C$127,$M83 &lt;= C$127),$E83,0)</f>
        <v>0</v>
      </c>
      <c r="D157">
        <f t="shared" si="29"/>
        <v>0</v>
      </c>
      <c r="E157">
        <f t="shared" si="29"/>
        <v>0</v>
      </c>
      <c r="F157">
        <f t="shared" si="29"/>
        <v>0</v>
      </c>
      <c r="G157">
        <f t="shared" si="29"/>
        <v>0</v>
      </c>
      <c r="H157">
        <f t="shared" si="29"/>
        <v>0</v>
      </c>
      <c r="I157">
        <f t="shared" si="29"/>
        <v>0</v>
      </c>
      <c r="J157">
        <f t="shared" si="29"/>
        <v>0</v>
      </c>
      <c r="K157">
        <f t="shared" si="29"/>
        <v>0</v>
      </c>
      <c r="L157">
        <f t="shared" si="29"/>
        <v>0</v>
      </c>
      <c r="M157">
        <f t="shared" si="29"/>
        <v>1037747626</v>
      </c>
    </row>
    <row r="159" spans="2:13" ht="14.75">
      <c r="B159" s="101" t="s">
        <v>323</v>
      </c>
      <c r="C159">
        <f>IF(AND($C87&gt;C$127,$K87&lt;=C$127),$D87,0)</f>
        <v>0</v>
      </c>
      <c r="D159">
        <f t="shared" ref="D159:M159" si="30">IF(AND($C87&gt;D$127,$K87&lt;=D$127),$D87,0)</f>
        <v>0</v>
      </c>
      <c r="E159">
        <f t="shared" si="30"/>
        <v>0</v>
      </c>
      <c r="F159">
        <f t="shared" si="30"/>
        <v>0</v>
      </c>
      <c r="G159">
        <f t="shared" si="30"/>
        <v>0</v>
      </c>
      <c r="H159">
        <f t="shared" si="30"/>
        <v>0</v>
      </c>
      <c r="I159">
        <f t="shared" si="30"/>
        <v>0</v>
      </c>
      <c r="J159">
        <f t="shared" si="30"/>
        <v>0</v>
      </c>
      <c r="K159">
        <f t="shared" si="30"/>
        <v>0</v>
      </c>
      <c r="L159">
        <f t="shared" si="30"/>
        <v>0</v>
      </c>
      <c r="M159">
        <f t="shared" si="30"/>
        <v>0</v>
      </c>
    </row>
    <row r="160" spans="2:13" ht="14.75">
      <c r="B160" s="101" t="s">
        <v>324</v>
      </c>
      <c r="C160">
        <f t="shared" ref="C160:M160" si="31">IF(AND($C88&gt;C$127,$K88&lt;=C$127),$D88,0)</f>
        <v>0</v>
      </c>
      <c r="D160">
        <f t="shared" si="31"/>
        <v>0</v>
      </c>
      <c r="E160">
        <f t="shared" si="31"/>
        <v>0</v>
      </c>
      <c r="F160">
        <f t="shared" si="31"/>
        <v>0</v>
      </c>
      <c r="G160">
        <f t="shared" si="31"/>
        <v>0</v>
      </c>
      <c r="H160">
        <f t="shared" si="31"/>
        <v>0</v>
      </c>
      <c r="I160">
        <f t="shared" si="31"/>
        <v>0</v>
      </c>
      <c r="J160">
        <f t="shared" si="31"/>
        <v>0</v>
      </c>
      <c r="K160">
        <f t="shared" si="31"/>
        <v>0</v>
      </c>
      <c r="L160">
        <f t="shared" si="31"/>
        <v>0</v>
      </c>
      <c r="M160">
        <f t="shared" si="31"/>
        <v>0</v>
      </c>
    </row>
    <row r="161" spans="2:13" ht="14.75">
      <c r="B161" s="101" t="s">
        <v>325</v>
      </c>
      <c r="C161">
        <f t="shared" ref="C161:M161" si="32">IF(AND($C89&gt;C$127,$K89&lt;=C$127),$D89,0)</f>
        <v>0</v>
      </c>
      <c r="D161">
        <f t="shared" si="32"/>
        <v>0</v>
      </c>
      <c r="E161">
        <f t="shared" si="32"/>
        <v>0</v>
      </c>
      <c r="F161">
        <f t="shared" si="32"/>
        <v>0</v>
      </c>
      <c r="G161">
        <f t="shared" si="32"/>
        <v>0</v>
      </c>
      <c r="H161">
        <f t="shared" si="32"/>
        <v>0</v>
      </c>
      <c r="I161">
        <f t="shared" si="32"/>
        <v>0</v>
      </c>
      <c r="J161">
        <f t="shared" si="32"/>
        <v>0</v>
      </c>
      <c r="K161">
        <f t="shared" si="32"/>
        <v>0</v>
      </c>
      <c r="L161">
        <f t="shared" si="32"/>
        <v>0</v>
      </c>
      <c r="M161">
        <f t="shared" si="32"/>
        <v>0</v>
      </c>
    </row>
    <row r="162" spans="2:13" ht="14.75">
      <c r="B162" s="101" t="s">
        <v>326</v>
      </c>
      <c r="C162">
        <f t="shared" ref="C162:M162" si="33">IF(AND($C90&gt;C$127,$K90&lt;=C$127),$D90,0)</f>
        <v>0</v>
      </c>
      <c r="D162">
        <f t="shared" si="33"/>
        <v>0</v>
      </c>
      <c r="E162">
        <f t="shared" si="33"/>
        <v>0</v>
      </c>
      <c r="F162">
        <f t="shared" si="33"/>
        <v>0</v>
      </c>
      <c r="G162">
        <f t="shared" si="33"/>
        <v>0</v>
      </c>
      <c r="H162">
        <f t="shared" si="33"/>
        <v>0</v>
      </c>
      <c r="I162">
        <f t="shared" si="33"/>
        <v>0</v>
      </c>
      <c r="J162">
        <f t="shared" si="33"/>
        <v>0</v>
      </c>
      <c r="K162">
        <f t="shared" si="33"/>
        <v>0</v>
      </c>
      <c r="L162">
        <f t="shared" si="33"/>
        <v>0</v>
      </c>
      <c r="M162">
        <f t="shared" si="33"/>
        <v>0</v>
      </c>
    </row>
    <row r="163" spans="2:13" ht="14.75">
      <c r="B163" s="101" t="s">
        <v>327</v>
      </c>
      <c r="C163">
        <f t="shared" ref="C163:M163" si="34">IF(AND($C91&gt;C$127,$K91&lt;=C$127),$D91,0)</f>
        <v>0</v>
      </c>
      <c r="D163">
        <f t="shared" si="34"/>
        <v>0</v>
      </c>
      <c r="E163">
        <f t="shared" si="34"/>
        <v>0</v>
      </c>
      <c r="F163">
        <f t="shared" si="34"/>
        <v>0</v>
      </c>
      <c r="G163">
        <f t="shared" si="34"/>
        <v>0</v>
      </c>
      <c r="H163">
        <f t="shared" si="34"/>
        <v>0</v>
      </c>
      <c r="I163">
        <f t="shared" si="34"/>
        <v>0</v>
      </c>
      <c r="J163">
        <f t="shared" si="34"/>
        <v>0</v>
      </c>
      <c r="K163">
        <f t="shared" si="34"/>
        <v>0</v>
      </c>
      <c r="L163">
        <f t="shared" si="34"/>
        <v>0</v>
      </c>
      <c r="M163">
        <f t="shared" si="34"/>
        <v>0</v>
      </c>
    </row>
    <row r="164" spans="2:13" ht="14.75">
      <c r="B164" s="101" t="s">
        <v>328</v>
      </c>
      <c r="C164">
        <f t="shared" ref="C164:M164" si="35">IF(AND($C92&gt;C$127,$K92&lt;=C$127),$D92,0)</f>
        <v>0</v>
      </c>
      <c r="D164">
        <f t="shared" si="35"/>
        <v>0</v>
      </c>
      <c r="E164">
        <f t="shared" si="35"/>
        <v>0</v>
      </c>
      <c r="F164">
        <f t="shared" si="35"/>
        <v>0</v>
      </c>
      <c r="G164">
        <f t="shared" si="35"/>
        <v>0</v>
      </c>
      <c r="H164">
        <f t="shared" si="35"/>
        <v>0</v>
      </c>
      <c r="I164">
        <f t="shared" si="35"/>
        <v>0</v>
      </c>
      <c r="J164">
        <f t="shared" si="35"/>
        <v>0</v>
      </c>
      <c r="K164">
        <f t="shared" si="35"/>
        <v>0</v>
      </c>
      <c r="L164">
        <f t="shared" si="35"/>
        <v>0</v>
      </c>
      <c r="M164">
        <f t="shared" si="35"/>
        <v>0</v>
      </c>
    </row>
    <row r="165" spans="2:13" ht="14.75">
      <c r="B165" s="101" t="s">
        <v>329</v>
      </c>
      <c r="C165">
        <f t="shared" ref="C165:M165" si="36">IF(AND($C93&gt;C$127,$K93&lt;=C$127),$D93,0)</f>
        <v>200000000</v>
      </c>
      <c r="D165">
        <f t="shared" si="36"/>
        <v>0</v>
      </c>
      <c r="E165">
        <f t="shared" si="36"/>
        <v>0</v>
      </c>
      <c r="F165">
        <f t="shared" si="36"/>
        <v>0</v>
      </c>
      <c r="G165">
        <f t="shared" si="36"/>
        <v>0</v>
      </c>
      <c r="H165">
        <f t="shared" si="36"/>
        <v>0</v>
      </c>
      <c r="I165">
        <f t="shared" si="36"/>
        <v>0</v>
      </c>
      <c r="J165">
        <f t="shared" si="36"/>
        <v>0</v>
      </c>
      <c r="K165">
        <f t="shared" si="36"/>
        <v>0</v>
      </c>
      <c r="L165">
        <f t="shared" si="36"/>
        <v>0</v>
      </c>
      <c r="M165">
        <f t="shared" si="36"/>
        <v>0</v>
      </c>
    </row>
    <row r="166" spans="2:13" ht="14.75">
      <c r="B166" s="101" t="s">
        <v>330</v>
      </c>
      <c r="C166">
        <f t="shared" ref="C166:M166" si="37">IF(AND($C94&gt;C$127,$K94&lt;=C$127),$D94,0)</f>
        <v>407055631</v>
      </c>
      <c r="D166">
        <f t="shared" si="37"/>
        <v>407055631</v>
      </c>
      <c r="E166">
        <f t="shared" si="37"/>
        <v>407055631</v>
      </c>
      <c r="F166">
        <f t="shared" si="37"/>
        <v>407055631</v>
      </c>
      <c r="G166">
        <f t="shared" si="37"/>
        <v>0</v>
      </c>
      <c r="H166">
        <f t="shared" si="37"/>
        <v>0</v>
      </c>
      <c r="I166">
        <f t="shared" si="37"/>
        <v>0</v>
      </c>
      <c r="J166">
        <f t="shared" si="37"/>
        <v>0</v>
      </c>
      <c r="K166">
        <f t="shared" si="37"/>
        <v>0</v>
      </c>
      <c r="L166">
        <f t="shared" si="37"/>
        <v>0</v>
      </c>
      <c r="M166">
        <f t="shared" si="37"/>
        <v>0</v>
      </c>
    </row>
    <row r="167" spans="2:13" ht="14.75">
      <c r="B167" s="101" t="s">
        <v>331</v>
      </c>
      <c r="C167">
        <f t="shared" ref="C167:M167" si="38">IF(AND($C95&gt;C$127,$K95&lt;=C$127),$D95,0)</f>
        <v>703223949</v>
      </c>
      <c r="D167">
        <f t="shared" si="38"/>
        <v>703223949</v>
      </c>
      <c r="E167">
        <f t="shared" si="38"/>
        <v>703223949</v>
      </c>
      <c r="F167">
        <f t="shared" si="38"/>
        <v>703223949</v>
      </c>
      <c r="G167">
        <f t="shared" si="38"/>
        <v>703223949</v>
      </c>
      <c r="H167">
        <f t="shared" si="38"/>
        <v>0</v>
      </c>
      <c r="I167">
        <f t="shared" si="38"/>
        <v>0</v>
      </c>
      <c r="J167">
        <f t="shared" si="38"/>
        <v>0</v>
      </c>
      <c r="K167">
        <f t="shared" si="38"/>
        <v>0</v>
      </c>
      <c r="L167">
        <f t="shared" si="38"/>
        <v>0</v>
      </c>
      <c r="M167">
        <f t="shared" si="38"/>
        <v>0</v>
      </c>
    </row>
    <row r="168" spans="2:13" ht="14.75">
      <c r="B168" s="101" t="s">
        <v>332</v>
      </c>
      <c r="C168">
        <f t="shared" ref="C168:M168" si="39">IF(AND($C96&gt;C$127,$K96&lt;=C$127),$D96,0)</f>
        <v>373134328</v>
      </c>
      <c r="D168">
        <f t="shared" si="39"/>
        <v>373134328</v>
      </c>
      <c r="E168">
        <f t="shared" si="39"/>
        <v>373134328</v>
      </c>
      <c r="F168">
        <f t="shared" si="39"/>
        <v>373134328</v>
      </c>
      <c r="G168">
        <f t="shared" si="39"/>
        <v>373134328</v>
      </c>
      <c r="H168">
        <f t="shared" si="39"/>
        <v>373134328</v>
      </c>
      <c r="I168">
        <f t="shared" si="39"/>
        <v>0</v>
      </c>
      <c r="J168">
        <f t="shared" si="39"/>
        <v>0</v>
      </c>
      <c r="K168">
        <f t="shared" si="39"/>
        <v>0</v>
      </c>
      <c r="L168">
        <f t="shared" si="39"/>
        <v>0</v>
      </c>
      <c r="M168">
        <f t="shared" si="39"/>
        <v>0</v>
      </c>
    </row>
    <row r="169" spans="2:13" ht="14.75">
      <c r="B169" s="101" t="s">
        <v>333</v>
      </c>
      <c r="C169">
        <f t="shared" ref="C169:M169" si="40">IF(AND($C97&gt;C$127,$K97&lt;=C$127),$D97,0)</f>
        <v>135685210</v>
      </c>
      <c r="D169">
        <f t="shared" si="40"/>
        <v>135685210</v>
      </c>
      <c r="E169">
        <f t="shared" si="40"/>
        <v>135685210</v>
      </c>
      <c r="F169">
        <f t="shared" si="40"/>
        <v>135685210</v>
      </c>
      <c r="G169">
        <f t="shared" si="40"/>
        <v>135685210</v>
      </c>
      <c r="H169">
        <f t="shared" si="40"/>
        <v>135685210</v>
      </c>
      <c r="I169">
        <f t="shared" si="40"/>
        <v>0</v>
      </c>
      <c r="J169">
        <f t="shared" si="40"/>
        <v>0</v>
      </c>
      <c r="K169">
        <f t="shared" si="40"/>
        <v>0</v>
      </c>
      <c r="L169">
        <f t="shared" si="40"/>
        <v>0</v>
      </c>
      <c r="M169">
        <f t="shared" si="40"/>
        <v>0</v>
      </c>
    </row>
    <row r="170" spans="2:13" ht="14.75">
      <c r="B170" s="101" t="s">
        <v>231</v>
      </c>
      <c r="C170">
        <f t="shared" ref="C170:M170" si="41">IF(AND($C98&gt;C$127,$K98&lt;=C$127),$D98,0)</f>
        <v>54274084</v>
      </c>
      <c r="D170">
        <f t="shared" si="41"/>
        <v>54274084</v>
      </c>
      <c r="E170">
        <f t="shared" si="41"/>
        <v>54274084</v>
      </c>
      <c r="F170">
        <f t="shared" si="41"/>
        <v>54274084</v>
      </c>
      <c r="G170">
        <f t="shared" si="41"/>
        <v>54274084</v>
      </c>
      <c r="H170">
        <f t="shared" si="41"/>
        <v>54274084</v>
      </c>
      <c r="I170">
        <f t="shared" si="41"/>
        <v>0</v>
      </c>
      <c r="J170">
        <f t="shared" si="41"/>
        <v>0</v>
      </c>
      <c r="K170">
        <f t="shared" si="41"/>
        <v>0</v>
      </c>
      <c r="L170">
        <f t="shared" si="41"/>
        <v>0</v>
      </c>
      <c r="M170">
        <f t="shared" si="41"/>
        <v>0</v>
      </c>
    </row>
    <row r="171" spans="2:13" ht="14.75">
      <c r="B171" s="101" t="s">
        <v>334</v>
      </c>
      <c r="C171">
        <f t="shared" ref="C171:M171" si="42">IF(AND($C99&gt;C$127,$K99&lt;=C$127),$D99,0)</f>
        <v>135685210</v>
      </c>
      <c r="D171">
        <f t="shared" si="42"/>
        <v>135685210</v>
      </c>
      <c r="E171">
        <f t="shared" si="42"/>
        <v>135685210</v>
      </c>
      <c r="F171">
        <f t="shared" si="42"/>
        <v>135685210</v>
      </c>
      <c r="G171">
        <f t="shared" si="42"/>
        <v>135685210</v>
      </c>
      <c r="H171">
        <f t="shared" si="42"/>
        <v>135685210</v>
      </c>
      <c r="I171">
        <f t="shared" si="42"/>
        <v>0</v>
      </c>
      <c r="J171">
        <f t="shared" si="42"/>
        <v>0</v>
      </c>
      <c r="K171">
        <f t="shared" si="42"/>
        <v>0</v>
      </c>
      <c r="L171">
        <f t="shared" si="42"/>
        <v>0</v>
      </c>
      <c r="M171">
        <f t="shared" si="42"/>
        <v>0</v>
      </c>
    </row>
    <row r="172" spans="2:13" ht="14.75">
      <c r="B172" s="101" t="s">
        <v>335</v>
      </c>
      <c r="C172">
        <f t="shared" ref="C172:M172" si="43">IF(AND($C100&gt;C$127,$K100&lt;=C$127),$D100,0)</f>
        <v>0</v>
      </c>
      <c r="D172">
        <f t="shared" si="43"/>
        <v>370117868</v>
      </c>
      <c r="E172">
        <f t="shared" si="43"/>
        <v>370117868</v>
      </c>
      <c r="F172">
        <f t="shared" si="43"/>
        <v>370117868</v>
      </c>
      <c r="G172">
        <f t="shared" si="43"/>
        <v>370117868</v>
      </c>
      <c r="H172">
        <f t="shared" si="43"/>
        <v>370117868</v>
      </c>
      <c r="I172">
        <f t="shared" si="43"/>
        <v>0</v>
      </c>
      <c r="J172">
        <f t="shared" si="43"/>
        <v>0</v>
      </c>
      <c r="K172">
        <f t="shared" si="43"/>
        <v>0</v>
      </c>
      <c r="L172">
        <f t="shared" si="43"/>
        <v>0</v>
      </c>
      <c r="M172">
        <f t="shared" si="43"/>
        <v>0</v>
      </c>
    </row>
    <row r="173" spans="2:13" ht="14.75">
      <c r="B173" s="101" t="s">
        <v>232</v>
      </c>
      <c r="C173">
        <f t="shared" ref="C173:M173" si="44">IF(AND($C101&gt;C$127,$K101&lt;=C$127),$D101,0)</f>
        <v>300000000</v>
      </c>
      <c r="D173">
        <f t="shared" si="44"/>
        <v>300000000</v>
      </c>
      <c r="E173">
        <f t="shared" si="44"/>
        <v>300000000</v>
      </c>
      <c r="F173">
        <f t="shared" si="44"/>
        <v>300000000</v>
      </c>
      <c r="G173">
        <f t="shared" si="44"/>
        <v>300000000</v>
      </c>
      <c r="H173">
        <f t="shared" si="44"/>
        <v>300000000</v>
      </c>
      <c r="I173">
        <f t="shared" si="44"/>
        <v>300000000</v>
      </c>
      <c r="J173">
        <f t="shared" si="44"/>
        <v>0</v>
      </c>
      <c r="K173">
        <f t="shared" si="44"/>
        <v>0</v>
      </c>
      <c r="L173">
        <f t="shared" si="44"/>
        <v>0</v>
      </c>
      <c r="M173">
        <f t="shared" si="44"/>
        <v>0</v>
      </c>
    </row>
    <row r="174" spans="2:13" ht="14.75">
      <c r="B174" s="101" t="s">
        <v>336</v>
      </c>
      <c r="C174">
        <f t="shared" ref="C174:M174" si="45">IF(AND($C102&gt;C$127,$K102&lt;=C$127),$D102,0)</f>
        <v>448609227</v>
      </c>
      <c r="D174">
        <f t="shared" si="45"/>
        <v>448609227</v>
      </c>
      <c r="E174">
        <f t="shared" si="45"/>
        <v>448609227</v>
      </c>
      <c r="F174">
        <f t="shared" si="45"/>
        <v>448609227</v>
      </c>
      <c r="G174">
        <f t="shared" si="45"/>
        <v>448609227</v>
      </c>
      <c r="H174">
        <f t="shared" si="45"/>
        <v>448609227</v>
      </c>
      <c r="I174">
        <f t="shared" si="45"/>
        <v>448609227</v>
      </c>
      <c r="J174">
        <f t="shared" si="45"/>
        <v>448609227</v>
      </c>
      <c r="K174">
        <f t="shared" si="45"/>
        <v>0</v>
      </c>
      <c r="L174">
        <f t="shared" si="45"/>
        <v>0</v>
      </c>
      <c r="M174">
        <f t="shared" si="45"/>
        <v>0</v>
      </c>
    </row>
    <row r="175" spans="2:13" ht="14.75">
      <c r="B175" s="101" t="s">
        <v>337</v>
      </c>
      <c r="C175">
        <f t="shared" ref="C175:M175" si="46">IF(AND($C103&gt;C$127,$K103&lt;=C$127),$D103,0)</f>
        <v>0</v>
      </c>
      <c r="D175">
        <f t="shared" si="46"/>
        <v>0</v>
      </c>
      <c r="E175">
        <f t="shared" si="46"/>
        <v>407129655</v>
      </c>
      <c r="F175">
        <f t="shared" si="46"/>
        <v>407129655</v>
      </c>
      <c r="G175">
        <f t="shared" si="46"/>
        <v>407129655</v>
      </c>
      <c r="H175">
        <f t="shared" si="46"/>
        <v>407129655</v>
      </c>
      <c r="I175">
        <f t="shared" si="46"/>
        <v>407129655</v>
      </c>
      <c r="J175">
        <f t="shared" si="46"/>
        <v>407129655</v>
      </c>
      <c r="K175">
        <f t="shared" si="46"/>
        <v>407129655</v>
      </c>
      <c r="L175">
        <f t="shared" si="46"/>
        <v>0</v>
      </c>
      <c r="M175">
        <f t="shared" si="46"/>
        <v>0</v>
      </c>
    </row>
    <row r="176" spans="2:13" ht="14.75">
      <c r="B176" s="101" t="s">
        <v>338</v>
      </c>
      <c r="C176">
        <f t="shared" ref="C176:M176" si="47">IF(AND($C104&gt;C$127,$K104&lt;=C$127),$D104,0)</f>
        <v>0</v>
      </c>
      <c r="D176">
        <f t="shared" si="47"/>
        <v>0</v>
      </c>
      <c r="E176">
        <f t="shared" si="47"/>
        <v>300000000</v>
      </c>
      <c r="F176">
        <f t="shared" si="47"/>
        <v>300000000</v>
      </c>
      <c r="G176">
        <f t="shared" si="47"/>
        <v>300000000</v>
      </c>
      <c r="H176">
        <f t="shared" si="47"/>
        <v>300000000</v>
      </c>
      <c r="I176">
        <f t="shared" si="47"/>
        <v>300000000</v>
      </c>
      <c r="J176">
        <f t="shared" si="47"/>
        <v>300000000</v>
      </c>
      <c r="K176">
        <f t="shared" si="47"/>
        <v>300000000</v>
      </c>
      <c r="L176">
        <f t="shared" si="47"/>
        <v>0</v>
      </c>
      <c r="M176">
        <f t="shared" si="47"/>
        <v>0</v>
      </c>
    </row>
    <row r="177" spans="2:13" ht="14.75">
      <c r="B177" s="101" t="s">
        <v>233</v>
      </c>
      <c r="C177">
        <f t="shared" ref="C177:M177" si="48">IF(AND($C105&gt;C$127,$K105&lt;=C$127),$D105,0)</f>
        <v>0</v>
      </c>
      <c r="D177">
        <f t="shared" si="48"/>
        <v>0</v>
      </c>
      <c r="E177">
        <f t="shared" si="48"/>
        <v>100000000</v>
      </c>
      <c r="F177">
        <f t="shared" si="48"/>
        <v>100000000</v>
      </c>
      <c r="G177">
        <f t="shared" si="48"/>
        <v>100000000</v>
      </c>
      <c r="H177">
        <f t="shared" si="48"/>
        <v>100000000</v>
      </c>
      <c r="I177">
        <f t="shared" si="48"/>
        <v>100000000</v>
      </c>
      <c r="J177">
        <f t="shared" si="48"/>
        <v>100000000</v>
      </c>
      <c r="K177">
        <f t="shared" si="48"/>
        <v>100000000</v>
      </c>
      <c r="L177">
        <f t="shared" si="48"/>
        <v>0</v>
      </c>
      <c r="M177">
        <f t="shared" si="48"/>
        <v>0</v>
      </c>
    </row>
    <row r="178" spans="2:13" ht="14.75">
      <c r="B178" s="101" t="s">
        <v>339</v>
      </c>
      <c r="C178">
        <f t="shared" ref="C178:M178" si="49">IF(AND($C106&gt;C$127,$K106&lt;=C$127),$D106,0)</f>
        <v>121556833</v>
      </c>
      <c r="D178">
        <f t="shared" si="49"/>
        <v>121556833</v>
      </c>
      <c r="E178">
        <f t="shared" si="49"/>
        <v>121556833</v>
      </c>
      <c r="F178">
        <f t="shared" si="49"/>
        <v>121556833</v>
      </c>
      <c r="G178">
        <f t="shared" si="49"/>
        <v>121556833</v>
      </c>
      <c r="H178">
        <f t="shared" si="49"/>
        <v>121556833</v>
      </c>
      <c r="I178">
        <f t="shared" si="49"/>
        <v>121556833</v>
      </c>
      <c r="J178">
        <f t="shared" si="49"/>
        <v>121556833</v>
      </c>
      <c r="K178">
        <f t="shared" si="49"/>
        <v>121556833</v>
      </c>
      <c r="L178">
        <f t="shared" si="49"/>
        <v>0</v>
      </c>
      <c r="M178">
        <f t="shared" si="49"/>
        <v>0</v>
      </c>
    </row>
    <row r="179" spans="2:13" ht="14.75">
      <c r="B179" s="101" t="s">
        <v>340</v>
      </c>
      <c r="C179">
        <f t="shared" ref="C179:M179" si="50">IF(AND($C107&gt;C$127,$K107&lt;=C$127),$D107,0)</f>
        <v>0</v>
      </c>
      <c r="D179">
        <f t="shared" si="50"/>
        <v>0</v>
      </c>
      <c r="E179">
        <f t="shared" si="50"/>
        <v>0</v>
      </c>
      <c r="F179">
        <f t="shared" si="50"/>
        <v>741248304</v>
      </c>
      <c r="G179">
        <f t="shared" si="50"/>
        <v>741248304</v>
      </c>
      <c r="H179">
        <f t="shared" si="50"/>
        <v>741248304</v>
      </c>
      <c r="I179">
        <f t="shared" si="50"/>
        <v>741248304</v>
      </c>
      <c r="J179">
        <f t="shared" si="50"/>
        <v>741248304</v>
      </c>
      <c r="K179">
        <f t="shared" si="50"/>
        <v>741248304</v>
      </c>
      <c r="L179">
        <f t="shared" si="50"/>
        <v>741248304</v>
      </c>
      <c r="M179">
        <f t="shared" si="50"/>
        <v>0</v>
      </c>
    </row>
    <row r="180" spans="2:13" ht="14.75">
      <c r="B180" s="101" t="s">
        <v>341</v>
      </c>
      <c r="C180">
        <f t="shared" ref="C180:M180" si="51">IF(AND($C108&gt;C$127,$K108&lt;=C$127),$D108,0)</f>
        <v>0</v>
      </c>
      <c r="D180">
        <f t="shared" si="51"/>
        <v>250000000</v>
      </c>
      <c r="E180">
        <f t="shared" si="51"/>
        <v>250000000</v>
      </c>
      <c r="F180">
        <f t="shared" si="51"/>
        <v>250000000</v>
      </c>
      <c r="G180">
        <f t="shared" si="51"/>
        <v>250000000</v>
      </c>
      <c r="H180">
        <f t="shared" si="51"/>
        <v>250000000</v>
      </c>
      <c r="I180">
        <f t="shared" si="51"/>
        <v>250000000</v>
      </c>
      <c r="J180">
        <f t="shared" si="51"/>
        <v>250000000</v>
      </c>
      <c r="K180">
        <f t="shared" si="51"/>
        <v>250000000</v>
      </c>
      <c r="L180">
        <f t="shared" si="51"/>
        <v>250000000</v>
      </c>
      <c r="M180">
        <f t="shared" si="51"/>
        <v>250000000</v>
      </c>
    </row>
    <row r="181" spans="2:13" ht="14.75">
      <c r="B181" s="101" t="s">
        <v>342</v>
      </c>
      <c r="C181">
        <f t="shared" ref="C181:M181" si="52">IF(AND($C109&gt;C$127,$K109&lt;=C$127),$D109,0)</f>
        <v>0</v>
      </c>
      <c r="D181">
        <f t="shared" si="52"/>
        <v>69461048</v>
      </c>
      <c r="E181">
        <f t="shared" si="52"/>
        <v>69461048</v>
      </c>
      <c r="F181">
        <f t="shared" si="52"/>
        <v>69461048</v>
      </c>
      <c r="G181">
        <f t="shared" si="52"/>
        <v>69461048</v>
      </c>
      <c r="H181">
        <f t="shared" si="52"/>
        <v>69461048</v>
      </c>
      <c r="I181">
        <f t="shared" si="52"/>
        <v>69461048</v>
      </c>
      <c r="J181">
        <f t="shared" si="52"/>
        <v>69461048</v>
      </c>
      <c r="K181">
        <f t="shared" si="52"/>
        <v>69461048</v>
      </c>
      <c r="L181">
        <f t="shared" si="52"/>
        <v>69461048</v>
      </c>
      <c r="M181">
        <f t="shared" si="52"/>
        <v>69461048</v>
      </c>
    </row>
    <row r="182" spans="2:13" ht="14.75">
      <c r="B182" s="101" t="s">
        <v>343</v>
      </c>
      <c r="C182">
        <f t="shared" ref="C182:M182" si="53">IF(AND($C110&gt;C$127,$K110&lt;=C$127),$D110,0)</f>
        <v>0</v>
      </c>
      <c r="D182">
        <f t="shared" si="53"/>
        <v>0</v>
      </c>
      <c r="E182">
        <f t="shared" si="53"/>
        <v>0</v>
      </c>
      <c r="F182">
        <f t="shared" si="53"/>
        <v>0</v>
      </c>
      <c r="G182">
        <f t="shared" si="53"/>
        <v>0</v>
      </c>
      <c r="H182">
        <f t="shared" si="53"/>
        <v>508819539</v>
      </c>
      <c r="I182">
        <f t="shared" si="53"/>
        <v>508819539</v>
      </c>
      <c r="J182">
        <f t="shared" si="53"/>
        <v>508819539</v>
      </c>
      <c r="K182">
        <f t="shared" si="53"/>
        <v>508819539</v>
      </c>
      <c r="L182">
        <f t="shared" si="53"/>
        <v>508819539</v>
      </c>
      <c r="M182">
        <f t="shared" si="53"/>
        <v>508819539</v>
      </c>
    </row>
    <row r="183" spans="2:13" ht="14.75">
      <c r="B183" s="101" t="s">
        <v>344</v>
      </c>
      <c r="C183">
        <f t="shared" ref="C183:M183" si="54">IF(AND($C111&gt;C$127,$K111&lt;=C$127),$D111,0)</f>
        <v>0</v>
      </c>
      <c r="D183">
        <f t="shared" si="54"/>
        <v>0</v>
      </c>
      <c r="E183">
        <f t="shared" si="54"/>
        <v>0</v>
      </c>
      <c r="F183">
        <f t="shared" si="54"/>
        <v>0</v>
      </c>
      <c r="G183">
        <f t="shared" si="54"/>
        <v>0</v>
      </c>
      <c r="H183">
        <f t="shared" si="54"/>
        <v>199507735</v>
      </c>
      <c r="I183">
        <f t="shared" si="54"/>
        <v>199507735</v>
      </c>
      <c r="J183">
        <f t="shared" si="54"/>
        <v>199507735</v>
      </c>
      <c r="K183">
        <f t="shared" si="54"/>
        <v>199507735</v>
      </c>
      <c r="L183">
        <f t="shared" si="54"/>
        <v>199507735</v>
      </c>
      <c r="M183">
        <f t="shared" si="54"/>
        <v>199507735</v>
      </c>
    </row>
    <row r="185" spans="2:13">
      <c r="C185" s="8">
        <f>SUM(C159:C183,C128:C157)</f>
        <v>2879224472</v>
      </c>
      <c r="D185" s="8">
        <f t="shared" ref="D185:M185" si="55">SUM(D159:D183,D128:D157)</f>
        <v>3368803388</v>
      </c>
      <c r="E185" s="8">
        <f t="shared" si="55"/>
        <v>4701950924</v>
      </c>
      <c r="F185" s="8">
        <f t="shared" si="55"/>
        <v>5962073041</v>
      </c>
      <c r="G185" s="8">
        <f t="shared" si="55"/>
        <v>6646628255</v>
      </c>
      <c r="H185" s="8">
        <f t="shared" si="55"/>
        <v>6803677622</v>
      </c>
      <c r="I185" s="8">
        <f t="shared" si="55"/>
        <v>6519733782</v>
      </c>
      <c r="J185" s="8">
        <f t="shared" si="55"/>
        <v>7114343834</v>
      </c>
      <c r="K185" s="8">
        <f t="shared" si="55"/>
        <v>7199017280</v>
      </c>
      <c r="L185" s="8">
        <f t="shared" si="55"/>
        <v>7361579096</v>
      </c>
      <c r="M185" s="8">
        <f t="shared" si="55"/>
        <v>8658078418</v>
      </c>
    </row>
  </sheetData>
  <mergeCells count="11">
    <mergeCell ref="A1:AD1"/>
    <mergeCell ref="A6:B6"/>
    <mergeCell ref="A11:D11"/>
    <mergeCell ref="A21:AD21"/>
    <mergeCell ref="A32:AD32"/>
    <mergeCell ref="A113:AD113"/>
    <mergeCell ref="A119:AD119"/>
    <mergeCell ref="A37:B37"/>
    <mergeCell ref="A42:D42"/>
    <mergeCell ref="A52:AD52"/>
    <mergeCell ref="A85:AD85"/>
  </mergeCells>
  <pageMargins left="0.7" right="0.7" top="0.75" bottom="0.75" header="0.3" footer="0.3"/>
  <pageSetup orientation="portrait" horizontalDpi="200" verticalDpi="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E62DC1-C037-48CB-A74C-3935FA74695E}">
  <sheetPr>
    <tabColor theme="0" tint="-0.249977111117893"/>
  </sheetPr>
  <dimension ref="A1:BH125"/>
  <sheetViews>
    <sheetView workbookViewId="0"/>
  </sheetViews>
  <sheetFormatPr defaultRowHeight="14.25"/>
  <cols>
    <col min="2" max="2" width="10.08203125" bestFit="1" customWidth="1"/>
    <col min="35" max="35" width="10.08203125" bestFit="1" customWidth="1"/>
  </cols>
  <sheetData>
    <row r="1" spans="1:60" ht="14.75">
      <c r="A1" t="s">
        <v>2122</v>
      </c>
      <c r="C1" s="92" t="s">
        <v>293</v>
      </c>
      <c r="D1" s="92" t="s">
        <v>294</v>
      </c>
      <c r="E1" s="92" t="s">
        <v>295</v>
      </c>
      <c r="F1" s="92" t="s">
        <v>296</v>
      </c>
      <c r="G1" s="92" t="s">
        <v>297</v>
      </c>
      <c r="H1" s="92" t="s">
        <v>298</v>
      </c>
      <c r="I1" s="92" t="s">
        <v>299</v>
      </c>
      <c r="J1" s="92" t="s">
        <v>300</v>
      </c>
      <c r="K1" s="92" t="s">
        <v>301</v>
      </c>
      <c r="L1" s="92" t="s">
        <v>302</v>
      </c>
      <c r="M1" s="92" t="s">
        <v>303</v>
      </c>
      <c r="N1" s="92" t="s">
        <v>304</v>
      </c>
      <c r="O1" s="92" t="s">
        <v>305</v>
      </c>
      <c r="P1" s="92" t="s">
        <v>306</v>
      </c>
      <c r="Q1" s="92" t="s">
        <v>307</v>
      </c>
      <c r="R1" s="92" t="s">
        <v>308</v>
      </c>
      <c r="S1" s="92" t="s">
        <v>309</v>
      </c>
      <c r="T1" s="92" t="s">
        <v>310</v>
      </c>
      <c r="U1" s="92" t="s">
        <v>311</v>
      </c>
      <c r="V1" s="92" t="s">
        <v>312</v>
      </c>
      <c r="W1" s="92" t="s">
        <v>313</v>
      </c>
      <c r="X1" s="92" t="s">
        <v>314</v>
      </c>
      <c r="Y1" s="92" t="s">
        <v>315</v>
      </c>
      <c r="Z1" s="92" t="s">
        <v>316</v>
      </c>
      <c r="AA1" s="92" t="s">
        <v>317</v>
      </c>
      <c r="AB1" s="92" t="s">
        <v>318</v>
      </c>
      <c r="AC1" s="92" t="s">
        <v>319</v>
      </c>
      <c r="AD1" s="92" t="s">
        <v>320</v>
      </c>
      <c r="AE1" s="92" t="s">
        <v>321</v>
      </c>
      <c r="AF1" s="92" t="s">
        <v>322</v>
      </c>
      <c r="AJ1" s="92" t="s">
        <v>323</v>
      </c>
      <c r="AK1" s="92" t="s">
        <v>324</v>
      </c>
      <c r="AL1" s="92" t="s">
        <v>325</v>
      </c>
      <c r="AM1" s="92" t="s">
        <v>326</v>
      </c>
      <c r="AN1" s="92" t="s">
        <v>327</v>
      </c>
      <c r="AO1" s="92" t="s">
        <v>328</v>
      </c>
      <c r="AP1" s="92" t="s">
        <v>329</v>
      </c>
      <c r="AQ1" s="92" t="s">
        <v>330</v>
      </c>
      <c r="AR1" s="92" t="s">
        <v>331</v>
      </c>
      <c r="AS1" s="92" t="s">
        <v>332</v>
      </c>
      <c r="AT1" s="92" t="s">
        <v>333</v>
      </c>
      <c r="AU1" s="92" t="s">
        <v>231</v>
      </c>
      <c r="AV1" s="92" t="s">
        <v>334</v>
      </c>
      <c r="AW1" s="92" t="s">
        <v>335</v>
      </c>
      <c r="AX1" s="92" t="s">
        <v>232</v>
      </c>
      <c r="AY1" s="92" t="s">
        <v>336</v>
      </c>
      <c r="AZ1" s="92" t="s">
        <v>337</v>
      </c>
      <c r="BA1" s="92" t="s">
        <v>338</v>
      </c>
      <c r="BB1" s="92" t="s">
        <v>233</v>
      </c>
      <c r="BC1" s="92" t="s">
        <v>339</v>
      </c>
      <c r="BD1" s="92" t="s">
        <v>340</v>
      </c>
      <c r="BE1" s="92" t="s">
        <v>341</v>
      </c>
      <c r="BF1" s="92" t="s">
        <v>342</v>
      </c>
      <c r="BG1" s="92" t="s">
        <v>343</v>
      </c>
      <c r="BH1" s="92" t="s">
        <v>344</v>
      </c>
    </row>
    <row r="2" spans="1:60">
      <c r="B2" t="s">
        <v>475</v>
      </c>
      <c r="C2" t="s">
        <v>477</v>
      </c>
      <c r="D2" t="s">
        <v>477</v>
      </c>
      <c r="E2" t="s">
        <v>477</v>
      </c>
      <c r="F2" t="s">
        <v>477</v>
      </c>
      <c r="G2" t="s">
        <v>477</v>
      </c>
      <c r="H2" t="s">
        <v>477</v>
      </c>
      <c r="I2" t="s">
        <v>477</v>
      </c>
      <c r="J2" t="s">
        <v>477</v>
      </c>
      <c r="K2" t="s">
        <v>477</v>
      </c>
      <c r="L2" t="s">
        <v>477</v>
      </c>
      <c r="M2" t="s">
        <v>477</v>
      </c>
      <c r="N2" t="s">
        <v>477</v>
      </c>
      <c r="O2" t="s">
        <v>477</v>
      </c>
      <c r="P2" t="s">
        <v>477</v>
      </c>
      <c r="Q2" t="s">
        <v>477</v>
      </c>
      <c r="R2" t="s">
        <v>477</v>
      </c>
      <c r="S2" t="s">
        <v>477</v>
      </c>
      <c r="T2" t="s">
        <v>477</v>
      </c>
      <c r="U2" t="s">
        <v>477</v>
      </c>
      <c r="V2" t="s">
        <v>477</v>
      </c>
      <c r="W2" t="s">
        <v>477</v>
      </c>
      <c r="X2" t="s">
        <v>477</v>
      </c>
      <c r="Y2" t="s">
        <v>477</v>
      </c>
      <c r="Z2" t="s">
        <v>476</v>
      </c>
      <c r="AA2" t="s">
        <v>477</v>
      </c>
      <c r="AB2" t="s">
        <v>476</v>
      </c>
      <c r="AC2" t="s">
        <v>477</v>
      </c>
      <c r="AD2" t="s">
        <v>477</v>
      </c>
      <c r="AE2" t="s">
        <v>477</v>
      </c>
      <c r="AF2" t="s">
        <v>477</v>
      </c>
      <c r="AI2" t="s">
        <v>475</v>
      </c>
      <c r="AJ2" t="s">
        <v>476</v>
      </c>
      <c r="AK2" t="s">
        <v>476</v>
      </c>
      <c r="AL2" t="s">
        <v>476</v>
      </c>
      <c r="AM2" t="s">
        <v>476</v>
      </c>
      <c r="AN2" t="s">
        <v>476</v>
      </c>
      <c r="AO2" t="s">
        <v>476</v>
      </c>
      <c r="AP2" t="s">
        <v>477</v>
      </c>
      <c r="AQ2" t="s">
        <v>477</v>
      </c>
      <c r="AR2" t="s">
        <v>477</v>
      </c>
      <c r="AS2" t="s">
        <v>477</v>
      </c>
      <c r="AT2" t="s">
        <v>477</v>
      </c>
      <c r="AU2" t="s">
        <v>476</v>
      </c>
      <c r="AV2" t="s">
        <v>477</v>
      </c>
      <c r="AW2" t="s">
        <v>477</v>
      </c>
      <c r="AX2" t="s">
        <v>476</v>
      </c>
      <c r="AY2" t="s">
        <v>477</v>
      </c>
      <c r="AZ2" t="s">
        <v>477</v>
      </c>
      <c r="BA2" t="s">
        <v>477</v>
      </c>
      <c r="BB2" t="s">
        <v>476</v>
      </c>
      <c r="BC2" t="s">
        <v>477</v>
      </c>
      <c r="BD2" t="s">
        <v>476</v>
      </c>
      <c r="BE2" t="s">
        <v>476</v>
      </c>
      <c r="BF2" t="s">
        <v>476</v>
      </c>
      <c r="BG2" t="s">
        <v>476</v>
      </c>
      <c r="BH2" t="s">
        <v>476</v>
      </c>
    </row>
    <row r="3" spans="1:60">
      <c r="B3" s="27">
        <v>44651</v>
      </c>
      <c r="C3">
        <v>101.47799999999999</v>
      </c>
      <c r="D3">
        <v>101.485</v>
      </c>
      <c r="E3">
        <v>105.092</v>
      </c>
      <c r="F3">
        <v>106.15600000000001</v>
      </c>
      <c r="G3">
        <v>102.14100000000001</v>
      </c>
      <c r="H3">
        <v>102.14100000000001</v>
      </c>
      <c r="I3">
        <v>100.783</v>
      </c>
      <c r="J3">
        <v>96.519000000000005</v>
      </c>
      <c r="K3">
        <v>104.51600000000001</v>
      </c>
      <c r="L3">
        <v>102.565</v>
      </c>
      <c r="M3">
        <v>102.604</v>
      </c>
      <c r="N3">
        <v>99.28</v>
      </c>
      <c r="O3">
        <v>103.02800000000001</v>
      </c>
      <c r="P3">
        <v>95.918999999999997</v>
      </c>
      <c r="Q3">
        <v>95.918999999999997</v>
      </c>
      <c r="R3">
        <v>101.503</v>
      </c>
      <c r="S3">
        <v>91.138000000000005</v>
      </c>
      <c r="T3">
        <v>97.628</v>
      </c>
      <c r="U3">
        <v>98.284000000000006</v>
      </c>
      <c r="V3">
        <v>87.215999999999994</v>
      </c>
      <c r="W3">
        <v>91.313999999999993</v>
      </c>
      <c r="X3">
        <v>102.81699999999999</v>
      </c>
      <c r="Y3">
        <v>101.316</v>
      </c>
      <c r="AA3">
        <v>83.400999999999996</v>
      </c>
      <c r="AC3">
        <v>118.053</v>
      </c>
      <c r="AD3">
        <v>118.35599999999999</v>
      </c>
      <c r="AE3">
        <v>100.078</v>
      </c>
      <c r="AF3">
        <v>93.710000000000008</v>
      </c>
      <c r="AI3" s="27">
        <v>43921</v>
      </c>
      <c r="AJ3" t="e">
        <v>#N/A</v>
      </c>
      <c r="AK3" t="e">
        <v>#N/A</v>
      </c>
      <c r="AL3" t="e">
        <v>#N/A</v>
      </c>
      <c r="AM3" t="e">
        <v>#N/A</v>
      </c>
      <c r="AN3" t="e">
        <v>#N/A</v>
      </c>
      <c r="AO3" t="e">
        <v>#N/A</v>
      </c>
      <c r="AU3" s="200"/>
      <c r="AX3" s="200"/>
      <c r="BB3" s="200"/>
      <c r="BC3">
        <v>100.01</v>
      </c>
      <c r="BD3" s="200"/>
      <c r="BE3" t="e">
        <v>#N/A</v>
      </c>
      <c r="BF3" t="e">
        <v>#N/A</v>
      </c>
      <c r="BG3" s="200" t="s">
        <v>479</v>
      </c>
      <c r="BH3" t="e">
        <v>#N/A</v>
      </c>
    </row>
    <row r="4" spans="1:60">
      <c r="B4" s="27">
        <v>44620</v>
      </c>
      <c r="C4">
        <v>101.703</v>
      </c>
      <c r="D4">
        <v>101.706</v>
      </c>
      <c r="E4">
        <v>105.542</v>
      </c>
      <c r="F4">
        <v>107.206</v>
      </c>
      <c r="G4">
        <v>102.961</v>
      </c>
      <c r="H4">
        <v>102.961</v>
      </c>
      <c r="I4">
        <v>102.136</v>
      </c>
      <c r="J4">
        <v>97.456999999999994</v>
      </c>
      <c r="K4">
        <v>106.226</v>
      </c>
      <c r="L4">
        <v>103.80200000000001</v>
      </c>
      <c r="M4">
        <v>103.932</v>
      </c>
      <c r="N4">
        <v>100.452</v>
      </c>
      <c r="O4">
        <v>105.114</v>
      </c>
      <c r="P4">
        <v>96.97</v>
      </c>
      <c r="Q4">
        <v>96.97</v>
      </c>
      <c r="R4">
        <v>102.636</v>
      </c>
      <c r="S4">
        <v>93.54</v>
      </c>
      <c r="T4">
        <v>99.141000000000005</v>
      </c>
      <c r="U4">
        <v>99.733000000000004</v>
      </c>
      <c r="V4">
        <v>89.563000000000002</v>
      </c>
      <c r="W4">
        <v>92.843999999999994</v>
      </c>
      <c r="X4">
        <v>104.79600000000001</v>
      </c>
      <c r="Y4">
        <v>103.616</v>
      </c>
      <c r="AA4">
        <v>86.771000000000001</v>
      </c>
      <c r="AC4">
        <v>122.161</v>
      </c>
      <c r="AD4">
        <v>122.53700000000001</v>
      </c>
      <c r="AE4">
        <v>100.253</v>
      </c>
      <c r="AF4">
        <v>94.22</v>
      </c>
      <c r="AI4" s="27">
        <v>43890</v>
      </c>
      <c r="BA4">
        <v>100.01047699999999</v>
      </c>
      <c r="BC4">
        <v>100.0745</v>
      </c>
    </row>
    <row r="5" spans="1:60">
      <c r="B5" s="27">
        <v>44592</v>
      </c>
      <c r="C5">
        <v>102.092</v>
      </c>
      <c r="D5">
        <v>102.096</v>
      </c>
      <c r="E5">
        <v>105.887</v>
      </c>
      <c r="F5">
        <v>107.834</v>
      </c>
      <c r="G5">
        <v>103.381</v>
      </c>
      <c r="H5">
        <v>103.381</v>
      </c>
      <c r="I5">
        <v>104.172</v>
      </c>
      <c r="J5">
        <v>97.88</v>
      </c>
      <c r="K5">
        <v>108.539</v>
      </c>
      <c r="L5">
        <v>104.23</v>
      </c>
      <c r="M5">
        <v>104.39100000000001</v>
      </c>
      <c r="N5">
        <v>100.94199999999999</v>
      </c>
      <c r="O5">
        <v>107.941</v>
      </c>
      <c r="P5">
        <v>97.539000000000001</v>
      </c>
      <c r="Q5">
        <v>97.539000000000001</v>
      </c>
      <c r="R5">
        <v>103.312</v>
      </c>
      <c r="S5">
        <v>96.914000000000001</v>
      </c>
      <c r="T5">
        <v>102.749</v>
      </c>
      <c r="U5">
        <v>103.36</v>
      </c>
      <c r="V5">
        <v>93.18</v>
      </c>
      <c r="W5">
        <v>96.501000000000005</v>
      </c>
      <c r="X5">
        <v>105.78</v>
      </c>
      <c r="Y5">
        <v>104.553</v>
      </c>
      <c r="Z5">
        <f>'Bloomberg Bond Prices'!L383</f>
        <v>94.004999999999995</v>
      </c>
      <c r="AA5">
        <v>92.045000000000002</v>
      </c>
      <c r="AB5">
        <f>'Bloomberg Bond Prices'!J383</f>
        <v>100.71299999999999</v>
      </c>
      <c r="AC5">
        <v>125.693</v>
      </c>
      <c r="AD5">
        <v>126.127</v>
      </c>
      <c r="AE5">
        <v>100.08450000000001</v>
      </c>
      <c r="AF5">
        <v>99.465000000000003</v>
      </c>
      <c r="AI5" s="27">
        <v>43861</v>
      </c>
      <c r="BA5">
        <v>100.108513</v>
      </c>
      <c r="BC5">
        <v>100.1495</v>
      </c>
    </row>
    <row r="6" spans="1:60">
      <c r="B6" s="27">
        <v>44561</v>
      </c>
      <c r="C6">
        <v>102.499</v>
      </c>
      <c r="D6">
        <v>102.499</v>
      </c>
      <c r="E6">
        <v>106.422</v>
      </c>
      <c r="F6">
        <v>108.633</v>
      </c>
      <c r="G6">
        <v>104.84699999999999</v>
      </c>
      <c r="H6">
        <v>104.84699999999999</v>
      </c>
      <c r="I6">
        <v>105.349</v>
      </c>
      <c r="J6">
        <v>99.191999999999993</v>
      </c>
      <c r="K6">
        <v>109.92</v>
      </c>
      <c r="L6">
        <v>106.093</v>
      </c>
      <c r="M6">
        <v>106.331</v>
      </c>
      <c r="N6">
        <v>102.86799999999999</v>
      </c>
      <c r="O6">
        <v>109.54</v>
      </c>
      <c r="P6">
        <v>99.188999999999993</v>
      </c>
      <c r="Q6">
        <v>99.188999999999993</v>
      </c>
      <c r="R6">
        <v>105.13200000000001</v>
      </c>
      <c r="S6">
        <v>98.322000000000003</v>
      </c>
      <c r="T6">
        <v>104.794</v>
      </c>
      <c r="U6">
        <v>105.42100000000001</v>
      </c>
      <c r="V6">
        <v>94.534000000000006</v>
      </c>
      <c r="W6">
        <v>98.55</v>
      </c>
      <c r="X6">
        <v>108.977</v>
      </c>
      <c r="Y6">
        <v>108.06</v>
      </c>
      <c r="Z6">
        <f>'Bloomberg Bond Prices'!L364</f>
        <v>96.084999999999994</v>
      </c>
      <c r="AA6">
        <v>94.075000000000003</v>
      </c>
      <c r="AB6">
        <f>'Bloomberg Bond Prices'!J364</f>
        <v>102.52800000000001</v>
      </c>
      <c r="AC6">
        <v>128.43199999999999</v>
      </c>
      <c r="AD6">
        <v>128.917</v>
      </c>
      <c r="AE6">
        <v>100.087</v>
      </c>
      <c r="AF6">
        <v>100.3</v>
      </c>
      <c r="AI6" s="27">
        <v>43830</v>
      </c>
      <c r="BA6">
        <v>100.44394800000001</v>
      </c>
      <c r="BC6">
        <v>100.2345</v>
      </c>
    </row>
    <row r="7" spans="1:60">
      <c r="B7" s="27">
        <v>44530</v>
      </c>
      <c r="C7">
        <v>103.027</v>
      </c>
      <c r="D7">
        <v>103.01600000000001</v>
      </c>
      <c r="E7">
        <v>106.643</v>
      </c>
      <c r="F7">
        <v>108.874</v>
      </c>
      <c r="G7">
        <v>104.777</v>
      </c>
      <c r="H7">
        <v>104.777</v>
      </c>
      <c r="I7">
        <v>105.521</v>
      </c>
      <c r="J7">
        <v>100.846</v>
      </c>
      <c r="K7">
        <v>109.753</v>
      </c>
      <c r="L7">
        <v>105.932</v>
      </c>
      <c r="M7">
        <v>106.096</v>
      </c>
      <c r="N7">
        <v>102.52200000000001</v>
      </c>
      <c r="O7">
        <v>108.96599999999999</v>
      </c>
      <c r="P7">
        <v>101.18300000000001</v>
      </c>
      <c r="Q7">
        <v>101.18300000000001</v>
      </c>
      <c r="R7">
        <v>107.318</v>
      </c>
      <c r="S7">
        <v>97.706999999999994</v>
      </c>
      <c r="T7">
        <v>105.42100000000001</v>
      </c>
      <c r="U7">
        <v>106.05500000000001</v>
      </c>
      <c r="V7">
        <v>93.983999999999995</v>
      </c>
      <c r="W7">
        <v>99.15</v>
      </c>
      <c r="X7">
        <v>108.23</v>
      </c>
      <c r="Y7">
        <v>107.354</v>
      </c>
      <c r="AA7">
        <v>93.313000000000002</v>
      </c>
      <c r="AC7">
        <v>127.193</v>
      </c>
      <c r="AD7">
        <v>127.654</v>
      </c>
      <c r="AE7">
        <v>100.08750000000001</v>
      </c>
      <c r="AF7">
        <v>100.178</v>
      </c>
      <c r="AI7" s="27">
        <v>43799</v>
      </c>
      <c r="BA7">
        <v>100.77609200000001</v>
      </c>
      <c r="BC7">
        <v>100.35899999999999</v>
      </c>
    </row>
    <row r="8" spans="1:60">
      <c r="B8" s="27">
        <v>44500</v>
      </c>
      <c r="C8">
        <v>103.316</v>
      </c>
      <c r="D8">
        <v>103.316</v>
      </c>
      <c r="E8">
        <v>106.718</v>
      </c>
      <c r="F8">
        <v>109.008</v>
      </c>
      <c r="G8">
        <v>105.113</v>
      </c>
      <c r="H8">
        <v>105.113</v>
      </c>
      <c r="I8">
        <v>105.502</v>
      </c>
      <c r="J8">
        <v>99.594999999999999</v>
      </c>
      <c r="K8">
        <v>109.32899999999999</v>
      </c>
      <c r="L8">
        <v>106.035</v>
      </c>
      <c r="M8">
        <v>106.178</v>
      </c>
      <c r="N8">
        <v>102.54900000000001</v>
      </c>
      <c r="O8">
        <v>108.845</v>
      </c>
      <c r="P8">
        <v>99.628</v>
      </c>
      <c r="Q8">
        <v>99.629000000000005</v>
      </c>
      <c r="R8">
        <v>105.71899999999999</v>
      </c>
      <c r="S8">
        <v>97.09</v>
      </c>
      <c r="T8">
        <v>104.73</v>
      </c>
      <c r="U8">
        <v>105.36799999999999</v>
      </c>
      <c r="V8">
        <v>93.65</v>
      </c>
      <c r="W8">
        <v>98.356999999999999</v>
      </c>
      <c r="X8">
        <v>107.47499999999999</v>
      </c>
      <c r="Y8">
        <v>106.425</v>
      </c>
      <c r="AA8">
        <v>92.867000000000004</v>
      </c>
      <c r="AC8">
        <v>124.601</v>
      </c>
      <c r="AD8">
        <v>124.976</v>
      </c>
      <c r="AE8">
        <v>100.4875</v>
      </c>
      <c r="AF8">
        <v>100.675</v>
      </c>
      <c r="AI8" s="27">
        <v>43769</v>
      </c>
      <c r="BA8">
        <v>101.071285</v>
      </c>
      <c r="BC8">
        <v>100.526</v>
      </c>
    </row>
    <row r="9" spans="1:60">
      <c r="B9" s="27">
        <v>44469</v>
      </c>
      <c r="C9">
        <v>103.884</v>
      </c>
      <c r="D9">
        <v>103.919</v>
      </c>
      <c r="E9">
        <v>107.188</v>
      </c>
      <c r="F9">
        <v>111.425</v>
      </c>
      <c r="G9">
        <v>106.44199999999999</v>
      </c>
      <c r="H9">
        <v>106.44199999999999</v>
      </c>
      <c r="I9">
        <v>106.57899999999999</v>
      </c>
      <c r="J9">
        <v>100.685</v>
      </c>
      <c r="K9">
        <v>113.946</v>
      </c>
      <c r="L9">
        <v>107.352</v>
      </c>
      <c r="M9">
        <v>107.619</v>
      </c>
      <c r="N9">
        <v>103.97499999999999</v>
      </c>
      <c r="O9">
        <v>113.185</v>
      </c>
      <c r="P9">
        <v>100.71899999999999</v>
      </c>
      <c r="Q9">
        <v>100.71899999999999</v>
      </c>
      <c r="R9">
        <v>106.9</v>
      </c>
      <c r="S9">
        <v>101.268</v>
      </c>
      <c r="T9">
        <v>106.127</v>
      </c>
      <c r="U9">
        <v>106.69199999999999</v>
      </c>
      <c r="V9">
        <v>97.83</v>
      </c>
      <c r="W9">
        <v>99.17</v>
      </c>
      <c r="X9">
        <v>109.146</v>
      </c>
      <c r="Y9">
        <v>107.869</v>
      </c>
      <c r="AA9">
        <v>99.010999999999996</v>
      </c>
      <c r="AC9">
        <v>131.18</v>
      </c>
      <c r="AD9">
        <v>131.68</v>
      </c>
      <c r="AE9">
        <v>100.65949999999999</v>
      </c>
      <c r="AF9">
        <v>100.875</v>
      </c>
      <c r="AI9" s="27">
        <v>43738</v>
      </c>
      <c r="BA9">
        <v>101.39884000000001</v>
      </c>
      <c r="BC9">
        <v>100.592</v>
      </c>
    </row>
    <row r="10" spans="1:60">
      <c r="B10" s="27">
        <v>44439</v>
      </c>
      <c r="C10">
        <v>104.429</v>
      </c>
      <c r="D10">
        <v>104.48</v>
      </c>
      <c r="E10">
        <v>107.649</v>
      </c>
      <c r="F10">
        <v>112.30800000000001</v>
      </c>
      <c r="G10">
        <v>107.277</v>
      </c>
      <c r="H10">
        <v>107.277</v>
      </c>
      <c r="I10">
        <v>108.08499999999999</v>
      </c>
      <c r="J10">
        <v>102.322</v>
      </c>
      <c r="K10">
        <v>116.15600000000001</v>
      </c>
      <c r="L10">
        <v>108.626</v>
      </c>
      <c r="M10">
        <v>109.04900000000001</v>
      </c>
      <c r="N10">
        <v>105.349</v>
      </c>
      <c r="O10">
        <v>116.379</v>
      </c>
      <c r="P10">
        <v>102.89100000000001</v>
      </c>
      <c r="R10">
        <v>109.307</v>
      </c>
      <c r="S10">
        <v>105.096</v>
      </c>
      <c r="T10">
        <v>108.97499999999999</v>
      </c>
      <c r="U10">
        <v>109.55500000000001</v>
      </c>
      <c r="V10">
        <v>98.334000000000003</v>
      </c>
      <c r="W10">
        <v>102.075</v>
      </c>
      <c r="X10">
        <v>111.512</v>
      </c>
      <c r="Y10">
        <v>110.36799999999999</v>
      </c>
      <c r="AC10">
        <v>133.61699999999999</v>
      </c>
      <c r="AD10">
        <v>134.16200000000001</v>
      </c>
      <c r="AE10">
        <v>105.2195</v>
      </c>
      <c r="AF10">
        <v>103.25</v>
      </c>
      <c r="AI10" s="27">
        <v>43708</v>
      </c>
      <c r="BA10">
        <v>101.70577</v>
      </c>
      <c r="BC10">
        <v>100.7</v>
      </c>
    </row>
    <row r="11" spans="1:60">
      <c r="B11" s="27">
        <v>44408</v>
      </c>
      <c r="C11">
        <v>104.837</v>
      </c>
      <c r="D11">
        <v>104.88200000000001</v>
      </c>
      <c r="E11">
        <v>107.964</v>
      </c>
      <c r="F11">
        <v>112.825</v>
      </c>
      <c r="G11">
        <v>107.494</v>
      </c>
      <c r="H11">
        <v>107.494</v>
      </c>
      <c r="I11">
        <v>108.607</v>
      </c>
      <c r="J11">
        <v>103.036</v>
      </c>
      <c r="K11">
        <v>116.61199999999999</v>
      </c>
      <c r="L11">
        <v>108.682</v>
      </c>
      <c r="M11">
        <v>109.063</v>
      </c>
      <c r="N11">
        <v>105.316</v>
      </c>
      <c r="O11">
        <v>116.72</v>
      </c>
      <c r="P11">
        <v>103.654</v>
      </c>
      <c r="R11">
        <v>110.158</v>
      </c>
      <c r="S11">
        <v>105.236</v>
      </c>
      <c r="T11">
        <v>110.063</v>
      </c>
      <c r="U11">
        <v>110.65</v>
      </c>
      <c r="V11">
        <v>98.572999999999993</v>
      </c>
      <c r="W11">
        <v>102.88</v>
      </c>
      <c r="X11">
        <v>111.691</v>
      </c>
      <c r="Y11">
        <v>110.42700000000001</v>
      </c>
      <c r="AC11">
        <v>134.154</v>
      </c>
      <c r="AD11">
        <v>134.708</v>
      </c>
      <c r="AE11">
        <v>104.9045</v>
      </c>
      <c r="AF11">
        <v>102.97499999999999</v>
      </c>
      <c r="AI11" s="27">
        <v>43677</v>
      </c>
      <c r="BA11">
        <v>102.0185</v>
      </c>
      <c r="BC11">
        <v>100.86450000000001</v>
      </c>
    </row>
    <row r="12" spans="1:60">
      <c r="B12" s="27">
        <v>44377</v>
      </c>
      <c r="C12">
        <v>105.29300000000001</v>
      </c>
      <c r="D12">
        <v>105.294</v>
      </c>
      <c r="E12">
        <v>107.976</v>
      </c>
      <c r="F12">
        <v>112.75700000000001</v>
      </c>
      <c r="G12">
        <v>106.866</v>
      </c>
      <c r="H12">
        <v>106.866</v>
      </c>
      <c r="I12">
        <v>107.83499999999999</v>
      </c>
      <c r="J12">
        <v>102.1</v>
      </c>
      <c r="K12">
        <v>115.526</v>
      </c>
      <c r="L12">
        <v>107.702</v>
      </c>
      <c r="M12">
        <v>107.956</v>
      </c>
      <c r="N12">
        <v>104.175</v>
      </c>
      <c r="O12">
        <v>115.121</v>
      </c>
      <c r="P12">
        <v>102.41800000000001</v>
      </c>
      <c r="R12">
        <v>108.89400000000001</v>
      </c>
      <c r="S12">
        <v>103.11799999999999</v>
      </c>
      <c r="T12">
        <v>107.74299999999999</v>
      </c>
      <c r="U12">
        <v>108.33</v>
      </c>
      <c r="V12">
        <v>98.558000000000007</v>
      </c>
      <c r="W12">
        <v>100.874</v>
      </c>
      <c r="X12">
        <v>109.956</v>
      </c>
      <c r="Y12">
        <v>108.45399999999999</v>
      </c>
      <c r="Z12">
        <f>'Bloomberg Bond Prices'!L236</f>
        <v>101.1</v>
      </c>
      <c r="AB12">
        <f>'Bloomberg Bond Prices'!J236</f>
        <v>106.583</v>
      </c>
      <c r="AC12">
        <v>117.49299999999999</v>
      </c>
      <c r="AD12">
        <v>117.73699999999999</v>
      </c>
      <c r="AE12">
        <v>104.7085</v>
      </c>
      <c r="AF12">
        <v>101.85</v>
      </c>
      <c r="AI12" s="27">
        <v>43646</v>
      </c>
      <c r="BA12">
        <v>102.2285</v>
      </c>
      <c r="BC12">
        <v>101.0115</v>
      </c>
    </row>
    <row r="13" spans="1:60">
      <c r="B13" s="27">
        <v>44347</v>
      </c>
      <c r="C13">
        <v>105.754</v>
      </c>
      <c r="D13">
        <v>105.754</v>
      </c>
      <c r="E13">
        <v>108.17</v>
      </c>
      <c r="F13">
        <v>113.08799999999999</v>
      </c>
      <c r="G13">
        <v>107.334</v>
      </c>
      <c r="H13">
        <v>107.334</v>
      </c>
      <c r="I13">
        <v>107.777</v>
      </c>
      <c r="J13">
        <v>101.871</v>
      </c>
      <c r="K13">
        <v>115.267</v>
      </c>
      <c r="L13">
        <v>107.831</v>
      </c>
      <c r="M13">
        <v>107.92700000000001</v>
      </c>
      <c r="N13">
        <v>104.084</v>
      </c>
      <c r="O13">
        <v>114.634</v>
      </c>
      <c r="P13">
        <v>101.791</v>
      </c>
      <c r="R13">
        <v>108.229</v>
      </c>
      <c r="S13">
        <v>102.137</v>
      </c>
      <c r="T13">
        <v>107.907</v>
      </c>
      <c r="U13">
        <v>108.48099999999999</v>
      </c>
      <c r="W13">
        <v>100.61</v>
      </c>
      <c r="X13">
        <v>108.753</v>
      </c>
      <c r="Y13">
        <v>107.16200000000001</v>
      </c>
      <c r="AC13">
        <v>113.312</v>
      </c>
      <c r="AD13">
        <v>113.48399999999999</v>
      </c>
      <c r="AE13">
        <v>104.6675</v>
      </c>
      <c r="AF13">
        <v>101.47499999999999</v>
      </c>
      <c r="AI13" s="27">
        <v>43616</v>
      </c>
      <c r="BA13">
        <v>102.3805</v>
      </c>
      <c r="BC13">
        <v>101.149</v>
      </c>
    </row>
    <row r="14" spans="1:60">
      <c r="B14" s="27">
        <v>44316</v>
      </c>
      <c r="C14">
        <v>106.142</v>
      </c>
      <c r="D14">
        <v>106.133</v>
      </c>
      <c r="E14">
        <v>108.518</v>
      </c>
      <c r="F14">
        <v>113.508</v>
      </c>
      <c r="G14">
        <v>106.755</v>
      </c>
      <c r="H14">
        <v>106.755</v>
      </c>
      <c r="I14">
        <v>108.152</v>
      </c>
      <c r="J14">
        <v>102.157</v>
      </c>
      <c r="K14">
        <v>115.279</v>
      </c>
      <c r="L14">
        <v>107.169</v>
      </c>
      <c r="M14">
        <v>107.217</v>
      </c>
      <c r="N14">
        <v>103.25700000000001</v>
      </c>
      <c r="O14">
        <v>114.673</v>
      </c>
      <c r="P14">
        <v>102.03700000000001</v>
      </c>
      <c r="R14">
        <v>108.526</v>
      </c>
      <c r="S14">
        <v>101.923</v>
      </c>
      <c r="T14">
        <v>108.33199999999999</v>
      </c>
      <c r="U14">
        <v>108.913</v>
      </c>
      <c r="W14">
        <v>100.977</v>
      </c>
      <c r="X14">
        <v>107.654</v>
      </c>
      <c r="Y14">
        <v>106.095</v>
      </c>
      <c r="AC14">
        <v>112.944</v>
      </c>
      <c r="AD14">
        <v>113.14700000000001</v>
      </c>
      <c r="AE14">
        <v>104.61499999999999</v>
      </c>
      <c r="AF14">
        <v>101.982</v>
      </c>
      <c r="AI14" s="27">
        <v>43585</v>
      </c>
      <c r="AZ14">
        <v>100.004</v>
      </c>
      <c r="BA14">
        <v>102.551</v>
      </c>
      <c r="BC14">
        <v>101.32850000000001</v>
      </c>
    </row>
    <row r="15" spans="1:60">
      <c r="B15" s="27">
        <v>44286</v>
      </c>
      <c r="C15">
        <v>106.545</v>
      </c>
      <c r="D15">
        <v>106.51600000000001</v>
      </c>
      <c r="E15">
        <v>108.771</v>
      </c>
      <c r="F15">
        <v>113.666</v>
      </c>
      <c r="G15">
        <v>106.10599999999999</v>
      </c>
      <c r="H15">
        <v>106.10599999999999</v>
      </c>
      <c r="I15">
        <v>108.339</v>
      </c>
      <c r="J15">
        <v>101.71899999999999</v>
      </c>
      <c r="K15">
        <v>114.524</v>
      </c>
      <c r="L15">
        <v>106.267</v>
      </c>
      <c r="M15">
        <v>106.21899999999999</v>
      </c>
      <c r="N15">
        <v>102.23699999999999</v>
      </c>
      <c r="O15">
        <v>113.69799999999999</v>
      </c>
      <c r="P15">
        <v>101.468</v>
      </c>
      <c r="R15">
        <v>107.974</v>
      </c>
      <c r="S15">
        <v>100.67700000000001</v>
      </c>
      <c r="T15">
        <v>108.88800000000001</v>
      </c>
      <c r="U15">
        <v>109.477</v>
      </c>
      <c r="W15">
        <v>101.59399999999999</v>
      </c>
      <c r="X15">
        <v>106.143</v>
      </c>
      <c r="Y15">
        <v>104.378</v>
      </c>
      <c r="AC15">
        <v>111.44799999999999</v>
      </c>
      <c r="AD15">
        <v>111.626</v>
      </c>
      <c r="AE15">
        <v>104.12</v>
      </c>
      <c r="AF15">
        <v>101.64</v>
      </c>
      <c r="AI15" s="27">
        <v>43555</v>
      </c>
      <c r="AZ15">
        <v>100.07850000000001</v>
      </c>
      <c r="BA15">
        <v>102.63200000000001</v>
      </c>
      <c r="BC15">
        <v>101.6485</v>
      </c>
    </row>
    <row r="16" spans="1:60">
      <c r="B16" s="27">
        <v>44255</v>
      </c>
      <c r="C16">
        <v>106.998</v>
      </c>
      <c r="D16">
        <v>107.023</v>
      </c>
      <c r="E16">
        <v>108.858</v>
      </c>
      <c r="F16">
        <v>114.185</v>
      </c>
      <c r="G16">
        <v>106.923</v>
      </c>
      <c r="H16">
        <v>106.923</v>
      </c>
      <c r="I16">
        <v>108.285</v>
      </c>
      <c r="J16">
        <v>101.97799999999999</v>
      </c>
      <c r="K16">
        <v>115.825</v>
      </c>
      <c r="L16">
        <v>107.56399999999999</v>
      </c>
      <c r="M16">
        <v>108.142</v>
      </c>
      <c r="N16">
        <v>103.304</v>
      </c>
      <c r="O16">
        <v>114.68899999999999</v>
      </c>
      <c r="P16">
        <v>101.738</v>
      </c>
      <c r="R16">
        <v>108.32899999999999</v>
      </c>
      <c r="S16">
        <v>102.361</v>
      </c>
      <c r="T16">
        <v>109.577</v>
      </c>
      <c r="U16">
        <v>110.098</v>
      </c>
      <c r="W16">
        <v>101.369</v>
      </c>
      <c r="X16">
        <v>108.178</v>
      </c>
      <c r="Y16">
        <v>106.614</v>
      </c>
      <c r="AC16">
        <v>113.527</v>
      </c>
      <c r="AD16">
        <v>113.736</v>
      </c>
      <c r="AE16">
        <v>104.1635</v>
      </c>
      <c r="AI16" s="27">
        <v>43524</v>
      </c>
      <c r="AZ16">
        <v>100.211</v>
      </c>
      <c r="BA16">
        <v>102.637</v>
      </c>
      <c r="BC16">
        <v>101.6245</v>
      </c>
    </row>
    <row r="17" spans="2:55">
      <c r="B17" s="27">
        <v>44227</v>
      </c>
      <c r="C17">
        <v>107.476</v>
      </c>
      <c r="D17">
        <v>107.49299999999999</v>
      </c>
      <c r="E17">
        <v>109.33</v>
      </c>
      <c r="F17">
        <v>114.855</v>
      </c>
      <c r="G17">
        <v>108.938</v>
      </c>
      <c r="H17">
        <v>108.938</v>
      </c>
      <c r="I17">
        <v>109.06399999999999</v>
      </c>
      <c r="J17">
        <v>104.366</v>
      </c>
      <c r="K17">
        <v>119.508</v>
      </c>
      <c r="L17">
        <v>110.411</v>
      </c>
      <c r="M17">
        <v>110.51900000000001</v>
      </c>
      <c r="N17">
        <v>106.572</v>
      </c>
      <c r="O17">
        <v>119.23699999999999</v>
      </c>
      <c r="P17">
        <v>104.791</v>
      </c>
      <c r="R17">
        <v>111.652</v>
      </c>
      <c r="S17">
        <v>106.879</v>
      </c>
      <c r="T17">
        <v>111.922</v>
      </c>
      <c r="U17">
        <v>112.453</v>
      </c>
      <c r="W17">
        <v>103.66500000000001</v>
      </c>
      <c r="X17">
        <v>113.818</v>
      </c>
      <c r="Y17">
        <v>112.447</v>
      </c>
      <c r="AC17">
        <v>122.44799999999999</v>
      </c>
      <c r="AD17">
        <v>122.79900000000001</v>
      </c>
      <c r="AE17">
        <v>104.14449999999999</v>
      </c>
      <c r="AI17" s="27">
        <v>43496</v>
      </c>
      <c r="AZ17">
        <v>100.3475</v>
      </c>
      <c r="BA17">
        <v>102.67449999999999</v>
      </c>
      <c r="BC17">
        <v>101.72150000000001</v>
      </c>
    </row>
    <row r="18" spans="2:55">
      <c r="B18" s="27">
        <v>44196</v>
      </c>
      <c r="C18">
        <v>107.834</v>
      </c>
      <c r="D18">
        <v>107.884</v>
      </c>
      <c r="E18">
        <v>109.33199999999999</v>
      </c>
      <c r="F18">
        <v>115.29300000000001</v>
      </c>
      <c r="G18">
        <v>109.37</v>
      </c>
      <c r="H18">
        <v>109.37</v>
      </c>
      <c r="I18">
        <v>108.999</v>
      </c>
      <c r="J18">
        <v>104.538</v>
      </c>
      <c r="K18">
        <v>120.224</v>
      </c>
      <c r="L18">
        <v>111.062</v>
      </c>
      <c r="M18">
        <v>111.44799999999999</v>
      </c>
      <c r="N18">
        <v>107.38200000000001</v>
      </c>
      <c r="O18">
        <v>119.586</v>
      </c>
      <c r="P18">
        <v>105.087</v>
      </c>
      <c r="R18">
        <v>112.039</v>
      </c>
      <c r="S18">
        <v>107.672</v>
      </c>
      <c r="T18">
        <v>112.357</v>
      </c>
      <c r="U18">
        <v>113.087</v>
      </c>
      <c r="W18">
        <v>103.839</v>
      </c>
      <c r="X18">
        <v>115.502</v>
      </c>
      <c r="Y18">
        <v>114.21</v>
      </c>
      <c r="AC18">
        <v>126.751</v>
      </c>
      <c r="AD18">
        <v>127.176</v>
      </c>
      <c r="AE18">
        <v>103.40300000000001</v>
      </c>
      <c r="AI18" s="27">
        <v>43465</v>
      </c>
      <c r="AZ18">
        <v>100.483</v>
      </c>
      <c r="BA18">
        <v>102.852</v>
      </c>
      <c r="BC18">
        <v>101.66849999999999</v>
      </c>
    </row>
    <row r="19" spans="2:55">
      <c r="B19" s="27">
        <v>44165</v>
      </c>
      <c r="C19">
        <v>108.325</v>
      </c>
      <c r="D19">
        <v>108.325</v>
      </c>
      <c r="E19">
        <v>109.636</v>
      </c>
      <c r="F19">
        <v>113.372</v>
      </c>
      <c r="G19">
        <v>109.238</v>
      </c>
      <c r="H19">
        <v>109.238</v>
      </c>
      <c r="I19">
        <v>109.316</v>
      </c>
      <c r="J19">
        <v>105.637</v>
      </c>
      <c r="K19">
        <v>120.91800000000001</v>
      </c>
      <c r="L19">
        <v>110.87</v>
      </c>
      <c r="M19">
        <v>110.907</v>
      </c>
      <c r="N19">
        <v>106.94499999999999</v>
      </c>
      <c r="O19">
        <v>120.82599999999999</v>
      </c>
      <c r="P19">
        <v>106.449</v>
      </c>
      <c r="R19">
        <v>113.563</v>
      </c>
      <c r="S19">
        <v>108.151</v>
      </c>
      <c r="T19">
        <v>112.63200000000001</v>
      </c>
      <c r="U19">
        <v>113.37</v>
      </c>
      <c r="W19">
        <v>104.027</v>
      </c>
      <c r="X19">
        <v>115.48699999999999</v>
      </c>
      <c r="Y19">
        <v>114.295</v>
      </c>
      <c r="AC19">
        <v>127.649</v>
      </c>
      <c r="AD19">
        <v>128.089</v>
      </c>
      <c r="AE19">
        <v>100.11799999999999</v>
      </c>
      <c r="AI19" s="27">
        <v>43434</v>
      </c>
      <c r="AZ19">
        <v>100.6575</v>
      </c>
      <c r="BA19">
        <v>103.02800000000001</v>
      </c>
      <c r="BC19">
        <v>101.3925</v>
      </c>
    </row>
    <row r="20" spans="2:55">
      <c r="B20" s="27">
        <v>44135</v>
      </c>
      <c r="C20">
        <v>108.387</v>
      </c>
      <c r="D20">
        <v>108.447</v>
      </c>
      <c r="E20">
        <v>109.91200000000001</v>
      </c>
      <c r="F20">
        <v>114.58499999999999</v>
      </c>
      <c r="G20">
        <v>109.104</v>
      </c>
      <c r="H20">
        <v>109.104</v>
      </c>
      <c r="I20">
        <v>109.315</v>
      </c>
      <c r="J20">
        <v>105.751</v>
      </c>
      <c r="K20">
        <v>119.84</v>
      </c>
      <c r="L20">
        <v>110.55800000000001</v>
      </c>
      <c r="M20">
        <v>110.16500000000001</v>
      </c>
      <c r="N20">
        <v>106.101</v>
      </c>
      <c r="O20">
        <v>119.163</v>
      </c>
      <c r="P20">
        <v>106.795</v>
      </c>
      <c r="R20">
        <v>113.739</v>
      </c>
      <c r="S20">
        <v>106.753</v>
      </c>
      <c r="T20">
        <v>112.036</v>
      </c>
      <c r="U20">
        <v>112.777</v>
      </c>
      <c r="W20">
        <v>103.55</v>
      </c>
      <c r="X20">
        <v>114.062</v>
      </c>
      <c r="Y20">
        <v>112.88800000000001</v>
      </c>
      <c r="AC20">
        <v>127.548</v>
      </c>
      <c r="AD20">
        <v>127.95099999999999</v>
      </c>
      <c r="AE20">
        <v>100.12050000000001</v>
      </c>
      <c r="AI20" s="27">
        <v>43404</v>
      </c>
      <c r="AZ20">
        <v>100.81100000000001</v>
      </c>
      <c r="BA20">
        <v>103.343</v>
      </c>
      <c r="BC20">
        <v>101.2765</v>
      </c>
    </row>
    <row r="21" spans="2:55">
      <c r="B21" s="27">
        <v>44104</v>
      </c>
      <c r="C21">
        <v>108.627</v>
      </c>
      <c r="D21">
        <v>108.643</v>
      </c>
      <c r="E21">
        <v>109.798</v>
      </c>
      <c r="F21">
        <v>114.5</v>
      </c>
      <c r="G21">
        <v>109.21599999999999</v>
      </c>
      <c r="H21">
        <v>109.21599999999999</v>
      </c>
      <c r="I21">
        <v>108.61199999999999</v>
      </c>
      <c r="J21">
        <v>106.36</v>
      </c>
      <c r="K21">
        <v>119.026</v>
      </c>
      <c r="L21">
        <v>110.895</v>
      </c>
      <c r="M21">
        <v>111.01900000000001</v>
      </c>
      <c r="N21">
        <v>106.90600000000001</v>
      </c>
      <c r="O21">
        <v>118.738</v>
      </c>
      <c r="P21">
        <v>107.489</v>
      </c>
      <c r="R21">
        <v>114.53</v>
      </c>
      <c r="S21">
        <v>105.563</v>
      </c>
      <c r="T21">
        <v>110.911</v>
      </c>
      <c r="U21">
        <v>111.65300000000001</v>
      </c>
      <c r="W21">
        <v>102.337</v>
      </c>
      <c r="X21">
        <v>114.61499999999999</v>
      </c>
      <c r="Y21">
        <v>113.32899999999999</v>
      </c>
      <c r="AC21">
        <v>127.05200000000001</v>
      </c>
      <c r="AD21">
        <v>127.44499999999999</v>
      </c>
      <c r="AE21">
        <v>100.12350000000001</v>
      </c>
      <c r="AI21" s="27">
        <v>43373</v>
      </c>
      <c r="AZ21">
        <v>100.88500000000001</v>
      </c>
      <c r="BA21">
        <v>103.501</v>
      </c>
      <c r="BC21">
        <v>101.3475</v>
      </c>
    </row>
    <row r="22" spans="2:55">
      <c r="B22" s="27">
        <v>44074</v>
      </c>
      <c r="C22">
        <v>108.937</v>
      </c>
      <c r="D22">
        <v>108.937</v>
      </c>
      <c r="E22">
        <v>109.836</v>
      </c>
      <c r="F22">
        <v>114.52200000000001</v>
      </c>
      <c r="G22">
        <v>107.54900000000001</v>
      </c>
      <c r="H22">
        <v>107.54900000000001</v>
      </c>
      <c r="I22">
        <v>108.33799999999999</v>
      </c>
      <c r="J22">
        <v>105.99</v>
      </c>
      <c r="K22">
        <v>118.58799999999999</v>
      </c>
      <c r="L22">
        <v>109.324</v>
      </c>
      <c r="M22">
        <v>109.54900000000001</v>
      </c>
      <c r="N22">
        <v>105.41500000000001</v>
      </c>
      <c r="O22">
        <v>118.179</v>
      </c>
      <c r="P22">
        <v>107.18300000000001</v>
      </c>
      <c r="R22">
        <v>114.684</v>
      </c>
      <c r="S22">
        <v>104.916</v>
      </c>
      <c r="T22">
        <v>110.733</v>
      </c>
      <c r="U22">
        <v>110.988</v>
      </c>
      <c r="W22">
        <v>101.514</v>
      </c>
      <c r="X22">
        <v>116.238</v>
      </c>
      <c r="Y22">
        <v>116.3</v>
      </c>
      <c r="AC22">
        <v>127.837</v>
      </c>
      <c r="AD22">
        <v>128.239</v>
      </c>
      <c r="AI22" s="27">
        <v>43343</v>
      </c>
      <c r="AZ22">
        <v>100.995</v>
      </c>
      <c r="BA22">
        <v>103.712</v>
      </c>
      <c r="BC22">
        <v>101.4555</v>
      </c>
    </row>
    <row r="23" spans="2:55">
      <c r="B23" s="27">
        <v>44043</v>
      </c>
      <c r="C23">
        <v>109.05200000000001</v>
      </c>
      <c r="D23">
        <v>109.117</v>
      </c>
      <c r="E23">
        <v>110.21</v>
      </c>
      <c r="F23">
        <v>114.42</v>
      </c>
      <c r="G23">
        <v>108.289</v>
      </c>
      <c r="H23">
        <v>108.289</v>
      </c>
      <c r="I23">
        <v>108.44799999999999</v>
      </c>
      <c r="J23">
        <v>107.524</v>
      </c>
      <c r="K23">
        <v>119.185</v>
      </c>
      <c r="L23">
        <v>110.26600000000001</v>
      </c>
      <c r="M23">
        <v>110.419</v>
      </c>
      <c r="N23">
        <v>106.239</v>
      </c>
      <c r="O23">
        <v>118.285</v>
      </c>
      <c r="P23">
        <v>109.16</v>
      </c>
      <c r="R23">
        <v>116.869</v>
      </c>
      <c r="S23">
        <v>105.273</v>
      </c>
      <c r="T23">
        <v>111.651</v>
      </c>
      <c r="U23">
        <v>111.95699999999999</v>
      </c>
      <c r="W23">
        <v>101.892</v>
      </c>
      <c r="X23">
        <v>116.99299999999999</v>
      </c>
      <c r="Y23">
        <v>117.095</v>
      </c>
      <c r="AC23">
        <v>130.08500000000001</v>
      </c>
      <c r="AD23">
        <v>130.52699999999999</v>
      </c>
      <c r="AI23" s="27">
        <v>43312</v>
      </c>
      <c r="AZ23">
        <v>101.11499999999999</v>
      </c>
      <c r="BA23">
        <v>103.72499999999999</v>
      </c>
      <c r="BC23">
        <v>101.7685</v>
      </c>
    </row>
    <row r="24" spans="2:55">
      <c r="B24" s="27">
        <v>44012</v>
      </c>
      <c r="C24">
        <v>109.29300000000001</v>
      </c>
      <c r="D24">
        <v>109.265</v>
      </c>
      <c r="E24">
        <v>109.676</v>
      </c>
      <c r="F24">
        <v>113.297</v>
      </c>
      <c r="G24">
        <v>106.587</v>
      </c>
      <c r="H24">
        <v>106.587</v>
      </c>
      <c r="I24">
        <v>107.559</v>
      </c>
      <c r="J24">
        <v>107.033</v>
      </c>
      <c r="K24">
        <v>117.967</v>
      </c>
      <c r="L24">
        <v>108.117</v>
      </c>
      <c r="M24">
        <v>108.114</v>
      </c>
      <c r="N24">
        <v>103.928</v>
      </c>
      <c r="O24">
        <v>117.271</v>
      </c>
      <c r="P24">
        <v>108.626</v>
      </c>
      <c r="R24">
        <v>116.38500000000001</v>
      </c>
      <c r="S24">
        <v>103.075</v>
      </c>
      <c r="T24">
        <v>111.10299999999999</v>
      </c>
      <c r="U24">
        <v>111.41200000000001</v>
      </c>
      <c r="W24">
        <v>100.759</v>
      </c>
      <c r="X24">
        <v>112.004</v>
      </c>
      <c r="Y24">
        <v>111.742</v>
      </c>
      <c r="AC24">
        <v>129.01</v>
      </c>
      <c r="AD24">
        <v>129.43199999999999</v>
      </c>
      <c r="AI24" s="27">
        <v>43281</v>
      </c>
      <c r="AY24">
        <v>100.01600000000001</v>
      </c>
      <c r="AZ24">
        <v>101.25449999999999</v>
      </c>
      <c r="BA24">
        <v>103.99250000000001</v>
      </c>
      <c r="BC24">
        <v>101.7525</v>
      </c>
    </row>
    <row r="25" spans="2:55">
      <c r="B25" s="27">
        <v>43982</v>
      </c>
      <c r="C25">
        <v>109.229</v>
      </c>
      <c r="D25">
        <v>109.194</v>
      </c>
      <c r="E25">
        <v>109.12</v>
      </c>
      <c r="F25">
        <v>113.84</v>
      </c>
      <c r="G25">
        <v>104.517</v>
      </c>
      <c r="H25">
        <v>104.517</v>
      </c>
      <c r="I25">
        <v>105.369</v>
      </c>
      <c r="J25">
        <v>108.08199999999999</v>
      </c>
      <c r="K25">
        <v>116.705</v>
      </c>
      <c r="L25">
        <v>105.863</v>
      </c>
      <c r="M25">
        <v>105.44499999999999</v>
      </c>
      <c r="N25">
        <v>101.28700000000001</v>
      </c>
      <c r="O25">
        <v>115.307</v>
      </c>
      <c r="P25">
        <v>109.735</v>
      </c>
      <c r="R25">
        <v>117.629</v>
      </c>
      <c r="S25">
        <v>101.297</v>
      </c>
      <c r="T25">
        <v>110.658</v>
      </c>
      <c r="U25">
        <v>110.96899999999999</v>
      </c>
      <c r="W25">
        <v>97.22</v>
      </c>
      <c r="X25">
        <v>108.654</v>
      </c>
      <c r="Y25">
        <v>108.16</v>
      </c>
      <c r="AC25">
        <v>128.857</v>
      </c>
      <c r="AD25">
        <v>129.273</v>
      </c>
      <c r="AI25" s="27">
        <v>43251</v>
      </c>
      <c r="AY25">
        <v>100.3575</v>
      </c>
      <c r="AZ25">
        <v>101.121</v>
      </c>
      <c r="BA25">
        <v>104.23050000000001</v>
      </c>
      <c r="BC25">
        <v>102.1395</v>
      </c>
    </row>
    <row r="26" spans="2:55">
      <c r="B26" s="27">
        <v>43951</v>
      </c>
      <c r="C26">
        <v>109.458</v>
      </c>
      <c r="D26">
        <v>109.438</v>
      </c>
      <c r="E26">
        <v>109.61199999999999</v>
      </c>
      <c r="F26">
        <v>111.798</v>
      </c>
      <c r="G26">
        <v>104.309</v>
      </c>
      <c r="H26">
        <v>104.309</v>
      </c>
      <c r="I26">
        <v>105.43</v>
      </c>
      <c r="J26">
        <v>107.408</v>
      </c>
      <c r="K26">
        <v>114.827</v>
      </c>
      <c r="L26">
        <v>105.60299999999999</v>
      </c>
      <c r="M26">
        <v>105.496</v>
      </c>
      <c r="N26">
        <v>101.212</v>
      </c>
      <c r="O26">
        <v>113.298</v>
      </c>
      <c r="P26">
        <v>109.065</v>
      </c>
      <c r="R26">
        <v>117.011</v>
      </c>
      <c r="S26">
        <v>99.688999999999993</v>
      </c>
      <c r="T26">
        <v>111.014</v>
      </c>
      <c r="U26">
        <v>111.379</v>
      </c>
      <c r="W26">
        <v>97.307000000000002</v>
      </c>
      <c r="X26">
        <v>112.54600000000001</v>
      </c>
      <c r="Y26">
        <v>111.425</v>
      </c>
      <c r="AC26">
        <v>126.102</v>
      </c>
      <c r="AD26">
        <v>126.491</v>
      </c>
      <c r="AI26" s="27">
        <v>43220</v>
      </c>
      <c r="AY26">
        <v>100.9195</v>
      </c>
      <c r="AZ26">
        <v>101.36799999999999</v>
      </c>
      <c r="BA26">
        <v>104.3115</v>
      </c>
      <c r="BC26">
        <v>102.1095</v>
      </c>
    </row>
    <row r="27" spans="2:55">
      <c r="B27" s="27">
        <v>43921</v>
      </c>
      <c r="C27">
        <v>110.01600000000001</v>
      </c>
      <c r="D27">
        <v>110.108</v>
      </c>
      <c r="E27">
        <v>108.76900000000001</v>
      </c>
      <c r="F27">
        <v>114.488</v>
      </c>
      <c r="G27">
        <v>107.6</v>
      </c>
      <c r="H27">
        <v>107.6</v>
      </c>
      <c r="I27">
        <v>103.018</v>
      </c>
      <c r="J27">
        <v>107.57</v>
      </c>
      <c r="K27">
        <v>116.324</v>
      </c>
      <c r="L27">
        <v>109.38500000000001</v>
      </c>
      <c r="M27">
        <v>110.11199999999999</v>
      </c>
      <c r="N27">
        <v>105.7</v>
      </c>
      <c r="O27">
        <v>115.78700000000001</v>
      </c>
      <c r="P27">
        <v>110.017</v>
      </c>
      <c r="R27">
        <v>118.035</v>
      </c>
      <c r="S27">
        <v>101.376</v>
      </c>
      <c r="T27">
        <v>109.752</v>
      </c>
      <c r="U27">
        <v>110.119</v>
      </c>
      <c r="W27">
        <v>94.257000000000005</v>
      </c>
      <c r="X27">
        <v>117.839</v>
      </c>
      <c r="Y27">
        <v>117.009</v>
      </c>
      <c r="AC27">
        <v>129.863</v>
      </c>
      <c r="AD27">
        <v>130.31399999999999</v>
      </c>
      <c r="AI27" s="27">
        <v>43190</v>
      </c>
      <c r="AY27">
        <v>101.373</v>
      </c>
      <c r="AZ27">
        <v>101.4345</v>
      </c>
      <c r="BA27">
        <v>104.63849999999999</v>
      </c>
      <c r="BC27">
        <v>102.42449999999999</v>
      </c>
    </row>
    <row r="28" spans="2:55">
      <c r="B28" s="27">
        <v>43890</v>
      </c>
      <c r="C28">
        <v>110.604</v>
      </c>
      <c r="D28">
        <v>110.583</v>
      </c>
      <c r="E28">
        <v>112.26300000000001</v>
      </c>
      <c r="F28">
        <v>115.23099999999999</v>
      </c>
      <c r="G28">
        <v>106.036</v>
      </c>
      <c r="H28">
        <v>106.036</v>
      </c>
      <c r="I28">
        <v>109.104</v>
      </c>
      <c r="J28">
        <v>103.58199999999999</v>
      </c>
      <c r="K28">
        <v>119.291</v>
      </c>
      <c r="L28">
        <v>107.58199999999999</v>
      </c>
      <c r="M28">
        <v>108.089</v>
      </c>
      <c r="N28">
        <v>103.51600000000001</v>
      </c>
      <c r="O28">
        <v>118.93899999999999</v>
      </c>
      <c r="P28">
        <v>105.65</v>
      </c>
      <c r="R28">
        <v>113.42400000000001</v>
      </c>
      <c r="S28">
        <v>105.56699999999999</v>
      </c>
      <c r="T28">
        <v>111.443</v>
      </c>
      <c r="U28">
        <v>111.71</v>
      </c>
      <c r="W28">
        <v>102.437</v>
      </c>
      <c r="X28">
        <v>114.49299999999999</v>
      </c>
      <c r="Y28">
        <v>113.438</v>
      </c>
      <c r="AC28">
        <v>128.536</v>
      </c>
      <c r="AD28">
        <v>128.964</v>
      </c>
      <c r="AI28" s="27">
        <v>43159</v>
      </c>
      <c r="AY28">
        <v>101.92</v>
      </c>
      <c r="AZ28">
        <v>101.5275</v>
      </c>
      <c r="BA28">
        <v>104.88</v>
      </c>
      <c r="BC28">
        <v>102.94499999999999</v>
      </c>
    </row>
    <row r="29" spans="2:55">
      <c r="B29" s="27">
        <v>43861</v>
      </c>
      <c r="C29">
        <v>110.693</v>
      </c>
      <c r="D29">
        <v>110.661</v>
      </c>
      <c r="E29">
        <v>112.227</v>
      </c>
      <c r="F29">
        <v>114.334</v>
      </c>
      <c r="G29">
        <v>103.721</v>
      </c>
      <c r="H29">
        <v>103.721</v>
      </c>
      <c r="I29">
        <v>108.375</v>
      </c>
      <c r="J29">
        <v>101.70099999999999</v>
      </c>
      <c r="K29">
        <v>118.408</v>
      </c>
      <c r="L29">
        <v>104.846</v>
      </c>
      <c r="M29">
        <v>105.095</v>
      </c>
      <c r="N29">
        <v>100.642</v>
      </c>
      <c r="O29">
        <v>117.504</v>
      </c>
      <c r="P29">
        <v>103.476</v>
      </c>
      <c r="R29">
        <v>111.235</v>
      </c>
      <c r="S29">
        <v>104.10599999999999</v>
      </c>
      <c r="T29">
        <v>111.857</v>
      </c>
      <c r="U29">
        <v>112.596</v>
      </c>
      <c r="X29">
        <v>109.81699999999999</v>
      </c>
      <c r="Y29">
        <v>108.495</v>
      </c>
      <c r="AC29">
        <v>126.599</v>
      </c>
      <c r="AD29">
        <v>126.98699999999999</v>
      </c>
      <c r="AI29" s="27">
        <v>43131</v>
      </c>
      <c r="AY29">
        <v>102.5205</v>
      </c>
      <c r="AZ29">
        <v>101.581</v>
      </c>
      <c r="BA29">
        <v>104.9265</v>
      </c>
      <c r="BC29">
        <v>103.18899999999999</v>
      </c>
    </row>
    <row r="30" spans="2:55">
      <c r="B30" s="27">
        <v>43830</v>
      </c>
      <c r="C30">
        <v>110.242</v>
      </c>
      <c r="D30">
        <v>110.2</v>
      </c>
      <c r="E30">
        <v>111.712</v>
      </c>
      <c r="F30">
        <v>112.78700000000001</v>
      </c>
      <c r="G30">
        <v>101.995</v>
      </c>
      <c r="H30">
        <v>101.995</v>
      </c>
      <c r="I30">
        <v>106.69</v>
      </c>
      <c r="J30">
        <v>99.317999999999998</v>
      </c>
      <c r="K30">
        <v>114.967</v>
      </c>
      <c r="L30">
        <v>102.693</v>
      </c>
      <c r="M30">
        <v>102.79300000000001</v>
      </c>
      <c r="N30">
        <v>98.283000000000001</v>
      </c>
      <c r="O30">
        <v>113.886</v>
      </c>
      <c r="P30">
        <v>100.624</v>
      </c>
      <c r="R30">
        <v>108.242</v>
      </c>
      <c r="S30">
        <v>99.768000000000001</v>
      </c>
      <c r="T30">
        <v>109.16500000000001</v>
      </c>
      <c r="U30">
        <v>109.899</v>
      </c>
      <c r="X30">
        <v>105.892</v>
      </c>
      <c r="Y30">
        <v>104.355</v>
      </c>
      <c r="AC30">
        <v>117.13200000000001</v>
      </c>
      <c r="AD30">
        <v>117.36799999999999</v>
      </c>
      <c r="AI30" s="27">
        <v>43100</v>
      </c>
      <c r="AY30">
        <v>102.97150000000001</v>
      </c>
      <c r="AZ30">
        <v>101.63500000000001</v>
      </c>
      <c r="BA30">
        <v>104.8935</v>
      </c>
      <c r="BC30">
        <v>103.514</v>
      </c>
    </row>
    <row r="31" spans="2:55">
      <c r="B31" s="27">
        <v>43799</v>
      </c>
      <c r="C31">
        <v>111.175</v>
      </c>
      <c r="D31">
        <v>111.196</v>
      </c>
      <c r="E31">
        <v>112.268</v>
      </c>
      <c r="F31">
        <v>114.13200000000001</v>
      </c>
      <c r="G31">
        <v>102.901</v>
      </c>
      <c r="H31">
        <v>102.901</v>
      </c>
      <c r="I31">
        <v>107.254</v>
      </c>
      <c r="J31">
        <v>99.76</v>
      </c>
      <c r="K31">
        <v>117.38200000000001</v>
      </c>
      <c r="L31">
        <v>103.858</v>
      </c>
      <c r="M31">
        <v>104.038</v>
      </c>
      <c r="N31">
        <v>99.525000000000006</v>
      </c>
      <c r="O31">
        <v>116.955</v>
      </c>
      <c r="P31">
        <v>101.258</v>
      </c>
      <c r="R31">
        <v>108.982</v>
      </c>
      <c r="S31">
        <v>102.431</v>
      </c>
      <c r="T31">
        <v>110.85</v>
      </c>
      <c r="U31">
        <v>111.593</v>
      </c>
      <c r="X31">
        <v>107.614</v>
      </c>
      <c r="Y31">
        <v>106.15</v>
      </c>
      <c r="AC31">
        <v>124.47799999999999</v>
      </c>
      <c r="AD31">
        <v>124.827</v>
      </c>
      <c r="AI31" s="27">
        <v>43069</v>
      </c>
      <c r="AY31">
        <v>103.4645</v>
      </c>
      <c r="AZ31">
        <v>101.937</v>
      </c>
      <c r="BA31">
        <v>105.39</v>
      </c>
      <c r="BC31">
        <v>104.08150000000001</v>
      </c>
    </row>
    <row r="32" spans="2:55">
      <c r="B32" s="27">
        <v>43769</v>
      </c>
      <c r="C32">
        <v>111.015</v>
      </c>
      <c r="D32">
        <v>110.997</v>
      </c>
      <c r="E32">
        <v>112.696</v>
      </c>
      <c r="F32">
        <v>113.42100000000001</v>
      </c>
      <c r="G32">
        <v>103.191</v>
      </c>
      <c r="H32">
        <v>103.191</v>
      </c>
      <c r="I32">
        <v>107.53</v>
      </c>
      <c r="J32">
        <v>100.017</v>
      </c>
      <c r="K32">
        <v>116.248</v>
      </c>
      <c r="L32">
        <v>104.081</v>
      </c>
      <c r="M32">
        <v>104.03100000000001</v>
      </c>
      <c r="N32">
        <v>99.626999999999995</v>
      </c>
      <c r="O32">
        <v>115.78400000000001</v>
      </c>
      <c r="P32">
        <v>101.554</v>
      </c>
      <c r="R32">
        <v>109.355</v>
      </c>
      <c r="S32">
        <v>101.33</v>
      </c>
      <c r="T32">
        <v>111.221</v>
      </c>
      <c r="U32">
        <v>111.971</v>
      </c>
      <c r="X32">
        <v>107.879</v>
      </c>
      <c r="Y32">
        <v>106.417</v>
      </c>
      <c r="AC32">
        <v>121.595</v>
      </c>
      <c r="AD32">
        <v>121.873</v>
      </c>
      <c r="AI32" s="27">
        <v>43039</v>
      </c>
      <c r="AY32">
        <v>103.98699999999999</v>
      </c>
      <c r="AZ32">
        <v>101.8935</v>
      </c>
      <c r="BA32">
        <v>105.449</v>
      </c>
      <c r="BC32">
        <v>104.503</v>
      </c>
    </row>
    <row r="33" spans="2:55">
      <c r="B33" s="27">
        <v>43738</v>
      </c>
      <c r="C33">
        <v>111.7</v>
      </c>
      <c r="D33">
        <v>110.911</v>
      </c>
      <c r="E33">
        <v>113.47</v>
      </c>
      <c r="F33">
        <v>114.756</v>
      </c>
      <c r="G33">
        <v>103.86</v>
      </c>
      <c r="H33">
        <v>103.86</v>
      </c>
      <c r="I33">
        <v>108.244</v>
      </c>
      <c r="J33">
        <v>101.02500000000001</v>
      </c>
      <c r="K33">
        <v>118.105</v>
      </c>
      <c r="L33">
        <v>104.959</v>
      </c>
      <c r="M33">
        <v>104.979</v>
      </c>
      <c r="N33">
        <v>100.589</v>
      </c>
      <c r="O33">
        <v>117.61799999999999</v>
      </c>
      <c r="P33">
        <v>102.54900000000001</v>
      </c>
      <c r="R33">
        <v>110.48699999999999</v>
      </c>
      <c r="S33">
        <v>103.274</v>
      </c>
      <c r="T33">
        <v>113.065</v>
      </c>
      <c r="U33">
        <v>113.83</v>
      </c>
      <c r="X33">
        <v>109.437</v>
      </c>
      <c r="Y33">
        <v>108.038</v>
      </c>
      <c r="AC33">
        <v>130.24600000000001</v>
      </c>
      <c r="AD33">
        <v>130.57599999999999</v>
      </c>
      <c r="AI33" s="27">
        <v>43008</v>
      </c>
      <c r="AY33">
        <v>104.482</v>
      </c>
      <c r="AZ33">
        <v>102.108</v>
      </c>
      <c r="BA33">
        <v>105.1495</v>
      </c>
      <c r="BC33">
        <v>105.048</v>
      </c>
    </row>
    <row r="34" spans="2:55">
      <c r="B34" s="27">
        <v>43708</v>
      </c>
      <c r="C34">
        <v>112.09099999999999</v>
      </c>
      <c r="D34">
        <v>111.29600000000001</v>
      </c>
      <c r="E34">
        <v>114.35</v>
      </c>
      <c r="F34">
        <v>114.925</v>
      </c>
      <c r="G34">
        <v>104.66200000000001</v>
      </c>
      <c r="H34">
        <v>104.66200000000001</v>
      </c>
      <c r="I34">
        <v>110.02500000000001</v>
      </c>
      <c r="J34">
        <v>102.32599999999999</v>
      </c>
      <c r="K34">
        <v>118.599</v>
      </c>
      <c r="L34">
        <v>106.06399999999999</v>
      </c>
      <c r="M34">
        <v>106.15600000000001</v>
      </c>
      <c r="N34">
        <v>101.70399999999999</v>
      </c>
      <c r="O34">
        <v>118.14</v>
      </c>
      <c r="P34">
        <v>104.05800000000001</v>
      </c>
      <c r="R34">
        <v>112.161</v>
      </c>
      <c r="S34">
        <v>103.664</v>
      </c>
      <c r="T34">
        <v>114.64400000000001</v>
      </c>
      <c r="U34">
        <v>115.42100000000001</v>
      </c>
      <c r="X34">
        <v>111.27200000000001</v>
      </c>
      <c r="Y34">
        <v>109.953</v>
      </c>
      <c r="AC34">
        <v>131.65600000000001</v>
      </c>
      <c r="AD34">
        <v>131.99600000000001</v>
      </c>
      <c r="AI34" s="27">
        <v>42978</v>
      </c>
      <c r="AY34">
        <v>104.994</v>
      </c>
      <c r="AZ34">
        <v>102.304</v>
      </c>
      <c r="BA34">
        <v>105.3605</v>
      </c>
      <c r="BC34">
        <v>105.56950000000001</v>
      </c>
    </row>
    <row r="35" spans="2:55">
      <c r="B35" s="27">
        <v>43677</v>
      </c>
      <c r="C35">
        <v>112.02800000000001</v>
      </c>
      <c r="D35">
        <v>111.196</v>
      </c>
      <c r="E35">
        <v>113.86799999999999</v>
      </c>
      <c r="F35">
        <v>114.21</v>
      </c>
      <c r="G35">
        <v>102.95699999999999</v>
      </c>
      <c r="H35">
        <v>102.95699999999999</v>
      </c>
      <c r="I35">
        <v>108.149</v>
      </c>
      <c r="J35">
        <v>100.566</v>
      </c>
      <c r="K35">
        <v>116.404</v>
      </c>
      <c r="L35">
        <v>103.551</v>
      </c>
      <c r="M35">
        <v>103.55500000000001</v>
      </c>
      <c r="N35">
        <v>99.114999999999995</v>
      </c>
      <c r="O35">
        <v>115.504</v>
      </c>
      <c r="P35">
        <v>101.95399999999999</v>
      </c>
      <c r="R35">
        <v>109.968</v>
      </c>
      <c r="S35">
        <v>100.928</v>
      </c>
      <c r="T35">
        <v>111.383</v>
      </c>
      <c r="U35">
        <v>112.15</v>
      </c>
      <c r="X35">
        <v>106.041</v>
      </c>
      <c r="Y35">
        <v>104.455</v>
      </c>
      <c r="AC35">
        <v>123.96299999999999</v>
      </c>
      <c r="AD35">
        <v>124.14400000000001</v>
      </c>
      <c r="AI35" s="27">
        <v>42947</v>
      </c>
      <c r="AY35">
        <v>105.5025</v>
      </c>
      <c r="AZ35">
        <v>102.1865</v>
      </c>
      <c r="BA35">
        <v>105.65349999999999</v>
      </c>
      <c r="BC35">
        <v>105.59950000000001</v>
      </c>
    </row>
    <row r="36" spans="2:55">
      <c r="B36" s="27">
        <v>43646</v>
      </c>
      <c r="C36">
        <v>111.697</v>
      </c>
      <c r="D36">
        <v>111.151</v>
      </c>
      <c r="E36">
        <v>113.13</v>
      </c>
      <c r="F36">
        <v>112.44</v>
      </c>
      <c r="G36">
        <v>103.679</v>
      </c>
      <c r="H36">
        <v>103.679</v>
      </c>
      <c r="I36">
        <v>106.386</v>
      </c>
      <c r="J36">
        <v>100.286</v>
      </c>
      <c r="K36">
        <v>114.664</v>
      </c>
      <c r="L36">
        <v>104.32899999999999</v>
      </c>
      <c r="M36">
        <v>104.345</v>
      </c>
      <c r="N36">
        <v>99.843999999999994</v>
      </c>
      <c r="O36">
        <v>113.245</v>
      </c>
      <c r="P36">
        <v>101.53700000000001</v>
      </c>
      <c r="R36">
        <v>109.58199999999999</v>
      </c>
      <c r="T36">
        <v>109.56</v>
      </c>
      <c r="U36">
        <v>110.325</v>
      </c>
      <c r="X36">
        <v>107.11199999999999</v>
      </c>
      <c r="Y36">
        <v>105.56399999999999</v>
      </c>
      <c r="AC36">
        <v>121.172</v>
      </c>
      <c r="AD36">
        <v>121.336</v>
      </c>
      <c r="AI36" s="27">
        <v>42916</v>
      </c>
      <c r="AY36">
        <v>105.84650000000001</v>
      </c>
      <c r="AZ36">
        <v>102.3455</v>
      </c>
      <c r="BA36">
        <v>105.46250000000001</v>
      </c>
      <c r="BC36">
        <v>105.55549999999999</v>
      </c>
    </row>
    <row r="37" spans="2:55">
      <c r="B37" s="27">
        <v>43616</v>
      </c>
      <c r="C37">
        <v>111.319</v>
      </c>
      <c r="D37">
        <v>110.93600000000001</v>
      </c>
      <c r="E37">
        <v>112.35299999999999</v>
      </c>
      <c r="F37">
        <v>111.355</v>
      </c>
      <c r="G37">
        <v>102.886</v>
      </c>
      <c r="H37">
        <v>102.886</v>
      </c>
      <c r="I37">
        <v>105.173</v>
      </c>
      <c r="J37">
        <v>99.608999999999995</v>
      </c>
      <c r="K37">
        <v>113.23399999999999</v>
      </c>
      <c r="L37">
        <v>103.399</v>
      </c>
      <c r="M37">
        <v>103.373</v>
      </c>
      <c r="N37">
        <v>98.789000000000001</v>
      </c>
      <c r="O37">
        <v>111.587</v>
      </c>
      <c r="P37">
        <v>100.74299999999999</v>
      </c>
      <c r="R37">
        <v>108.78100000000001</v>
      </c>
      <c r="T37">
        <v>107.91</v>
      </c>
      <c r="U37">
        <v>108.673</v>
      </c>
      <c r="X37">
        <v>105.185</v>
      </c>
      <c r="Y37">
        <v>103.538</v>
      </c>
      <c r="AC37">
        <v>118.587</v>
      </c>
      <c r="AD37">
        <v>118.711</v>
      </c>
      <c r="AI37" s="27">
        <v>42886</v>
      </c>
      <c r="AY37">
        <v>106.59099999999999</v>
      </c>
      <c r="AZ37">
        <v>102.545</v>
      </c>
      <c r="BA37">
        <v>106.11799999999999</v>
      </c>
      <c r="BC37">
        <v>106.03400000000001</v>
      </c>
    </row>
    <row r="38" spans="2:55">
      <c r="B38" s="27">
        <v>43585</v>
      </c>
      <c r="C38">
        <v>110.86799999999999</v>
      </c>
      <c r="D38">
        <v>110.63</v>
      </c>
      <c r="E38">
        <v>112.002</v>
      </c>
      <c r="F38">
        <v>110.15900000000001</v>
      </c>
      <c r="G38">
        <v>101.11499999999999</v>
      </c>
      <c r="H38">
        <v>101.11499999999999</v>
      </c>
      <c r="I38">
        <v>104.46</v>
      </c>
      <c r="J38">
        <v>98.528999999999996</v>
      </c>
      <c r="K38">
        <v>110.354</v>
      </c>
      <c r="L38">
        <v>101.24299999999999</v>
      </c>
      <c r="M38">
        <v>101.084</v>
      </c>
      <c r="N38">
        <v>96.498999999999995</v>
      </c>
      <c r="O38">
        <v>108.742</v>
      </c>
      <c r="P38">
        <v>99.47</v>
      </c>
      <c r="R38">
        <v>107.467</v>
      </c>
      <c r="T38">
        <v>105.89</v>
      </c>
      <c r="U38">
        <v>106.64700000000001</v>
      </c>
      <c r="X38">
        <v>102.839</v>
      </c>
      <c r="Y38">
        <v>99.698999999999998</v>
      </c>
      <c r="AD38">
        <v>113.32599999999999</v>
      </c>
      <c r="AI38" s="27">
        <v>42855</v>
      </c>
      <c r="AY38">
        <v>107.08450000000001</v>
      </c>
      <c r="AZ38">
        <v>102.71299999999999</v>
      </c>
      <c r="BA38">
        <v>105.7945</v>
      </c>
      <c r="BC38">
        <v>105.5305</v>
      </c>
    </row>
    <row r="39" spans="2:55">
      <c r="B39" s="27">
        <v>43555</v>
      </c>
      <c r="C39">
        <v>110.66200000000001</v>
      </c>
      <c r="D39">
        <v>110.544</v>
      </c>
      <c r="E39">
        <v>111.777</v>
      </c>
      <c r="F39">
        <v>110.2</v>
      </c>
      <c r="G39">
        <v>102.372</v>
      </c>
      <c r="H39">
        <v>102.372</v>
      </c>
      <c r="I39">
        <v>103.697</v>
      </c>
      <c r="J39">
        <v>99.456000000000003</v>
      </c>
      <c r="K39">
        <v>109.801</v>
      </c>
      <c r="L39">
        <v>102.652</v>
      </c>
      <c r="M39">
        <v>102.64400000000001</v>
      </c>
      <c r="N39">
        <v>97.98</v>
      </c>
      <c r="O39">
        <v>108.10299999999999</v>
      </c>
      <c r="P39">
        <v>100.616</v>
      </c>
      <c r="R39">
        <v>108.747</v>
      </c>
      <c r="T39">
        <v>106.334</v>
      </c>
      <c r="U39">
        <v>107.099</v>
      </c>
      <c r="X39">
        <v>105.129</v>
      </c>
      <c r="Y39">
        <v>101.911</v>
      </c>
      <c r="AD39">
        <v>114.134</v>
      </c>
      <c r="AI39" s="27">
        <v>42825</v>
      </c>
      <c r="AY39">
        <v>107.35550000000001</v>
      </c>
      <c r="AZ39">
        <v>102.58499999999999</v>
      </c>
      <c r="BA39">
        <v>105.6895</v>
      </c>
      <c r="BC39">
        <v>105.199</v>
      </c>
    </row>
    <row r="40" spans="2:55">
      <c r="B40" s="27">
        <v>43524</v>
      </c>
      <c r="C40">
        <v>109.739</v>
      </c>
      <c r="D40">
        <v>109.986</v>
      </c>
      <c r="E40">
        <v>110.828</v>
      </c>
      <c r="F40">
        <v>107.58799999999999</v>
      </c>
      <c r="G40">
        <v>100.108</v>
      </c>
      <c r="H40">
        <v>100.108</v>
      </c>
      <c r="I40">
        <v>101.83199999999999</v>
      </c>
      <c r="J40">
        <v>100.446</v>
      </c>
      <c r="K40">
        <v>107.06</v>
      </c>
      <c r="L40">
        <v>100.14100000000001</v>
      </c>
      <c r="M40">
        <v>100.218</v>
      </c>
      <c r="N40">
        <v>95.07</v>
      </c>
      <c r="O40">
        <v>104.937</v>
      </c>
      <c r="R40">
        <v>110.172</v>
      </c>
      <c r="T40">
        <v>103.756</v>
      </c>
      <c r="U40">
        <v>104.515</v>
      </c>
      <c r="X40">
        <v>102.536</v>
      </c>
      <c r="AD40">
        <v>108.578</v>
      </c>
      <c r="AI40" s="27">
        <v>42794</v>
      </c>
      <c r="AW40">
        <v>100.005</v>
      </c>
      <c r="AY40">
        <v>107.84399999999999</v>
      </c>
      <c r="AZ40">
        <v>102.80200000000001</v>
      </c>
      <c r="BA40">
        <v>105.56</v>
      </c>
      <c r="BC40">
        <v>104.961</v>
      </c>
    </row>
    <row r="41" spans="2:55">
      <c r="B41" s="27">
        <v>43496</v>
      </c>
      <c r="C41">
        <v>109.339</v>
      </c>
      <c r="D41">
        <v>109.83</v>
      </c>
      <c r="E41">
        <v>110.92400000000001</v>
      </c>
      <c r="F41">
        <v>109.104</v>
      </c>
      <c r="G41">
        <v>100.279</v>
      </c>
      <c r="H41">
        <v>100.279</v>
      </c>
      <c r="I41">
        <v>101.864</v>
      </c>
      <c r="J41">
        <v>100.672</v>
      </c>
      <c r="K41">
        <v>105.699</v>
      </c>
      <c r="L41">
        <v>100.429</v>
      </c>
      <c r="M41">
        <v>100.3</v>
      </c>
      <c r="N41">
        <v>95.364999999999995</v>
      </c>
      <c r="O41">
        <v>103.05500000000001</v>
      </c>
      <c r="R41">
        <v>110.566</v>
      </c>
      <c r="T41">
        <v>104.154</v>
      </c>
      <c r="U41">
        <v>104.92100000000001</v>
      </c>
      <c r="X41">
        <v>103.56699999999999</v>
      </c>
      <c r="AD41">
        <v>108.56399999999999</v>
      </c>
      <c r="AI41" s="27">
        <v>42766</v>
      </c>
      <c r="AW41">
        <v>100.1</v>
      </c>
      <c r="AY41">
        <v>108.27200000000001</v>
      </c>
      <c r="AZ41">
        <v>102.6</v>
      </c>
      <c r="BA41">
        <v>105.1935</v>
      </c>
      <c r="BC41">
        <v>104.51</v>
      </c>
    </row>
    <row r="42" spans="2:55">
      <c r="B42" s="27">
        <v>43465</v>
      </c>
      <c r="C42">
        <v>109.33499999999999</v>
      </c>
      <c r="D42">
        <v>109.764</v>
      </c>
      <c r="E42">
        <v>110.64400000000001</v>
      </c>
      <c r="F42">
        <v>108.66</v>
      </c>
      <c r="G42">
        <v>100.32599999999999</v>
      </c>
      <c r="H42">
        <v>100.32599999999999</v>
      </c>
      <c r="I42">
        <v>101.343</v>
      </c>
      <c r="J42">
        <v>100.43600000000001</v>
      </c>
      <c r="K42">
        <v>105.119</v>
      </c>
      <c r="L42">
        <v>100.827</v>
      </c>
      <c r="M42">
        <v>100.334</v>
      </c>
      <c r="N42">
        <v>95.355999999999995</v>
      </c>
      <c r="O42">
        <v>102.244</v>
      </c>
      <c r="R42">
        <v>110.328</v>
      </c>
      <c r="T42">
        <v>102.59</v>
      </c>
      <c r="U42">
        <v>103.35299999999999</v>
      </c>
      <c r="X42">
        <v>101.65600000000001</v>
      </c>
      <c r="AD42">
        <v>107.044</v>
      </c>
      <c r="AI42" s="27">
        <v>42735</v>
      </c>
      <c r="AW42">
        <v>100.27200000000001</v>
      </c>
      <c r="AY42">
        <v>108.7145</v>
      </c>
      <c r="AZ42">
        <v>102.518</v>
      </c>
      <c r="BA42">
        <v>104.63800000000001</v>
      </c>
      <c r="BC42">
        <v>102.997</v>
      </c>
    </row>
    <row r="43" spans="2:55">
      <c r="B43" s="27">
        <v>43434</v>
      </c>
      <c r="C43">
        <v>108.899</v>
      </c>
      <c r="D43">
        <v>109.01900000000001</v>
      </c>
      <c r="E43">
        <v>111.526</v>
      </c>
      <c r="F43">
        <v>108.154</v>
      </c>
      <c r="G43">
        <v>97.278999999999996</v>
      </c>
      <c r="H43">
        <v>97.278999999999996</v>
      </c>
      <c r="I43">
        <v>101.66</v>
      </c>
      <c r="J43">
        <v>99.68</v>
      </c>
      <c r="K43">
        <v>103.651</v>
      </c>
      <c r="L43">
        <v>97.373000000000005</v>
      </c>
      <c r="M43">
        <v>96.751000000000005</v>
      </c>
      <c r="N43">
        <v>91.867999999999995</v>
      </c>
      <c r="O43">
        <v>101.03400000000001</v>
      </c>
      <c r="R43">
        <v>109.502</v>
      </c>
      <c r="T43">
        <v>101.699</v>
      </c>
      <c r="U43">
        <v>102.464</v>
      </c>
      <c r="X43">
        <v>96.433000000000007</v>
      </c>
      <c r="AD43">
        <v>103.482</v>
      </c>
      <c r="AI43" s="27">
        <v>42704</v>
      </c>
      <c r="AT43">
        <v>100.01685000000001</v>
      </c>
      <c r="AV43">
        <v>100.01685000000001</v>
      </c>
      <c r="AW43">
        <v>100.4355</v>
      </c>
      <c r="AY43">
        <v>109.09650000000001</v>
      </c>
      <c r="AZ43">
        <v>102.9115</v>
      </c>
      <c r="BA43">
        <v>105.2675</v>
      </c>
      <c r="BC43">
        <v>104.8035</v>
      </c>
    </row>
    <row r="44" spans="2:55">
      <c r="B44" s="27">
        <v>43404</v>
      </c>
      <c r="C44">
        <v>109.258</v>
      </c>
      <c r="D44">
        <v>109.30200000000001</v>
      </c>
      <c r="E44">
        <v>111.643</v>
      </c>
      <c r="F44">
        <v>108.21599999999999</v>
      </c>
      <c r="G44">
        <v>96.366</v>
      </c>
      <c r="H44">
        <v>96.366</v>
      </c>
      <c r="I44">
        <v>101.955</v>
      </c>
      <c r="J44">
        <v>98.837000000000003</v>
      </c>
      <c r="K44">
        <v>103.741</v>
      </c>
      <c r="L44">
        <v>96.346999999999994</v>
      </c>
      <c r="M44">
        <v>95.766999999999996</v>
      </c>
      <c r="N44">
        <v>90.734999999999999</v>
      </c>
      <c r="O44">
        <v>101.523</v>
      </c>
      <c r="R44">
        <v>108.553</v>
      </c>
      <c r="T44">
        <v>100.965</v>
      </c>
      <c r="U44">
        <v>101.729</v>
      </c>
      <c r="X44">
        <v>94.736999999999995</v>
      </c>
      <c r="AD44">
        <v>103.066</v>
      </c>
      <c r="AI44" s="27">
        <v>42674</v>
      </c>
      <c r="AT44">
        <v>100.4585</v>
      </c>
      <c r="AV44">
        <v>100.4585</v>
      </c>
      <c r="AW44">
        <v>100.5865</v>
      </c>
      <c r="AY44">
        <v>109.426</v>
      </c>
      <c r="AZ44">
        <v>102.9255</v>
      </c>
      <c r="BA44">
        <v>105.959</v>
      </c>
      <c r="BC44">
        <v>105.38500000000001</v>
      </c>
    </row>
    <row r="45" spans="2:55">
      <c r="B45" s="27">
        <v>43373</v>
      </c>
      <c r="C45">
        <v>109.246</v>
      </c>
      <c r="D45">
        <v>109.395</v>
      </c>
      <c r="E45">
        <v>111.32599999999999</v>
      </c>
      <c r="F45">
        <v>107.988</v>
      </c>
      <c r="G45">
        <v>96.343999999999994</v>
      </c>
      <c r="H45">
        <v>96.343999999999994</v>
      </c>
      <c r="I45">
        <v>101.15</v>
      </c>
      <c r="J45">
        <v>98.94</v>
      </c>
      <c r="K45">
        <v>103.34</v>
      </c>
      <c r="L45">
        <v>96.516000000000005</v>
      </c>
      <c r="M45">
        <v>95.905000000000001</v>
      </c>
      <c r="N45">
        <v>90.906999999999996</v>
      </c>
      <c r="O45">
        <v>100.98099999999999</v>
      </c>
      <c r="R45">
        <v>108.803</v>
      </c>
      <c r="T45">
        <v>100.85299999999999</v>
      </c>
      <c r="U45">
        <v>101.625</v>
      </c>
      <c r="X45">
        <v>95.549000000000007</v>
      </c>
      <c r="AD45">
        <v>102.84399999999999</v>
      </c>
      <c r="AI45" s="27">
        <v>42643</v>
      </c>
      <c r="AS45">
        <v>100.01300000000001</v>
      </c>
      <c r="AT45">
        <v>100.90179999999999</v>
      </c>
      <c r="AV45">
        <v>100.58445</v>
      </c>
      <c r="AW45">
        <v>100.74850000000001</v>
      </c>
      <c r="AY45">
        <v>110.163</v>
      </c>
      <c r="AZ45">
        <v>103.0595</v>
      </c>
      <c r="BA45">
        <v>106.648</v>
      </c>
      <c r="BC45">
        <v>106.3955</v>
      </c>
    </row>
    <row r="46" spans="2:55">
      <c r="B46" s="27">
        <v>43343</v>
      </c>
      <c r="C46">
        <v>109.74299999999999</v>
      </c>
      <c r="D46">
        <v>109.879</v>
      </c>
      <c r="E46">
        <v>112.358</v>
      </c>
      <c r="G46">
        <v>96.992999999999995</v>
      </c>
      <c r="H46">
        <v>96.992999999999995</v>
      </c>
      <c r="I46">
        <v>102.73</v>
      </c>
      <c r="J46">
        <v>100.149</v>
      </c>
      <c r="K46">
        <v>104.48699999999999</v>
      </c>
      <c r="L46">
        <v>97.183000000000007</v>
      </c>
      <c r="M46">
        <v>96.664000000000001</v>
      </c>
      <c r="N46">
        <v>91.599000000000004</v>
      </c>
      <c r="O46">
        <v>102.28100000000001</v>
      </c>
      <c r="R46">
        <v>110.40900000000001</v>
      </c>
      <c r="T46">
        <v>101.872</v>
      </c>
      <c r="U46">
        <v>102.654</v>
      </c>
      <c r="X46">
        <v>97.454999999999998</v>
      </c>
      <c r="AD46">
        <v>105.34099999999999</v>
      </c>
      <c r="AI46" s="27">
        <v>42613</v>
      </c>
      <c r="AS46">
        <v>100.1705</v>
      </c>
      <c r="AT46">
        <v>101.28274999999999</v>
      </c>
      <c r="AV46">
        <v>101.28274999999999</v>
      </c>
      <c r="AW46">
        <v>100.8125</v>
      </c>
      <c r="AY46">
        <v>110.62050000000001</v>
      </c>
      <c r="AZ46">
        <v>102.979</v>
      </c>
      <c r="BA46">
        <v>106.8775</v>
      </c>
      <c r="BC46">
        <v>106.6035</v>
      </c>
    </row>
    <row r="47" spans="2:55">
      <c r="B47" s="27">
        <v>43312</v>
      </c>
      <c r="C47">
        <v>109.34399999999999</v>
      </c>
      <c r="D47">
        <v>109.563</v>
      </c>
      <c r="E47">
        <v>112.108</v>
      </c>
      <c r="G47">
        <v>96.632999999999996</v>
      </c>
      <c r="H47">
        <v>97.12</v>
      </c>
      <c r="I47">
        <v>102.31</v>
      </c>
      <c r="J47">
        <v>99.287000000000006</v>
      </c>
      <c r="K47">
        <v>103.468</v>
      </c>
      <c r="L47">
        <v>97.12</v>
      </c>
      <c r="M47">
        <v>96.647999999999996</v>
      </c>
      <c r="N47">
        <v>91.54</v>
      </c>
      <c r="O47">
        <v>101.021</v>
      </c>
      <c r="R47">
        <v>109.46</v>
      </c>
      <c r="T47">
        <v>101.392</v>
      </c>
      <c r="X47">
        <v>97.227000000000004</v>
      </c>
      <c r="AC47">
        <v>104.313</v>
      </c>
      <c r="AD47">
        <v>103.42700000000001</v>
      </c>
      <c r="AI47" s="27">
        <v>42582</v>
      </c>
      <c r="AS47">
        <v>100.59650000000001</v>
      </c>
      <c r="AT47">
        <v>101.77155</v>
      </c>
      <c r="AV47">
        <v>101.77155</v>
      </c>
      <c r="AW47">
        <v>100.87350000000001</v>
      </c>
      <c r="AY47">
        <v>111.02849999999999</v>
      </c>
      <c r="AZ47">
        <v>103.29</v>
      </c>
      <c r="BA47">
        <v>106.43899999999999</v>
      </c>
      <c r="BC47">
        <v>106.82599999999999</v>
      </c>
    </row>
    <row r="48" spans="2:55">
      <c r="B48" s="27">
        <v>43281</v>
      </c>
      <c r="C48">
        <v>109.495</v>
      </c>
      <c r="D48">
        <v>109.746</v>
      </c>
      <c r="E48">
        <v>112.69199999999999</v>
      </c>
      <c r="F48">
        <v>108.491</v>
      </c>
      <c r="G48">
        <v>96.825999999999993</v>
      </c>
      <c r="H48">
        <v>96.852000000000004</v>
      </c>
      <c r="I48">
        <v>102.94499999999999</v>
      </c>
      <c r="J48">
        <v>100.11799999999999</v>
      </c>
      <c r="K48">
        <v>103.559</v>
      </c>
      <c r="L48">
        <v>96.887</v>
      </c>
      <c r="M48">
        <v>96.433000000000007</v>
      </c>
      <c r="N48">
        <v>91.3</v>
      </c>
      <c r="O48">
        <v>101.19199999999999</v>
      </c>
      <c r="R48">
        <v>110.578</v>
      </c>
      <c r="T48">
        <v>102.45099999999999</v>
      </c>
      <c r="X48">
        <v>96.891000000000005</v>
      </c>
      <c r="AC48">
        <v>102.801</v>
      </c>
      <c r="AD48">
        <v>102.857</v>
      </c>
      <c r="AI48" s="27">
        <v>42551</v>
      </c>
      <c r="AS48">
        <v>100.96250000000001</v>
      </c>
      <c r="AT48">
        <v>102.17735</v>
      </c>
      <c r="AV48">
        <v>102.17735</v>
      </c>
      <c r="AW48">
        <v>101.116</v>
      </c>
      <c r="AY48">
        <v>111.0895</v>
      </c>
      <c r="AZ48">
        <v>103.53449999999999</v>
      </c>
      <c r="BA48">
        <v>106.1955</v>
      </c>
      <c r="BC48">
        <v>106.935</v>
      </c>
    </row>
    <row r="49" spans="2:55">
      <c r="B49" s="27">
        <v>43251</v>
      </c>
      <c r="C49">
        <v>109.575</v>
      </c>
      <c r="D49">
        <v>109.77500000000001</v>
      </c>
      <c r="E49">
        <v>112.82899999999999</v>
      </c>
      <c r="F49">
        <v>108.238</v>
      </c>
      <c r="G49">
        <v>97.397999999999996</v>
      </c>
      <c r="H49">
        <v>97.424999999999997</v>
      </c>
      <c r="I49">
        <v>102.702</v>
      </c>
      <c r="J49">
        <v>100.15900000000001</v>
      </c>
      <c r="K49">
        <v>103.646</v>
      </c>
      <c r="L49">
        <v>97.453999999999994</v>
      </c>
      <c r="M49">
        <v>97.061000000000007</v>
      </c>
      <c r="N49">
        <v>91.864000000000004</v>
      </c>
      <c r="O49">
        <v>100.89</v>
      </c>
      <c r="R49">
        <v>110.69199999999999</v>
      </c>
      <c r="T49">
        <v>102.00700000000001</v>
      </c>
      <c r="X49">
        <v>97.867000000000004</v>
      </c>
      <c r="AC49">
        <v>102.14700000000001</v>
      </c>
      <c r="AD49">
        <v>102.215</v>
      </c>
      <c r="AI49" s="27">
        <v>42521</v>
      </c>
      <c r="AS49">
        <v>101.20399999999999</v>
      </c>
      <c r="AT49">
        <v>102.0248</v>
      </c>
      <c r="AV49">
        <v>102.0248</v>
      </c>
      <c r="AW49">
        <v>101.226</v>
      </c>
      <c r="AY49">
        <v>111.124</v>
      </c>
      <c r="AZ49">
        <v>103.039</v>
      </c>
      <c r="BA49">
        <v>105.976</v>
      </c>
      <c r="BC49">
        <v>105.6915</v>
      </c>
    </row>
    <row r="50" spans="2:55">
      <c r="B50" s="27">
        <v>43220</v>
      </c>
      <c r="C50">
        <v>109.426</v>
      </c>
      <c r="D50">
        <v>109.678</v>
      </c>
      <c r="E50">
        <v>112.706</v>
      </c>
      <c r="F50">
        <v>107.839</v>
      </c>
      <c r="G50">
        <v>96.563000000000002</v>
      </c>
      <c r="H50">
        <v>96.59</v>
      </c>
      <c r="I50">
        <v>102.27</v>
      </c>
      <c r="J50">
        <v>99.231999999999999</v>
      </c>
      <c r="K50">
        <v>102.937</v>
      </c>
      <c r="L50">
        <v>96.668000000000006</v>
      </c>
      <c r="M50">
        <v>96.078999999999994</v>
      </c>
      <c r="N50">
        <v>91.245000000000005</v>
      </c>
      <c r="O50">
        <v>99.945999999999998</v>
      </c>
      <c r="R50">
        <v>109.61199999999999</v>
      </c>
      <c r="T50">
        <v>101.215</v>
      </c>
      <c r="X50">
        <v>98.081000000000003</v>
      </c>
      <c r="AI50" s="27">
        <v>42490</v>
      </c>
      <c r="AS50">
        <v>100.895</v>
      </c>
      <c r="AT50">
        <v>102.37949999999999</v>
      </c>
      <c r="AV50">
        <v>102.37949999999999</v>
      </c>
      <c r="AW50">
        <v>100.999</v>
      </c>
      <c r="AY50">
        <v>111.32899999999999</v>
      </c>
      <c r="AZ50">
        <v>102.96</v>
      </c>
      <c r="BA50">
        <v>105.104</v>
      </c>
      <c r="BC50">
        <v>105.70350000000001</v>
      </c>
    </row>
    <row r="51" spans="2:55">
      <c r="B51" s="27">
        <v>43190</v>
      </c>
      <c r="C51">
        <v>110.012</v>
      </c>
      <c r="D51">
        <v>102.72199999999999</v>
      </c>
      <c r="E51">
        <v>113.117</v>
      </c>
      <c r="F51">
        <v>108.852</v>
      </c>
      <c r="G51">
        <v>97.238</v>
      </c>
      <c r="H51">
        <v>97.67</v>
      </c>
      <c r="I51">
        <v>102.744</v>
      </c>
      <c r="J51">
        <v>99.171000000000006</v>
      </c>
      <c r="K51">
        <v>104.529</v>
      </c>
      <c r="L51">
        <v>98.289000000000001</v>
      </c>
      <c r="M51">
        <v>97.503</v>
      </c>
      <c r="N51">
        <v>91.878</v>
      </c>
      <c r="O51">
        <v>101.199</v>
      </c>
      <c r="T51">
        <v>101.44799999999999</v>
      </c>
      <c r="AI51" s="27">
        <v>42460</v>
      </c>
      <c r="AS51">
        <v>101.062</v>
      </c>
      <c r="AT51">
        <v>102.75175</v>
      </c>
      <c r="AV51">
        <v>102.75175</v>
      </c>
      <c r="AW51">
        <v>101.559</v>
      </c>
      <c r="AY51">
        <v>111.623</v>
      </c>
      <c r="AZ51">
        <v>102.6425</v>
      </c>
      <c r="BA51">
        <v>105.0185</v>
      </c>
      <c r="BC51">
        <v>106.242</v>
      </c>
    </row>
    <row r="52" spans="2:55">
      <c r="B52" s="27">
        <v>43159</v>
      </c>
      <c r="C52">
        <v>109.943</v>
      </c>
      <c r="D52">
        <v>102.49299999999999</v>
      </c>
      <c r="E52">
        <v>112.8</v>
      </c>
      <c r="F52">
        <v>108.405</v>
      </c>
      <c r="G52">
        <v>97.552999999999997</v>
      </c>
      <c r="H52">
        <v>97.991</v>
      </c>
      <c r="I52">
        <v>102.315</v>
      </c>
      <c r="J52">
        <v>98.37</v>
      </c>
      <c r="K52">
        <v>103.807</v>
      </c>
      <c r="L52">
        <v>98.602000000000004</v>
      </c>
      <c r="M52">
        <v>97.795000000000002</v>
      </c>
      <c r="N52">
        <v>92.123999999999995</v>
      </c>
      <c r="O52">
        <v>100.315</v>
      </c>
      <c r="AI52" s="27">
        <v>42429</v>
      </c>
      <c r="AS52">
        <v>101.854</v>
      </c>
      <c r="AT52">
        <v>103.096</v>
      </c>
      <c r="AV52">
        <v>103.096</v>
      </c>
      <c r="AW52">
        <v>101.4295</v>
      </c>
      <c r="AY52">
        <v>111.6855</v>
      </c>
      <c r="AZ52">
        <v>103.21850000000001</v>
      </c>
      <c r="BA52">
        <v>105.7945</v>
      </c>
      <c r="BC52">
        <v>106.07250000000001</v>
      </c>
    </row>
    <row r="53" spans="2:55">
      <c r="B53" s="27">
        <v>43131</v>
      </c>
      <c r="C53">
        <v>109.872</v>
      </c>
      <c r="D53">
        <v>102.255</v>
      </c>
      <c r="E53">
        <v>112.599</v>
      </c>
      <c r="F53">
        <v>107.783</v>
      </c>
      <c r="G53">
        <v>98.313999999999993</v>
      </c>
      <c r="H53">
        <v>98.76</v>
      </c>
      <c r="I53">
        <v>101.965</v>
      </c>
      <c r="J53">
        <v>99.792000000000002</v>
      </c>
      <c r="K53">
        <v>103.622</v>
      </c>
      <c r="L53">
        <v>99.444999999999993</v>
      </c>
      <c r="M53">
        <v>98.673000000000002</v>
      </c>
      <c r="N53">
        <v>92.953999999999994</v>
      </c>
      <c r="AI53" s="27">
        <v>42400</v>
      </c>
      <c r="AS53">
        <v>102.1275</v>
      </c>
      <c r="AT53">
        <v>103.4277</v>
      </c>
      <c r="AV53">
        <v>103.4277</v>
      </c>
      <c r="AW53">
        <v>101.67149999999999</v>
      </c>
      <c r="AY53">
        <v>111.95650000000001</v>
      </c>
      <c r="AZ53">
        <v>103.57299999999999</v>
      </c>
      <c r="BA53">
        <v>105.46250000000001</v>
      </c>
      <c r="BC53">
        <v>104.9915</v>
      </c>
    </row>
    <row r="54" spans="2:55">
      <c r="B54" s="27">
        <v>43100</v>
      </c>
      <c r="C54">
        <v>109.94499999999999</v>
      </c>
      <c r="D54">
        <v>102.48699999999999</v>
      </c>
      <c r="E54">
        <v>113.51300000000001</v>
      </c>
      <c r="F54">
        <v>108.551</v>
      </c>
      <c r="G54">
        <v>99.7</v>
      </c>
      <c r="H54">
        <v>100.44499999999999</v>
      </c>
      <c r="I54">
        <v>103.21899999999999</v>
      </c>
      <c r="K54">
        <v>104.456</v>
      </c>
      <c r="L54">
        <v>101.459</v>
      </c>
      <c r="M54">
        <v>100.729</v>
      </c>
      <c r="N54">
        <v>94.796000000000006</v>
      </c>
      <c r="AI54" s="27">
        <v>42369</v>
      </c>
      <c r="AS54">
        <v>102.76949999999999</v>
      </c>
      <c r="AT54">
        <v>103.491</v>
      </c>
      <c r="AV54">
        <v>103.491</v>
      </c>
      <c r="AW54">
        <v>101.54649999999999</v>
      </c>
      <c r="AY54">
        <v>111.712</v>
      </c>
      <c r="AZ54">
        <v>102.971</v>
      </c>
      <c r="BA54">
        <v>104.81950000000001</v>
      </c>
      <c r="BC54">
        <v>105.83</v>
      </c>
    </row>
    <row r="55" spans="2:55">
      <c r="B55" s="27">
        <v>43069</v>
      </c>
      <c r="C55">
        <v>110.94199999999999</v>
      </c>
      <c r="D55">
        <v>103.366</v>
      </c>
      <c r="E55">
        <v>114.199</v>
      </c>
      <c r="F55">
        <v>109.489</v>
      </c>
      <c r="G55">
        <v>99.843000000000004</v>
      </c>
      <c r="H55">
        <v>99.872</v>
      </c>
      <c r="I55">
        <v>104.15600000000001</v>
      </c>
      <c r="K55">
        <v>105.50700000000001</v>
      </c>
      <c r="L55">
        <v>101.22799999999999</v>
      </c>
      <c r="M55">
        <v>97.972999999999999</v>
      </c>
      <c r="N55">
        <v>93.759</v>
      </c>
      <c r="AI55" s="27">
        <v>42338</v>
      </c>
      <c r="AS55">
        <v>103.1345</v>
      </c>
      <c r="AT55">
        <v>104.4755</v>
      </c>
      <c r="AV55">
        <v>104.4755</v>
      </c>
      <c r="AW55">
        <v>101.65349999999999</v>
      </c>
      <c r="AY55">
        <v>112.393</v>
      </c>
      <c r="AZ55">
        <v>104.255</v>
      </c>
      <c r="BA55">
        <v>104.9665</v>
      </c>
      <c r="BC55">
        <v>105.892</v>
      </c>
    </row>
    <row r="56" spans="2:55">
      <c r="B56" s="27">
        <v>43039</v>
      </c>
      <c r="C56">
        <v>110.565</v>
      </c>
      <c r="D56">
        <v>103.104</v>
      </c>
      <c r="E56">
        <v>114.565</v>
      </c>
      <c r="F56">
        <v>109.252</v>
      </c>
      <c r="G56">
        <v>100.47499999999999</v>
      </c>
      <c r="H56">
        <v>100.505</v>
      </c>
      <c r="I56">
        <v>104.262</v>
      </c>
      <c r="K56">
        <v>103.98950000000001</v>
      </c>
      <c r="L56">
        <v>99.283000000000001</v>
      </c>
      <c r="M56">
        <v>98.646000000000001</v>
      </c>
      <c r="N56">
        <v>94.382999999999996</v>
      </c>
      <c r="AI56" s="27">
        <v>42308</v>
      </c>
      <c r="AS56">
        <v>103.685</v>
      </c>
      <c r="AT56">
        <v>104.77925</v>
      </c>
      <c r="AV56">
        <v>104.77925</v>
      </c>
      <c r="AW56">
        <v>102.157</v>
      </c>
      <c r="AY56">
        <v>112.71899999999999</v>
      </c>
      <c r="AZ56">
        <v>103.82550000000001</v>
      </c>
      <c r="BA56">
        <v>106.0745</v>
      </c>
      <c r="BC56">
        <v>106.5765</v>
      </c>
    </row>
    <row r="57" spans="2:55">
      <c r="B57" s="27">
        <v>43008</v>
      </c>
      <c r="C57">
        <v>109.60899999999999</v>
      </c>
      <c r="D57">
        <v>102.42700000000001</v>
      </c>
      <c r="E57">
        <v>113.985</v>
      </c>
      <c r="F57">
        <v>106.611</v>
      </c>
      <c r="G57">
        <v>101.381</v>
      </c>
      <c r="H57">
        <v>101.41</v>
      </c>
      <c r="I57">
        <v>102.98399999999999</v>
      </c>
      <c r="K57">
        <v>102.524</v>
      </c>
      <c r="L57">
        <v>100.179</v>
      </c>
      <c r="M57">
        <v>99.596000000000004</v>
      </c>
      <c r="N57">
        <v>95.281000000000006</v>
      </c>
      <c r="AI57" s="27">
        <v>42277</v>
      </c>
      <c r="AR57">
        <v>100.006</v>
      </c>
      <c r="AS57">
        <v>104.117</v>
      </c>
      <c r="AT57">
        <v>105.08695</v>
      </c>
      <c r="AV57">
        <v>105.08695</v>
      </c>
      <c r="AW57">
        <v>102.261</v>
      </c>
      <c r="AY57">
        <v>113.2675</v>
      </c>
      <c r="AZ57">
        <v>103.376</v>
      </c>
      <c r="BA57">
        <v>106.1425</v>
      </c>
      <c r="BC57">
        <v>106.6635</v>
      </c>
    </row>
    <row r="58" spans="2:55">
      <c r="B58" s="27">
        <v>42978</v>
      </c>
      <c r="C58">
        <v>110.04300000000001</v>
      </c>
      <c r="D58">
        <v>102.968</v>
      </c>
      <c r="E58">
        <v>114.489</v>
      </c>
      <c r="F58">
        <v>108.178</v>
      </c>
      <c r="G58">
        <v>103.029</v>
      </c>
      <c r="H58">
        <v>103.059</v>
      </c>
      <c r="I58">
        <v>103.41500000000001</v>
      </c>
      <c r="K58">
        <v>103.363</v>
      </c>
      <c r="L58">
        <v>102.032</v>
      </c>
      <c r="M58">
        <v>101.56</v>
      </c>
      <c r="N58">
        <v>97.167000000000002</v>
      </c>
      <c r="AI58" s="27">
        <v>42247</v>
      </c>
      <c r="AR58">
        <v>100.03400000000001</v>
      </c>
      <c r="AS58">
        <v>104.419</v>
      </c>
      <c r="AT58">
        <v>105.3873</v>
      </c>
      <c r="AV58">
        <v>105.3873</v>
      </c>
      <c r="AW58">
        <v>102.23</v>
      </c>
      <c r="AY58">
        <v>113.6705</v>
      </c>
      <c r="AZ58">
        <v>103.437</v>
      </c>
      <c r="BA58">
        <v>106.4675</v>
      </c>
      <c r="BC58">
        <v>105.74550000000001</v>
      </c>
    </row>
    <row r="59" spans="2:55">
      <c r="B59" s="27">
        <v>42947</v>
      </c>
      <c r="C59">
        <v>110.307</v>
      </c>
      <c r="D59">
        <v>103.239</v>
      </c>
      <c r="E59">
        <v>113.51300000000001</v>
      </c>
      <c r="F59">
        <v>107.523</v>
      </c>
      <c r="G59">
        <v>101.821</v>
      </c>
      <c r="H59">
        <v>101.851</v>
      </c>
      <c r="I59">
        <v>101.79300000000001</v>
      </c>
      <c r="K59">
        <v>102.348</v>
      </c>
      <c r="L59">
        <v>100.637</v>
      </c>
      <c r="M59">
        <v>100.127</v>
      </c>
      <c r="N59">
        <v>95.739000000000004</v>
      </c>
      <c r="AI59" s="27">
        <v>42216</v>
      </c>
      <c r="AR59">
        <v>100.211</v>
      </c>
      <c r="AS59">
        <v>104.70699999999999</v>
      </c>
      <c r="AT59">
        <v>105.7972</v>
      </c>
      <c r="AV59">
        <v>105.7972</v>
      </c>
      <c r="AW59">
        <v>102.35599999999999</v>
      </c>
      <c r="AY59">
        <v>114.381</v>
      </c>
      <c r="AZ59">
        <v>103.423</v>
      </c>
      <c r="BA59">
        <v>105.8935</v>
      </c>
      <c r="BC59">
        <v>105.745</v>
      </c>
    </row>
    <row r="60" spans="2:55">
      <c r="B60" s="27">
        <v>42916</v>
      </c>
      <c r="C60">
        <v>109.80500000000001</v>
      </c>
      <c r="D60">
        <v>103.26300000000001</v>
      </c>
      <c r="E60">
        <v>113.002</v>
      </c>
      <c r="F60">
        <v>105.089</v>
      </c>
      <c r="G60">
        <v>101.611</v>
      </c>
      <c r="H60">
        <v>101.64100000000001</v>
      </c>
      <c r="I60">
        <v>101.105</v>
      </c>
      <c r="K60">
        <v>102.361</v>
      </c>
      <c r="L60">
        <v>100.467</v>
      </c>
      <c r="M60">
        <v>99.947999999999993</v>
      </c>
      <c r="N60">
        <v>95.537000000000006</v>
      </c>
      <c r="R60">
        <f>'Bloomberg Bond Prices'!N769</f>
        <v>111.045</v>
      </c>
      <c r="AI60" s="27">
        <v>42185</v>
      </c>
      <c r="AR60">
        <v>100.4705</v>
      </c>
      <c r="AS60">
        <v>104.5185</v>
      </c>
      <c r="AT60">
        <v>106.14725</v>
      </c>
      <c r="AV60">
        <v>106.14725</v>
      </c>
      <c r="AW60">
        <v>102.2405</v>
      </c>
      <c r="AY60">
        <v>114.83750000000001</v>
      </c>
      <c r="AZ60">
        <v>103.5775</v>
      </c>
      <c r="BA60">
        <v>105.474</v>
      </c>
      <c r="BC60">
        <v>105.79900000000001</v>
      </c>
    </row>
    <row r="61" spans="2:55">
      <c r="B61" s="27">
        <v>42886</v>
      </c>
      <c r="C61">
        <v>111.26900000000001</v>
      </c>
      <c r="D61">
        <v>104.47</v>
      </c>
      <c r="E61">
        <v>114.107</v>
      </c>
      <c r="F61">
        <v>107.19</v>
      </c>
      <c r="G61">
        <v>102.646</v>
      </c>
      <c r="H61">
        <v>102.676</v>
      </c>
      <c r="I61">
        <v>102.49</v>
      </c>
      <c r="K61">
        <v>103.57599999999999</v>
      </c>
      <c r="L61">
        <v>101.702</v>
      </c>
      <c r="M61">
        <v>101.223</v>
      </c>
      <c r="N61">
        <v>96.754000000000005</v>
      </c>
      <c r="AI61" s="27">
        <v>42155</v>
      </c>
      <c r="AR61">
        <v>100.71250000000001</v>
      </c>
      <c r="AS61">
        <v>105.48650000000001</v>
      </c>
      <c r="AT61">
        <v>106.03530000000001</v>
      </c>
      <c r="AV61">
        <v>106.03530000000001</v>
      </c>
      <c r="AW61">
        <v>102.5485</v>
      </c>
      <c r="AY61">
        <v>116.0125</v>
      </c>
      <c r="AZ61">
        <v>104.012</v>
      </c>
      <c r="BA61">
        <v>106.747</v>
      </c>
      <c r="BC61">
        <v>106.2825</v>
      </c>
    </row>
    <row r="62" spans="2:55">
      <c r="B62" s="27">
        <v>42855</v>
      </c>
      <c r="C62">
        <v>110.48099999999999</v>
      </c>
      <c r="D62">
        <v>103.553</v>
      </c>
      <c r="E62">
        <v>113.94</v>
      </c>
      <c r="F62">
        <v>105.8</v>
      </c>
      <c r="G62">
        <v>100.651</v>
      </c>
      <c r="H62">
        <v>100.681</v>
      </c>
      <c r="I62">
        <v>101.86</v>
      </c>
      <c r="K62">
        <v>101.98699999999999</v>
      </c>
      <c r="L62">
        <v>99.539000000000001</v>
      </c>
      <c r="M62">
        <v>98.977999999999994</v>
      </c>
      <c r="N62">
        <v>94.513000000000005</v>
      </c>
      <c r="AI62" s="27">
        <v>42124</v>
      </c>
      <c r="AR62">
        <v>100.70650000000001</v>
      </c>
      <c r="AS62">
        <v>105.0665</v>
      </c>
      <c r="AT62">
        <v>106.39055</v>
      </c>
      <c r="AV62">
        <v>106.39055</v>
      </c>
      <c r="AW62">
        <v>102.79649999999999</v>
      </c>
      <c r="AY62">
        <v>116.1795</v>
      </c>
      <c r="AZ62">
        <v>102.642</v>
      </c>
      <c r="BA62">
        <v>106.681</v>
      </c>
      <c r="BC62">
        <v>106.3565</v>
      </c>
    </row>
    <row r="63" spans="2:55">
      <c r="B63" s="27">
        <v>42825</v>
      </c>
      <c r="C63">
        <v>109.95099999999999</v>
      </c>
      <c r="D63">
        <v>102.93</v>
      </c>
      <c r="E63">
        <v>113.61</v>
      </c>
      <c r="F63">
        <v>105.05800000000001</v>
      </c>
      <c r="G63">
        <v>99.313999999999993</v>
      </c>
      <c r="H63">
        <v>99.343999999999994</v>
      </c>
      <c r="I63">
        <v>100.745</v>
      </c>
      <c r="K63">
        <v>100.934</v>
      </c>
      <c r="L63">
        <v>98.061000000000007</v>
      </c>
      <c r="M63">
        <v>97.444999999999993</v>
      </c>
      <c r="N63">
        <v>92.998000000000005</v>
      </c>
      <c r="AI63" s="27">
        <v>42094</v>
      </c>
      <c r="AR63">
        <v>101.09</v>
      </c>
      <c r="AS63">
        <v>106.161</v>
      </c>
      <c r="AT63">
        <v>106.41315</v>
      </c>
      <c r="AV63">
        <v>106.41315</v>
      </c>
      <c r="AW63">
        <v>102.11450000000001</v>
      </c>
      <c r="AY63">
        <v>116.8155</v>
      </c>
      <c r="AZ63">
        <v>102.9375</v>
      </c>
      <c r="BA63">
        <v>107.875</v>
      </c>
      <c r="BC63">
        <v>106.5355</v>
      </c>
    </row>
    <row r="64" spans="2:55">
      <c r="B64" s="27">
        <v>42794</v>
      </c>
      <c r="C64">
        <v>109.59099999999999</v>
      </c>
      <c r="D64">
        <v>102.872</v>
      </c>
      <c r="E64">
        <v>114.77500000000001</v>
      </c>
      <c r="F64">
        <v>104.46</v>
      </c>
      <c r="G64">
        <v>98.606999999999999</v>
      </c>
      <c r="H64">
        <v>98.638000000000005</v>
      </c>
      <c r="I64">
        <v>101.52</v>
      </c>
      <c r="K64">
        <v>100.82599999999999</v>
      </c>
      <c r="L64">
        <v>97.786000000000001</v>
      </c>
      <c r="M64">
        <v>97.16</v>
      </c>
      <c r="N64">
        <v>92.688000000000002</v>
      </c>
      <c r="AI64" s="27">
        <v>42063</v>
      </c>
      <c r="AR64">
        <v>101.21397399999999</v>
      </c>
      <c r="AS64">
        <v>105.610153</v>
      </c>
      <c r="AT64">
        <v>106.272859</v>
      </c>
      <c r="AV64">
        <v>106.272859</v>
      </c>
      <c r="AW64">
        <v>101.902998</v>
      </c>
      <c r="AY64">
        <v>116.796138</v>
      </c>
      <c r="AZ64">
        <v>103.07189099999999</v>
      </c>
      <c r="BA64">
        <v>107.36777600000001</v>
      </c>
      <c r="BC64">
        <v>106.27048600000001</v>
      </c>
    </row>
    <row r="65" spans="2:55">
      <c r="B65" s="27">
        <v>42766</v>
      </c>
      <c r="C65">
        <v>108.547</v>
      </c>
      <c r="D65">
        <v>103.006</v>
      </c>
      <c r="E65">
        <v>112.94499999999999</v>
      </c>
      <c r="F65">
        <v>104.565</v>
      </c>
      <c r="G65">
        <v>96.855999999999995</v>
      </c>
      <c r="H65">
        <v>96.887</v>
      </c>
      <c r="I65">
        <v>99.105000000000004</v>
      </c>
      <c r="L65">
        <v>95.683999999999997</v>
      </c>
      <c r="M65">
        <v>94.986999999999995</v>
      </c>
      <c r="N65">
        <v>90.576999999999998</v>
      </c>
      <c r="AI65" s="27">
        <v>42035</v>
      </c>
      <c r="AR65">
        <v>101.443929</v>
      </c>
      <c r="AS65">
        <v>106.11127399999999</v>
      </c>
      <c r="AT65">
        <v>106.48756400000001</v>
      </c>
      <c r="AV65">
        <v>106.48756400000001</v>
      </c>
      <c r="AW65">
        <v>102.274562</v>
      </c>
      <c r="AY65">
        <v>117.823831</v>
      </c>
      <c r="AZ65">
        <v>104.349914</v>
      </c>
      <c r="BA65">
        <v>107.328005</v>
      </c>
      <c r="BC65">
        <v>107.164435</v>
      </c>
    </row>
    <row r="66" spans="2:55">
      <c r="B66" s="27">
        <v>42735</v>
      </c>
      <c r="C66">
        <v>108.005</v>
      </c>
      <c r="D66">
        <v>102.621</v>
      </c>
      <c r="E66">
        <v>114.605</v>
      </c>
      <c r="F66">
        <v>103.65600000000001</v>
      </c>
      <c r="I66">
        <v>101.29</v>
      </c>
      <c r="L66">
        <v>96.427999999999997</v>
      </c>
      <c r="M66">
        <v>95.397999999999996</v>
      </c>
      <c r="N66">
        <v>90.091999999999999</v>
      </c>
      <c r="AI66" s="27">
        <v>42004</v>
      </c>
      <c r="AR66">
        <v>101.44841700000001</v>
      </c>
      <c r="AS66">
        <v>106.130168</v>
      </c>
      <c r="AT66">
        <v>106.369922</v>
      </c>
      <c r="AV66">
        <v>106.369922</v>
      </c>
      <c r="AW66">
        <v>102.13249399999999</v>
      </c>
      <c r="AY66">
        <v>117.254107</v>
      </c>
      <c r="AZ66">
        <v>101.96008399999999</v>
      </c>
      <c r="BA66">
        <v>106.436251</v>
      </c>
      <c r="BC66">
        <v>104.92127499999999</v>
      </c>
    </row>
    <row r="67" spans="2:55">
      <c r="B67" s="27">
        <v>42704</v>
      </c>
      <c r="C67">
        <v>108.81399999999999</v>
      </c>
      <c r="D67">
        <v>102.815</v>
      </c>
      <c r="E67">
        <v>114.425</v>
      </c>
      <c r="F67">
        <v>104.46599999999999</v>
      </c>
      <c r="I67">
        <v>101.38</v>
      </c>
      <c r="L67">
        <v>100.765</v>
      </c>
      <c r="M67">
        <v>99.852000000000004</v>
      </c>
      <c r="N67">
        <v>94.334000000000003</v>
      </c>
      <c r="AI67" s="27">
        <v>41973</v>
      </c>
      <c r="AQ67">
        <v>100.01082100000001</v>
      </c>
      <c r="AR67">
        <v>101.637427</v>
      </c>
      <c r="AS67">
        <v>106.575931</v>
      </c>
      <c r="AT67">
        <v>106.92978599999999</v>
      </c>
      <c r="AV67">
        <v>106.92978599999999</v>
      </c>
      <c r="AW67">
        <v>101.511201</v>
      </c>
      <c r="AY67">
        <v>117.046159</v>
      </c>
      <c r="AZ67">
        <v>101.453023</v>
      </c>
      <c r="BA67">
        <v>104.844527</v>
      </c>
      <c r="BC67">
        <v>106.192033</v>
      </c>
    </row>
    <row r="68" spans="2:55">
      <c r="B68" s="27">
        <v>42674</v>
      </c>
      <c r="C68">
        <v>110.726</v>
      </c>
      <c r="D68">
        <v>104.38200000000001</v>
      </c>
      <c r="E68">
        <v>116.69499999999999</v>
      </c>
      <c r="F68">
        <v>107.42700000000001</v>
      </c>
      <c r="I68">
        <v>104.92</v>
      </c>
      <c r="L68">
        <v>104.807</v>
      </c>
      <c r="M68">
        <v>104.008</v>
      </c>
      <c r="N68">
        <v>98.304000000000002</v>
      </c>
      <c r="AI68" s="27">
        <v>41943</v>
      </c>
      <c r="AQ68">
        <v>100.010834</v>
      </c>
      <c r="AR68">
        <v>101.71897800000001</v>
      </c>
      <c r="AS68">
        <v>107.567668</v>
      </c>
      <c r="AT68">
        <v>107.18383900000001</v>
      </c>
      <c r="AV68">
        <v>107.18383900000001</v>
      </c>
      <c r="AW68">
        <v>101.720264</v>
      </c>
      <c r="AY68">
        <v>116.526425</v>
      </c>
      <c r="AZ68">
        <v>101.309506</v>
      </c>
      <c r="BA68">
        <v>103.992914</v>
      </c>
      <c r="BC68">
        <v>105.32791899999999</v>
      </c>
    </row>
    <row r="69" spans="2:55">
      <c r="B69" s="27">
        <v>42643</v>
      </c>
      <c r="C69">
        <v>112.21299999999999</v>
      </c>
      <c r="D69">
        <v>105.902</v>
      </c>
      <c r="E69">
        <v>118.505</v>
      </c>
      <c r="F69">
        <v>109.79300000000001</v>
      </c>
      <c r="I69">
        <v>107.73</v>
      </c>
      <c r="L69">
        <v>100.959</v>
      </c>
      <c r="M69">
        <v>100.517</v>
      </c>
      <c r="N69">
        <v>94.816000000000003</v>
      </c>
      <c r="AI69" s="27">
        <v>41912</v>
      </c>
      <c r="AQ69">
        <v>100.32948</v>
      </c>
      <c r="AR69">
        <v>101.953644</v>
      </c>
      <c r="AS69">
        <v>106.945249</v>
      </c>
      <c r="AT69">
        <v>107.27606299999999</v>
      </c>
      <c r="AV69">
        <v>107.27606299999999</v>
      </c>
      <c r="AW69">
        <v>101.61543</v>
      </c>
      <c r="AY69">
        <v>116.00649799999999</v>
      </c>
      <c r="AZ69">
        <v>101.726366</v>
      </c>
      <c r="BA69">
        <v>103.385733</v>
      </c>
      <c r="BC69">
        <v>104.24176300000001</v>
      </c>
    </row>
    <row r="70" spans="2:55">
      <c r="B70" s="27">
        <v>42613</v>
      </c>
      <c r="C70">
        <v>112.06699999999999</v>
      </c>
      <c r="D70">
        <v>106.36799999999999</v>
      </c>
      <c r="E70">
        <v>118.075</v>
      </c>
      <c r="F70">
        <v>110.32299999999999</v>
      </c>
      <c r="I70">
        <v>107.038</v>
      </c>
      <c r="L70">
        <v>104.19199999999999</v>
      </c>
      <c r="M70">
        <v>104.16</v>
      </c>
      <c r="N70">
        <v>101.03400000000001</v>
      </c>
      <c r="AI70" s="27">
        <v>41882</v>
      </c>
      <c r="AQ70">
        <v>100.64683599999999</v>
      </c>
      <c r="AR70">
        <v>102.125974</v>
      </c>
      <c r="AS70">
        <v>108.091954</v>
      </c>
      <c r="AT70">
        <v>107.74708099999999</v>
      </c>
      <c r="AV70">
        <v>107.74708099999999</v>
      </c>
      <c r="AW70">
        <v>101.89250699999999</v>
      </c>
      <c r="AY70">
        <v>116.68262900000001</v>
      </c>
      <c r="AZ70">
        <v>102.020831</v>
      </c>
      <c r="BA70">
        <v>103.82782400000001</v>
      </c>
      <c r="BC70">
        <v>105.249123</v>
      </c>
    </row>
    <row r="71" spans="2:55">
      <c r="B71" s="27">
        <v>42582</v>
      </c>
      <c r="C71">
        <v>111.161</v>
      </c>
      <c r="D71">
        <v>106.726</v>
      </c>
      <c r="E71">
        <v>118.745</v>
      </c>
      <c r="F71">
        <v>109.786</v>
      </c>
      <c r="I71">
        <v>107.373</v>
      </c>
      <c r="L71">
        <v>104.316</v>
      </c>
      <c r="M71">
        <v>104.285</v>
      </c>
      <c r="N71">
        <v>101.142</v>
      </c>
      <c r="AI71" s="27">
        <v>41851</v>
      </c>
      <c r="AQ71">
        <v>100.922697</v>
      </c>
      <c r="AR71">
        <v>102.419102</v>
      </c>
      <c r="AS71">
        <v>107.415803</v>
      </c>
      <c r="AT71">
        <v>107.905417</v>
      </c>
      <c r="AV71">
        <v>107.905417</v>
      </c>
      <c r="AW71">
        <v>102.058697</v>
      </c>
      <c r="AY71">
        <v>115.901543</v>
      </c>
      <c r="AZ71">
        <v>101.565274</v>
      </c>
      <c r="BA71">
        <v>103.322762</v>
      </c>
      <c r="BC71">
        <v>103.42513</v>
      </c>
    </row>
    <row r="72" spans="2:55">
      <c r="B72" s="27">
        <v>42551</v>
      </c>
      <c r="C72">
        <v>110.715</v>
      </c>
      <c r="D72">
        <v>106.036</v>
      </c>
      <c r="E72">
        <v>115.65300000000001</v>
      </c>
      <c r="F72">
        <v>108.995</v>
      </c>
      <c r="I72">
        <v>103.98099999999999</v>
      </c>
      <c r="L72">
        <v>103.66</v>
      </c>
      <c r="M72">
        <v>103.601</v>
      </c>
      <c r="N72">
        <v>100.443</v>
      </c>
      <c r="R72">
        <f>'Bloomberg Bond Prices'!N516</f>
        <v>124.39100000000001</v>
      </c>
      <c r="AI72" s="27">
        <v>41820</v>
      </c>
      <c r="AQ72">
        <v>101.25989800000001</v>
      </c>
      <c r="AR72">
        <v>102.51563299999999</v>
      </c>
      <c r="AS72">
        <v>107.79270200000001</v>
      </c>
      <c r="AT72">
        <v>108.146822</v>
      </c>
      <c r="AV72">
        <v>108.146822</v>
      </c>
      <c r="AW72">
        <v>102.079331</v>
      </c>
      <c r="AY72">
        <v>116.20420300000001</v>
      </c>
      <c r="AZ72">
        <v>101.489892</v>
      </c>
      <c r="BA72">
        <v>103.036615</v>
      </c>
      <c r="BC72">
        <v>102.708243</v>
      </c>
    </row>
    <row r="73" spans="2:55">
      <c r="B73" s="27">
        <v>42521</v>
      </c>
      <c r="C73">
        <v>110.008</v>
      </c>
      <c r="D73">
        <v>104.878</v>
      </c>
      <c r="E73">
        <v>114.223</v>
      </c>
      <c r="F73">
        <v>106.839</v>
      </c>
      <c r="I73">
        <v>101.13</v>
      </c>
      <c r="L73">
        <v>100.795</v>
      </c>
      <c r="M73">
        <v>100.629</v>
      </c>
      <c r="N73">
        <v>97.471000000000004</v>
      </c>
      <c r="AI73" s="27">
        <v>41790</v>
      </c>
      <c r="AQ73">
        <v>101.57716499999999</v>
      </c>
      <c r="AR73">
        <v>102.543689</v>
      </c>
      <c r="AS73">
        <v>108.181218</v>
      </c>
      <c r="AT73">
        <v>108.643728</v>
      </c>
      <c r="AV73">
        <v>108.643728</v>
      </c>
      <c r="AW73">
        <v>102.14881699999999</v>
      </c>
      <c r="AY73">
        <v>117.299019</v>
      </c>
      <c r="AZ73">
        <v>101.494789</v>
      </c>
      <c r="BA73">
        <v>102.466739</v>
      </c>
      <c r="BC73">
        <v>103.189019</v>
      </c>
    </row>
    <row r="74" spans="2:55">
      <c r="B74" s="27">
        <v>42490</v>
      </c>
      <c r="C74">
        <v>108.401</v>
      </c>
      <c r="D74">
        <v>103.623</v>
      </c>
      <c r="E74">
        <v>114.211</v>
      </c>
      <c r="F74">
        <v>104.06699999999999</v>
      </c>
      <c r="I74">
        <v>100.59</v>
      </c>
      <c r="L74">
        <v>100.627</v>
      </c>
      <c r="M74">
        <v>100.55</v>
      </c>
      <c r="N74">
        <v>97.555999999999997</v>
      </c>
      <c r="AI74" s="27">
        <v>41759</v>
      </c>
      <c r="AQ74">
        <v>101.85113</v>
      </c>
      <c r="AR74">
        <v>102.691515</v>
      </c>
      <c r="AS74">
        <v>108.29572400000001</v>
      </c>
      <c r="AT74">
        <v>108.606469</v>
      </c>
      <c r="AV74">
        <v>108.606469</v>
      </c>
      <c r="AW74">
        <v>102.28961200000001</v>
      </c>
      <c r="AY74">
        <v>117.109393</v>
      </c>
      <c r="AZ74">
        <v>101.12006100000001</v>
      </c>
      <c r="BA74">
        <v>101.145393</v>
      </c>
      <c r="BC74">
        <v>101.908128</v>
      </c>
    </row>
    <row r="75" spans="2:55">
      <c r="B75" s="27">
        <v>42460</v>
      </c>
      <c r="C75">
        <v>108.477</v>
      </c>
      <c r="D75">
        <v>103.7</v>
      </c>
      <c r="E75">
        <v>113.675</v>
      </c>
      <c r="F75">
        <v>103.42100000000001</v>
      </c>
      <c r="I75">
        <v>100.244</v>
      </c>
      <c r="L75">
        <v>102.077</v>
      </c>
      <c r="M75">
        <v>101.953</v>
      </c>
      <c r="N75">
        <v>95.980999999999995</v>
      </c>
      <c r="AI75" s="27">
        <v>41729</v>
      </c>
      <c r="AQ75">
        <v>102.27461099999999</v>
      </c>
      <c r="AR75">
        <v>102.999107</v>
      </c>
      <c r="AS75">
        <v>108.88639000000001</v>
      </c>
      <c r="AT75">
        <v>108.952375</v>
      </c>
      <c r="AV75">
        <v>108.952375</v>
      </c>
      <c r="AW75">
        <v>102.12625199999999</v>
      </c>
      <c r="AY75">
        <v>117.08407800000001</v>
      </c>
      <c r="AZ75">
        <v>100.425467</v>
      </c>
      <c r="BA75">
        <v>100.400952</v>
      </c>
      <c r="BC75">
        <v>101.532651</v>
      </c>
    </row>
    <row r="76" spans="2:55">
      <c r="B76" s="27">
        <v>42429</v>
      </c>
      <c r="C76">
        <v>109.64</v>
      </c>
      <c r="D76">
        <v>104.244</v>
      </c>
      <c r="E76">
        <v>110.499</v>
      </c>
      <c r="F76">
        <v>105.38500000000001</v>
      </c>
      <c r="I76">
        <v>96.814999999999998</v>
      </c>
      <c r="L76">
        <v>100.538</v>
      </c>
      <c r="M76">
        <v>100.458</v>
      </c>
      <c r="AI76" s="27">
        <v>41698</v>
      </c>
      <c r="AQ76">
        <v>102.415569</v>
      </c>
      <c r="AR76">
        <v>103.16045699999999</v>
      </c>
      <c r="AS76">
        <v>108.97957</v>
      </c>
      <c r="AT76">
        <v>109.44148800000001</v>
      </c>
      <c r="AV76">
        <v>109.44148800000001</v>
      </c>
      <c r="AW76">
        <v>102.259417</v>
      </c>
      <c r="AY76">
        <v>117.640182</v>
      </c>
      <c r="AZ76">
        <v>100.16396400000001</v>
      </c>
      <c r="BA76">
        <v>100.66674999999999</v>
      </c>
      <c r="BC76">
        <v>102.751369</v>
      </c>
    </row>
    <row r="77" spans="2:55">
      <c r="B77" s="27">
        <v>42400</v>
      </c>
      <c r="C77">
        <v>108.837</v>
      </c>
      <c r="D77">
        <v>102.94499999999999</v>
      </c>
      <c r="E77">
        <v>108.66800000000001</v>
      </c>
      <c r="F77">
        <v>103.715</v>
      </c>
      <c r="I77">
        <v>93.805000000000007</v>
      </c>
      <c r="L77">
        <v>98.608000000000004</v>
      </c>
      <c r="M77">
        <v>98.46</v>
      </c>
      <c r="AI77" s="27">
        <v>41670</v>
      </c>
      <c r="AQ77">
        <v>102.62186199999999</v>
      </c>
      <c r="AR77">
        <v>102.98769900000001</v>
      </c>
      <c r="AS77">
        <v>109.390663</v>
      </c>
      <c r="AT77">
        <v>109.762973</v>
      </c>
      <c r="AV77">
        <v>109.762973</v>
      </c>
      <c r="AW77">
        <v>102.3049</v>
      </c>
      <c r="AY77">
        <v>117.870631</v>
      </c>
      <c r="AZ77">
        <v>99.996284000000003</v>
      </c>
      <c r="BA77">
        <v>99.905047999999994</v>
      </c>
      <c r="BC77">
        <v>102.170824</v>
      </c>
    </row>
    <row r="78" spans="2:55">
      <c r="B78" s="27">
        <v>42369</v>
      </c>
      <c r="C78">
        <v>107.395</v>
      </c>
      <c r="D78">
        <v>102.027</v>
      </c>
      <c r="E78">
        <v>107.845</v>
      </c>
      <c r="F78">
        <v>103.286</v>
      </c>
      <c r="I78">
        <v>91.025999999999996</v>
      </c>
      <c r="L78">
        <v>98.6</v>
      </c>
      <c r="M78">
        <v>98.353999999999999</v>
      </c>
      <c r="AI78" s="27">
        <v>41639</v>
      </c>
      <c r="AQ78">
        <v>102.833282</v>
      </c>
      <c r="AR78">
        <v>102.943512</v>
      </c>
      <c r="AS78">
        <v>109.338577</v>
      </c>
      <c r="AT78">
        <v>109.70902700000001</v>
      </c>
      <c r="AV78">
        <v>109.70902700000001</v>
      </c>
      <c r="AW78">
        <v>101.224715</v>
      </c>
      <c r="AY78">
        <v>117.34050000000001</v>
      </c>
      <c r="AZ78">
        <v>98.044476000000003</v>
      </c>
      <c r="BA78">
        <v>98.824702000000002</v>
      </c>
      <c r="BC78">
        <v>101.61071200000001</v>
      </c>
    </row>
    <row r="79" spans="2:55">
      <c r="B79" s="27">
        <v>42338</v>
      </c>
      <c r="C79">
        <v>108.04600000000001</v>
      </c>
      <c r="D79">
        <v>102.581</v>
      </c>
      <c r="E79">
        <v>109.304</v>
      </c>
      <c r="F79">
        <v>104.232</v>
      </c>
      <c r="I79">
        <v>92.756</v>
      </c>
      <c r="L79">
        <v>98.688000000000002</v>
      </c>
      <c r="M79">
        <v>98.542000000000002</v>
      </c>
      <c r="AI79" s="27">
        <v>41608</v>
      </c>
      <c r="AQ79">
        <v>103.210668</v>
      </c>
      <c r="AR79">
        <v>103.138929</v>
      </c>
      <c r="AS79">
        <v>110.091375</v>
      </c>
      <c r="AT79">
        <v>110.547872</v>
      </c>
      <c r="AV79">
        <v>110.547872</v>
      </c>
      <c r="AW79">
        <v>101.566081</v>
      </c>
      <c r="AY79">
        <v>119.1305</v>
      </c>
      <c r="AZ79">
        <v>98.951515000000001</v>
      </c>
      <c r="BA79">
        <v>98.490154000000004</v>
      </c>
      <c r="BC79">
        <v>103.06752400000001</v>
      </c>
    </row>
    <row r="80" spans="2:55">
      <c r="B80" s="27">
        <v>42308</v>
      </c>
      <c r="C80">
        <v>109.146</v>
      </c>
      <c r="D80">
        <v>103.732</v>
      </c>
      <c r="E80">
        <v>108.373</v>
      </c>
      <c r="F80">
        <v>105.107</v>
      </c>
      <c r="I80">
        <v>90.965000000000003</v>
      </c>
      <c r="L80">
        <v>98.777000000000001</v>
      </c>
      <c r="M80">
        <v>98.534000000000006</v>
      </c>
      <c r="AI80" s="27">
        <v>41578</v>
      </c>
      <c r="AQ80">
        <v>103.422907</v>
      </c>
      <c r="AR80">
        <v>103.26374800000001</v>
      </c>
      <c r="AS80">
        <v>109.988191</v>
      </c>
      <c r="AT80">
        <v>110.76715799999999</v>
      </c>
      <c r="AV80">
        <v>110.76715799999999</v>
      </c>
      <c r="AW80">
        <v>101.296858</v>
      </c>
      <c r="AY80">
        <v>120.0655</v>
      </c>
      <c r="AZ80">
        <v>98.504649000000001</v>
      </c>
      <c r="BA80">
        <v>98.785488000000001</v>
      </c>
      <c r="BC80">
        <v>103.731604</v>
      </c>
    </row>
    <row r="81" spans="2:55">
      <c r="B81" s="27">
        <v>42277</v>
      </c>
      <c r="C81">
        <v>109.239</v>
      </c>
      <c r="D81">
        <v>103.596</v>
      </c>
      <c r="E81">
        <v>107.73</v>
      </c>
      <c r="F81">
        <v>104.95099999999999</v>
      </c>
      <c r="I81">
        <v>90.105000000000004</v>
      </c>
      <c r="L81">
        <v>98.866</v>
      </c>
      <c r="M81">
        <v>98.826999999999998</v>
      </c>
      <c r="AI81" s="27">
        <v>41547</v>
      </c>
      <c r="AQ81">
        <v>103.69115499999999</v>
      </c>
      <c r="AR81">
        <v>103.001451</v>
      </c>
      <c r="AS81">
        <v>110.41879400000001</v>
      </c>
      <c r="AT81">
        <v>110.87659600000001</v>
      </c>
      <c r="AV81">
        <v>110.87659600000001</v>
      </c>
      <c r="AW81">
        <v>101.4144</v>
      </c>
      <c r="AY81">
        <v>119.29602199999999</v>
      </c>
      <c r="AZ81">
        <v>98.316539000000006</v>
      </c>
      <c r="BA81">
        <v>98.822502</v>
      </c>
      <c r="BC81">
        <v>102.54818899999999</v>
      </c>
    </row>
    <row r="82" spans="2:55">
      <c r="B82" s="27">
        <v>42247</v>
      </c>
      <c r="C82">
        <v>108.999</v>
      </c>
      <c r="D82">
        <v>103.485</v>
      </c>
      <c r="E82">
        <v>108.535</v>
      </c>
      <c r="F82">
        <v>105.145</v>
      </c>
      <c r="I82">
        <v>91.637</v>
      </c>
      <c r="L82">
        <v>96.545000000000002</v>
      </c>
      <c r="M82">
        <v>96.132000000000005</v>
      </c>
      <c r="AI82" s="27">
        <v>41517</v>
      </c>
      <c r="AQ82">
        <v>103.87585</v>
      </c>
      <c r="AR82">
        <v>103.099346</v>
      </c>
      <c r="AS82">
        <v>110.105093</v>
      </c>
      <c r="AT82">
        <v>110.802919</v>
      </c>
      <c r="AV82">
        <v>110.802919</v>
      </c>
      <c r="AW82">
        <v>101.135077</v>
      </c>
      <c r="AY82">
        <v>123.773957</v>
      </c>
      <c r="AZ82">
        <v>97.551602000000003</v>
      </c>
      <c r="BA82">
        <v>98.487491000000006</v>
      </c>
      <c r="BC82">
        <v>101.11655399999999</v>
      </c>
    </row>
    <row r="83" spans="2:55">
      <c r="B83" s="27">
        <v>42216</v>
      </c>
      <c r="C83">
        <v>108.386</v>
      </c>
      <c r="D83">
        <v>102.977</v>
      </c>
      <c r="E83">
        <v>110.65600000000001</v>
      </c>
      <c r="F83">
        <v>104.637</v>
      </c>
      <c r="I83">
        <v>94.055000000000007</v>
      </c>
      <c r="L83">
        <v>96.335999999999999</v>
      </c>
      <c r="M83">
        <v>95.819000000000003</v>
      </c>
      <c r="AI83" s="27">
        <v>41486</v>
      </c>
      <c r="AQ83">
        <v>104.14445499999999</v>
      </c>
      <c r="AR83">
        <v>103.09742</v>
      </c>
      <c r="AS83">
        <v>111.591142</v>
      </c>
      <c r="AT83">
        <v>111.42872800000001</v>
      </c>
      <c r="AV83">
        <v>111.42872800000001</v>
      </c>
      <c r="AW83">
        <v>101.17492900000001</v>
      </c>
      <c r="AY83">
        <v>123.811325</v>
      </c>
      <c r="AZ83">
        <v>97.919790000000006</v>
      </c>
      <c r="BA83">
        <v>99.614867000000004</v>
      </c>
      <c r="BC83">
        <v>101.963736</v>
      </c>
    </row>
    <row r="84" spans="2:55">
      <c r="B84" s="27">
        <v>42185</v>
      </c>
      <c r="C84">
        <v>107.496</v>
      </c>
      <c r="D84">
        <v>101.61799999999999</v>
      </c>
      <c r="E84">
        <v>109.646</v>
      </c>
      <c r="F84">
        <v>102.863</v>
      </c>
      <c r="I84">
        <v>92.933999999999997</v>
      </c>
      <c r="L84">
        <v>95.358999999999995</v>
      </c>
      <c r="M84">
        <v>95.106999999999999</v>
      </c>
      <c r="R84">
        <f>'Bloomberg Bond Prices'!N263</f>
        <v>112.55500000000001</v>
      </c>
      <c r="AI84" s="27">
        <v>41455</v>
      </c>
      <c r="AQ84">
        <v>104.42057800000001</v>
      </c>
      <c r="AR84">
        <v>102.86805699999999</v>
      </c>
      <c r="AS84">
        <v>111.53550199999999</v>
      </c>
      <c r="AT84">
        <v>111.429027</v>
      </c>
      <c r="AV84">
        <v>111.429027</v>
      </c>
      <c r="AW84">
        <v>100.47448199999999</v>
      </c>
      <c r="AY84">
        <v>123.642122</v>
      </c>
      <c r="AZ84">
        <v>95.826565000000002</v>
      </c>
      <c r="BA84">
        <v>98.247684000000007</v>
      </c>
      <c r="BC84">
        <v>102.42791699999999</v>
      </c>
    </row>
    <row r="85" spans="2:55">
      <c r="B85" s="27">
        <v>42155</v>
      </c>
      <c r="C85">
        <v>109.571</v>
      </c>
      <c r="D85">
        <v>102.727</v>
      </c>
      <c r="E85">
        <v>113.477</v>
      </c>
      <c r="F85">
        <v>105.57</v>
      </c>
      <c r="I85">
        <v>97.602999999999994</v>
      </c>
      <c r="L85">
        <v>97.361999999999995</v>
      </c>
      <c r="M85">
        <v>97.275000000000006</v>
      </c>
      <c r="AI85" s="27">
        <v>41425</v>
      </c>
      <c r="AQ85">
        <v>104.769936</v>
      </c>
      <c r="AR85">
        <v>103.33042500000001</v>
      </c>
      <c r="AS85">
        <v>111.609853</v>
      </c>
      <c r="AT85">
        <v>112.27952000000001</v>
      </c>
      <c r="AV85">
        <v>112.27952000000001</v>
      </c>
      <c r="AW85">
        <v>101.893985</v>
      </c>
      <c r="AY85">
        <v>123.672895</v>
      </c>
      <c r="AZ85">
        <v>99.217119999999994</v>
      </c>
      <c r="BA85">
        <v>100.89764</v>
      </c>
      <c r="BC85">
        <v>105.304147</v>
      </c>
    </row>
    <row r="86" spans="2:55">
      <c r="B86" s="27">
        <v>42124</v>
      </c>
      <c r="C86">
        <v>109.771</v>
      </c>
      <c r="D86">
        <v>102.911</v>
      </c>
      <c r="E86">
        <v>114.628</v>
      </c>
      <c r="F86">
        <v>105.85299999999999</v>
      </c>
      <c r="I86">
        <v>100.08199999999999</v>
      </c>
      <c r="L86">
        <v>97.671000000000006</v>
      </c>
      <c r="M86">
        <v>97.491</v>
      </c>
      <c r="AI86" s="27">
        <v>41394</v>
      </c>
      <c r="AQ86">
        <v>105.217398</v>
      </c>
      <c r="AR86">
        <v>104.263952</v>
      </c>
      <c r="AS86">
        <v>112.573988</v>
      </c>
      <c r="AT86">
        <v>113.299632</v>
      </c>
      <c r="AV86">
        <v>113.299632</v>
      </c>
      <c r="AW86">
        <v>102.689566</v>
      </c>
      <c r="AY86">
        <v>123.740611</v>
      </c>
      <c r="AZ86">
        <v>101.136589</v>
      </c>
      <c r="BA86">
        <v>102.720659</v>
      </c>
      <c r="BC86">
        <v>109.9997</v>
      </c>
    </row>
    <row r="87" spans="2:55">
      <c r="B87" s="27">
        <v>42094</v>
      </c>
      <c r="C87">
        <v>111.678</v>
      </c>
      <c r="D87">
        <v>104.67700000000001</v>
      </c>
      <c r="E87">
        <v>116.142</v>
      </c>
      <c r="F87">
        <v>107.82599999999999</v>
      </c>
      <c r="I87">
        <v>100.727</v>
      </c>
      <c r="L87">
        <v>98.653999999999996</v>
      </c>
      <c r="M87">
        <v>98.506</v>
      </c>
      <c r="AI87" s="27">
        <v>41364</v>
      </c>
      <c r="AQ87">
        <v>105.437347</v>
      </c>
      <c r="AR87">
        <v>104.39318</v>
      </c>
      <c r="AS87">
        <v>112.711691</v>
      </c>
      <c r="AT87">
        <v>113.42715200000001</v>
      </c>
      <c r="AV87">
        <v>113.42715200000001</v>
      </c>
      <c r="AW87">
        <v>102.682698</v>
      </c>
      <c r="AY87">
        <v>123.680977</v>
      </c>
      <c r="AZ87">
        <v>100.329342</v>
      </c>
      <c r="BA87">
        <v>100.591291</v>
      </c>
      <c r="BC87">
        <v>108.75897999999999</v>
      </c>
    </row>
    <row r="88" spans="2:55">
      <c r="B88" s="27">
        <v>42063</v>
      </c>
      <c r="C88">
        <v>111.357</v>
      </c>
      <c r="D88">
        <v>103.93899999999999</v>
      </c>
      <c r="E88">
        <v>115.961</v>
      </c>
      <c r="F88">
        <v>107.15</v>
      </c>
      <c r="I88">
        <v>101.062</v>
      </c>
      <c r="L88">
        <v>97.346000000000004</v>
      </c>
      <c r="M88">
        <v>97.158000000000001</v>
      </c>
      <c r="AI88" s="27">
        <v>41333</v>
      </c>
      <c r="AQ88">
        <v>105.70769799999999</v>
      </c>
      <c r="AR88">
        <v>104.479074</v>
      </c>
      <c r="AS88">
        <v>110.403604</v>
      </c>
      <c r="AT88">
        <v>113.71500899999999</v>
      </c>
      <c r="AV88">
        <v>113.71500899999999</v>
      </c>
      <c r="AW88">
        <v>102.45692699999999</v>
      </c>
      <c r="AY88">
        <v>122.714506</v>
      </c>
      <c r="AZ88">
        <v>99.905503999999993</v>
      </c>
      <c r="BA88">
        <v>100.836354</v>
      </c>
      <c r="BC88">
        <v>109.251125</v>
      </c>
    </row>
    <row r="89" spans="2:55">
      <c r="B89" s="27">
        <v>42035</v>
      </c>
      <c r="C89">
        <v>111.565</v>
      </c>
      <c r="D89">
        <v>103.758</v>
      </c>
      <c r="E89">
        <v>115.485</v>
      </c>
      <c r="F89">
        <v>108.508</v>
      </c>
      <c r="L89">
        <v>99.224000000000004</v>
      </c>
      <c r="M89">
        <v>99.093000000000004</v>
      </c>
      <c r="AI89" s="27">
        <v>41305</v>
      </c>
      <c r="AQ89">
        <v>103.905231</v>
      </c>
      <c r="AR89">
        <v>104.013141</v>
      </c>
      <c r="AS89">
        <v>110.306</v>
      </c>
      <c r="AT89">
        <v>113.808587</v>
      </c>
      <c r="AV89">
        <v>113.808587</v>
      </c>
      <c r="AW89">
        <v>102.13374899999999</v>
      </c>
      <c r="AY89">
        <v>122.529257</v>
      </c>
      <c r="AZ89">
        <v>99.195635999999993</v>
      </c>
      <c r="BC89">
        <v>108.319727</v>
      </c>
    </row>
    <row r="90" spans="2:55">
      <c r="B90" s="27">
        <v>42004</v>
      </c>
      <c r="C90">
        <v>109.70099999999999</v>
      </c>
      <c r="D90">
        <v>101.869</v>
      </c>
      <c r="E90">
        <v>113.321</v>
      </c>
      <c r="F90">
        <v>106.696</v>
      </c>
      <c r="L90">
        <v>94.046000000000006</v>
      </c>
      <c r="M90">
        <v>93.661000000000001</v>
      </c>
      <c r="AI90" s="27">
        <v>41274</v>
      </c>
      <c r="AQ90">
        <v>104.210295</v>
      </c>
      <c r="AR90">
        <v>104.804867</v>
      </c>
      <c r="AS90">
        <v>110.806718</v>
      </c>
      <c r="AT90">
        <v>114.627234</v>
      </c>
      <c r="AV90">
        <v>114.627234</v>
      </c>
      <c r="AW90">
        <v>102.911457</v>
      </c>
      <c r="AY90">
        <v>122.59596500000001</v>
      </c>
      <c r="AZ90">
        <v>100.294352</v>
      </c>
      <c r="BC90">
        <v>110.05834400000001</v>
      </c>
    </row>
    <row r="91" spans="2:55">
      <c r="B91" s="27">
        <v>41973</v>
      </c>
      <c r="C91">
        <v>107.747</v>
      </c>
      <c r="D91">
        <v>100.54900000000001</v>
      </c>
      <c r="E91">
        <v>112.94499999999999</v>
      </c>
      <c r="F91">
        <v>103.83799999999999</v>
      </c>
      <c r="L91">
        <v>94.988</v>
      </c>
      <c r="M91">
        <v>94.73</v>
      </c>
      <c r="AI91" s="27">
        <v>41243</v>
      </c>
      <c r="AQ91">
        <v>104.204596</v>
      </c>
      <c r="AR91">
        <v>105.090823</v>
      </c>
      <c r="AS91">
        <v>111.19456599999999</v>
      </c>
      <c r="AT91">
        <v>115.529943</v>
      </c>
      <c r="AV91">
        <v>115.529943</v>
      </c>
      <c r="AW91">
        <v>102.675962</v>
      </c>
      <c r="AY91">
        <v>123.148</v>
      </c>
      <c r="BC91">
        <v>110.49122300000001</v>
      </c>
    </row>
    <row r="92" spans="2:55">
      <c r="B92" s="27">
        <v>41943</v>
      </c>
      <c r="C92">
        <v>106.48</v>
      </c>
      <c r="D92">
        <v>99.073999999999998</v>
      </c>
      <c r="E92">
        <v>111.771</v>
      </c>
      <c r="F92">
        <v>101.55</v>
      </c>
      <c r="L92">
        <v>93.209000000000003</v>
      </c>
      <c r="M92">
        <v>92.802999999999997</v>
      </c>
      <c r="AI92" s="27">
        <v>41213</v>
      </c>
      <c r="AQ92">
        <v>104.51325</v>
      </c>
      <c r="AR92">
        <v>105.255747</v>
      </c>
      <c r="AS92">
        <v>109.979806</v>
      </c>
      <c r="AT92">
        <v>115.426117</v>
      </c>
      <c r="AV92">
        <v>115.426117</v>
      </c>
      <c r="AW92">
        <v>102.943614</v>
      </c>
      <c r="AY92">
        <v>123.60930399999999</v>
      </c>
      <c r="BC92">
        <v>109.864491</v>
      </c>
    </row>
    <row r="93" spans="2:55">
      <c r="B93" s="27">
        <v>41912</v>
      </c>
      <c r="C93">
        <v>105.396</v>
      </c>
      <c r="D93">
        <v>97.843999999999994</v>
      </c>
      <c r="E93">
        <v>110.81100000000001</v>
      </c>
      <c r="F93">
        <v>101.377</v>
      </c>
      <c r="L93">
        <v>90.879000000000005</v>
      </c>
      <c r="M93">
        <v>90.414000000000001</v>
      </c>
      <c r="AI93" s="27">
        <v>41182</v>
      </c>
      <c r="AQ93">
        <v>104.62294300000001</v>
      </c>
      <c r="AR93">
        <v>104.963027</v>
      </c>
      <c r="AS93">
        <v>110.456923</v>
      </c>
      <c r="AT93">
        <v>115.940315</v>
      </c>
      <c r="AV93">
        <v>115.940315</v>
      </c>
      <c r="AW93">
        <v>102.917377</v>
      </c>
      <c r="AY93">
        <v>124.227384</v>
      </c>
      <c r="BC93">
        <v>110.185018</v>
      </c>
    </row>
    <row r="94" spans="2:55">
      <c r="B94" s="27">
        <v>41882</v>
      </c>
      <c r="C94">
        <v>106.33799999999999</v>
      </c>
      <c r="D94">
        <v>98.698999999999998</v>
      </c>
      <c r="E94">
        <v>111.14700000000001</v>
      </c>
      <c r="F94">
        <v>101.536</v>
      </c>
      <c r="L94">
        <v>92.653999999999996</v>
      </c>
      <c r="M94">
        <v>92.236000000000004</v>
      </c>
      <c r="R94">
        <v>103.48699999999999</v>
      </c>
      <c r="AI94" s="27">
        <v>41152</v>
      </c>
      <c r="AQ94">
        <v>104.745018</v>
      </c>
      <c r="AR94">
        <v>105.209036</v>
      </c>
      <c r="AS94">
        <v>110.33007600000001</v>
      </c>
      <c r="AT94">
        <v>116.520843</v>
      </c>
      <c r="AV94">
        <v>116.520843</v>
      </c>
      <c r="AW94">
        <v>102.898325</v>
      </c>
      <c r="AY94">
        <v>124.91845499999999</v>
      </c>
      <c r="BC94">
        <v>109.31315499999999</v>
      </c>
    </row>
    <row r="95" spans="2:55">
      <c r="B95" s="27">
        <v>41851</v>
      </c>
      <c r="C95">
        <v>104.70699999999999</v>
      </c>
      <c r="D95">
        <v>97.343999999999994</v>
      </c>
      <c r="E95">
        <v>108.616</v>
      </c>
      <c r="F95">
        <v>101.26300000000001</v>
      </c>
      <c r="L95">
        <v>89.85</v>
      </c>
      <c r="M95">
        <v>89.363</v>
      </c>
      <c r="R95">
        <v>102.755</v>
      </c>
      <c r="AI95" s="27">
        <v>41121</v>
      </c>
      <c r="AQ95">
        <v>104.95408</v>
      </c>
      <c r="AR95">
        <v>105.348015</v>
      </c>
      <c r="AS95">
        <v>110.482462</v>
      </c>
      <c r="AT95">
        <v>117.177757</v>
      </c>
      <c r="AV95">
        <v>117.177757</v>
      </c>
      <c r="AW95">
        <v>102.738387</v>
      </c>
      <c r="AY95">
        <v>125.352124</v>
      </c>
      <c r="BC95">
        <v>109.489048</v>
      </c>
    </row>
    <row r="96" spans="2:55">
      <c r="B96" s="27">
        <v>41820</v>
      </c>
      <c r="C96">
        <v>104.654</v>
      </c>
      <c r="D96">
        <v>97.227999999999994</v>
      </c>
      <c r="E96">
        <v>107.986</v>
      </c>
      <c r="L96">
        <v>88.117999999999995</v>
      </c>
      <c r="M96">
        <v>87.590999999999994</v>
      </c>
      <c r="R96">
        <v>101.289</v>
      </c>
      <c r="AI96" s="27">
        <v>41090</v>
      </c>
      <c r="AQ96">
        <v>104.967224</v>
      </c>
      <c r="AR96">
        <v>104.46636100000001</v>
      </c>
      <c r="AS96">
        <v>110.101111</v>
      </c>
      <c r="AT96">
        <v>116.708439</v>
      </c>
      <c r="AV96">
        <v>116.708439</v>
      </c>
      <c r="AW96">
        <v>101.706731</v>
      </c>
      <c r="AY96">
        <v>123.651628</v>
      </c>
      <c r="BC96">
        <v>110.09019000000001</v>
      </c>
    </row>
    <row r="97" spans="2:55">
      <c r="B97" s="27">
        <v>41790</v>
      </c>
      <c r="C97">
        <v>103.7055</v>
      </c>
      <c r="D97">
        <v>96.313500000000005</v>
      </c>
      <c r="E97">
        <v>106.0115</v>
      </c>
      <c r="L97">
        <v>88.876000000000005</v>
      </c>
      <c r="M97">
        <v>88.393500000000003</v>
      </c>
      <c r="AI97" s="27">
        <v>41060</v>
      </c>
      <c r="AQ97">
        <v>105.506342</v>
      </c>
      <c r="AR97">
        <v>104.326185</v>
      </c>
      <c r="AS97">
        <v>111.381331</v>
      </c>
      <c r="AT97">
        <v>117.584287</v>
      </c>
      <c r="AV97">
        <v>117.584287</v>
      </c>
      <c r="AW97">
        <v>101.605959</v>
      </c>
      <c r="AY97">
        <v>124.075807</v>
      </c>
      <c r="BC97">
        <v>110.097489</v>
      </c>
    </row>
    <row r="98" spans="2:55">
      <c r="B98" s="27">
        <v>41759</v>
      </c>
      <c r="C98">
        <v>101.62949999999999</v>
      </c>
      <c r="D98">
        <v>94.590500000000006</v>
      </c>
      <c r="E98">
        <v>104.4605</v>
      </c>
      <c r="L98">
        <v>86.126499999999993</v>
      </c>
      <c r="M98">
        <v>85.563500000000005</v>
      </c>
      <c r="AI98" s="27">
        <v>41029</v>
      </c>
      <c r="AQ98">
        <v>105.46418199999999</v>
      </c>
      <c r="AR98">
        <v>103.96490900000001</v>
      </c>
      <c r="AS98">
        <v>111.192114</v>
      </c>
      <c r="AT98">
        <v>116.16878199999999</v>
      </c>
      <c r="AV98">
        <v>116.16878199999999</v>
      </c>
      <c r="AW98">
        <v>100.77319199999999</v>
      </c>
      <c r="AY98">
        <v>122.040486</v>
      </c>
      <c r="BC98">
        <v>110.014214</v>
      </c>
    </row>
    <row r="99" spans="2:55">
      <c r="B99" s="27">
        <v>41729</v>
      </c>
      <c r="C99">
        <v>100.381</v>
      </c>
      <c r="D99">
        <v>93.677000000000007</v>
      </c>
      <c r="E99">
        <v>103.4635</v>
      </c>
      <c r="L99">
        <v>85.543000000000006</v>
      </c>
      <c r="M99">
        <v>84.879499999999993</v>
      </c>
      <c r="AI99" s="27">
        <v>40999</v>
      </c>
      <c r="AQ99">
        <v>105.326887</v>
      </c>
      <c r="AR99">
        <v>104.366136</v>
      </c>
      <c r="AS99">
        <v>111.08520300000001</v>
      </c>
      <c r="AT99">
        <v>115.11542</v>
      </c>
      <c r="AV99">
        <v>115.11542</v>
      </c>
      <c r="AW99">
        <v>100.75533</v>
      </c>
      <c r="AY99">
        <v>122.420492</v>
      </c>
      <c r="BC99">
        <v>108.239823</v>
      </c>
    </row>
    <row r="100" spans="2:55">
      <c r="B100" s="27">
        <v>41698</v>
      </c>
      <c r="C100">
        <v>100.55549999999999</v>
      </c>
      <c r="D100">
        <v>93.982500000000002</v>
      </c>
      <c r="E100">
        <v>101.9225</v>
      </c>
      <c r="L100">
        <v>86.657499999999999</v>
      </c>
      <c r="M100">
        <v>86.047499999999999</v>
      </c>
      <c r="AI100" s="27">
        <v>40968</v>
      </c>
      <c r="AQ100">
        <v>106.07489200000001</v>
      </c>
      <c r="AR100">
        <v>104.060254</v>
      </c>
      <c r="AS100">
        <v>112.25936299999999</v>
      </c>
      <c r="AT100">
        <v>116.48447400000001</v>
      </c>
      <c r="AV100">
        <v>116.48447400000001</v>
      </c>
      <c r="AW100">
        <v>100.974762</v>
      </c>
      <c r="AY100">
        <v>122.626374</v>
      </c>
      <c r="BC100">
        <v>109.460109</v>
      </c>
    </row>
    <row r="101" spans="2:55">
      <c r="B101" s="27">
        <v>41670</v>
      </c>
      <c r="C101">
        <v>99.855500000000006</v>
      </c>
      <c r="D101">
        <v>93.962500000000006</v>
      </c>
      <c r="L101">
        <v>85.506</v>
      </c>
      <c r="M101">
        <v>84.956999999999994</v>
      </c>
      <c r="AI101" s="27">
        <v>40939</v>
      </c>
      <c r="AQ101">
        <v>106.50132000000001</v>
      </c>
      <c r="AR101">
        <v>103.477418</v>
      </c>
      <c r="AS101">
        <v>112.863713</v>
      </c>
      <c r="AT101">
        <v>117.421599</v>
      </c>
      <c r="AV101">
        <v>117.421599</v>
      </c>
      <c r="AY101">
        <v>122.778184</v>
      </c>
      <c r="BC101">
        <v>110.179692</v>
      </c>
    </row>
    <row r="102" spans="2:55">
      <c r="B102" s="27">
        <v>41639</v>
      </c>
      <c r="C102">
        <v>98.349500000000006</v>
      </c>
      <c r="D102">
        <v>92.644000000000005</v>
      </c>
      <c r="L102">
        <v>84.635499999999993</v>
      </c>
      <c r="M102">
        <v>84.054000000000002</v>
      </c>
      <c r="AI102" s="27">
        <v>40908</v>
      </c>
      <c r="AQ102">
        <v>106.406451</v>
      </c>
      <c r="AR102">
        <v>103.16280999999999</v>
      </c>
      <c r="AS102">
        <v>112.61335200000001</v>
      </c>
      <c r="AT102">
        <v>117.32320799999999</v>
      </c>
      <c r="AV102">
        <v>117.32320799999999</v>
      </c>
      <c r="AY102">
        <v>122.97367300000001</v>
      </c>
      <c r="BC102">
        <v>111.683548</v>
      </c>
    </row>
    <row r="103" spans="2:55">
      <c r="B103" s="27">
        <v>41608</v>
      </c>
      <c r="C103">
        <v>97.915000000000006</v>
      </c>
      <c r="D103">
        <v>92.436999999999998</v>
      </c>
      <c r="L103">
        <v>86.355000000000004</v>
      </c>
      <c r="M103">
        <v>86.141999999999996</v>
      </c>
      <c r="AI103" s="27">
        <v>40877</v>
      </c>
      <c r="AP103">
        <v>100.041774</v>
      </c>
      <c r="AQ103">
        <v>106.592842</v>
      </c>
      <c r="AR103">
        <v>102.69158400000001</v>
      </c>
      <c r="AS103">
        <v>112.82905</v>
      </c>
      <c r="AT103">
        <v>116.62999600000001</v>
      </c>
      <c r="AV103">
        <v>116.62999600000001</v>
      </c>
      <c r="AY103">
        <v>121.025755</v>
      </c>
      <c r="BC103">
        <v>111.60194300000001</v>
      </c>
    </row>
    <row r="104" spans="2:55">
      <c r="B104" s="27">
        <v>41578</v>
      </c>
      <c r="C104">
        <v>98.914500000000004</v>
      </c>
      <c r="D104">
        <v>93.509</v>
      </c>
      <c r="L104">
        <v>88.316500000000005</v>
      </c>
      <c r="M104">
        <v>88.100499999999997</v>
      </c>
      <c r="AI104" s="27">
        <v>40847</v>
      </c>
      <c r="AP104">
        <v>100.04397</v>
      </c>
      <c r="AQ104">
        <v>106.393979</v>
      </c>
      <c r="AR104">
        <v>103.489597</v>
      </c>
      <c r="AS104">
        <v>112.378142</v>
      </c>
      <c r="AT104">
        <v>116.25609900000001</v>
      </c>
      <c r="AV104">
        <v>116.25609900000001</v>
      </c>
      <c r="AY104">
        <v>121.66271399999999</v>
      </c>
      <c r="BC104">
        <v>111.182981</v>
      </c>
    </row>
    <row r="105" spans="2:55">
      <c r="B105" s="27">
        <v>41547</v>
      </c>
      <c r="C105">
        <v>99.078000000000003</v>
      </c>
      <c r="D105">
        <v>94.381500000000003</v>
      </c>
      <c r="L105">
        <v>86.415499999999994</v>
      </c>
      <c r="M105">
        <v>86.12</v>
      </c>
      <c r="AI105" s="27">
        <v>40816</v>
      </c>
      <c r="AP105">
        <v>100.076179</v>
      </c>
      <c r="AQ105">
        <v>106.57489200000001</v>
      </c>
      <c r="AR105">
        <v>103.726179</v>
      </c>
      <c r="AS105">
        <v>112.601674</v>
      </c>
      <c r="AT105">
        <v>117.83742599999999</v>
      </c>
      <c r="AV105">
        <v>117.83742599999999</v>
      </c>
      <c r="AY105">
        <v>121.978554</v>
      </c>
      <c r="BC105">
        <v>115.03556500000001</v>
      </c>
    </row>
    <row r="106" spans="2:55">
      <c r="B106" s="27">
        <v>41517</v>
      </c>
      <c r="C106">
        <v>98.647499999999994</v>
      </c>
      <c r="D106">
        <v>94.135000000000005</v>
      </c>
      <c r="L106">
        <v>84.482500000000002</v>
      </c>
      <c r="M106">
        <v>84.183499999999995</v>
      </c>
      <c r="AI106" s="27">
        <v>40786</v>
      </c>
      <c r="AP106">
        <v>100.10140699999999</v>
      </c>
      <c r="AQ106">
        <v>106.955122</v>
      </c>
      <c r="AR106">
        <v>103.00971</v>
      </c>
      <c r="AS106">
        <v>113.13091</v>
      </c>
      <c r="AT106">
        <v>116.603534</v>
      </c>
      <c r="AV106">
        <v>116.603534</v>
      </c>
      <c r="AY106">
        <v>121.18636100000001</v>
      </c>
      <c r="BC106">
        <v>112.71142999999999</v>
      </c>
    </row>
    <row r="107" spans="2:55">
      <c r="B107" s="27">
        <v>41486</v>
      </c>
      <c r="C107">
        <v>99.917000000000002</v>
      </c>
      <c r="D107">
        <v>95.174000000000007</v>
      </c>
      <c r="L107">
        <v>85.817499999999995</v>
      </c>
      <c r="M107">
        <v>85.551500000000004</v>
      </c>
      <c r="AI107" s="27">
        <v>40755</v>
      </c>
      <c r="AP107">
        <v>100.143252</v>
      </c>
      <c r="AQ107">
        <v>105.969725</v>
      </c>
      <c r="AR107">
        <v>103.607839</v>
      </c>
      <c r="AS107">
        <v>111.274601</v>
      </c>
      <c r="AT107">
        <v>113.557951</v>
      </c>
      <c r="AV107">
        <v>113.557951</v>
      </c>
      <c r="AY107">
        <v>120.308173</v>
      </c>
      <c r="BC107">
        <v>109.094703</v>
      </c>
    </row>
    <row r="108" spans="2:55">
      <c r="B108" s="27">
        <v>41455</v>
      </c>
      <c r="C108">
        <v>97.739500000000007</v>
      </c>
      <c r="D108">
        <v>94.758499999999998</v>
      </c>
      <c r="L108">
        <v>87.124499999999998</v>
      </c>
      <c r="M108">
        <v>86.894000000000005</v>
      </c>
      <c r="AI108" s="27">
        <v>40724</v>
      </c>
      <c r="AP108">
        <v>100.228369</v>
      </c>
      <c r="AQ108">
        <v>107.200988</v>
      </c>
      <c r="AR108">
        <v>102.834812</v>
      </c>
      <c r="AS108">
        <v>113.110175</v>
      </c>
      <c r="AT108">
        <v>110.232015</v>
      </c>
      <c r="AV108">
        <v>110.232015</v>
      </c>
      <c r="AY108">
        <v>117.634252</v>
      </c>
      <c r="BC108">
        <v>108.634141</v>
      </c>
    </row>
    <row r="109" spans="2:55">
      <c r="B109" s="27">
        <v>41425</v>
      </c>
      <c r="C109">
        <v>102.6515</v>
      </c>
      <c r="D109">
        <v>97.274000000000001</v>
      </c>
      <c r="L109">
        <v>93.649500000000003</v>
      </c>
      <c r="M109">
        <v>93.588499999999996</v>
      </c>
      <c r="AI109" s="27">
        <v>40694</v>
      </c>
      <c r="AP109">
        <v>100.21423</v>
      </c>
      <c r="AQ109">
        <v>107.2366</v>
      </c>
      <c r="AR109">
        <v>102.34502999999999</v>
      </c>
      <c r="AS109">
        <v>110.20734</v>
      </c>
      <c r="AT109">
        <v>110.93276</v>
      </c>
      <c r="AV109">
        <v>110.93276</v>
      </c>
      <c r="AY109">
        <v>118.28907</v>
      </c>
      <c r="BC109">
        <v>104.73721</v>
      </c>
    </row>
    <row r="110" spans="2:55">
      <c r="B110" s="27">
        <v>41394</v>
      </c>
      <c r="C110">
        <v>105.096</v>
      </c>
      <c r="D110">
        <v>99.102500000000006</v>
      </c>
      <c r="L110">
        <v>100.1795</v>
      </c>
      <c r="M110">
        <v>100.30200000000001</v>
      </c>
      <c r="AI110" s="27">
        <v>40663</v>
      </c>
      <c r="AP110">
        <v>100.25763999999999</v>
      </c>
      <c r="AQ110">
        <v>106.27641</v>
      </c>
      <c r="AR110">
        <v>100.88847</v>
      </c>
      <c r="AS110">
        <v>108.72394</v>
      </c>
      <c r="AT110">
        <v>109.61163000000001</v>
      </c>
      <c r="AV110">
        <v>109.61163000000001</v>
      </c>
      <c r="AY110">
        <v>117.15419</v>
      </c>
      <c r="BC110">
        <v>103.0431</v>
      </c>
    </row>
    <row r="111" spans="2:55">
      <c r="B111" s="27">
        <v>41364</v>
      </c>
      <c r="C111">
        <v>102.40049999999999</v>
      </c>
      <c r="D111">
        <v>96.834500000000006</v>
      </c>
      <c r="L111">
        <v>98.188999999999993</v>
      </c>
      <c r="M111">
        <v>98.254999999999995</v>
      </c>
      <c r="AI111" s="27">
        <v>40633</v>
      </c>
      <c r="AP111">
        <v>100.37571</v>
      </c>
      <c r="AQ111">
        <v>105.5693</v>
      </c>
      <c r="AR111">
        <v>101.11194</v>
      </c>
      <c r="AS111">
        <v>107.47811</v>
      </c>
      <c r="AT111">
        <v>108.93033</v>
      </c>
      <c r="AV111">
        <v>108.93033</v>
      </c>
      <c r="AY111">
        <v>115.99992</v>
      </c>
      <c r="BC111">
        <v>102.48220999999999</v>
      </c>
    </row>
    <row r="112" spans="2:55">
      <c r="B112" s="27">
        <v>41333</v>
      </c>
      <c r="C112">
        <v>102.4175</v>
      </c>
      <c r="D112">
        <v>97.192499999999995</v>
      </c>
      <c r="L112">
        <v>98.441500000000005</v>
      </c>
      <c r="AI112" s="27">
        <v>40602</v>
      </c>
      <c r="AP112">
        <v>100.25981</v>
      </c>
      <c r="AQ112">
        <v>105.71232999999999</v>
      </c>
      <c r="AR112">
        <v>102.14999</v>
      </c>
      <c r="AS112">
        <v>107.29382</v>
      </c>
      <c r="AT112">
        <v>109.49605</v>
      </c>
      <c r="AV112">
        <v>109.49605</v>
      </c>
      <c r="AY112">
        <v>115.97132999999999</v>
      </c>
      <c r="BC112">
        <v>102.0295</v>
      </c>
    </row>
    <row r="113" spans="2:55">
      <c r="B113" s="27">
        <v>41305</v>
      </c>
      <c r="C113">
        <v>102.54600000000001</v>
      </c>
      <c r="D113">
        <v>96.57</v>
      </c>
      <c r="L113">
        <v>95.930999999999997</v>
      </c>
      <c r="AI113" s="27">
        <v>40574</v>
      </c>
      <c r="AP113">
        <v>100.39357</v>
      </c>
      <c r="AQ113">
        <v>106.55862</v>
      </c>
      <c r="AR113">
        <v>101.66822999999999</v>
      </c>
      <c r="AS113">
        <v>108.16777999999999</v>
      </c>
      <c r="AT113">
        <v>109.73868</v>
      </c>
      <c r="AV113">
        <v>109.73868</v>
      </c>
      <c r="AY113">
        <v>116.3368</v>
      </c>
      <c r="BC113">
        <v>101.92591</v>
      </c>
    </row>
    <row r="114" spans="2:55">
      <c r="B114" s="27">
        <v>41274</v>
      </c>
      <c r="C114">
        <v>103.4315</v>
      </c>
      <c r="D114">
        <v>97.71</v>
      </c>
      <c r="L114">
        <v>99.701999999999998</v>
      </c>
      <c r="AI114" s="27">
        <v>40543</v>
      </c>
      <c r="AP114">
        <v>100.29293</v>
      </c>
      <c r="AQ114">
        <v>106.05016999999999</v>
      </c>
      <c r="AR114">
        <v>101.50309</v>
      </c>
      <c r="AS114">
        <v>107.85189</v>
      </c>
      <c r="AT114">
        <v>110.23972999999999</v>
      </c>
      <c r="AV114">
        <v>110.23972999999999</v>
      </c>
      <c r="AY114">
        <v>118.51287000000001</v>
      </c>
      <c r="BC114">
        <v>101.25275000000001</v>
      </c>
    </row>
    <row r="115" spans="2:55">
      <c r="B115" s="27">
        <v>41243</v>
      </c>
      <c r="C115">
        <v>103.3755</v>
      </c>
      <c r="D115">
        <v>98.524000000000001</v>
      </c>
      <c r="L115">
        <v>100.9575</v>
      </c>
      <c r="AI115" s="27">
        <v>40512</v>
      </c>
      <c r="AP115">
        <v>100.39528</v>
      </c>
      <c r="AQ115">
        <v>106.96002</v>
      </c>
      <c r="AR115">
        <v>102.21947</v>
      </c>
      <c r="AS115">
        <v>109.76849</v>
      </c>
      <c r="AT115">
        <v>113.25203</v>
      </c>
      <c r="AV115">
        <v>113.25203</v>
      </c>
      <c r="AY115">
        <v>120.16781</v>
      </c>
      <c r="BC115">
        <v>108.45811</v>
      </c>
    </row>
    <row r="116" spans="2:55">
      <c r="B116" s="27">
        <v>41213</v>
      </c>
      <c r="C116">
        <v>104.1615</v>
      </c>
      <c r="D116">
        <v>98.933499999999995</v>
      </c>
      <c r="L116">
        <v>97.787000000000006</v>
      </c>
      <c r="AI116" s="27">
        <v>40482</v>
      </c>
      <c r="AP116">
        <v>100.53988</v>
      </c>
      <c r="AQ116">
        <v>108.45396</v>
      </c>
      <c r="AR116">
        <v>102.22265</v>
      </c>
      <c r="AS116">
        <v>111.94425</v>
      </c>
      <c r="AT116">
        <v>114.21759</v>
      </c>
      <c r="AV116">
        <v>114.21759</v>
      </c>
      <c r="AY116">
        <v>121.53134</v>
      </c>
      <c r="BC116">
        <v>110.90791</v>
      </c>
    </row>
    <row r="117" spans="2:55">
      <c r="B117" s="27">
        <v>41182</v>
      </c>
      <c r="C117">
        <v>103.76300000000001</v>
      </c>
      <c r="D117">
        <v>99.545500000000004</v>
      </c>
      <c r="L117">
        <v>98.405000000000001</v>
      </c>
      <c r="AI117" s="27">
        <v>40451</v>
      </c>
      <c r="AP117">
        <v>100.05632</v>
      </c>
      <c r="AQ117">
        <v>108.54747999999999</v>
      </c>
      <c r="AR117">
        <v>102.14254</v>
      </c>
      <c r="AS117">
        <v>112.21625</v>
      </c>
      <c r="AT117">
        <v>114.92854</v>
      </c>
      <c r="AV117">
        <v>114.92854</v>
      </c>
      <c r="AY117">
        <v>122.28140999999999</v>
      </c>
      <c r="BC117">
        <v>111.68552</v>
      </c>
    </row>
    <row r="118" spans="2:55">
      <c r="B118" s="27">
        <v>41152</v>
      </c>
      <c r="C118">
        <v>101.11150000000001</v>
      </c>
      <c r="D118">
        <v>99.503</v>
      </c>
      <c r="AI118" s="27">
        <v>40421</v>
      </c>
      <c r="AP118">
        <v>100.57207</v>
      </c>
      <c r="AQ118">
        <v>107.55612000000001</v>
      </c>
      <c r="AR118">
        <v>102.86657</v>
      </c>
      <c r="AS118">
        <v>111.34636</v>
      </c>
      <c r="AT118">
        <v>115.33537</v>
      </c>
      <c r="AV118">
        <v>115.33537</v>
      </c>
      <c r="AY118">
        <v>123.29073</v>
      </c>
      <c r="BC118">
        <v>112.22253000000001</v>
      </c>
    </row>
    <row r="119" spans="2:55">
      <c r="B119" s="27">
        <v>41121</v>
      </c>
      <c r="C119">
        <v>100.2555</v>
      </c>
      <c r="D119">
        <v>99.576499999999996</v>
      </c>
      <c r="AI119" s="27">
        <v>40390</v>
      </c>
      <c r="AP119">
        <v>100.34726000000001</v>
      </c>
      <c r="AQ119">
        <v>107.10867</v>
      </c>
      <c r="AR119">
        <v>102.07695</v>
      </c>
      <c r="AS119">
        <v>108.77027</v>
      </c>
      <c r="AT119">
        <v>112.80714999999999</v>
      </c>
      <c r="AV119">
        <v>112.80714999999999</v>
      </c>
      <c r="AY119">
        <v>118.91365999999999</v>
      </c>
      <c r="BC119">
        <v>109.78525</v>
      </c>
    </row>
    <row r="120" spans="2:55">
      <c r="B120" s="27">
        <v>41090</v>
      </c>
      <c r="C120">
        <v>99.206999999999994</v>
      </c>
      <c r="D120">
        <v>99.136499999999998</v>
      </c>
      <c r="AI120" s="27">
        <v>40359</v>
      </c>
      <c r="AP120">
        <v>100.38739</v>
      </c>
      <c r="AQ120">
        <v>105.57996</v>
      </c>
      <c r="AR120">
        <v>102.09211000000001</v>
      </c>
      <c r="AS120">
        <v>108.26248</v>
      </c>
      <c r="AT120">
        <v>112.60791999999999</v>
      </c>
      <c r="AV120">
        <v>114.07604000000001</v>
      </c>
      <c r="AY120">
        <v>117.96344999999999</v>
      </c>
      <c r="BC120">
        <v>109.56336</v>
      </c>
    </row>
    <row r="121" spans="2:55">
      <c r="AI121" s="27">
        <v>40329</v>
      </c>
      <c r="AP121">
        <v>100.35547</v>
      </c>
      <c r="AQ121">
        <v>104.83081</v>
      </c>
      <c r="AR121">
        <v>101.86836</v>
      </c>
      <c r="AS121">
        <v>107.82595999999999</v>
      </c>
      <c r="AT121">
        <v>110.73914000000001</v>
      </c>
      <c r="AV121">
        <v>112.19368</v>
      </c>
      <c r="AY121">
        <v>116.81233</v>
      </c>
      <c r="BC121">
        <v>104.59626</v>
      </c>
    </row>
    <row r="122" spans="2:55">
      <c r="AI122" s="27">
        <v>40298</v>
      </c>
      <c r="AP122">
        <v>100.3276</v>
      </c>
      <c r="AQ122">
        <v>105.17865</v>
      </c>
      <c r="AR122">
        <v>100.4914</v>
      </c>
      <c r="AS122">
        <v>107.0879</v>
      </c>
      <c r="AT122">
        <v>109.34859</v>
      </c>
      <c r="AV122">
        <v>110.79487</v>
      </c>
      <c r="AY122">
        <v>113.95412</v>
      </c>
      <c r="BC122">
        <v>100.31882</v>
      </c>
    </row>
    <row r="123" spans="2:55">
      <c r="AI123" s="27">
        <v>40268</v>
      </c>
      <c r="AP123">
        <v>100.39588999999999</v>
      </c>
      <c r="AQ123">
        <v>104.38091</v>
      </c>
      <c r="AR123">
        <v>100.34492</v>
      </c>
      <c r="AS123">
        <v>106.53287</v>
      </c>
      <c r="AT123">
        <v>108.43062999999999</v>
      </c>
      <c r="AV123">
        <v>109.87629</v>
      </c>
      <c r="AY123">
        <v>113.49908000000001</v>
      </c>
    </row>
    <row r="124" spans="2:55">
      <c r="AI124" s="27">
        <v>40237</v>
      </c>
      <c r="AP124">
        <v>100.86360999999999</v>
      </c>
      <c r="AQ124">
        <v>104.71414</v>
      </c>
      <c r="AR124">
        <v>100.30697000000001</v>
      </c>
      <c r="AS124">
        <v>102.85077</v>
      </c>
      <c r="AT124">
        <v>109.91171</v>
      </c>
      <c r="AV124">
        <v>111.39772000000001</v>
      </c>
      <c r="AY124">
        <v>112.63939000000001</v>
      </c>
    </row>
    <row r="125" spans="2:55">
      <c r="AI125" s="27">
        <v>40209</v>
      </c>
      <c r="AP125">
        <v>99.736320000000006</v>
      </c>
      <c r="AQ125">
        <v>104.15697</v>
      </c>
      <c r="AS125">
        <v>104.48305999999999</v>
      </c>
      <c r="AT125">
        <v>109.87115</v>
      </c>
      <c r="AV125">
        <v>111.37092</v>
      </c>
      <c r="AY125">
        <v>112.91991</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84821-A215-4BF6-A493-B295D2BFE256}">
  <sheetPr>
    <tabColor theme="0" tint="-0.249977111117893"/>
  </sheetPr>
  <dimension ref="A1:AD78"/>
  <sheetViews>
    <sheetView workbookViewId="0">
      <selection activeCell="J51" sqref="J51"/>
    </sheetView>
  </sheetViews>
  <sheetFormatPr defaultRowHeight="14.25"/>
  <cols>
    <col min="1" max="1" width="24.83203125" customWidth="1"/>
    <col min="2" max="2" width="20.33203125" customWidth="1"/>
    <col min="3" max="3" width="23.08203125" customWidth="1"/>
    <col min="4" max="4" width="11.08203125" bestFit="1" customWidth="1"/>
    <col min="5" max="5" width="12.5" bestFit="1" customWidth="1"/>
    <col min="6" max="6" width="13.58203125" customWidth="1"/>
    <col min="10" max="10" width="11.33203125" customWidth="1"/>
    <col min="13" max="13" width="10.25" bestFit="1" customWidth="1"/>
    <col min="24" max="24" width="10.08203125" bestFit="1" customWidth="1"/>
  </cols>
  <sheetData>
    <row r="1" spans="1:30" ht="14.75">
      <c r="A1" s="210" t="s">
        <v>1261</v>
      </c>
      <c r="B1" s="210"/>
      <c r="C1" s="210"/>
      <c r="D1" s="210"/>
      <c r="E1" s="210"/>
      <c r="F1" s="210"/>
      <c r="G1" s="210"/>
      <c r="H1" s="210"/>
      <c r="I1" s="210"/>
      <c r="J1" s="210"/>
      <c r="K1" s="210"/>
      <c r="L1" s="210"/>
      <c r="M1" s="210"/>
      <c r="N1" s="210"/>
      <c r="O1" s="210"/>
      <c r="P1" s="210"/>
      <c r="Q1" s="210"/>
      <c r="R1" s="210"/>
      <c r="S1" s="210"/>
      <c r="T1" s="210"/>
      <c r="U1" s="210"/>
      <c r="V1" s="210"/>
      <c r="W1" s="210"/>
      <c r="X1" s="210"/>
      <c r="Y1" s="210"/>
      <c r="Z1" s="210"/>
      <c r="AA1" s="210"/>
      <c r="AB1" s="210"/>
      <c r="AC1" s="210"/>
      <c r="AD1" s="210"/>
    </row>
    <row r="3" spans="1:30" ht="14.75">
      <c r="A3" s="92" t="s">
        <v>386</v>
      </c>
      <c r="B3" s="92"/>
      <c r="C3" s="92"/>
      <c r="D3" s="92"/>
      <c r="E3" s="92"/>
      <c r="F3" s="92"/>
      <c r="G3" s="92"/>
      <c r="H3" s="92"/>
      <c r="I3" s="92"/>
      <c r="J3" s="92"/>
      <c r="K3" s="92"/>
      <c r="L3" s="92"/>
      <c r="M3" s="92"/>
      <c r="N3" s="92"/>
      <c r="O3" s="92"/>
      <c r="P3" s="92"/>
      <c r="Q3" s="92"/>
      <c r="R3" s="92"/>
      <c r="S3" s="92"/>
      <c r="T3" s="92"/>
      <c r="U3" s="92"/>
      <c r="V3" s="92"/>
      <c r="W3" s="92"/>
      <c r="X3" s="92"/>
      <c r="Y3" s="92"/>
      <c r="Z3" s="92"/>
      <c r="AA3" s="92"/>
      <c r="AB3" s="92"/>
      <c r="AC3" s="92"/>
      <c r="AD3" s="92"/>
    </row>
    <row r="4" spans="1:30" ht="14.75">
      <c r="A4" s="92" t="s">
        <v>387</v>
      </c>
      <c r="B4" s="92"/>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row>
    <row r="6" spans="1:30" ht="15.5" thickBot="1">
      <c r="A6" s="211" t="s">
        <v>388</v>
      </c>
      <c r="B6" s="211"/>
      <c r="C6" s="92"/>
      <c r="D6" s="92"/>
      <c r="E6" s="92"/>
      <c r="F6" s="92"/>
      <c r="G6" s="92"/>
      <c r="H6" s="92"/>
      <c r="I6" s="92"/>
      <c r="J6" s="92"/>
      <c r="K6" s="92"/>
      <c r="L6" s="92"/>
      <c r="M6" s="92"/>
      <c r="N6" s="92"/>
      <c r="O6" s="92"/>
      <c r="P6" s="92"/>
      <c r="Q6" s="92"/>
      <c r="R6" s="92"/>
      <c r="S6" s="92"/>
      <c r="T6" s="92"/>
      <c r="U6" s="92"/>
      <c r="V6" s="92"/>
      <c r="W6" s="92"/>
      <c r="X6" s="92"/>
      <c r="Y6" s="92"/>
      <c r="Z6" s="92"/>
      <c r="AA6" s="92"/>
      <c r="AB6" s="92"/>
      <c r="AC6" s="92"/>
      <c r="AD6" s="92"/>
    </row>
    <row r="7" spans="1:30" ht="15.5" thickTop="1">
      <c r="A7" s="92" t="s">
        <v>388</v>
      </c>
      <c r="B7" s="92" t="s">
        <v>1262</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row>
    <row r="8" spans="1:30" ht="14.75">
      <c r="A8" s="92" t="s">
        <v>390</v>
      </c>
      <c r="B8" s="92" t="s">
        <v>429</v>
      </c>
      <c r="C8" s="92"/>
      <c r="D8" s="92"/>
      <c r="E8" s="92"/>
      <c r="F8" s="92"/>
      <c r="G8" s="92"/>
      <c r="H8" s="92"/>
      <c r="I8" s="92"/>
      <c r="J8" s="92"/>
      <c r="K8" s="92"/>
      <c r="L8" s="92"/>
      <c r="M8" s="92"/>
      <c r="N8" s="92"/>
      <c r="O8" s="92"/>
      <c r="P8" s="92"/>
      <c r="Q8" s="92"/>
      <c r="R8" s="92"/>
      <c r="S8" s="92"/>
      <c r="T8" s="92"/>
      <c r="U8" s="92"/>
      <c r="V8" s="92"/>
      <c r="W8" s="92"/>
      <c r="X8" s="92"/>
      <c r="Y8" s="92"/>
      <c r="Z8" s="92"/>
      <c r="AA8" s="92"/>
      <c r="AB8" s="92"/>
      <c r="AC8" s="92"/>
      <c r="AD8" s="92"/>
    </row>
    <row r="9" spans="1:30" ht="14.75">
      <c r="A9" s="92" t="s">
        <v>392</v>
      </c>
      <c r="B9" s="92" t="s">
        <v>429</v>
      </c>
      <c r="C9" s="92"/>
      <c r="D9" s="92"/>
      <c r="E9" s="92"/>
      <c r="F9" s="92"/>
      <c r="G9" s="92"/>
      <c r="H9" s="92"/>
      <c r="I9" s="92"/>
      <c r="J9" s="92"/>
      <c r="K9" s="92"/>
      <c r="L9" s="92"/>
      <c r="M9" s="92"/>
      <c r="N9" s="92"/>
      <c r="O9" s="92"/>
      <c r="P9" s="92"/>
      <c r="Q9" s="92"/>
      <c r="R9" s="92"/>
      <c r="S9" s="92"/>
      <c r="T9" s="92"/>
      <c r="U9" s="92"/>
      <c r="V9" s="92"/>
      <c r="W9" s="92"/>
      <c r="X9" s="92"/>
      <c r="Y9" s="92"/>
      <c r="Z9" s="92"/>
      <c r="AA9" s="92"/>
      <c r="AB9" s="92"/>
      <c r="AC9" s="92"/>
      <c r="AD9" s="92"/>
    </row>
    <row r="11" spans="1:30" ht="15.5" thickBot="1">
      <c r="A11" s="211" t="s">
        <v>386</v>
      </c>
      <c r="B11" s="211"/>
      <c r="C11" s="211"/>
      <c r="D11" s="211"/>
      <c r="E11" s="92"/>
      <c r="F11" s="92"/>
      <c r="G11" s="92"/>
      <c r="H11" s="92"/>
      <c r="I11" s="92"/>
      <c r="J11" s="92"/>
      <c r="K11" s="92"/>
      <c r="L11" s="92"/>
      <c r="M11" s="92"/>
      <c r="N11" s="92"/>
      <c r="O11" s="92"/>
      <c r="P11" s="92"/>
      <c r="Q11" s="92"/>
      <c r="R11" s="92"/>
      <c r="S11" s="92"/>
      <c r="T11" s="92"/>
      <c r="U11" s="92"/>
      <c r="V11" s="92"/>
      <c r="W11" s="92"/>
      <c r="X11" s="92"/>
      <c r="Y11" s="92"/>
      <c r="Z11" s="92"/>
      <c r="AA11" s="92"/>
      <c r="AB11" s="92"/>
      <c r="AC11" s="92"/>
      <c r="AD11" s="92"/>
    </row>
    <row r="12" spans="1:30" ht="15.5" thickTop="1">
      <c r="A12" s="101" t="s">
        <v>394</v>
      </c>
      <c r="B12" s="102" t="s">
        <v>395</v>
      </c>
      <c r="C12" s="102" t="s">
        <v>396</v>
      </c>
      <c r="D12" s="102" t="s">
        <v>397</v>
      </c>
      <c r="E12" s="92"/>
      <c r="F12" s="92"/>
      <c r="G12" s="92"/>
      <c r="H12" s="92"/>
      <c r="I12" s="92"/>
      <c r="J12" s="92"/>
      <c r="K12" s="92"/>
      <c r="L12" s="92"/>
      <c r="M12" s="92"/>
      <c r="N12" s="92"/>
      <c r="O12" s="92"/>
      <c r="P12" s="92"/>
      <c r="Q12" s="92"/>
      <c r="R12" s="92"/>
      <c r="S12" s="92"/>
      <c r="T12" s="92"/>
      <c r="U12" s="92"/>
      <c r="V12" s="92"/>
      <c r="W12" s="92"/>
      <c r="X12" s="92"/>
      <c r="Y12" s="92"/>
      <c r="Z12" s="92"/>
      <c r="AA12" s="92"/>
      <c r="AB12" s="92"/>
      <c r="AC12" s="92"/>
      <c r="AD12" s="92"/>
    </row>
    <row r="13" spans="1:30" ht="14.75">
      <c r="A13" s="92" t="s">
        <v>398</v>
      </c>
      <c r="B13" s="99">
        <v>2</v>
      </c>
      <c r="C13" s="99">
        <v>900000000</v>
      </c>
      <c r="D13" s="99">
        <v>900000000</v>
      </c>
      <c r="E13" s="92"/>
      <c r="F13" s="92"/>
      <c r="G13" s="92"/>
      <c r="H13" s="92"/>
      <c r="I13" s="92"/>
      <c r="J13" s="92"/>
      <c r="K13" s="92"/>
      <c r="L13" s="92"/>
      <c r="M13" s="92"/>
      <c r="N13" s="92"/>
      <c r="O13" s="92"/>
      <c r="P13" s="92"/>
      <c r="Q13" s="92"/>
      <c r="R13" s="92"/>
      <c r="S13" s="92"/>
      <c r="T13" s="92"/>
      <c r="U13" s="92"/>
      <c r="V13" s="92"/>
      <c r="W13" s="92"/>
      <c r="X13" s="92"/>
      <c r="Y13" s="92"/>
      <c r="Z13" s="92"/>
      <c r="AA13" s="92"/>
      <c r="AB13" s="92"/>
      <c r="AC13" s="92"/>
      <c r="AD13" s="92"/>
    </row>
    <row r="14" spans="1:30" ht="14.75">
      <c r="A14" s="92" t="s">
        <v>399</v>
      </c>
      <c r="B14" s="99">
        <v>0</v>
      </c>
      <c r="C14" s="99">
        <v>0</v>
      </c>
      <c r="D14" s="99">
        <v>0</v>
      </c>
      <c r="E14" s="92"/>
      <c r="F14" s="92"/>
      <c r="G14" s="92"/>
      <c r="H14" s="92"/>
      <c r="I14" s="92"/>
      <c r="J14" s="92"/>
      <c r="K14" s="92"/>
      <c r="L14" s="92"/>
      <c r="M14" s="92"/>
      <c r="N14" s="92"/>
      <c r="O14" s="92"/>
      <c r="P14" s="92"/>
      <c r="Q14" s="92"/>
      <c r="R14" s="92"/>
      <c r="S14" s="92"/>
      <c r="T14" s="92"/>
      <c r="U14" s="92"/>
      <c r="V14" s="92"/>
      <c r="W14" s="92"/>
      <c r="X14" s="92"/>
      <c r="Y14" s="92"/>
      <c r="Z14" s="92"/>
      <c r="AA14" s="92"/>
      <c r="AB14" s="92"/>
      <c r="AC14" s="92"/>
      <c r="AD14" s="92"/>
    </row>
    <row r="15" spans="1:30" ht="14.75">
      <c r="A15" s="92" t="s">
        <v>400</v>
      </c>
      <c r="B15" s="99">
        <v>0</v>
      </c>
      <c r="C15" s="99">
        <v>0</v>
      </c>
      <c r="D15" s="99">
        <v>0</v>
      </c>
      <c r="E15" s="92"/>
      <c r="F15" s="92"/>
      <c r="G15" s="92"/>
      <c r="H15" s="92"/>
      <c r="I15" s="92"/>
      <c r="J15" s="92"/>
      <c r="K15" s="92"/>
      <c r="L15" s="92"/>
      <c r="M15" s="92"/>
      <c r="N15" s="92"/>
      <c r="O15" s="92"/>
      <c r="P15" s="92"/>
      <c r="Q15" s="92"/>
      <c r="R15" s="92"/>
      <c r="S15" s="92"/>
      <c r="T15" s="92"/>
      <c r="U15" s="92"/>
      <c r="V15" s="92"/>
      <c r="W15" s="92"/>
      <c r="X15" s="92"/>
      <c r="Y15" s="92"/>
      <c r="Z15" s="92"/>
      <c r="AA15" s="92"/>
      <c r="AB15" s="92"/>
      <c r="AC15" s="92"/>
      <c r="AD15" s="92"/>
    </row>
    <row r="16" spans="1:30" ht="14.75">
      <c r="A16" s="92" t="s">
        <v>401</v>
      </c>
      <c r="B16" s="99">
        <v>0</v>
      </c>
      <c r="C16" s="99">
        <v>0</v>
      </c>
      <c r="D16" s="99">
        <v>0</v>
      </c>
      <c r="E16" s="92"/>
      <c r="F16" s="92"/>
      <c r="G16" s="92"/>
      <c r="H16" s="92"/>
      <c r="I16" s="92"/>
      <c r="J16" s="92"/>
      <c r="K16" s="92"/>
      <c r="L16" s="92"/>
      <c r="M16" s="92"/>
      <c r="N16" s="92"/>
      <c r="O16" s="92"/>
      <c r="P16" s="92"/>
      <c r="Q16" s="92"/>
      <c r="R16" s="92"/>
      <c r="S16" s="92"/>
      <c r="T16" s="92"/>
      <c r="U16" s="92"/>
      <c r="V16" s="92"/>
      <c r="W16" s="92"/>
      <c r="X16" s="92"/>
      <c r="Y16" s="92"/>
      <c r="Z16" s="92"/>
      <c r="AA16" s="92"/>
      <c r="AB16" s="92"/>
      <c r="AC16" s="92"/>
      <c r="AD16" s="92"/>
    </row>
    <row r="17" spans="1:30" ht="14.75">
      <c r="A17" s="92" t="s">
        <v>272</v>
      </c>
      <c r="B17" s="99">
        <v>4</v>
      </c>
      <c r="C17" s="99" t="s">
        <v>1136</v>
      </c>
      <c r="D17" s="99">
        <v>4310000000</v>
      </c>
    </row>
    <row r="18" spans="1:30" ht="15.5" thickBot="1">
      <c r="A18" s="103" t="s">
        <v>89</v>
      </c>
      <c r="B18" s="104">
        <v>6</v>
      </c>
      <c r="C18" s="104">
        <v>900000000</v>
      </c>
      <c r="D18" s="104">
        <v>5210000000</v>
      </c>
    </row>
    <row r="19" spans="1:30" ht="15.5" thickTop="1">
      <c r="A19" s="92" t="s">
        <v>402</v>
      </c>
      <c r="B19" s="99">
        <v>0</v>
      </c>
      <c r="C19" s="99" t="s">
        <v>1136</v>
      </c>
      <c r="D19" s="99">
        <v>0</v>
      </c>
    </row>
    <row r="21" spans="1:30" ht="14.75">
      <c r="A21" s="210" t="s">
        <v>398</v>
      </c>
      <c r="B21" s="210"/>
      <c r="C21" s="210"/>
      <c r="D21" s="210"/>
      <c r="E21" s="210"/>
      <c r="F21" s="210"/>
      <c r="G21" s="210"/>
      <c r="H21" s="210"/>
      <c r="I21" s="210"/>
      <c r="J21" s="210"/>
      <c r="K21" s="210"/>
      <c r="L21" s="210"/>
      <c r="M21" s="210"/>
      <c r="N21" s="210"/>
      <c r="O21" s="210"/>
      <c r="P21" s="210"/>
      <c r="Q21" s="210"/>
      <c r="R21" s="210"/>
      <c r="S21" s="210"/>
      <c r="T21" s="210"/>
      <c r="U21" s="210"/>
      <c r="V21" s="210"/>
      <c r="W21" s="210"/>
      <c r="X21" s="210"/>
      <c r="Y21" s="210"/>
      <c r="Z21" s="210"/>
      <c r="AA21" s="210"/>
      <c r="AB21" s="210"/>
      <c r="AC21" s="210"/>
      <c r="AD21" s="210"/>
    </row>
    <row r="22" spans="1:30" ht="14.75">
      <c r="A22" s="93" t="s">
        <v>403</v>
      </c>
      <c r="B22" s="93" t="s">
        <v>404</v>
      </c>
      <c r="C22" s="93" t="s">
        <v>405</v>
      </c>
      <c r="D22" s="94" t="s">
        <v>1151</v>
      </c>
      <c r="E22" s="94" t="s">
        <v>406</v>
      </c>
      <c r="F22" s="94" t="s">
        <v>1128</v>
      </c>
      <c r="G22" s="93" t="s">
        <v>407</v>
      </c>
      <c r="H22" s="93" t="s">
        <v>408</v>
      </c>
      <c r="I22" s="93" t="s">
        <v>409</v>
      </c>
      <c r="J22" s="93" t="s">
        <v>410</v>
      </c>
      <c r="K22" s="93" t="s">
        <v>411</v>
      </c>
      <c r="L22" s="93" t="s">
        <v>412</v>
      </c>
      <c r="M22" s="93" t="s">
        <v>413</v>
      </c>
      <c r="N22" s="93" t="s">
        <v>414</v>
      </c>
      <c r="O22" s="93" t="s">
        <v>415</v>
      </c>
      <c r="P22" s="93" t="s">
        <v>416</v>
      </c>
      <c r="Q22" s="93" t="s">
        <v>417</v>
      </c>
      <c r="R22" s="94" t="s">
        <v>418</v>
      </c>
      <c r="S22" s="94" t="s">
        <v>419</v>
      </c>
      <c r="T22" s="94" t="s">
        <v>1152</v>
      </c>
      <c r="U22" s="94" t="s">
        <v>1153</v>
      </c>
      <c r="V22" s="93" t="s">
        <v>1154</v>
      </c>
      <c r="W22" s="93" t="s">
        <v>1155</v>
      </c>
      <c r="X22" s="93" t="s">
        <v>1156</v>
      </c>
      <c r="Y22" s="94" t="s">
        <v>1157</v>
      </c>
      <c r="Z22" s="93" t="s">
        <v>420</v>
      </c>
      <c r="AA22" s="93" t="s">
        <v>421</v>
      </c>
      <c r="AB22" s="93" t="s">
        <v>1158</v>
      </c>
      <c r="AC22" s="93" t="s">
        <v>422</v>
      </c>
      <c r="AD22" s="93" t="s">
        <v>423</v>
      </c>
    </row>
    <row r="23" spans="1:30" ht="14.75">
      <c r="A23" s="92" t="s">
        <v>1263</v>
      </c>
      <c r="B23" s="92" t="s">
        <v>429</v>
      </c>
      <c r="C23" s="95">
        <v>47231</v>
      </c>
      <c r="D23" s="96">
        <v>300000000</v>
      </c>
      <c r="E23" s="96">
        <v>300000000</v>
      </c>
      <c r="F23" s="97">
        <v>2.7320000000000002</v>
      </c>
      <c r="G23" s="92" t="s">
        <v>430</v>
      </c>
      <c r="H23" s="92" t="s">
        <v>431</v>
      </c>
      <c r="I23" s="92" t="s">
        <v>432</v>
      </c>
      <c r="J23" s="92" t="s">
        <v>273</v>
      </c>
      <c r="K23" s="92" t="s">
        <v>1264</v>
      </c>
      <c r="L23" s="92" t="s">
        <v>429</v>
      </c>
      <c r="M23" s="95">
        <v>44309</v>
      </c>
      <c r="N23" s="92" t="s">
        <v>452</v>
      </c>
      <c r="O23" s="92" t="s">
        <v>452</v>
      </c>
      <c r="P23" s="92" t="s">
        <v>435</v>
      </c>
      <c r="Q23" s="92" t="s">
        <v>436</v>
      </c>
      <c r="R23" s="98">
        <v>6.3000540000000003</v>
      </c>
      <c r="S23" s="98">
        <v>6.2937269999999996</v>
      </c>
      <c r="T23" s="98">
        <v>189.71192500000001</v>
      </c>
      <c r="U23" s="98">
        <v>3.9147189999999998</v>
      </c>
      <c r="V23" s="92" t="s">
        <v>1161</v>
      </c>
      <c r="W23" s="92" t="s">
        <v>1162</v>
      </c>
      <c r="X23" s="95">
        <v>47231</v>
      </c>
      <c r="Y23" s="98">
        <v>92.703999999999994</v>
      </c>
      <c r="Z23" s="92" t="s">
        <v>137</v>
      </c>
      <c r="AA23" s="92" t="s">
        <v>429</v>
      </c>
      <c r="AB23" s="92" t="s">
        <v>436</v>
      </c>
      <c r="AC23" s="92" t="s">
        <v>470</v>
      </c>
      <c r="AD23" s="92" t="s">
        <v>437</v>
      </c>
    </row>
    <row r="24" spans="1:30" ht="14.75">
      <c r="A24" s="92" t="s">
        <v>1265</v>
      </c>
      <c r="B24" s="92" t="s">
        <v>429</v>
      </c>
      <c r="C24" s="95">
        <v>47749</v>
      </c>
      <c r="D24" s="96">
        <v>600000000</v>
      </c>
      <c r="E24" s="96">
        <v>600000000</v>
      </c>
      <c r="F24" s="97">
        <v>2.5430000000000001</v>
      </c>
      <c r="G24" s="92" t="s">
        <v>430</v>
      </c>
      <c r="H24" s="92" t="s">
        <v>431</v>
      </c>
      <c r="I24" s="92" t="s">
        <v>432</v>
      </c>
      <c r="J24" s="92" t="s">
        <v>274</v>
      </c>
      <c r="K24" s="92" t="s">
        <v>1266</v>
      </c>
      <c r="L24" s="92" t="s">
        <v>429</v>
      </c>
      <c r="M24" s="95">
        <v>44097</v>
      </c>
      <c r="N24" s="92" t="s">
        <v>452</v>
      </c>
      <c r="O24" s="92" t="s">
        <v>452</v>
      </c>
      <c r="P24" s="92" t="s">
        <v>435</v>
      </c>
      <c r="Q24" s="92" t="s">
        <v>436</v>
      </c>
      <c r="R24" s="98">
        <v>7.4128280000000002</v>
      </c>
      <c r="S24" s="98">
        <v>7.4057040000000001</v>
      </c>
      <c r="T24" s="98">
        <v>207.11490000000001</v>
      </c>
      <c r="U24" s="98">
        <v>4.2093170000000004</v>
      </c>
      <c r="V24" s="92" t="s">
        <v>1161</v>
      </c>
      <c r="W24" s="92" t="s">
        <v>1223</v>
      </c>
      <c r="X24" s="95">
        <v>47659</v>
      </c>
      <c r="Y24" s="98">
        <v>88.426000000000002</v>
      </c>
      <c r="Z24" s="92" t="s">
        <v>137</v>
      </c>
      <c r="AA24" s="92" t="s">
        <v>429</v>
      </c>
      <c r="AB24" s="92" t="s">
        <v>436</v>
      </c>
      <c r="AC24" s="92" t="s">
        <v>470</v>
      </c>
      <c r="AD24" s="92" t="s">
        <v>437</v>
      </c>
    </row>
    <row r="26" spans="1:30" ht="14.75">
      <c r="A26" s="210" t="s">
        <v>272</v>
      </c>
      <c r="B26" s="210"/>
      <c r="C26" s="210"/>
      <c r="D26" s="210"/>
      <c r="E26" s="210"/>
      <c r="F26" s="210"/>
      <c r="G26" s="210"/>
      <c r="H26" s="210"/>
      <c r="I26" s="210"/>
      <c r="J26" s="210"/>
      <c r="K26" s="210"/>
      <c r="L26" s="210"/>
      <c r="M26" s="210"/>
      <c r="N26" s="210"/>
      <c r="O26" s="210"/>
      <c r="P26" s="210"/>
      <c r="Q26" s="210"/>
      <c r="R26" s="210"/>
      <c r="S26" s="210"/>
      <c r="T26" s="210"/>
      <c r="U26" s="210"/>
      <c r="V26" s="210"/>
      <c r="W26" s="210"/>
      <c r="X26" s="210"/>
      <c r="Y26" s="210"/>
      <c r="Z26" s="210"/>
      <c r="AA26" s="210"/>
      <c r="AB26" s="210"/>
      <c r="AC26" s="210"/>
      <c r="AD26" s="210"/>
    </row>
    <row r="27" spans="1:30" ht="14.75">
      <c r="A27" s="93" t="s">
        <v>1251</v>
      </c>
      <c r="B27" s="93" t="s">
        <v>405</v>
      </c>
      <c r="C27" s="94" t="s">
        <v>1252</v>
      </c>
      <c r="D27" s="93" t="s">
        <v>1253</v>
      </c>
      <c r="E27" s="93" t="s">
        <v>409</v>
      </c>
      <c r="F27" s="93" t="s">
        <v>413</v>
      </c>
      <c r="G27" s="93" t="s">
        <v>411</v>
      </c>
      <c r="H27" s="93" t="s">
        <v>1254</v>
      </c>
      <c r="I27" s="94" t="s">
        <v>1255</v>
      </c>
      <c r="J27" s="94" t="s">
        <v>1256</v>
      </c>
      <c r="K27" s="94" t="s">
        <v>1257</v>
      </c>
      <c r="L27" s="94" t="s">
        <v>1258</v>
      </c>
      <c r="M27" s="94" t="s">
        <v>1259</v>
      </c>
      <c r="N27" s="92"/>
      <c r="O27" s="92"/>
      <c r="P27" s="92"/>
      <c r="Q27" s="92"/>
      <c r="R27" s="92"/>
      <c r="S27" s="92"/>
      <c r="T27" s="92"/>
      <c r="U27" s="92"/>
      <c r="V27" s="92"/>
      <c r="W27" s="92"/>
      <c r="X27" s="92"/>
      <c r="Y27" s="92"/>
      <c r="Z27" s="92"/>
      <c r="AA27" s="92"/>
      <c r="AB27" s="92"/>
      <c r="AC27" s="92"/>
      <c r="AD27" s="92"/>
    </row>
    <row r="28" spans="1:30" ht="14.75">
      <c r="A28" s="92" t="s">
        <v>275</v>
      </c>
      <c r="B28" s="95">
        <v>45163</v>
      </c>
      <c r="C28" s="96">
        <v>600000000</v>
      </c>
      <c r="D28" s="92" t="s">
        <v>431</v>
      </c>
      <c r="E28" s="92" t="s">
        <v>1260</v>
      </c>
      <c r="F28" s="95">
        <v>44068</v>
      </c>
      <c r="G28" s="92" t="s">
        <v>429</v>
      </c>
      <c r="H28" s="92" t="s">
        <v>429</v>
      </c>
      <c r="I28" s="115">
        <v>0</v>
      </c>
      <c r="J28" s="115">
        <v>0</v>
      </c>
      <c r="K28" s="115">
        <v>0</v>
      </c>
      <c r="L28" s="115">
        <v>0</v>
      </c>
      <c r="M28" s="115">
        <v>0</v>
      </c>
      <c r="N28" s="92"/>
      <c r="O28" s="92"/>
      <c r="P28" s="92"/>
      <c r="Q28" s="92"/>
      <c r="R28" s="92"/>
      <c r="S28" s="92"/>
      <c r="T28" s="92"/>
      <c r="U28" s="92"/>
      <c r="V28" s="92"/>
      <c r="W28" s="92"/>
      <c r="X28" s="92"/>
      <c r="Y28" s="92"/>
      <c r="Z28" s="92"/>
      <c r="AA28" s="92"/>
      <c r="AB28" s="92"/>
      <c r="AC28" s="92"/>
      <c r="AD28" s="92"/>
    </row>
    <row r="29" spans="1:30" ht="14.75">
      <c r="A29" s="92" t="s">
        <v>276</v>
      </c>
      <c r="B29" s="95">
        <v>46624</v>
      </c>
      <c r="C29" s="96">
        <v>200000000</v>
      </c>
      <c r="D29" s="92" t="s">
        <v>431</v>
      </c>
      <c r="E29" s="92" t="s">
        <v>1260</v>
      </c>
      <c r="F29" s="95">
        <v>44068</v>
      </c>
      <c r="G29" s="92" t="s">
        <v>429</v>
      </c>
      <c r="H29" s="92" t="s">
        <v>429</v>
      </c>
      <c r="I29" s="115">
        <v>0</v>
      </c>
      <c r="J29" s="115">
        <v>0</v>
      </c>
      <c r="K29" s="115">
        <v>0</v>
      </c>
      <c r="L29" s="115">
        <v>0</v>
      </c>
      <c r="M29" s="115">
        <v>0</v>
      </c>
      <c r="N29" s="92"/>
      <c r="O29" s="92"/>
      <c r="P29" s="92"/>
      <c r="Q29" s="92"/>
      <c r="R29" s="92"/>
      <c r="S29" s="92"/>
      <c r="T29" s="92"/>
      <c r="U29" s="92"/>
      <c r="V29" s="92"/>
      <c r="W29" s="92"/>
      <c r="X29" s="92"/>
      <c r="Y29" s="92"/>
      <c r="Z29" s="92"/>
      <c r="AA29" s="92"/>
      <c r="AB29" s="92"/>
      <c r="AC29" s="92"/>
      <c r="AD29" s="92"/>
    </row>
    <row r="31" spans="1:30" ht="14.75">
      <c r="A31" s="210" t="s">
        <v>272</v>
      </c>
      <c r="B31" s="210"/>
      <c r="C31" s="210"/>
      <c r="D31" s="210"/>
      <c r="E31" s="210"/>
      <c r="F31" s="210"/>
      <c r="G31" s="210"/>
      <c r="H31" s="210"/>
      <c r="I31" s="210"/>
      <c r="J31" s="210"/>
      <c r="K31" s="210"/>
      <c r="L31" s="210"/>
      <c r="M31" s="210"/>
      <c r="N31" s="210"/>
      <c r="O31" s="210"/>
      <c r="P31" s="210"/>
      <c r="Q31" s="210"/>
      <c r="R31" s="210"/>
      <c r="S31" s="210"/>
      <c r="T31" s="210"/>
      <c r="U31" s="210"/>
      <c r="V31" s="210"/>
      <c r="W31" s="210"/>
      <c r="X31" s="210"/>
      <c r="Y31" s="210"/>
      <c r="Z31" s="210"/>
      <c r="AA31" s="210"/>
      <c r="AB31" s="210"/>
      <c r="AC31" s="210"/>
      <c r="AD31" s="210"/>
    </row>
    <row r="32" spans="1:30" ht="14.75">
      <c r="A32" s="93" t="s">
        <v>1251</v>
      </c>
      <c r="B32" s="93" t="s">
        <v>405</v>
      </c>
      <c r="C32" s="94" t="s">
        <v>1252</v>
      </c>
      <c r="D32" s="93" t="s">
        <v>1253</v>
      </c>
      <c r="E32" s="93" t="s">
        <v>409</v>
      </c>
      <c r="F32" s="93" t="s">
        <v>413</v>
      </c>
      <c r="G32" s="93" t="s">
        <v>411</v>
      </c>
      <c r="H32" s="93" t="s">
        <v>1254</v>
      </c>
      <c r="I32" s="94" t="s">
        <v>1255</v>
      </c>
      <c r="J32" s="94" t="s">
        <v>1256</v>
      </c>
      <c r="K32" s="94" t="s">
        <v>1257</v>
      </c>
      <c r="L32" s="94" t="s">
        <v>1258</v>
      </c>
      <c r="M32" s="94" t="s">
        <v>1259</v>
      </c>
      <c r="N32" s="92"/>
      <c r="O32" s="92"/>
      <c r="P32" s="92"/>
      <c r="Q32" s="92"/>
      <c r="R32" s="92"/>
      <c r="S32" s="92"/>
      <c r="T32" s="92"/>
      <c r="U32" s="92"/>
      <c r="V32" s="92"/>
      <c r="W32" s="92"/>
      <c r="X32" s="92"/>
      <c r="Y32" s="92"/>
      <c r="Z32" s="92"/>
      <c r="AA32" s="92"/>
      <c r="AB32" s="92"/>
      <c r="AC32" s="92"/>
      <c r="AD32" s="92"/>
    </row>
    <row r="33" spans="1:30" ht="14.75">
      <c r="A33" s="92" t="s">
        <v>277</v>
      </c>
      <c r="B33" s="95">
        <v>45412</v>
      </c>
      <c r="C33" s="96">
        <v>50000000</v>
      </c>
      <c r="D33" s="92" t="s">
        <v>431</v>
      </c>
      <c r="E33" s="92" t="s">
        <v>1260</v>
      </c>
      <c r="F33" s="95">
        <v>44316</v>
      </c>
      <c r="G33" s="92" t="s">
        <v>429</v>
      </c>
      <c r="H33" s="92" t="s">
        <v>429</v>
      </c>
      <c r="I33" s="115">
        <v>0</v>
      </c>
      <c r="J33" s="115">
        <v>0</v>
      </c>
      <c r="K33" s="115">
        <v>0</v>
      </c>
      <c r="L33" s="115">
        <v>0</v>
      </c>
      <c r="M33" s="115">
        <v>0</v>
      </c>
      <c r="N33" s="92"/>
      <c r="O33" s="92"/>
      <c r="P33" s="92"/>
      <c r="Q33" s="92"/>
      <c r="R33" s="92"/>
      <c r="S33" s="92"/>
      <c r="T33" s="92"/>
      <c r="U33" s="92"/>
      <c r="V33" s="92"/>
      <c r="W33" s="92"/>
      <c r="X33" s="92"/>
      <c r="Y33" s="92"/>
      <c r="Z33" s="92"/>
      <c r="AA33" s="92"/>
      <c r="AB33" s="92"/>
      <c r="AC33" s="92"/>
      <c r="AD33" s="92"/>
    </row>
    <row r="35" spans="1:30" ht="14.75">
      <c r="A35" s="210" t="s">
        <v>272</v>
      </c>
      <c r="B35" s="210"/>
      <c r="C35" s="210"/>
      <c r="D35" s="210"/>
      <c r="E35" s="210"/>
      <c r="F35" s="210"/>
      <c r="G35" s="210"/>
      <c r="H35" s="210"/>
      <c r="I35" s="210"/>
      <c r="J35" s="210"/>
      <c r="K35" s="210"/>
      <c r="L35" s="210"/>
      <c r="M35" s="210"/>
      <c r="N35" s="210"/>
      <c r="O35" s="210"/>
      <c r="P35" s="210"/>
      <c r="Q35" s="210"/>
      <c r="R35" s="210"/>
      <c r="S35" s="210"/>
      <c r="T35" s="210"/>
      <c r="U35" s="210"/>
      <c r="V35" s="210"/>
      <c r="W35" s="210"/>
      <c r="X35" s="210"/>
      <c r="Y35" s="210"/>
      <c r="Z35" s="210"/>
      <c r="AA35" s="210"/>
      <c r="AB35" s="210"/>
      <c r="AC35" s="210"/>
      <c r="AD35" s="210"/>
    </row>
    <row r="36" spans="1:30" ht="14.75">
      <c r="A36" s="93" t="s">
        <v>1251</v>
      </c>
      <c r="B36" s="93" t="s">
        <v>405</v>
      </c>
      <c r="C36" s="94" t="s">
        <v>1252</v>
      </c>
      <c r="D36" s="93" t="s">
        <v>1253</v>
      </c>
      <c r="E36" s="93" t="s">
        <v>409</v>
      </c>
      <c r="F36" s="93" t="s">
        <v>413</v>
      </c>
      <c r="G36" s="93" t="s">
        <v>411</v>
      </c>
      <c r="H36" s="93" t="s">
        <v>1254</v>
      </c>
      <c r="I36" s="94" t="s">
        <v>1255</v>
      </c>
      <c r="J36" s="94" t="s">
        <v>1256</v>
      </c>
      <c r="K36" s="94" t="s">
        <v>1257</v>
      </c>
      <c r="L36" s="94" t="s">
        <v>1258</v>
      </c>
      <c r="M36" s="94" t="s">
        <v>1259</v>
      </c>
      <c r="N36" s="92"/>
      <c r="O36" s="92"/>
      <c r="P36" s="92"/>
      <c r="Q36" s="92"/>
      <c r="R36" s="92"/>
      <c r="S36" s="92"/>
      <c r="T36" s="92"/>
      <c r="U36" s="92"/>
      <c r="V36" s="92"/>
      <c r="W36" s="92"/>
      <c r="X36" s="92"/>
      <c r="Y36" s="92"/>
      <c r="Z36" s="92"/>
      <c r="AA36" s="92"/>
      <c r="AB36" s="92"/>
      <c r="AC36" s="92"/>
      <c r="AD36" s="92"/>
    </row>
    <row r="37" spans="1:30" ht="14.75">
      <c r="A37" s="92" t="s">
        <v>275</v>
      </c>
      <c r="B37" s="95">
        <v>45630</v>
      </c>
      <c r="C37" s="96">
        <v>800000000</v>
      </c>
      <c r="D37" s="92" t="s">
        <v>431</v>
      </c>
      <c r="E37" s="92" t="s">
        <v>1260</v>
      </c>
      <c r="F37" s="95">
        <v>44351</v>
      </c>
      <c r="G37" s="92" t="s">
        <v>429</v>
      </c>
      <c r="H37" s="92" t="s">
        <v>429</v>
      </c>
      <c r="I37" s="115">
        <v>0</v>
      </c>
      <c r="J37" s="115">
        <v>0</v>
      </c>
      <c r="K37" s="115">
        <v>0</v>
      </c>
      <c r="L37" s="115">
        <v>0</v>
      </c>
      <c r="M37" s="115">
        <v>0</v>
      </c>
      <c r="N37" s="92"/>
      <c r="O37" s="92"/>
      <c r="P37" s="92"/>
      <c r="Q37" s="92"/>
      <c r="R37" s="92"/>
      <c r="S37" s="92"/>
      <c r="T37" s="92"/>
      <c r="U37" s="92"/>
      <c r="V37" s="92"/>
      <c r="W37" s="92"/>
      <c r="X37" s="92"/>
      <c r="Y37" s="92"/>
      <c r="Z37" s="92"/>
      <c r="AA37" s="92"/>
      <c r="AB37" s="92"/>
      <c r="AC37" s="92"/>
      <c r="AD37" s="92"/>
    </row>
    <row r="39" spans="1:30" ht="14.75">
      <c r="A39" s="210" t="s">
        <v>272</v>
      </c>
      <c r="B39" s="210"/>
      <c r="C39" s="210"/>
      <c r="D39" s="210"/>
      <c r="E39" s="210"/>
      <c r="F39" s="210"/>
      <c r="G39" s="210"/>
      <c r="H39" s="210"/>
      <c r="I39" s="210"/>
      <c r="J39" s="210"/>
      <c r="K39" s="210"/>
      <c r="L39" s="210"/>
      <c r="M39" s="210"/>
      <c r="N39" s="210"/>
      <c r="O39" s="210"/>
      <c r="P39" s="210"/>
      <c r="Q39" s="210"/>
      <c r="R39" s="210"/>
      <c r="S39" s="210"/>
      <c r="T39" s="210"/>
      <c r="U39" s="210"/>
      <c r="V39" s="210"/>
      <c r="W39" s="210"/>
      <c r="X39" s="210"/>
      <c r="Y39" s="210"/>
      <c r="Z39" s="210"/>
      <c r="AA39" s="210"/>
      <c r="AB39" s="210"/>
      <c r="AC39" s="210"/>
      <c r="AD39" s="210"/>
    </row>
    <row r="40" spans="1:30" ht="14.75">
      <c r="A40" s="93" t="s">
        <v>1251</v>
      </c>
      <c r="B40" s="93" t="s">
        <v>405</v>
      </c>
      <c r="C40" s="94" t="s">
        <v>1252</v>
      </c>
      <c r="D40" s="93" t="s">
        <v>1253</v>
      </c>
      <c r="E40" s="93" t="s">
        <v>409</v>
      </c>
      <c r="F40" s="93" t="s">
        <v>413</v>
      </c>
      <c r="G40" s="93" t="s">
        <v>411</v>
      </c>
      <c r="H40" s="93" t="s">
        <v>1254</v>
      </c>
      <c r="I40" s="94" t="s">
        <v>1255</v>
      </c>
      <c r="J40" s="94" t="s">
        <v>1256</v>
      </c>
      <c r="K40" s="94" t="s">
        <v>1257</v>
      </c>
      <c r="L40" s="94" t="s">
        <v>1258</v>
      </c>
      <c r="M40" s="94" t="s">
        <v>1259</v>
      </c>
      <c r="N40" s="92"/>
      <c r="O40" s="92"/>
      <c r="P40" s="92"/>
      <c r="Q40" s="92"/>
      <c r="R40" s="92"/>
      <c r="S40" s="92"/>
      <c r="T40" s="92"/>
      <c r="U40" s="92"/>
      <c r="V40" s="92"/>
      <c r="W40" s="92"/>
      <c r="X40" s="92"/>
      <c r="Y40" s="92"/>
      <c r="Z40" s="92"/>
      <c r="AA40" s="92"/>
      <c r="AB40" s="92"/>
      <c r="AC40" s="92"/>
      <c r="AD40" s="92"/>
    </row>
    <row r="41" spans="1:30" ht="14.75">
      <c r="A41" s="92" t="s">
        <v>276</v>
      </c>
      <c r="B41" s="95">
        <v>44719</v>
      </c>
      <c r="C41" s="96">
        <v>635000000</v>
      </c>
      <c r="D41" s="92" t="s">
        <v>431</v>
      </c>
      <c r="E41" s="92" t="s">
        <v>1260</v>
      </c>
      <c r="F41" s="95">
        <v>43258</v>
      </c>
      <c r="G41" s="92" t="s">
        <v>429</v>
      </c>
      <c r="H41" s="92" t="s">
        <v>429</v>
      </c>
      <c r="I41" s="115">
        <v>0</v>
      </c>
      <c r="J41" s="115">
        <v>0</v>
      </c>
      <c r="K41" s="115">
        <v>0</v>
      </c>
      <c r="L41" s="115">
        <v>0</v>
      </c>
      <c r="M41" s="115">
        <v>0</v>
      </c>
      <c r="N41" s="92"/>
      <c r="O41" s="92"/>
      <c r="P41" s="92"/>
      <c r="Q41" s="92"/>
      <c r="R41" s="92"/>
      <c r="S41" s="92"/>
      <c r="T41" s="92"/>
      <c r="U41" s="92"/>
      <c r="V41" s="92"/>
      <c r="W41" s="92"/>
      <c r="X41" s="92"/>
      <c r="Y41" s="92"/>
      <c r="Z41" s="92"/>
      <c r="AA41" s="92"/>
      <c r="AB41" s="92"/>
      <c r="AC41" s="92"/>
      <c r="AD41" s="92"/>
    </row>
    <row r="42" spans="1:30" ht="14.75">
      <c r="A42" s="92" t="s">
        <v>276</v>
      </c>
      <c r="B42" s="95">
        <v>45084</v>
      </c>
      <c r="C42" s="96">
        <v>900000000</v>
      </c>
      <c r="D42" s="92" t="s">
        <v>431</v>
      </c>
      <c r="E42" s="92" t="s">
        <v>1260</v>
      </c>
      <c r="F42" s="95">
        <v>43258</v>
      </c>
      <c r="G42" s="92" t="s">
        <v>429</v>
      </c>
      <c r="H42" s="92" t="s">
        <v>429</v>
      </c>
      <c r="I42" s="115">
        <v>0</v>
      </c>
      <c r="J42" s="115">
        <v>0</v>
      </c>
      <c r="K42" s="115">
        <v>0</v>
      </c>
      <c r="L42" s="115">
        <v>0</v>
      </c>
      <c r="M42" s="115">
        <v>0</v>
      </c>
      <c r="N42" s="92"/>
      <c r="O42" s="92"/>
      <c r="P42" s="92"/>
      <c r="Q42" s="92"/>
      <c r="R42" s="92"/>
      <c r="S42" s="92"/>
      <c r="T42" s="92"/>
      <c r="U42" s="92"/>
      <c r="V42" s="92"/>
      <c r="W42" s="92"/>
      <c r="X42" s="92"/>
      <c r="Y42" s="92"/>
      <c r="Z42" s="92"/>
      <c r="AA42" s="92"/>
      <c r="AB42" s="92"/>
      <c r="AC42" s="92"/>
      <c r="AD42" s="92"/>
    </row>
    <row r="43" spans="1:30" ht="14.75">
      <c r="A43" s="92" t="s">
        <v>276</v>
      </c>
      <c r="B43" s="95">
        <v>45450</v>
      </c>
      <c r="C43" s="96">
        <v>490000000</v>
      </c>
      <c r="D43" s="92" t="s">
        <v>431</v>
      </c>
      <c r="E43" s="92" t="s">
        <v>1260</v>
      </c>
      <c r="F43" s="95">
        <v>43258</v>
      </c>
      <c r="G43" s="92" t="s">
        <v>429</v>
      </c>
      <c r="H43" s="92" t="s">
        <v>429</v>
      </c>
      <c r="I43" s="115">
        <v>0</v>
      </c>
      <c r="J43" s="115">
        <v>0</v>
      </c>
      <c r="K43" s="115">
        <v>0</v>
      </c>
      <c r="L43" s="115">
        <v>0</v>
      </c>
      <c r="M43" s="115">
        <v>0</v>
      </c>
      <c r="N43" s="92"/>
      <c r="O43" s="92"/>
      <c r="P43" s="92"/>
      <c r="Q43" s="92"/>
      <c r="R43" s="92"/>
      <c r="S43" s="92"/>
      <c r="T43" s="92"/>
      <c r="U43" s="92"/>
      <c r="V43" s="92"/>
      <c r="W43" s="92"/>
      <c r="X43" s="92"/>
      <c r="Y43" s="92"/>
      <c r="Z43" s="92"/>
      <c r="AA43" s="92"/>
      <c r="AB43" s="92"/>
      <c r="AC43" s="92"/>
      <c r="AD43" s="92"/>
    </row>
    <row r="44" spans="1:30" ht="14.75">
      <c r="A44" s="92" t="s">
        <v>276</v>
      </c>
      <c r="B44" s="95">
        <v>45815</v>
      </c>
      <c r="C44" s="96">
        <v>635000000</v>
      </c>
      <c r="D44" s="92" t="s">
        <v>431</v>
      </c>
      <c r="E44" s="92" t="s">
        <v>1260</v>
      </c>
      <c r="F44" s="95">
        <v>43258</v>
      </c>
      <c r="G44" s="92" t="s">
        <v>429</v>
      </c>
      <c r="H44" s="92" t="s">
        <v>429</v>
      </c>
      <c r="I44" s="115">
        <v>0</v>
      </c>
      <c r="J44" s="115">
        <v>0</v>
      </c>
      <c r="K44" s="115">
        <v>0</v>
      </c>
      <c r="L44" s="115">
        <v>0</v>
      </c>
      <c r="M44" s="115">
        <v>0</v>
      </c>
      <c r="N44" s="92"/>
      <c r="O44" s="92"/>
      <c r="P44" s="92"/>
      <c r="Q44" s="92"/>
      <c r="R44" s="92"/>
      <c r="S44" s="92"/>
      <c r="T44" s="92"/>
      <c r="U44" s="92"/>
      <c r="V44" s="92"/>
      <c r="W44" s="92"/>
      <c r="X44" s="92"/>
      <c r="Y44" s="92"/>
      <c r="Z44" s="92"/>
      <c r="AA44" s="92"/>
      <c r="AB44" s="92"/>
      <c r="AC44" s="92"/>
      <c r="AD44" s="92"/>
    </row>
    <row r="46" spans="1:30" ht="14.75">
      <c r="A46" s="101" t="s">
        <v>1121</v>
      </c>
      <c r="C46" s="116" t="s">
        <v>1122</v>
      </c>
    </row>
    <row r="48" spans="1:30">
      <c r="A48" t="s">
        <v>1123</v>
      </c>
      <c r="B48" t="s">
        <v>1124</v>
      </c>
      <c r="C48" t="s">
        <v>1125</v>
      </c>
      <c r="D48" t="s">
        <v>413</v>
      </c>
      <c r="E48" t="s">
        <v>405</v>
      </c>
      <c r="F48" t="s">
        <v>1126</v>
      </c>
      <c r="G48" t="s">
        <v>1127</v>
      </c>
      <c r="H48" t="s">
        <v>1128</v>
      </c>
      <c r="I48" t="s">
        <v>1129</v>
      </c>
      <c r="J48" t="s">
        <v>1130</v>
      </c>
      <c r="K48" t="s">
        <v>1131</v>
      </c>
    </row>
    <row r="49" spans="1:11">
      <c r="A49" t="str">
        <f t="shared" ref="A49:A54" si="0">B49 &amp; C49</f>
        <v>32010020011</v>
      </c>
      <c r="B49">
        <v>3201002001</v>
      </c>
      <c r="C49">
        <v>1</v>
      </c>
      <c r="D49" s="27">
        <v>42964</v>
      </c>
      <c r="E49" s="27">
        <v>46616</v>
      </c>
      <c r="F49">
        <v>923.9</v>
      </c>
      <c r="G49" t="s">
        <v>1267</v>
      </c>
      <c r="H49" t="s">
        <v>137</v>
      </c>
      <c r="K49">
        <v>1.27</v>
      </c>
    </row>
    <row r="50" spans="1:11">
      <c r="A50" t="str">
        <f t="shared" si="0"/>
        <v>32010020012</v>
      </c>
      <c r="B50">
        <v>3201002001</v>
      </c>
      <c r="C50">
        <v>2</v>
      </c>
      <c r="D50" s="27">
        <v>42964</v>
      </c>
      <c r="E50" s="27">
        <v>49173</v>
      </c>
      <c r="F50">
        <v>25</v>
      </c>
      <c r="G50" t="s">
        <v>1260</v>
      </c>
      <c r="H50">
        <v>5.2</v>
      </c>
      <c r="I50">
        <v>1</v>
      </c>
      <c r="J50" s="127">
        <v>43329</v>
      </c>
    </row>
    <row r="51" spans="1:11">
      <c r="A51" t="str">
        <f t="shared" si="0"/>
        <v>29880170111</v>
      </c>
      <c r="B51">
        <v>2988017011</v>
      </c>
      <c r="C51">
        <v>1</v>
      </c>
      <c r="D51" s="27">
        <v>42577</v>
      </c>
      <c r="E51" s="27">
        <v>46281</v>
      </c>
      <c r="F51">
        <v>266.67</v>
      </c>
      <c r="G51" t="s">
        <v>1267</v>
      </c>
      <c r="H51">
        <v>3.08</v>
      </c>
      <c r="I51">
        <v>0.5</v>
      </c>
      <c r="J51" s="127">
        <v>42761</v>
      </c>
      <c r="K51">
        <v>1.33</v>
      </c>
    </row>
    <row r="52" spans="1:11">
      <c r="A52" t="str">
        <f t="shared" si="0"/>
        <v>29880170112</v>
      </c>
      <c r="B52">
        <v>2988017011</v>
      </c>
      <c r="C52">
        <v>2</v>
      </c>
      <c r="D52" s="27">
        <v>42577</v>
      </c>
      <c r="E52" s="27">
        <v>47193</v>
      </c>
      <c r="F52">
        <v>333.33</v>
      </c>
      <c r="G52" t="s">
        <v>1267</v>
      </c>
      <c r="H52">
        <v>3.18</v>
      </c>
      <c r="I52">
        <v>0.5</v>
      </c>
      <c r="J52" s="127">
        <v>42761</v>
      </c>
      <c r="K52">
        <v>1.33</v>
      </c>
    </row>
    <row r="53" spans="1:11">
      <c r="A53" t="str">
        <f t="shared" si="0"/>
        <v>29880170113</v>
      </c>
      <c r="B53">
        <v>2988017011</v>
      </c>
      <c r="C53">
        <v>3</v>
      </c>
      <c r="D53" s="27">
        <v>42577</v>
      </c>
      <c r="E53" s="27">
        <v>48015</v>
      </c>
      <c r="F53">
        <v>333.33</v>
      </c>
      <c r="G53" t="s">
        <v>1267</v>
      </c>
      <c r="H53">
        <v>3.33</v>
      </c>
      <c r="I53">
        <v>0.5</v>
      </c>
      <c r="J53" s="127">
        <v>42761</v>
      </c>
      <c r="K53">
        <v>1.33</v>
      </c>
    </row>
    <row r="54" spans="1:11">
      <c r="A54" t="str">
        <f t="shared" si="0"/>
        <v>29880170114</v>
      </c>
      <c r="B54">
        <v>2988017011</v>
      </c>
      <c r="C54">
        <v>4</v>
      </c>
      <c r="D54" s="27">
        <v>42577</v>
      </c>
      <c r="E54" s="27">
        <v>48838</v>
      </c>
      <c r="F54">
        <v>75</v>
      </c>
      <c r="G54" t="s">
        <v>1260</v>
      </c>
      <c r="H54">
        <v>4.3499999999999996</v>
      </c>
      <c r="I54">
        <v>0.5</v>
      </c>
      <c r="J54" s="127">
        <v>42761</v>
      </c>
    </row>
    <row r="56" spans="1:11" ht="14.75">
      <c r="A56" s="144" t="s">
        <v>1268</v>
      </c>
      <c r="C56" s="116" t="s">
        <v>1269</v>
      </c>
    </row>
    <row r="58" spans="1:11">
      <c r="A58" s="1" t="s">
        <v>66</v>
      </c>
      <c r="B58" s="1" t="s">
        <v>1112</v>
      </c>
      <c r="C58" s="1" t="s">
        <v>1270</v>
      </c>
      <c r="D58" s="1" t="s">
        <v>202</v>
      </c>
      <c r="E58" s="1" t="s">
        <v>1113</v>
      </c>
      <c r="F58" s="1" t="s">
        <v>1114</v>
      </c>
      <c r="G58" s="1"/>
      <c r="H58" s="1" t="s">
        <v>1115</v>
      </c>
      <c r="K58" s="1" t="s">
        <v>1115</v>
      </c>
    </row>
    <row r="59" spans="1:11">
      <c r="A59" s="27">
        <v>44302</v>
      </c>
      <c r="B59">
        <v>300</v>
      </c>
      <c r="D59">
        <v>2.7320000000000002</v>
      </c>
      <c r="E59">
        <v>8</v>
      </c>
      <c r="F59" t="s">
        <v>1271</v>
      </c>
      <c r="G59" t="s">
        <v>1272</v>
      </c>
      <c r="H59" t="s">
        <v>1273</v>
      </c>
    </row>
    <row r="60" spans="1:11">
      <c r="A60" s="27">
        <v>44239</v>
      </c>
      <c r="B60">
        <v>600</v>
      </c>
      <c r="E60">
        <v>5</v>
      </c>
      <c r="K60" t="s">
        <v>1274</v>
      </c>
    </row>
    <row r="61" spans="1:11">
      <c r="A61" s="27">
        <v>44165</v>
      </c>
      <c r="B61">
        <v>125</v>
      </c>
      <c r="K61" t="s">
        <v>1275</v>
      </c>
    </row>
    <row r="62" spans="1:11">
      <c r="A62" s="27">
        <v>44090</v>
      </c>
      <c r="B62">
        <v>600</v>
      </c>
      <c r="E62">
        <v>10</v>
      </c>
      <c r="H62" t="s">
        <v>1273</v>
      </c>
    </row>
    <row r="63" spans="1:11">
      <c r="A63" s="27">
        <v>44071</v>
      </c>
      <c r="B63">
        <v>600</v>
      </c>
      <c r="E63">
        <v>3</v>
      </c>
      <c r="H63" t="s">
        <v>1273</v>
      </c>
      <c r="K63" t="s">
        <v>1276</v>
      </c>
    </row>
    <row r="64" spans="1:11">
      <c r="A64" s="27">
        <v>44071</v>
      </c>
      <c r="B64">
        <v>200</v>
      </c>
      <c r="E64">
        <v>7</v>
      </c>
      <c r="H64" t="s">
        <v>1273</v>
      </c>
      <c r="K64" t="s">
        <v>1276</v>
      </c>
    </row>
    <row r="65" spans="1:13">
      <c r="A65" s="27">
        <v>43791</v>
      </c>
      <c r="B65">
        <v>355</v>
      </c>
      <c r="K65" t="s">
        <v>1277</v>
      </c>
    </row>
    <row r="66" spans="1:13">
      <c r="A66" s="27">
        <v>42937</v>
      </c>
      <c r="C66">
        <v>390</v>
      </c>
      <c r="E66">
        <v>10</v>
      </c>
      <c r="H66" t="s">
        <v>1273</v>
      </c>
      <c r="K66" t="s">
        <v>1278</v>
      </c>
    </row>
    <row r="67" spans="1:13">
      <c r="A67" s="27">
        <v>42937</v>
      </c>
      <c r="C67">
        <v>134</v>
      </c>
      <c r="E67">
        <v>12</v>
      </c>
      <c r="H67" t="s">
        <v>1273</v>
      </c>
    </row>
    <row r="68" spans="1:13">
      <c r="A68" s="27">
        <v>42937</v>
      </c>
      <c r="C68">
        <v>203</v>
      </c>
      <c r="E68">
        <v>15</v>
      </c>
      <c r="H68" t="s">
        <v>1273</v>
      </c>
    </row>
    <row r="69" spans="1:13">
      <c r="A69" s="27">
        <v>42937</v>
      </c>
      <c r="B69">
        <v>25</v>
      </c>
      <c r="E69">
        <v>17</v>
      </c>
      <c r="H69" t="s">
        <v>1273</v>
      </c>
    </row>
    <row r="70" spans="1:13">
      <c r="A70" s="27">
        <v>42552</v>
      </c>
      <c r="C70">
        <v>200</v>
      </c>
      <c r="E70">
        <v>10</v>
      </c>
      <c r="H70" t="s">
        <v>1273</v>
      </c>
    </row>
    <row r="71" spans="1:13">
      <c r="A71" s="27">
        <v>42552</v>
      </c>
      <c r="C71">
        <v>250</v>
      </c>
      <c r="E71">
        <v>12.5</v>
      </c>
      <c r="H71" t="s">
        <v>1273</v>
      </c>
    </row>
    <row r="72" spans="1:13">
      <c r="A72" s="27">
        <v>42552</v>
      </c>
      <c r="C72">
        <v>250</v>
      </c>
      <c r="E72">
        <v>15</v>
      </c>
      <c r="H72" t="s">
        <v>1273</v>
      </c>
    </row>
    <row r="73" spans="1:13">
      <c r="A73" s="27">
        <v>42552</v>
      </c>
      <c r="B73">
        <v>75</v>
      </c>
      <c r="E73">
        <v>17</v>
      </c>
      <c r="H73" t="s">
        <v>1273</v>
      </c>
    </row>
    <row r="77" spans="1:13">
      <c r="A77" t="s">
        <v>1279</v>
      </c>
      <c r="C77">
        <v>2011</v>
      </c>
      <c r="D77">
        <v>2012</v>
      </c>
      <c r="E77">
        <v>2013</v>
      </c>
      <c r="F77">
        <v>2014</v>
      </c>
      <c r="G77">
        <v>2015</v>
      </c>
      <c r="H77">
        <v>2016</v>
      </c>
      <c r="I77">
        <v>2017</v>
      </c>
      <c r="J77">
        <v>2018</v>
      </c>
      <c r="K77">
        <v>2019</v>
      </c>
      <c r="L77">
        <v>2020</v>
      </c>
      <c r="M77">
        <v>2021</v>
      </c>
    </row>
    <row r="78" spans="1:13">
      <c r="A78" t="s">
        <v>1280</v>
      </c>
      <c r="L78">
        <f>B65</f>
        <v>355</v>
      </c>
      <c r="M78">
        <f>B65+B61+B60</f>
        <v>1080</v>
      </c>
    </row>
  </sheetData>
  <mergeCells count="8">
    <mergeCell ref="A31:AD31"/>
    <mergeCell ref="A35:AD35"/>
    <mergeCell ref="A39:AD39"/>
    <mergeCell ref="A1:AD1"/>
    <mergeCell ref="A6:B6"/>
    <mergeCell ref="A11:D11"/>
    <mergeCell ref="A21:AD21"/>
    <mergeCell ref="A26:AD2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EAA48E-90B7-48D8-8D88-1CB5188814B6}">
  <sheetPr codeName="Sheet3">
    <tabColor theme="5"/>
  </sheetPr>
  <dimension ref="A1:P66"/>
  <sheetViews>
    <sheetView showGridLines="0" zoomScale="85" zoomScaleNormal="85" workbookViewId="0">
      <pane xSplit="2" ySplit="3" topLeftCell="C4" activePane="bottomRight" state="frozen"/>
      <selection pane="topRight" activeCell="D1" sqref="D1"/>
      <selection pane="bottomLeft" activeCell="A4" sqref="A4"/>
      <selection pane="bottomRight" activeCell="C4" sqref="C4"/>
    </sheetView>
  </sheetViews>
  <sheetFormatPr defaultRowHeight="14.25"/>
  <cols>
    <col min="2" max="2" width="25.75" bestFit="1" customWidth="1"/>
    <col min="4" max="7" width="17.33203125" bestFit="1" customWidth="1"/>
    <col min="8" max="8" width="19.58203125" customWidth="1"/>
    <col min="9" max="9" width="19.25" customWidth="1"/>
    <col min="10" max="10" width="18.33203125" customWidth="1"/>
    <col min="11" max="12" width="19.08203125" customWidth="1"/>
    <col min="13" max="13" width="18.5" customWidth="1"/>
    <col min="14" max="14" width="18.33203125" bestFit="1" customWidth="1"/>
    <col min="15" max="15" width="22.4140625" customWidth="1"/>
  </cols>
  <sheetData>
    <row r="1" spans="1:15" s="32" customFormat="1" ht="20" thickBot="1">
      <c r="A1" s="32" t="s">
        <v>2103</v>
      </c>
    </row>
    <row r="2" spans="1:15" ht="15" thickTop="1">
      <c r="B2" s="1"/>
      <c r="C2" s="1"/>
      <c r="D2" s="1"/>
      <c r="E2" s="1"/>
      <c r="F2" s="1"/>
      <c r="G2" s="1"/>
    </row>
    <row r="3" spans="1:15">
      <c r="B3" s="117"/>
      <c r="C3" s="117"/>
      <c r="D3">
        <v>2011</v>
      </c>
      <c r="E3" s="117">
        <v>2012</v>
      </c>
      <c r="F3">
        <v>2013</v>
      </c>
      <c r="G3">
        <v>2014</v>
      </c>
      <c r="H3" s="117">
        <v>2015</v>
      </c>
      <c r="I3">
        <v>2016</v>
      </c>
      <c r="J3">
        <v>2017</v>
      </c>
      <c r="K3" s="117">
        <v>2018</v>
      </c>
      <c r="L3">
        <v>2019</v>
      </c>
      <c r="M3">
        <v>2020</v>
      </c>
      <c r="N3" s="117">
        <v>2021</v>
      </c>
      <c r="O3" t="s">
        <v>20</v>
      </c>
    </row>
    <row r="4" spans="1:15">
      <c r="B4" s="117"/>
      <c r="C4" s="117"/>
      <c r="E4" s="117"/>
      <c r="G4" s="27"/>
    </row>
    <row r="5" spans="1:15">
      <c r="B5" s="151" t="s">
        <v>21</v>
      </c>
    </row>
    <row r="6" spans="1:15">
      <c r="B6" s="151"/>
    </row>
    <row r="7" spans="1:15">
      <c r="B7" t="s">
        <v>22</v>
      </c>
      <c r="D7" s="173">
        <f>'Enterprise Value'!F85</f>
        <v>4310793652.8059998</v>
      </c>
      <c r="E7" s="173">
        <f>'Enterprise Value'!G85</f>
        <v>4598915873.8129997</v>
      </c>
      <c r="F7" s="173">
        <f>'Enterprise Value'!H85</f>
        <v>5017501221.6680002</v>
      </c>
      <c r="G7" s="173">
        <f>'Enterprise Value'!I85</f>
        <v>6993362524.9830112</v>
      </c>
      <c r="H7" s="173">
        <f>'Enterprise Value'!J85</f>
        <v>7103022746.1689606</v>
      </c>
      <c r="I7" s="173">
        <f>'Enterprise Value'!K85</f>
        <v>7838473490.5708008</v>
      </c>
      <c r="J7" s="173">
        <f>'Enterprise Value'!L85</f>
        <v>8439032712.2956114</v>
      </c>
      <c r="K7" s="173">
        <f>'Enterprise Value'!M85</f>
        <v>8683203333.1333809</v>
      </c>
      <c r="L7" s="173">
        <f>'Enterprise Value'!N85</f>
        <v>8928175326.3404484</v>
      </c>
      <c r="M7" s="173">
        <f>'Enterprise Value'!O85</f>
        <v>7853351896.3078842</v>
      </c>
      <c r="N7" s="173">
        <f>'Enterprise Value'!P85</f>
        <v>9496233822.475996</v>
      </c>
      <c r="O7" s="173">
        <f>'Enterprise Value'!Q85</f>
        <v>9865483816.6039295</v>
      </c>
    </row>
    <row r="8" spans="1:15">
      <c r="B8" t="s">
        <v>23</v>
      </c>
      <c r="D8" s="173">
        <f>'Enterprise Value'!F86</f>
        <v>4837445652.8059998</v>
      </c>
      <c r="E8" s="173">
        <f>'Enterprise Value'!G86</f>
        <v>5072745873.8129997</v>
      </c>
      <c r="F8" s="173">
        <f>'Enterprise Value'!H86</f>
        <v>5534351261.6680002</v>
      </c>
      <c r="G8" s="173">
        <f>'Enterprise Value'!I86</f>
        <v>7509395384.9830112</v>
      </c>
      <c r="H8" s="173">
        <f>'Enterprise Value'!J86</f>
        <v>7692944286.1689606</v>
      </c>
      <c r="I8" s="173">
        <f>'Enterprise Value'!K86</f>
        <v>8464742034.5708008</v>
      </c>
      <c r="J8" s="173">
        <f>'Enterprise Value'!L86</f>
        <v>8922467242.4956112</v>
      </c>
      <c r="K8" s="173">
        <f>'Enterprise Value'!M86</f>
        <v>9274013637.3333817</v>
      </c>
      <c r="L8" s="173">
        <f>'Enterprise Value'!N86</f>
        <v>9685436856.740448</v>
      </c>
      <c r="M8" s="173">
        <f>'Enterprise Value'!O86</f>
        <v>8970000230.3078842</v>
      </c>
      <c r="N8" s="173">
        <f>'Enterprise Value'!P86</f>
        <v>10597296948.875996</v>
      </c>
      <c r="O8" s="173">
        <f>'Enterprise Value'!Q86</f>
        <v>10966546943.003929</v>
      </c>
    </row>
    <row r="9" spans="1:15">
      <c r="D9" s="64"/>
      <c r="E9" s="64"/>
      <c r="F9" s="64"/>
      <c r="G9" s="64"/>
      <c r="H9" s="64"/>
      <c r="I9" s="64"/>
      <c r="J9" s="64"/>
      <c r="K9" s="64"/>
      <c r="L9" s="64"/>
      <c r="M9" s="64"/>
      <c r="N9" s="64"/>
      <c r="O9" s="64"/>
    </row>
    <row r="10" spans="1:15">
      <c r="B10" t="s">
        <v>24</v>
      </c>
      <c r="D10" s="173">
        <f>'Enterprise Value'!F89</f>
        <v>4781359180</v>
      </c>
      <c r="E10" s="173">
        <f>'Enterprise Value'!G89</f>
        <v>5151888320</v>
      </c>
      <c r="F10" s="173">
        <f>'Enterprise Value'!H89</f>
        <v>5536085620</v>
      </c>
      <c r="G10" s="173">
        <f>'Enterprise Value'!I89</f>
        <v>6917557128.1454477</v>
      </c>
      <c r="H10" s="173">
        <f>'Enterprise Value'!J89</f>
        <v>6955664861.6543884</v>
      </c>
      <c r="I10" s="173">
        <f>'Enterprise Value'!K89</f>
        <v>7993521701.5</v>
      </c>
      <c r="J10" s="173">
        <f>'Enterprise Value'!L89</f>
        <v>8964271754.9500008</v>
      </c>
      <c r="K10" s="173">
        <f>'Enterprise Value'!M89</f>
        <v>8416650779.499999</v>
      </c>
      <c r="L10" s="173">
        <f>'Enterprise Value'!N89</f>
        <v>8534501290.0499992</v>
      </c>
      <c r="M10" s="173">
        <f>'Enterprise Value'!O89</f>
        <v>7875819366.5499992</v>
      </c>
      <c r="N10" s="173">
        <f>'Enterprise Value'!P89</f>
        <v>8324639838.5</v>
      </c>
      <c r="O10" s="173">
        <f>'Enterprise Value'!Q89</f>
        <v>9575992708.5</v>
      </c>
    </row>
    <row r="11" spans="1:15">
      <c r="B11" t="s">
        <v>25</v>
      </c>
      <c r="D11" s="173">
        <f>'Enterprise Value'!F90</f>
        <v>5308011180</v>
      </c>
      <c r="E11" s="173">
        <f>'Enterprise Value'!G90</f>
        <v>5625718320</v>
      </c>
      <c r="F11" s="173">
        <f>'Enterprise Value'!H90</f>
        <v>6052935660</v>
      </c>
      <c r="G11" s="173">
        <f>'Enterprise Value'!I90</f>
        <v>7433589988.1454477</v>
      </c>
      <c r="H11" s="173">
        <f>'Enterprise Value'!J90</f>
        <v>7545586401.6543884</v>
      </c>
      <c r="I11" s="173">
        <f>'Enterprise Value'!K90</f>
        <v>8619790245.5</v>
      </c>
      <c r="J11" s="173">
        <f>'Enterprise Value'!L90</f>
        <v>9447706285.1499996</v>
      </c>
      <c r="K11" s="173">
        <f>'Enterprise Value'!M90</f>
        <v>9007461083.6999989</v>
      </c>
      <c r="L11" s="173">
        <f>'Enterprise Value'!N90</f>
        <v>9291762820.4499989</v>
      </c>
      <c r="M11" s="173">
        <f>'Enterprise Value'!O90</f>
        <v>8992467700.5499992</v>
      </c>
      <c r="N11" s="173">
        <f>'Enterprise Value'!P90</f>
        <v>9425702964.8999996</v>
      </c>
      <c r="O11" s="173">
        <f>'Enterprise Value'!Q90</f>
        <v>10677055834.9</v>
      </c>
    </row>
    <row r="12" spans="1:15">
      <c r="D12" s="64"/>
      <c r="E12" s="64"/>
      <c r="F12" s="64"/>
      <c r="G12" s="64"/>
      <c r="H12" s="64"/>
      <c r="I12" s="64"/>
      <c r="J12" s="64"/>
      <c r="K12" s="64"/>
      <c r="L12" s="64"/>
      <c r="M12" s="64"/>
      <c r="N12" s="64"/>
      <c r="O12" s="64"/>
    </row>
    <row r="13" spans="1:15">
      <c r="D13" s="64"/>
      <c r="E13" s="64"/>
      <c r="F13" s="64"/>
      <c r="G13" s="64"/>
      <c r="H13" s="64"/>
      <c r="I13" s="64"/>
      <c r="J13" s="64"/>
      <c r="K13" s="64"/>
      <c r="L13" s="64"/>
      <c r="M13" s="64"/>
      <c r="N13" s="64"/>
      <c r="O13" s="64"/>
    </row>
    <row r="14" spans="1:15">
      <c r="B14" t="s">
        <v>26</v>
      </c>
      <c r="D14" s="173">
        <f>'Regulatory Asset Base'!H43</f>
        <v>3367885159.0565548</v>
      </c>
      <c r="E14" s="173">
        <f>'Regulatory Asset Base'!I43</f>
        <v>3611431987.4159689</v>
      </c>
      <c r="F14" s="173">
        <f>'Regulatory Asset Base'!J43</f>
        <v>3868386010.5619583</v>
      </c>
      <c r="G14" s="173">
        <f>'Regulatory Asset Base'!K43</f>
        <v>5083505926.2407618</v>
      </c>
      <c r="H14" s="173">
        <f>'Regulatory Asset Base'!L43</f>
        <v>5186217163.6382828</v>
      </c>
      <c r="I14" s="173">
        <f>'Regulatory Asset Base'!M43</f>
        <v>5485158064.393322</v>
      </c>
      <c r="J14" s="173">
        <f>'Regulatory Asset Base'!N43</f>
        <v>5698059599.7991161</v>
      </c>
      <c r="K14" s="173">
        <f>'Regulatory Asset Base'!O43</f>
        <v>5874471894.6212482</v>
      </c>
      <c r="L14" s="173">
        <f>'Regulatory Asset Base'!P43</f>
        <v>6093511365.0169039</v>
      </c>
      <c r="M14" s="173">
        <f>'Regulatory Asset Base'!Q43</f>
        <v>6243989111.9954996</v>
      </c>
      <c r="N14" s="173">
        <f>'Regulatory Asset Base'!R43</f>
        <v>6251316410.885725</v>
      </c>
      <c r="O14" s="173">
        <f>N14</f>
        <v>6251316410.885725</v>
      </c>
    </row>
    <row r="15" spans="1:15">
      <c r="B15" t="s">
        <v>27</v>
      </c>
      <c r="D15" s="173">
        <f>'Regulatory Asset Base'!H44</f>
        <v>3367885159.0565548</v>
      </c>
      <c r="E15" s="173">
        <f>'Regulatory Asset Base'!I44</f>
        <v>3611431987.4159689</v>
      </c>
      <c r="F15" s="173">
        <f>'Regulatory Asset Base'!J44</f>
        <v>3868386010.5619583</v>
      </c>
      <c r="G15" s="173">
        <f>'Regulatory Asset Base'!K44</f>
        <v>5083505926.2407618</v>
      </c>
      <c r="H15" s="173">
        <f>'Regulatory Asset Base'!L44</f>
        <v>5186217163.6382828</v>
      </c>
      <c r="I15" s="173">
        <f>'Regulatory Asset Base'!M44</f>
        <v>5496848664.5741177</v>
      </c>
      <c r="J15" s="173">
        <f>'Regulatory Asset Base'!N44</f>
        <v>5812653949.441185</v>
      </c>
      <c r="K15" s="173">
        <f>'Regulatory Asset Base'!O44</f>
        <v>6010519493.916604</v>
      </c>
      <c r="L15" s="173">
        <f>'Regulatory Asset Base'!P44</f>
        <v>6400847624.473135</v>
      </c>
      <c r="M15" s="173">
        <f>'Regulatory Asset Base'!Q44</f>
        <v>6646988907.3466606</v>
      </c>
      <c r="N15" s="173">
        <f>'Regulatory Asset Base'!R44</f>
        <v>6606417320.4563046</v>
      </c>
      <c r="O15" s="173">
        <f>N15</f>
        <v>6606417320.4563046</v>
      </c>
    </row>
    <row r="17" spans="2:16">
      <c r="B17" t="s">
        <v>2104</v>
      </c>
      <c r="D17" s="182">
        <f t="shared" ref="D17:O17" si="0">D7/D14</f>
        <v>1.2799705005421211</v>
      </c>
      <c r="E17" s="182">
        <f t="shared" si="0"/>
        <v>1.2734327795284301</v>
      </c>
      <c r="F17" s="182">
        <f t="shared" si="0"/>
        <v>1.2970528814778519</v>
      </c>
      <c r="G17" s="182">
        <f t="shared" si="0"/>
        <v>1.3756967389147086</v>
      </c>
      <c r="H17" s="182">
        <f t="shared" si="0"/>
        <v>1.3695960894136532</v>
      </c>
      <c r="I17" s="182">
        <f t="shared" si="0"/>
        <v>1.4290332928514731</v>
      </c>
      <c r="J17" s="182">
        <f t="shared" si="0"/>
        <v>1.4810362307535583</v>
      </c>
      <c r="K17" s="182">
        <f t="shared" si="0"/>
        <v>1.4781249257629181</v>
      </c>
      <c r="L17" s="182">
        <f t="shared" si="0"/>
        <v>1.4651938416981489</v>
      </c>
      <c r="M17" s="182">
        <f t="shared" si="0"/>
        <v>1.2577459305975716</v>
      </c>
      <c r="N17" s="182">
        <f t="shared" si="0"/>
        <v>1.5190774547805221</v>
      </c>
      <c r="O17" s="182">
        <f t="shared" si="0"/>
        <v>1.5781450126927949</v>
      </c>
    </row>
    <row r="18" spans="2:16">
      <c r="B18" t="s">
        <v>2105</v>
      </c>
      <c r="D18" s="182">
        <f t="shared" ref="D18:O18" si="1">D8/D14</f>
        <v>1.436345191224131</v>
      </c>
      <c r="E18" s="182">
        <f t="shared" si="1"/>
        <v>1.4046355826411732</v>
      </c>
      <c r="F18" s="182">
        <f t="shared" si="1"/>
        <v>1.4306615851048505</v>
      </c>
      <c r="G18" s="182">
        <f t="shared" si="1"/>
        <v>1.4772079533181912</v>
      </c>
      <c r="H18" s="182">
        <f t="shared" si="1"/>
        <v>1.4833440335097992</v>
      </c>
      <c r="I18" s="182">
        <f t="shared" si="1"/>
        <v>1.5432084062480032</v>
      </c>
      <c r="J18" s="182">
        <f t="shared" si="1"/>
        <v>1.5658781882187001</v>
      </c>
      <c r="K18" s="182">
        <f t="shared" si="1"/>
        <v>1.5786974222865553</v>
      </c>
      <c r="L18" s="182">
        <f t="shared" si="1"/>
        <v>1.5894672671564927</v>
      </c>
      <c r="M18" s="182">
        <f t="shared" si="1"/>
        <v>1.4365816578820372</v>
      </c>
      <c r="N18" s="182">
        <f t="shared" si="1"/>
        <v>1.6952104568603183</v>
      </c>
      <c r="O18" s="182">
        <f t="shared" si="1"/>
        <v>1.7542780147725912</v>
      </c>
      <c r="P18" s="191"/>
    </row>
    <row r="20" spans="2:16">
      <c r="B20" t="s">
        <v>32</v>
      </c>
      <c r="D20" s="182">
        <f t="shared" ref="D20:O20" si="2">D10/D14</f>
        <v>1.4196918701762982</v>
      </c>
      <c r="E20" s="182">
        <f t="shared" si="2"/>
        <v>1.4265500050815714</v>
      </c>
      <c r="F20" s="182">
        <f t="shared" si="2"/>
        <v>1.43110992669415</v>
      </c>
      <c r="G20" s="182">
        <f t="shared" si="2"/>
        <v>1.360784708135663</v>
      </c>
      <c r="H20" s="182">
        <f t="shared" si="2"/>
        <v>1.3411827237822</v>
      </c>
      <c r="I20" s="182">
        <f t="shared" si="2"/>
        <v>1.4573001557401997</v>
      </c>
      <c r="J20" s="182">
        <f t="shared" si="2"/>
        <v>1.5732148107517223</v>
      </c>
      <c r="K20" s="182">
        <f t="shared" si="2"/>
        <v>1.4327501995892442</v>
      </c>
      <c r="L20" s="182">
        <f t="shared" si="2"/>
        <v>1.4005883929333287</v>
      </c>
      <c r="M20" s="182">
        <f t="shared" si="2"/>
        <v>1.2613441864303616</v>
      </c>
      <c r="N20" s="182">
        <f t="shared" si="2"/>
        <v>1.3316618918863066</v>
      </c>
      <c r="O20" s="182">
        <f t="shared" si="2"/>
        <v>1.5318361892264567</v>
      </c>
    </row>
    <row r="21" spans="2:16">
      <c r="B21" t="s">
        <v>33</v>
      </c>
      <c r="D21" s="182">
        <f t="shared" ref="D21:O21" si="3">D11/D14</f>
        <v>1.576066560858308</v>
      </c>
      <c r="E21" s="182">
        <f t="shared" si="3"/>
        <v>1.5577528081943146</v>
      </c>
      <c r="F21" s="182">
        <f t="shared" si="3"/>
        <v>1.5647186303211487</v>
      </c>
      <c r="G21" s="182">
        <f t="shared" si="3"/>
        <v>1.4622959225391454</v>
      </c>
      <c r="H21" s="182">
        <f t="shared" si="3"/>
        <v>1.454930667878346</v>
      </c>
      <c r="I21" s="182">
        <f t="shared" si="3"/>
        <v>1.57147526913673</v>
      </c>
      <c r="J21" s="182">
        <f t="shared" si="3"/>
        <v>1.6580567682168639</v>
      </c>
      <c r="K21" s="182">
        <f t="shared" si="3"/>
        <v>1.5333226961128814</v>
      </c>
      <c r="L21" s="182">
        <f t="shared" si="3"/>
        <v>1.5248618183916725</v>
      </c>
      <c r="M21" s="182">
        <f t="shared" si="3"/>
        <v>1.4401799137148272</v>
      </c>
      <c r="N21" s="182">
        <f t="shared" si="3"/>
        <v>1.5077948939661028</v>
      </c>
      <c r="O21" s="182">
        <f t="shared" si="3"/>
        <v>1.7079691913062529</v>
      </c>
    </row>
    <row r="23" spans="2:16">
      <c r="B23" t="s">
        <v>28</v>
      </c>
      <c r="D23" s="182">
        <f>MIN(D17,D18,D20,D21)</f>
        <v>1.2799705005421211</v>
      </c>
      <c r="E23" s="182">
        <f t="shared" ref="E23:O23" si="4">MIN(E17,E18,E20,E21)</f>
        <v>1.2734327795284301</v>
      </c>
      <c r="F23" s="182">
        <f t="shared" si="4"/>
        <v>1.2970528814778519</v>
      </c>
      <c r="G23" s="182">
        <f t="shared" si="4"/>
        <v>1.360784708135663</v>
      </c>
      <c r="H23" s="182">
        <f t="shared" si="4"/>
        <v>1.3411827237822</v>
      </c>
      <c r="I23" s="182">
        <f t="shared" si="4"/>
        <v>1.4290332928514731</v>
      </c>
      <c r="J23" s="182">
        <f t="shared" si="4"/>
        <v>1.4810362307535583</v>
      </c>
      <c r="K23" s="182">
        <f t="shared" si="4"/>
        <v>1.4327501995892442</v>
      </c>
      <c r="L23" s="182">
        <f t="shared" si="4"/>
        <v>1.4005883929333287</v>
      </c>
      <c r="M23" s="182">
        <f t="shared" si="4"/>
        <v>1.2577459305975716</v>
      </c>
      <c r="N23" s="182">
        <f t="shared" si="4"/>
        <v>1.3316618918863066</v>
      </c>
      <c r="O23" s="182">
        <f t="shared" si="4"/>
        <v>1.5318361892264567</v>
      </c>
    </row>
    <row r="24" spans="2:16">
      <c r="B24" t="s">
        <v>30</v>
      </c>
      <c r="D24" s="182">
        <f>MAX(D17,D18,D20,D21)</f>
        <v>1.576066560858308</v>
      </c>
      <c r="E24" s="182">
        <f t="shared" ref="E24:O24" si="5">MAX(E17,E18,E20,E21)</f>
        <v>1.5577528081943146</v>
      </c>
      <c r="F24" s="182">
        <f t="shared" si="5"/>
        <v>1.5647186303211487</v>
      </c>
      <c r="G24" s="182">
        <f t="shared" si="5"/>
        <v>1.4772079533181912</v>
      </c>
      <c r="H24" s="182">
        <f t="shared" si="5"/>
        <v>1.4833440335097992</v>
      </c>
      <c r="I24" s="182">
        <f t="shared" si="5"/>
        <v>1.57147526913673</v>
      </c>
      <c r="J24" s="182">
        <f t="shared" si="5"/>
        <v>1.6580567682168639</v>
      </c>
      <c r="K24" s="182">
        <f t="shared" si="5"/>
        <v>1.5786974222865553</v>
      </c>
      <c r="L24" s="182">
        <f t="shared" si="5"/>
        <v>1.5894672671564927</v>
      </c>
      <c r="M24" s="182">
        <f t="shared" si="5"/>
        <v>1.4401799137148272</v>
      </c>
      <c r="N24" s="182">
        <f t="shared" si="5"/>
        <v>1.6952104568603183</v>
      </c>
      <c r="O24" s="182">
        <f t="shared" si="5"/>
        <v>1.7542780147725912</v>
      </c>
    </row>
    <row r="26" spans="2:16">
      <c r="B26" t="s">
        <v>2106</v>
      </c>
      <c r="D26" s="182">
        <f t="shared" ref="D26:O26" si="6">D7/D15</f>
        <v>1.2799705005421211</v>
      </c>
      <c r="E26" s="182">
        <f t="shared" si="6"/>
        <v>1.2734327795284301</v>
      </c>
      <c r="F26" s="182">
        <f t="shared" si="6"/>
        <v>1.2970528814778519</v>
      </c>
      <c r="G26" s="182">
        <f t="shared" si="6"/>
        <v>1.3756967389147086</v>
      </c>
      <c r="H26" s="182">
        <f t="shared" si="6"/>
        <v>1.3695960894136532</v>
      </c>
      <c r="I26" s="182">
        <f t="shared" si="6"/>
        <v>1.4259940502069663</v>
      </c>
      <c r="J26" s="182">
        <f t="shared" si="6"/>
        <v>1.4518381423870796</v>
      </c>
      <c r="K26" s="182">
        <f t="shared" si="6"/>
        <v>1.4446676933536056</v>
      </c>
      <c r="L26" s="182">
        <f t="shared" si="6"/>
        <v>1.3948426599321433</v>
      </c>
      <c r="M26" s="182">
        <f t="shared" si="6"/>
        <v>1.1814901462567324</v>
      </c>
      <c r="N26" s="182">
        <f t="shared" si="6"/>
        <v>1.4374256668696328</v>
      </c>
      <c r="O26" s="182">
        <f t="shared" si="6"/>
        <v>1.4933182900898729</v>
      </c>
    </row>
    <row r="27" spans="2:16">
      <c r="B27" t="s">
        <v>2107</v>
      </c>
      <c r="D27" s="182">
        <f t="shared" ref="D27:O27" si="7">D8/D15</f>
        <v>1.436345191224131</v>
      </c>
      <c r="E27" s="182">
        <f t="shared" si="7"/>
        <v>1.4046355826411732</v>
      </c>
      <c r="F27" s="182">
        <f t="shared" si="7"/>
        <v>1.4306615851048505</v>
      </c>
      <c r="G27" s="182">
        <f t="shared" si="7"/>
        <v>1.4772079533181912</v>
      </c>
      <c r="H27" s="182">
        <f t="shared" si="7"/>
        <v>1.4833440335097992</v>
      </c>
      <c r="I27" s="182">
        <f t="shared" si="7"/>
        <v>1.5399263379987247</v>
      </c>
      <c r="J27" s="182">
        <f t="shared" si="7"/>
        <v>1.5350074716478515</v>
      </c>
      <c r="K27" s="182">
        <f t="shared" si="7"/>
        <v>1.5429637399429186</v>
      </c>
      <c r="L27" s="182">
        <f t="shared" si="7"/>
        <v>1.5131491053948771</v>
      </c>
      <c r="M27" s="182">
        <f t="shared" si="7"/>
        <v>1.3494832555525538</v>
      </c>
      <c r="N27" s="182">
        <f t="shared" si="7"/>
        <v>1.604091360692915</v>
      </c>
      <c r="O27" s="182">
        <f t="shared" si="7"/>
        <v>1.6599839839131554</v>
      </c>
    </row>
    <row r="29" spans="2:16">
      <c r="B29" t="s">
        <v>2108</v>
      </c>
      <c r="D29" s="182">
        <f t="shared" ref="D29:O29" si="8">D10/D15</f>
        <v>1.4196918701762982</v>
      </c>
      <c r="E29" s="182">
        <f t="shared" si="8"/>
        <v>1.4265500050815714</v>
      </c>
      <c r="F29" s="182">
        <f t="shared" si="8"/>
        <v>1.43110992669415</v>
      </c>
      <c r="G29" s="182">
        <f t="shared" si="8"/>
        <v>1.360784708135663</v>
      </c>
      <c r="H29" s="182">
        <f t="shared" si="8"/>
        <v>1.3411827237822</v>
      </c>
      <c r="I29" s="182">
        <f t="shared" si="8"/>
        <v>1.4542007956333864</v>
      </c>
      <c r="J29" s="182">
        <f t="shared" si="8"/>
        <v>1.5421994553472094</v>
      </c>
      <c r="K29" s="182">
        <f t="shared" si="8"/>
        <v>1.4003200202609276</v>
      </c>
      <c r="L29" s="182">
        <f t="shared" si="8"/>
        <v>1.3333392373564725</v>
      </c>
      <c r="M29" s="182">
        <f t="shared" si="8"/>
        <v>1.1848702437046585</v>
      </c>
      <c r="N29" s="182">
        <f t="shared" si="8"/>
        <v>1.2600838600860622</v>
      </c>
      <c r="O29" s="182">
        <f t="shared" si="8"/>
        <v>1.4494986077928524</v>
      </c>
    </row>
    <row r="30" spans="2:16">
      <c r="B30" t="s">
        <v>2109</v>
      </c>
      <c r="D30" s="182">
        <f t="shared" ref="D30:O30" si="9">D11/D15</f>
        <v>1.576066560858308</v>
      </c>
      <c r="E30" s="182">
        <f t="shared" si="9"/>
        <v>1.5577528081943146</v>
      </c>
      <c r="F30" s="182">
        <f t="shared" si="9"/>
        <v>1.5647186303211487</v>
      </c>
      <c r="G30" s="182">
        <f t="shared" si="9"/>
        <v>1.4622959225391454</v>
      </c>
      <c r="H30" s="182">
        <f t="shared" si="9"/>
        <v>1.454930667878346</v>
      </c>
      <c r="I30" s="182">
        <f t="shared" si="9"/>
        <v>1.5681330834251448</v>
      </c>
      <c r="J30" s="182">
        <f t="shared" si="9"/>
        <v>1.625368784607981</v>
      </c>
      <c r="K30" s="182">
        <f t="shared" si="9"/>
        <v>1.4986160668502404</v>
      </c>
      <c r="L30" s="182">
        <f t="shared" si="9"/>
        <v>1.4516456828192064</v>
      </c>
      <c r="M30" s="182">
        <f t="shared" si="9"/>
        <v>1.3528633530004799</v>
      </c>
      <c r="N30" s="182">
        <f t="shared" si="9"/>
        <v>1.4267495539093444</v>
      </c>
      <c r="O30" s="182">
        <f t="shared" si="9"/>
        <v>1.6161643016161347</v>
      </c>
    </row>
    <row r="32" spans="2:16">
      <c r="B32" t="s">
        <v>34</v>
      </c>
      <c r="D32" s="182">
        <f>MIN(D26,D29)</f>
        <v>1.2799705005421211</v>
      </c>
      <c r="E32" s="182">
        <f t="shared" ref="E32:O32" si="10">MIN(E7,E8,E10,E11)/E15</f>
        <v>1.2734327795284301</v>
      </c>
      <c r="F32" s="182">
        <f t="shared" si="10"/>
        <v>1.2970528814778519</v>
      </c>
      <c r="G32" s="182">
        <f t="shared" si="10"/>
        <v>1.360784708135663</v>
      </c>
      <c r="H32" s="182">
        <f t="shared" si="10"/>
        <v>1.3411827237822</v>
      </c>
      <c r="I32" s="182">
        <f t="shared" si="10"/>
        <v>1.4259940502069663</v>
      </c>
      <c r="J32" s="182">
        <f t="shared" si="10"/>
        <v>1.4518381423870796</v>
      </c>
      <c r="K32" s="182">
        <f t="shared" si="10"/>
        <v>1.4003200202609276</v>
      </c>
      <c r="L32" s="182">
        <f t="shared" si="10"/>
        <v>1.3333392373564725</v>
      </c>
      <c r="M32" s="182">
        <f t="shared" si="10"/>
        <v>1.1814901462567324</v>
      </c>
      <c r="N32" s="182">
        <f t="shared" si="10"/>
        <v>1.2600838600860622</v>
      </c>
      <c r="O32" s="182">
        <f t="shared" si="10"/>
        <v>1.4494986077928524</v>
      </c>
    </row>
    <row r="33" spans="2:16">
      <c r="B33" t="s">
        <v>35</v>
      </c>
      <c r="D33" s="182">
        <f>MAX(D27,D30)</f>
        <v>1.576066560858308</v>
      </c>
      <c r="E33" s="182">
        <f t="shared" ref="E33:O33" si="11">MAX(E27,E30)</f>
        <v>1.5577528081943146</v>
      </c>
      <c r="F33" s="182">
        <f t="shared" si="11"/>
        <v>1.5647186303211487</v>
      </c>
      <c r="G33" s="182">
        <f t="shared" si="11"/>
        <v>1.4772079533181912</v>
      </c>
      <c r="H33" s="182">
        <f t="shared" si="11"/>
        <v>1.4833440335097992</v>
      </c>
      <c r="I33" s="182">
        <f t="shared" si="11"/>
        <v>1.5681330834251448</v>
      </c>
      <c r="J33" s="182">
        <f t="shared" si="11"/>
        <v>1.625368784607981</v>
      </c>
      <c r="K33" s="182">
        <f t="shared" si="11"/>
        <v>1.5429637399429186</v>
      </c>
      <c r="L33" s="182">
        <f t="shared" si="11"/>
        <v>1.5131491053948771</v>
      </c>
      <c r="M33" s="182">
        <f t="shared" si="11"/>
        <v>1.3528633530004799</v>
      </c>
      <c r="N33" s="182">
        <f t="shared" si="11"/>
        <v>1.604091360692915</v>
      </c>
      <c r="O33" s="182">
        <f t="shared" si="11"/>
        <v>1.6599839839131554</v>
      </c>
    </row>
    <row r="35" spans="2:16">
      <c r="B35" t="s">
        <v>36</v>
      </c>
      <c r="D35" s="182">
        <f>AVERAGE(D23,D24)</f>
        <v>1.4280185307002147</v>
      </c>
      <c r="E35" s="182">
        <f t="shared" ref="E35:O35" si="12">AVERAGE(E23,E24)</f>
        <v>1.4155927938613724</v>
      </c>
      <c r="F35" s="182">
        <f t="shared" si="12"/>
        <v>1.4308857558995003</v>
      </c>
      <c r="G35" s="182">
        <f t="shared" si="12"/>
        <v>1.4189963307269271</v>
      </c>
      <c r="H35" s="182">
        <f t="shared" si="12"/>
        <v>1.4122633786459997</v>
      </c>
      <c r="I35" s="182">
        <f t="shared" si="12"/>
        <v>1.5002542809941015</v>
      </c>
      <c r="J35" s="182">
        <f t="shared" si="12"/>
        <v>1.5695464994852111</v>
      </c>
      <c r="K35" s="182">
        <f t="shared" si="12"/>
        <v>1.5057238109378996</v>
      </c>
      <c r="L35" s="182">
        <f t="shared" si="12"/>
        <v>1.4950278300449107</v>
      </c>
      <c r="M35" s="182">
        <f t="shared" si="12"/>
        <v>1.3489629221561994</v>
      </c>
      <c r="N35" s="182">
        <f t="shared" si="12"/>
        <v>1.5134361743733125</v>
      </c>
      <c r="O35" s="182">
        <f t="shared" si="12"/>
        <v>1.6430571019995239</v>
      </c>
      <c r="P35" s="30"/>
    </row>
    <row r="36" spans="2:16">
      <c r="B36" t="s">
        <v>37</v>
      </c>
      <c r="D36" s="182"/>
      <c r="E36" s="182"/>
      <c r="F36" s="182"/>
      <c r="G36" s="182"/>
      <c r="H36" s="182">
        <f t="shared" ref="H36:O36" si="13">AVERAGE(H32,H33)</f>
        <v>1.4122633786459997</v>
      </c>
      <c r="I36" s="182">
        <f t="shared" si="13"/>
        <v>1.4970635668160557</v>
      </c>
      <c r="J36" s="182">
        <f t="shared" si="13"/>
        <v>1.5386034634975303</v>
      </c>
      <c r="K36" s="182">
        <f t="shared" si="13"/>
        <v>1.4716418801019231</v>
      </c>
      <c r="L36" s="182">
        <f t="shared" si="13"/>
        <v>1.4232441713756749</v>
      </c>
      <c r="M36" s="182">
        <f t="shared" si="13"/>
        <v>1.2671767496286062</v>
      </c>
      <c r="N36" s="182">
        <f t="shared" si="13"/>
        <v>1.4320876103894886</v>
      </c>
      <c r="O36" s="182">
        <f t="shared" si="13"/>
        <v>1.5547412958530038</v>
      </c>
    </row>
    <row r="38" spans="2:16">
      <c r="B38" s="5" t="s">
        <v>38</v>
      </c>
    </row>
    <row r="39" spans="2:16">
      <c r="B39" s="5"/>
    </row>
    <row r="40" spans="2:16">
      <c r="B40" t="s">
        <v>22</v>
      </c>
      <c r="D40" s="173">
        <f>'Enterprise Value'!F115</f>
        <v>6292227427.2963848</v>
      </c>
      <c r="E40" s="173">
        <f>'Enterprise Value'!G115</f>
        <v>7440105008.6883993</v>
      </c>
      <c r="F40" s="173">
        <f>'Enterprise Value'!H115</f>
        <v>8172820705.4733982</v>
      </c>
      <c r="G40" s="173">
        <f>'Enterprise Value'!I115</f>
        <v>8837614573.5742302</v>
      </c>
      <c r="H40" s="173">
        <f>'Enterprise Value'!J115</f>
        <v>9804401914.025177</v>
      </c>
      <c r="I40" s="173">
        <f>'Enterprise Value'!K115</f>
        <v>9990318746.0497513</v>
      </c>
      <c r="J40" s="173">
        <f>'Enterprise Value'!L115</f>
        <v>10123523759.702354</v>
      </c>
      <c r="K40" s="173">
        <f>'Enterprise Value'!M115</f>
        <v>10347743183.240559</v>
      </c>
      <c r="L40" s="173">
        <f>'Enterprise Value'!N115</f>
        <v>11292680224.817554</v>
      </c>
      <c r="M40" s="173">
        <f>'Enterprise Value'!O115</f>
        <v>11867480283.652201</v>
      </c>
      <c r="N40" s="173">
        <f>'Enterprise Value'!P115</f>
        <v>13716035637.95363</v>
      </c>
      <c r="O40" s="173">
        <f>'Enterprise Value'!Q115</f>
        <v>16663649965.16832</v>
      </c>
    </row>
    <row r="41" spans="2:16">
      <c r="B41" t="s">
        <v>23</v>
      </c>
      <c r="D41" s="173">
        <f>'Enterprise Value'!F116</f>
        <v>7153127427.2963848</v>
      </c>
      <c r="E41" s="173">
        <f>'Enterprise Value'!G116</f>
        <v>8127655008.6883993</v>
      </c>
      <c r="F41" s="173">
        <f>'Enterprise Value'!H116</f>
        <v>9052820705.4733982</v>
      </c>
      <c r="G41" s="173">
        <f>'Enterprise Value'!I116</f>
        <v>9826864573.5742302</v>
      </c>
      <c r="H41" s="173">
        <f>'Enterprise Value'!J116</f>
        <v>10817701914.025177</v>
      </c>
      <c r="I41" s="173">
        <f>'Enterprise Value'!K116</f>
        <v>10938918746.049751</v>
      </c>
      <c r="J41" s="173">
        <f>'Enterprise Value'!L116</f>
        <v>11287523759.702354</v>
      </c>
      <c r="K41" s="173">
        <f>'Enterprise Value'!M116</f>
        <v>11474493183.240559</v>
      </c>
      <c r="L41" s="173">
        <f>'Enterprise Value'!N116</f>
        <v>12280630224.817554</v>
      </c>
      <c r="M41" s="173">
        <f>'Enterprise Value'!O116</f>
        <v>12809430283.652201</v>
      </c>
      <c r="N41" s="173">
        <f>'Enterprise Value'!P116</f>
        <v>14686235637.95363</v>
      </c>
      <c r="O41" s="173">
        <f>'Enterprise Value'!Q116</f>
        <v>17633849965.16832</v>
      </c>
    </row>
    <row r="43" spans="2:16">
      <c r="B43" t="s">
        <v>2097</v>
      </c>
      <c r="O43" s="8">
        <f>'Enterprise Value'!Q118</f>
        <v>13918799965.16832</v>
      </c>
    </row>
    <row r="44" spans="2:16">
      <c r="B44" t="s">
        <v>2098</v>
      </c>
      <c r="O44" s="8">
        <f>'Enterprise Value'!Q119</f>
        <v>14818899965.16832</v>
      </c>
    </row>
    <row r="46" spans="2:16">
      <c r="B46" t="s">
        <v>26</v>
      </c>
      <c r="D46" s="173">
        <f>'Regulatory Asset Base'!H63</f>
        <v>5649725285.1581993</v>
      </c>
      <c r="E46" s="173">
        <f>'Regulatory Asset Base'!I63</f>
        <v>6026022295.9645872</v>
      </c>
      <c r="F46" s="173">
        <f>'Regulatory Asset Base'!J63</f>
        <v>6483121201.0694389</v>
      </c>
      <c r="G46" s="173">
        <f>'Regulatory Asset Base'!K63</f>
        <v>7033833875.8155174</v>
      </c>
      <c r="H46" s="173">
        <f>'Regulatory Asset Base'!L63</f>
        <v>7641459933.245224</v>
      </c>
      <c r="I46" s="173">
        <f>'Regulatory Asset Base'!M63</f>
        <v>7950396810.7718754</v>
      </c>
      <c r="J46" s="173">
        <f>'Regulatory Asset Base'!N63</f>
        <v>8215503312.7378769</v>
      </c>
      <c r="K46" s="173">
        <f>'Regulatory Asset Base'!O63</f>
        <v>8631693238.5512123</v>
      </c>
      <c r="L46" s="173">
        <f>'Regulatory Asset Base'!P63</f>
        <v>9116786531.2717819</v>
      </c>
      <c r="M46" s="173">
        <f>'Regulatory Asset Base'!Q63</f>
        <v>9485797493.4085121</v>
      </c>
      <c r="N46" s="173">
        <f>'Regulatory Asset Base'!R63</f>
        <v>9609494908.2213135</v>
      </c>
      <c r="O46" s="173">
        <f>'Regulatory Asset Base'!S63</f>
        <v>9869319866.6031876</v>
      </c>
    </row>
    <row r="47" spans="2:16">
      <c r="B47" t="s">
        <v>27</v>
      </c>
      <c r="D47" s="173">
        <f>'Regulatory Asset Base'!H64</f>
        <v>5649725285.1581993</v>
      </c>
      <c r="E47" s="173">
        <f>'Regulatory Asset Base'!I64</f>
        <v>6026022295.9645872</v>
      </c>
      <c r="F47" s="173">
        <f>'Regulatory Asset Base'!J64</f>
        <v>6483121201.0694389</v>
      </c>
      <c r="G47" s="173">
        <f>'Regulatory Asset Base'!K64</f>
        <v>7033833875.8155174</v>
      </c>
      <c r="H47" s="173">
        <f>'Regulatory Asset Base'!L64</f>
        <v>7641459933.245224</v>
      </c>
      <c r="I47" s="173">
        <f>'Regulatory Asset Base'!M64</f>
        <v>7950396810.7718754</v>
      </c>
      <c r="J47" s="173">
        <f>'Regulatory Asset Base'!N64</f>
        <v>8278550069.8435688</v>
      </c>
      <c r="K47" s="173">
        <f>'Regulatory Asset Base'!O64</f>
        <v>8744471780.0719376</v>
      </c>
      <c r="L47" s="173">
        <f>'Regulatory Asset Base'!P64</f>
        <v>9456327955.9178867</v>
      </c>
      <c r="M47" s="173">
        <f>'Regulatory Asset Base'!Q64</f>
        <v>10162024825.698454</v>
      </c>
      <c r="N47" s="173">
        <f>'Regulatory Asset Base'!R64</f>
        <v>10121611413.997538</v>
      </c>
      <c r="O47" s="173">
        <f>'Regulatory Asset Base'!S64</f>
        <v>10200161384.346354</v>
      </c>
    </row>
    <row r="49" spans="2:16">
      <c r="B49" t="s">
        <v>28</v>
      </c>
      <c r="D49" s="182">
        <f t="shared" ref="D49:O49" si="14">D40/D46</f>
        <v>1.1137227227359241</v>
      </c>
      <c r="E49" s="182">
        <f t="shared" si="14"/>
        <v>1.2346627083790866</v>
      </c>
      <c r="F49" s="182">
        <f t="shared" si="14"/>
        <v>1.2606305592629103</v>
      </c>
      <c r="G49" s="182">
        <f t="shared" si="14"/>
        <v>1.2564434602245391</v>
      </c>
      <c r="H49" s="182">
        <f t="shared" si="14"/>
        <v>1.2830535002048202</v>
      </c>
      <c r="I49" s="182">
        <f t="shared" si="14"/>
        <v>1.256581147310033</v>
      </c>
      <c r="J49" s="182">
        <f t="shared" si="14"/>
        <v>1.2322463243373236</v>
      </c>
      <c r="K49" s="182">
        <f t="shared" si="14"/>
        <v>1.1988080318963441</v>
      </c>
      <c r="L49" s="182">
        <f t="shared" si="14"/>
        <v>1.2386689307775465</v>
      </c>
      <c r="M49" s="182">
        <f t="shared" si="14"/>
        <v>1.2510788146066445</v>
      </c>
      <c r="N49" s="182">
        <f t="shared" si="14"/>
        <v>1.4273419954902109</v>
      </c>
      <c r="O49" s="182">
        <f t="shared" si="14"/>
        <v>1.6884294146303314</v>
      </c>
    </row>
    <row r="50" spans="2:16">
      <c r="B50" t="s">
        <v>30</v>
      </c>
      <c r="D50" s="182">
        <f t="shared" ref="D50:O50" si="15">D41/D46</f>
        <v>1.2661018131425992</v>
      </c>
      <c r="E50" s="182">
        <f t="shared" si="15"/>
        <v>1.348759531495793</v>
      </c>
      <c r="F50" s="182">
        <f t="shared" si="15"/>
        <v>1.39636764834507</v>
      </c>
      <c r="G50" s="182">
        <f t="shared" si="15"/>
        <v>1.397085109923055</v>
      </c>
      <c r="H50" s="182">
        <f t="shared" si="15"/>
        <v>1.4156590505645754</v>
      </c>
      <c r="I50" s="182">
        <f t="shared" si="15"/>
        <v>1.3758959466310878</v>
      </c>
      <c r="J50" s="182">
        <f t="shared" si="15"/>
        <v>1.3739296705293038</v>
      </c>
      <c r="K50" s="182">
        <f t="shared" si="15"/>
        <v>1.3293444132134724</v>
      </c>
      <c r="L50" s="182">
        <f t="shared" si="15"/>
        <v>1.3470349648632631</v>
      </c>
      <c r="M50" s="182">
        <f t="shared" si="15"/>
        <v>1.3503799013792159</v>
      </c>
      <c r="N50" s="182">
        <f t="shared" si="15"/>
        <v>1.528304638091744</v>
      </c>
      <c r="O50" s="182">
        <f t="shared" si="15"/>
        <v>1.7867340610612432</v>
      </c>
    </row>
    <row r="52" spans="2:16">
      <c r="B52" t="s">
        <v>34</v>
      </c>
      <c r="D52" s="182">
        <f t="shared" ref="D52:O52" si="16">D40/D47</f>
        <v>1.1137227227359241</v>
      </c>
      <c r="E52" s="182">
        <f t="shared" si="16"/>
        <v>1.2346627083790866</v>
      </c>
      <c r="F52" s="182">
        <f t="shared" si="16"/>
        <v>1.2606305592629103</v>
      </c>
      <c r="G52" s="182">
        <f t="shared" si="16"/>
        <v>1.2564434602245391</v>
      </c>
      <c r="H52" s="182">
        <f t="shared" si="16"/>
        <v>1.2830535002048202</v>
      </c>
      <c r="I52" s="182">
        <f t="shared" si="16"/>
        <v>1.256581147310033</v>
      </c>
      <c r="J52" s="182">
        <f t="shared" si="16"/>
        <v>1.2228619352777133</v>
      </c>
      <c r="K52" s="182">
        <f t="shared" si="16"/>
        <v>1.1833468554181132</v>
      </c>
      <c r="L52" s="182">
        <f t="shared" si="16"/>
        <v>1.1941929549673092</v>
      </c>
      <c r="M52" s="182">
        <f t="shared" si="16"/>
        <v>1.1678263424077522</v>
      </c>
      <c r="N52" s="182">
        <f t="shared" si="16"/>
        <v>1.3551237127109261</v>
      </c>
      <c r="O52" s="182">
        <f t="shared" si="16"/>
        <v>1.6336653252115343</v>
      </c>
    </row>
    <row r="53" spans="2:16">
      <c r="B53" t="s">
        <v>35</v>
      </c>
      <c r="D53" s="182">
        <f t="shared" ref="D53:O53" si="17">D41/D47</f>
        <v>1.2661018131425992</v>
      </c>
      <c r="E53" s="182">
        <f t="shared" si="17"/>
        <v>1.348759531495793</v>
      </c>
      <c r="F53" s="182">
        <f t="shared" si="17"/>
        <v>1.39636764834507</v>
      </c>
      <c r="G53" s="182">
        <f t="shared" si="17"/>
        <v>1.397085109923055</v>
      </c>
      <c r="H53" s="182">
        <f t="shared" si="17"/>
        <v>1.4156590505645754</v>
      </c>
      <c r="I53" s="182">
        <f t="shared" si="17"/>
        <v>1.3758959466310878</v>
      </c>
      <c r="J53" s="182">
        <f t="shared" si="17"/>
        <v>1.3634662669758599</v>
      </c>
      <c r="K53" s="182">
        <f t="shared" si="17"/>
        <v>1.3121996927693398</v>
      </c>
      <c r="L53" s="182">
        <f t="shared" si="17"/>
        <v>1.2986679694343917</v>
      </c>
      <c r="M53" s="182">
        <f t="shared" si="17"/>
        <v>1.2605194834063778</v>
      </c>
      <c r="N53" s="182">
        <f t="shared" si="17"/>
        <v>1.4509780149871701</v>
      </c>
      <c r="O53" s="182">
        <f t="shared" si="17"/>
        <v>1.7287814673432573</v>
      </c>
    </row>
    <row r="55" spans="2:16">
      <c r="B55" t="s">
        <v>2110</v>
      </c>
      <c r="D55" s="182">
        <f>AVERAGE(D49,D50)</f>
        <v>1.1899122679392615</v>
      </c>
      <c r="E55" s="182">
        <f t="shared" ref="E55:O55" si="18">AVERAGE(E49,E50)</f>
        <v>1.2917111199374398</v>
      </c>
      <c r="F55" s="182">
        <f t="shared" si="18"/>
        <v>1.3284991038039902</v>
      </c>
      <c r="G55" s="182">
        <f t="shared" si="18"/>
        <v>1.3267642850737971</v>
      </c>
      <c r="H55" s="182">
        <f t="shared" si="18"/>
        <v>1.3493562753846979</v>
      </c>
      <c r="I55" s="182">
        <f t="shared" si="18"/>
        <v>1.3162385469705604</v>
      </c>
      <c r="J55" s="182">
        <f t="shared" si="18"/>
        <v>1.3030879974333138</v>
      </c>
      <c r="K55" s="182">
        <f t="shared" si="18"/>
        <v>1.2640762225549083</v>
      </c>
      <c r="L55" s="182">
        <f t="shared" si="18"/>
        <v>1.2928519478204048</v>
      </c>
      <c r="M55" s="182">
        <f t="shared" si="18"/>
        <v>1.3007293579929302</v>
      </c>
      <c r="N55" s="182">
        <f t="shared" si="18"/>
        <v>1.4778233167909773</v>
      </c>
      <c r="O55" s="182">
        <f t="shared" si="18"/>
        <v>1.7375817378457872</v>
      </c>
      <c r="P55" s="30"/>
    </row>
    <row r="56" spans="2:16">
      <c r="B56" t="s">
        <v>2111</v>
      </c>
      <c r="D56" s="182"/>
      <c r="E56" s="182"/>
      <c r="F56" s="182"/>
      <c r="G56" s="182"/>
      <c r="H56" s="182"/>
      <c r="I56" s="182">
        <f t="shared" ref="I56:O56" si="19">AVERAGE(I52,I53)</f>
        <v>1.3162385469705604</v>
      </c>
      <c r="J56" s="182">
        <f t="shared" si="19"/>
        <v>1.2931641011267865</v>
      </c>
      <c r="K56" s="182">
        <f t="shared" si="19"/>
        <v>1.2477732740937264</v>
      </c>
      <c r="L56" s="182">
        <f t="shared" si="19"/>
        <v>1.2464304622008504</v>
      </c>
      <c r="M56" s="182">
        <f t="shared" si="19"/>
        <v>1.2141729129070651</v>
      </c>
      <c r="N56" s="182">
        <f t="shared" si="19"/>
        <v>1.4030508638490482</v>
      </c>
      <c r="O56" s="182">
        <f t="shared" si="19"/>
        <v>1.6812233962773959</v>
      </c>
    </row>
    <row r="57" spans="2:16">
      <c r="D57" s="64"/>
      <c r="E57" s="64"/>
      <c r="F57" s="64"/>
      <c r="G57" s="64"/>
      <c r="H57" s="64"/>
      <c r="I57" s="64"/>
      <c r="J57" s="64"/>
      <c r="K57" s="64"/>
      <c r="L57" s="64"/>
      <c r="M57" s="64"/>
      <c r="N57" s="64"/>
      <c r="O57" s="30"/>
    </row>
    <row r="58" spans="2:16">
      <c r="B58" t="s">
        <v>2099</v>
      </c>
      <c r="O58" s="182">
        <f>O43/O46</f>
        <v>1.410309945700329</v>
      </c>
    </row>
    <row r="59" spans="2:16">
      <c r="B59" t="s">
        <v>2112</v>
      </c>
      <c r="O59" s="182">
        <f>O44/O46</f>
        <v>1.501511772388088</v>
      </c>
    </row>
    <row r="61" spans="2:16">
      <c r="B61" t="s">
        <v>2100</v>
      </c>
      <c r="O61" s="182">
        <f>O43/O47</f>
        <v>1.3645666417130187</v>
      </c>
    </row>
    <row r="62" spans="2:16">
      <c r="B62" t="s">
        <v>2113</v>
      </c>
      <c r="O62" s="182">
        <f>O44/O47</f>
        <v>1.4528103435608479</v>
      </c>
    </row>
    <row r="64" spans="2:16">
      <c r="B64" t="s">
        <v>2101</v>
      </c>
      <c r="D64" s="64"/>
      <c r="E64" s="64"/>
      <c r="F64" s="64"/>
      <c r="G64" s="64"/>
      <c r="H64" s="64"/>
      <c r="I64" s="64"/>
      <c r="J64" s="64"/>
      <c r="K64" s="64"/>
      <c r="L64" s="64"/>
      <c r="M64" s="64"/>
      <c r="N64" s="30"/>
      <c r="O64" s="182">
        <f>(O58+O59)/2</f>
        <v>1.4559108590442085</v>
      </c>
    </row>
    <row r="65" spans="2:15">
      <c r="B65" t="s">
        <v>2102</v>
      </c>
      <c r="D65" s="64"/>
      <c r="E65" s="64"/>
      <c r="F65" s="64"/>
      <c r="G65" s="64"/>
      <c r="H65" s="64"/>
      <c r="I65" s="64"/>
      <c r="J65" s="64"/>
      <c r="K65" s="64"/>
      <c r="L65" s="64"/>
      <c r="M65" s="64"/>
      <c r="N65" s="64"/>
      <c r="O65" s="182">
        <f>(O61+O62)/2</f>
        <v>1.4086884926369332</v>
      </c>
    </row>
    <row r="66" spans="2:15">
      <c r="D66" s="30"/>
      <c r="E66" s="30"/>
      <c r="F66" s="30"/>
      <c r="G66" s="30"/>
      <c r="H66" s="30"/>
      <c r="I66" s="30"/>
      <c r="J66" s="30"/>
      <c r="K66" s="30"/>
      <c r="L66" s="30"/>
      <c r="M66" s="30"/>
      <c r="N66" s="30"/>
      <c r="O66" s="30"/>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027DE-650C-4BEE-A852-6487238D5855}">
  <sheetPr>
    <tabColor theme="0" tint="-0.249977111117893"/>
  </sheetPr>
  <dimension ref="A1:D21"/>
  <sheetViews>
    <sheetView workbookViewId="0">
      <selection activeCell="M26" sqref="M26"/>
    </sheetView>
  </sheetViews>
  <sheetFormatPr defaultRowHeight="14.25"/>
  <cols>
    <col min="1" max="1" width="11.58203125" customWidth="1"/>
    <col min="2" max="2" width="10.08203125" bestFit="1" customWidth="1"/>
  </cols>
  <sheetData>
    <row r="1" spans="1:4" ht="14.75">
      <c r="A1" t="s">
        <v>2122</v>
      </c>
      <c r="C1" s="92" t="s">
        <v>273</v>
      </c>
      <c r="D1" s="92" t="s">
        <v>274</v>
      </c>
    </row>
    <row r="2" spans="1:4">
      <c r="B2" t="s">
        <v>475</v>
      </c>
      <c r="C2" t="s">
        <v>477</v>
      </c>
      <c r="D2" t="s">
        <v>477</v>
      </c>
    </row>
    <row r="3" spans="1:4">
      <c r="A3" s="130"/>
      <c r="B3" s="27">
        <v>44651</v>
      </c>
      <c r="C3">
        <v>91.423000000000002</v>
      </c>
      <c r="D3">
        <v>83.880499999999998</v>
      </c>
    </row>
    <row r="4" spans="1:4">
      <c r="A4" s="130"/>
      <c r="B4" s="27">
        <v>44620</v>
      </c>
      <c r="C4">
        <v>92.835999999999999</v>
      </c>
      <c r="D4">
        <v>88.364000000000004</v>
      </c>
    </row>
    <row r="5" spans="1:4">
      <c r="A5" s="130"/>
      <c r="B5" s="27">
        <v>44592</v>
      </c>
      <c r="C5">
        <v>95.171999999999997</v>
      </c>
      <c r="D5">
        <v>91.53</v>
      </c>
    </row>
    <row r="6" spans="1:4">
      <c r="A6" s="130"/>
      <c r="B6" s="27">
        <v>44561</v>
      </c>
      <c r="C6">
        <v>96.894999999999996</v>
      </c>
      <c r="D6">
        <v>92.816999999999993</v>
      </c>
    </row>
    <row r="7" spans="1:4">
      <c r="A7" s="130"/>
      <c r="B7" s="27">
        <v>44530</v>
      </c>
      <c r="C7">
        <v>96.478999999999999</v>
      </c>
      <c r="D7">
        <v>92.85</v>
      </c>
    </row>
    <row r="8" spans="1:4">
      <c r="A8" s="130"/>
      <c r="B8" s="27">
        <v>44500</v>
      </c>
      <c r="C8">
        <v>96.268000000000001</v>
      </c>
      <c r="D8">
        <v>91.548500000000004</v>
      </c>
    </row>
    <row r="9" spans="1:4">
      <c r="A9" s="130"/>
      <c r="B9" s="27">
        <v>44469</v>
      </c>
      <c r="C9">
        <v>100.36799999999999</v>
      </c>
      <c r="D9">
        <v>96.06</v>
      </c>
    </row>
    <row r="10" spans="1:4">
      <c r="A10" s="130"/>
      <c r="B10" s="27">
        <v>44439</v>
      </c>
      <c r="C10">
        <v>102.265</v>
      </c>
      <c r="D10">
        <v>98.623000000000005</v>
      </c>
    </row>
    <row r="11" spans="1:4">
      <c r="A11" s="130"/>
      <c r="B11" s="27">
        <v>44408</v>
      </c>
      <c r="C11">
        <v>102.461</v>
      </c>
      <c r="D11">
        <v>98.958500000000001</v>
      </c>
    </row>
    <row r="12" spans="1:4">
      <c r="A12" s="130"/>
      <c r="B12" s="27">
        <v>44377</v>
      </c>
      <c r="C12">
        <v>100.89100000000001</v>
      </c>
      <c r="D12">
        <v>96.966999999999999</v>
      </c>
    </row>
    <row r="13" spans="1:4">
      <c r="A13" s="130"/>
      <c r="B13" s="27">
        <v>44347</v>
      </c>
      <c r="C13">
        <v>100.18</v>
      </c>
      <c r="D13">
        <v>95.86</v>
      </c>
    </row>
    <row r="14" spans="1:4">
      <c r="A14" s="130"/>
      <c r="B14" s="27">
        <v>44316</v>
      </c>
      <c r="C14">
        <v>99.872</v>
      </c>
      <c r="D14">
        <v>95.731999999999999</v>
      </c>
    </row>
    <row r="15" spans="1:4">
      <c r="B15" s="27">
        <v>44165</v>
      </c>
      <c r="D15">
        <v>95.509</v>
      </c>
    </row>
    <row r="16" spans="1:4">
      <c r="B16" s="27">
        <v>44135</v>
      </c>
      <c r="D16">
        <v>97.216499999999996</v>
      </c>
    </row>
    <row r="17" spans="2:4">
      <c r="B17" s="27">
        <v>44104</v>
      </c>
      <c r="D17">
        <v>102.4915</v>
      </c>
    </row>
    <row r="18" spans="2:4">
      <c r="B18" s="27">
        <v>44196</v>
      </c>
      <c r="D18">
        <v>103.27500000000001</v>
      </c>
    </row>
    <row r="19" spans="2:4">
      <c r="B19" s="27">
        <v>44165</v>
      </c>
      <c r="D19">
        <v>103.371</v>
      </c>
    </row>
    <row r="20" spans="2:4">
      <c r="B20" s="27">
        <v>44135</v>
      </c>
      <c r="D20">
        <v>101.339</v>
      </c>
    </row>
    <row r="21" spans="2:4">
      <c r="B21" s="27">
        <v>44104</v>
      </c>
      <c r="D21">
        <v>100.432</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5E2223-3E41-464E-9A85-003EE07217D6}">
  <sheetPr>
    <tabColor theme="0" tint="-0.249977111117893"/>
  </sheetPr>
  <dimension ref="A1:AD105"/>
  <sheetViews>
    <sheetView workbookViewId="0">
      <selection activeCell="F45" sqref="F45"/>
    </sheetView>
  </sheetViews>
  <sheetFormatPr defaultRowHeight="14.25"/>
  <cols>
    <col min="1" max="1" width="12.58203125" customWidth="1"/>
    <col min="2" max="2" width="19.25" customWidth="1"/>
    <col min="3" max="3" width="23.33203125" customWidth="1"/>
    <col min="4" max="4" width="19.5" bestFit="1" customWidth="1"/>
    <col min="5" max="5" width="10.08203125" customWidth="1"/>
    <col min="6" max="6" width="12.33203125" customWidth="1"/>
    <col min="7" max="7" width="9.83203125" bestFit="1" customWidth="1"/>
    <col min="8" max="8" width="24.58203125" customWidth="1"/>
    <col min="10" max="10" width="23.08203125" customWidth="1"/>
    <col min="11" max="11" width="12.08203125" customWidth="1"/>
    <col min="13" max="13" width="11.83203125" customWidth="1"/>
  </cols>
  <sheetData>
    <row r="1" spans="1:30" ht="14.75">
      <c r="A1" s="208" t="s">
        <v>1281</v>
      </c>
      <c r="B1" s="208"/>
      <c r="C1" s="208"/>
      <c r="D1" s="208"/>
      <c r="E1" s="208"/>
      <c r="F1" s="208"/>
      <c r="G1" s="208"/>
      <c r="H1" s="208"/>
      <c r="I1" s="208"/>
      <c r="J1" s="208"/>
      <c r="K1" s="208"/>
      <c r="L1" s="208"/>
      <c r="M1" s="208"/>
      <c r="N1" s="208"/>
      <c r="O1" s="208"/>
      <c r="P1" s="208"/>
      <c r="Q1" s="208"/>
      <c r="R1" s="208"/>
      <c r="S1" s="208"/>
      <c r="T1" s="208"/>
      <c r="U1" s="208"/>
      <c r="V1" s="208"/>
      <c r="W1" s="208"/>
      <c r="X1" s="208"/>
      <c r="Y1" s="208"/>
      <c r="Z1" s="208"/>
      <c r="AA1" s="208"/>
      <c r="AB1" s="208"/>
      <c r="AC1" s="208"/>
      <c r="AD1" s="208"/>
    </row>
    <row r="3" spans="1:30">
      <c r="A3" t="s">
        <v>386</v>
      </c>
    </row>
    <row r="4" spans="1:30">
      <c r="A4" t="s">
        <v>387</v>
      </c>
    </row>
    <row r="6" spans="1:30" ht="15.5" thickBot="1">
      <c r="A6" s="209" t="s">
        <v>388</v>
      </c>
      <c r="B6" s="209"/>
    </row>
    <row r="7" spans="1:30" ht="15" thickTop="1">
      <c r="A7" t="s">
        <v>388</v>
      </c>
      <c r="B7" t="s">
        <v>1282</v>
      </c>
    </row>
    <row r="8" spans="1:30">
      <c r="A8" t="s">
        <v>390</v>
      </c>
      <c r="B8" t="s">
        <v>1283</v>
      </c>
    </row>
    <row r="9" spans="1:30">
      <c r="A9" t="s">
        <v>392</v>
      </c>
      <c r="B9" t="s">
        <v>1284</v>
      </c>
    </row>
    <row r="11" spans="1:30" ht="15.5" thickBot="1">
      <c r="A11" s="209" t="s">
        <v>386</v>
      </c>
      <c r="B11" s="209"/>
      <c r="C11" s="209"/>
      <c r="D11" s="209"/>
    </row>
    <row r="12" spans="1:30" ht="15.5" thickTop="1">
      <c r="A12" s="105" t="s">
        <v>394</v>
      </c>
      <c r="B12" s="106" t="s">
        <v>395</v>
      </c>
      <c r="C12" s="106" t="s">
        <v>396</v>
      </c>
      <c r="D12" s="106" t="s">
        <v>397</v>
      </c>
    </row>
    <row r="13" spans="1:30">
      <c r="A13" t="s">
        <v>398</v>
      </c>
      <c r="B13" s="107">
        <v>3</v>
      </c>
      <c r="C13" s="107">
        <v>650000000</v>
      </c>
      <c r="D13" s="107">
        <v>650000000</v>
      </c>
    </row>
    <row r="14" spans="1:30">
      <c r="A14" t="s">
        <v>399</v>
      </c>
      <c r="B14" s="107">
        <v>0</v>
      </c>
      <c r="C14" s="107">
        <v>0</v>
      </c>
      <c r="D14" s="107">
        <v>0</v>
      </c>
    </row>
    <row r="15" spans="1:30">
      <c r="A15" t="s">
        <v>400</v>
      </c>
      <c r="B15" s="107">
        <v>0</v>
      </c>
      <c r="C15" s="107">
        <v>0</v>
      </c>
      <c r="D15" s="107">
        <v>0</v>
      </c>
    </row>
    <row r="16" spans="1:30">
      <c r="A16" t="s">
        <v>401</v>
      </c>
      <c r="B16" s="107">
        <v>0</v>
      </c>
      <c r="C16" s="107">
        <v>0</v>
      </c>
      <c r="D16" s="107">
        <v>0</v>
      </c>
    </row>
    <row r="17" spans="1:30">
      <c r="A17" t="s">
        <v>272</v>
      </c>
      <c r="B17" s="107">
        <v>2</v>
      </c>
      <c r="C17" s="107" t="str">
        <f>"0"</f>
        <v>0</v>
      </c>
      <c r="D17" s="107">
        <v>550000000</v>
      </c>
    </row>
    <row r="18" spans="1:30" ht="15" thickBot="1">
      <c r="A18" s="108" t="s">
        <v>89</v>
      </c>
      <c r="B18" s="109">
        <v>5</v>
      </c>
      <c r="C18" s="109">
        <v>650000000</v>
      </c>
      <c r="D18" s="109">
        <v>1200000000</v>
      </c>
    </row>
    <row r="19" spans="1:30" ht="15" thickTop="1">
      <c r="A19" t="s">
        <v>402</v>
      </c>
      <c r="B19" s="107">
        <v>13</v>
      </c>
      <c r="C19" s="107" t="str">
        <f>"0"</f>
        <v>0</v>
      </c>
      <c r="D19" s="107">
        <v>3707573921.4890299</v>
      </c>
    </row>
    <row r="21" spans="1:30" ht="14.75">
      <c r="A21" s="210" t="s">
        <v>398</v>
      </c>
      <c r="B21" s="210"/>
      <c r="C21" s="210"/>
      <c r="D21" s="210"/>
      <c r="E21" s="210"/>
      <c r="F21" s="210"/>
      <c r="G21" s="210"/>
      <c r="H21" s="210"/>
      <c r="I21" s="210"/>
      <c r="J21" s="210"/>
      <c r="K21" s="210"/>
      <c r="L21" s="210"/>
      <c r="M21" s="210"/>
      <c r="N21" s="210"/>
      <c r="O21" s="210"/>
      <c r="P21" s="210"/>
      <c r="Q21" s="210"/>
      <c r="R21" s="210"/>
      <c r="S21" s="210"/>
      <c r="T21" s="210"/>
      <c r="U21" s="210"/>
      <c r="V21" s="210"/>
      <c r="W21" s="210"/>
      <c r="X21" s="210"/>
      <c r="Y21" s="210"/>
      <c r="Z21" s="210"/>
      <c r="AA21" s="210"/>
      <c r="AB21" s="210"/>
      <c r="AC21" s="210"/>
      <c r="AD21" s="210"/>
    </row>
    <row r="22" spans="1:30" ht="14.75">
      <c r="A22" s="93" t="s">
        <v>403</v>
      </c>
      <c r="B22" s="93" t="s">
        <v>404</v>
      </c>
      <c r="C22" s="93" t="s">
        <v>405</v>
      </c>
      <c r="D22" s="94" t="s">
        <v>1151</v>
      </c>
      <c r="E22" s="94" t="s">
        <v>406</v>
      </c>
      <c r="F22" s="94" t="s">
        <v>1128</v>
      </c>
      <c r="G22" s="93" t="s">
        <v>407</v>
      </c>
      <c r="H22" s="93" t="s">
        <v>408</v>
      </c>
      <c r="I22" s="93" t="s">
        <v>409</v>
      </c>
      <c r="J22" s="93" t="s">
        <v>410</v>
      </c>
      <c r="K22" s="93" t="s">
        <v>411</v>
      </c>
      <c r="L22" s="93" t="s">
        <v>412</v>
      </c>
      <c r="M22" s="93" t="s">
        <v>413</v>
      </c>
      <c r="N22" s="93" t="s">
        <v>414</v>
      </c>
      <c r="O22" s="93" t="s">
        <v>415</v>
      </c>
      <c r="P22" s="93" t="s">
        <v>416</v>
      </c>
      <c r="Q22" s="93" t="s">
        <v>417</v>
      </c>
      <c r="R22" s="94" t="s">
        <v>418</v>
      </c>
      <c r="S22" s="94" t="s">
        <v>419</v>
      </c>
      <c r="T22" s="94" t="s">
        <v>1152</v>
      </c>
      <c r="U22" s="94" t="s">
        <v>1153</v>
      </c>
      <c r="V22" s="93" t="s">
        <v>1154</v>
      </c>
      <c r="W22" s="93" t="s">
        <v>1155</v>
      </c>
      <c r="X22" s="93" t="s">
        <v>1156</v>
      </c>
      <c r="Y22" s="94" t="s">
        <v>1157</v>
      </c>
      <c r="Z22" s="93" t="s">
        <v>420</v>
      </c>
      <c r="AA22" s="93" t="s">
        <v>421</v>
      </c>
      <c r="AB22" s="93" t="s">
        <v>1158</v>
      </c>
      <c r="AC22" s="93" t="s">
        <v>422</v>
      </c>
      <c r="AD22" s="93" t="s">
        <v>423</v>
      </c>
    </row>
    <row r="23" spans="1:30" ht="14.75">
      <c r="A23" s="92" t="s">
        <v>1285</v>
      </c>
      <c r="B23" s="92" t="s">
        <v>429</v>
      </c>
      <c r="C23" s="95">
        <v>44802</v>
      </c>
      <c r="D23" s="96">
        <v>175000000</v>
      </c>
      <c r="E23" s="96">
        <v>175000000</v>
      </c>
      <c r="F23" s="97">
        <v>1.0998000000000001</v>
      </c>
      <c r="G23" s="92" t="s">
        <v>448</v>
      </c>
      <c r="H23" s="92" t="s">
        <v>431</v>
      </c>
      <c r="I23" s="92" t="s">
        <v>432</v>
      </c>
      <c r="J23" s="92" t="s">
        <v>278</v>
      </c>
      <c r="K23" s="92" t="s">
        <v>1286</v>
      </c>
      <c r="L23" s="92" t="s">
        <v>429</v>
      </c>
      <c r="M23" s="95">
        <v>42976</v>
      </c>
      <c r="N23" s="92" t="s">
        <v>434</v>
      </c>
      <c r="O23" s="92" t="s">
        <v>434</v>
      </c>
      <c r="P23" s="92" t="s">
        <v>435</v>
      </c>
      <c r="Q23" s="92" t="s">
        <v>436</v>
      </c>
      <c r="R23" s="98">
        <v>0.22777800000000001</v>
      </c>
      <c r="S23" s="98">
        <v>0</v>
      </c>
      <c r="T23" s="98">
        <v>0</v>
      </c>
      <c r="U23" s="98">
        <v>0.50430799999999998</v>
      </c>
      <c r="V23" s="92" t="s">
        <v>1161</v>
      </c>
      <c r="W23" s="92" t="s">
        <v>1223</v>
      </c>
      <c r="X23" s="95">
        <v>44712</v>
      </c>
      <c r="Y23" s="98">
        <v>100.13846100000001</v>
      </c>
      <c r="Z23" s="92" t="s">
        <v>137</v>
      </c>
      <c r="AA23" s="92" t="s">
        <v>429</v>
      </c>
      <c r="AB23" s="92" t="s">
        <v>436</v>
      </c>
      <c r="AC23" s="92" t="s">
        <v>470</v>
      </c>
      <c r="AD23" s="92" t="s">
        <v>437</v>
      </c>
    </row>
    <row r="24" spans="1:30" ht="14.75">
      <c r="A24" s="92" t="s">
        <v>1287</v>
      </c>
      <c r="B24" s="92" t="s">
        <v>429</v>
      </c>
      <c r="C24" s="95">
        <v>45273</v>
      </c>
      <c r="D24" s="96">
        <v>100000000</v>
      </c>
      <c r="E24" s="96">
        <v>100000000</v>
      </c>
      <c r="F24" s="97">
        <v>1.1014999999999999</v>
      </c>
      <c r="G24" s="92" t="s">
        <v>448</v>
      </c>
      <c r="H24" s="92" t="s">
        <v>431</v>
      </c>
      <c r="I24" s="92" t="s">
        <v>432</v>
      </c>
      <c r="J24" s="92" t="s">
        <v>279</v>
      </c>
      <c r="K24" s="92" t="s">
        <v>1288</v>
      </c>
      <c r="L24" s="92" t="s">
        <v>429</v>
      </c>
      <c r="M24" s="95">
        <v>43082</v>
      </c>
      <c r="N24" s="92" t="s">
        <v>434</v>
      </c>
      <c r="O24" s="92" t="s">
        <v>434</v>
      </c>
      <c r="P24" s="92" t="s">
        <v>435</v>
      </c>
      <c r="Q24" s="92" t="s">
        <v>436</v>
      </c>
      <c r="R24" s="98">
        <v>0.26666699999999999</v>
      </c>
      <c r="S24" s="98">
        <v>0</v>
      </c>
      <c r="T24" s="98">
        <v>0</v>
      </c>
      <c r="U24" s="98">
        <v>0.66963799999999996</v>
      </c>
      <c r="V24" s="92" t="s">
        <v>1161</v>
      </c>
      <c r="W24" s="92" t="s">
        <v>1162</v>
      </c>
      <c r="X24" s="95">
        <v>45273</v>
      </c>
      <c r="Y24" s="98">
        <v>100.85899999999999</v>
      </c>
      <c r="Z24" s="92" t="s">
        <v>137</v>
      </c>
      <c r="AA24" s="92" t="s">
        <v>429</v>
      </c>
      <c r="AB24" s="92" t="s">
        <v>436</v>
      </c>
      <c r="AC24" s="92" t="s">
        <v>470</v>
      </c>
      <c r="AD24" s="92" t="s">
        <v>437</v>
      </c>
    </row>
    <row r="25" spans="1:30" ht="14.75">
      <c r="A25" s="92" t="s">
        <v>1289</v>
      </c>
      <c r="B25" s="92" t="s">
        <v>429</v>
      </c>
      <c r="C25" s="95">
        <v>45533</v>
      </c>
      <c r="D25" s="96">
        <v>375000000</v>
      </c>
      <c r="E25" s="96">
        <v>375000000</v>
      </c>
      <c r="F25" s="97">
        <v>3.5</v>
      </c>
      <c r="G25" s="92" t="s">
        <v>430</v>
      </c>
      <c r="H25" s="92" t="s">
        <v>431</v>
      </c>
      <c r="I25" s="92" t="s">
        <v>432</v>
      </c>
      <c r="J25" s="92" t="s">
        <v>280</v>
      </c>
      <c r="K25" s="92" t="s">
        <v>1290</v>
      </c>
      <c r="L25" s="92" t="s">
        <v>429</v>
      </c>
      <c r="M25" s="95">
        <v>42976</v>
      </c>
      <c r="N25" s="92" t="s">
        <v>434</v>
      </c>
      <c r="O25" s="92" t="s">
        <v>434</v>
      </c>
      <c r="P25" s="92" t="s">
        <v>435</v>
      </c>
      <c r="Q25" s="92" t="s">
        <v>436</v>
      </c>
      <c r="R25" s="98">
        <v>2.3652090000000001</v>
      </c>
      <c r="S25" s="98">
        <v>2.1583209999999999</v>
      </c>
      <c r="T25" s="98">
        <v>89.465512000000004</v>
      </c>
      <c r="U25" s="98">
        <v>2.1219229999999998</v>
      </c>
      <c r="V25" s="92" t="s">
        <v>1161</v>
      </c>
      <c r="W25" s="92" t="s">
        <v>1223</v>
      </c>
      <c r="X25" s="95">
        <v>45443</v>
      </c>
      <c r="Y25" s="98">
        <v>102.988843</v>
      </c>
      <c r="Z25" s="92" t="s">
        <v>137</v>
      </c>
      <c r="AA25" s="92" t="s">
        <v>429</v>
      </c>
      <c r="AB25" s="92" t="s">
        <v>436</v>
      </c>
      <c r="AC25" s="92" t="s">
        <v>470</v>
      </c>
      <c r="AD25" s="92" t="s">
        <v>437</v>
      </c>
    </row>
    <row r="27" spans="1:30" ht="14.75">
      <c r="A27" s="208" t="s">
        <v>402</v>
      </c>
      <c r="B27" s="208"/>
      <c r="C27" s="208"/>
      <c r="D27" s="208"/>
      <c r="E27" s="208"/>
      <c r="F27" s="208"/>
      <c r="G27" s="208"/>
      <c r="H27" s="208"/>
      <c r="I27" s="208"/>
      <c r="J27" s="208"/>
      <c r="K27" s="208"/>
      <c r="L27" s="208"/>
      <c r="M27" s="208"/>
      <c r="N27" s="208"/>
      <c r="O27" s="208"/>
      <c r="P27" s="208"/>
      <c r="Q27" s="208"/>
      <c r="R27" s="208"/>
      <c r="S27" s="208"/>
      <c r="T27" s="208"/>
      <c r="U27" s="208"/>
      <c r="V27" s="208"/>
      <c r="W27" s="208"/>
      <c r="X27" s="208"/>
      <c r="Y27" s="208"/>
      <c r="Z27" s="208"/>
      <c r="AA27" s="208"/>
      <c r="AB27" s="208"/>
      <c r="AC27" s="208"/>
      <c r="AD27" s="208"/>
    </row>
    <row r="28" spans="1:30" ht="14.75">
      <c r="A28" s="110" t="s">
        <v>403</v>
      </c>
      <c r="B28" s="110" t="s">
        <v>404</v>
      </c>
      <c r="C28" s="110" t="s">
        <v>405</v>
      </c>
      <c r="D28" s="111" t="s">
        <v>406</v>
      </c>
      <c r="E28" s="110" t="s">
        <v>407</v>
      </c>
      <c r="F28" s="110" t="s">
        <v>408</v>
      </c>
      <c r="G28" s="110" t="s">
        <v>409</v>
      </c>
      <c r="H28" s="110" t="s">
        <v>410</v>
      </c>
      <c r="I28" s="110" t="s">
        <v>411</v>
      </c>
      <c r="J28" s="110" t="s">
        <v>412</v>
      </c>
      <c r="K28" s="110" t="s">
        <v>413</v>
      </c>
      <c r="L28" s="110" t="s">
        <v>414</v>
      </c>
      <c r="M28" s="110" t="s">
        <v>415</v>
      </c>
      <c r="N28" s="110" t="s">
        <v>416</v>
      </c>
      <c r="O28" s="110" t="s">
        <v>417</v>
      </c>
      <c r="P28" s="111" t="s">
        <v>418</v>
      </c>
      <c r="Q28" s="111" t="s">
        <v>419</v>
      </c>
      <c r="R28" s="110" t="s">
        <v>420</v>
      </c>
      <c r="S28" s="110" t="s">
        <v>421</v>
      </c>
      <c r="T28" s="110" t="s">
        <v>422</v>
      </c>
      <c r="U28" s="110" t="s">
        <v>423</v>
      </c>
      <c r="V28" s="110" t="s">
        <v>424</v>
      </c>
      <c r="W28" s="110" t="s">
        <v>425</v>
      </c>
      <c r="X28" s="110" t="s">
        <v>426</v>
      </c>
      <c r="Y28" s="110" t="s">
        <v>226</v>
      </c>
      <c r="Z28" s="110" t="s">
        <v>427</v>
      </c>
    </row>
    <row r="29" spans="1:30">
      <c r="A29" t="s">
        <v>1291</v>
      </c>
      <c r="B29" t="s">
        <v>429</v>
      </c>
      <c r="C29" s="112">
        <v>38548</v>
      </c>
      <c r="D29" s="107">
        <v>275000000</v>
      </c>
      <c r="E29" t="s">
        <v>430</v>
      </c>
      <c r="F29" t="s">
        <v>431</v>
      </c>
      <c r="G29" t="s">
        <v>432</v>
      </c>
      <c r="H29" t="s">
        <v>281</v>
      </c>
      <c r="I29" t="s">
        <v>1292</v>
      </c>
      <c r="J29" t="s">
        <v>429</v>
      </c>
      <c r="K29" s="112">
        <v>36622</v>
      </c>
      <c r="L29" t="s">
        <v>434</v>
      </c>
      <c r="M29" t="s">
        <v>434</v>
      </c>
      <c r="N29" t="s">
        <v>435</v>
      </c>
      <c r="O29" t="s">
        <v>436</v>
      </c>
      <c r="P29" s="113" t="s">
        <v>429</v>
      </c>
      <c r="Q29" s="113" t="s">
        <v>429</v>
      </c>
      <c r="R29" t="s">
        <v>429</v>
      </c>
      <c r="S29" t="s">
        <v>429</v>
      </c>
      <c r="T29" t="s">
        <v>470</v>
      </c>
      <c r="U29" t="s">
        <v>437</v>
      </c>
      <c r="V29" t="s">
        <v>431</v>
      </c>
      <c r="W29" t="s">
        <v>438</v>
      </c>
      <c r="X29" t="s">
        <v>436</v>
      </c>
      <c r="Y29" t="s">
        <v>1282</v>
      </c>
      <c r="Z29" t="s">
        <v>429</v>
      </c>
    </row>
    <row r="30" spans="1:30">
      <c r="A30" t="s">
        <v>1293</v>
      </c>
      <c r="B30" t="s">
        <v>429</v>
      </c>
      <c r="C30" s="112">
        <v>38548</v>
      </c>
      <c r="D30" s="107">
        <v>225000000</v>
      </c>
      <c r="E30" t="s">
        <v>448</v>
      </c>
      <c r="F30" t="s">
        <v>431</v>
      </c>
      <c r="G30" t="s">
        <v>432</v>
      </c>
      <c r="H30" t="s">
        <v>282</v>
      </c>
      <c r="I30" t="s">
        <v>1292</v>
      </c>
      <c r="J30" t="s">
        <v>429</v>
      </c>
      <c r="K30" s="112">
        <v>36631</v>
      </c>
      <c r="L30" t="s">
        <v>434</v>
      </c>
      <c r="M30" t="s">
        <v>434</v>
      </c>
      <c r="N30" t="s">
        <v>435</v>
      </c>
      <c r="O30" t="s">
        <v>436</v>
      </c>
      <c r="P30" s="113" t="s">
        <v>429</v>
      </c>
      <c r="Q30" s="113" t="s">
        <v>429</v>
      </c>
      <c r="R30" t="s">
        <v>429</v>
      </c>
      <c r="S30" t="s">
        <v>429</v>
      </c>
      <c r="T30" t="s">
        <v>470</v>
      </c>
      <c r="U30" t="s">
        <v>437</v>
      </c>
      <c r="V30" t="s">
        <v>431</v>
      </c>
      <c r="W30" t="s">
        <v>438</v>
      </c>
      <c r="X30" t="s">
        <v>436</v>
      </c>
      <c r="Y30" t="s">
        <v>1282</v>
      </c>
      <c r="Z30" t="s">
        <v>429</v>
      </c>
    </row>
    <row r="31" spans="1:30">
      <c r="A31" t="s">
        <v>1294</v>
      </c>
      <c r="B31" t="s">
        <v>429</v>
      </c>
      <c r="C31" s="112">
        <v>38561</v>
      </c>
      <c r="D31" s="107">
        <v>173652619</v>
      </c>
      <c r="E31" t="s">
        <v>430</v>
      </c>
      <c r="F31" t="s">
        <v>463</v>
      </c>
      <c r="G31" t="s">
        <v>1172</v>
      </c>
      <c r="H31" t="s">
        <v>283</v>
      </c>
      <c r="I31" t="s">
        <v>1292</v>
      </c>
      <c r="J31" t="s">
        <v>429</v>
      </c>
      <c r="K31" s="112">
        <v>36644</v>
      </c>
      <c r="L31" t="s">
        <v>434</v>
      </c>
      <c r="M31" t="s">
        <v>458</v>
      </c>
      <c r="N31" t="s">
        <v>435</v>
      </c>
      <c r="O31" t="s">
        <v>436</v>
      </c>
      <c r="P31" s="113" t="s">
        <v>429</v>
      </c>
      <c r="Q31" s="113" t="s">
        <v>429</v>
      </c>
      <c r="R31" t="s">
        <v>429</v>
      </c>
      <c r="S31" t="s">
        <v>429</v>
      </c>
      <c r="T31" t="s">
        <v>470</v>
      </c>
      <c r="U31" t="s">
        <v>437</v>
      </c>
      <c r="V31" t="s">
        <v>431</v>
      </c>
      <c r="W31" t="s">
        <v>438</v>
      </c>
      <c r="X31" t="s">
        <v>436</v>
      </c>
      <c r="Y31" t="s">
        <v>1282</v>
      </c>
      <c r="Z31" t="s">
        <v>429</v>
      </c>
    </row>
    <row r="32" spans="1:30">
      <c r="A32" t="s">
        <v>1295</v>
      </c>
      <c r="B32" t="s">
        <v>429</v>
      </c>
      <c r="C32" s="112">
        <v>38561</v>
      </c>
      <c r="D32" s="107">
        <v>33921303</v>
      </c>
      <c r="E32" t="s">
        <v>448</v>
      </c>
      <c r="F32" t="s">
        <v>463</v>
      </c>
      <c r="G32" t="s">
        <v>442</v>
      </c>
      <c r="H32" t="s">
        <v>284</v>
      </c>
      <c r="I32" t="s">
        <v>1292</v>
      </c>
      <c r="J32" t="s">
        <v>429</v>
      </c>
      <c r="K32" s="112">
        <v>36644</v>
      </c>
      <c r="L32" t="s">
        <v>434</v>
      </c>
      <c r="M32" t="s">
        <v>458</v>
      </c>
      <c r="N32" t="s">
        <v>435</v>
      </c>
      <c r="O32" t="s">
        <v>436</v>
      </c>
      <c r="P32" s="113" t="s">
        <v>429</v>
      </c>
      <c r="Q32" s="113" t="s">
        <v>429</v>
      </c>
      <c r="R32" t="s">
        <v>429</v>
      </c>
      <c r="S32" t="s">
        <v>429</v>
      </c>
      <c r="T32" t="s">
        <v>429</v>
      </c>
      <c r="U32" t="s">
        <v>437</v>
      </c>
      <c r="V32" t="s">
        <v>431</v>
      </c>
      <c r="W32" t="s">
        <v>438</v>
      </c>
      <c r="X32" t="s">
        <v>436</v>
      </c>
      <c r="Y32" t="s">
        <v>1282</v>
      </c>
      <c r="Z32" t="s">
        <v>429</v>
      </c>
    </row>
    <row r="33" spans="1:30">
      <c r="A33" t="s">
        <v>1296</v>
      </c>
      <c r="B33" t="s">
        <v>429</v>
      </c>
      <c r="C33" s="112">
        <v>39184</v>
      </c>
      <c r="D33" s="107">
        <v>350000000</v>
      </c>
      <c r="E33" t="s">
        <v>448</v>
      </c>
      <c r="F33" t="s">
        <v>431</v>
      </c>
      <c r="G33" t="s">
        <v>432</v>
      </c>
      <c r="H33" t="s">
        <v>285</v>
      </c>
      <c r="I33" t="s">
        <v>1292</v>
      </c>
      <c r="J33" t="s">
        <v>429</v>
      </c>
      <c r="K33" s="112">
        <v>36628</v>
      </c>
      <c r="L33" t="s">
        <v>434</v>
      </c>
      <c r="M33" t="s">
        <v>458</v>
      </c>
      <c r="N33" t="s">
        <v>435</v>
      </c>
      <c r="O33" t="s">
        <v>436</v>
      </c>
      <c r="P33" s="113" t="s">
        <v>429</v>
      </c>
      <c r="Q33" s="113" t="s">
        <v>429</v>
      </c>
      <c r="R33" t="s">
        <v>429</v>
      </c>
      <c r="S33" t="s">
        <v>429</v>
      </c>
      <c r="T33" t="s">
        <v>470</v>
      </c>
      <c r="U33" t="s">
        <v>437</v>
      </c>
      <c r="V33" t="s">
        <v>431</v>
      </c>
      <c r="W33" t="s">
        <v>438</v>
      </c>
      <c r="X33" t="s">
        <v>436</v>
      </c>
      <c r="Y33" t="s">
        <v>1282</v>
      </c>
      <c r="Z33" t="s">
        <v>429</v>
      </c>
    </row>
    <row r="34" spans="1:30">
      <c r="A34" t="s">
        <v>1297</v>
      </c>
      <c r="B34" t="s">
        <v>429</v>
      </c>
      <c r="C34" s="112">
        <v>39202</v>
      </c>
      <c r="D34" s="107">
        <v>200000000</v>
      </c>
      <c r="E34" t="s">
        <v>448</v>
      </c>
      <c r="F34" t="s">
        <v>463</v>
      </c>
      <c r="G34" t="s">
        <v>432</v>
      </c>
      <c r="H34" t="s">
        <v>286</v>
      </c>
      <c r="I34" t="s">
        <v>1292</v>
      </c>
      <c r="J34" t="s">
        <v>429</v>
      </c>
      <c r="K34" s="112">
        <v>36644</v>
      </c>
      <c r="L34" t="s">
        <v>434</v>
      </c>
      <c r="M34" t="s">
        <v>458</v>
      </c>
      <c r="N34" t="s">
        <v>435</v>
      </c>
      <c r="O34" t="s">
        <v>436</v>
      </c>
      <c r="P34" s="113" t="s">
        <v>429</v>
      </c>
      <c r="Q34" s="113" t="s">
        <v>429</v>
      </c>
      <c r="R34" t="s">
        <v>429</v>
      </c>
      <c r="S34" t="s">
        <v>429</v>
      </c>
      <c r="T34" t="s">
        <v>429</v>
      </c>
      <c r="U34" t="s">
        <v>437</v>
      </c>
      <c r="V34" t="s">
        <v>431</v>
      </c>
      <c r="W34" t="s">
        <v>438</v>
      </c>
      <c r="X34" t="s">
        <v>436</v>
      </c>
      <c r="Y34" t="s">
        <v>1282</v>
      </c>
      <c r="Z34" t="s">
        <v>429</v>
      </c>
    </row>
    <row r="35" spans="1:30">
      <c r="A35" t="s">
        <v>1298</v>
      </c>
      <c r="B35" t="s">
        <v>429</v>
      </c>
      <c r="C35" s="112">
        <v>40280</v>
      </c>
      <c r="D35" s="107">
        <v>750000000</v>
      </c>
      <c r="E35" t="s">
        <v>448</v>
      </c>
      <c r="F35" t="s">
        <v>431</v>
      </c>
      <c r="G35" t="s">
        <v>432</v>
      </c>
      <c r="H35" t="s">
        <v>287</v>
      </c>
      <c r="I35" t="s">
        <v>1292</v>
      </c>
      <c r="J35" t="s">
        <v>429</v>
      </c>
      <c r="K35" s="112">
        <v>36628</v>
      </c>
      <c r="L35" t="s">
        <v>434</v>
      </c>
      <c r="M35" t="s">
        <v>458</v>
      </c>
      <c r="N35" t="s">
        <v>435</v>
      </c>
      <c r="O35" t="s">
        <v>436</v>
      </c>
      <c r="P35" s="113" t="s">
        <v>429</v>
      </c>
      <c r="Q35" s="113" t="s">
        <v>429</v>
      </c>
      <c r="R35" t="s">
        <v>429</v>
      </c>
      <c r="S35" t="s">
        <v>429</v>
      </c>
      <c r="T35" t="s">
        <v>470</v>
      </c>
      <c r="U35" t="s">
        <v>437</v>
      </c>
      <c r="V35" t="s">
        <v>431</v>
      </c>
      <c r="W35" t="s">
        <v>438</v>
      </c>
      <c r="X35" t="s">
        <v>436</v>
      </c>
      <c r="Y35" t="s">
        <v>1282</v>
      </c>
      <c r="Z35" t="s">
        <v>429</v>
      </c>
    </row>
    <row r="36" spans="1:30">
      <c r="A36" t="s">
        <v>1299</v>
      </c>
      <c r="B36" t="s">
        <v>429</v>
      </c>
      <c r="C36" s="112">
        <v>42200</v>
      </c>
      <c r="D36" s="107">
        <v>300000000</v>
      </c>
      <c r="E36" t="s">
        <v>448</v>
      </c>
      <c r="F36" t="s">
        <v>431</v>
      </c>
      <c r="G36" t="s">
        <v>432</v>
      </c>
      <c r="H36" t="s">
        <v>288</v>
      </c>
      <c r="I36" t="s">
        <v>1292</v>
      </c>
      <c r="J36" t="s">
        <v>429</v>
      </c>
      <c r="K36" s="112">
        <v>38548</v>
      </c>
      <c r="L36" t="s">
        <v>452</v>
      </c>
      <c r="M36" t="s">
        <v>452</v>
      </c>
      <c r="N36" t="s">
        <v>435</v>
      </c>
      <c r="O36" t="s">
        <v>436</v>
      </c>
      <c r="P36" s="113" t="s">
        <v>429</v>
      </c>
      <c r="Q36" s="113" t="s">
        <v>429</v>
      </c>
      <c r="R36" t="s">
        <v>429</v>
      </c>
      <c r="S36" t="s">
        <v>429</v>
      </c>
      <c r="T36" t="s">
        <v>429</v>
      </c>
      <c r="U36" t="s">
        <v>437</v>
      </c>
      <c r="V36" t="s">
        <v>431</v>
      </c>
      <c r="W36" t="s">
        <v>438</v>
      </c>
      <c r="X36" t="s">
        <v>436</v>
      </c>
      <c r="Y36" t="s">
        <v>1282</v>
      </c>
      <c r="Z36" t="s">
        <v>454</v>
      </c>
    </row>
    <row r="37" spans="1:30">
      <c r="A37" t="s">
        <v>1300</v>
      </c>
      <c r="B37" t="s">
        <v>429</v>
      </c>
      <c r="C37" s="112">
        <v>42642</v>
      </c>
      <c r="D37" s="107">
        <v>250000000</v>
      </c>
      <c r="E37" t="s">
        <v>430</v>
      </c>
      <c r="F37" t="s">
        <v>431</v>
      </c>
      <c r="G37" t="s">
        <v>432</v>
      </c>
      <c r="H37" t="s">
        <v>227</v>
      </c>
      <c r="I37" t="s">
        <v>1292</v>
      </c>
      <c r="J37" t="s">
        <v>429</v>
      </c>
      <c r="K37" s="112">
        <v>40631</v>
      </c>
      <c r="L37" t="s">
        <v>434</v>
      </c>
      <c r="M37" t="s">
        <v>434</v>
      </c>
      <c r="N37" t="s">
        <v>435</v>
      </c>
      <c r="O37" t="s">
        <v>436</v>
      </c>
      <c r="P37" s="113" t="s">
        <v>429</v>
      </c>
      <c r="Q37" s="113" t="s">
        <v>429</v>
      </c>
      <c r="R37" t="s">
        <v>429</v>
      </c>
      <c r="S37" t="s">
        <v>429</v>
      </c>
      <c r="T37" t="s">
        <v>1301</v>
      </c>
      <c r="U37" t="s">
        <v>1302</v>
      </c>
      <c r="V37" t="s">
        <v>431</v>
      </c>
      <c r="W37" t="s">
        <v>438</v>
      </c>
      <c r="X37" t="s">
        <v>436</v>
      </c>
      <c r="Y37" t="s">
        <v>1282</v>
      </c>
      <c r="Z37" t="s">
        <v>429</v>
      </c>
    </row>
    <row r="38" spans="1:30">
      <c r="A38" t="s">
        <v>1303</v>
      </c>
      <c r="B38" t="s">
        <v>429</v>
      </c>
      <c r="C38" s="112">
        <v>42985</v>
      </c>
      <c r="D38" s="107">
        <v>350000000</v>
      </c>
      <c r="E38" t="s">
        <v>430</v>
      </c>
      <c r="F38" t="s">
        <v>431</v>
      </c>
      <c r="G38" t="s">
        <v>432</v>
      </c>
      <c r="H38" t="s">
        <v>289</v>
      </c>
      <c r="I38" t="s">
        <v>1292</v>
      </c>
      <c r="J38" t="s">
        <v>429</v>
      </c>
      <c r="K38" s="112">
        <v>40975</v>
      </c>
      <c r="L38" t="s">
        <v>434</v>
      </c>
      <c r="M38" t="s">
        <v>434</v>
      </c>
      <c r="N38" t="s">
        <v>435</v>
      </c>
      <c r="O38" t="s">
        <v>436</v>
      </c>
      <c r="P38" s="113" t="s">
        <v>429</v>
      </c>
      <c r="Q38" s="113" t="s">
        <v>429</v>
      </c>
      <c r="R38" t="s">
        <v>429</v>
      </c>
      <c r="S38" t="s">
        <v>429</v>
      </c>
      <c r="T38" t="s">
        <v>1301</v>
      </c>
      <c r="U38" t="s">
        <v>1302</v>
      </c>
      <c r="V38" t="s">
        <v>431</v>
      </c>
      <c r="W38" t="s">
        <v>438</v>
      </c>
      <c r="X38" t="s">
        <v>436</v>
      </c>
      <c r="Y38" t="s">
        <v>1282</v>
      </c>
      <c r="Z38" t="s">
        <v>429</v>
      </c>
    </row>
    <row r="39" spans="1:30">
      <c r="A39" t="s">
        <v>1304</v>
      </c>
      <c r="B39" t="s">
        <v>429</v>
      </c>
      <c r="C39" s="112">
        <v>43017</v>
      </c>
      <c r="D39" s="107">
        <v>150000000</v>
      </c>
      <c r="E39" t="s">
        <v>448</v>
      </c>
      <c r="F39" t="s">
        <v>431</v>
      </c>
      <c r="G39" t="s">
        <v>432</v>
      </c>
      <c r="H39" t="s">
        <v>290</v>
      </c>
      <c r="I39" t="s">
        <v>1292</v>
      </c>
      <c r="J39" t="s">
        <v>429</v>
      </c>
      <c r="K39" s="112">
        <v>41240</v>
      </c>
      <c r="L39" t="s">
        <v>434</v>
      </c>
      <c r="M39" t="s">
        <v>458</v>
      </c>
      <c r="N39" t="s">
        <v>435</v>
      </c>
      <c r="O39" t="s">
        <v>436</v>
      </c>
      <c r="P39" s="113" t="s">
        <v>429</v>
      </c>
      <c r="Q39" s="113" t="s">
        <v>429</v>
      </c>
      <c r="R39" t="s">
        <v>429</v>
      </c>
      <c r="S39" t="s">
        <v>429</v>
      </c>
      <c r="T39" t="s">
        <v>429</v>
      </c>
      <c r="U39" t="s">
        <v>437</v>
      </c>
      <c r="V39" t="s">
        <v>431</v>
      </c>
      <c r="W39" t="s">
        <v>438</v>
      </c>
      <c r="X39" t="s">
        <v>436</v>
      </c>
      <c r="Y39" t="s">
        <v>1282</v>
      </c>
      <c r="Z39" t="s">
        <v>429</v>
      </c>
    </row>
    <row r="40" spans="1:30">
      <c r="A40" t="s">
        <v>1305</v>
      </c>
      <c r="B40" t="s">
        <v>429</v>
      </c>
      <c r="C40" s="112">
        <v>43202</v>
      </c>
      <c r="D40" s="107">
        <v>350000000</v>
      </c>
      <c r="E40" t="s">
        <v>448</v>
      </c>
      <c r="F40" t="s">
        <v>431</v>
      </c>
      <c r="G40" t="s">
        <v>432</v>
      </c>
      <c r="H40" t="s">
        <v>228</v>
      </c>
      <c r="I40" t="s">
        <v>1292</v>
      </c>
      <c r="J40" t="s">
        <v>429</v>
      </c>
      <c r="K40" s="112">
        <v>39202</v>
      </c>
      <c r="L40" t="s">
        <v>452</v>
      </c>
      <c r="M40" t="s">
        <v>1306</v>
      </c>
      <c r="N40" t="s">
        <v>435</v>
      </c>
      <c r="O40" t="s">
        <v>436</v>
      </c>
      <c r="P40" s="113" t="s">
        <v>429</v>
      </c>
      <c r="Q40" s="113" t="s">
        <v>429</v>
      </c>
      <c r="R40" t="s">
        <v>429</v>
      </c>
      <c r="S40" t="s">
        <v>429</v>
      </c>
      <c r="T40" t="s">
        <v>1307</v>
      </c>
      <c r="U40" t="s">
        <v>429</v>
      </c>
      <c r="V40" t="s">
        <v>431</v>
      </c>
      <c r="W40" t="s">
        <v>438</v>
      </c>
      <c r="X40" t="s">
        <v>436</v>
      </c>
      <c r="Y40" t="s">
        <v>1282</v>
      </c>
      <c r="Z40" t="s">
        <v>454</v>
      </c>
    </row>
    <row r="41" spans="1:30">
      <c r="A41" t="s">
        <v>1308</v>
      </c>
      <c r="B41" t="s">
        <v>429</v>
      </c>
      <c r="C41" s="112">
        <v>43753</v>
      </c>
      <c r="D41" s="107">
        <v>300000000</v>
      </c>
      <c r="E41" t="s">
        <v>448</v>
      </c>
      <c r="F41" t="s">
        <v>431</v>
      </c>
      <c r="G41" t="s">
        <v>432</v>
      </c>
      <c r="H41" t="s">
        <v>291</v>
      </c>
      <c r="I41" t="s">
        <v>1292</v>
      </c>
      <c r="J41" t="s">
        <v>429</v>
      </c>
      <c r="K41" s="112">
        <v>39202</v>
      </c>
      <c r="L41" t="s">
        <v>434</v>
      </c>
      <c r="M41" t="s">
        <v>434</v>
      </c>
      <c r="N41" t="s">
        <v>435</v>
      </c>
      <c r="O41" t="s">
        <v>436</v>
      </c>
      <c r="P41" s="113" t="s">
        <v>429</v>
      </c>
      <c r="Q41" s="113" t="s">
        <v>429</v>
      </c>
      <c r="R41" t="s">
        <v>429</v>
      </c>
      <c r="S41" t="s">
        <v>429</v>
      </c>
      <c r="T41" t="s">
        <v>1307</v>
      </c>
      <c r="U41" t="s">
        <v>429</v>
      </c>
      <c r="V41" t="s">
        <v>431</v>
      </c>
      <c r="W41" t="s">
        <v>438</v>
      </c>
      <c r="X41" t="s">
        <v>436</v>
      </c>
      <c r="Y41" t="s">
        <v>1282</v>
      </c>
      <c r="Z41" t="s">
        <v>429</v>
      </c>
    </row>
    <row r="43" spans="1:30" ht="14.75">
      <c r="A43" s="210" t="s">
        <v>272</v>
      </c>
      <c r="B43" s="210"/>
      <c r="C43" s="210"/>
      <c r="D43" s="210"/>
      <c r="E43" s="210"/>
      <c r="F43" s="210"/>
      <c r="G43" s="210"/>
      <c r="H43" s="210"/>
      <c r="I43" s="210"/>
      <c r="J43" s="210"/>
      <c r="K43" s="210"/>
      <c r="L43" s="210"/>
      <c r="M43" s="210"/>
      <c r="N43" s="210"/>
      <c r="O43" s="210"/>
      <c r="P43" s="210"/>
      <c r="Q43" s="210"/>
      <c r="R43" s="210"/>
      <c r="S43" s="210"/>
      <c r="T43" s="210"/>
      <c r="U43" s="210"/>
      <c r="V43" s="210"/>
      <c r="W43" s="210"/>
      <c r="X43" s="210"/>
      <c r="Y43" s="210"/>
      <c r="Z43" s="210"/>
      <c r="AA43" s="210"/>
      <c r="AB43" s="210"/>
      <c r="AC43" s="210"/>
      <c r="AD43" s="210"/>
    </row>
    <row r="44" spans="1:30" ht="14.75">
      <c r="A44" s="93" t="s">
        <v>1251</v>
      </c>
      <c r="B44" s="93" t="s">
        <v>405</v>
      </c>
      <c r="C44" s="94" t="s">
        <v>1252</v>
      </c>
      <c r="D44" s="93" t="s">
        <v>1253</v>
      </c>
      <c r="E44" s="93" t="s">
        <v>409</v>
      </c>
      <c r="F44" s="93" t="s">
        <v>413</v>
      </c>
      <c r="G44" s="93" t="s">
        <v>411</v>
      </c>
      <c r="H44" s="93" t="s">
        <v>1254</v>
      </c>
      <c r="I44" s="94" t="s">
        <v>1255</v>
      </c>
      <c r="J44" s="94" t="s">
        <v>1256</v>
      </c>
      <c r="K44" s="94" t="s">
        <v>1257</v>
      </c>
      <c r="L44" s="94" t="s">
        <v>1258</v>
      </c>
      <c r="M44" s="94" t="s">
        <v>1259</v>
      </c>
      <c r="N44" s="92"/>
      <c r="O44" s="92"/>
      <c r="P44" s="92"/>
      <c r="Q44" s="92"/>
      <c r="R44" s="92"/>
      <c r="S44" s="92"/>
      <c r="T44" s="92"/>
      <c r="U44" s="92"/>
      <c r="V44" s="92"/>
      <c r="W44" s="92"/>
      <c r="X44" s="92"/>
      <c r="Y44" s="92"/>
      <c r="Z44" s="92"/>
      <c r="AA44" s="92"/>
      <c r="AB44" s="92"/>
      <c r="AC44" s="92"/>
      <c r="AD44" s="92"/>
    </row>
    <row r="45" spans="1:30" ht="14.75">
      <c r="A45" s="92" t="s">
        <v>276</v>
      </c>
      <c r="B45" s="95">
        <v>45224</v>
      </c>
      <c r="C45" s="96">
        <v>350000000</v>
      </c>
      <c r="D45" s="92" t="s">
        <v>431</v>
      </c>
      <c r="E45" s="92" t="s">
        <v>1260</v>
      </c>
      <c r="F45" s="95">
        <v>43398</v>
      </c>
      <c r="G45" s="92" t="s">
        <v>429</v>
      </c>
      <c r="H45" s="92" t="s">
        <v>429</v>
      </c>
      <c r="I45" s="115">
        <v>0</v>
      </c>
      <c r="J45" s="115">
        <v>0</v>
      </c>
      <c r="K45" s="115">
        <v>0</v>
      </c>
      <c r="L45" s="115">
        <v>0</v>
      </c>
      <c r="M45" s="115">
        <v>0</v>
      </c>
      <c r="N45" s="92"/>
      <c r="O45" s="92"/>
      <c r="P45" s="92"/>
      <c r="Q45" s="92"/>
      <c r="R45" s="92"/>
      <c r="S45" s="92"/>
      <c r="T45" s="92"/>
      <c r="U45" s="92"/>
      <c r="V45" s="92"/>
      <c r="W45" s="92"/>
      <c r="X45" s="92"/>
      <c r="Y45" s="92"/>
      <c r="Z45" s="92"/>
      <c r="AA45" s="92"/>
      <c r="AB45" s="92"/>
      <c r="AC45" s="92"/>
      <c r="AD45" s="92"/>
    </row>
    <row r="47" spans="1:30" ht="14.75">
      <c r="A47" s="210" t="s">
        <v>272</v>
      </c>
      <c r="B47" s="210"/>
      <c r="C47" s="210"/>
      <c r="D47" s="210"/>
      <c r="E47" s="210"/>
      <c r="F47" s="210"/>
      <c r="G47" s="210"/>
      <c r="H47" s="210"/>
      <c r="I47" s="210"/>
      <c r="J47" s="210"/>
      <c r="K47" s="210"/>
      <c r="L47" s="210"/>
      <c r="M47" s="210"/>
      <c r="N47" s="210"/>
      <c r="O47" s="210"/>
      <c r="P47" s="210"/>
      <c r="Q47" s="210"/>
      <c r="R47" s="210"/>
      <c r="S47" s="210"/>
      <c r="T47" s="210"/>
      <c r="U47" s="210"/>
      <c r="V47" s="210"/>
      <c r="W47" s="210"/>
      <c r="X47" s="210"/>
      <c r="Y47" s="210"/>
      <c r="Z47" s="210"/>
      <c r="AA47" s="210"/>
      <c r="AB47" s="210"/>
      <c r="AC47" s="210"/>
      <c r="AD47" s="210"/>
    </row>
    <row r="48" spans="1:30" ht="14.75">
      <c r="A48" s="93" t="s">
        <v>1251</v>
      </c>
      <c r="B48" s="93" t="s">
        <v>405</v>
      </c>
      <c r="C48" s="94" t="s">
        <v>1252</v>
      </c>
      <c r="D48" s="93" t="s">
        <v>1253</v>
      </c>
      <c r="E48" s="93" t="s">
        <v>409</v>
      </c>
      <c r="F48" s="93" t="s">
        <v>413</v>
      </c>
      <c r="G48" s="93" t="s">
        <v>411</v>
      </c>
      <c r="H48" s="93" t="s">
        <v>1254</v>
      </c>
      <c r="I48" s="94" t="s">
        <v>1255</v>
      </c>
      <c r="J48" s="94" t="s">
        <v>1256</v>
      </c>
      <c r="K48" s="94" t="s">
        <v>1257</v>
      </c>
      <c r="L48" s="94" t="s">
        <v>1258</v>
      </c>
      <c r="M48" s="94" t="s">
        <v>1259</v>
      </c>
      <c r="N48" s="92"/>
      <c r="O48" s="92"/>
      <c r="P48" s="92"/>
      <c r="Q48" s="92"/>
      <c r="R48" s="92"/>
      <c r="S48" s="92"/>
      <c r="T48" s="92"/>
      <c r="U48" s="92"/>
      <c r="V48" s="92"/>
      <c r="W48" s="92"/>
      <c r="X48" s="92"/>
      <c r="Y48" s="92"/>
      <c r="Z48" s="92"/>
      <c r="AA48" s="92"/>
      <c r="AB48" s="92"/>
      <c r="AC48" s="92"/>
      <c r="AD48" s="92"/>
    </row>
    <row r="49" spans="1:30" ht="14.75">
      <c r="A49" s="92" t="s">
        <v>275</v>
      </c>
      <c r="B49" s="95">
        <v>45819</v>
      </c>
      <c r="C49" s="96">
        <v>200000000</v>
      </c>
      <c r="D49" s="92" t="s">
        <v>431</v>
      </c>
      <c r="E49" s="92" t="s">
        <v>1260</v>
      </c>
      <c r="F49" s="95">
        <v>43627</v>
      </c>
      <c r="G49" s="92" t="s">
        <v>429</v>
      </c>
      <c r="H49" s="92" t="s">
        <v>429</v>
      </c>
      <c r="I49" s="115">
        <v>0</v>
      </c>
      <c r="J49" s="115">
        <v>0</v>
      </c>
      <c r="K49" s="115">
        <v>0</v>
      </c>
      <c r="L49" s="115">
        <v>0</v>
      </c>
      <c r="M49" s="115">
        <v>0</v>
      </c>
      <c r="N49" s="92"/>
      <c r="O49" s="92"/>
      <c r="P49" s="92"/>
      <c r="Q49" s="92"/>
      <c r="R49" s="92"/>
      <c r="S49" s="92"/>
      <c r="T49" s="92"/>
      <c r="U49" s="92"/>
      <c r="V49" s="92"/>
      <c r="W49" s="92"/>
      <c r="X49" s="92"/>
      <c r="Y49" s="92"/>
      <c r="Z49" s="92"/>
      <c r="AA49" s="92"/>
      <c r="AB49" s="92"/>
      <c r="AC49" s="92"/>
      <c r="AD49" s="92"/>
    </row>
    <row r="52" spans="1:30" ht="14.75">
      <c r="A52" s="101" t="s">
        <v>1121</v>
      </c>
      <c r="C52" s="116" t="s">
        <v>1122</v>
      </c>
    </row>
    <row r="54" spans="1:30">
      <c r="A54" t="s">
        <v>1309</v>
      </c>
      <c r="B54" t="s">
        <v>1124</v>
      </c>
      <c r="C54" t="s">
        <v>1125</v>
      </c>
      <c r="D54" t="s">
        <v>413</v>
      </c>
      <c r="E54" t="s">
        <v>405</v>
      </c>
      <c r="F54" t="s">
        <v>1126</v>
      </c>
      <c r="G54" t="s">
        <v>1127</v>
      </c>
      <c r="H54" t="s">
        <v>1128</v>
      </c>
      <c r="I54" t="s">
        <v>1129</v>
      </c>
      <c r="J54" t="s">
        <v>1130</v>
      </c>
      <c r="K54" t="s">
        <v>1131</v>
      </c>
    </row>
    <row r="55" spans="1:30">
      <c r="A55" t="str">
        <f>B55 &amp; C55</f>
        <v>31866140961</v>
      </c>
      <c r="B55">
        <v>3186614096</v>
      </c>
      <c r="C55">
        <v>1</v>
      </c>
      <c r="D55" s="27">
        <v>43100</v>
      </c>
      <c r="E55" s="27">
        <v>45273</v>
      </c>
      <c r="F55">
        <v>100</v>
      </c>
      <c r="G55" t="s">
        <v>1260</v>
      </c>
      <c r="H55" t="s">
        <v>1310</v>
      </c>
      <c r="I55">
        <v>0.25</v>
      </c>
      <c r="J55" s="127">
        <v>43172</v>
      </c>
    </row>
    <row r="56" spans="1:30">
      <c r="A56" t="str">
        <f t="shared" ref="A56:A64" si="0">B56 &amp; C56</f>
        <v>31398910961</v>
      </c>
      <c r="B56">
        <v>3139891096</v>
      </c>
      <c r="C56">
        <v>1</v>
      </c>
      <c r="D56" s="27">
        <v>42976</v>
      </c>
      <c r="E56" s="27">
        <v>44802</v>
      </c>
      <c r="F56">
        <v>175</v>
      </c>
      <c r="G56" t="s">
        <v>1260</v>
      </c>
      <c r="H56" t="s">
        <v>1310</v>
      </c>
      <c r="I56">
        <v>0.25</v>
      </c>
      <c r="J56" s="127">
        <v>43159</v>
      </c>
    </row>
    <row r="57" spans="1:30">
      <c r="A57" t="str">
        <f t="shared" si="0"/>
        <v>31398910962</v>
      </c>
      <c r="B57">
        <v>3139891096</v>
      </c>
      <c r="C57">
        <v>2</v>
      </c>
      <c r="D57" s="27">
        <v>42976</v>
      </c>
      <c r="E57" s="27">
        <v>45533</v>
      </c>
      <c r="F57">
        <v>375</v>
      </c>
      <c r="G57" t="s">
        <v>1260</v>
      </c>
      <c r="H57">
        <v>3.5</v>
      </c>
      <c r="I57">
        <v>0.5</v>
      </c>
      <c r="J57" s="127">
        <v>43159</v>
      </c>
    </row>
    <row r="58" spans="1:30">
      <c r="A58" t="str">
        <f t="shared" si="0"/>
        <v>29878480111</v>
      </c>
      <c r="B58">
        <v>2987848011</v>
      </c>
      <c r="C58">
        <v>1</v>
      </c>
      <c r="D58" s="27">
        <v>42543</v>
      </c>
      <c r="E58" s="27">
        <v>46244</v>
      </c>
      <c r="F58">
        <v>113.33</v>
      </c>
      <c r="G58" t="s">
        <v>1267</v>
      </c>
      <c r="H58">
        <v>3.06</v>
      </c>
      <c r="I58">
        <v>0.5</v>
      </c>
      <c r="J58" s="127">
        <v>42776</v>
      </c>
      <c r="K58">
        <v>1.33</v>
      </c>
    </row>
    <row r="59" spans="1:30">
      <c r="A59" t="str">
        <f t="shared" si="0"/>
        <v>29878480112</v>
      </c>
      <c r="B59">
        <v>2987848011</v>
      </c>
      <c r="C59">
        <v>2</v>
      </c>
      <c r="D59" s="27">
        <v>42543</v>
      </c>
      <c r="E59" s="27">
        <v>46244</v>
      </c>
      <c r="F59">
        <v>20</v>
      </c>
      <c r="G59" t="s">
        <v>1267</v>
      </c>
      <c r="H59">
        <v>3.04</v>
      </c>
      <c r="I59">
        <v>0.5</v>
      </c>
      <c r="J59" s="127">
        <v>42776</v>
      </c>
      <c r="K59">
        <v>1.33</v>
      </c>
    </row>
    <row r="60" spans="1:30">
      <c r="A60" t="str">
        <f t="shared" si="0"/>
        <v>29878480113</v>
      </c>
      <c r="B60">
        <v>2987848011</v>
      </c>
      <c r="C60">
        <v>3</v>
      </c>
      <c r="D60" s="27">
        <v>42543</v>
      </c>
      <c r="E60" s="27">
        <v>46975</v>
      </c>
      <c r="F60">
        <v>280</v>
      </c>
      <c r="G60" t="s">
        <v>1267</v>
      </c>
      <c r="H60">
        <v>3.16</v>
      </c>
      <c r="I60">
        <v>0.5</v>
      </c>
      <c r="J60" s="127">
        <v>42776</v>
      </c>
      <c r="K60">
        <v>1.33</v>
      </c>
    </row>
    <row r="61" spans="1:30">
      <c r="A61" t="str">
        <f t="shared" si="0"/>
        <v>29878480114</v>
      </c>
      <c r="B61">
        <v>2987848011</v>
      </c>
      <c r="C61">
        <v>4</v>
      </c>
      <c r="D61" s="27">
        <v>42543</v>
      </c>
      <c r="E61" s="27">
        <v>48070</v>
      </c>
      <c r="F61">
        <v>280</v>
      </c>
      <c r="G61" t="s">
        <v>1267</v>
      </c>
      <c r="H61">
        <v>3.31</v>
      </c>
      <c r="I61">
        <v>0.5</v>
      </c>
      <c r="J61" s="127">
        <v>42776</v>
      </c>
      <c r="K61">
        <v>1.33</v>
      </c>
    </row>
    <row r="62" spans="1:30">
      <c r="A62" t="str">
        <f t="shared" si="0"/>
        <v>27883620111</v>
      </c>
      <c r="B62">
        <v>2788362011</v>
      </c>
      <c r="C62">
        <v>1</v>
      </c>
      <c r="D62" s="27">
        <v>42166</v>
      </c>
      <c r="E62" s="27">
        <v>46549</v>
      </c>
      <c r="F62">
        <v>303.11</v>
      </c>
      <c r="G62" t="s">
        <v>1267</v>
      </c>
      <c r="H62">
        <v>3.09</v>
      </c>
      <c r="I62">
        <v>0.5</v>
      </c>
      <c r="J62" s="127">
        <v>42532</v>
      </c>
      <c r="K62">
        <v>1.29</v>
      </c>
    </row>
    <row r="63" spans="1:30">
      <c r="A63" t="str">
        <f t="shared" si="0"/>
        <v>24692120961</v>
      </c>
      <c r="B63">
        <v>2469212096</v>
      </c>
      <c r="C63">
        <v>1</v>
      </c>
      <c r="D63" s="27">
        <v>41240</v>
      </c>
      <c r="E63" s="27">
        <v>42985</v>
      </c>
      <c r="F63">
        <v>150</v>
      </c>
      <c r="G63" t="s">
        <v>1260</v>
      </c>
      <c r="H63">
        <v>6.25</v>
      </c>
      <c r="I63">
        <v>0.5</v>
      </c>
      <c r="J63" s="127">
        <v>41373</v>
      </c>
      <c r="K63">
        <v>0.96</v>
      </c>
    </row>
    <row r="64" spans="1:30">
      <c r="A64" t="str">
        <f t="shared" si="0"/>
        <v>24692120962</v>
      </c>
      <c r="B64">
        <v>2469212096</v>
      </c>
      <c r="C64">
        <v>2</v>
      </c>
      <c r="D64" s="27">
        <v>41240</v>
      </c>
      <c r="E64" s="27">
        <v>43017</v>
      </c>
      <c r="F64">
        <v>150</v>
      </c>
      <c r="G64" t="s">
        <v>1260</v>
      </c>
      <c r="H64" t="s">
        <v>1310</v>
      </c>
      <c r="I64">
        <v>0.5</v>
      </c>
      <c r="J64" s="127">
        <v>41373</v>
      </c>
      <c r="K64">
        <v>0.96</v>
      </c>
    </row>
    <row r="66" spans="1:12">
      <c r="B66" s="1" t="s">
        <v>1311</v>
      </c>
      <c r="C66" s="116" t="s">
        <v>1312</v>
      </c>
    </row>
    <row r="67" spans="1:12">
      <c r="B67" t="s">
        <v>1313</v>
      </c>
      <c r="C67" t="s">
        <v>1314</v>
      </c>
      <c r="D67" t="s">
        <v>218</v>
      </c>
    </row>
    <row r="68" spans="1:12">
      <c r="B68">
        <v>250</v>
      </c>
      <c r="C68" s="27">
        <v>42891</v>
      </c>
      <c r="D68" s="27">
        <v>44352</v>
      </c>
    </row>
    <row r="69" spans="1:12">
      <c r="B69">
        <v>75</v>
      </c>
      <c r="C69" s="27">
        <v>42152</v>
      </c>
      <c r="D69" s="27">
        <v>42883</v>
      </c>
    </row>
    <row r="70" spans="1:12">
      <c r="C70" s="27"/>
      <c r="D70" s="27"/>
    </row>
    <row r="71" spans="1:12" ht="14.75">
      <c r="A71" s="144" t="s">
        <v>1268</v>
      </c>
      <c r="C71" s="116" t="s">
        <v>1269</v>
      </c>
    </row>
    <row r="72" spans="1:12" ht="14.75">
      <c r="A72" s="144"/>
      <c r="C72" s="116"/>
    </row>
    <row r="73" spans="1:12">
      <c r="A73" s="1" t="s">
        <v>66</v>
      </c>
      <c r="B73" s="1" t="s">
        <v>1112</v>
      </c>
      <c r="C73" s="1" t="s">
        <v>1270</v>
      </c>
      <c r="D73" s="1" t="s">
        <v>1315</v>
      </c>
      <c r="E73" s="1" t="s">
        <v>202</v>
      </c>
      <c r="F73" s="1" t="s">
        <v>1113</v>
      </c>
      <c r="G73" s="1" t="s">
        <v>203</v>
      </c>
      <c r="H73" s="1"/>
      <c r="I73" s="1" t="s">
        <v>1115</v>
      </c>
      <c r="L73" s="1" t="s">
        <v>1115</v>
      </c>
    </row>
    <row r="74" spans="1:12">
      <c r="A74" s="27">
        <v>43882</v>
      </c>
      <c r="B74">
        <v>60</v>
      </c>
      <c r="E74" t="s">
        <v>1316</v>
      </c>
      <c r="F74">
        <v>8</v>
      </c>
      <c r="G74" s="27">
        <f>F74*365+A74</f>
        <v>46802</v>
      </c>
    </row>
    <row r="75" spans="1:12">
      <c r="A75" s="27">
        <v>43560</v>
      </c>
      <c r="B75">
        <f>646</f>
        <v>646</v>
      </c>
      <c r="C75">
        <v>230</v>
      </c>
      <c r="F75">
        <v>10</v>
      </c>
      <c r="G75" s="27">
        <f t="shared" ref="G75:G98" si="1">F75*365+A75</f>
        <v>47210</v>
      </c>
      <c r="L75" s="213" t="s">
        <v>1317</v>
      </c>
    </row>
    <row r="76" spans="1:12">
      <c r="A76" s="27">
        <v>43560</v>
      </c>
      <c r="B76" t="s">
        <v>1318</v>
      </c>
      <c r="C76">
        <v>174</v>
      </c>
      <c r="F76">
        <v>11</v>
      </c>
      <c r="G76" s="27">
        <f t="shared" si="1"/>
        <v>47575</v>
      </c>
      <c r="L76" s="213"/>
    </row>
    <row r="77" spans="1:12">
      <c r="A77" s="27">
        <v>43560</v>
      </c>
      <c r="B77" t="s">
        <v>1318</v>
      </c>
      <c r="D77">
        <v>50</v>
      </c>
      <c r="F77">
        <v>11</v>
      </c>
      <c r="G77" s="27">
        <f t="shared" si="1"/>
        <v>47575</v>
      </c>
      <c r="L77" s="213"/>
    </row>
    <row r="78" spans="1:12">
      <c r="A78" s="27">
        <v>43075</v>
      </c>
      <c r="B78">
        <v>100</v>
      </c>
      <c r="E78" t="s">
        <v>1319</v>
      </c>
      <c r="F78">
        <v>6</v>
      </c>
      <c r="G78" s="27">
        <f t="shared" si="1"/>
        <v>45265</v>
      </c>
      <c r="I78" t="s">
        <v>1273</v>
      </c>
    </row>
    <row r="79" spans="1:12">
      <c r="A79" s="27">
        <v>43075</v>
      </c>
      <c r="B79">
        <v>250</v>
      </c>
      <c r="G79" s="27">
        <f t="shared" si="1"/>
        <v>43075</v>
      </c>
      <c r="I79" t="s">
        <v>1273</v>
      </c>
      <c r="L79" t="s">
        <v>1320</v>
      </c>
    </row>
    <row r="80" spans="1:12">
      <c r="A80" s="27">
        <v>42959</v>
      </c>
      <c r="B80">
        <v>375</v>
      </c>
      <c r="F80">
        <v>7</v>
      </c>
      <c r="G80" s="27">
        <f t="shared" si="1"/>
        <v>45514</v>
      </c>
      <c r="I80" t="s">
        <v>1273</v>
      </c>
    </row>
    <row r="81" spans="1:12">
      <c r="A81" s="27">
        <v>42959</v>
      </c>
      <c r="B81">
        <v>175</v>
      </c>
      <c r="F81">
        <v>5</v>
      </c>
      <c r="G81" s="27">
        <f t="shared" si="1"/>
        <v>44784</v>
      </c>
      <c r="I81" t="s">
        <v>1273</v>
      </c>
    </row>
    <row r="82" spans="1:12">
      <c r="A82" s="27">
        <v>42893</v>
      </c>
      <c r="B82">
        <v>250</v>
      </c>
      <c r="F82">
        <v>4</v>
      </c>
      <c r="G82" s="27">
        <f t="shared" si="1"/>
        <v>44353</v>
      </c>
      <c r="L82" t="s">
        <v>1321</v>
      </c>
    </row>
    <row r="83" spans="1:12">
      <c r="A83" s="27">
        <v>42893</v>
      </c>
      <c r="B83">
        <v>300</v>
      </c>
      <c r="F83">
        <v>0.5</v>
      </c>
      <c r="G83" s="27">
        <f t="shared" si="1"/>
        <v>43075.5</v>
      </c>
      <c r="L83" t="s">
        <v>1322</v>
      </c>
    </row>
    <row r="84" spans="1:12">
      <c r="A84" s="27">
        <v>42501</v>
      </c>
      <c r="C84">
        <v>100</v>
      </c>
      <c r="F84">
        <v>10</v>
      </c>
      <c r="G84" s="27">
        <f t="shared" si="1"/>
        <v>46151</v>
      </c>
      <c r="I84" t="s">
        <v>1273</v>
      </c>
      <c r="L84" s="212" t="s">
        <v>1323</v>
      </c>
    </row>
    <row r="85" spans="1:12">
      <c r="A85" s="27">
        <v>42501</v>
      </c>
      <c r="C85">
        <v>210</v>
      </c>
      <c r="F85">
        <v>12</v>
      </c>
      <c r="G85" s="27">
        <f t="shared" si="1"/>
        <v>46881</v>
      </c>
      <c r="I85" t="s">
        <v>1273</v>
      </c>
      <c r="L85" s="212"/>
    </row>
    <row r="86" spans="1:12">
      <c r="A86" s="27">
        <v>42501</v>
      </c>
      <c r="C86">
        <v>210</v>
      </c>
      <c r="F86">
        <v>15</v>
      </c>
      <c r="G86" s="27">
        <f t="shared" si="1"/>
        <v>47976</v>
      </c>
      <c r="I86" t="s">
        <v>1273</v>
      </c>
      <c r="L86" s="212"/>
    </row>
    <row r="87" spans="1:12">
      <c r="A87" s="27">
        <v>42086</v>
      </c>
      <c r="B87">
        <v>310</v>
      </c>
      <c r="C87">
        <v>235</v>
      </c>
      <c r="F87">
        <v>12</v>
      </c>
      <c r="G87" s="27">
        <f t="shared" si="1"/>
        <v>46466</v>
      </c>
      <c r="I87" t="s">
        <v>1324</v>
      </c>
    </row>
    <row r="88" spans="1:12">
      <c r="A88" s="27">
        <v>41768</v>
      </c>
      <c r="B88">
        <f>397/2</f>
        <v>198.5</v>
      </c>
      <c r="F88">
        <v>8</v>
      </c>
      <c r="G88" s="27">
        <f t="shared" si="1"/>
        <v>44688</v>
      </c>
    </row>
    <row r="89" spans="1:12">
      <c r="A89" s="27">
        <v>41768</v>
      </c>
      <c r="B89">
        <f>397/2</f>
        <v>198.5</v>
      </c>
      <c r="F89">
        <v>12</v>
      </c>
      <c r="G89" s="27">
        <f t="shared" si="1"/>
        <v>46148</v>
      </c>
    </row>
    <row r="90" spans="1:12">
      <c r="A90" s="27">
        <v>41234</v>
      </c>
      <c r="B90">
        <v>150</v>
      </c>
      <c r="F90">
        <v>5</v>
      </c>
      <c r="G90" s="27">
        <f t="shared" si="1"/>
        <v>43059</v>
      </c>
      <c r="I90" t="s">
        <v>1273</v>
      </c>
    </row>
    <row r="91" spans="1:12">
      <c r="A91" s="27">
        <v>41234</v>
      </c>
      <c r="B91">
        <v>150</v>
      </c>
      <c r="F91">
        <v>5</v>
      </c>
      <c r="G91" s="27">
        <f t="shared" si="1"/>
        <v>43059</v>
      </c>
      <c r="I91" t="s">
        <v>1273</v>
      </c>
    </row>
    <row r="92" spans="1:12">
      <c r="A92" s="27">
        <v>40969</v>
      </c>
      <c r="B92">
        <v>200</v>
      </c>
      <c r="F92">
        <v>5.5</v>
      </c>
      <c r="G92" s="27">
        <f t="shared" si="1"/>
        <v>42976.5</v>
      </c>
      <c r="I92" t="s">
        <v>1325</v>
      </c>
    </row>
    <row r="93" spans="1:12">
      <c r="A93" s="27">
        <v>40624</v>
      </c>
      <c r="B93">
        <v>250</v>
      </c>
      <c r="F93">
        <v>5.5</v>
      </c>
      <c r="G93" s="27">
        <f t="shared" si="1"/>
        <v>42631.5</v>
      </c>
      <c r="I93" t="s">
        <v>1273</v>
      </c>
    </row>
    <row r="94" spans="1:12">
      <c r="A94" s="27">
        <v>40161</v>
      </c>
      <c r="B94">
        <v>225</v>
      </c>
      <c r="F94">
        <v>3.5</v>
      </c>
      <c r="G94" s="27">
        <f t="shared" si="1"/>
        <v>41438.5</v>
      </c>
      <c r="I94" t="s">
        <v>1326</v>
      </c>
    </row>
    <row r="95" spans="1:12">
      <c r="A95" s="27">
        <v>40161</v>
      </c>
      <c r="G95" s="27">
        <f t="shared" si="1"/>
        <v>40161</v>
      </c>
      <c r="I95" t="s">
        <v>1327</v>
      </c>
    </row>
    <row r="96" spans="1:12">
      <c r="A96" s="27">
        <v>40011</v>
      </c>
      <c r="B96">
        <f>625/3</f>
        <v>208.33333333333334</v>
      </c>
      <c r="F96">
        <v>5</v>
      </c>
      <c r="G96" s="27">
        <f t="shared" si="1"/>
        <v>41836</v>
      </c>
    </row>
    <row r="97" spans="1:13">
      <c r="A97" s="27">
        <v>40011</v>
      </c>
      <c r="B97">
        <f>625/3</f>
        <v>208.33333333333334</v>
      </c>
      <c r="F97">
        <v>7</v>
      </c>
      <c r="G97" s="27">
        <f t="shared" si="1"/>
        <v>42566</v>
      </c>
    </row>
    <row r="98" spans="1:13">
      <c r="A98" s="27">
        <v>40011</v>
      </c>
      <c r="B98">
        <f>625/3</f>
        <v>208.33333333333334</v>
      </c>
      <c r="F98">
        <v>10</v>
      </c>
      <c r="G98" s="27">
        <f t="shared" si="1"/>
        <v>43661</v>
      </c>
    </row>
    <row r="101" spans="1:13">
      <c r="A101" t="s">
        <v>1279</v>
      </c>
    </row>
    <row r="103" spans="1:13">
      <c r="B103" s="138">
        <v>11110</v>
      </c>
      <c r="C103" s="1">
        <v>2011</v>
      </c>
      <c r="D103" s="1">
        <v>2012</v>
      </c>
      <c r="E103" s="1">
        <v>2013</v>
      </c>
      <c r="F103" s="1">
        <v>2014</v>
      </c>
      <c r="G103" s="1">
        <v>2015</v>
      </c>
      <c r="H103" s="1">
        <v>2016</v>
      </c>
      <c r="I103" s="1">
        <v>2017</v>
      </c>
      <c r="J103" s="1">
        <v>2018</v>
      </c>
      <c r="K103" s="1">
        <v>2019</v>
      </c>
      <c r="L103" s="1">
        <v>2020</v>
      </c>
      <c r="M103" s="1">
        <v>2021</v>
      </c>
    </row>
    <row r="104" spans="1:13">
      <c r="A104" t="s">
        <v>1146</v>
      </c>
      <c r="C104">
        <f>B98+B97+B96</f>
        <v>625</v>
      </c>
      <c r="D104">
        <f>B98+B97+B96</f>
        <v>625</v>
      </c>
      <c r="E104">
        <f>B98+B97+B96</f>
        <v>625</v>
      </c>
      <c r="F104">
        <f>B98+B97+B96+B89+B88</f>
        <v>1022</v>
      </c>
      <c r="G104">
        <f>B98+B97+B89+B88</f>
        <v>813.66666666666674</v>
      </c>
      <c r="H104">
        <f>B98+B97+B89+B88</f>
        <v>813.66666666666674</v>
      </c>
      <c r="I104">
        <f>B98+B89+B88+B83+B82</f>
        <v>1155.3333333333335</v>
      </c>
      <c r="J104">
        <f>B98+B89+B88+B82</f>
        <v>855.33333333333337</v>
      </c>
      <c r="K104">
        <f>B98+B89+B88+B82+B75</f>
        <v>1501.3333333333335</v>
      </c>
      <c r="L104">
        <f>B89+B88+B75+B74</f>
        <v>1103</v>
      </c>
      <c r="M104">
        <f>B89+B88+B82+B75+B74</f>
        <v>1353</v>
      </c>
    </row>
    <row r="105" spans="1:13">
      <c r="A105" t="s">
        <v>1328</v>
      </c>
      <c r="C105">
        <f>B94</f>
        <v>225</v>
      </c>
      <c r="D105">
        <f>B94</f>
        <v>225</v>
      </c>
    </row>
  </sheetData>
  <mergeCells count="9">
    <mergeCell ref="L84:L86"/>
    <mergeCell ref="L75:L77"/>
    <mergeCell ref="A43:AD43"/>
    <mergeCell ref="A47:AD47"/>
    <mergeCell ref="A1:AD1"/>
    <mergeCell ref="A6:B6"/>
    <mergeCell ref="A11:D11"/>
    <mergeCell ref="A21:AD21"/>
    <mergeCell ref="A27:AD27"/>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DF48BE-1EB6-4574-8C78-816D7EC1A120}">
  <sheetPr>
    <tabColor theme="0" tint="-0.249977111117893"/>
  </sheetPr>
  <dimension ref="A1:U96"/>
  <sheetViews>
    <sheetView workbookViewId="0">
      <selection activeCell="A2" sqref="A2"/>
    </sheetView>
  </sheetViews>
  <sheetFormatPr defaultRowHeight="14.25"/>
  <cols>
    <col min="1" max="1" width="14.58203125" customWidth="1"/>
    <col min="2" max="2" width="10.08203125" bestFit="1" customWidth="1"/>
    <col min="3" max="3" width="12.58203125" customWidth="1"/>
    <col min="8" max="8" width="10.08203125" bestFit="1" customWidth="1"/>
    <col min="21" max="21" width="9.83203125" bestFit="1" customWidth="1"/>
  </cols>
  <sheetData>
    <row r="1" spans="1:21" ht="14.75">
      <c r="A1" t="s">
        <v>2122</v>
      </c>
      <c r="C1" s="92" t="s">
        <v>278</v>
      </c>
      <c r="D1" s="92" t="s">
        <v>279</v>
      </c>
      <c r="E1" s="92" t="s">
        <v>280</v>
      </c>
      <c r="I1" t="s">
        <v>281</v>
      </c>
      <c r="J1" t="s">
        <v>282</v>
      </c>
      <c r="K1" t="s">
        <v>283</v>
      </c>
      <c r="L1" t="s">
        <v>284</v>
      </c>
      <c r="M1" t="s">
        <v>285</v>
      </c>
      <c r="N1" t="s">
        <v>286</v>
      </c>
      <c r="O1" t="s">
        <v>287</v>
      </c>
      <c r="P1" t="s">
        <v>288</v>
      </c>
      <c r="Q1" t="s">
        <v>227</v>
      </c>
      <c r="R1" t="s">
        <v>289</v>
      </c>
      <c r="S1" t="s">
        <v>290</v>
      </c>
      <c r="T1" t="s">
        <v>228</v>
      </c>
      <c r="U1" t="s">
        <v>291</v>
      </c>
    </row>
    <row r="2" spans="1:21">
      <c r="B2" t="s">
        <v>475</v>
      </c>
      <c r="C2" t="s">
        <v>477</v>
      </c>
      <c r="D2" t="s">
        <v>477</v>
      </c>
      <c r="E2" t="s">
        <v>477</v>
      </c>
      <c r="H2" t="s">
        <v>475</v>
      </c>
      <c r="I2" t="s">
        <v>476</v>
      </c>
      <c r="J2" t="s">
        <v>476</v>
      </c>
      <c r="K2" t="s">
        <v>476</v>
      </c>
      <c r="L2" t="s">
        <v>476</v>
      </c>
      <c r="M2" t="s">
        <v>476</v>
      </c>
      <c r="N2" t="s">
        <v>476</v>
      </c>
      <c r="O2" t="s">
        <v>476</v>
      </c>
      <c r="P2" t="s">
        <v>477</v>
      </c>
      <c r="Q2" t="s">
        <v>476</v>
      </c>
      <c r="R2" t="s">
        <v>477</v>
      </c>
      <c r="S2" t="s">
        <v>477</v>
      </c>
      <c r="T2" t="s">
        <v>476</v>
      </c>
      <c r="U2" t="s">
        <v>476</v>
      </c>
    </row>
    <row r="3" spans="1:21" ht="14.5">
      <c r="A3" s="129"/>
      <c r="B3" s="27">
        <v>44651</v>
      </c>
      <c r="C3">
        <v>100.10154</v>
      </c>
      <c r="D3">
        <v>100.873</v>
      </c>
      <c r="E3">
        <v>101.840918</v>
      </c>
      <c r="H3" s="27">
        <v>43039</v>
      </c>
      <c r="I3" t="e">
        <v>#N/A</v>
      </c>
      <c r="J3" t="e">
        <v>#N/A</v>
      </c>
      <c r="K3" t="e">
        <v>#N/A</v>
      </c>
      <c r="L3" t="e">
        <v>#N/A</v>
      </c>
      <c r="M3" t="e">
        <v>#N/A</v>
      </c>
      <c r="N3" t="e">
        <v>#N/A</v>
      </c>
      <c r="O3" t="e">
        <v>#N/A</v>
      </c>
      <c r="Q3" s="200"/>
      <c r="S3">
        <v>99.99973</v>
      </c>
      <c r="T3" s="200"/>
      <c r="U3" s="200"/>
    </row>
    <row r="4" spans="1:21" ht="14.5">
      <c r="A4" s="129"/>
      <c r="B4" s="27">
        <v>44620</v>
      </c>
      <c r="C4">
        <v>100.16622</v>
      </c>
      <c r="D4">
        <v>100.93</v>
      </c>
      <c r="E4">
        <v>103.176869</v>
      </c>
      <c r="H4" s="27">
        <v>43008</v>
      </c>
      <c r="R4">
        <v>100.000047</v>
      </c>
      <c r="S4">
        <v>100.02838800000001</v>
      </c>
      <c r="U4" s="27"/>
    </row>
    <row r="5" spans="1:21" ht="14.5">
      <c r="A5" s="129"/>
      <c r="B5" s="27">
        <v>44592</v>
      </c>
      <c r="C5">
        <v>100.215402</v>
      </c>
      <c r="D5">
        <v>101.044</v>
      </c>
      <c r="E5">
        <v>104.13842</v>
      </c>
      <c r="H5" s="27">
        <v>42978</v>
      </c>
      <c r="R5">
        <v>100.043981</v>
      </c>
      <c r="S5">
        <v>100.084613</v>
      </c>
      <c r="U5" s="27"/>
    </row>
    <row r="6" spans="1:21" ht="14.5">
      <c r="A6" s="129"/>
      <c r="B6" s="27">
        <v>44561</v>
      </c>
      <c r="C6">
        <v>100.266092</v>
      </c>
      <c r="D6">
        <v>101.06699999999999</v>
      </c>
      <c r="E6">
        <v>104.828192</v>
      </c>
      <c r="H6" s="27">
        <v>42947</v>
      </c>
      <c r="R6">
        <v>100.384376</v>
      </c>
      <c r="S6">
        <v>100.13979500000001</v>
      </c>
      <c r="U6" s="27"/>
    </row>
    <row r="7" spans="1:21" ht="14.5">
      <c r="A7" s="129"/>
      <c r="B7" s="27">
        <v>44530</v>
      </c>
      <c r="C7">
        <v>100.321457</v>
      </c>
      <c r="D7">
        <v>101.078</v>
      </c>
      <c r="E7">
        <v>104.966729</v>
      </c>
      <c r="H7" s="27">
        <v>42916</v>
      </c>
      <c r="R7">
        <v>100.64673500000001</v>
      </c>
      <c r="S7">
        <v>100.16083500000001</v>
      </c>
      <c r="U7" s="27"/>
    </row>
    <row r="8" spans="1:21" ht="14.5">
      <c r="A8" s="129"/>
      <c r="B8" s="27">
        <v>44500</v>
      </c>
      <c r="C8">
        <v>100.377494</v>
      </c>
      <c r="D8">
        <v>101.137</v>
      </c>
      <c r="E8">
        <v>104.676484</v>
      </c>
      <c r="H8" s="27">
        <v>42886</v>
      </c>
      <c r="R8">
        <v>101.005337</v>
      </c>
      <c r="S8">
        <v>100.1905</v>
      </c>
      <c r="U8" s="27"/>
    </row>
    <row r="9" spans="1:21" ht="14.5">
      <c r="A9" s="129"/>
      <c r="B9" s="27">
        <v>44469</v>
      </c>
      <c r="C9">
        <v>100.413668</v>
      </c>
      <c r="D9">
        <v>101.16200000000001</v>
      </c>
      <c r="E9">
        <v>107.000477</v>
      </c>
      <c r="H9" s="27">
        <v>42855</v>
      </c>
      <c r="R9">
        <v>101.287345</v>
      </c>
      <c r="S9">
        <v>100.173</v>
      </c>
      <c r="U9" s="27"/>
    </row>
    <row r="10" spans="1:21" ht="14.5">
      <c r="A10" s="129"/>
      <c r="B10" s="27">
        <v>44439</v>
      </c>
      <c r="C10">
        <v>100.433705</v>
      </c>
      <c r="D10">
        <v>101.121</v>
      </c>
      <c r="E10">
        <v>107.424121</v>
      </c>
      <c r="H10" s="27">
        <v>42825</v>
      </c>
      <c r="R10">
        <v>101.51822300000001</v>
      </c>
      <c r="S10">
        <v>100.1705</v>
      </c>
      <c r="U10" s="27"/>
    </row>
    <row r="11" spans="1:21" ht="14.5">
      <c r="A11" s="129"/>
      <c r="B11" s="27">
        <v>44408</v>
      </c>
      <c r="C11">
        <v>100.424831</v>
      </c>
      <c r="D11">
        <v>101.09</v>
      </c>
      <c r="E11">
        <v>107.638885</v>
      </c>
      <c r="H11" s="27">
        <v>42794</v>
      </c>
      <c r="R11">
        <v>101.80105500000001</v>
      </c>
      <c r="S11">
        <v>100.152</v>
      </c>
      <c r="U11" s="27"/>
    </row>
    <row r="12" spans="1:21" ht="14.5">
      <c r="A12" s="129"/>
      <c r="B12" s="27">
        <v>44377</v>
      </c>
      <c r="C12">
        <v>100.468842</v>
      </c>
      <c r="D12">
        <v>101.03</v>
      </c>
      <c r="E12">
        <v>107.45625800000001</v>
      </c>
      <c r="H12" s="27">
        <v>42766</v>
      </c>
      <c r="R12">
        <v>102.03700000000001</v>
      </c>
      <c r="S12">
        <v>100.166</v>
      </c>
      <c r="U12" s="27"/>
    </row>
    <row r="13" spans="1:21" ht="14.5">
      <c r="A13" s="129"/>
      <c r="B13" s="27">
        <v>44347</v>
      </c>
      <c r="C13">
        <v>100.430723</v>
      </c>
      <c r="D13">
        <v>100.965</v>
      </c>
      <c r="E13">
        <v>107.911631</v>
      </c>
      <c r="H13" s="27">
        <v>42735</v>
      </c>
      <c r="R13">
        <v>102.279</v>
      </c>
      <c r="S13">
        <v>100.251</v>
      </c>
      <c r="U13" s="27"/>
    </row>
    <row r="14" spans="1:21" ht="14.5">
      <c r="A14" s="129"/>
      <c r="B14" s="27">
        <v>44316</v>
      </c>
      <c r="C14">
        <v>100.43204</v>
      </c>
      <c r="D14">
        <v>100.968</v>
      </c>
      <c r="E14">
        <v>108.05291099999999</v>
      </c>
      <c r="H14" s="27">
        <v>42704</v>
      </c>
      <c r="R14">
        <v>102.623</v>
      </c>
      <c r="S14">
        <v>100.194</v>
      </c>
      <c r="U14" s="27"/>
    </row>
    <row r="15" spans="1:21" ht="14.5">
      <c r="A15" s="129"/>
      <c r="B15" s="27">
        <v>44286</v>
      </c>
      <c r="C15">
        <v>100.463303</v>
      </c>
      <c r="D15">
        <v>100.94499999999999</v>
      </c>
      <c r="E15">
        <v>108.059167</v>
      </c>
      <c r="H15" s="27">
        <v>42674</v>
      </c>
      <c r="R15">
        <v>102.9385</v>
      </c>
      <c r="S15">
        <v>100.209</v>
      </c>
      <c r="U15" s="27"/>
    </row>
    <row r="16" spans="1:21" ht="14.5">
      <c r="A16" s="129"/>
      <c r="B16" s="27">
        <v>44255</v>
      </c>
      <c r="C16">
        <v>100.501868</v>
      </c>
      <c r="D16">
        <v>101.143</v>
      </c>
      <c r="E16">
        <v>108.327702</v>
      </c>
      <c r="H16" s="27">
        <v>42643</v>
      </c>
      <c r="R16">
        <v>103.249</v>
      </c>
      <c r="S16">
        <v>100.227</v>
      </c>
      <c r="U16" s="27"/>
    </row>
    <row r="17" spans="1:21" ht="14.5">
      <c r="A17" s="129"/>
      <c r="B17" s="27">
        <v>44227</v>
      </c>
      <c r="C17">
        <v>100.547449</v>
      </c>
      <c r="D17">
        <v>101.03400000000001</v>
      </c>
      <c r="E17">
        <v>109.24861300000001</v>
      </c>
      <c r="H17" s="27">
        <v>42613</v>
      </c>
      <c r="R17">
        <v>103.5425</v>
      </c>
      <c r="S17">
        <v>100.277</v>
      </c>
      <c r="U17" s="27"/>
    </row>
    <row r="18" spans="1:21" ht="14.5">
      <c r="A18" s="129"/>
      <c r="B18" s="27">
        <v>44196</v>
      </c>
      <c r="C18">
        <v>100.495082</v>
      </c>
      <c r="D18">
        <v>100.742</v>
      </c>
      <c r="E18">
        <v>109.34495800000001</v>
      </c>
      <c r="H18" s="27">
        <v>42582</v>
      </c>
      <c r="R18">
        <v>103.5945</v>
      </c>
      <c r="S18">
        <v>100.28</v>
      </c>
      <c r="U18" s="27"/>
    </row>
    <row r="19" spans="1:21" ht="14.5">
      <c r="A19" s="129"/>
      <c r="B19" s="27">
        <v>44165</v>
      </c>
      <c r="C19">
        <v>100.377681</v>
      </c>
      <c r="D19">
        <v>100.64400000000001</v>
      </c>
      <c r="E19">
        <v>110.017307</v>
      </c>
      <c r="H19" s="27">
        <v>42551</v>
      </c>
      <c r="R19">
        <v>103.6855</v>
      </c>
      <c r="S19">
        <v>100.22199999999999</v>
      </c>
      <c r="U19" s="27"/>
    </row>
    <row r="20" spans="1:21" ht="14.5">
      <c r="A20" s="129"/>
      <c r="B20" s="27">
        <v>44135</v>
      </c>
      <c r="C20">
        <v>100.18133899999999</v>
      </c>
      <c r="D20">
        <v>99.989000000000004</v>
      </c>
      <c r="E20">
        <v>109.262445</v>
      </c>
      <c r="H20" s="27">
        <v>42521</v>
      </c>
      <c r="R20">
        <v>103.9205</v>
      </c>
      <c r="S20">
        <v>100.33799999999999</v>
      </c>
      <c r="U20" s="27"/>
    </row>
    <row r="21" spans="1:21" ht="14.5">
      <c r="A21" s="129"/>
      <c r="B21" s="27">
        <v>44104</v>
      </c>
      <c r="C21">
        <v>100.15642800000001</v>
      </c>
      <c r="D21">
        <v>99.921999999999997</v>
      </c>
      <c r="E21">
        <v>108.99351799999999</v>
      </c>
      <c r="H21" s="27">
        <v>42490</v>
      </c>
      <c r="R21">
        <v>103.8955</v>
      </c>
      <c r="S21">
        <v>100.307</v>
      </c>
      <c r="U21" s="27"/>
    </row>
    <row r="22" spans="1:21" ht="14.5">
      <c r="A22" s="129"/>
      <c r="B22" s="27">
        <v>44074</v>
      </c>
      <c r="C22">
        <v>100.112151</v>
      </c>
      <c r="D22">
        <v>99.887</v>
      </c>
      <c r="E22">
        <v>108.573818</v>
      </c>
      <c r="H22" s="27">
        <v>42460</v>
      </c>
      <c r="R22">
        <v>104.0005</v>
      </c>
      <c r="S22">
        <v>100.28700000000001</v>
      </c>
      <c r="U22" s="27"/>
    </row>
    <row r="23" spans="1:21" ht="14.5">
      <c r="A23" s="129"/>
      <c r="B23" s="27">
        <v>44043</v>
      </c>
      <c r="C23">
        <v>100.062377</v>
      </c>
      <c r="D23">
        <v>99.885000000000005</v>
      </c>
      <c r="E23">
        <v>108.511718</v>
      </c>
      <c r="H23" s="27">
        <v>42429</v>
      </c>
      <c r="R23">
        <v>104.3635</v>
      </c>
      <c r="S23">
        <v>100.351</v>
      </c>
      <c r="U23" s="27"/>
    </row>
    <row r="24" spans="1:21" ht="14.5">
      <c r="A24" s="129"/>
      <c r="B24" s="27">
        <v>44012</v>
      </c>
      <c r="C24">
        <v>100.064859</v>
      </c>
      <c r="D24">
        <v>99.781000000000006</v>
      </c>
      <c r="E24">
        <v>108.04131599999999</v>
      </c>
      <c r="H24" s="27">
        <v>42400</v>
      </c>
      <c r="R24">
        <v>104.6555</v>
      </c>
      <c r="S24">
        <v>100.38800000000001</v>
      </c>
      <c r="U24" s="27"/>
    </row>
    <row r="25" spans="1:21" ht="14.5">
      <c r="A25" s="129"/>
      <c r="B25" s="27">
        <v>43982</v>
      </c>
      <c r="C25">
        <v>99.891930000000002</v>
      </c>
      <c r="D25">
        <v>99.622</v>
      </c>
      <c r="E25">
        <v>107.310129</v>
      </c>
      <c r="H25" s="27">
        <v>42369</v>
      </c>
      <c r="R25">
        <v>104.6405</v>
      </c>
      <c r="S25">
        <v>100.4025</v>
      </c>
      <c r="U25" s="27"/>
    </row>
    <row r="26" spans="1:21" ht="14.5">
      <c r="A26" s="129"/>
      <c r="B26" s="27">
        <v>43951</v>
      </c>
      <c r="C26">
        <v>99.792899000000006</v>
      </c>
      <c r="D26">
        <v>99.268000000000001</v>
      </c>
      <c r="E26">
        <v>106.505914</v>
      </c>
      <c r="H26" s="27">
        <v>42338</v>
      </c>
      <c r="R26">
        <v>104.922</v>
      </c>
      <c r="S26">
        <v>100.4635</v>
      </c>
      <c r="U26" s="27"/>
    </row>
    <row r="27" spans="1:21" ht="14.5">
      <c r="A27" s="129"/>
      <c r="B27" s="27">
        <v>43921</v>
      </c>
      <c r="C27">
        <v>99.951458000000002</v>
      </c>
      <c r="D27">
        <v>99.241</v>
      </c>
      <c r="E27">
        <v>107.15355599999999</v>
      </c>
      <c r="H27" s="27">
        <v>42308</v>
      </c>
      <c r="R27">
        <v>105.58199999999999</v>
      </c>
      <c r="S27">
        <v>100.5445</v>
      </c>
      <c r="U27" s="27"/>
    </row>
    <row r="28" spans="1:21" ht="14.5">
      <c r="A28" s="129"/>
      <c r="B28" s="27">
        <v>43890</v>
      </c>
      <c r="C28">
        <v>100.38464999999999</v>
      </c>
      <c r="D28">
        <v>99.983999999999995</v>
      </c>
      <c r="E28">
        <v>108.980834</v>
      </c>
      <c r="H28" s="27">
        <v>42277</v>
      </c>
      <c r="R28">
        <v>105.691</v>
      </c>
      <c r="S28">
        <v>100.5715</v>
      </c>
      <c r="U28" s="27"/>
    </row>
    <row r="29" spans="1:21" ht="14.5">
      <c r="A29" s="129"/>
      <c r="B29" s="27">
        <v>43861</v>
      </c>
      <c r="C29">
        <v>100.397019</v>
      </c>
      <c r="D29">
        <v>100.01900000000001</v>
      </c>
      <c r="E29">
        <v>108.52016999999999</v>
      </c>
      <c r="H29" s="27">
        <v>42247</v>
      </c>
      <c r="R29">
        <v>106.083</v>
      </c>
      <c r="S29">
        <v>100.6575</v>
      </c>
      <c r="U29" s="27"/>
    </row>
    <row r="30" spans="1:21" ht="14.5">
      <c r="A30" s="129"/>
      <c r="B30" s="27">
        <v>43830</v>
      </c>
      <c r="C30">
        <v>100.334596</v>
      </c>
      <c r="D30">
        <v>99.977000000000004</v>
      </c>
      <c r="E30">
        <v>106.62008899999999</v>
      </c>
      <c r="H30" s="27">
        <v>42216</v>
      </c>
      <c r="P30">
        <v>100.139</v>
      </c>
      <c r="R30">
        <v>106.01900000000001</v>
      </c>
      <c r="S30">
        <v>100.7205</v>
      </c>
      <c r="U30" s="27"/>
    </row>
    <row r="31" spans="1:21" ht="14.5">
      <c r="A31" s="129"/>
      <c r="B31" s="27">
        <v>43799</v>
      </c>
      <c r="C31">
        <v>100.30383500000001</v>
      </c>
      <c r="D31">
        <v>99.945999999999998</v>
      </c>
      <c r="E31">
        <v>108.235078</v>
      </c>
      <c r="H31" s="27">
        <v>42185</v>
      </c>
      <c r="P31">
        <v>100.139</v>
      </c>
      <c r="R31">
        <v>105.988</v>
      </c>
      <c r="S31">
        <v>100.7765</v>
      </c>
      <c r="U31" s="27"/>
    </row>
    <row r="32" spans="1:21" ht="14.5">
      <c r="A32" s="129"/>
      <c r="B32" s="27">
        <v>43769</v>
      </c>
      <c r="C32">
        <v>100.391105</v>
      </c>
      <c r="D32">
        <v>99.914000000000001</v>
      </c>
      <c r="E32">
        <v>107.453789</v>
      </c>
      <c r="H32" s="27">
        <v>42155</v>
      </c>
      <c r="P32">
        <v>100.116</v>
      </c>
      <c r="R32">
        <v>106.58150000000001</v>
      </c>
      <c r="S32">
        <v>100.87949999999999</v>
      </c>
      <c r="U32" s="27"/>
    </row>
    <row r="33" spans="1:21" ht="14.5">
      <c r="A33" s="129"/>
      <c r="B33" s="27">
        <v>43738</v>
      </c>
      <c r="C33">
        <v>100.405188</v>
      </c>
      <c r="D33">
        <v>99.915000000000006</v>
      </c>
      <c r="E33">
        <v>108.022054</v>
      </c>
      <c r="H33" s="27">
        <v>42124</v>
      </c>
      <c r="P33">
        <v>100.066</v>
      </c>
      <c r="R33">
        <v>106.60899999999999</v>
      </c>
      <c r="S33">
        <v>100.89749999999999</v>
      </c>
      <c r="U33" s="27"/>
    </row>
    <row r="34" spans="1:21" ht="14.5">
      <c r="A34" s="129"/>
      <c r="B34" s="27">
        <v>43708</v>
      </c>
      <c r="C34">
        <v>100.358717</v>
      </c>
      <c r="D34">
        <v>99.908000000000001</v>
      </c>
      <c r="E34">
        <v>108.163631</v>
      </c>
      <c r="H34" s="27">
        <v>42094</v>
      </c>
      <c r="P34">
        <v>100.05800000000001</v>
      </c>
      <c r="R34">
        <v>107.29349999999999</v>
      </c>
      <c r="S34">
        <v>100.90300000000001</v>
      </c>
      <c r="U34" s="27"/>
    </row>
    <row r="35" spans="1:21" ht="14.5">
      <c r="A35" s="129"/>
      <c r="B35" s="27">
        <v>43677</v>
      </c>
      <c r="C35">
        <v>100.374478</v>
      </c>
      <c r="D35">
        <v>100.017</v>
      </c>
      <c r="E35">
        <v>107.576066</v>
      </c>
      <c r="H35" s="27">
        <v>42063</v>
      </c>
      <c r="P35">
        <v>100.066575</v>
      </c>
      <c r="R35">
        <v>107.210261</v>
      </c>
      <c r="S35">
        <v>100.894847</v>
      </c>
      <c r="U35" s="27"/>
    </row>
    <row r="36" spans="1:21" ht="14.5">
      <c r="A36" s="129"/>
      <c r="B36" s="27">
        <v>43646</v>
      </c>
      <c r="C36">
        <v>100.359438</v>
      </c>
      <c r="D36">
        <v>99.796999999999997</v>
      </c>
      <c r="E36">
        <v>106.504806</v>
      </c>
      <c r="H36" s="27">
        <v>42035</v>
      </c>
      <c r="P36">
        <v>99.994242999999997</v>
      </c>
      <c r="R36">
        <v>107.10476300000001</v>
      </c>
      <c r="S36">
        <v>100.90622399999999</v>
      </c>
      <c r="U36" s="27"/>
    </row>
    <row r="37" spans="1:21" ht="14.5">
      <c r="A37" s="129"/>
      <c r="B37" s="27">
        <v>43616</v>
      </c>
      <c r="C37">
        <v>100.218143</v>
      </c>
      <c r="D37">
        <v>99.817999999999998</v>
      </c>
      <c r="E37">
        <v>105.638361</v>
      </c>
      <c r="H37" s="27">
        <v>42004</v>
      </c>
      <c r="P37">
        <v>99.913426999999999</v>
      </c>
      <c r="R37">
        <v>106.825934</v>
      </c>
      <c r="S37">
        <v>100.95151300000001</v>
      </c>
      <c r="U37" s="27"/>
    </row>
    <row r="38" spans="1:21" ht="14.5">
      <c r="A38" s="129"/>
      <c r="B38" s="27">
        <v>43585</v>
      </c>
      <c r="C38">
        <v>100.30269800000001</v>
      </c>
      <c r="D38">
        <v>99.796000000000006</v>
      </c>
      <c r="E38">
        <v>104.250294</v>
      </c>
      <c r="H38" s="27">
        <v>41973</v>
      </c>
      <c r="P38">
        <v>99.892854999999997</v>
      </c>
      <c r="R38">
        <v>106.307997</v>
      </c>
      <c r="S38">
        <v>100.977407</v>
      </c>
      <c r="U38" s="27"/>
    </row>
    <row r="39" spans="1:21" ht="14.5">
      <c r="A39" s="129"/>
      <c r="B39" s="27">
        <v>43555</v>
      </c>
      <c r="C39">
        <v>100.211336</v>
      </c>
      <c r="D39">
        <v>99.644999999999996</v>
      </c>
      <c r="E39">
        <v>103.931951</v>
      </c>
      <c r="H39" s="27">
        <v>41943</v>
      </c>
      <c r="P39">
        <v>99.813426000000007</v>
      </c>
      <c r="R39">
        <v>106.17320100000001</v>
      </c>
      <c r="S39">
        <v>101.030475</v>
      </c>
      <c r="U39" s="27"/>
    </row>
    <row r="40" spans="1:21" ht="14.5">
      <c r="A40" s="129"/>
      <c r="B40" s="27">
        <v>43524</v>
      </c>
      <c r="C40">
        <v>100.262124</v>
      </c>
      <c r="D40">
        <v>99.623999999999995</v>
      </c>
      <c r="E40">
        <v>102.14592399999999</v>
      </c>
      <c r="H40" s="27">
        <v>41912</v>
      </c>
      <c r="P40">
        <v>99.492024000000001</v>
      </c>
      <c r="R40">
        <v>106.111996</v>
      </c>
      <c r="S40">
        <v>101.034865</v>
      </c>
      <c r="U40" s="27"/>
    </row>
    <row r="41" spans="1:21" ht="14.5">
      <c r="A41" s="129"/>
      <c r="B41" s="27">
        <v>43496</v>
      </c>
      <c r="C41">
        <v>100.228133</v>
      </c>
      <c r="D41">
        <v>99.521000000000001</v>
      </c>
      <c r="E41">
        <v>101.18601099999999</v>
      </c>
      <c r="H41" s="27">
        <v>41882</v>
      </c>
      <c r="P41">
        <v>99.438079000000002</v>
      </c>
      <c r="R41">
        <v>106.451425</v>
      </c>
      <c r="S41">
        <v>101.182789</v>
      </c>
      <c r="U41" s="27"/>
    </row>
    <row r="42" spans="1:21" ht="14.5">
      <c r="A42" s="129"/>
      <c r="B42" s="27">
        <v>43465</v>
      </c>
      <c r="C42">
        <v>100.187308</v>
      </c>
      <c r="D42">
        <v>99.412999999999997</v>
      </c>
      <c r="E42">
        <v>100.817561</v>
      </c>
      <c r="H42" s="27">
        <v>41851</v>
      </c>
      <c r="P42">
        <v>99.438614000000001</v>
      </c>
      <c r="R42">
        <v>106.470679</v>
      </c>
      <c r="S42">
        <v>101.087119</v>
      </c>
      <c r="U42" s="27"/>
    </row>
    <row r="43" spans="1:21" ht="14.5">
      <c r="A43" s="129"/>
      <c r="B43" s="27">
        <v>43434</v>
      </c>
      <c r="C43">
        <v>100.28061</v>
      </c>
      <c r="D43">
        <v>99.975999999999999</v>
      </c>
      <c r="E43">
        <v>99.955251000000004</v>
      </c>
      <c r="H43" s="27">
        <v>41820</v>
      </c>
      <c r="P43">
        <v>99.451307999999997</v>
      </c>
      <c r="R43">
        <v>106.588318</v>
      </c>
      <c r="S43">
        <v>101.14922</v>
      </c>
      <c r="U43" s="27"/>
    </row>
    <row r="44" spans="1:21" ht="14.5">
      <c r="A44" s="129"/>
      <c r="B44" s="27">
        <v>43404</v>
      </c>
      <c r="C44">
        <v>100.392695</v>
      </c>
      <c r="D44">
        <v>100.024</v>
      </c>
      <c r="E44">
        <v>100.240724</v>
      </c>
      <c r="H44" s="27">
        <v>41790</v>
      </c>
      <c r="P44">
        <v>99.435073000000003</v>
      </c>
      <c r="R44">
        <v>106.417492</v>
      </c>
      <c r="S44">
        <v>101.122073</v>
      </c>
      <c r="U44" s="27"/>
    </row>
    <row r="45" spans="1:21" ht="14.5">
      <c r="A45" s="129"/>
      <c r="B45" s="27">
        <v>43373</v>
      </c>
      <c r="C45">
        <v>100.36575499999999</v>
      </c>
      <c r="D45">
        <v>100.02</v>
      </c>
      <c r="E45">
        <v>99.814499999999995</v>
      </c>
      <c r="H45" s="27">
        <v>41759</v>
      </c>
      <c r="P45">
        <v>99.396147999999997</v>
      </c>
      <c r="R45">
        <v>106.04036499999999</v>
      </c>
      <c r="S45">
        <v>101.171527</v>
      </c>
      <c r="U45" s="27"/>
    </row>
    <row r="46" spans="1:21" ht="14.5">
      <c r="A46" s="129"/>
      <c r="B46" s="27">
        <v>43343</v>
      </c>
      <c r="C46">
        <v>100.337738</v>
      </c>
      <c r="D46">
        <v>99.929000000000002</v>
      </c>
      <c r="E46">
        <v>100.45650000000001</v>
      </c>
      <c r="H46" s="27">
        <v>41729</v>
      </c>
      <c r="P46">
        <v>99.453999999999994</v>
      </c>
      <c r="R46">
        <v>105.76614600000001</v>
      </c>
      <c r="S46">
        <v>100.801852</v>
      </c>
      <c r="U46" s="27"/>
    </row>
    <row r="47" spans="1:21" ht="14.5">
      <c r="A47" s="129"/>
      <c r="B47" s="27">
        <v>43312</v>
      </c>
      <c r="C47">
        <v>100.341466</v>
      </c>
      <c r="D47">
        <v>99.938000000000002</v>
      </c>
      <c r="E47">
        <v>99.408195000000006</v>
      </c>
      <c r="H47" s="27">
        <v>41698</v>
      </c>
      <c r="P47">
        <v>99.238</v>
      </c>
      <c r="R47">
        <v>106.284623</v>
      </c>
      <c r="S47">
        <v>100.82016400000001</v>
      </c>
      <c r="U47" s="27"/>
    </row>
    <row r="48" spans="1:21" ht="14.5">
      <c r="A48" s="129"/>
      <c r="B48" s="27">
        <v>43281</v>
      </c>
      <c r="C48">
        <v>100.285433</v>
      </c>
      <c r="D48">
        <v>99.914000000000001</v>
      </c>
      <c r="E48">
        <v>99.612271000000007</v>
      </c>
      <c r="H48" s="27">
        <v>41670</v>
      </c>
      <c r="P48">
        <v>99.195999999999998</v>
      </c>
      <c r="R48">
        <v>106.278747</v>
      </c>
      <c r="S48">
        <v>100.83834899999999</v>
      </c>
      <c r="U48" s="27"/>
    </row>
    <row r="49" spans="1:21" ht="14.5">
      <c r="A49" s="129"/>
      <c r="B49" s="27">
        <v>43251</v>
      </c>
      <c r="C49">
        <v>100.309736</v>
      </c>
      <c r="D49">
        <v>99.923000000000002</v>
      </c>
      <c r="E49">
        <v>99.496129999999994</v>
      </c>
      <c r="H49" s="27">
        <v>41639</v>
      </c>
      <c r="P49">
        <v>99.13</v>
      </c>
      <c r="R49">
        <v>105.899379</v>
      </c>
      <c r="S49">
        <v>100.854434</v>
      </c>
      <c r="U49" s="27"/>
    </row>
    <row r="50" spans="1:21" ht="14.5">
      <c r="A50" s="129"/>
      <c r="B50" s="27">
        <v>43220</v>
      </c>
      <c r="C50">
        <v>100.376761</v>
      </c>
      <c r="D50">
        <v>99.936000000000007</v>
      </c>
      <c r="E50">
        <v>99.091823000000005</v>
      </c>
      <c r="H50" s="27">
        <v>41608</v>
      </c>
      <c r="P50">
        <v>99.075000000000003</v>
      </c>
      <c r="R50">
        <v>105.818539</v>
      </c>
      <c r="S50">
        <v>100.86967</v>
      </c>
      <c r="U50" s="27"/>
    </row>
    <row r="51" spans="1:21" ht="14.5">
      <c r="A51" s="129"/>
      <c r="B51" s="27">
        <v>43190</v>
      </c>
      <c r="C51">
        <v>100.377697</v>
      </c>
      <c r="D51">
        <v>99.927000000000007</v>
      </c>
      <c r="E51">
        <v>99.678802000000005</v>
      </c>
      <c r="H51" s="27">
        <v>41578</v>
      </c>
      <c r="P51">
        <v>99.022999999999996</v>
      </c>
      <c r="R51">
        <v>106.08027300000001</v>
      </c>
      <c r="S51">
        <v>100.885723</v>
      </c>
      <c r="U51" s="27"/>
    </row>
    <row r="52" spans="1:21" ht="14.5">
      <c r="A52" s="129"/>
      <c r="B52" s="27">
        <v>43159</v>
      </c>
      <c r="C52">
        <v>100.41513399999999</v>
      </c>
      <c r="D52">
        <v>100.13800000000001</v>
      </c>
      <c r="E52">
        <v>99.126481999999996</v>
      </c>
      <c r="H52" s="27">
        <v>41547</v>
      </c>
      <c r="P52">
        <v>98.807000000000002</v>
      </c>
      <c r="R52">
        <v>106.201731</v>
      </c>
      <c r="S52">
        <v>100.83591300000001</v>
      </c>
      <c r="U52" s="27"/>
    </row>
    <row r="53" spans="1:21" ht="14.5">
      <c r="A53" s="129"/>
      <c r="B53" s="27">
        <v>43131</v>
      </c>
      <c r="C53">
        <v>100.382659</v>
      </c>
      <c r="D53">
        <v>100.133</v>
      </c>
      <c r="E53">
        <v>98.825419999999994</v>
      </c>
      <c r="H53" s="27">
        <v>41517</v>
      </c>
      <c r="P53">
        <v>98.757999999999996</v>
      </c>
      <c r="R53">
        <v>106.49056400000001</v>
      </c>
      <c r="S53">
        <v>100.872806</v>
      </c>
      <c r="U53" s="27"/>
    </row>
    <row r="54" spans="1:21" ht="14.5">
      <c r="A54" s="129"/>
      <c r="B54" s="27">
        <v>43039</v>
      </c>
      <c r="C54">
        <v>100.216651</v>
      </c>
      <c r="E54">
        <v>99.367030999999997</v>
      </c>
      <c r="H54" s="27">
        <v>41486</v>
      </c>
      <c r="P54">
        <v>98.700999999999993</v>
      </c>
      <c r="R54">
        <v>107.301829</v>
      </c>
      <c r="S54">
        <v>100.889386</v>
      </c>
      <c r="U54" s="27"/>
    </row>
    <row r="55" spans="1:21" ht="14.5">
      <c r="A55" s="129"/>
      <c r="B55" s="27">
        <v>43008</v>
      </c>
      <c r="C55">
        <v>100.228852</v>
      </c>
      <c r="E55">
        <v>100.325219</v>
      </c>
      <c r="H55" s="27">
        <v>41455</v>
      </c>
      <c r="P55">
        <v>98.628</v>
      </c>
      <c r="R55">
        <v>106.428409</v>
      </c>
      <c r="S55">
        <v>100.879115</v>
      </c>
      <c r="U55" s="27"/>
    </row>
    <row r="56" spans="1:21" ht="14.5">
      <c r="A56" s="129"/>
      <c r="B56" s="27">
        <v>42978</v>
      </c>
      <c r="C56">
        <v>100.280591</v>
      </c>
      <c r="E56">
        <v>99.417415000000005</v>
      </c>
      <c r="H56" s="27">
        <v>41425</v>
      </c>
      <c r="P56">
        <v>98.795000000000002</v>
      </c>
      <c r="R56">
        <v>107.56953799999999</v>
      </c>
      <c r="S56">
        <v>101.11428600000001</v>
      </c>
      <c r="U56" s="27"/>
    </row>
    <row r="57" spans="1:21" ht="14.5">
      <c r="A57" s="129"/>
      <c r="B57" s="27">
        <v>43008</v>
      </c>
      <c r="C57">
        <v>100.108718</v>
      </c>
      <c r="E57">
        <v>98.013549999999995</v>
      </c>
      <c r="H57" s="27">
        <v>41394</v>
      </c>
      <c r="P57">
        <v>98.108000000000004</v>
      </c>
      <c r="R57">
        <v>107.571759</v>
      </c>
      <c r="S57">
        <v>100.732901</v>
      </c>
      <c r="U57" s="27"/>
    </row>
    <row r="58" spans="1:21" ht="14.5">
      <c r="A58" s="129"/>
      <c r="B58" s="27">
        <v>42978</v>
      </c>
      <c r="C58">
        <v>100.108181</v>
      </c>
      <c r="E58">
        <v>99.987252999999995</v>
      </c>
      <c r="H58" s="27">
        <v>41364</v>
      </c>
      <c r="P58">
        <v>98.016999999999996</v>
      </c>
      <c r="R58">
        <v>106.29451899999999</v>
      </c>
      <c r="S58">
        <v>100.71535799999999</v>
      </c>
      <c r="U58" s="27"/>
    </row>
    <row r="59" spans="1:21">
      <c r="H59" s="27">
        <v>41333</v>
      </c>
      <c r="P59">
        <v>97.956999999999994</v>
      </c>
      <c r="R59">
        <v>107.045923</v>
      </c>
      <c r="S59">
        <v>100.106582</v>
      </c>
      <c r="U59" s="27"/>
    </row>
    <row r="60" spans="1:21">
      <c r="H60" s="27">
        <v>41305</v>
      </c>
      <c r="P60">
        <v>97.936999999999998</v>
      </c>
      <c r="R60">
        <v>106.791455</v>
      </c>
      <c r="S60">
        <v>100.11583299999999</v>
      </c>
      <c r="U60" s="27"/>
    </row>
    <row r="61" spans="1:21">
      <c r="H61" s="27">
        <v>41274</v>
      </c>
      <c r="P61">
        <v>97.561999999999998</v>
      </c>
      <c r="R61">
        <v>107.015396</v>
      </c>
      <c r="S61">
        <v>100.107029</v>
      </c>
      <c r="U61" s="27"/>
    </row>
    <row r="62" spans="1:21">
      <c r="H62" s="27">
        <v>41243</v>
      </c>
      <c r="P62">
        <v>96.997</v>
      </c>
      <c r="R62">
        <v>106.94402599999999</v>
      </c>
      <c r="S62">
        <v>100.204571</v>
      </c>
      <c r="U62" s="27"/>
    </row>
    <row r="63" spans="1:21">
      <c r="H63" s="27">
        <v>41213</v>
      </c>
      <c r="P63">
        <v>95.429000000000002</v>
      </c>
      <c r="R63">
        <v>107.24069900000001</v>
      </c>
      <c r="U63" s="27"/>
    </row>
    <row r="64" spans="1:21">
      <c r="H64" s="27">
        <v>41182</v>
      </c>
      <c r="P64">
        <v>94.781000000000006</v>
      </c>
      <c r="R64">
        <v>107.812658</v>
      </c>
      <c r="U64" s="27"/>
    </row>
    <row r="65" spans="8:21">
      <c r="H65" s="27">
        <v>41152</v>
      </c>
      <c r="P65">
        <v>94.650999999999996</v>
      </c>
      <c r="R65">
        <v>105.87097799999999</v>
      </c>
      <c r="U65" s="27"/>
    </row>
    <row r="66" spans="8:21">
      <c r="H66" s="27">
        <v>41121</v>
      </c>
      <c r="P66">
        <v>94.501000000000005</v>
      </c>
      <c r="R66">
        <v>105.077187</v>
      </c>
      <c r="U66" s="27"/>
    </row>
    <row r="67" spans="8:21">
      <c r="H67" s="27">
        <v>41090</v>
      </c>
      <c r="P67">
        <v>94.402000000000001</v>
      </c>
      <c r="R67">
        <v>105.014771</v>
      </c>
      <c r="U67" s="27"/>
    </row>
    <row r="68" spans="8:21">
      <c r="H68" s="27">
        <v>41060</v>
      </c>
      <c r="P68">
        <v>94.31</v>
      </c>
      <c r="R68">
        <v>105.67810900000001</v>
      </c>
      <c r="U68" s="27"/>
    </row>
    <row r="69" spans="8:21">
      <c r="H69" s="27">
        <v>41029</v>
      </c>
      <c r="P69">
        <v>94.168000000000006</v>
      </c>
      <c r="R69">
        <v>102.742006</v>
      </c>
      <c r="U69" s="27"/>
    </row>
    <row r="70" spans="8:21">
      <c r="H70" s="27">
        <v>40999</v>
      </c>
      <c r="P70">
        <v>94.042000000000002</v>
      </c>
      <c r="R70">
        <v>101.37421000000001</v>
      </c>
      <c r="U70" s="27"/>
    </row>
    <row r="71" spans="8:21">
      <c r="H71" s="27">
        <v>40968</v>
      </c>
      <c r="P71">
        <v>93.915999999999997</v>
      </c>
      <c r="U71" s="27"/>
    </row>
    <row r="72" spans="8:21">
      <c r="H72" s="27">
        <v>40939</v>
      </c>
      <c r="P72">
        <v>93.766000000000005</v>
      </c>
      <c r="U72" s="27"/>
    </row>
    <row r="73" spans="8:21">
      <c r="H73" s="27">
        <v>40908</v>
      </c>
      <c r="P73">
        <v>93.634</v>
      </c>
      <c r="U73" s="27"/>
    </row>
    <row r="74" spans="8:21">
      <c r="H74" s="27">
        <v>40877</v>
      </c>
      <c r="P74">
        <v>93.504000000000005</v>
      </c>
      <c r="U74" s="27"/>
    </row>
    <row r="75" spans="8:21">
      <c r="H75" s="27">
        <v>40847</v>
      </c>
      <c r="P75">
        <v>93.41</v>
      </c>
      <c r="U75" s="27"/>
    </row>
    <row r="76" spans="8:21">
      <c r="H76" s="27">
        <v>40816</v>
      </c>
      <c r="P76">
        <v>93.25</v>
      </c>
      <c r="U76" s="27"/>
    </row>
    <row r="77" spans="8:21">
      <c r="H77" s="27">
        <v>40786</v>
      </c>
      <c r="P77">
        <v>93.156000000000006</v>
      </c>
      <c r="U77" s="27"/>
    </row>
    <row r="78" spans="8:21">
      <c r="H78" s="27">
        <v>40755</v>
      </c>
      <c r="P78">
        <v>93.070999999999998</v>
      </c>
      <c r="U78" s="27"/>
    </row>
    <row r="79" spans="8:21">
      <c r="H79" s="27">
        <v>40724</v>
      </c>
      <c r="P79">
        <v>87.396000000000001</v>
      </c>
      <c r="U79" s="27"/>
    </row>
    <row r="80" spans="8:21">
      <c r="H80" s="27">
        <v>40694</v>
      </c>
      <c r="P80">
        <v>87.396000000000001</v>
      </c>
      <c r="U80" s="27"/>
    </row>
    <row r="81" spans="8:21">
      <c r="H81" s="27">
        <v>40663</v>
      </c>
      <c r="P81">
        <v>87.396000000000001</v>
      </c>
      <c r="U81" s="27"/>
    </row>
    <row r="82" spans="8:21">
      <c r="H82" s="27">
        <v>40633</v>
      </c>
      <c r="P82">
        <v>87.396000000000001</v>
      </c>
      <c r="U82" s="27"/>
    </row>
    <row r="83" spans="8:21">
      <c r="H83" s="27">
        <v>40602</v>
      </c>
      <c r="P83">
        <v>87.396000000000001</v>
      </c>
      <c r="U83" s="27"/>
    </row>
    <row r="84" spans="8:21">
      <c r="H84" s="27">
        <v>40574</v>
      </c>
      <c r="P84">
        <v>87.396000000000001</v>
      </c>
      <c r="U84" s="27"/>
    </row>
    <row r="85" spans="8:21">
      <c r="H85" s="27">
        <v>40543</v>
      </c>
      <c r="P85">
        <v>87.396000000000001</v>
      </c>
      <c r="U85" s="27"/>
    </row>
    <row r="86" spans="8:21">
      <c r="H86" s="27">
        <v>40512</v>
      </c>
      <c r="P86">
        <v>87.396000000000001</v>
      </c>
      <c r="U86" s="27"/>
    </row>
    <row r="87" spans="8:21">
      <c r="H87" s="27">
        <v>40482</v>
      </c>
      <c r="P87">
        <v>87.396000000000001</v>
      </c>
      <c r="U87" s="27"/>
    </row>
    <row r="88" spans="8:21">
      <c r="H88" s="27">
        <v>40451</v>
      </c>
      <c r="P88">
        <v>87.396000000000001</v>
      </c>
      <c r="U88" s="27"/>
    </row>
    <row r="89" spans="8:21">
      <c r="H89" s="27">
        <v>40421</v>
      </c>
      <c r="P89">
        <v>87.396000000000001</v>
      </c>
      <c r="U89" s="27"/>
    </row>
    <row r="90" spans="8:21">
      <c r="H90" s="27">
        <v>40390</v>
      </c>
      <c r="P90">
        <v>87.396000000000001</v>
      </c>
      <c r="U90" s="27"/>
    </row>
    <row r="91" spans="8:21">
      <c r="H91" s="27">
        <v>40359</v>
      </c>
      <c r="P91">
        <v>87.396000000000001</v>
      </c>
      <c r="U91" s="27"/>
    </row>
    <row r="92" spans="8:21">
      <c r="H92" s="27">
        <v>40329</v>
      </c>
      <c r="P92">
        <v>87.396000000000001</v>
      </c>
      <c r="U92" s="27"/>
    </row>
    <row r="93" spans="8:21">
      <c r="H93" s="27">
        <v>40298</v>
      </c>
      <c r="P93">
        <v>87.396000000000001</v>
      </c>
      <c r="U93" s="27"/>
    </row>
    <row r="94" spans="8:21">
      <c r="H94" s="27">
        <v>40268</v>
      </c>
      <c r="P94">
        <v>87.396000000000001</v>
      </c>
      <c r="U94" s="27"/>
    </row>
    <row r="95" spans="8:21">
      <c r="H95" s="27">
        <v>40237</v>
      </c>
      <c r="P95">
        <v>87.396000000000001</v>
      </c>
      <c r="U95" s="27"/>
    </row>
    <row r="96" spans="8:21">
      <c r="H96" s="27">
        <v>40209</v>
      </c>
      <c r="P96">
        <v>87.396000000000001</v>
      </c>
      <c r="U96" s="27"/>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26E4B9-3E68-4830-8B39-C21F4A2B1A58}">
  <sheetPr>
    <tabColor theme="0" tint="-0.249977111117893"/>
  </sheetPr>
  <dimension ref="A1:AI159"/>
  <sheetViews>
    <sheetView workbookViewId="0">
      <selection activeCell="G95" sqref="G95"/>
    </sheetView>
  </sheetViews>
  <sheetFormatPr defaultRowHeight="14.25"/>
  <cols>
    <col min="1" max="1" width="35.83203125" bestFit="1" customWidth="1"/>
    <col min="2" max="2" width="14" bestFit="1" customWidth="1"/>
    <col min="3" max="3" width="22.33203125" customWidth="1"/>
    <col min="4" max="4" width="30" customWidth="1"/>
    <col min="5" max="5" width="12.5" bestFit="1" customWidth="1"/>
    <col min="6" max="6" width="13.5" bestFit="1" customWidth="1"/>
    <col min="7" max="7" width="13.58203125" bestFit="1" customWidth="1"/>
    <col min="8" max="8" width="13.5" bestFit="1" customWidth="1"/>
    <col min="9" max="9" width="14.25" bestFit="1" customWidth="1"/>
    <col min="10" max="10" width="12.33203125" bestFit="1" customWidth="1"/>
    <col min="11" max="11" width="11.75" bestFit="1" customWidth="1"/>
    <col min="12" max="12" width="12.08203125" customWidth="1"/>
    <col min="13" max="13" width="10.75" bestFit="1" customWidth="1"/>
    <col min="14" max="14" width="14.58203125" bestFit="1" customWidth="1"/>
    <col min="15" max="15" width="14.75" bestFit="1" customWidth="1"/>
    <col min="16" max="16" width="13.75" bestFit="1" customWidth="1"/>
    <col min="17" max="17" width="19.58203125" bestFit="1" customWidth="1"/>
    <col min="18" max="18" width="15.33203125" bestFit="1" customWidth="1"/>
    <col min="19" max="19" width="21" bestFit="1" customWidth="1"/>
    <col min="20" max="20" width="19.58203125" bestFit="1" customWidth="1"/>
    <col min="21" max="21" width="4.83203125" bestFit="1" customWidth="1"/>
    <col min="22" max="22" width="9" bestFit="1" customWidth="1"/>
    <col min="23" max="23" width="9.58203125" bestFit="1" customWidth="1"/>
    <col min="24" max="24" width="10.75" bestFit="1" customWidth="1"/>
    <col min="25" max="25" width="8.08203125" bestFit="1" customWidth="1"/>
    <col min="26" max="26" width="9.58203125" bestFit="1" customWidth="1"/>
    <col min="27" max="27" width="19.5" bestFit="1" customWidth="1"/>
    <col min="28" max="28" width="11.58203125" bestFit="1" customWidth="1"/>
    <col min="29" max="29" width="16.75" bestFit="1" customWidth="1"/>
    <col min="30" max="30" width="23.25" bestFit="1" customWidth="1"/>
    <col min="31" max="31" width="7.75" bestFit="1" customWidth="1"/>
    <col min="32" max="32" width="10.25" bestFit="1" customWidth="1"/>
    <col min="33" max="33" width="10.83203125" bestFit="1" customWidth="1"/>
  </cols>
  <sheetData>
    <row r="1" spans="1:30" ht="14.75">
      <c r="A1" s="210" t="s">
        <v>1329</v>
      </c>
      <c r="B1" s="210"/>
      <c r="C1" s="210"/>
      <c r="D1" s="210"/>
      <c r="E1" s="210"/>
      <c r="F1" s="210"/>
      <c r="G1" s="210"/>
      <c r="H1" s="210"/>
      <c r="I1" s="210"/>
      <c r="J1" s="210"/>
      <c r="K1" s="210"/>
      <c r="L1" s="210"/>
      <c r="M1" s="210"/>
      <c r="N1" s="210"/>
      <c r="O1" s="210"/>
      <c r="P1" s="210"/>
      <c r="Q1" s="210"/>
      <c r="R1" s="210"/>
      <c r="S1" s="210"/>
      <c r="T1" s="210"/>
      <c r="U1" s="210"/>
      <c r="V1" s="210"/>
      <c r="W1" s="210"/>
      <c r="X1" s="210"/>
      <c r="Y1" s="210"/>
      <c r="Z1" s="210"/>
      <c r="AA1" s="210"/>
      <c r="AB1" s="210"/>
      <c r="AC1" s="210"/>
      <c r="AD1" s="210"/>
    </row>
    <row r="3" spans="1:30" ht="14.75">
      <c r="A3" s="92" t="s">
        <v>386</v>
      </c>
      <c r="B3" s="92"/>
      <c r="C3" s="92"/>
      <c r="D3" s="92"/>
      <c r="E3" s="92"/>
      <c r="F3" s="92"/>
      <c r="G3" s="92"/>
      <c r="H3" s="92"/>
      <c r="I3" s="92"/>
      <c r="J3" s="92"/>
      <c r="K3" s="92"/>
      <c r="L3" s="92"/>
      <c r="M3" s="92"/>
      <c r="N3" s="92"/>
      <c r="O3" s="92"/>
      <c r="P3" s="92"/>
      <c r="Q3" s="92"/>
      <c r="R3" s="92"/>
      <c r="S3" s="92"/>
      <c r="T3" s="92"/>
      <c r="U3" s="92"/>
      <c r="V3" s="92"/>
      <c r="W3" s="92"/>
      <c r="X3" s="92"/>
      <c r="Y3" s="92"/>
      <c r="Z3" s="92"/>
      <c r="AA3" s="92"/>
      <c r="AB3" s="92"/>
      <c r="AC3" s="92"/>
      <c r="AD3" s="92"/>
    </row>
    <row r="4" spans="1:30" ht="14.75">
      <c r="A4" s="92" t="s">
        <v>387</v>
      </c>
      <c r="B4" s="92"/>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row>
    <row r="6" spans="1:30" ht="15.5" thickBot="1">
      <c r="A6" s="211" t="s">
        <v>388</v>
      </c>
      <c r="B6" s="211"/>
      <c r="C6" s="92"/>
      <c r="D6" s="92"/>
      <c r="E6" s="92"/>
      <c r="F6" s="92"/>
      <c r="G6" s="92"/>
      <c r="H6" s="92"/>
      <c r="I6" s="92"/>
      <c r="J6" s="92"/>
      <c r="K6" s="92"/>
      <c r="L6" s="92"/>
      <c r="M6" s="92"/>
      <c r="N6" s="92"/>
      <c r="O6" s="92"/>
      <c r="P6" s="92"/>
      <c r="Q6" s="92"/>
      <c r="R6" s="92"/>
      <c r="S6" s="92"/>
      <c r="T6" s="92"/>
      <c r="U6" s="92"/>
      <c r="V6" s="92"/>
      <c r="W6" s="92"/>
      <c r="X6" s="92"/>
      <c r="Y6" s="92"/>
      <c r="Z6" s="92"/>
      <c r="AA6" s="92"/>
      <c r="AB6" s="92"/>
      <c r="AC6" s="92"/>
      <c r="AD6" s="92"/>
    </row>
    <row r="7" spans="1:30" ht="15.5" thickTop="1">
      <c r="A7" s="92" t="s">
        <v>388</v>
      </c>
      <c r="B7" s="92" t="s">
        <v>1330</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row>
    <row r="8" spans="1:30" ht="14.75">
      <c r="A8" s="92" t="s">
        <v>390</v>
      </c>
      <c r="B8" s="92" t="s">
        <v>1331</v>
      </c>
      <c r="C8" s="92"/>
      <c r="D8" s="92"/>
      <c r="E8" s="92"/>
      <c r="F8" s="92"/>
      <c r="G8" s="92"/>
      <c r="H8" s="92"/>
      <c r="I8" s="92"/>
      <c r="J8" s="92"/>
      <c r="K8" s="92"/>
      <c r="L8" s="92"/>
      <c r="M8" s="92"/>
      <c r="N8" s="92"/>
      <c r="O8" s="92"/>
      <c r="P8" s="92"/>
      <c r="Q8" s="92"/>
      <c r="R8" s="92"/>
      <c r="S8" s="92"/>
      <c r="T8" s="92"/>
      <c r="U8" s="92"/>
      <c r="V8" s="92"/>
      <c r="W8" s="92"/>
      <c r="X8" s="92"/>
      <c r="Y8" s="92"/>
      <c r="Z8" s="92"/>
      <c r="AA8" s="92"/>
      <c r="AB8" s="92"/>
      <c r="AC8" s="92"/>
      <c r="AD8" s="92"/>
    </row>
    <row r="9" spans="1:30" ht="14.75">
      <c r="A9" s="92" t="s">
        <v>392</v>
      </c>
      <c r="B9" s="92" t="s">
        <v>1332</v>
      </c>
      <c r="C9" s="92"/>
      <c r="D9" s="92"/>
      <c r="E9" s="92"/>
      <c r="F9" s="92"/>
      <c r="G9" s="92"/>
      <c r="H9" s="92"/>
      <c r="I9" s="92"/>
      <c r="J9" s="92"/>
      <c r="K9" s="92"/>
      <c r="L9" s="92"/>
      <c r="M9" s="92"/>
      <c r="N9" s="92"/>
      <c r="O9" s="92"/>
      <c r="P9" s="92"/>
      <c r="Q9" s="92"/>
      <c r="R9" s="92"/>
      <c r="S9" s="92"/>
      <c r="T9" s="92"/>
      <c r="U9" s="92"/>
      <c r="V9" s="92"/>
      <c r="W9" s="92"/>
      <c r="X9" s="92"/>
      <c r="Y9" s="92"/>
      <c r="Z9" s="92"/>
      <c r="AA9" s="92"/>
      <c r="AB9" s="92"/>
      <c r="AC9" s="92"/>
      <c r="AD9" s="92"/>
    </row>
    <row r="11" spans="1:30" ht="15.5" thickBot="1">
      <c r="A11" s="211" t="s">
        <v>386</v>
      </c>
      <c r="B11" s="211"/>
      <c r="C11" s="211"/>
      <c r="D11" s="211"/>
      <c r="E11" s="92"/>
      <c r="F11" s="92"/>
      <c r="G11" s="92"/>
      <c r="H11" s="92"/>
      <c r="I11" s="92"/>
      <c r="J11" s="92"/>
      <c r="K11" s="92"/>
      <c r="L11" s="92"/>
      <c r="M11" s="92"/>
      <c r="N11" s="92"/>
      <c r="O11" s="92"/>
      <c r="P11" s="92"/>
      <c r="Q11" s="92"/>
      <c r="R11" s="92"/>
      <c r="S11" s="92"/>
      <c r="T11" s="92"/>
      <c r="U11" s="92"/>
      <c r="V11" s="92"/>
      <c r="W11" s="92"/>
      <c r="X11" s="92"/>
      <c r="Y11" s="92"/>
      <c r="Z11" s="92"/>
      <c r="AA11" s="92"/>
      <c r="AB11" s="92"/>
      <c r="AC11" s="92"/>
      <c r="AD11" s="92"/>
    </row>
    <row r="12" spans="1:30" ht="15.5" thickTop="1">
      <c r="A12" s="101" t="s">
        <v>394</v>
      </c>
      <c r="B12" s="102" t="s">
        <v>395</v>
      </c>
      <c r="C12" s="102" t="s">
        <v>396</v>
      </c>
      <c r="D12" s="102" t="s">
        <v>397</v>
      </c>
      <c r="E12" s="92"/>
      <c r="F12" s="92"/>
      <c r="G12" s="92"/>
      <c r="H12" s="92"/>
      <c r="I12" s="92"/>
      <c r="J12" s="92"/>
      <c r="K12" s="92"/>
      <c r="L12" s="92"/>
      <c r="M12" s="92"/>
      <c r="N12" s="92"/>
      <c r="O12" s="92"/>
      <c r="P12" s="92"/>
      <c r="Q12" s="92"/>
      <c r="R12" s="92"/>
      <c r="S12" s="92"/>
      <c r="T12" s="92"/>
      <c r="U12" s="92"/>
      <c r="V12" s="92"/>
      <c r="W12" s="92"/>
      <c r="X12" s="92"/>
      <c r="Y12" s="92"/>
      <c r="Z12" s="92"/>
      <c r="AA12" s="92"/>
      <c r="AB12" s="92"/>
      <c r="AC12" s="92"/>
      <c r="AD12" s="92"/>
    </row>
    <row r="13" spans="1:30" ht="14.75">
      <c r="A13" s="92" t="s">
        <v>398</v>
      </c>
      <c r="B13" s="99">
        <v>14</v>
      </c>
      <c r="C13" s="99">
        <v>2554328045.0521898</v>
      </c>
      <c r="D13" s="99">
        <v>2554328045.0521898</v>
      </c>
      <c r="E13" s="92"/>
      <c r="F13" s="92"/>
      <c r="G13" s="92"/>
      <c r="H13" s="92"/>
      <c r="I13" s="92"/>
      <c r="J13" s="92"/>
      <c r="K13" s="92"/>
      <c r="L13" s="92"/>
      <c r="M13" s="92"/>
      <c r="N13" s="92"/>
      <c r="O13" s="92"/>
      <c r="P13" s="92"/>
      <c r="Q13" s="92"/>
      <c r="R13" s="92"/>
      <c r="S13" s="92"/>
      <c r="T13" s="92"/>
      <c r="U13" s="92"/>
      <c r="V13" s="92"/>
      <c r="W13" s="92"/>
      <c r="X13" s="92"/>
      <c r="Y13" s="92"/>
      <c r="Z13" s="92"/>
      <c r="AA13" s="92"/>
      <c r="AB13" s="92"/>
      <c r="AC13" s="92"/>
      <c r="AD13" s="92"/>
    </row>
    <row r="14" spans="1:30" ht="14.75">
      <c r="A14" s="92" t="s">
        <v>399</v>
      </c>
      <c r="B14" s="99">
        <v>0</v>
      </c>
      <c r="C14" s="99">
        <v>0</v>
      </c>
      <c r="D14" s="99">
        <v>0</v>
      </c>
      <c r="E14" s="92"/>
      <c r="F14" s="92"/>
      <c r="G14" s="92"/>
      <c r="H14" s="92"/>
      <c r="I14" s="92"/>
      <c r="J14" s="92"/>
      <c r="K14" s="92"/>
      <c r="L14" s="92"/>
      <c r="M14" s="92"/>
      <c r="N14" s="92"/>
      <c r="O14" s="92"/>
      <c r="P14" s="92"/>
      <c r="Q14" s="92"/>
      <c r="R14" s="92"/>
      <c r="S14" s="92"/>
      <c r="T14" s="92"/>
      <c r="U14" s="92"/>
      <c r="V14" s="92"/>
      <c r="W14" s="92"/>
      <c r="X14" s="92"/>
      <c r="Y14" s="92"/>
      <c r="Z14" s="92"/>
      <c r="AA14" s="92"/>
      <c r="AB14" s="92"/>
      <c r="AC14" s="92"/>
      <c r="AD14" s="92"/>
    </row>
    <row r="15" spans="1:30" ht="14.75">
      <c r="A15" s="92" t="s">
        <v>400</v>
      </c>
      <c r="B15" s="99">
        <v>0</v>
      </c>
      <c r="C15" s="99">
        <v>0</v>
      </c>
      <c r="D15" s="99">
        <v>0</v>
      </c>
      <c r="E15" s="92"/>
      <c r="F15" s="92"/>
      <c r="G15" s="92"/>
      <c r="H15" s="92"/>
      <c r="I15" s="92"/>
      <c r="J15" s="92"/>
      <c r="K15" s="92"/>
      <c r="L15" s="92"/>
      <c r="M15" s="92"/>
      <c r="N15" s="92"/>
      <c r="O15" s="92"/>
      <c r="P15" s="92"/>
      <c r="Q15" s="92"/>
      <c r="R15" s="92"/>
      <c r="S15" s="92"/>
      <c r="T15" s="92"/>
      <c r="U15" s="92"/>
      <c r="V15" s="92"/>
      <c r="W15" s="92"/>
      <c r="X15" s="92"/>
      <c r="Y15" s="92"/>
      <c r="Z15" s="92"/>
      <c r="AA15" s="92"/>
      <c r="AB15" s="92"/>
      <c r="AC15" s="92"/>
      <c r="AD15" s="92"/>
    </row>
    <row r="16" spans="1:30" ht="14.75">
      <c r="A16" s="92" t="s">
        <v>401</v>
      </c>
      <c r="B16" s="99">
        <v>0</v>
      </c>
      <c r="C16" s="99">
        <v>0</v>
      </c>
      <c r="D16" s="99">
        <v>0</v>
      </c>
      <c r="E16" s="92"/>
      <c r="F16" s="92"/>
      <c r="G16" s="92"/>
      <c r="H16" s="92"/>
      <c r="I16" s="92"/>
      <c r="J16" s="92"/>
      <c r="K16" s="92"/>
      <c r="L16" s="92"/>
      <c r="M16" s="92"/>
      <c r="N16" s="92"/>
      <c r="O16" s="92"/>
      <c r="P16" s="92"/>
      <c r="Q16" s="92"/>
      <c r="R16" s="92"/>
      <c r="S16" s="92"/>
      <c r="T16" s="92"/>
      <c r="U16" s="92"/>
      <c r="V16" s="92"/>
      <c r="W16" s="92"/>
      <c r="X16" s="92"/>
      <c r="Y16" s="92"/>
      <c r="Z16" s="92"/>
      <c r="AA16" s="92"/>
      <c r="AB16" s="92"/>
      <c r="AC16" s="92"/>
      <c r="AD16" s="92"/>
    </row>
    <row r="17" spans="1:35" ht="14.75">
      <c r="A17" s="92" t="s">
        <v>272</v>
      </c>
      <c r="B17" s="99">
        <v>0</v>
      </c>
      <c r="C17" s="99" t="s">
        <v>1136</v>
      </c>
      <c r="D17" s="99">
        <v>0</v>
      </c>
    </row>
    <row r="18" spans="1:35" ht="15.5" thickBot="1">
      <c r="A18" s="103" t="s">
        <v>89</v>
      </c>
      <c r="B18" s="104">
        <v>14</v>
      </c>
      <c r="C18" s="104">
        <v>2554328045.0521898</v>
      </c>
      <c r="D18" s="104">
        <v>2554328045.0521898</v>
      </c>
    </row>
    <row r="19" spans="1:35" ht="15.5" thickTop="1">
      <c r="A19" s="92" t="s">
        <v>402</v>
      </c>
      <c r="B19" s="99">
        <v>11</v>
      </c>
      <c r="C19" s="99" t="s">
        <v>1136</v>
      </c>
      <c r="D19" s="99">
        <v>2730000000</v>
      </c>
    </row>
    <row r="21" spans="1:35" ht="14.75">
      <c r="A21" s="210" t="s">
        <v>398</v>
      </c>
      <c r="B21" s="210"/>
      <c r="C21" s="210"/>
      <c r="D21" s="210"/>
      <c r="E21" s="210"/>
      <c r="F21" s="210"/>
      <c r="G21" s="210"/>
      <c r="H21" s="210"/>
      <c r="I21" s="210"/>
      <c r="J21" s="210"/>
      <c r="K21" s="210"/>
      <c r="L21" s="210"/>
      <c r="M21" s="210"/>
      <c r="N21" s="210"/>
      <c r="O21" s="210"/>
      <c r="P21" s="210"/>
      <c r="Q21" s="210"/>
      <c r="R21" s="210"/>
      <c r="S21" s="210"/>
      <c r="T21" s="210"/>
      <c r="U21" s="210"/>
      <c r="V21" s="210"/>
      <c r="W21" s="210"/>
      <c r="X21" s="210"/>
      <c r="Y21" s="210"/>
      <c r="Z21" s="210"/>
      <c r="AA21" s="210"/>
      <c r="AB21" s="210"/>
      <c r="AC21" s="210"/>
      <c r="AD21" s="210"/>
      <c r="AE21" s="92"/>
      <c r="AF21" s="92"/>
      <c r="AG21" s="92"/>
      <c r="AH21" s="92"/>
      <c r="AI21" s="92"/>
    </row>
    <row r="22" spans="1:35" ht="14.75">
      <c r="A22" s="93" t="s">
        <v>403</v>
      </c>
      <c r="B22" s="93" t="s">
        <v>404</v>
      </c>
      <c r="C22" s="93" t="s">
        <v>405</v>
      </c>
      <c r="D22" s="94" t="s">
        <v>1151</v>
      </c>
      <c r="E22" s="94" t="s">
        <v>406</v>
      </c>
      <c r="F22" s="94" t="s">
        <v>1128</v>
      </c>
      <c r="G22" s="93" t="s">
        <v>407</v>
      </c>
      <c r="H22" s="93" t="s">
        <v>408</v>
      </c>
      <c r="I22" s="93" t="s">
        <v>409</v>
      </c>
      <c r="J22" s="93" t="s">
        <v>410</v>
      </c>
      <c r="K22" s="93" t="s">
        <v>411</v>
      </c>
      <c r="L22" s="93" t="s">
        <v>412</v>
      </c>
      <c r="M22" s="93" t="s">
        <v>413</v>
      </c>
      <c r="N22" s="93" t="s">
        <v>414</v>
      </c>
      <c r="O22" s="93" t="s">
        <v>415</v>
      </c>
      <c r="P22" s="93" t="s">
        <v>416</v>
      </c>
      <c r="Q22" s="93" t="s">
        <v>417</v>
      </c>
      <c r="R22" s="94" t="s">
        <v>418</v>
      </c>
      <c r="S22" s="94" t="s">
        <v>419</v>
      </c>
      <c r="T22" s="94" t="s">
        <v>1152</v>
      </c>
      <c r="U22" s="94" t="s">
        <v>1153</v>
      </c>
      <c r="V22" s="93" t="s">
        <v>1154</v>
      </c>
      <c r="W22" s="93" t="s">
        <v>1155</v>
      </c>
      <c r="X22" s="93" t="s">
        <v>1156</v>
      </c>
      <c r="Y22" s="94" t="s">
        <v>1157</v>
      </c>
      <c r="Z22" s="93" t="s">
        <v>420</v>
      </c>
      <c r="AA22" s="93" t="s">
        <v>421</v>
      </c>
      <c r="AB22" s="93" t="s">
        <v>1158</v>
      </c>
      <c r="AC22" s="93" t="s">
        <v>422</v>
      </c>
      <c r="AD22" s="93" t="s">
        <v>423</v>
      </c>
      <c r="AE22" s="93" t="s">
        <v>424</v>
      </c>
      <c r="AF22" s="93" t="s">
        <v>425</v>
      </c>
      <c r="AG22" s="93" t="s">
        <v>426</v>
      </c>
      <c r="AH22" s="93" t="s">
        <v>226</v>
      </c>
      <c r="AI22" s="93" t="s">
        <v>427</v>
      </c>
    </row>
    <row r="23" spans="1:35" ht="14.75">
      <c r="A23" s="92" t="s">
        <v>1333</v>
      </c>
      <c r="B23" s="92" t="s">
        <v>429</v>
      </c>
      <c r="C23" s="95">
        <v>45527</v>
      </c>
      <c r="D23" s="96">
        <v>300000000</v>
      </c>
      <c r="E23" s="96">
        <v>300000000</v>
      </c>
      <c r="F23" s="97">
        <v>0.57499999999999996</v>
      </c>
      <c r="G23" s="92" t="s">
        <v>448</v>
      </c>
      <c r="H23" s="92" t="s">
        <v>431</v>
      </c>
      <c r="I23" s="92" t="s">
        <v>432</v>
      </c>
      <c r="J23" s="92" t="s">
        <v>242</v>
      </c>
      <c r="K23" s="92" t="s">
        <v>1334</v>
      </c>
      <c r="L23" s="92" t="s">
        <v>429</v>
      </c>
      <c r="M23" s="95">
        <v>44431</v>
      </c>
      <c r="N23" s="92" t="s">
        <v>434</v>
      </c>
      <c r="O23" s="92" t="s">
        <v>458</v>
      </c>
      <c r="P23" s="92" t="s">
        <v>435</v>
      </c>
      <c r="Q23" s="92" t="s">
        <v>436</v>
      </c>
      <c r="R23" s="98">
        <v>0.20555599999999999</v>
      </c>
      <c r="S23" s="98">
        <v>0</v>
      </c>
      <c r="T23" s="98">
        <v>0</v>
      </c>
      <c r="U23" s="98">
        <v>0.61899599999999999</v>
      </c>
      <c r="V23" s="92" t="s">
        <v>1161</v>
      </c>
      <c r="W23" s="92" t="s">
        <v>1162</v>
      </c>
      <c r="X23" s="95">
        <v>45527</v>
      </c>
      <c r="Y23" s="98">
        <v>99.994103999999993</v>
      </c>
      <c r="Z23" s="92" t="s">
        <v>137</v>
      </c>
      <c r="AA23" s="92" t="s">
        <v>429</v>
      </c>
      <c r="AB23" s="92" t="s">
        <v>436</v>
      </c>
      <c r="AC23" s="92" t="s">
        <v>470</v>
      </c>
      <c r="AD23" s="92" t="s">
        <v>437</v>
      </c>
      <c r="AE23" s="92" t="s">
        <v>431</v>
      </c>
      <c r="AF23" s="92" t="s">
        <v>397</v>
      </c>
      <c r="AG23" s="92" t="s">
        <v>436</v>
      </c>
      <c r="AH23" s="92" t="s">
        <v>1330</v>
      </c>
      <c r="AI23" s="92" t="s">
        <v>137</v>
      </c>
    </row>
    <row r="24" spans="1:35" ht="14.75">
      <c r="A24" s="92" t="s">
        <v>1335</v>
      </c>
      <c r="B24" s="92" t="s">
        <v>429</v>
      </c>
      <c r="C24" s="95">
        <v>45742</v>
      </c>
      <c r="D24" s="96">
        <v>89778404</v>
      </c>
      <c r="E24" s="96">
        <v>89778404</v>
      </c>
      <c r="F24" s="97">
        <v>3.16</v>
      </c>
      <c r="G24" s="92" t="s">
        <v>430</v>
      </c>
      <c r="H24" s="92" t="s">
        <v>463</v>
      </c>
      <c r="I24" s="92" t="s">
        <v>1172</v>
      </c>
      <c r="J24" s="92" t="s">
        <v>243</v>
      </c>
      <c r="K24" s="92" t="s">
        <v>1336</v>
      </c>
      <c r="L24" s="92" t="s">
        <v>429</v>
      </c>
      <c r="M24" s="95">
        <v>43185</v>
      </c>
      <c r="N24" s="92" t="s">
        <v>434</v>
      </c>
      <c r="O24" s="92" t="s">
        <v>434</v>
      </c>
      <c r="P24" s="92" t="s">
        <v>435</v>
      </c>
      <c r="Q24" s="92" t="s">
        <v>436</v>
      </c>
      <c r="R24" s="98">
        <v>2.8457379999999999</v>
      </c>
      <c r="S24" s="98">
        <v>2.8168259999999998</v>
      </c>
      <c r="T24" s="98">
        <v>100.09209300000001</v>
      </c>
      <c r="U24" s="98">
        <v>2.0140760000000002</v>
      </c>
      <c r="V24" s="92" t="s">
        <v>1174</v>
      </c>
      <c r="W24" s="92" t="s">
        <v>1162</v>
      </c>
      <c r="X24" s="95">
        <v>45742</v>
      </c>
      <c r="Y24" s="98">
        <v>103.355</v>
      </c>
      <c r="Z24" s="92" t="s">
        <v>137</v>
      </c>
      <c r="AA24" s="92" t="s">
        <v>429</v>
      </c>
      <c r="AB24" s="92" t="s">
        <v>436</v>
      </c>
      <c r="AC24" s="92" t="s">
        <v>470</v>
      </c>
      <c r="AD24" s="92" t="s">
        <v>437</v>
      </c>
      <c r="AE24" s="92" t="s">
        <v>431</v>
      </c>
      <c r="AF24" s="92" t="s">
        <v>397</v>
      </c>
      <c r="AG24" s="92" t="s">
        <v>436</v>
      </c>
      <c r="AH24" s="92" t="s">
        <v>1330</v>
      </c>
      <c r="AI24" s="92" t="s">
        <v>137</v>
      </c>
    </row>
    <row r="25" spans="1:35" ht="14.75">
      <c r="A25" s="92" t="s">
        <v>1337</v>
      </c>
      <c r="B25" s="92" t="s">
        <v>429</v>
      </c>
      <c r="C25" s="95">
        <v>45928</v>
      </c>
      <c r="D25" s="96">
        <v>129197548</v>
      </c>
      <c r="E25" s="96">
        <v>129197548</v>
      </c>
      <c r="F25" s="97">
        <v>1.18</v>
      </c>
      <c r="G25" s="92" t="s">
        <v>430</v>
      </c>
      <c r="H25" s="92" t="s">
        <v>463</v>
      </c>
      <c r="I25" s="92" t="s">
        <v>1172</v>
      </c>
      <c r="J25" s="92" t="s">
        <v>244</v>
      </c>
      <c r="K25" s="92" t="s">
        <v>1338</v>
      </c>
      <c r="L25" s="92" t="s">
        <v>429</v>
      </c>
      <c r="M25" s="95">
        <v>44102</v>
      </c>
      <c r="N25" s="92" t="s">
        <v>434</v>
      </c>
      <c r="O25" s="92" t="s">
        <v>434</v>
      </c>
      <c r="P25" s="92" t="s">
        <v>435</v>
      </c>
      <c r="Q25" s="92" t="s">
        <v>436</v>
      </c>
      <c r="R25" s="98">
        <v>3.4490829999999999</v>
      </c>
      <c r="S25" s="98">
        <v>3.4171640000000001</v>
      </c>
      <c r="T25" s="98">
        <v>101.104266</v>
      </c>
      <c r="U25" s="98">
        <v>2.0749550000000001</v>
      </c>
      <c r="V25" s="92" t="s">
        <v>1174</v>
      </c>
      <c r="W25" s="92" t="s">
        <v>1162</v>
      </c>
      <c r="X25" s="95">
        <v>45929</v>
      </c>
      <c r="Y25" s="98">
        <v>96.956999999999994</v>
      </c>
      <c r="Z25" s="92" t="s">
        <v>137</v>
      </c>
      <c r="AA25" s="92" t="s">
        <v>429</v>
      </c>
      <c r="AB25" s="92" t="s">
        <v>436</v>
      </c>
      <c r="AC25" s="92" t="s">
        <v>470</v>
      </c>
      <c r="AD25" s="92" t="s">
        <v>437</v>
      </c>
      <c r="AE25" s="92" t="s">
        <v>431</v>
      </c>
      <c r="AF25" s="92" t="s">
        <v>397</v>
      </c>
      <c r="AG25" s="92" t="s">
        <v>436</v>
      </c>
      <c r="AH25" s="92" t="s">
        <v>1330</v>
      </c>
      <c r="AI25" s="92" t="s">
        <v>137</v>
      </c>
    </row>
    <row r="26" spans="1:35" ht="14.75">
      <c r="A26" s="92" t="s">
        <v>1339</v>
      </c>
      <c r="B26" s="92" t="s">
        <v>429</v>
      </c>
      <c r="C26" s="95">
        <v>46133</v>
      </c>
      <c r="D26" s="96">
        <v>175000000</v>
      </c>
      <c r="E26" s="96">
        <v>175000000</v>
      </c>
      <c r="F26" s="97">
        <v>0.87490000000000001</v>
      </c>
      <c r="G26" s="92" t="s">
        <v>448</v>
      </c>
      <c r="H26" s="92" t="s">
        <v>431</v>
      </c>
      <c r="I26" s="92" t="s">
        <v>432</v>
      </c>
      <c r="J26" s="92" t="s">
        <v>245</v>
      </c>
      <c r="K26" s="92" t="s">
        <v>1340</v>
      </c>
      <c r="L26" s="92" t="s">
        <v>429</v>
      </c>
      <c r="M26" s="95">
        <v>44307</v>
      </c>
      <c r="N26" s="92" t="s">
        <v>434</v>
      </c>
      <c r="O26" s="92" t="s">
        <v>434</v>
      </c>
      <c r="P26" s="92" t="s">
        <v>435</v>
      </c>
      <c r="Q26" s="92" t="s">
        <v>436</v>
      </c>
      <c r="R26" s="98">
        <v>0.11944399999999999</v>
      </c>
      <c r="S26" s="98">
        <v>0</v>
      </c>
      <c r="T26" s="98">
        <v>0</v>
      </c>
      <c r="U26" s="98">
        <v>0.888818</v>
      </c>
      <c r="V26" s="92" t="s">
        <v>1161</v>
      </c>
      <c r="W26" s="92" t="s">
        <v>1223</v>
      </c>
      <c r="X26" s="95">
        <v>46043</v>
      </c>
      <c r="Y26" s="98">
        <v>100.11499999999999</v>
      </c>
      <c r="Z26" s="92" t="s">
        <v>137</v>
      </c>
      <c r="AA26" s="92" t="s">
        <v>429</v>
      </c>
      <c r="AB26" s="92" t="s">
        <v>436</v>
      </c>
      <c r="AC26" s="92" t="s">
        <v>470</v>
      </c>
      <c r="AD26" s="92" t="s">
        <v>429</v>
      </c>
      <c r="AE26" s="92" t="s">
        <v>431</v>
      </c>
      <c r="AF26" s="92" t="s">
        <v>397</v>
      </c>
      <c r="AG26" s="92" t="s">
        <v>436</v>
      </c>
      <c r="AH26" s="92" t="s">
        <v>1330</v>
      </c>
      <c r="AI26" s="92" t="s">
        <v>137</v>
      </c>
    </row>
    <row r="27" spans="1:35" ht="14.75">
      <c r="A27" s="92" t="s">
        <v>1341</v>
      </c>
      <c r="B27" s="92" t="s">
        <v>429</v>
      </c>
      <c r="C27" s="95">
        <v>46133</v>
      </c>
      <c r="D27" s="96">
        <v>405000000</v>
      </c>
      <c r="E27" s="96">
        <v>405000000</v>
      </c>
      <c r="F27" s="97">
        <v>1.603</v>
      </c>
      <c r="G27" s="92" t="s">
        <v>430</v>
      </c>
      <c r="H27" s="92" t="s">
        <v>431</v>
      </c>
      <c r="I27" s="92" t="s">
        <v>432</v>
      </c>
      <c r="J27" s="92" t="s">
        <v>246</v>
      </c>
      <c r="K27" s="92" t="s">
        <v>1342</v>
      </c>
      <c r="L27" s="92" t="s">
        <v>429</v>
      </c>
      <c r="M27" s="95">
        <v>44307</v>
      </c>
      <c r="N27" s="92" t="s">
        <v>434</v>
      </c>
      <c r="O27" s="92" t="s">
        <v>434</v>
      </c>
      <c r="P27" s="92" t="s">
        <v>435</v>
      </c>
      <c r="Q27" s="92" t="s">
        <v>436</v>
      </c>
      <c r="R27" s="98">
        <v>3.91858</v>
      </c>
      <c r="S27" s="98">
        <v>3.918714</v>
      </c>
      <c r="T27" s="98">
        <v>105.60880299999999</v>
      </c>
      <c r="U27" s="98">
        <v>2.9155519999999999</v>
      </c>
      <c r="V27" s="92" t="s">
        <v>1161</v>
      </c>
      <c r="W27" s="92" t="s">
        <v>1223</v>
      </c>
      <c r="X27" s="95">
        <v>46043</v>
      </c>
      <c r="Y27" s="98">
        <v>95.226831000000004</v>
      </c>
      <c r="Z27" s="92" t="s">
        <v>137</v>
      </c>
      <c r="AA27" s="92" t="s">
        <v>429</v>
      </c>
      <c r="AB27" s="92" t="s">
        <v>436</v>
      </c>
      <c r="AC27" s="92" t="s">
        <v>470</v>
      </c>
      <c r="AD27" s="92" t="s">
        <v>437</v>
      </c>
      <c r="AE27" s="92" t="s">
        <v>431</v>
      </c>
      <c r="AF27" s="92" t="s">
        <v>1163</v>
      </c>
      <c r="AG27" s="92" t="s">
        <v>436</v>
      </c>
      <c r="AH27" s="92" t="s">
        <v>1330</v>
      </c>
      <c r="AI27" s="92" t="s">
        <v>137</v>
      </c>
    </row>
    <row r="28" spans="1:35" ht="14.75">
      <c r="A28" s="92" t="s">
        <v>1343</v>
      </c>
      <c r="B28" s="92" t="s">
        <v>429</v>
      </c>
      <c r="C28" s="95">
        <v>46442</v>
      </c>
      <c r="D28" s="96">
        <v>408083654</v>
      </c>
      <c r="E28" s="96">
        <v>408083654</v>
      </c>
      <c r="F28" s="97">
        <v>3.29</v>
      </c>
      <c r="G28" s="92" t="s">
        <v>430</v>
      </c>
      <c r="H28" s="92" t="s">
        <v>463</v>
      </c>
      <c r="I28" s="92" t="s">
        <v>1172</v>
      </c>
      <c r="J28" s="92" t="s">
        <v>247</v>
      </c>
      <c r="K28" s="92" t="s">
        <v>1344</v>
      </c>
      <c r="L28" s="92" t="s">
        <v>429</v>
      </c>
      <c r="M28" s="95">
        <v>42790</v>
      </c>
      <c r="N28" s="92" t="s">
        <v>434</v>
      </c>
      <c r="O28" s="92" t="s">
        <v>434</v>
      </c>
      <c r="P28" s="92" t="s">
        <v>435</v>
      </c>
      <c r="Q28" s="92" t="s">
        <v>436</v>
      </c>
      <c r="R28" s="98">
        <v>4.6053899999999999</v>
      </c>
      <c r="S28" s="98">
        <v>4.557544</v>
      </c>
      <c r="T28" s="98">
        <v>103.686785</v>
      </c>
      <c r="U28" s="98">
        <v>2.3784909999999999</v>
      </c>
      <c r="V28" s="92" t="s">
        <v>1174</v>
      </c>
      <c r="W28" s="92" t="s">
        <v>1162</v>
      </c>
      <c r="X28" s="95">
        <v>46442</v>
      </c>
      <c r="Y28" s="98">
        <v>104.22199999999999</v>
      </c>
      <c r="Z28" s="92" t="s">
        <v>137</v>
      </c>
      <c r="AA28" s="92" t="s">
        <v>429</v>
      </c>
      <c r="AB28" s="92" t="s">
        <v>436</v>
      </c>
      <c r="AC28" s="92" t="s">
        <v>464</v>
      </c>
      <c r="AD28" s="92" t="s">
        <v>437</v>
      </c>
      <c r="AE28" s="92" t="s">
        <v>431</v>
      </c>
      <c r="AF28" s="92" t="s">
        <v>397</v>
      </c>
      <c r="AG28" s="92" t="s">
        <v>436</v>
      </c>
      <c r="AH28" s="92" t="s">
        <v>1330</v>
      </c>
      <c r="AI28" s="92" t="s">
        <v>137</v>
      </c>
    </row>
    <row r="29" spans="1:35" ht="14.75">
      <c r="A29" s="92" t="s">
        <v>1345</v>
      </c>
      <c r="B29" s="92" t="s">
        <v>429</v>
      </c>
      <c r="C29" s="95">
        <v>46507</v>
      </c>
      <c r="D29" s="96">
        <v>68592784</v>
      </c>
      <c r="E29" s="96">
        <v>68592784</v>
      </c>
      <c r="F29" s="97">
        <v>1.48</v>
      </c>
      <c r="G29" s="92" t="s">
        <v>430</v>
      </c>
      <c r="H29" s="92" t="s">
        <v>463</v>
      </c>
      <c r="I29" s="92" t="s">
        <v>1172</v>
      </c>
      <c r="J29" s="92" t="s">
        <v>248</v>
      </c>
      <c r="K29" s="92" t="s">
        <v>1346</v>
      </c>
      <c r="L29" s="92" t="s">
        <v>429</v>
      </c>
      <c r="M29" s="95">
        <v>44316</v>
      </c>
      <c r="N29" s="92" t="s">
        <v>434</v>
      </c>
      <c r="O29" s="92" t="s">
        <v>434</v>
      </c>
      <c r="P29" s="92" t="s">
        <v>435</v>
      </c>
      <c r="Q29" s="92" t="s">
        <v>436</v>
      </c>
      <c r="R29" s="98">
        <v>4.8654419999999998</v>
      </c>
      <c r="S29" s="98">
        <v>4.8091730000000004</v>
      </c>
      <c r="T29" s="98">
        <v>101.040716</v>
      </c>
      <c r="U29" s="98">
        <v>2.385894</v>
      </c>
      <c r="V29" s="92" t="s">
        <v>1174</v>
      </c>
      <c r="W29" s="92" t="s">
        <v>1162</v>
      </c>
      <c r="X29" s="95">
        <v>46507</v>
      </c>
      <c r="Y29" s="98">
        <v>95.66</v>
      </c>
      <c r="Z29" s="92" t="s">
        <v>137</v>
      </c>
      <c r="AA29" s="92" t="s">
        <v>429</v>
      </c>
      <c r="AB29" s="92" t="s">
        <v>436</v>
      </c>
      <c r="AC29" s="92" t="s">
        <v>470</v>
      </c>
      <c r="AD29" s="92" t="s">
        <v>437</v>
      </c>
      <c r="AE29" s="92" t="s">
        <v>431</v>
      </c>
      <c r="AF29" s="92" t="s">
        <v>397</v>
      </c>
      <c r="AG29" s="92" t="s">
        <v>436</v>
      </c>
      <c r="AH29" s="92" t="s">
        <v>1330</v>
      </c>
      <c r="AI29" s="92" t="s">
        <v>137</v>
      </c>
    </row>
    <row r="30" spans="1:35" ht="14.75">
      <c r="A30" s="92" t="s">
        <v>1347</v>
      </c>
      <c r="B30" s="92" t="s">
        <v>429</v>
      </c>
      <c r="C30" s="95">
        <v>46617</v>
      </c>
      <c r="D30" s="96">
        <v>150000000</v>
      </c>
      <c r="E30" s="96">
        <v>150000000</v>
      </c>
      <c r="F30" s="97">
        <v>4</v>
      </c>
      <c r="G30" s="92" t="s">
        <v>430</v>
      </c>
      <c r="H30" s="92" t="s">
        <v>431</v>
      </c>
      <c r="I30" s="92" t="s">
        <v>432</v>
      </c>
      <c r="J30" s="92" t="s">
        <v>249</v>
      </c>
      <c r="K30" s="92" t="s">
        <v>1348</v>
      </c>
      <c r="L30" s="92" t="s">
        <v>429</v>
      </c>
      <c r="M30" s="95">
        <v>42965</v>
      </c>
      <c r="N30" s="92" t="s">
        <v>434</v>
      </c>
      <c r="O30" s="92" t="s">
        <v>434</v>
      </c>
      <c r="P30" s="92" t="s">
        <v>435</v>
      </c>
      <c r="Q30" s="92" t="s">
        <v>436</v>
      </c>
      <c r="R30" s="98">
        <v>4.8720290000000004</v>
      </c>
      <c r="S30" s="98">
        <v>4.7230030000000003</v>
      </c>
      <c r="T30" s="98">
        <v>121.507171</v>
      </c>
      <c r="U30" s="98">
        <v>3.1042320000000001</v>
      </c>
      <c r="V30" s="92" t="s">
        <v>1161</v>
      </c>
      <c r="W30" s="92" t="s">
        <v>1223</v>
      </c>
      <c r="X30" s="95">
        <v>46527</v>
      </c>
      <c r="Y30" s="98">
        <v>104.27407599999999</v>
      </c>
      <c r="Z30" s="92" t="s">
        <v>137</v>
      </c>
      <c r="AA30" s="92" t="s">
        <v>429</v>
      </c>
      <c r="AB30" s="92" t="s">
        <v>436</v>
      </c>
      <c r="AC30" s="92" t="s">
        <v>470</v>
      </c>
      <c r="AD30" s="92" t="s">
        <v>437</v>
      </c>
      <c r="AE30" s="92" t="s">
        <v>431</v>
      </c>
      <c r="AF30" s="92" t="s">
        <v>397</v>
      </c>
      <c r="AG30" s="92" t="s">
        <v>436</v>
      </c>
      <c r="AH30" s="92" t="s">
        <v>1330</v>
      </c>
      <c r="AI30" s="92" t="s">
        <v>137</v>
      </c>
    </row>
    <row r="31" spans="1:35" ht="14.75">
      <c r="A31" s="92" t="s">
        <v>1349</v>
      </c>
      <c r="B31" s="92" t="s">
        <v>429</v>
      </c>
      <c r="C31" s="95">
        <v>46841</v>
      </c>
      <c r="D31" s="96">
        <v>225000000</v>
      </c>
      <c r="E31" s="96">
        <v>225000000</v>
      </c>
      <c r="F31" s="97">
        <v>4</v>
      </c>
      <c r="G31" s="92" t="s">
        <v>430</v>
      </c>
      <c r="H31" s="92" t="s">
        <v>431</v>
      </c>
      <c r="I31" s="92" t="s">
        <v>432</v>
      </c>
      <c r="J31" s="92" t="s">
        <v>250</v>
      </c>
      <c r="K31" s="92" t="s">
        <v>1350</v>
      </c>
      <c r="L31" s="92" t="s">
        <v>429</v>
      </c>
      <c r="M31" s="95">
        <v>43188</v>
      </c>
      <c r="N31" s="92" t="s">
        <v>434</v>
      </c>
      <c r="O31" s="92" t="s">
        <v>434</v>
      </c>
      <c r="P31" s="92" t="s">
        <v>435</v>
      </c>
      <c r="Q31" s="92" t="s">
        <v>436</v>
      </c>
      <c r="R31" s="98">
        <v>5.2803709999999997</v>
      </c>
      <c r="S31" s="98">
        <v>5.1408769999999997</v>
      </c>
      <c r="T31" s="98">
        <v>123.753305</v>
      </c>
      <c r="U31" s="98">
        <v>3.1835990000000001</v>
      </c>
      <c r="V31" s="92" t="s">
        <v>1161</v>
      </c>
      <c r="W31" s="92" t="s">
        <v>1223</v>
      </c>
      <c r="X31" s="95">
        <v>46751</v>
      </c>
      <c r="Y31" s="98">
        <v>104.29506600000001</v>
      </c>
      <c r="Z31" s="92" t="s">
        <v>137</v>
      </c>
      <c r="AA31" s="92" t="s">
        <v>429</v>
      </c>
      <c r="AB31" s="92" t="s">
        <v>436</v>
      </c>
      <c r="AC31" s="92" t="s">
        <v>470</v>
      </c>
      <c r="AD31" s="92" t="s">
        <v>437</v>
      </c>
      <c r="AE31" s="92" t="s">
        <v>431</v>
      </c>
      <c r="AF31" s="92" t="s">
        <v>397</v>
      </c>
      <c r="AG31" s="92" t="s">
        <v>436</v>
      </c>
      <c r="AH31" s="92" t="s">
        <v>1330</v>
      </c>
      <c r="AI31" s="92" t="s">
        <v>137</v>
      </c>
    </row>
    <row r="32" spans="1:35" ht="14.75">
      <c r="A32" s="92" t="s">
        <v>1351</v>
      </c>
      <c r="B32" s="92" t="s">
        <v>429</v>
      </c>
      <c r="C32" s="95">
        <v>46864</v>
      </c>
      <c r="D32" s="96">
        <v>200000000</v>
      </c>
      <c r="E32" s="96">
        <v>200000000</v>
      </c>
      <c r="F32" s="97">
        <v>2.1320000000000001</v>
      </c>
      <c r="G32" s="92" t="s">
        <v>430</v>
      </c>
      <c r="H32" s="92" t="s">
        <v>431</v>
      </c>
      <c r="I32" s="92" t="s">
        <v>432</v>
      </c>
      <c r="J32" s="92" t="s">
        <v>251</v>
      </c>
      <c r="K32" s="92" t="s">
        <v>1352</v>
      </c>
      <c r="L32" s="92" t="s">
        <v>429</v>
      </c>
      <c r="M32" s="95">
        <v>44307</v>
      </c>
      <c r="N32" s="92" t="s">
        <v>434</v>
      </c>
      <c r="O32" s="92" t="s">
        <v>434</v>
      </c>
      <c r="P32" s="92" t="s">
        <v>435</v>
      </c>
      <c r="Q32" s="92" t="s">
        <v>436</v>
      </c>
      <c r="R32" s="98">
        <v>5.6139169999999998</v>
      </c>
      <c r="S32" s="98">
        <v>5.6118670000000002</v>
      </c>
      <c r="T32" s="98">
        <v>130.40581399999999</v>
      </c>
      <c r="U32" s="98">
        <v>3.2815210000000001</v>
      </c>
      <c r="V32" s="92" t="s">
        <v>1161</v>
      </c>
      <c r="W32" s="92" t="s">
        <v>1162</v>
      </c>
      <c r="X32" s="95">
        <v>46864</v>
      </c>
      <c r="Y32" s="98">
        <v>93.670961000000005</v>
      </c>
      <c r="Z32" s="92" t="s">
        <v>137</v>
      </c>
      <c r="AA32" s="92" t="s">
        <v>429</v>
      </c>
      <c r="AB32" s="92" t="s">
        <v>436</v>
      </c>
      <c r="AC32" s="92" t="s">
        <v>470</v>
      </c>
      <c r="AD32" s="92" t="s">
        <v>437</v>
      </c>
      <c r="AE32" s="92" t="s">
        <v>431</v>
      </c>
      <c r="AF32" s="92" t="s">
        <v>397</v>
      </c>
      <c r="AG32" s="92" t="s">
        <v>436</v>
      </c>
      <c r="AH32" s="92" t="s">
        <v>1330</v>
      </c>
      <c r="AI32" s="92" t="s">
        <v>137</v>
      </c>
    </row>
    <row r="33" spans="1:35" ht="14.75">
      <c r="A33" s="92" t="s">
        <v>1353</v>
      </c>
      <c r="B33" s="92" t="s">
        <v>429</v>
      </c>
      <c r="C33" s="95">
        <v>47568</v>
      </c>
      <c r="D33" s="96">
        <v>55568838</v>
      </c>
      <c r="E33" s="96">
        <v>55568838</v>
      </c>
      <c r="F33" s="97">
        <v>3.375</v>
      </c>
      <c r="G33" s="92" t="s">
        <v>430</v>
      </c>
      <c r="H33" s="92" t="s">
        <v>463</v>
      </c>
      <c r="I33" s="92" t="s">
        <v>1172</v>
      </c>
      <c r="J33" s="92" t="s">
        <v>252</v>
      </c>
      <c r="K33" s="92" t="s">
        <v>1354</v>
      </c>
      <c r="L33" s="92" t="s">
        <v>429</v>
      </c>
      <c r="M33" s="95">
        <v>43185</v>
      </c>
      <c r="N33" s="92" t="s">
        <v>434</v>
      </c>
      <c r="O33" s="92" t="s">
        <v>434</v>
      </c>
      <c r="P33" s="92" t="s">
        <v>435</v>
      </c>
      <c r="Q33" s="92" t="s">
        <v>436</v>
      </c>
      <c r="R33" s="98">
        <v>6.8984709999999998</v>
      </c>
      <c r="S33" s="98">
        <v>6.8056539999999996</v>
      </c>
      <c r="T33" s="98">
        <v>117.08595699999999</v>
      </c>
      <c r="U33" s="98">
        <v>2.7254839999999998</v>
      </c>
      <c r="V33" s="92" t="s">
        <v>1174</v>
      </c>
      <c r="W33" s="92" t="s">
        <v>1162</v>
      </c>
      <c r="X33" s="95">
        <v>47568</v>
      </c>
      <c r="Y33" s="98">
        <v>104.636</v>
      </c>
      <c r="Z33" s="92" t="s">
        <v>137</v>
      </c>
      <c r="AA33" s="92" t="s">
        <v>429</v>
      </c>
      <c r="AB33" s="92" t="s">
        <v>436</v>
      </c>
      <c r="AC33" s="92" t="s">
        <v>464</v>
      </c>
      <c r="AD33" s="92" t="s">
        <v>437</v>
      </c>
      <c r="AE33" s="92" t="s">
        <v>431</v>
      </c>
      <c r="AF33" s="92" t="s">
        <v>397</v>
      </c>
      <c r="AG33" s="92" t="s">
        <v>436</v>
      </c>
      <c r="AH33" s="92" t="s">
        <v>1330</v>
      </c>
      <c r="AI33" s="92" t="s">
        <v>137</v>
      </c>
    </row>
    <row r="34" spans="1:35" ht="14.75">
      <c r="A34" s="92" t="s">
        <v>1355</v>
      </c>
      <c r="B34" s="92" t="s">
        <v>429</v>
      </c>
      <c r="C34" s="95">
        <v>47597</v>
      </c>
      <c r="D34" s="96">
        <v>35579919</v>
      </c>
      <c r="E34" s="96">
        <v>35579919</v>
      </c>
      <c r="F34" s="97">
        <v>1.55</v>
      </c>
      <c r="G34" s="92" t="s">
        <v>430</v>
      </c>
      <c r="H34" s="92" t="s">
        <v>463</v>
      </c>
      <c r="I34" s="92" t="s">
        <v>1167</v>
      </c>
      <c r="J34" s="92" t="s">
        <v>253</v>
      </c>
      <c r="K34" s="92" t="s">
        <v>1356</v>
      </c>
      <c r="L34" s="92" t="s">
        <v>429</v>
      </c>
      <c r="M34" s="95">
        <v>43214</v>
      </c>
      <c r="N34" s="92" t="s">
        <v>434</v>
      </c>
      <c r="O34" s="92" t="s">
        <v>434</v>
      </c>
      <c r="P34" s="92" t="s">
        <v>435</v>
      </c>
      <c r="Q34" s="92" t="s">
        <v>436</v>
      </c>
      <c r="R34" s="98">
        <v>0</v>
      </c>
      <c r="S34" s="98">
        <v>0</v>
      </c>
      <c r="T34" s="98">
        <v>0</v>
      </c>
      <c r="U34" s="98">
        <v>0</v>
      </c>
      <c r="V34" s="92" t="s">
        <v>429</v>
      </c>
      <c r="W34" s="92" t="s">
        <v>429</v>
      </c>
      <c r="X34" s="95" t="s">
        <v>429</v>
      </c>
      <c r="Y34" s="98">
        <v>0</v>
      </c>
      <c r="Z34" s="92" t="s">
        <v>137</v>
      </c>
      <c r="AA34" s="92" t="s">
        <v>429</v>
      </c>
      <c r="AB34" s="92" t="s">
        <v>436</v>
      </c>
      <c r="AC34" s="92" t="s">
        <v>470</v>
      </c>
      <c r="AD34" s="92" t="s">
        <v>437</v>
      </c>
      <c r="AE34" s="92" t="s">
        <v>431</v>
      </c>
      <c r="AF34" s="92" t="s">
        <v>397</v>
      </c>
      <c r="AG34" s="92" t="s">
        <v>436</v>
      </c>
      <c r="AH34" s="92" t="s">
        <v>1330</v>
      </c>
      <c r="AI34" s="92" t="s">
        <v>137</v>
      </c>
    </row>
    <row r="35" spans="1:35" ht="14.75">
      <c r="A35" s="92" t="s">
        <v>1357</v>
      </c>
      <c r="B35" s="92" t="s">
        <v>429</v>
      </c>
      <c r="C35" s="95">
        <v>47805</v>
      </c>
      <c r="D35" s="96">
        <v>200000000</v>
      </c>
      <c r="E35" s="96">
        <v>200000000</v>
      </c>
      <c r="F35" s="97">
        <v>2.0649999999999999</v>
      </c>
      <c r="G35" s="92" t="s">
        <v>430</v>
      </c>
      <c r="H35" s="92" t="s">
        <v>463</v>
      </c>
      <c r="I35" s="92" t="s">
        <v>432</v>
      </c>
      <c r="J35" s="92" t="s">
        <v>254</v>
      </c>
      <c r="K35" s="92" t="s">
        <v>1358</v>
      </c>
      <c r="L35" s="92" t="s">
        <v>429</v>
      </c>
      <c r="M35" s="95">
        <v>44153</v>
      </c>
      <c r="N35" s="92" t="s">
        <v>434</v>
      </c>
      <c r="O35" s="92" t="s">
        <v>434</v>
      </c>
      <c r="P35" s="92" t="s">
        <v>435</v>
      </c>
      <c r="Q35" s="92" t="s">
        <v>436</v>
      </c>
      <c r="R35" s="98">
        <v>7.7631269999999999</v>
      </c>
      <c r="S35" s="98">
        <v>7.7580970000000002</v>
      </c>
      <c r="T35" s="98">
        <v>140.507893</v>
      </c>
      <c r="U35" s="98">
        <v>3.4785159999999999</v>
      </c>
      <c r="V35" s="92" t="s">
        <v>1161</v>
      </c>
      <c r="W35" s="92" t="s">
        <v>1162</v>
      </c>
      <c r="X35" s="95">
        <v>47805</v>
      </c>
      <c r="Y35" s="98">
        <v>89.468999999999994</v>
      </c>
      <c r="Z35" s="92" t="s">
        <v>137</v>
      </c>
      <c r="AA35" s="92" t="s">
        <v>429</v>
      </c>
      <c r="AB35" s="92" t="s">
        <v>436</v>
      </c>
      <c r="AC35" s="92" t="s">
        <v>464</v>
      </c>
      <c r="AD35" s="92" t="s">
        <v>437</v>
      </c>
      <c r="AE35" s="92" t="s">
        <v>431</v>
      </c>
      <c r="AF35" s="92" t="s">
        <v>397</v>
      </c>
      <c r="AG35" s="92" t="s">
        <v>436</v>
      </c>
      <c r="AH35" s="92" t="s">
        <v>1330</v>
      </c>
      <c r="AI35" s="92" t="s">
        <v>137</v>
      </c>
    </row>
    <row r="36" spans="1:35" ht="14.75">
      <c r="A36" s="92" t="s">
        <v>1359</v>
      </c>
      <c r="B36" s="92" t="s">
        <v>429</v>
      </c>
      <c r="C36" s="95">
        <v>47984</v>
      </c>
      <c r="D36" s="96">
        <v>112526897</v>
      </c>
      <c r="E36" s="96">
        <v>112526897</v>
      </c>
      <c r="F36" s="97">
        <v>2.1</v>
      </c>
      <c r="G36" s="92" t="s">
        <v>430</v>
      </c>
      <c r="H36" s="92" t="s">
        <v>463</v>
      </c>
      <c r="I36" s="92" t="s">
        <v>1172</v>
      </c>
      <c r="J36" s="92" t="s">
        <v>255</v>
      </c>
      <c r="K36" s="92" t="s">
        <v>1360</v>
      </c>
      <c r="L36" s="92" t="s">
        <v>429</v>
      </c>
      <c r="M36" s="95">
        <v>44340</v>
      </c>
      <c r="N36" s="92" t="s">
        <v>434</v>
      </c>
      <c r="O36" s="92" t="s">
        <v>434</v>
      </c>
      <c r="P36" s="92" t="s">
        <v>435</v>
      </c>
      <c r="Q36" s="92" t="s">
        <v>436</v>
      </c>
      <c r="R36" s="98">
        <v>8.1682400000000008</v>
      </c>
      <c r="S36" s="98">
        <v>8.0561919999999994</v>
      </c>
      <c r="T36" s="98">
        <v>114.294009</v>
      </c>
      <c r="U36" s="98">
        <v>2.8048850000000001</v>
      </c>
      <c r="V36" s="92" t="s">
        <v>1174</v>
      </c>
      <c r="W36" s="92" t="s">
        <v>1162</v>
      </c>
      <c r="X36" s="95">
        <v>47984</v>
      </c>
      <c r="Y36" s="98">
        <v>94.355000000000004</v>
      </c>
      <c r="Z36" s="92" t="s">
        <v>137</v>
      </c>
      <c r="AA36" s="92" t="s">
        <v>429</v>
      </c>
      <c r="AB36" s="92" t="s">
        <v>436</v>
      </c>
      <c r="AC36" s="92" t="s">
        <v>470</v>
      </c>
      <c r="AD36" s="92" t="s">
        <v>437</v>
      </c>
      <c r="AE36" s="92" t="s">
        <v>431</v>
      </c>
      <c r="AF36" s="92" t="s">
        <v>397</v>
      </c>
      <c r="AG36" s="92" t="s">
        <v>436</v>
      </c>
      <c r="AH36" s="92" t="s">
        <v>1330</v>
      </c>
      <c r="AI36" s="92" t="s">
        <v>137</v>
      </c>
    </row>
    <row r="37" spans="1:35" ht="14.75">
      <c r="A37" s="210" t="s">
        <v>402</v>
      </c>
      <c r="B37" s="210"/>
      <c r="C37" s="210"/>
      <c r="D37" s="210"/>
      <c r="E37" s="210"/>
      <c r="F37" s="210"/>
      <c r="G37" s="210"/>
      <c r="H37" s="210"/>
      <c r="I37" s="210"/>
      <c r="J37" s="210"/>
      <c r="K37" s="210"/>
      <c r="L37" s="210"/>
      <c r="M37" s="210"/>
      <c r="N37" s="210"/>
      <c r="O37" s="210"/>
      <c r="P37" s="210"/>
      <c r="Q37" s="210"/>
      <c r="R37" s="210"/>
      <c r="S37" s="210"/>
      <c r="T37" s="210"/>
      <c r="U37" s="210"/>
      <c r="V37" s="210"/>
      <c r="W37" s="210"/>
      <c r="X37" s="210"/>
      <c r="Y37" s="210"/>
      <c r="Z37" s="210"/>
      <c r="AA37" s="210"/>
      <c r="AB37" s="210"/>
      <c r="AC37" s="210"/>
      <c r="AD37" s="210"/>
    </row>
    <row r="38" spans="1:35" ht="14.75">
      <c r="A38" s="93" t="s">
        <v>403</v>
      </c>
      <c r="B38" s="93" t="s">
        <v>404</v>
      </c>
      <c r="C38" s="93" t="s">
        <v>405</v>
      </c>
      <c r="D38" s="94" t="s">
        <v>406</v>
      </c>
      <c r="E38" s="93" t="s">
        <v>407</v>
      </c>
      <c r="F38" s="93" t="s">
        <v>408</v>
      </c>
      <c r="G38" s="93" t="s">
        <v>409</v>
      </c>
      <c r="H38" s="93" t="s">
        <v>410</v>
      </c>
      <c r="I38" s="93" t="s">
        <v>411</v>
      </c>
      <c r="J38" s="93" t="s">
        <v>412</v>
      </c>
      <c r="K38" s="93" t="s">
        <v>413</v>
      </c>
      <c r="L38" s="93" t="s">
        <v>414</v>
      </c>
      <c r="M38" s="93" t="s">
        <v>415</v>
      </c>
      <c r="N38" s="93" t="s">
        <v>416</v>
      </c>
      <c r="O38" s="93" t="s">
        <v>417</v>
      </c>
      <c r="P38" s="94" t="s">
        <v>418</v>
      </c>
      <c r="Q38" s="94" t="s">
        <v>419</v>
      </c>
      <c r="R38" s="93" t="s">
        <v>420</v>
      </c>
      <c r="S38" s="93" t="s">
        <v>421</v>
      </c>
      <c r="T38" s="93" t="s">
        <v>422</v>
      </c>
      <c r="U38" s="93" t="s">
        <v>423</v>
      </c>
      <c r="V38" s="93" t="s">
        <v>424</v>
      </c>
      <c r="W38" s="93" t="s">
        <v>425</v>
      </c>
      <c r="X38" s="93" t="s">
        <v>426</v>
      </c>
      <c r="Y38" s="93" t="s">
        <v>226</v>
      </c>
      <c r="Z38" s="93" t="s">
        <v>427</v>
      </c>
      <c r="AA38" s="92"/>
      <c r="AB38" s="92"/>
      <c r="AC38" s="92"/>
      <c r="AD38" s="92"/>
    </row>
    <row r="39" spans="1:35" ht="14.75">
      <c r="A39" s="92" t="s">
        <v>1361</v>
      </c>
      <c r="B39" s="92" t="s">
        <v>429</v>
      </c>
      <c r="C39" s="95">
        <v>39097</v>
      </c>
      <c r="D39" s="99">
        <v>200000000</v>
      </c>
      <c r="E39" s="92" t="s">
        <v>430</v>
      </c>
      <c r="F39" s="92" t="s">
        <v>431</v>
      </c>
      <c r="G39" s="92" t="s">
        <v>432</v>
      </c>
      <c r="H39" s="92" t="s">
        <v>256</v>
      </c>
      <c r="I39" s="92" t="s">
        <v>1362</v>
      </c>
      <c r="J39" s="92" t="s">
        <v>429</v>
      </c>
      <c r="K39" s="95">
        <v>36546</v>
      </c>
      <c r="L39" s="92" t="s">
        <v>434</v>
      </c>
      <c r="M39" s="92" t="s">
        <v>458</v>
      </c>
      <c r="N39" s="92" t="s">
        <v>435</v>
      </c>
      <c r="O39" s="92" t="s">
        <v>436</v>
      </c>
      <c r="P39" s="100" t="s">
        <v>429</v>
      </c>
      <c r="Q39" s="100" t="s">
        <v>429</v>
      </c>
      <c r="R39" s="92" t="s">
        <v>429</v>
      </c>
      <c r="S39" s="92" t="s">
        <v>429</v>
      </c>
      <c r="T39" s="92" t="s">
        <v>1301</v>
      </c>
      <c r="U39" s="92" t="s">
        <v>429</v>
      </c>
      <c r="V39" s="92" t="s">
        <v>431</v>
      </c>
      <c r="W39" s="92" t="s">
        <v>438</v>
      </c>
      <c r="X39" s="92" t="s">
        <v>436</v>
      </c>
      <c r="Y39" s="92" t="s">
        <v>1330</v>
      </c>
      <c r="Z39" s="92" t="s">
        <v>429</v>
      </c>
      <c r="AA39" s="92"/>
      <c r="AB39" s="92"/>
      <c r="AC39" s="92"/>
      <c r="AD39" s="92"/>
    </row>
    <row r="40" spans="1:35" ht="14.75">
      <c r="A40" s="92" t="s">
        <v>1363</v>
      </c>
      <c r="B40" s="92" t="s">
        <v>429</v>
      </c>
      <c r="C40" s="95">
        <v>39097</v>
      </c>
      <c r="D40" s="99">
        <v>200000000</v>
      </c>
      <c r="E40" s="92" t="s">
        <v>448</v>
      </c>
      <c r="F40" s="92" t="s">
        <v>431</v>
      </c>
      <c r="G40" s="92" t="s">
        <v>432</v>
      </c>
      <c r="H40" s="92" t="s">
        <v>257</v>
      </c>
      <c r="I40" s="92" t="s">
        <v>1362</v>
      </c>
      <c r="J40" s="92" t="s">
        <v>429</v>
      </c>
      <c r="K40" s="95">
        <v>36553</v>
      </c>
      <c r="L40" s="92" t="s">
        <v>434</v>
      </c>
      <c r="M40" s="92" t="s">
        <v>458</v>
      </c>
      <c r="N40" s="92" t="s">
        <v>435</v>
      </c>
      <c r="O40" s="92" t="s">
        <v>436</v>
      </c>
      <c r="P40" s="100" t="s">
        <v>429</v>
      </c>
      <c r="Q40" s="100" t="s">
        <v>429</v>
      </c>
      <c r="R40" s="92" t="s">
        <v>429</v>
      </c>
      <c r="S40" s="92" t="s">
        <v>429</v>
      </c>
      <c r="T40" s="92" t="s">
        <v>1301</v>
      </c>
      <c r="U40" s="92" t="s">
        <v>429</v>
      </c>
      <c r="V40" s="92" t="s">
        <v>431</v>
      </c>
      <c r="W40" s="92" t="s">
        <v>438</v>
      </c>
      <c r="X40" s="92" t="s">
        <v>436</v>
      </c>
      <c r="Y40" s="92" t="s">
        <v>1330</v>
      </c>
      <c r="Z40" s="92" t="s">
        <v>429</v>
      </c>
      <c r="AA40" s="92"/>
      <c r="AB40" s="92"/>
      <c r="AC40" s="92"/>
      <c r="AD40" s="92"/>
    </row>
    <row r="41" spans="1:35" ht="14.75">
      <c r="A41" s="92" t="s">
        <v>1364</v>
      </c>
      <c r="B41" s="92" t="s">
        <v>429</v>
      </c>
      <c r="C41" s="95">
        <v>39097</v>
      </c>
      <c r="D41" s="99">
        <v>100000000</v>
      </c>
      <c r="E41" s="92" t="s">
        <v>430</v>
      </c>
      <c r="F41" s="92" t="s">
        <v>431</v>
      </c>
      <c r="G41" s="92" t="s">
        <v>432</v>
      </c>
      <c r="H41" s="92" t="s">
        <v>258</v>
      </c>
      <c r="I41" s="92" t="s">
        <v>1362</v>
      </c>
      <c r="J41" s="92" t="s">
        <v>429</v>
      </c>
      <c r="K41" s="95">
        <v>37676</v>
      </c>
      <c r="L41" s="92" t="s">
        <v>434</v>
      </c>
      <c r="M41" s="92" t="s">
        <v>458</v>
      </c>
      <c r="N41" s="92" t="s">
        <v>435</v>
      </c>
      <c r="O41" s="92" t="s">
        <v>436</v>
      </c>
      <c r="P41" s="100" t="s">
        <v>429</v>
      </c>
      <c r="Q41" s="100" t="s">
        <v>429</v>
      </c>
      <c r="R41" s="92" t="s">
        <v>429</v>
      </c>
      <c r="S41" s="92" t="s">
        <v>429</v>
      </c>
      <c r="T41" s="92" t="s">
        <v>470</v>
      </c>
      <c r="U41" s="92" t="s">
        <v>437</v>
      </c>
      <c r="V41" s="92" t="s">
        <v>431</v>
      </c>
      <c r="W41" s="92" t="s">
        <v>438</v>
      </c>
      <c r="X41" s="92" t="s">
        <v>436</v>
      </c>
      <c r="Y41" s="92" t="s">
        <v>1330</v>
      </c>
      <c r="Z41" s="92" t="s">
        <v>429</v>
      </c>
      <c r="AA41" s="92"/>
      <c r="AB41" s="92"/>
      <c r="AC41" s="92"/>
      <c r="AD41" s="92"/>
    </row>
    <row r="42" spans="1:35" ht="14.75">
      <c r="A42" s="92" t="s">
        <v>1365</v>
      </c>
      <c r="B42" s="92" t="s">
        <v>429</v>
      </c>
      <c r="C42" s="95">
        <v>39097</v>
      </c>
      <c r="D42" s="99">
        <v>100000000</v>
      </c>
      <c r="E42" s="92" t="s">
        <v>448</v>
      </c>
      <c r="F42" s="92" t="s">
        <v>431</v>
      </c>
      <c r="G42" s="92" t="s">
        <v>432</v>
      </c>
      <c r="H42" s="92" t="s">
        <v>259</v>
      </c>
      <c r="I42" s="92" t="s">
        <v>1362</v>
      </c>
      <c r="J42" s="92" t="s">
        <v>429</v>
      </c>
      <c r="K42" s="95">
        <v>37676</v>
      </c>
      <c r="L42" s="92" t="s">
        <v>434</v>
      </c>
      <c r="M42" s="92" t="s">
        <v>458</v>
      </c>
      <c r="N42" s="92" t="s">
        <v>435</v>
      </c>
      <c r="O42" s="92" t="s">
        <v>436</v>
      </c>
      <c r="P42" s="100" t="s">
        <v>429</v>
      </c>
      <c r="Q42" s="100" t="s">
        <v>429</v>
      </c>
      <c r="R42" s="92" t="s">
        <v>429</v>
      </c>
      <c r="S42" s="92" t="s">
        <v>429</v>
      </c>
      <c r="T42" s="92" t="s">
        <v>470</v>
      </c>
      <c r="U42" s="92" t="s">
        <v>437</v>
      </c>
      <c r="V42" s="92" t="s">
        <v>431</v>
      </c>
      <c r="W42" s="92" t="s">
        <v>438</v>
      </c>
      <c r="X42" s="92" t="s">
        <v>436</v>
      </c>
      <c r="Y42" s="92" t="s">
        <v>1330</v>
      </c>
      <c r="Z42" s="92" t="s">
        <v>429</v>
      </c>
      <c r="AA42" s="92"/>
      <c r="AB42" s="92"/>
      <c r="AC42" s="92"/>
      <c r="AD42" s="92"/>
    </row>
    <row r="43" spans="1:35" ht="14.75">
      <c r="A43" s="92" t="s">
        <v>1366</v>
      </c>
      <c r="B43" s="92" t="s">
        <v>429</v>
      </c>
      <c r="C43" s="95">
        <v>40237</v>
      </c>
      <c r="D43" s="99">
        <v>175000000</v>
      </c>
      <c r="E43" s="92" t="s">
        <v>430</v>
      </c>
      <c r="F43" s="92" t="s">
        <v>431</v>
      </c>
      <c r="G43" s="92" t="s">
        <v>432</v>
      </c>
      <c r="H43" s="92" t="s">
        <v>260</v>
      </c>
      <c r="I43" s="92" t="s">
        <v>1362</v>
      </c>
      <c r="J43" s="92" t="s">
        <v>429</v>
      </c>
      <c r="K43" s="95">
        <v>37680</v>
      </c>
      <c r="L43" s="92" t="s">
        <v>434</v>
      </c>
      <c r="M43" s="92" t="s">
        <v>458</v>
      </c>
      <c r="N43" s="92" t="s">
        <v>435</v>
      </c>
      <c r="O43" s="92" t="s">
        <v>436</v>
      </c>
      <c r="P43" s="100" t="s">
        <v>429</v>
      </c>
      <c r="Q43" s="100" t="s">
        <v>429</v>
      </c>
      <c r="R43" s="92" t="s">
        <v>429</v>
      </c>
      <c r="S43" s="92" t="s">
        <v>429</v>
      </c>
      <c r="T43" s="92" t="s">
        <v>429</v>
      </c>
      <c r="U43" s="92" t="s">
        <v>437</v>
      </c>
      <c r="V43" s="92" t="s">
        <v>431</v>
      </c>
      <c r="W43" s="92" t="s">
        <v>438</v>
      </c>
      <c r="X43" s="92" t="s">
        <v>436</v>
      </c>
      <c r="Y43" s="92" t="s">
        <v>1330</v>
      </c>
      <c r="Z43" s="92" t="s">
        <v>429</v>
      </c>
      <c r="AA43" s="92"/>
      <c r="AB43" s="92"/>
      <c r="AC43" s="92"/>
      <c r="AD43" s="92"/>
    </row>
    <row r="44" spans="1:35" ht="14.75">
      <c r="A44" s="92" t="s">
        <v>1367</v>
      </c>
      <c r="B44" s="92" t="s">
        <v>429</v>
      </c>
      <c r="C44" s="95">
        <v>41333</v>
      </c>
      <c r="D44" s="99">
        <v>300000000</v>
      </c>
      <c r="E44" s="92" t="s">
        <v>448</v>
      </c>
      <c r="F44" s="92" t="s">
        <v>431</v>
      </c>
      <c r="G44" s="92" t="s">
        <v>432</v>
      </c>
      <c r="H44" s="92" t="s">
        <v>261</v>
      </c>
      <c r="I44" s="92" t="s">
        <v>1362</v>
      </c>
      <c r="J44" s="92" t="s">
        <v>429</v>
      </c>
      <c r="K44" s="95">
        <v>37680</v>
      </c>
      <c r="L44" s="92" t="s">
        <v>434</v>
      </c>
      <c r="M44" s="92" t="s">
        <v>458</v>
      </c>
      <c r="N44" s="92" t="s">
        <v>435</v>
      </c>
      <c r="O44" s="92" t="s">
        <v>436</v>
      </c>
      <c r="P44" s="100" t="s">
        <v>429</v>
      </c>
      <c r="Q44" s="100" t="s">
        <v>429</v>
      </c>
      <c r="R44" s="92" t="s">
        <v>429</v>
      </c>
      <c r="S44" s="92" t="s">
        <v>429</v>
      </c>
      <c r="T44" s="92" t="s">
        <v>429</v>
      </c>
      <c r="U44" s="92" t="s">
        <v>437</v>
      </c>
      <c r="V44" s="92" t="s">
        <v>431</v>
      </c>
      <c r="W44" s="92" t="s">
        <v>438</v>
      </c>
      <c r="X44" s="92" t="s">
        <v>436</v>
      </c>
      <c r="Y44" s="92" t="s">
        <v>1330</v>
      </c>
      <c r="Z44" s="92" t="s">
        <v>429</v>
      </c>
      <c r="AA44" s="92"/>
      <c r="AB44" s="92"/>
      <c r="AC44" s="92"/>
      <c r="AD44" s="92"/>
    </row>
    <row r="45" spans="1:35" ht="14.75">
      <c r="A45" s="92" t="s">
        <v>1368</v>
      </c>
      <c r="B45" s="92" t="s">
        <v>429</v>
      </c>
      <c r="C45" s="95">
        <v>42931</v>
      </c>
      <c r="D45" s="99">
        <v>300000000</v>
      </c>
      <c r="E45" s="92" t="s">
        <v>448</v>
      </c>
      <c r="F45" s="92" t="s">
        <v>431</v>
      </c>
      <c r="G45" s="92" t="s">
        <v>432</v>
      </c>
      <c r="H45" s="92" t="s">
        <v>229</v>
      </c>
      <c r="I45" s="92" t="s">
        <v>1362</v>
      </c>
      <c r="J45" s="92" t="s">
        <v>429</v>
      </c>
      <c r="K45" s="95">
        <v>39094</v>
      </c>
      <c r="L45" s="92" t="s">
        <v>434</v>
      </c>
      <c r="M45" s="92" t="s">
        <v>458</v>
      </c>
      <c r="N45" s="92" t="s">
        <v>435</v>
      </c>
      <c r="O45" s="92" t="s">
        <v>436</v>
      </c>
      <c r="P45" s="100" t="s">
        <v>429</v>
      </c>
      <c r="Q45" s="100" t="s">
        <v>429</v>
      </c>
      <c r="R45" s="92" t="s">
        <v>429</v>
      </c>
      <c r="S45" s="92" t="s">
        <v>429</v>
      </c>
      <c r="T45" s="92" t="s">
        <v>1301</v>
      </c>
      <c r="U45" s="92" t="s">
        <v>429</v>
      </c>
      <c r="V45" s="92" t="s">
        <v>431</v>
      </c>
      <c r="W45" s="92" t="s">
        <v>438</v>
      </c>
      <c r="X45" s="92" t="s">
        <v>436</v>
      </c>
      <c r="Y45" s="92" t="s">
        <v>1330</v>
      </c>
      <c r="Z45" s="92" t="s">
        <v>429</v>
      </c>
      <c r="AA45" s="92"/>
      <c r="AB45" s="92"/>
      <c r="AC45" s="92"/>
      <c r="AD45" s="92"/>
    </row>
    <row r="46" spans="1:35" ht="14.75">
      <c r="A46" s="92" t="s">
        <v>1369</v>
      </c>
      <c r="B46" s="92" t="s">
        <v>429</v>
      </c>
      <c r="C46" s="95">
        <v>42931</v>
      </c>
      <c r="D46" s="99">
        <v>275000000</v>
      </c>
      <c r="E46" s="92" t="s">
        <v>448</v>
      </c>
      <c r="F46" s="92" t="s">
        <v>431</v>
      </c>
      <c r="G46" s="92" t="s">
        <v>432</v>
      </c>
      <c r="H46" s="92" t="s">
        <v>230</v>
      </c>
      <c r="I46" s="92" t="s">
        <v>1362</v>
      </c>
      <c r="J46" s="92" t="s">
        <v>429</v>
      </c>
      <c r="K46" s="95">
        <v>39094</v>
      </c>
      <c r="L46" s="92" t="s">
        <v>434</v>
      </c>
      <c r="M46" s="92" t="s">
        <v>458</v>
      </c>
      <c r="N46" s="92" t="s">
        <v>435</v>
      </c>
      <c r="O46" s="92" t="s">
        <v>436</v>
      </c>
      <c r="P46" s="100" t="s">
        <v>429</v>
      </c>
      <c r="Q46" s="100" t="s">
        <v>429</v>
      </c>
      <c r="R46" s="92" t="s">
        <v>429</v>
      </c>
      <c r="S46" s="92" t="s">
        <v>429</v>
      </c>
      <c r="T46" s="92" t="s">
        <v>1301</v>
      </c>
      <c r="U46" s="92" t="s">
        <v>429</v>
      </c>
      <c r="V46" s="92" t="s">
        <v>431</v>
      </c>
      <c r="W46" s="92" t="s">
        <v>438</v>
      </c>
      <c r="X46" s="92" t="s">
        <v>436</v>
      </c>
      <c r="Y46" s="92" t="s">
        <v>1330</v>
      </c>
      <c r="Z46" s="92" t="s">
        <v>429</v>
      </c>
      <c r="AA46" s="92"/>
      <c r="AB46" s="92"/>
      <c r="AC46" s="92"/>
      <c r="AD46" s="92"/>
    </row>
    <row r="47" spans="1:35" ht="14.75">
      <c r="A47" s="92" t="s">
        <v>1370</v>
      </c>
      <c r="B47" s="92" t="s">
        <v>429</v>
      </c>
      <c r="C47" s="95">
        <v>43556</v>
      </c>
      <c r="D47" s="99">
        <v>150000000</v>
      </c>
      <c r="E47" s="92" t="s">
        <v>448</v>
      </c>
      <c r="F47" s="92" t="s">
        <v>431</v>
      </c>
      <c r="G47" s="92" t="s">
        <v>432</v>
      </c>
      <c r="H47" s="92" t="s">
        <v>262</v>
      </c>
      <c r="I47" s="92" t="s">
        <v>1362</v>
      </c>
      <c r="J47" s="92" t="s">
        <v>429</v>
      </c>
      <c r="K47" s="95">
        <v>41697</v>
      </c>
      <c r="L47" s="92" t="s">
        <v>434</v>
      </c>
      <c r="M47" s="92" t="s">
        <v>458</v>
      </c>
      <c r="N47" s="92" t="s">
        <v>435</v>
      </c>
      <c r="O47" s="92" t="s">
        <v>436</v>
      </c>
      <c r="P47" s="100" t="s">
        <v>429</v>
      </c>
      <c r="Q47" s="100" t="s">
        <v>429</v>
      </c>
      <c r="R47" s="92" t="s">
        <v>429</v>
      </c>
      <c r="S47" s="92" t="s">
        <v>429</v>
      </c>
      <c r="T47" s="92" t="s">
        <v>429</v>
      </c>
      <c r="U47" s="92" t="s">
        <v>437</v>
      </c>
      <c r="V47" s="92" t="s">
        <v>431</v>
      </c>
      <c r="W47" s="92" t="s">
        <v>438</v>
      </c>
      <c r="X47" s="92" t="s">
        <v>436</v>
      </c>
      <c r="Y47" s="92" t="s">
        <v>1330</v>
      </c>
      <c r="Z47" s="92" t="s">
        <v>429</v>
      </c>
      <c r="AA47" s="92"/>
      <c r="AB47" s="92"/>
      <c r="AC47" s="92"/>
      <c r="AD47" s="92"/>
    </row>
    <row r="48" spans="1:35" ht="14.75">
      <c r="A48" s="92" t="s">
        <v>1371</v>
      </c>
      <c r="B48" s="92" t="s">
        <v>429</v>
      </c>
      <c r="C48" s="95">
        <v>44423</v>
      </c>
      <c r="D48" s="99">
        <v>300000000</v>
      </c>
      <c r="E48" s="92" t="s">
        <v>448</v>
      </c>
      <c r="F48" s="92" t="s">
        <v>431</v>
      </c>
      <c r="G48" s="92" t="s">
        <v>432</v>
      </c>
      <c r="H48" s="92" t="s">
        <v>263</v>
      </c>
      <c r="I48" s="92" t="s">
        <v>1362</v>
      </c>
      <c r="J48" s="92" t="s">
        <v>429</v>
      </c>
      <c r="K48" s="95">
        <v>39309</v>
      </c>
      <c r="L48" s="92" t="s">
        <v>434</v>
      </c>
      <c r="M48" s="92" t="s">
        <v>458</v>
      </c>
      <c r="N48" s="92" t="s">
        <v>435</v>
      </c>
      <c r="O48" s="92" t="s">
        <v>436</v>
      </c>
      <c r="P48" s="100" t="s">
        <v>429</v>
      </c>
      <c r="Q48" s="100" t="s">
        <v>429</v>
      </c>
      <c r="R48" s="92" t="s">
        <v>429</v>
      </c>
      <c r="S48" s="92" t="s">
        <v>429</v>
      </c>
      <c r="T48" s="92" t="s">
        <v>1301</v>
      </c>
      <c r="U48" s="92" t="s">
        <v>429</v>
      </c>
      <c r="V48" s="92" t="s">
        <v>431</v>
      </c>
      <c r="W48" s="92" t="s">
        <v>438</v>
      </c>
      <c r="X48" s="92" t="s">
        <v>436</v>
      </c>
      <c r="Y48" s="92" t="s">
        <v>1330</v>
      </c>
      <c r="Z48" s="92" t="s">
        <v>429</v>
      </c>
      <c r="AA48" s="92"/>
      <c r="AB48" s="92"/>
      <c r="AC48" s="92"/>
      <c r="AD48" s="92"/>
    </row>
    <row r="49" spans="1:30" ht="14.75">
      <c r="A49" s="92" t="s">
        <v>1372</v>
      </c>
      <c r="B49" s="92" t="s">
        <v>429</v>
      </c>
      <c r="C49" s="95">
        <v>44576</v>
      </c>
      <c r="D49" s="99">
        <v>630000000</v>
      </c>
      <c r="E49" s="92" t="s">
        <v>448</v>
      </c>
      <c r="F49" s="92" t="s">
        <v>431</v>
      </c>
      <c r="G49" s="92" t="s">
        <v>432</v>
      </c>
      <c r="H49" s="92" t="s">
        <v>264</v>
      </c>
      <c r="I49" s="92" t="s">
        <v>1362</v>
      </c>
      <c r="J49" s="92" t="s">
        <v>429</v>
      </c>
      <c r="K49" s="95">
        <v>39309</v>
      </c>
      <c r="L49" s="92" t="s">
        <v>434</v>
      </c>
      <c r="M49" s="92" t="s">
        <v>458</v>
      </c>
      <c r="N49" s="92" t="s">
        <v>435</v>
      </c>
      <c r="O49" s="92" t="s">
        <v>436</v>
      </c>
      <c r="P49" s="100" t="s">
        <v>429</v>
      </c>
      <c r="Q49" s="100" t="s">
        <v>429</v>
      </c>
      <c r="R49" s="92" t="s">
        <v>429</v>
      </c>
      <c r="S49" s="92" t="s">
        <v>429</v>
      </c>
      <c r="T49" s="92" t="s">
        <v>1307</v>
      </c>
      <c r="U49" s="92" t="s">
        <v>429</v>
      </c>
      <c r="V49" s="92" t="s">
        <v>431</v>
      </c>
      <c r="W49" s="92" t="s">
        <v>438</v>
      </c>
      <c r="X49" s="92" t="s">
        <v>436</v>
      </c>
      <c r="Y49" s="92" t="s">
        <v>1330</v>
      </c>
      <c r="Z49" s="92" t="s">
        <v>429</v>
      </c>
      <c r="AA49" s="92"/>
      <c r="AB49" s="92"/>
      <c r="AC49" s="92"/>
      <c r="AD49" s="92"/>
    </row>
    <row r="52" spans="1:30" ht="14.75">
      <c r="A52" s="210" t="s">
        <v>1373</v>
      </c>
      <c r="B52" s="210"/>
      <c r="C52" s="210"/>
      <c r="D52" s="210"/>
      <c r="E52" s="210"/>
      <c r="F52" s="210"/>
      <c r="G52" s="210"/>
      <c r="H52" s="210"/>
      <c r="I52" s="210"/>
      <c r="J52" s="210"/>
      <c r="K52" s="210"/>
      <c r="L52" s="210"/>
      <c r="M52" s="210"/>
      <c r="N52" s="210"/>
      <c r="O52" s="210"/>
      <c r="P52" s="210"/>
      <c r="Q52" s="210"/>
      <c r="R52" s="210"/>
      <c r="S52" s="210"/>
      <c r="T52" s="210"/>
      <c r="U52" s="210"/>
      <c r="V52" s="210"/>
      <c r="W52" s="210"/>
      <c r="X52" s="210"/>
      <c r="Y52" s="210"/>
      <c r="Z52" s="210"/>
      <c r="AA52" s="210"/>
      <c r="AB52" s="210"/>
      <c r="AC52" s="210"/>
      <c r="AD52" s="210"/>
    </row>
    <row r="54" spans="1:30" ht="14.75">
      <c r="A54" s="92" t="s">
        <v>386</v>
      </c>
      <c r="B54" s="92"/>
      <c r="C54" s="92"/>
      <c r="D54" s="92"/>
      <c r="E54" s="92"/>
      <c r="F54" s="92"/>
      <c r="G54" s="92"/>
      <c r="H54" s="92"/>
      <c r="I54" s="92"/>
      <c r="J54" s="92"/>
      <c r="K54" s="92"/>
      <c r="L54" s="92"/>
      <c r="M54" s="92"/>
      <c r="N54" s="92"/>
      <c r="O54" s="92"/>
      <c r="P54" s="92"/>
      <c r="Q54" s="92"/>
      <c r="R54" s="92"/>
      <c r="S54" s="92"/>
      <c r="T54" s="92"/>
      <c r="U54" s="92"/>
      <c r="V54" s="92"/>
      <c r="W54" s="92"/>
      <c r="X54" s="92"/>
      <c r="Y54" s="92"/>
      <c r="Z54" s="92"/>
      <c r="AA54" s="92"/>
      <c r="AB54" s="92"/>
      <c r="AC54" s="92"/>
      <c r="AD54" s="92"/>
    </row>
    <row r="55" spans="1:30" ht="14.75">
      <c r="A55" s="92" t="s">
        <v>387</v>
      </c>
      <c r="B55" s="92"/>
      <c r="C55" s="92"/>
      <c r="D55" s="92"/>
      <c r="E55" s="92"/>
      <c r="F55" s="92"/>
      <c r="G55" s="92"/>
      <c r="H55" s="92"/>
      <c r="I55" s="92"/>
      <c r="J55" s="92"/>
      <c r="K55" s="92"/>
      <c r="L55" s="92"/>
      <c r="M55" s="92"/>
      <c r="N55" s="92"/>
      <c r="O55" s="92"/>
      <c r="P55" s="92"/>
      <c r="Q55" s="92"/>
      <c r="R55" s="92"/>
      <c r="S55" s="92"/>
      <c r="T55" s="92"/>
      <c r="U55" s="92"/>
      <c r="V55" s="92"/>
      <c r="W55" s="92"/>
      <c r="X55" s="92"/>
      <c r="Y55" s="92"/>
      <c r="Z55" s="92"/>
      <c r="AA55" s="92"/>
      <c r="AB55" s="92"/>
      <c r="AC55" s="92"/>
      <c r="AD55" s="92"/>
    </row>
    <row r="57" spans="1:30" ht="15.5" thickBot="1">
      <c r="A57" s="211" t="s">
        <v>388</v>
      </c>
      <c r="B57" s="211"/>
      <c r="C57" s="92"/>
      <c r="D57" s="92"/>
      <c r="E57" s="92"/>
      <c r="F57" s="92"/>
      <c r="G57" s="92"/>
      <c r="H57" s="92"/>
      <c r="I57" s="92"/>
      <c r="J57" s="92"/>
      <c r="K57" s="92"/>
      <c r="L57" s="92"/>
      <c r="M57" s="92"/>
      <c r="N57" s="92"/>
      <c r="O57" s="92"/>
      <c r="P57" s="92"/>
      <c r="Q57" s="92"/>
      <c r="R57" s="92"/>
      <c r="S57" s="92"/>
      <c r="T57" s="92"/>
      <c r="U57" s="92"/>
      <c r="V57" s="92"/>
      <c r="W57" s="92"/>
      <c r="X57" s="92"/>
      <c r="Y57" s="92"/>
      <c r="Z57" s="92"/>
      <c r="AA57" s="92"/>
      <c r="AB57" s="92"/>
      <c r="AC57" s="92"/>
      <c r="AD57" s="92"/>
    </row>
    <row r="58" spans="1:30" ht="15.5" thickTop="1">
      <c r="A58" s="92" t="s">
        <v>388</v>
      </c>
      <c r="B58" s="92" t="s">
        <v>1374</v>
      </c>
      <c r="C58" s="92"/>
      <c r="D58" s="92"/>
      <c r="E58" s="92"/>
      <c r="F58" s="92"/>
      <c r="G58" s="92"/>
      <c r="H58" s="92"/>
      <c r="I58" s="92"/>
      <c r="J58" s="92"/>
      <c r="K58" s="92"/>
      <c r="L58" s="92"/>
      <c r="M58" s="92"/>
      <c r="N58" s="92"/>
      <c r="O58" s="92"/>
      <c r="P58" s="92"/>
      <c r="Q58" s="92"/>
      <c r="R58" s="92"/>
      <c r="S58" s="92"/>
      <c r="T58" s="92"/>
      <c r="U58" s="92"/>
      <c r="V58" s="92"/>
      <c r="W58" s="92"/>
      <c r="X58" s="92"/>
      <c r="Y58" s="92"/>
      <c r="Z58" s="92"/>
      <c r="AA58" s="92"/>
      <c r="AB58" s="92"/>
      <c r="AC58" s="92"/>
      <c r="AD58" s="92"/>
    </row>
    <row r="59" spans="1:30" ht="14.75">
      <c r="A59" s="92" t="s">
        <v>390</v>
      </c>
      <c r="B59" s="92" t="s">
        <v>429</v>
      </c>
      <c r="C59" s="92"/>
      <c r="D59" s="92"/>
      <c r="E59" s="92"/>
      <c r="F59" s="92"/>
      <c r="G59" s="92"/>
      <c r="H59" s="92"/>
      <c r="I59" s="92"/>
      <c r="J59" s="92"/>
      <c r="K59" s="92"/>
      <c r="L59" s="92"/>
      <c r="M59" s="92"/>
      <c r="N59" s="92"/>
      <c r="O59" s="92"/>
      <c r="P59" s="92"/>
      <c r="Q59" s="92"/>
      <c r="R59" s="92"/>
      <c r="S59" s="92"/>
      <c r="T59" s="92"/>
      <c r="U59" s="92"/>
      <c r="V59" s="92"/>
      <c r="W59" s="92"/>
      <c r="X59" s="92"/>
      <c r="Y59" s="92"/>
      <c r="Z59" s="92"/>
      <c r="AA59" s="92"/>
      <c r="AB59" s="92"/>
      <c r="AC59" s="92"/>
      <c r="AD59" s="92"/>
    </row>
    <row r="60" spans="1:30" ht="14.75">
      <c r="A60" s="92" t="s">
        <v>392</v>
      </c>
      <c r="B60" s="92" t="s">
        <v>429</v>
      </c>
      <c r="C60" s="92"/>
      <c r="D60" s="92"/>
      <c r="E60" s="92"/>
      <c r="F60" s="92"/>
      <c r="G60" s="92"/>
      <c r="H60" s="92"/>
      <c r="I60" s="92"/>
      <c r="J60" s="92"/>
      <c r="K60" s="92"/>
      <c r="L60" s="92"/>
      <c r="M60" s="92"/>
      <c r="N60" s="92"/>
      <c r="O60" s="92"/>
      <c r="P60" s="92"/>
      <c r="Q60" s="92"/>
      <c r="R60" s="92"/>
      <c r="S60" s="92"/>
      <c r="T60" s="92"/>
      <c r="U60" s="92"/>
      <c r="V60" s="92"/>
      <c r="W60" s="92"/>
      <c r="X60" s="92"/>
      <c r="Y60" s="92"/>
      <c r="Z60" s="92"/>
      <c r="AA60" s="92"/>
      <c r="AB60" s="92"/>
      <c r="AC60" s="92"/>
      <c r="AD60" s="92"/>
    </row>
    <row r="62" spans="1:30" ht="15.5" thickBot="1">
      <c r="A62" s="211" t="s">
        <v>386</v>
      </c>
      <c r="B62" s="211"/>
      <c r="C62" s="211"/>
      <c r="D62" s="211"/>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row>
    <row r="63" spans="1:30" ht="15.5" thickTop="1">
      <c r="A63" s="101" t="s">
        <v>394</v>
      </c>
      <c r="B63" s="102" t="s">
        <v>395</v>
      </c>
      <c r="C63" s="102" t="s">
        <v>396</v>
      </c>
      <c r="D63" s="102" t="s">
        <v>397</v>
      </c>
      <c r="E63" s="92"/>
      <c r="F63" s="92"/>
      <c r="G63" s="92"/>
      <c r="H63" s="92"/>
      <c r="I63" s="92"/>
      <c r="J63" s="92"/>
      <c r="K63" s="92"/>
      <c r="L63" s="92"/>
      <c r="M63" s="92"/>
      <c r="N63" s="92"/>
      <c r="O63" s="92"/>
      <c r="P63" s="92"/>
      <c r="Q63" s="92"/>
      <c r="R63" s="92"/>
      <c r="S63" s="92"/>
      <c r="T63" s="92"/>
      <c r="U63" s="92"/>
      <c r="V63" s="92"/>
      <c r="W63" s="92"/>
      <c r="X63" s="92"/>
      <c r="Y63" s="92"/>
      <c r="Z63" s="92"/>
      <c r="AA63" s="92"/>
      <c r="AB63" s="92"/>
      <c r="AC63" s="92"/>
      <c r="AD63" s="92"/>
    </row>
    <row r="64" spans="1:30" ht="14.75">
      <c r="A64" s="92" t="s">
        <v>398</v>
      </c>
      <c r="B64" s="99">
        <v>0</v>
      </c>
      <c r="C64" s="99">
        <v>0</v>
      </c>
      <c r="D64" s="99">
        <v>0</v>
      </c>
      <c r="E64" s="92"/>
      <c r="F64" s="92"/>
      <c r="G64" s="92"/>
      <c r="H64" s="92"/>
      <c r="I64" s="92"/>
      <c r="J64" s="92"/>
      <c r="K64" s="92"/>
      <c r="L64" s="92"/>
      <c r="M64" s="92"/>
      <c r="N64" s="92"/>
      <c r="O64" s="92"/>
      <c r="P64" s="92"/>
      <c r="Q64" s="92"/>
      <c r="R64" s="92"/>
      <c r="S64" s="92"/>
      <c r="T64" s="92"/>
      <c r="U64" s="92"/>
      <c r="V64" s="92"/>
      <c r="W64" s="92"/>
      <c r="X64" s="92"/>
      <c r="Y64" s="92"/>
      <c r="Z64" s="92"/>
      <c r="AA64" s="92"/>
      <c r="AB64" s="92"/>
      <c r="AC64" s="92"/>
      <c r="AD64" s="92"/>
    </row>
    <row r="65" spans="1:30" ht="14.75">
      <c r="A65" s="92" t="s">
        <v>399</v>
      </c>
      <c r="B65" s="99">
        <v>0</v>
      </c>
      <c r="C65" s="99">
        <v>0</v>
      </c>
      <c r="D65" s="99">
        <v>0</v>
      </c>
      <c r="E65" s="92"/>
      <c r="F65" s="92"/>
      <c r="G65" s="92"/>
      <c r="H65" s="92"/>
      <c r="I65" s="92"/>
      <c r="J65" s="92"/>
      <c r="K65" s="92"/>
      <c r="L65" s="92"/>
      <c r="M65" s="92"/>
      <c r="N65" s="92"/>
      <c r="O65" s="92"/>
      <c r="P65" s="92"/>
      <c r="Q65" s="92"/>
      <c r="R65" s="92"/>
      <c r="S65" s="92"/>
      <c r="T65" s="92"/>
      <c r="U65" s="92"/>
      <c r="V65" s="92"/>
      <c r="W65" s="92"/>
      <c r="X65" s="92"/>
      <c r="Y65" s="92"/>
      <c r="Z65" s="92"/>
      <c r="AA65" s="92"/>
      <c r="AB65" s="92"/>
      <c r="AC65" s="92"/>
      <c r="AD65" s="92"/>
    </row>
    <row r="66" spans="1:30" ht="14.75">
      <c r="A66" s="92" t="s">
        <v>400</v>
      </c>
      <c r="B66" s="99">
        <v>0</v>
      </c>
      <c r="C66" s="99">
        <v>0</v>
      </c>
      <c r="D66" s="99">
        <v>0</v>
      </c>
      <c r="E66" s="92"/>
      <c r="F66" s="92"/>
      <c r="G66" s="92"/>
      <c r="H66" s="92"/>
      <c r="I66" s="92"/>
      <c r="J66" s="92"/>
      <c r="K66" s="92"/>
      <c r="L66" s="92"/>
      <c r="M66" s="92"/>
      <c r="N66" s="92"/>
      <c r="O66" s="92"/>
      <c r="P66" s="92"/>
      <c r="Q66" s="92"/>
      <c r="R66" s="92"/>
      <c r="S66" s="92"/>
      <c r="T66" s="92"/>
      <c r="U66" s="92"/>
      <c r="V66" s="92"/>
      <c r="W66" s="92"/>
      <c r="X66" s="92"/>
      <c r="Y66" s="92"/>
      <c r="Z66" s="92"/>
      <c r="AA66" s="92"/>
      <c r="AB66" s="92"/>
      <c r="AC66" s="92"/>
      <c r="AD66" s="92"/>
    </row>
    <row r="67" spans="1:30" ht="14.75">
      <c r="A67" s="92" t="s">
        <v>401</v>
      </c>
      <c r="B67" s="99">
        <v>0</v>
      </c>
      <c r="C67" s="99">
        <v>0</v>
      </c>
      <c r="D67" s="99">
        <v>0</v>
      </c>
      <c r="E67" s="92"/>
      <c r="F67" s="92"/>
      <c r="G67" s="92"/>
      <c r="H67" s="92"/>
      <c r="I67" s="92"/>
      <c r="J67" s="92"/>
      <c r="K67" s="92"/>
      <c r="L67" s="92"/>
      <c r="M67" s="92"/>
      <c r="N67" s="92"/>
      <c r="O67" s="92"/>
      <c r="P67" s="92"/>
      <c r="Q67" s="92"/>
      <c r="R67" s="92"/>
      <c r="S67" s="92"/>
      <c r="T67" s="92"/>
      <c r="U67" s="92"/>
      <c r="V67" s="92"/>
      <c r="W67" s="92"/>
      <c r="X67" s="92"/>
      <c r="Y67" s="92"/>
      <c r="Z67" s="92"/>
      <c r="AA67" s="92"/>
      <c r="AB67" s="92"/>
      <c r="AC67" s="92"/>
      <c r="AD67" s="92"/>
    </row>
    <row r="68" spans="1:30" ht="14.75">
      <c r="A68" s="92" t="s">
        <v>272</v>
      </c>
      <c r="B68" s="99">
        <v>0</v>
      </c>
      <c r="C68" s="99" t="s">
        <v>1136</v>
      </c>
      <c r="D68" s="99">
        <v>0</v>
      </c>
    </row>
    <row r="69" spans="1:30" ht="15.5" thickBot="1">
      <c r="A69" s="103" t="s">
        <v>89</v>
      </c>
      <c r="B69" s="104">
        <v>0</v>
      </c>
      <c r="C69" s="104">
        <v>0</v>
      </c>
      <c r="D69" s="104">
        <v>0</v>
      </c>
    </row>
    <row r="70" spans="1:30" ht="15.5" thickTop="1">
      <c r="A70" s="92" t="s">
        <v>402</v>
      </c>
      <c r="B70" s="99">
        <v>7</v>
      </c>
      <c r="C70" s="99" t="s">
        <v>1136</v>
      </c>
      <c r="D70" s="99">
        <v>1592740841.2484</v>
      </c>
    </row>
    <row r="72" spans="1:30" ht="14.75">
      <c r="A72" s="210" t="s">
        <v>402</v>
      </c>
      <c r="B72" s="210"/>
      <c r="C72" s="210"/>
      <c r="D72" s="210"/>
      <c r="E72" s="210"/>
      <c r="F72" s="210"/>
      <c r="G72" s="210"/>
      <c r="H72" s="210"/>
      <c r="I72" s="210"/>
      <c r="J72" s="210"/>
      <c r="K72" s="210"/>
      <c r="L72" s="210"/>
      <c r="M72" s="210"/>
      <c r="N72" s="210"/>
      <c r="O72" s="210"/>
      <c r="P72" s="210"/>
      <c r="Q72" s="210"/>
      <c r="R72" s="210"/>
      <c r="S72" s="210"/>
      <c r="T72" s="210"/>
      <c r="U72" s="210"/>
      <c r="V72" s="210"/>
      <c r="W72" s="210"/>
      <c r="X72" s="210"/>
      <c r="Y72" s="210"/>
      <c r="Z72" s="210"/>
      <c r="AA72" s="210"/>
      <c r="AB72" s="210"/>
      <c r="AC72" s="210"/>
      <c r="AD72" s="210"/>
    </row>
    <row r="73" spans="1:30" ht="14.75">
      <c r="A73" s="93" t="s">
        <v>403</v>
      </c>
      <c r="B73" s="93" t="s">
        <v>404</v>
      </c>
      <c r="C73" s="93" t="s">
        <v>405</v>
      </c>
      <c r="D73" s="94" t="s">
        <v>406</v>
      </c>
      <c r="E73" s="93" t="s">
        <v>407</v>
      </c>
      <c r="F73" s="93" t="s">
        <v>408</v>
      </c>
      <c r="G73" s="93" t="s">
        <v>409</v>
      </c>
      <c r="H73" s="93" t="s">
        <v>410</v>
      </c>
      <c r="I73" s="93" t="s">
        <v>411</v>
      </c>
      <c r="J73" s="93" t="s">
        <v>412</v>
      </c>
      <c r="K73" s="93" t="s">
        <v>413</v>
      </c>
      <c r="L73" s="93" t="s">
        <v>414</v>
      </c>
      <c r="M73" s="93" t="s">
        <v>415</v>
      </c>
      <c r="N73" s="93" t="s">
        <v>416</v>
      </c>
      <c r="O73" s="93" t="s">
        <v>417</v>
      </c>
      <c r="P73" s="94" t="s">
        <v>418</v>
      </c>
      <c r="Q73" s="94" t="s">
        <v>419</v>
      </c>
      <c r="R73" s="93" t="s">
        <v>420</v>
      </c>
      <c r="S73" s="93" t="s">
        <v>421</v>
      </c>
      <c r="T73" s="93" t="s">
        <v>422</v>
      </c>
      <c r="U73" s="93" t="s">
        <v>423</v>
      </c>
      <c r="V73" s="93" t="s">
        <v>424</v>
      </c>
      <c r="W73" s="93" t="s">
        <v>425</v>
      </c>
      <c r="X73" s="93" t="s">
        <v>426</v>
      </c>
      <c r="Y73" s="93" t="s">
        <v>226</v>
      </c>
      <c r="Z73" s="93" t="s">
        <v>427</v>
      </c>
      <c r="AA73" s="92"/>
      <c r="AB73" s="92"/>
      <c r="AC73" s="92"/>
      <c r="AD73" s="92"/>
    </row>
    <row r="74" spans="1:30" ht="14.75">
      <c r="A74" s="92" t="s">
        <v>1375</v>
      </c>
      <c r="B74" s="92" t="s">
        <v>429</v>
      </c>
      <c r="C74" s="95">
        <v>38851</v>
      </c>
      <c r="D74" s="99">
        <v>150000000</v>
      </c>
      <c r="E74" s="92" t="s">
        <v>448</v>
      </c>
      <c r="F74" s="92" t="s">
        <v>431</v>
      </c>
      <c r="G74" s="92" t="s">
        <v>432</v>
      </c>
      <c r="H74" s="92" t="s">
        <v>265</v>
      </c>
      <c r="I74" s="92" t="s">
        <v>1376</v>
      </c>
      <c r="J74" s="92" t="s">
        <v>429</v>
      </c>
      <c r="K74" s="95">
        <v>37025</v>
      </c>
      <c r="L74" s="92" t="s">
        <v>434</v>
      </c>
      <c r="M74" s="92" t="s">
        <v>458</v>
      </c>
      <c r="N74" s="92" t="s">
        <v>435</v>
      </c>
      <c r="O74" s="92" t="s">
        <v>436</v>
      </c>
      <c r="P74" s="100" t="s">
        <v>429</v>
      </c>
      <c r="Q74" s="100" t="s">
        <v>429</v>
      </c>
      <c r="R74" s="92" t="s">
        <v>429</v>
      </c>
      <c r="S74" s="92" t="s">
        <v>429</v>
      </c>
      <c r="T74" s="92" t="s">
        <v>470</v>
      </c>
      <c r="U74" s="92" t="s">
        <v>437</v>
      </c>
      <c r="V74" s="92" t="s">
        <v>441</v>
      </c>
      <c r="W74" s="92" t="s">
        <v>438</v>
      </c>
      <c r="X74" s="92" t="s">
        <v>436</v>
      </c>
      <c r="Y74" s="92" t="s">
        <v>1374</v>
      </c>
      <c r="Z74" s="92" t="s">
        <v>429</v>
      </c>
      <c r="AA74" s="92"/>
      <c r="AB74" s="92"/>
      <c r="AC74" s="92"/>
      <c r="AD74" s="92"/>
    </row>
    <row r="75" spans="1:30" ht="14.75">
      <c r="A75" s="92" t="s">
        <v>1377</v>
      </c>
      <c r="B75" s="92" t="s">
        <v>429</v>
      </c>
      <c r="C75" s="95">
        <v>39462</v>
      </c>
      <c r="D75" s="99">
        <v>542740841</v>
      </c>
      <c r="E75" s="92" t="s">
        <v>430</v>
      </c>
      <c r="F75" s="92" t="s">
        <v>441</v>
      </c>
      <c r="G75" s="92" t="s">
        <v>442</v>
      </c>
      <c r="H75" s="92" t="s">
        <v>266</v>
      </c>
      <c r="I75" s="92" t="s">
        <v>1376</v>
      </c>
      <c r="J75" s="92" t="s">
        <v>1378</v>
      </c>
      <c r="K75" s="95">
        <v>35810</v>
      </c>
      <c r="L75" s="92" t="s">
        <v>434</v>
      </c>
      <c r="M75" s="92" t="s">
        <v>434</v>
      </c>
      <c r="N75" s="92" t="s">
        <v>435</v>
      </c>
      <c r="O75" s="92" t="s">
        <v>436</v>
      </c>
      <c r="P75" s="100" t="s">
        <v>429</v>
      </c>
      <c r="Q75" s="100" t="s">
        <v>429</v>
      </c>
      <c r="R75" s="92" t="s">
        <v>429</v>
      </c>
      <c r="S75" s="92" t="s">
        <v>429</v>
      </c>
      <c r="T75" s="92" t="s">
        <v>445</v>
      </c>
      <c r="U75" s="92" t="s">
        <v>429</v>
      </c>
      <c r="V75" s="92" t="s">
        <v>441</v>
      </c>
      <c r="W75" s="92" t="s">
        <v>438</v>
      </c>
      <c r="X75" s="92" t="s">
        <v>436</v>
      </c>
      <c r="Y75" s="92" t="s">
        <v>1374</v>
      </c>
      <c r="Z75" s="92" t="s">
        <v>429</v>
      </c>
      <c r="AA75" s="92"/>
      <c r="AB75" s="92"/>
      <c r="AC75" s="92"/>
      <c r="AD75" s="92"/>
    </row>
    <row r="76" spans="1:30" ht="14.75">
      <c r="A76" s="92" t="s">
        <v>1377</v>
      </c>
      <c r="B76" s="92" t="s">
        <v>462</v>
      </c>
      <c r="C76" s="95">
        <v>39462</v>
      </c>
      <c r="D76" s="99">
        <v>542740841</v>
      </c>
      <c r="E76" s="92" t="s">
        <v>430</v>
      </c>
      <c r="F76" s="92" t="s">
        <v>463</v>
      </c>
      <c r="G76" s="92" t="s">
        <v>442</v>
      </c>
      <c r="H76" s="92" t="s">
        <v>267</v>
      </c>
      <c r="I76" s="92" t="s">
        <v>1376</v>
      </c>
      <c r="J76" s="92" t="s">
        <v>429</v>
      </c>
      <c r="K76" s="95">
        <v>35810</v>
      </c>
      <c r="L76" s="92" t="s">
        <v>434</v>
      </c>
      <c r="M76" s="92" t="s">
        <v>434</v>
      </c>
      <c r="N76" s="92" t="s">
        <v>435</v>
      </c>
      <c r="O76" s="92" t="s">
        <v>436</v>
      </c>
      <c r="P76" s="100" t="s">
        <v>429</v>
      </c>
      <c r="Q76" s="100" t="s">
        <v>429</v>
      </c>
      <c r="R76" s="92" t="s">
        <v>429</v>
      </c>
      <c r="S76" s="92" t="s">
        <v>429</v>
      </c>
      <c r="T76" s="92" t="s">
        <v>464</v>
      </c>
      <c r="U76" s="92" t="s">
        <v>429</v>
      </c>
      <c r="V76" s="92" t="s">
        <v>441</v>
      </c>
      <c r="W76" s="92" t="s">
        <v>438</v>
      </c>
      <c r="X76" s="92" t="s">
        <v>436</v>
      </c>
      <c r="Y76" s="92" t="s">
        <v>1374</v>
      </c>
      <c r="Z76" s="92" t="s">
        <v>429</v>
      </c>
      <c r="AA76" s="92"/>
      <c r="AB76" s="92"/>
      <c r="AC76" s="92"/>
      <c r="AD76" s="92"/>
    </row>
    <row r="77" spans="1:30" ht="14.75">
      <c r="A77" s="92" t="s">
        <v>1379</v>
      </c>
      <c r="B77" s="92" t="s">
        <v>429</v>
      </c>
      <c r="C77" s="95">
        <v>40701</v>
      </c>
      <c r="D77" s="99">
        <v>350000000</v>
      </c>
      <c r="E77" s="92" t="s">
        <v>448</v>
      </c>
      <c r="F77" s="92" t="s">
        <v>431</v>
      </c>
      <c r="G77" s="92" t="s">
        <v>432</v>
      </c>
      <c r="H77" s="92" t="s">
        <v>268</v>
      </c>
      <c r="I77" s="92" t="s">
        <v>1376</v>
      </c>
      <c r="J77" s="92" t="s">
        <v>429</v>
      </c>
      <c r="K77" s="95">
        <v>37025</v>
      </c>
      <c r="L77" s="92" t="s">
        <v>434</v>
      </c>
      <c r="M77" s="92" t="s">
        <v>458</v>
      </c>
      <c r="N77" s="92" t="s">
        <v>435</v>
      </c>
      <c r="O77" s="92" t="s">
        <v>436</v>
      </c>
      <c r="P77" s="100" t="s">
        <v>429</v>
      </c>
      <c r="Q77" s="100" t="s">
        <v>429</v>
      </c>
      <c r="R77" s="92" t="s">
        <v>429</v>
      </c>
      <c r="S77" s="92" t="s">
        <v>429</v>
      </c>
      <c r="T77" s="92" t="s">
        <v>470</v>
      </c>
      <c r="U77" s="92" t="s">
        <v>437</v>
      </c>
      <c r="V77" s="92" t="s">
        <v>441</v>
      </c>
      <c r="W77" s="92" t="s">
        <v>438</v>
      </c>
      <c r="X77" s="92" t="s">
        <v>436</v>
      </c>
      <c r="Y77" s="92" t="s">
        <v>1374</v>
      </c>
      <c r="Z77" s="92" t="s">
        <v>429</v>
      </c>
      <c r="AA77" s="92"/>
      <c r="AB77" s="92"/>
      <c r="AC77" s="92"/>
      <c r="AD77" s="92"/>
    </row>
    <row r="78" spans="1:30" ht="14.75">
      <c r="A78" s="92" t="s">
        <v>1380</v>
      </c>
      <c r="B78" s="92" t="s">
        <v>429</v>
      </c>
      <c r="C78" s="95">
        <v>42323</v>
      </c>
      <c r="D78" s="99">
        <v>200000000</v>
      </c>
      <c r="E78" s="92" t="s">
        <v>448</v>
      </c>
      <c r="F78" s="92" t="s">
        <v>431</v>
      </c>
      <c r="G78" s="92" t="s">
        <v>432</v>
      </c>
      <c r="H78" s="92" t="s">
        <v>269</v>
      </c>
      <c r="I78" s="92" t="s">
        <v>1376</v>
      </c>
      <c r="J78" s="92" t="s">
        <v>429</v>
      </c>
      <c r="K78" s="95">
        <v>38671</v>
      </c>
      <c r="L78" s="92" t="s">
        <v>434</v>
      </c>
      <c r="M78" s="92" t="s">
        <v>458</v>
      </c>
      <c r="N78" s="92" t="s">
        <v>435</v>
      </c>
      <c r="O78" s="92" t="s">
        <v>436</v>
      </c>
      <c r="P78" s="100" t="s">
        <v>429</v>
      </c>
      <c r="Q78" s="100" t="s">
        <v>429</v>
      </c>
      <c r="R78" s="92" t="s">
        <v>429</v>
      </c>
      <c r="S78" s="92" t="s">
        <v>429</v>
      </c>
      <c r="T78" s="92" t="s">
        <v>1307</v>
      </c>
      <c r="U78" s="92" t="s">
        <v>429</v>
      </c>
      <c r="V78" s="92" t="s">
        <v>441</v>
      </c>
      <c r="W78" s="92" t="s">
        <v>438</v>
      </c>
      <c r="X78" s="92" t="s">
        <v>436</v>
      </c>
      <c r="Y78" s="92" t="s">
        <v>1374</v>
      </c>
      <c r="Z78" s="92" t="s">
        <v>429</v>
      </c>
      <c r="AA78" s="92"/>
      <c r="AB78" s="92"/>
      <c r="AC78" s="92"/>
      <c r="AD78" s="92"/>
    </row>
    <row r="79" spans="1:30" ht="14.75">
      <c r="A79" s="92" t="s">
        <v>1381</v>
      </c>
      <c r="B79" s="92" t="s">
        <v>429</v>
      </c>
      <c r="C79" s="95">
        <v>42324</v>
      </c>
      <c r="D79" s="99">
        <v>150000000</v>
      </c>
      <c r="E79" s="92" t="s">
        <v>448</v>
      </c>
      <c r="F79" s="92" t="s">
        <v>431</v>
      </c>
      <c r="G79" s="92" t="s">
        <v>432</v>
      </c>
      <c r="H79" s="92" t="s">
        <v>270</v>
      </c>
      <c r="I79" s="92" t="s">
        <v>1376</v>
      </c>
      <c r="J79" s="92" t="s">
        <v>429</v>
      </c>
      <c r="K79" s="95">
        <v>41352</v>
      </c>
      <c r="L79" s="92" t="s">
        <v>434</v>
      </c>
      <c r="M79" s="92" t="s">
        <v>458</v>
      </c>
      <c r="N79" s="92" t="s">
        <v>435</v>
      </c>
      <c r="O79" s="92" t="s">
        <v>436</v>
      </c>
      <c r="P79" s="100" t="s">
        <v>429</v>
      </c>
      <c r="Q79" s="100" t="s">
        <v>429</v>
      </c>
      <c r="R79" s="92" t="s">
        <v>429</v>
      </c>
      <c r="S79" s="92" t="s">
        <v>429</v>
      </c>
      <c r="T79" s="92" t="s">
        <v>429</v>
      </c>
      <c r="U79" s="92" t="s">
        <v>437</v>
      </c>
      <c r="V79" s="92" t="s">
        <v>441</v>
      </c>
      <c r="W79" s="92" t="s">
        <v>438</v>
      </c>
      <c r="X79" s="92" t="s">
        <v>436</v>
      </c>
      <c r="Y79" s="92" t="s">
        <v>1374</v>
      </c>
      <c r="Z79" s="92" t="s">
        <v>429</v>
      </c>
      <c r="AA79" s="92"/>
      <c r="AB79" s="92"/>
      <c r="AC79" s="92"/>
      <c r="AD79" s="92"/>
    </row>
    <row r="80" spans="1:30" ht="14.75">
      <c r="A80" s="92" t="s">
        <v>1382</v>
      </c>
      <c r="B80" s="92" t="s">
        <v>429</v>
      </c>
      <c r="C80" s="95">
        <v>42852</v>
      </c>
      <c r="D80" s="99">
        <v>200000000</v>
      </c>
      <c r="E80" s="92" t="s">
        <v>430</v>
      </c>
      <c r="F80" s="92" t="s">
        <v>431</v>
      </c>
      <c r="G80" s="92" t="s">
        <v>432</v>
      </c>
      <c r="H80" s="92" t="s">
        <v>271</v>
      </c>
      <c r="I80" s="92" t="s">
        <v>1376</v>
      </c>
      <c r="J80" s="92" t="s">
        <v>429</v>
      </c>
      <c r="K80" s="95">
        <v>41026</v>
      </c>
      <c r="L80" s="92" t="s">
        <v>434</v>
      </c>
      <c r="M80" s="92" t="s">
        <v>458</v>
      </c>
      <c r="N80" s="92" t="s">
        <v>435</v>
      </c>
      <c r="O80" s="92" t="s">
        <v>436</v>
      </c>
      <c r="P80" s="100" t="s">
        <v>429</v>
      </c>
      <c r="Q80" s="100" t="s">
        <v>429</v>
      </c>
      <c r="R80" s="92" t="s">
        <v>429</v>
      </c>
      <c r="S80" s="92" t="s">
        <v>429</v>
      </c>
      <c r="T80" s="92" t="s">
        <v>429</v>
      </c>
      <c r="U80" s="92" t="s">
        <v>437</v>
      </c>
      <c r="V80" s="92" t="s">
        <v>441</v>
      </c>
      <c r="W80" s="92" t="s">
        <v>438</v>
      </c>
      <c r="X80" s="92" t="s">
        <v>436</v>
      </c>
      <c r="Y80" s="92" t="s">
        <v>1374</v>
      </c>
      <c r="Z80" s="92" t="s">
        <v>429</v>
      </c>
      <c r="AA80" s="92"/>
      <c r="AB80" s="92"/>
      <c r="AC80" s="92"/>
      <c r="AD80" s="92"/>
    </row>
    <row r="83" spans="1:14" ht="14.75">
      <c r="A83" s="101" t="s">
        <v>1121</v>
      </c>
      <c r="C83" s="116" t="s">
        <v>1122</v>
      </c>
    </row>
    <row r="85" spans="1:14">
      <c r="B85" t="s">
        <v>1124</v>
      </c>
      <c r="C85" t="s">
        <v>1125</v>
      </c>
      <c r="D85" t="s">
        <v>413</v>
      </c>
      <c r="E85" t="s">
        <v>405</v>
      </c>
      <c r="F85" t="s">
        <v>1126</v>
      </c>
      <c r="G85" t="s">
        <v>1127</v>
      </c>
      <c r="H85" t="s">
        <v>1128</v>
      </c>
      <c r="I85" t="s">
        <v>1129</v>
      </c>
      <c r="J85" t="s">
        <v>1130</v>
      </c>
      <c r="K85" t="s">
        <v>1131</v>
      </c>
      <c r="N85" t="s">
        <v>1115</v>
      </c>
    </row>
    <row r="86" spans="1:14">
      <c r="A86" t="str">
        <f>B86 &amp; C86</f>
        <v>27199260111</v>
      </c>
      <c r="B86">
        <v>2719926011</v>
      </c>
      <c r="C86">
        <v>1</v>
      </c>
      <c r="D86" s="27">
        <v>41968</v>
      </c>
      <c r="E86" s="27">
        <v>45608</v>
      </c>
      <c r="F86">
        <v>140.75</v>
      </c>
      <c r="G86" t="s">
        <v>1267</v>
      </c>
      <c r="H86">
        <v>3.65</v>
      </c>
      <c r="I86">
        <v>0.5</v>
      </c>
      <c r="J86" s="127">
        <v>42136</v>
      </c>
      <c r="K86">
        <v>1.1299999999999999</v>
      </c>
      <c r="L86" t="s">
        <v>535</v>
      </c>
    </row>
    <row r="87" spans="1:14">
      <c r="A87" t="str">
        <f t="shared" ref="A87:A104" si="0">B87 &amp; C87</f>
        <v>27199260112</v>
      </c>
      <c r="B87">
        <v>2719926011</v>
      </c>
      <c r="C87">
        <v>2</v>
      </c>
      <c r="D87" s="27">
        <v>41968</v>
      </c>
      <c r="E87" s="27">
        <v>46338</v>
      </c>
      <c r="F87">
        <v>197.05</v>
      </c>
      <c r="G87" t="s">
        <v>1267</v>
      </c>
      <c r="H87">
        <v>3.75</v>
      </c>
      <c r="I87">
        <v>0.5</v>
      </c>
      <c r="J87" s="127">
        <v>42136</v>
      </c>
      <c r="K87">
        <v>1.1299999999999999</v>
      </c>
    </row>
    <row r="88" spans="1:14">
      <c r="A88" t="str">
        <f t="shared" si="0"/>
        <v>38290700961</v>
      </c>
      <c r="B88">
        <v>3829070096</v>
      </c>
      <c r="C88">
        <v>1</v>
      </c>
      <c r="D88" s="27">
        <v>44518</v>
      </c>
      <c r="E88" s="27">
        <v>46133</v>
      </c>
      <c r="F88">
        <v>15</v>
      </c>
      <c r="G88" t="s">
        <v>1267</v>
      </c>
      <c r="H88">
        <v>1.603</v>
      </c>
      <c r="I88">
        <v>1</v>
      </c>
      <c r="J88" s="127">
        <v>44672</v>
      </c>
      <c r="K88">
        <v>1.37</v>
      </c>
      <c r="L88" t="s">
        <v>1383</v>
      </c>
    </row>
    <row r="89" spans="1:14">
      <c r="A89" t="str">
        <f t="shared" si="0"/>
        <v>32828360961</v>
      </c>
      <c r="B89">
        <v>3282836096</v>
      </c>
      <c r="C89">
        <v>1</v>
      </c>
      <c r="D89" s="27">
        <v>44518</v>
      </c>
      <c r="E89" s="27">
        <v>46133</v>
      </c>
      <c r="F89">
        <v>65</v>
      </c>
      <c r="G89" t="s">
        <v>1260</v>
      </c>
      <c r="H89">
        <v>1.603</v>
      </c>
      <c r="I89">
        <v>1</v>
      </c>
      <c r="J89" s="127">
        <v>44672</v>
      </c>
    </row>
    <row r="90" spans="1:14">
      <c r="A90" t="str">
        <f t="shared" si="0"/>
        <v>37907380961</v>
      </c>
      <c r="B90">
        <v>3790738096</v>
      </c>
      <c r="C90">
        <v>1</v>
      </c>
      <c r="D90" s="27">
        <v>44431</v>
      </c>
      <c r="E90" s="27">
        <v>45527</v>
      </c>
      <c r="F90">
        <v>300</v>
      </c>
      <c r="G90" t="s">
        <v>1260</v>
      </c>
      <c r="H90" t="s">
        <v>1319</v>
      </c>
      <c r="I90">
        <v>0.25</v>
      </c>
      <c r="J90" s="127">
        <v>44615</v>
      </c>
      <c r="N90" t="s">
        <v>1273</v>
      </c>
    </row>
    <row r="91" spans="1:14">
      <c r="A91" t="str">
        <f t="shared" si="0"/>
        <v>37948310961</v>
      </c>
      <c r="B91">
        <v>3794831096</v>
      </c>
      <c r="C91">
        <v>1</v>
      </c>
      <c r="D91" s="27">
        <v>44426</v>
      </c>
      <c r="E91" s="27">
        <v>48078</v>
      </c>
      <c r="F91">
        <v>50</v>
      </c>
      <c r="G91" t="s">
        <v>1260</v>
      </c>
      <c r="H91">
        <v>2.1949999999999998</v>
      </c>
      <c r="I91">
        <v>0.5</v>
      </c>
      <c r="J91" s="127">
        <v>44610</v>
      </c>
    </row>
    <row r="92" spans="1:14">
      <c r="A92" t="str">
        <f t="shared" si="0"/>
        <v>37284850961</v>
      </c>
      <c r="B92">
        <v>3728485096</v>
      </c>
      <c r="C92">
        <v>1</v>
      </c>
      <c r="D92" s="27">
        <v>44307</v>
      </c>
      <c r="E92" s="27">
        <v>46133</v>
      </c>
      <c r="F92">
        <v>175</v>
      </c>
      <c r="G92" t="s">
        <v>1260</v>
      </c>
      <c r="H92" t="s">
        <v>1319</v>
      </c>
      <c r="I92">
        <v>0.25</v>
      </c>
      <c r="J92" s="127">
        <v>44582</v>
      </c>
      <c r="N92" t="s">
        <v>1273</v>
      </c>
    </row>
    <row r="93" spans="1:14">
      <c r="A93" t="str">
        <f t="shared" si="0"/>
        <v>37284850962</v>
      </c>
      <c r="B93">
        <v>3728485096</v>
      </c>
      <c r="C93">
        <v>2</v>
      </c>
      <c r="D93" s="27">
        <v>44307</v>
      </c>
      <c r="E93" s="27">
        <v>46133</v>
      </c>
      <c r="F93">
        <v>325</v>
      </c>
      <c r="G93" t="s">
        <v>1260</v>
      </c>
      <c r="H93">
        <v>1.603</v>
      </c>
      <c r="I93">
        <v>1</v>
      </c>
      <c r="J93" s="127">
        <v>44672</v>
      </c>
      <c r="N93" t="s">
        <v>1273</v>
      </c>
    </row>
    <row r="94" spans="1:14">
      <c r="A94" t="str">
        <f t="shared" si="0"/>
        <v>37284850963</v>
      </c>
      <c r="B94">
        <v>3728485096</v>
      </c>
      <c r="C94">
        <v>3</v>
      </c>
      <c r="D94" s="27">
        <v>44307</v>
      </c>
      <c r="E94" s="27">
        <v>46864</v>
      </c>
      <c r="F94">
        <v>200</v>
      </c>
      <c r="G94" t="s">
        <v>1260</v>
      </c>
      <c r="H94">
        <v>2.1320000000000001</v>
      </c>
      <c r="I94">
        <v>1</v>
      </c>
      <c r="J94" s="127">
        <v>44672</v>
      </c>
      <c r="N94" t="s">
        <v>1273</v>
      </c>
    </row>
    <row r="95" spans="1:14">
      <c r="A95" t="str">
        <f t="shared" si="0"/>
        <v>36756870061</v>
      </c>
      <c r="B95">
        <v>3675687006</v>
      </c>
      <c r="C95">
        <v>1</v>
      </c>
      <c r="D95" s="27">
        <v>44102</v>
      </c>
      <c r="E95" s="27">
        <v>45928</v>
      </c>
      <c r="F95">
        <v>131.71</v>
      </c>
      <c r="G95" s="200" t="s">
        <v>1384</v>
      </c>
      <c r="H95">
        <v>1.18</v>
      </c>
      <c r="I95">
        <v>1</v>
      </c>
      <c r="J95" s="127">
        <v>44467</v>
      </c>
      <c r="N95" t="s">
        <v>1273</v>
      </c>
    </row>
    <row r="96" spans="1:14">
      <c r="A96" t="str">
        <f t="shared" si="0"/>
        <v>35151640111</v>
      </c>
      <c r="B96">
        <v>3515164011</v>
      </c>
      <c r="C96">
        <v>1</v>
      </c>
      <c r="D96" s="27">
        <v>43656</v>
      </c>
      <c r="E96" s="27">
        <v>47362</v>
      </c>
      <c r="F96">
        <v>445.59</v>
      </c>
      <c r="G96" t="s">
        <v>1260</v>
      </c>
      <c r="H96">
        <v>3.36</v>
      </c>
      <c r="I96">
        <v>0.5</v>
      </c>
      <c r="J96" s="127">
        <v>43900</v>
      </c>
    </row>
    <row r="97" spans="1:14">
      <c r="A97" t="str">
        <f t="shared" si="0"/>
        <v>32617810061</v>
      </c>
      <c r="B97">
        <v>3261781006</v>
      </c>
      <c r="C97">
        <v>1</v>
      </c>
      <c r="D97" s="27">
        <v>43216</v>
      </c>
      <c r="E97" s="27">
        <v>46869</v>
      </c>
      <c r="F97">
        <v>90.97</v>
      </c>
      <c r="G97" t="s">
        <v>1385</v>
      </c>
      <c r="H97">
        <v>2.84</v>
      </c>
      <c r="I97">
        <v>1</v>
      </c>
      <c r="J97" s="127">
        <v>43581</v>
      </c>
    </row>
    <row r="98" spans="1:14">
      <c r="A98" t="str">
        <f t="shared" si="0"/>
        <v>32273450961</v>
      </c>
      <c r="B98">
        <v>3227345096</v>
      </c>
      <c r="C98">
        <v>1</v>
      </c>
      <c r="D98" s="27">
        <v>43188</v>
      </c>
      <c r="E98" s="27">
        <v>46841</v>
      </c>
      <c r="F98">
        <v>225</v>
      </c>
      <c r="G98" t="s">
        <v>1260</v>
      </c>
      <c r="H98">
        <v>4</v>
      </c>
      <c r="I98">
        <v>0.5</v>
      </c>
      <c r="J98" s="127">
        <v>43372</v>
      </c>
      <c r="N98" t="s">
        <v>1273</v>
      </c>
    </row>
    <row r="99" spans="1:14">
      <c r="A99" t="str">
        <f t="shared" si="0"/>
        <v>31368410961</v>
      </c>
      <c r="B99">
        <v>3136841096</v>
      </c>
      <c r="C99">
        <v>1</v>
      </c>
      <c r="D99" s="27">
        <v>42965</v>
      </c>
      <c r="E99" s="27">
        <v>46617</v>
      </c>
      <c r="F99">
        <v>150</v>
      </c>
      <c r="G99" t="s">
        <v>1260</v>
      </c>
      <c r="H99">
        <v>4</v>
      </c>
      <c r="I99">
        <v>0.5</v>
      </c>
      <c r="J99" s="127">
        <v>43149</v>
      </c>
      <c r="N99" t="s">
        <v>1273</v>
      </c>
    </row>
    <row r="100" spans="1:14">
      <c r="A100" t="str">
        <f t="shared" si="0"/>
        <v>30841990061</v>
      </c>
      <c r="B100">
        <v>3084199006</v>
      </c>
      <c r="C100">
        <v>1</v>
      </c>
      <c r="D100" s="27">
        <v>42790</v>
      </c>
      <c r="E100" s="27">
        <v>46442</v>
      </c>
      <c r="F100">
        <v>294.14</v>
      </c>
      <c r="G100" t="s">
        <v>1260</v>
      </c>
      <c r="H100">
        <v>3.29</v>
      </c>
      <c r="I100">
        <v>1</v>
      </c>
      <c r="J100" s="127">
        <v>43155</v>
      </c>
      <c r="N100" t="s">
        <v>1273</v>
      </c>
    </row>
    <row r="101" spans="1:14">
      <c r="A101" t="str">
        <f t="shared" si="0"/>
        <v>30702960111</v>
      </c>
      <c r="B101">
        <v>3070296011</v>
      </c>
      <c r="C101">
        <v>1</v>
      </c>
      <c r="D101" s="27">
        <v>42626</v>
      </c>
      <c r="E101" s="27">
        <v>46307</v>
      </c>
      <c r="F101">
        <v>368.53</v>
      </c>
      <c r="G101" t="s">
        <v>1267</v>
      </c>
      <c r="H101">
        <v>2.76</v>
      </c>
      <c r="I101">
        <v>0.5</v>
      </c>
      <c r="J101" s="127">
        <v>42837</v>
      </c>
    </row>
    <row r="102" spans="1:14">
      <c r="A102" t="str">
        <f t="shared" si="0"/>
        <v>30702960112</v>
      </c>
      <c r="B102">
        <v>3070296011</v>
      </c>
      <c r="C102">
        <v>2</v>
      </c>
      <c r="D102" s="27">
        <v>42626</v>
      </c>
      <c r="E102" s="27">
        <v>47038</v>
      </c>
      <c r="F102">
        <v>167.52</v>
      </c>
      <c r="G102" t="s">
        <v>1267</v>
      </c>
      <c r="H102">
        <v>2.86</v>
      </c>
      <c r="I102">
        <v>0.5</v>
      </c>
      <c r="J102" s="127">
        <v>42837</v>
      </c>
    </row>
    <row r="103" spans="1:14">
      <c r="A103" t="str">
        <f t="shared" si="0"/>
        <v>30702960113</v>
      </c>
      <c r="B103">
        <v>3070296011</v>
      </c>
      <c r="C103">
        <v>3</v>
      </c>
      <c r="D103" s="27">
        <v>42626</v>
      </c>
      <c r="E103" s="27">
        <v>46307</v>
      </c>
      <c r="F103">
        <v>30</v>
      </c>
      <c r="G103" t="s">
        <v>1260</v>
      </c>
      <c r="H103">
        <v>3.92</v>
      </c>
      <c r="I103">
        <v>0.5</v>
      </c>
      <c r="J103" s="127">
        <v>42837</v>
      </c>
    </row>
    <row r="104" spans="1:14">
      <c r="A104" t="str">
        <f t="shared" si="0"/>
        <v>30702960114</v>
      </c>
      <c r="B104">
        <v>3070296011</v>
      </c>
      <c r="C104">
        <v>4</v>
      </c>
      <c r="D104" s="27">
        <v>42626</v>
      </c>
      <c r="E104" s="27">
        <v>48133</v>
      </c>
      <c r="F104">
        <v>100</v>
      </c>
      <c r="G104" t="s">
        <v>1260</v>
      </c>
      <c r="H104">
        <v>4.13</v>
      </c>
      <c r="I104">
        <v>0.5</v>
      </c>
      <c r="J104" s="127">
        <v>42837</v>
      </c>
    </row>
    <row r="105" spans="1:14">
      <c r="D105" s="27"/>
      <c r="E105" s="27"/>
      <c r="J105" s="127"/>
    </row>
    <row r="106" spans="1:14" ht="14.75">
      <c r="A106" s="144" t="s">
        <v>1268</v>
      </c>
      <c r="C106" s="116" t="s">
        <v>1269</v>
      </c>
    </row>
    <row r="107" spans="1:14" ht="14.75">
      <c r="A107" s="144"/>
      <c r="C107" s="116"/>
    </row>
    <row r="108" spans="1:14">
      <c r="A108" s="1" t="s">
        <v>66</v>
      </c>
      <c r="B108" s="1" t="s">
        <v>1112</v>
      </c>
      <c r="C108" s="1" t="s">
        <v>1386</v>
      </c>
      <c r="D108" s="1" t="s">
        <v>1270</v>
      </c>
      <c r="E108" s="1" t="s">
        <v>202</v>
      </c>
      <c r="F108" s="1" t="s">
        <v>1113</v>
      </c>
      <c r="G108" s="1" t="s">
        <v>1114</v>
      </c>
      <c r="H108" s="1" t="s">
        <v>203</v>
      </c>
      <c r="I108" s="1" t="s">
        <v>1115</v>
      </c>
      <c r="K108" s="1" t="s">
        <v>1115</v>
      </c>
    </row>
    <row r="109" spans="1:14">
      <c r="A109" s="27">
        <v>44302</v>
      </c>
      <c r="B109">
        <v>175</v>
      </c>
      <c r="E109" t="s">
        <v>1319</v>
      </c>
      <c r="F109">
        <v>5</v>
      </c>
      <c r="G109" t="s">
        <v>1387</v>
      </c>
      <c r="H109" s="27">
        <f>F109*365+A109</f>
        <v>46127</v>
      </c>
      <c r="I109" t="s">
        <v>1273</v>
      </c>
    </row>
    <row r="110" spans="1:14">
      <c r="A110" s="27">
        <v>44302</v>
      </c>
      <c r="B110">
        <v>325</v>
      </c>
      <c r="E110">
        <v>1.603</v>
      </c>
      <c r="F110">
        <v>5</v>
      </c>
      <c r="H110" s="27">
        <f t="shared" ref="H110:H151" si="1">F110*365+A110</f>
        <v>46127</v>
      </c>
      <c r="I110" t="s">
        <v>1273</v>
      </c>
    </row>
    <row r="111" spans="1:14">
      <c r="A111" s="27">
        <v>44302</v>
      </c>
      <c r="B111">
        <v>200</v>
      </c>
      <c r="E111">
        <v>2.1320000000000001</v>
      </c>
      <c r="F111">
        <v>7</v>
      </c>
      <c r="H111" s="27">
        <f t="shared" si="1"/>
        <v>46857</v>
      </c>
      <c r="I111" t="s">
        <v>1273</v>
      </c>
    </row>
    <row r="112" spans="1:14">
      <c r="A112" s="27">
        <v>44512</v>
      </c>
      <c r="B112">
        <v>200</v>
      </c>
      <c r="E112">
        <v>2.0649999999999999</v>
      </c>
      <c r="F112">
        <v>10</v>
      </c>
      <c r="H112" s="27">
        <f t="shared" si="1"/>
        <v>48162</v>
      </c>
      <c r="I112" t="s">
        <v>1273</v>
      </c>
    </row>
    <row r="113" spans="1:11">
      <c r="A113" s="27">
        <v>44095</v>
      </c>
      <c r="B113">
        <v>131</v>
      </c>
      <c r="F113">
        <v>5</v>
      </c>
      <c r="H113" s="27">
        <f t="shared" si="1"/>
        <v>45920</v>
      </c>
      <c r="I113" t="s">
        <v>1273</v>
      </c>
    </row>
    <row r="114" spans="1:11">
      <c r="A114" s="27">
        <v>43201</v>
      </c>
      <c r="B114">
        <v>91</v>
      </c>
      <c r="F114">
        <v>10</v>
      </c>
      <c r="H114" s="27">
        <f t="shared" si="1"/>
        <v>46851</v>
      </c>
      <c r="I114" t="s">
        <v>1273</v>
      </c>
    </row>
    <row r="115" spans="1:11">
      <c r="A115" s="27">
        <v>43201</v>
      </c>
      <c r="B115">
        <v>38</v>
      </c>
      <c r="F115">
        <v>12</v>
      </c>
      <c r="H115" s="27">
        <f t="shared" si="1"/>
        <v>47581</v>
      </c>
      <c r="I115" t="s">
        <v>1273</v>
      </c>
    </row>
    <row r="116" spans="1:11">
      <c r="A116" s="27">
        <v>43182</v>
      </c>
      <c r="C116">
        <v>517</v>
      </c>
      <c r="F116">
        <v>7</v>
      </c>
      <c r="H116" s="27">
        <f t="shared" si="1"/>
        <v>45737</v>
      </c>
      <c r="I116" t="s">
        <v>1273</v>
      </c>
      <c r="K116" s="212" t="s">
        <v>1388</v>
      </c>
    </row>
    <row r="117" spans="1:11">
      <c r="A117" s="27">
        <v>43182</v>
      </c>
      <c r="C117">
        <v>320</v>
      </c>
      <c r="F117">
        <v>12</v>
      </c>
      <c r="H117" s="27">
        <f t="shared" si="1"/>
        <v>47562</v>
      </c>
      <c r="I117" t="s">
        <v>1273</v>
      </c>
      <c r="K117" s="212"/>
    </row>
    <row r="118" spans="1:11">
      <c r="A118" s="27">
        <v>43182</v>
      </c>
      <c r="B118">
        <v>225</v>
      </c>
      <c r="F118">
        <v>10</v>
      </c>
      <c r="H118" s="27">
        <f t="shared" si="1"/>
        <v>46832</v>
      </c>
      <c r="I118" t="s">
        <v>1273</v>
      </c>
    </row>
    <row r="119" spans="1:11">
      <c r="A119" s="27">
        <v>42957</v>
      </c>
      <c r="B119">
        <v>150</v>
      </c>
      <c r="F119">
        <v>10</v>
      </c>
      <c r="H119" s="27">
        <f t="shared" si="1"/>
        <v>46607</v>
      </c>
      <c r="I119" t="s">
        <v>1273</v>
      </c>
    </row>
    <row r="120" spans="1:11">
      <c r="A120" s="27">
        <v>42804</v>
      </c>
      <c r="B120">
        <v>106</v>
      </c>
      <c r="D120">
        <v>80</v>
      </c>
      <c r="F120">
        <v>10</v>
      </c>
      <c r="H120" s="27">
        <f t="shared" si="1"/>
        <v>46454</v>
      </c>
      <c r="I120" s="6"/>
    </row>
    <row r="121" spans="1:11" ht="14.15" customHeight="1">
      <c r="A121" s="27">
        <v>42781</v>
      </c>
      <c r="B121">
        <v>102</v>
      </c>
      <c r="C121">
        <v>600</v>
      </c>
      <c r="F121">
        <v>10</v>
      </c>
      <c r="H121" s="27">
        <f t="shared" si="1"/>
        <v>46431</v>
      </c>
      <c r="I121" t="s">
        <v>1273</v>
      </c>
      <c r="K121" s="145"/>
    </row>
    <row r="122" spans="1:11">
      <c r="A122" s="27">
        <v>42779</v>
      </c>
      <c r="B122">
        <v>296</v>
      </c>
      <c r="C122">
        <v>1750</v>
      </c>
      <c r="F122">
        <v>10</v>
      </c>
      <c r="H122" s="27">
        <f t="shared" si="1"/>
        <v>46429</v>
      </c>
      <c r="I122" t="s">
        <v>1273</v>
      </c>
      <c r="K122" s="145"/>
    </row>
    <row r="123" spans="1:11">
      <c r="A123" s="27">
        <v>42565</v>
      </c>
      <c r="D123">
        <v>275</v>
      </c>
      <c r="F123">
        <v>10</v>
      </c>
      <c r="H123" s="27">
        <f t="shared" si="1"/>
        <v>46215</v>
      </c>
      <c r="I123" t="s">
        <v>1273</v>
      </c>
      <c r="K123" s="212" t="s">
        <v>1389</v>
      </c>
    </row>
    <row r="124" spans="1:11">
      <c r="A124" s="27">
        <v>42565</v>
      </c>
      <c r="B124">
        <v>30</v>
      </c>
      <c r="F124">
        <v>10</v>
      </c>
      <c r="H124" s="27">
        <f t="shared" si="1"/>
        <v>46215</v>
      </c>
      <c r="I124" t="s">
        <v>1273</v>
      </c>
      <c r="K124" s="212"/>
    </row>
    <row r="125" spans="1:11">
      <c r="A125" s="27">
        <v>42565</v>
      </c>
      <c r="D125">
        <v>125</v>
      </c>
      <c r="F125">
        <v>12</v>
      </c>
      <c r="H125" s="27">
        <f t="shared" si="1"/>
        <v>46945</v>
      </c>
      <c r="I125" t="s">
        <v>1273</v>
      </c>
      <c r="K125" s="212"/>
    </row>
    <row r="126" spans="1:11">
      <c r="A126" s="27">
        <v>42565</v>
      </c>
      <c r="B126">
        <v>100</v>
      </c>
      <c r="F126">
        <v>15</v>
      </c>
      <c r="H126" s="27">
        <f t="shared" si="1"/>
        <v>48040</v>
      </c>
      <c r="I126" t="s">
        <v>1273</v>
      </c>
      <c r="K126" s="212"/>
    </row>
    <row r="127" spans="1:11">
      <c r="A127" s="27">
        <v>42402</v>
      </c>
      <c r="B127">
        <v>250</v>
      </c>
      <c r="F127">
        <v>3</v>
      </c>
      <c r="H127" s="27">
        <f t="shared" si="1"/>
        <v>43497</v>
      </c>
      <c r="I127" s="6"/>
    </row>
    <row r="128" spans="1:11">
      <c r="A128" s="27">
        <v>42402</v>
      </c>
      <c r="B128">
        <v>350</v>
      </c>
      <c r="F128">
        <v>4</v>
      </c>
      <c r="H128" s="27">
        <f t="shared" si="1"/>
        <v>43862</v>
      </c>
      <c r="I128" s="6"/>
    </row>
    <row r="129" spans="1:9">
      <c r="A129" s="27">
        <v>42402</v>
      </c>
      <c r="B129">
        <v>100</v>
      </c>
      <c r="F129">
        <v>5</v>
      </c>
      <c r="H129" s="27">
        <f t="shared" si="1"/>
        <v>44227</v>
      </c>
      <c r="I129" s="6"/>
    </row>
    <row r="130" spans="1:9">
      <c r="A130" s="27">
        <v>42310</v>
      </c>
      <c r="H130" s="27">
        <f t="shared" si="1"/>
        <v>42310</v>
      </c>
      <c r="I130" s="6" t="s">
        <v>1390</v>
      </c>
    </row>
    <row r="131" spans="1:9">
      <c r="A131" s="27">
        <v>42186</v>
      </c>
      <c r="B131">
        <v>350</v>
      </c>
      <c r="F131">
        <v>1.5</v>
      </c>
      <c r="H131" s="27">
        <f t="shared" si="1"/>
        <v>42733.5</v>
      </c>
      <c r="I131" s="6" t="s">
        <v>1391</v>
      </c>
    </row>
    <row r="132" spans="1:9">
      <c r="A132" s="27">
        <v>42186</v>
      </c>
      <c r="B132">
        <v>350</v>
      </c>
      <c r="F132">
        <v>1.5</v>
      </c>
      <c r="H132" s="27">
        <f t="shared" si="1"/>
        <v>42733.5</v>
      </c>
      <c r="I132" s="6" t="s">
        <v>1392</v>
      </c>
    </row>
    <row r="133" spans="1:9">
      <c r="A133" s="27">
        <v>41912</v>
      </c>
      <c r="B133">
        <v>141</v>
      </c>
      <c r="F133">
        <v>10</v>
      </c>
      <c r="H133" s="27">
        <f t="shared" si="1"/>
        <v>45562</v>
      </c>
      <c r="I133" t="s">
        <v>1393</v>
      </c>
    </row>
    <row r="134" spans="1:9">
      <c r="A134" s="27">
        <v>41912</v>
      </c>
      <c r="B134">
        <v>175</v>
      </c>
      <c r="F134">
        <v>12</v>
      </c>
      <c r="H134" s="27">
        <f t="shared" si="1"/>
        <v>46292</v>
      </c>
      <c r="I134" t="s">
        <v>1393</v>
      </c>
    </row>
    <row r="135" spans="1:9">
      <c r="A135" s="27">
        <v>41796</v>
      </c>
      <c r="B135">
        <v>200</v>
      </c>
      <c r="F135">
        <v>4</v>
      </c>
      <c r="H135" s="27">
        <f t="shared" si="1"/>
        <v>43256</v>
      </c>
      <c r="I135" s="6" t="s">
        <v>1394</v>
      </c>
    </row>
    <row r="136" spans="1:9">
      <c r="A136" s="27">
        <v>41796</v>
      </c>
      <c r="B136">
        <v>250</v>
      </c>
      <c r="F136">
        <v>5</v>
      </c>
      <c r="H136" s="27">
        <f t="shared" si="1"/>
        <v>43621</v>
      </c>
      <c r="I136" s="6" t="s">
        <v>1395</v>
      </c>
    </row>
    <row r="137" spans="1:9">
      <c r="A137" s="27">
        <v>41796</v>
      </c>
      <c r="B137">
        <v>300</v>
      </c>
      <c r="F137">
        <v>1.5</v>
      </c>
      <c r="H137" s="27">
        <f t="shared" si="1"/>
        <v>42343.5</v>
      </c>
      <c r="I137" s="6" t="s">
        <v>1396</v>
      </c>
    </row>
    <row r="138" spans="1:9">
      <c r="A138" s="27">
        <v>41690</v>
      </c>
      <c r="B138">
        <v>150</v>
      </c>
      <c r="E138" t="s">
        <v>1319</v>
      </c>
      <c r="F138">
        <v>5</v>
      </c>
      <c r="H138" s="27">
        <f t="shared" si="1"/>
        <v>43515</v>
      </c>
      <c r="I138" s="6" t="s">
        <v>1397</v>
      </c>
    </row>
    <row r="139" spans="1:9">
      <c r="A139" s="27">
        <v>41627</v>
      </c>
      <c r="H139" s="27">
        <f t="shared" si="1"/>
        <v>41627</v>
      </c>
      <c r="I139" t="s">
        <v>1398</v>
      </c>
    </row>
    <row r="140" spans="1:9">
      <c r="A140" s="27">
        <v>41453</v>
      </c>
      <c r="B140">
        <v>100</v>
      </c>
      <c r="F140">
        <v>1</v>
      </c>
      <c r="H140" s="27">
        <f t="shared" si="1"/>
        <v>41818</v>
      </c>
      <c r="I140" s="6"/>
    </row>
    <row r="141" spans="1:9">
      <c r="A141" s="27">
        <v>41347</v>
      </c>
      <c r="B141">
        <v>150</v>
      </c>
      <c r="E141" t="s">
        <v>1319</v>
      </c>
      <c r="F141">
        <v>2.5</v>
      </c>
      <c r="H141" s="27">
        <f t="shared" si="1"/>
        <v>42259.5</v>
      </c>
      <c r="I141" t="s">
        <v>1393</v>
      </c>
    </row>
    <row r="142" spans="1:9">
      <c r="A142" s="27">
        <v>41165</v>
      </c>
      <c r="B142">
        <v>335</v>
      </c>
      <c r="F142">
        <v>3</v>
      </c>
      <c r="H142" s="27">
        <f t="shared" si="1"/>
        <v>42260</v>
      </c>
      <c r="I142" s="6" t="s">
        <v>1399</v>
      </c>
    </row>
    <row r="143" spans="1:9">
      <c r="A143" s="27">
        <v>41117</v>
      </c>
      <c r="B143">
        <v>69.5</v>
      </c>
      <c r="F143">
        <v>7</v>
      </c>
      <c r="H143" s="27">
        <f t="shared" si="1"/>
        <v>43672</v>
      </c>
      <c r="I143" s="6" t="s">
        <v>50</v>
      </c>
    </row>
    <row r="144" spans="1:9">
      <c r="A144" s="27">
        <v>41117</v>
      </c>
      <c r="B144">
        <f>194-B143</f>
        <v>124.5</v>
      </c>
      <c r="F144">
        <v>9</v>
      </c>
      <c r="H144" s="27">
        <f t="shared" si="1"/>
        <v>44402</v>
      </c>
      <c r="I144" s="6" t="s">
        <v>50</v>
      </c>
    </row>
    <row r="145" spans="1:13">
      <c r="A145" s="27">
        <v>41025</v>
      </c>
      <c r="B145">
        <v>200</v>
      </c>
      <c r="F145">
        <v>5</v>
      </c>
      <c r="H145" s="27">
        <f t="shared" si="1"/>
        <v>42850</v>
      </c>
      <c r="I145" t="s">
        <v>1393</v>
      </c>
    </row>
    <row r="146" spans="1:13">
      <c r="A146" s="27">
        <v>40802</v>
      </c>
      <c r="B146">
        <v>200</v>
      </c>
      <c r="F146">
        <v>3</v>
      </c>
      <c r="H146" s="27">
        <f t="shared" si="1"/>
        <v>41897</v>
      </c>
      <c r="I146" s="6" t="s">
        <v>50</v>
      </c>
    </row>
    <row r="147" spans="1:13">
      <c r="A147" s="27">
        <v>40644</v>
      </c>
      <c r="B147">
        <f>(D147/($D$147+$D$148+$D$149))*673.5</f>
        <v>144.32142857142856</v>
      </c>
      <c r="D147">
        <v>150</v>
      </c>
      <c r="F147">
        <v>5</v>
      </c>
      <c r="H147" s="27">
        <f t="shared" si="1"/>
        <v>42469</v>
      </c>
      <c r="I147" s="214" t="s">
        <v>1400</v>
      </c>
    </row>
    <row r="148" spans="1:13">
      <c r="A148" s="27">
        <v>40644</v>
      </c>
      <c r="B148">
        <f>(D148/($D$147+$D$148+$D$149))*673.5</f>
        <v>351.18214285714288</v>
      </c>
      <c r="D148">
        <v>365</v>
      </c>
      <c r="F148">
        <v>7</v>
      </c>
      <c r="H148" s="27">
        <f t="shared" si="1"/>
        <v>43199</v>
      </c>
      <c r="I148" s="214"/>
    </row>
    <row r="149" spans="1:13">
      <c r="A149" s="27">
        <v>40644</v>
      </c>
      <c r="B149">
        <f>(D149/($D$147+$D$148+$D$149))*673.5</f>
        <v>177.99642857142857</v>
      </c>
      <c r="D149">
        <v>185</v>
      </c>
      <c r="F149">
        <v>9</v>
      </c>
      <c r="H149" s="27">
        <f t="shared" si="1"/>
        <v>43929</v>
      </c>
      <c r="I149" s="214"/>
    </row>
    <row r="150" spans="1:13" ht="14.15" customHeight="1">
      <c r="A150" s="27">
        <v>40106</v>
      </c>
      <c r="B150">
        <f>(D150/SUM($D$150:$D$151))*300</f>
        <v>109.09090909090909</v>
      </c>
      <c r="D150">
        <v>100</v>
      </c>
      <c r="F150">
        <v>5</v>
      </c>
      <c r="H150" s="27">
        <f t="shared" si="1"/>
        <v>41931</v>
      </c>
      <c r="I150" s="214" t="s">
        <v>1401</v>
      </c>
    </row>
    <row r="151" spans="1:13">
      <c r="A151" s="27">
        <v>40106</v>
      </c>
      <c r="B151">
        <f>(D151/SUM($D$150:$D$151))*300</f>
        <v>190.90909090909091</v>
      </c>
      <c r="D151">
        <v>175</v>
      </c>
      <c r="F151">
        <v>7</v>
      </c>
      <c r="H151" s="27">
        <f t="shared" si="1"/>
        <v>42661</v>
      </c>
      <c r="I151" s="214"/>
    </row>
    <row r="152" spans="1:13">
      <c r="I152" s="145"/>
    </row>
    <row r="155" spans="1:13">
      <c r="A155" s="1" t="s">
        <v>1279</v>
      </c>
    </row>
    <row r="157" spans="1:13">
      <c r="B157" s="138">
        <v>11110</v>
      </c>
      <c r="C157" s="1">
        <v>2011</v>
      </c>
      <c r="D157" s="1">
        <v>2012</v>
      </c>
      <c r="E157" s="1">
        <v>2013</v>
      </c>
      <c r="F157" s="1">
        <v>2014</v>
      </c>
      <c r="G157" s="1">
        <v>2015</v>
      </c>
      <c r="H157" s="1">
        <v>2016</v>
      </c>
      <c r="I157" s="1">
        <v>2017</v>
      </c>
      <c r="J157" s="1">
        <v>2018</v>
      </c>
      <c r="K157" s="1">
        <v>2019</v>
      </c>
      <c r="L157" s="1">
        <v>2020</v>
      </c>
      <c r="M157" s="1">
        <v>2021</v>
      </c>
    </row>
    <row r="158" spans="1:13">
      <c r="A158" t="s">
        <v>1146</v>
      </c>
      <c r="C158">
        <f>B151+B150+B149+B148+B147+B146</f>
        <v>1173.5</v>
      </c>
      <c r="D158">
        <f>B151+B150+B149+B148+B147+B146</f>
        <v>1173.5</v>
      </c>
      <c r="E158">
        <f>B151+B150+B149+B148+B147+B146+B144+B143+B140</f>
        <v>1467.5</v>
      </c>
      <c r="F158">
        <f>B151+B150+B149+B148+B147+B144+B143+B138</f>
        <v>1317.5</v>
      </c>
      <c r="G158">
        <f>B151+B149+B148+B147+B144+B143+B138</f>
        <v>1208.409090909091</v>
      </c>
      <c r="H158">
        <f>B151+B149+B144+B143+B138+B129+B128+B127</f>
        <v>1412.9055194805196</v>
      </c>
      <c r="I158">
        <f>B149+B144+B143+B138+B129+B128+B127+B120</f>
        <v>1327.9964285714286</v>
      </c>
      <c r="J158">
        <f>B149+B144+B143+B138+B129+B128+B127+B120</f>
        <v>1327.9964285714286</v>
      </c>
      <c r="K158">
        <f>B149+B144+B129+B128+B127+B120</f>
        <v>1108.4964285714286</v>
      </c>
      <c r="L158">
        <f>B144+B129+B120</f>
        <v>330.5</v>
      </c>
      <c r="M158">
        <f>B144+B120</f>
        <v>230.5</v>
      </c>
    </row>
    <row r="159" spans="1:13">
      <c r="A159" t="s">
        <v>1328</v>
      </c>
      <c r="E159">
        <f>B142</f>
        <v>335</v>
      </c>
      <c r="F159">
        <f>B142+B137+B136+B135</f>
        <v>1085</v>
      </c>
      <c r="G159">
        <f>B142+B137+B136+B135</f>
        <v>1085</v>
      </c>
      <c r="H159">
        <f>B136+B135+B132+B131</f>
        <v>1150</v>
      </c>
      <c r="I159">
        <f>B136+B135</f>
        <v>450</v>
      </c>
      <c r="J159">
        <f>B136</f>
        <v>250</v>
      </c>
    </row>
  </sheetData>
  <mergeCells count="13">
    <mergeCell ref="I147:I149"/>
    <mergeCell ref="I150:I151"/>
    <mergeCell ref="A1:AD1"/>
    <mergeCell ref="A6:B6"/>
    <mergeCell ref="A11:D11"/>
    <mergeCell ref="A21:AD21"/>
    <mergeCell ref="A37:AD37"/>
    <mergeCell ref="K116:K117"/>
    <mergeCell ref="K123:K126"/>
    <mergeCell ref="A52:AD52"/>
    <mergeCell ref="A57:B57"/>
    <mergeCell ref="A62:D62"/>
    <mergeCell ref="A72:AD72"/>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2F75D-77E7-443B-84CB-5138257CE44B}">
  <sheetPr>
    <tabColor theme="0" tint="-0.249977111117893"/>
  </sheetPr>
  <dimension ref="B1:AN147"/>
  <sheetViews>
    <sheetView workbookViewId="0"/>
  </sheetViews>
  <sheetFormatPr defaultRowHeight="14.25"/>
  <cols>
    <col min="2" max="2" width="10.08203125" bestFit="1" customWidth="1"/>
    <col min="19" max="19" width="10.08203125" bestFit="1" customWidth="1"/>
    <col min="32" max="32" width="13.08203125" customWidth="1"/>
    <col min="33" max="33" width="12.08203125" customWidth="1"/>
  </cols>
  <sheetData>
    <row r="1" spans="2:40" ht="14.75">
      <c r="C1" s="92" t="s">
        <v>242</v>
      </c>
      <c r="D1" s="92" t="s">
        <v>243</v>
      </c>
      <c r="E1" s="92" t="s">
        <v>244</v>
      </c>
      <c r="F1" s="92" t="s">
        <v>245</v>
      </c>
      <c r="G1" s="92" t="s">
        <v>246</v>
      </c>
      <c r="H1" s="92" t="s">
        <v>247</v>
      </c>
      <c r="I1" s="92" t="s">
        <v>248</v>
      </c>
      <c r="J1" s="92" t="s">
        <v>249</v>
      </c>
      <c r="K1" s="92" t="s">
        <v>250</v>
      </c>
      <c r="L1" s="92" t="s">
        <v>251</v>
      </c>
      <c r="M1" s="92" t="s">
        <v>252</v>
      </c>
      <c r="N1" s="92" t="s">
        <v>253</v>
      </c>
      <c r="O1" s="92" t="s">
        <v>254</v>
      </c>
      <c r="P1" s="92" t="s">
        <v>255</v>
      </c>
      <c r="R1" t="str">
        <f>_xll.RHistory('VPN Bonds'!$H$39:$H$49,"MID_PRICE.Timestamp;MID_PRICE.Close","START:01-Jan-2010 END:06-Mar-2022 CODE:ISIN INTERVAL:1MO",,"TSREPEAT:NO CH:Fd",S2)</f>
        <v>Not Signed In</v>
      </c>
      <c r="T1" s="92" t="s">
        <v>256</v>
      </c>
      <c r="U1" s="92" t="s">
        <v>257</v>
      </c>
      <c r="V1" s="92" t="s">
        <v>258</v>
      </c>
      <c r="W1" s="92" t="s">
        <v>259</v>
      </c>
      <c r="X1" s="92" t="s">
        <v>260</v>
      </c>
      <c r="Y1" s="92" t="s">
        <v>261</v>
      </c>
      <c r="Z1" s="92" t="s">
        <v>229</v>
      </c>
      <c r="AA1" s="92" t="s">
        <v>230</v>
      </c>
      <c r="AB1" s="92" t="s">
        <v>262</v>
      </c>
      <c r="AC1" s="92" t="s">
        <v>263</v>
      </c>
      <c r="AD1" s="92" t="s">
        <v>264</v>
      </c>
      <c r="AF1" t="str">
        <f>_xll.RHistory('VPN Bonds'!$H$74:$H$80,"MID_PRICE.Timestamp;MID_PRICE.Close","START:01-Jan-2010 END:06-Mar-2022 CODE:ISIN INTERVAL:1MO",,"TSREPEAT:NO CH:Fd",AG2)</f>
        <v>Not Signed In</v>
      </c>
      <c r="AH1" s="92" t="s">
        <v>265</v>
      </c>
      <c r="AI1" s="92" t="s">
        <v>266</v>
      </c>
      <c r="AJ1" s="92" t="s">
        <v>267</v>
      </c>
      <c r="AK1" s="92" t="s">
        <v>268</v>
      </c>
      <c r="AL1" s="92" t="s">
        <v>269</v>
      </c>
      <c r="AM1" s="92" t="s">
        <v>270</v>
      </c>
      <c r="AN1" s="92" t="s">
        <v>271</v>
      </c>
    </row>
    <row r="2" spans="2:40">
      <c r="B2" t="s">
        <v>475</v>
      </c>
      <c r="C2" t="s">
        <v>477</v>
      </c>
      <c r="D2" t="s">
        <v>477</v>
      </c>
      <c r="E2" t="s">
        <v>477</v>
      </c>
      <c r="F2" t="s">
        <v>477</v>
      </c>
      <c r="G2" t="s">
        <v>477</v>
      </c>
      <c r="H2" t="s">
        <v>477</v>
      </c>
      <c r="I2" t="s">
        <v>477</v>
      </c>
      <c r="J2" t="s">
        <v>477</v>
      </c>
      <c r="K2" t="s">
        <v>477</v>
      </c>
      <c r="L2" t="s">
        <v>477</v>
      </c>
      <c r="M2" t="s">
        <v>477</v>
      </c>
      <c r="N2" t="s">
        <v>477</v>
      </c>
      <c r="O2" t="s">
        <v>477</v>
      </c>
      <c r="P2" t="s">
        <v>477</v>
      </c>
      <c r="S2" t="s">
        <v>475</v>
      </c>
      <c r="T2" t="s">
        <v>476</v>
      </c>
      <c r="U2" t="s">
        <v>476</v>
      </c>
      <c r="V2" t="s">
        <v>476</v>
      </c>
      <c r="W2" t="s">
        <v>476</v>
      </c>
      <c r="X2" t="s">
        <v>476</v>
      </c>
      <c r="Y2" t="s">
        <v>477</v>
      </c>
      <c r="Z2" t="s">
        <v>476</v>
      </c>
      <c r="AA2" t="s">
        <v>476</v>
      </c>
      <c r="AB2" t="s">
        <v>476</v>
      </c>
      <c r="AC2" t="s">
        <v>477</v>
      </c>
      <c r="AD2" t="s">
        <v>477</v>
      </c>
      <c r="AG2" t="s">
        <v>475</v>
      </c>
      <c r="AH2" t="s">
        <v>476</v>
      </c>
      <c r="AI2" t="s">
        <v>476</v>
      </c>
      <c r="AJ2" t="s">
        <v>476</v>
      </c>
      <c r="AK2" t="s">
        <v>477</v>
      </c>
      <c r="AL2" t="s">
        <v>477</v>
      </c>
      <c r="AM2" t="s">
        <v>477</v>
      </c>
      <c r="AN2" t="s">
        <v>476</v>
      </c>
    </row>
    <row r="3" spans="2:40">
      <c r="B3" s="27">
        <v>44651</v>
      </c>
      <c r="C3">
        <v>100.026</v>
      </c>
      <c r="D3">
        <v>102.52500000000001</v>
      </c>
      <c r="E3">
        <v>96.088999999999999</v>
      </c>
      <c r="F3">
        <v>100.093</v>
      </c>
      <c r="G3">
        <v>94.012</v>
      </c>
      <c r="H3">
        <v>102.91500000000001</v>
      </c>
      <c r="I3">
        <v>94.409000000000006</v>
      </c>
      <c r="J3">
        <v>101.35331499999999</v>
      </c>
      <c r="K3">
        <v>100.78487</v>
      </c>
      <c r="L3">
        <v>92.161000000000001</v>
      </c>
      <c r="M3">
        <v>102.834</v>
      </c>
      <c r="O3">
        <v>87.367999999999995</v>
      </c>
      <c r="P3">
        <v>92.534999999999997</v>
      </c>
      <c r="S3" s="27">
        <v>44592</v>
      </c>
      <c r="T3" t="e">
        <v>#N/A</v>
      </c>
      <c r="U3" t="s">
        <v>478</v>
      </c>
      <c r="V3" t="s">
        <v>478</v>
      </c>
      <c r="W3" t="s">
        <v>478</v>
      </c>
      <c r="X3" t="s">
        <v>478</v>
      </c>
      <c r="Z3" s="6" t="s">
        <v>478</v>
      </c>
      <c r="AA3" s="6" t="s">
        <v>478</v>
      </c>
      <c r="AB3" t="s">
        <v>478</v>
      </c>
      <c r="AD3">
        <v>99.997310999999996</v>
      </c>
      <c r="AG3" s="130">
        <v>42338</v>
      </c>
      <c r="AH3" t="e">
        <v>#N/A</v>
      </c>
      <c r="AI3" t="e">
        <v>#N/A</v>
      </c>
      <c r="AJ3" t="e">
        <v>#N/A</v>
      </c>
      <c r="AL3">
        <v>99.995000000000005</v>
      </c>
      <c r="AM3">
        <v>100.002</v>
      </c>
      <c r="AN3" t="s">
        <v>478</v>
      </c>
    </row>
    <row r="4" spans="2:40">
      <c r="B4" s="27">
        <v>44620</v>
      </c>
      <c r="C4">
        <v>100.087</v>
      </c>
      <c r="D4">
        <v>103.28700000000001</v>
      </c>
      <c r="E4">
        <v>96.83</v>
      </c>
      <c r="F4">
        <v>100.215</v>
      </c>
      <c r="G4">
        <v>95.018000000000001</v>
      </c>
      <c r="H4">
        <v>103.78100000000001</v>
      </c>
      <c r="I4">
        <v>95.192999999999998</v>
      </c>
      <c r="J4">
        <v>104.219814</v>
      </c>
      <c r="K4">
        <v>104.15719799999999</v>
      </c>
      <c r="L4">
        <v>93.77</v>
      </c>
      <c r="M4">
        <v>103.92100000000001</v>
      </c>
      <c r="O4">
        <v>89.671999999999997</v>
      </c>
      <c r="P4">
        <v>93.721000000000004</v>
      </c>
      <c r="S4" s="27">
        <v>44561</v>
      </c>
      <c r="AD4">
        <v>99.986942999999997</v>
      </c>
      <c r="AG4" s="130">
        <v>42308</v>
      </c>
      <c r="AL4">
        <v>99.995999999999995</v>
      </c>
      <c r="AM4">
        <v>100.011</v>
      </c>
    </row>
    <row r="5" spans="2:40">
      <c r="B5" s="27">
        <v>44592</v>
      </c>
      <c r="C5">
        <v>100.036</v>
      </c>
      <c r="D5">
        <v>103.825</v>
      </c>
      <c r="E5">
        <v>97.203999999999994</v>
      </c>
      <c r="F5">
        <v>100.298</v>
      </c>
      <c r="G5">
        <v>96.304000000000002</v>
      </c>
      <c r="H5">
        <v>104.443</v>
      </c>
      <c r="I5">
        <v>95.77</v>
      </c>
      <c r="J5">
        <v>106.502837</v>
      </c>
      <c r="K5">
        <v>106.824226</v>
      </c>
      <c r="L5">
        <v>95.914000000000001</v>
      </c>
      <c r="M5">
        <v>104.8</v>
      </c>
      <c r="O5">
        <v>92.323999999999998</v>
      </c>
      <c r="P5">
        <v>94.549000000000007</v>
      </c>
      <c r="S5" s="27">
        <v>44530</v>
      </c>
      <c r="AD5">
        <v>99.951211000000001</v>
      </c>
      <c r="AG5" s="130">
        <v>42277</v>
      </c>
      <c r="AL5">
        <v>99.998500000000007</v>
      </c>
      <c r="AM5">
        <v>100.02549999999999</v>
      </c>
    </row>
    <row r="6" spans="2:40">
      <c r="B6" s="27">
        <v>44561</v>
      </c>
      <c r="C6">
        <v>100.01</v>
      </c>
      <c r="D6">
        <v>104.858</v>
      </c>
      <c r="E6">
        <v>98.183999999999997</v>
      </c>
      <c r="F6">
        <v>100.29900000000001</v>
      </c>
      <c r="G6">
        <v>97.415999999999997</v>
      </c>
      <c r="H6">
        <v>106.42400000000001</v>
      </c>
      <c r="I6">
        <v>97.335999999999999</v>
      </c>
      <c r="J6">
        <v>107.890393</v>
      </c>
      <c r="K6">
        <v>108.233504</v>
      </c>
      <c r="L6">
        <v>97.361000000000004</v>
      </c>
      <c r="M6">
        <v>107.145</v>
      </c>
      <c r="N6">
        <f>'Bloomberg Bond Prices'!H701</f>
        <v>109.626</v>
      </c>
      <c r="O6">
        <v>93.641000000000005</v>
      </c>
      <c r="P6">
        <v>96.986000000000004</v>
      </c>
      <c r="S6" s="27">
        <v>44500</v>
      </c>
      <c r="AD6">
        <v>99.916737999999995</v>
      </c>
      <c r="AG6" s="130">
        <v>42247</v>
      </c>
      <c r="AL6">
        <v>99.941000000000003</v>
      </c>
      <c r="AM6">
        <v>100.027</v>
      </c>
    </row>
    <row r="7" spans="2:40">
      <c r="B7" s="27">
        <v>44530</v>
      </c>
      <c r="C7">
        <v>100.01300000000001</v>
      </c>
      <c r="D7">
        <v>104.949</v>
      </c>
      <c r="E7">
        <v>98.058000000000007</v>
      </c>
      <c r="F7">
        <v>100.306</v>
      </c>
      <c r="G7">
        <v>97.063000000000002</v>
      </c>
      <c r="H7">
        <v>106.283</v>
      </c>
      <c r="I7">
        <v>97.088999999999999</v>
      </c>
      <c r="J7">
        <v>107.88805600000001</v>
      </c>
      <c r="K7">
        <v>108.126938</v>
      </c>
      <c r="L7">
        <v>96.831000000000003</v>
      </c>
      <c r="M7">
        <v>106.65900000000001</v>
      </c>
      <c r="O7">
        <v>92.8</v>
      </c>
      <c r="P7">
        <v>96.149000000000001</v>
      </c>
      <c r="S7" s="27">
        <v>44469</v>
      </c>
      <c r="AD7">
        <v>99.903999999999996</v>
      </c>
      <c r="AG7" s="130">
        <v>42216</v>
      </c>
      <c r="AL7">
        <v>99.876000000000005</v>
      </c>
      <c r="AM7">
        <v>100.04900000000001</v>
      </c>
    </row>
    <row r="8" spans="2:40">
      <c r="B8" s="27">
        <v>44500</v>
      </c>
      <c r="C8">
        <v>99.872</v>
      </c>
      <c r="D8">
        <v>105.414</v>
      </c>
      <c r="E8">
        <v>98.283000000000001</v>
      </c>
      <c r="F8">
        <v>100.348</v>
      </c>
      <c r="G8">
        <v>96.605000000000004</v>
      </c>
      <c r="H8">
        <v>106.461</v>
      </c>
      <c r="I8">
        <v>97.105999999999995</v>
      </c>
      <c r="J8">
        <v>107.68142</v>
      </c>
      <c r="K8">
        <v>107.75076799999999</v>
      </c>
      <c r="L8">
        <v>96.222999999999999</v>
      </c>
      <c r="M8">
        <v>106.39100000000001</v>
      </c>
      <c r="O8">
        <v>92.628</v>
      </c>
      <c r="P8">
        <v>95.736000000000004</v>
      </c>
      <c r="S8" s="27">
        <v>44439</v>
      </c>
      <c r="AC8">
        <v>99.998688000000001</v>
      </c>
      <c r="AD8">
        <v>99.876000000000005</v>
      </c>
      <c r="AG8" s="130">
        <v>42185</v>
      </c>
      <c r="AL8">
        <v>99.831999999999994</v>
      </c>
      <c r="AM8">
        <v>100.08</v>
      </c>
    </row>
    <row r="9" spans="2:40">
      <c r="B9" s="27">
        <v>44469</v>
      </c>
      <c r="C9">
        <v>99.927999999999997</v>
      </c>
      <c r="D9">
        <v>106.416</v>
      </c>
      <c r="E9">
        <v>99.183999999999997</v>
      </c>
      <c r="F9">
        <v>100.405</v>
      </c>
      <c r="G9">
        <v>100.386</v>
      </c>
      <c r="H9">
        <v>107.937</v>
      </c>
      <c r="I9">
        <v>98.385999999999996</v>
      </c>
      <c r="J9">
        <v>111.433545</v>
      </c>
      <c r="K9">
        <v>111.670884</v>
      </c>
      <c r="L9">
        <v>100.25</v>
      </c>
      <c r="M9">
        <v>107.91800000000001</v>
      </c>
      <c r="O9">
        <v>96.566999999999993</v>
      </c>
      <c r="P9">
        <v>97.138999999999996</v>
      </c>
      <c r="S9" s="27">
        <v>44408</v>
      </c>
      <c r="AC9">
        <v>99.99</v>
      </c>
      <c r="AD9">
        <v>99.852000000000004</v>
      </c>
      <c r="AG9" s="130">
        <v>42155</v>
      </c>
      <c r="AL9">
        <v>99.703000000000003</v>
      </c>
      <c r="AM9">
        <v>100.096</v>
      </c>
    </row>
    <row r="10" spans="2:40">
      <c r="B10" s="27">
        <v>44439</v>
      </c>
      <c r="C10">
        <v>100.074</v>
      </c>
      <c r="D10">
        <v>106.916</v>
      </c>
      <c r="E10">
        <v>99.626000000000005</v>
      </c>
      <c r="F10">
        <v>100.416</v>
      </c>
      <c r="G10">
        <v>101.062</v>
      </c>
      <c r="H10">
        <v>109.03700000000001</v>
      </c>
      <c r="I10">
        <v>99.33</v>
      </c>
      <c r="J10">
        <v>112.86799499999999</v>
      </c>
      <c r="K10">
        <v>113.598917</v>
      </c>
      <c r="L10">
        <v>102.158</v>
      </c>
      <c r="M10">
        <v>109.767</v>
      </c>
      <c r="O10">
        <v>98.844999999999999</v>
      </c>
      <c r="P10">
        <v>98.853999999999999</v>
      </c>
      <c r="S10" s="27">
        <v>44377</v>
      </c>
      <c r="AC10">
        <v>99.960999999999999</v>
      </c>
      <c r="AD10">
        <v>99.8185</v>
      </c>
      <c r="AG10" s="130">
        <v>42124</v>
      </c>
      <c r="AL10">
        <v>99.777000000000001</v>
      </c>
      <c r="AM10">
        <v>100.095</v>
      </c>
    </row>
    <row r="11" spans="2:40">
      <c r="B11" s="27">
        <v>44408</v>
      </c>
      <c r="D11">
        <v>107.098</v>
      </c>
      <c r="E11">
        <v>99.775999999999996</v>
      </c>
      <c r="F11">
        <v>100.423</v>
      </c>
      <c r="G11">
        <v>101.069</v>
      </c>
      <c r="H11">
        <v>109.59099999999999</v>
      </c>
      <c r="I11">
        <v>99.834999999999994</v>
      </c>
      <c r="J11">
        <v>113.118252</v>
      </c>
      <c r="K11">
        <v>113.803771</v>
      </c>
      <c r="L11">
        <v>102.129</v>
      </c>
      <c r="M11">
        <v>110.67</v>
      </c>
      <c r="O11">
        <v>99.245000000000005</v>
      </c>
      <c r="P11">
        <v>100.98699999999999</v>
      </c>
      <c r="S11" s="27">
        <v>44347</v>
      </c>
      <c r="AC11">
        <v>99.855999999999995</v>
      </c>
      <c r="AD11">
        <v>98.780500000000004</v>
      </c>
      <c r="AG11" s="130">
        <v>42094</v>
      </c>
      <c r="AL11">
        <v>99.61</v>
      </c>
      <c r="AM11">
        <v>100.166</v>
      </c>
    </row>
    <row r="12" spans="2:40">
      <c r="B12" s="27">
        <v>44377</v>
      </c>
      <c r="D12">
        <v>106.79900000000001</v>
      </c>
      <c r="E12">
        <v>99.162999999999997</v>
      </c>
      <c r="F12">
        <v>100.431</v>
      </c>
      <c r="G12">
        <v>100.49299999999999</v>
      </c>
      <c r="H12">
        <v>108.566</v>
      </c>
      <c r="I12">
        <v>98.697000000000003</v>
      </c>
      <c r="J12">
        <v>112.26404100000001</v>
      </c>
      <c r="K12">
        <v>112.86098200000001</v>
      </c>
      <c r="L12">
        <v>100.923</v>
      </c>
      <c r="M12">
        <v>108.887</v>
      </c>
      <c r="N12">
        <f>'Bloomberg Bond Prices'!H570</f>
        <v>105.039</v>
      </c>
      <c r="O12">
        <v>96.867000000000004</v>
      </c>
      <c r="P12">
        <v>100.925</v>
      </c>
      <c r="S12" s="27">
        <v>44316</v>
      </c>
      <c r="AC12">
        <v>99.799000000000007</v>
      </c>
      <c r="AD12">
        <v>98.784999999999997</v>
      </c>
      <c r="AG12" s="130">
        <v>42063</v>
      </c>
      <c r="AL12">
        <v>99.567869999999999</v>
      </c>
      <c r="AM12">
        <v>100.188574</v>
      </c>
    </row>
    <row r="13" spans="2:40">
      <c r="B13" s="27">
        <v>44347</v>
      </c>
      <c r="D13">
        <v>107.28400000000001</v>
      </c>
      <c r="E13">
        <v>99.509</v>
      </c>
      <c r="F13">
        <v>100.256</v>
      </c>
      <c r="G13">
        <v>100.428</v>
      </c>
      <c r="H13">
        <v>108.89700000000001</v>
      </c>
      <c r="J13">
        <v>112.169596</v>
      </c>
      <c r="K13">
        <v>112.485112</v>
      </c>
      <c r="L13">
        <v>100.646</v>
      </c>
      <c r="M13">
        <v>108.297</v>
      </c>
      <c r="O13">
        <v>95.114999999999995</v>
      </c>
      <c r="S13" s="27">
        <v>44286</v>
      </c>
      <c r="AC13">
        <v>99.742500000000007</v>
      </c>
      <c r="AD13">
        <v>98.784999999999997</v>
      </c>
      <c r="AG13" s="130">
        <v>42035</v>
      </c>
      <c r="AL13">
        <v>99.429744999999997</v>
      </c>
      <c r="AM13">
        <v>100.131826</v>
      </c>
    </row>
    <row r="14" spans="2:40">
      <c r="B14" s="27">
        <v>44316</v>
      </c>
      <c r="D14">
        <v>106.85899999999999</v>
      </c>
      <c r="E14">
        <v>98.912000000000006</v>
      </c>
      <c r="G14">
        <v>100.248</v>
      </c>
      <c r="H14">
        <v>108.211</v>
      </c>
      <c r="J14">
        <v>112.078017</v>
      </c>
      <c r="K14">
        <v>112.25258100000001</v>
      </c>
      <c r="L14">
        <v>100.364</v>
      </c>
      <c r="M14">
        <v>107.38500000000001</v>
      </c>
      <c r="O14">
        <v>94.718000000000004</v>
      </c>
      <c r="S14" s="27">
        <v>44255</v>
      </c>
      <c r="AC14">
        <v>99.673500000000004</v>
      </c>
      <c r="AD14">
        <v>98.790499999999994</v>
      </c>
      <c r="AG14" s="130">
        <v>42004</v>
      </c>
      <c r="AL14">
        <v>99.693813000000006</v>
      </c>
      <c r="AM14">
        <v>100.131699</v>
      </c>
    </row>
    <row r="15" spans="2:40">
      <c r="B15" s="27">
        <v>44286</v>
      </c>
      <c r="D15">
        <v>106.52</v>
      </c>
      <c r="E15">
        <v>98.298000000000002</v>
      </c>
      <c r="H15">
        <v>107.40600000000001</v>
      </c>
      <c r="J15">
        <v>111.530666</v>
      </c>
      <c r="K15">
        <v>111.434511</v>
      </c>
      <c r="M15">
        <v>106.166</v>
      </c>
      <c r="O15">
        <v>93.754000000000005</v>
      </c>
      <c r="S15" s="27">
        <v>44227</v>
      </c>
      <c r="AC15">
        <v>99.620500000000007</v>
      </c>
      <c r="AD15">
        <v>98.792500000000004</v>
      </c>
      <c r="AG15" s="130">
        <v>41973</v>
      </c>
      <c r="AL15">
        <v>99.658572000000007</v>
      </c>
      <c r="AM15">
        <v>100.10380000000001</v>
      </c>
    </row>
    <row r="16" spans="2:40">
      <c r="B16" s="27">
        <v>44255</v>
      </c>
      <c r="D16">
        <v>107.119</v>
      </c>
      <c r="E16">
        <v>98.808000000000007</v>
      </c>
      <c r="H16">
        <v>108.42400000000001</v>
      </c>
      <c r="J16">
        <v>112.346412</v>
      </c>
      <c r="K16">
        <v>112.03357699999999</v>
      </c>
      <c r="M16">
        <v>107.759</v>
      </c>
      <c r="O16">
        <v>94.343000000000004</v>
      </c>
      <c r="S16" s="27">
        <v>44196</v>
      </c>
      <c r="AC16">
        <v>99.566000000000003</v>
      </c>
      <c r="AD16">
        <v>98.789500000000004</v>
      </c>
      <c r="AG16" s="130">
        <v>41943</v>
      </c>
      <c r="AL16">
        <v>99.60669</v>
      </c>
      <c r="AM16">
        <v>100.159914</v>
      </c>
    </row>
    <row r="17" spans="2:39">
      <c r="B17" s="27">
        <v>44227</v>
      </c>
      <c r="D17">
        <v>108.462</v>
      </c>
      <c r="E17">
        <v>100.282</v>
      </c>
      <c r="H17">
        <v>111.01</v>
      </c>
      <c r="J17">
        <v>115.437765</v>
      </c>
      <c r="K17">
        <v>115.212035</v>
      </c>
      <c r="M17">
        <v>112.14700000000001</v>
      </c>
      <c r="O17">
        <v>99.361999999999995</v>
      </c>
      <c r="S17" s="27">
        <v>44165</v>
      </c>
      <c r="AC17">
        <v>99.499499999999998</v>
      </c>
      <c r="AD17">
        <v>98.797499999999999</v>
      </c>
      <c r="AG17" s="130">
        <v>41912</v>
      </c>
      <c r="AL17">
        <v>98.976894000000001</v>
      </c>
      <c r="AM17">
        <v>100.176507</v>
      </c>
    </row>
    <row r="18" spans="2:39">
      <c r="B18" s="27">
        <v>44196</v>
      </c>
      <c r="D18">
        <v>108.65900000000001</v>
      </c>
      <c r="E18">
        <v>100.42700000000001</v>
      </c>
      <c r="H18">
        <v>111.617</v>
      </c>
      <c r="J18">
        <v>116.194903</v>
      </c>
      <c r="K18">
        <v>116.59900500000001</v>
      </c>
      <c r="M18">
        <v>113.376</v>
      </c>
      <c r="O18">
        <v>100.873</v>
      </c>
      <c r="S18" s="27">
        <v>44135</v>
      </c>
      <c r="AC18">
        <v>99.444500000000005</v>
      </c>
      <c r="AD18">
        <v>98.793499999999995</v>
      </c>
      <c r="AG18" s="130">
        <v>41882</v>
      </c>
      <c r="AL18">
        <v>98.942797999999996</v>
      </c>
      <c r="AM18">
        <v>100.185739</v>
      </c>
    </row>
    <row r="19" spans="2:39">
      <c r="B19" s="27">
        <v>44165</v>
      </c>
      <c r="D19">
        <v>108.52</v>
      </c>
      <c r="E19">
        <v>100.164</v>
      </c>
      <c r="H19">
        <v>111.497</v>
      </c>
      <c r="J19">
        <v>116.24746500000001</v>
      </c>
      <c r="K19">
        <v>116.773077</v>
      </c>
      <c r="M19">
        <v>113.282</v>
      </c>
      <c r="S19" s="27">
        <v>44104</v>
      </c>
      <c r="AC19">
        <v>99.381500000000003</v>
      </c>
      <c r="AD19">
        <v>98.752499999999998</v>
      </c>
      <c r="AG19" s="130">
        <v>41851</v>
      </c>
      <c r="AL19">
        <v>98.945210000000003</v>
      </c>
      <c r="AM19">
        <v>100.17173699999999</v>
      </c>
    </row>
    <row r="20" spans="2:39">
      <c r="B20" s="27">
        <v>44135</v>
      </c>
      <c r="D20">
        <v>108.5</v>
      </c>
      <c r="E20">
        <v>99.912000000000006</v>
      </c>
      <c r="H20">
        <v>111.197</v>
      </c>
      <c r="J20">
        <v>115.560401</v>
      </c>
      <c r="K20">
        <v>115.32200899999999</v>
      </c>
      <c r="M20">
        <v>112.18300000000001</v>
      </c>
      <c r="S20" s="27">
        <v>44074</v>
      </c>
      <c r="AC20">
        <v>99.3245</v>
      </c>
      <c r="AD20">
        <v>98.756500000000003</v>
      </c>
      <c r="AF20" s="130"/>
      <c r="AG20" s="27">
        <v>41820</v>
      </c>
      <c r="AL20">
        <v>98.949003000000005</v>
      </c>
      <c r="AM20">
        <v>100.15479000000001</v>
      </c>
    </row>
    <row r="21" spans="2:39">
      <c r="B21" s="27">
        <v>44104</v>
      </c>
      <c r="D21">
        <v>108.565</v>
      </c>
      <c r="E21">
        <v>99.88</v>
      </c>
      <c r="H21">
        <v>111.526</v>
      </c>
      <c r="J21">
        <v>114.883511</v>
      </c>
      <c r="K21">
        <v>114.607012</v>
      </c>
      <c r="M21">
        <v>113.91200000000001</v>
      </c>
      <c r="S21" s="27">
        <v>44043</v>
      </c>
      <c r="AC21">
        <v>99.276499999999999</v>
      </c>
      <c r="AD21">
        <v>98.77</v>
      </c>
      <c r="AF21" s="130"/>
      <c r="AG21" s="27">
        <v>41790</v>
      </c>
      <c r="AL21">
        <v>98.934956999999997</v>
      </c>
      <c r="AM21">
        <v>100.16087400000001</v>
      </c>
    </row>
    <row r="22" spans="2:39">
      <c r="B22" s="27">
        <v>44074</v>
      </c>
      <c r="D22">
        <v>107.501</v>
      </c>
      <c r="H22">
        <v>110.00700000000001</v>
      </c>
      <c r="J22">
        <v>114.430362</v>
      </c>
      <c r="K22">
        <v>113.598778</v>
      </c>
      <c r="M22">
        <v>112.113</v>
      </c>
      <c r="S22" s="27">
        <v>44012</v>
      </c>
      <c r="AC22">
        <v>99.212500000000006</v>
      </c>
      <c r="AD22">
        <v>98.771000000000001</v>
      </c>
      <c r="AF22" s="130"/>
      <c r="AG22" s="27">
        <v>41759</v>
      </c>
      <c r="AL22">
        <v>98.712316999999999</v>
      </c>
      <c r="AM22">
        <v>100.197098</v>
      </c>
    </row>
    <row r="23" spans="2:39">
      <c r="B23" s="27">
        <v>44043</v>
      </c>
      <c r="D23">
        <v>108.134</v>
      </c>
      <c r="H23">
        <v>110.902</v>
      </c>
      <c r="J23">
        <v>113.789283</v>
      </c>
      <c r="K23">
        <v>113.206632</v>
      </c>
      <c r="M23">
        <v>113.694</v>
      </c>
      <c r="N23">
        <v>110.518</v>
      </c>
      <c r="S23" s="27">
        <v>43982</v>
      </c>
      <c r="AC23">
        <v>99.335499999999996</v>
      </c>
      <c r="AD23">
        <v>98.201499999999996</v>
      </c>
      <c r="AF23" s="130"/>
      <c r="AG23" s="27">
        <v>41729</v>
      </c>
      <c r="AL23">
        <v>98.666532000000004</v>
      </c>
      <c r="AM23">
        <v>100.206068</v>
      </c>
    </row>
    <row r="24" spans="2:39">
      <c r="B24" s="27">
        <v>44012</v>
      </c>
      <c r="D24">
        <v>107.431</v>
      </c>
      <c r="H24">
        <v>110.149</v>
      </c>
      <c r="J24">
        <v>112.78305</v>
      </c>
      <c r="K24">
        <v>112.21314700000001</v>
      </c>
      <c r="M24">
        <v>111.973</v>
      </c>
      <c r="N24">
        <v>110.61</v>
      </c>
      <c r="S24" s="27">
        <v>43951</v>
      </c>
      <c r="AC24">
        <v>99.316500000000005</v>
      </c>
      <c r="AD24">
        <v>98.987499999999997</v>
      </c>
      <c r="AF24" s="130"/>
      <c r="AG24" s="27">
        <v>41698</v>
      </c>
      <c r="AL24">
        <v>98.028747999999993</v>
      </c>
      <c r="AM24">
        <v>100.220838</v>
      </c>
    </row>
    <row r="25" spans="2:39">
      <c r="B25" s="27">
        <v>43982</v>
      </c>
      <c r="D25">
        <v>106.15600000000001</v>
      </c>
      <c r="H25">
        <v>108.783</v>
      </c>
      <c r="J25">
        <v>112.11602999999999</v>
      </c>
      <c r="K25">
        <v>109.59743400000001</v>
      </c>
      <c r="M25">
        <v>110.765</v>
      </c>
      <c r="N25">
        <v>110.154</v>
      </c>
      <c r="S25" s="27">
        <v>43921</v>
      </c>
      <c r="AC25">
        <v>99.308499999999995</v>
      </c>
      <c r="AD25">
        <v>98.9465</v>
      </c>
      <c r="AF25" s="130"/>
      <c r="AG25" s="27">
        <v>41670</v>
      </c>
      <c r="AL25">
        <v>97.249127000000001</v>
      </c>
      <c r="AM25">
        <v>100.14291299999999</v>
      </c>
    </row>
    <row r="26" spans="2:39">
      <c r="B26" s="27">
        <v>43951</v>
      </c>
      <c r="D26">
        <v>107.423</v>
      </c>
      <c r="H26">
        <v>110.146</v>
      </c>
      <c r="J26">
        <v>110.929728</v>
      </c>
      <c r="K26">
        <v>108.75169200000001</v>
      </c>
      <c r="M26">
        <v>112.396</v>
      </c>
      <c r="N26">
        <v>110.55800000000001</v>
      </c>
      <c r="S26" s="27">
        <v>43890</v>
      </c>
      <c r="AC26">
        <v>99.208500000000001</v>
      </c>
      <c r="AD26">
        <v>98.875500000000002</v>
      </c>
      <c r="AF26" s="130"/>
      <c r="AG26" s="27">
        <v>41639</v>
      </c>
      <c r="AL26">
        <v>97.122348000000002</v>
      </c>
      <c r="AM26">
        <v>100.153128</v>
      </c>
    </row>
    <row r="27" spans="2:39">
      <c r="B27" s="27">
        <v>43921</v>
      </c>
      <c r="D27">
        <v>106.694</v>
      </c>
      <c r="H27">
        <v>109.48099999999999</v>
      </c>
      <c r="J27">
        <v>111.552038</v>
      </c>
      <c r="K27">
        <v>109.51212200000001</v>
      </c>
      <c r="M27">
        <v>111.899</v>
      </c>
      <c r="N27">
        <v>109.276</v>
      </c>
      <c r="S27" s="27">
        <v>43861</v>
      </c>
      <c r="AC27">
        <v>99.147499999999994</v>
      </c>
      <c r="AD27">
        <v>98.822500000000005</v>
      </c>
      <c r="AF27" s="130"/>
      <c r="AG27" s="27">
        <v>41608</v>
      </c>
      <c r="AL27">
        <v>96.991382000000002</v>
      </c>
      <c r="AM27">
        <v>100.155196</v>
      </c>
    </row>
    <row r="28" spans="2:39">
      <c r="B28" s="27">
        <v>43890</v>
      </c>
      <c r="D28">
        <v>105.348</v>
      </c>
      <c r="H28">
        <v>107.67700000000001</v>
      </c>
      <c r="J28">
        <v>114.050769</v>
      </c>
      <c r="K28">
        <v>113.97134200000001</v>
      </c>
      <c r="M28">
        <v>109.21899999999999</v>
      </c>
      <c r="N28">
        <v>110.88200000000001</v>
      </c>
      <c r="S28" s="27">
        <v>43830</v>
      </c>
      <c r="AC28">
        <v>99.096500000000006</v>
      </c>
      <c r="AD28">
        <v>98.767499999999998</v>
      </c>
      <c r="AF28" s="130"/>
      <c r="AG28" s="27">
        <v>41578</v>
      </c>
      <c r="AL28">
        <v>96.894839000000005</v>
      </c>
      <c r="AM28">
        <v>100.160021</v>
      </c>
    </row>
    <row r="29" spans="2:39">
      <c r="B29" s="27">
        <v>43861</v>
      </c>
      <c r="D29">
        <v>103.453</v>
      </c>
      <c r="H29">
        <v>105.14400000000001</v>
      </c>
      <c r="J29">
        <v>112.992729</v>
      </c>
      <c r="K29">
        <v>113.426496</v>
      </c>
      <c r="M29">
        <v>105.676</v>
      </c>
      <c r="N29">
        <v>109.65600000000001</v>
      </c>
      <c r="S29" s="27">
        <v>43799</v>
      </c>
      <c r="AC29">
        <v>99.054500000000004</v>
      </c>
      <c r="AD29">
        <v>98.715500000000006</v>
      </c>
      <c r="AF29" s="130"/>
      <c r="AG29" s="27">
        <v>41547</v>
      </c>
      <c r="AL29">
        <v>96.765703999999999</v>
      </c>
      <c r="AM29">
        <v>99.515619000000001</v>
      </c>
    </row>
    <row r="30" spans="2:39">
      <c r="B30" s="27">
        <v>43830</v>
      </c>
      <c r="D30">
        <v>102.017</v>
      </c>
      <c r="H30">
        <v>103.078</v>
      </c>
      <c r="J30">
        <v>110.285352</v>
      </c>
      <c r="K30">
        <v>110.076041</v>
      </c>
      <c r="M30">
        <v>102.756</v>
      </c>
      <c r="N30">
        <v>106.965</v>
      </c>
      <c r="S30" s="27">
        <v>43769</v>
      </c>
      <c r="AC30">
        <v>99.010499999999993</v>
      </c>
      <c r="AD30">
        <v>98.657499999999999</v>
      </c>
      <c r="AF30" s="130"/>
      <c r="AG30" s="27">
        <v>41517</v>
      </c>
      <c r="AL30">
        <v>96.655865000000006</v>
      </c>
      <c r="AM30">
        <v>99.522863000000001</v>
      </c>
    </row>
    <row r="31" spans="2:39">
      <c r="B31" s="27">
        <v>43799</v>
      </c>
      <c r="D31">
        <v>102.85299999999999</v>
      </c>
      <c r="H31">
        <v>104.298</v>
      </c>
      <c r="J31">
        <v>112.66761</v>
      </c>
      <c r="K31">
        <v>112.713082</v>
      </c>
      <c r="M31">
        <v>104.479</v>
      </c>
      <c r="N31">
        <v>108.58499999999999</v>
      </c>
      <c r="S31" s="27">
        <v>43738</v>
      </c>
      <c r="AC31">
        <v>98.960499999999996</v>
      </c>
      <c r="AD31">
        <v>98.626499999999993</v>
      </c>
      <c r="AF31" s="130"/>
      <c r="AG31" s="27">
        <v>41486</v>
      </c>
      <c r="AL31">
        <v>96.534468000000004</v>
      </c>
      <c r="AM31">
        <v>99.510045000000005</v>
      </c>
    </row>
    <row r="32" spans="2:39">
      <c r="B32" s="27">
        <v>43769</v>
      </c>
      <c r="D32">
        <v>103.13500000000001</v>
      </c>
      <c r="H32">
        <v>104.527</v>
      </c>
      <c r="J32">
        <v>111.77879799999999</v>
      </c>
      <c r="K32">
        <v>111.722264</v>
      </c>
      <c r="M32">
        <v>104.69</v>
      </c>
      <c r="N32">
        <v>108.92400000000001</v>
      </c>
      <c r="S32" s="27">
        <v>43708</v>
      </c>
      <c r="AC32">
        <v>98.912499999999994</v>
      </c>
      <c r="AD32">
        <v>98.592500000000001</v>
      </c>
      <c r="AF32" s="130"/>
      <c r="AG32" s="27">
        <v>41455</v>
      </c>
      <c r="AL32">
        <v>96.949945999999997</v>
      </c>
      <c r="AM32">
        <v>100.057412</v>
      </c>
    </row>
    <row r="33" spans="2:39">
      <c r="B33" s="27">
        <v>43738</v>
      </c>
      <c r="D33">
        <v>103.673</v>
      </c>
      <c r="H33">
        <v>105.41</v>
      </c>
      <c r="J33">
        <v>112.64541199999999</v>
      </c>
      <c r="K33">
        <v>112.80517500000001</v>
      </c>
      <c r="M33">
        <v>106.023</v>
      </c>
      <c r="N33">
        <v>110.746</v>
      </c>
      <c r="S33" s="27">
        <v>43677</v>
      </c>
      <c r="AC33">
        <v>98.734499999999997</v>
      </c>
      <c r="AD33">
        <v>98.356999999999999</v>
      </c>
      <c r="AF33" s="130"/>
      <c r="AG33" s="27">
        <v>41425</v>
      </c>
      <c r="AL33">
        <v>97.425352000000004</v>
      </c>
      <c r="AM33">
        <v>100.072852</v>
      </c>
    </row>
    <row r="34" spans="2:39">
      <c r="B34" s="27">
        <v>43708</v>
      </c>
      <c r="D34">
        <v>104.351</v>
      </c>
      <c r="H34">
        <v>106.45</v>
      </c>
      <c r="J34">
        <v>113.392843</v>
      </c>
      <c r="K34">
        <v>113.671634</v>
      </c>
      <c r="M34">
        <v>107.48699999999999</v>
      </c>
      <c r="N34">
        <v>112.306</v>
      </c>
      <c r="S34" s="27">
        <v>43646</v>
      </c>
      <c r="AC34">
        <v>99.045500000000004</v>
      </c>
      <c r="AD34">
        <v>97.131</v>
      </c>
      <c r="AF34" s="130"/>
      <c r="AG34" s="27">
        <v>41394</v>
      </c>
      <c r="AL34">
        <v>97.339262000000005</v>
      </c>
      <c r="AM34">
        <v>100.078059</v>
      </c>
    </row>
    <row r="35" spans="2:39">
      <c r="B35" s="27">
        <v>43677</v>
      </c>
      <c r="D35">
        <v>102.96899999999999</v>
      </c>
      <c r="H35">
        <v>104.172</v>
      </c>
      <c r="J35">
        <v>111.064154</v>
      </c>
      <c r="K35">
        <v>110.727236</v>
      </c>
      <c r="M35">
        <v>103.86199999999999</v>
      </c>
      <c r="N35">
        <v>109.005</v>
      </c>
      <c r="S35" s="27">
        <v>43616</v>
      </c>
      <c r="AC35">
        <v>99.001000000000005</v>
      </c>
      <c r="AD35">
        <v>97.07</v>
      </c>
      <c r="AF35" s="130"/>
      <c r="AG35" s="27">
        <v>41364</v>
      </c>
      <c r="AL35">
        <v>97.268750999999995</v>
      </c>
      <c r="AM35">
        <v>100.043257</v>
      </c>
    </row>
    <row r="36" spans="2:39">
      <c r="B36" s="27">
        <v>43646</v>
      </c>
      <c r="D36">
        <v>103.63200000000001</v>
      </c>
      <c r="H36">
        <v>104.941</v>
      </c>
      <c r="J36">
        <v>109.59361699999999</v>
      </c>
      <c r="K36">
        <v>109.314999</v>
      </c>
      <c r="M36">
        <v>104.73</v>
      </c>
      <c r="N36">
        <v>107.176</v>
      </c>
      <c r="S36" s="27">
        <v>43585</v>
      </c>
      <c r="AC36">
        <v>98.942999999999998</v>
      </c>
      <c r="AD36">
        <v>96.963499999999996</v>
      </c>
      <c r="AF36" s="130"/>
      <c r="AG36" s="27">
        <v>41333</v>
      </c>
      <c r="AL36">
        <v>95.470082000000005</v>
      </c>
    </row>
    <row r="37" spans="2:39">
      <c r="B37" s="27">
        <v>43616</v>
      </c>
      <c r="D37">
        <v>102.93</v>
      </c>
      <c r="H37">
        <v>103.991</v>
      </c>
      <c r="J37">
        <v>107.90434999999999</v>
      </c>
      <c r="K37">
        <v>107.64635199999999</v>
      </c>
      <c r="M37">
        <v>103.542</v>
      </c>
      <c r="N37">
        <v>105.526</v>
      </c>
      <c r="S37" s="27">
        <v>43555</v>
      </c>
      <c r="AB37">
        <v>100.002531</v>
      </c>
      <c r="AC37">
        <v>98.917000000000002</v>
      </c>
      <c r="AD37">
        <v>96.874499999999998</v>
      </c>
      <c r="AF37" s="130"/>
      <c r="AG37" s="27">
        <v>41305</v>
      </c>
      <c r="AL37">
        <v>95.336515000000006</v>
      </c>
    </row>
    <row r="38" spans="2:39">
      <c r="B38" s="27">
        <v>43585</v>
      </c>
      <c r="D38">
        <v>101.45099999999999</v>
      </c>
      <c r="H38">
        <v>101.95099999999999</v>
      </c>
      <c r="J38">
        <v>105.881683</v>
      </c>
      <c r="K38">
        <v>104.822678</v>
      </c>
      <c r="M38">
        <v>100.89</v>
      </c>
      <c r="N38">
        <v>103.46299999999999</v>
      </c>
      <c r="S38" s="27">
        <v>43524</v>
      </c>
      <c r="AB38">
        <v>100.017769</v>
      </c>
      <c r="AC38">
        <v>98.878500000000003</v>
      </c>
      <c r="AD38">
        <v>96.807000000000002</v>
      </c>
      <c r="AF38" s="130"/>
      <c r="AG38" s="27">
        <v>41274</v>
      </c>
      <c r="AL38">
        <v>95.222582000000003</v>
      </c>
    </row>
    <row r="39" spans="2:39">
      <c r="B39" s="27">
        <v>43555</v>
      </c>
      <c r="D39">
        <v>102.47499999999999</v>
      </c>
      <c r="H39">
        <v>103.297</v>
      </c>
      <c r="J39">
        <v>105.69437600000001</v>
      </c>
      <c r="K39">
        <v>105.039861</v>
      </c>
      <c r="M39">
        <v>102.751</v>
      </c>
      <c r="N39">
        <v>103.896</v>
      </c>
      <c r="S39" s="27">
        <v>43496</v>
      </c>
      <c r="AB39">
        <v>100.019741</v>
      </c>
      <c r="AC39">
        <v>98.819500000000005</v>
      </c>
      <c r="AD39">
        <v>96.711500000000001</v>
      </c>
      <c r="AF39" s="130"/>
      <c r="AG39" s="27">
        <v>41243</v>
      </c>
      <c r="AL39">
        <v>94.695785999999998</v>
      </c>
    </row>
    <row r="40" spans="2:39">
      <c r="B40" s="27">
        <v>43524</v>
      </c>
      <c r="D40">
        <v>100.64</v>
      </c>
      <c r="H40">
        <v>100.873</v>
      </c>
      <c r="J40">
        <v>102.93745</v>
      </c>
      <c r="K40">
        <v>102.267472</v>
      </c>
      <c r="M40">
        <v>99.451999999999998</v>
      </c>
      <c r="N40">
        <v>101.33</v>
      </c>
      <c r="S40" s="27">
        <v>43465</v>
      </c>
      <c r="AB40">
        <v>100.02211</v>
      </c>
      <c r="AC40">
        <v>98.766499999999994</v>
      </c>
      <c r="AD40">
        <v>96.610500000000002</v>
      </c>
      <c r="AF40" s="130"/>
      <c r="AG40" s="27">
        <v>41213</v>
      </c>
      <c r="AL40">
        <v>94.154317000000006</v>
      </c>
    </row>
    <row r="41" spans="2:39">
      <c r="B41" s="27">
        <v>43496</v>
      </c>
      <c r="D41">
        <v>100.827</v>
      </c>
      <c r="H41">
        <v>101.16500000000001</v>
      </c>
      <c r="J41">
        <v>101.605953</v>
      </c>
      <c r="K41">
        <v>100.629868</v>
      </c>
      <c r="M41">
        <v>100.26900000000001</v>
      </c>
      <c r="N41">
        <v>101.71899999999999</v>
      </c>
      <c r="S41" s="27">
        <v>43434</v>
      </c>
      <c r="AB41">
        <v>100.048</v>
      </c>
      <c r="AC41">
        <v>98.742500000000007</v>
      </c>
      <c r="AD41">
        <v>96.521000000000001</v>
      </c>
      <c r="AF41" s="130"/>
      <c r="AG41" s="27">
        <v>41182</v>
      </c>
      <c r="AL41">
        <v>94.006609999999995</v>
      </c>
    </row>
    <row r="42" spans="2:39">
      <c r="B42" s="27">
        <v>43465</v>
      </c>
      <c r="D42">
        <v>100.239</v>
      </c>
      <c r="H42">
        <v>100.46599999999999</v>
      </c>
      <c r="J42">
        <v>100.84013899999999</v>
      </c>
      <c r="K42">
        <v>100.001727</v>
      </c>
      <c r="M42">
        <v>98.709000000000003</v>
      </c>
      <c r="N42">
        <v>100.121</v>
      </c>
      <c r="S42" s="27">
        <v>43404</v>
      </c>
      <c r="AB42">
        <v>100.14400000000001</v>
      </c>
      <c r="AC42">
        <v>98.701499999999996</v>
      </c>
      <c r="AD42">
        <v>96.433999999999997</v>
      </c>
      <c r="AF42" s="130"/>
      <c r="AG42" s="27">
        <v>41152</v>
      </c>
      <c r="AL42">
        <v>93.888913000000002</v>
      </c>
    </row>
    <row r="43" spans="2:39">
      <c r="B43" s="27">
        <v>43434</v>
      </c>
      <c r="D43">
        <v>97.575999999999993</v>
      </c>
      <c r="H43">
        <v>97.143000000000001</v>
      </c>
      <c r="J43">
        <v>99.463815999999994</v>
      </c>
      <c r="K43">
        <v>98.589387000000002</v>
      </c>
      <c r="M43">
        <v>94.432000000000002</v>
      </c>
      <c r="N43">
        <v>99.251000000000005</v>
      </c>
      <c r="S43" s="27">
        <v>43373</v>
      </c>
      <c r="AB43">
        <v>100.20399999999999</v>
      </c>
      <c r="AC43">
        <v>98.663499999999999</v>
      </c>
      <c r="AD43">
        <v>96.343999999999994</v>
      </c>
      <c r="AF43" s="130"/>
      <c r="AG43" s="27">
        <v>41121</v>
      </c>
      <c r="AL43">
        <v>93.749767000000006</v>
      </c>
    </row>
    <row r="44" spans="2:39">
      <c r="B44" s="27">
        <v>43404</v>
      </c>
      <c r="D44">
        <v>96.741</v>
      </c>
      <c r="H44">
        <v>96.165000000000006</v>
      </c>
      <c r="J44">
        <v>99.988247000000001</v>
      </c>
      <c r="K44">
        <v>99.332358999999997</v>
      </c>
      <c r="M44">
        <v>93.016000000000005</v>
      </c>
      <c r="S44" s="27">
        <v>43343</v>
      </c>
      <c r="AB44">
        <v>100.268</v>
      </c>
      <c r="AC44">
        <v>98.63</v>
      </c>
      <c r="AD44">
        <v>96.268500000000003</v>
      </c>
      <c r="AF44" s="130"/>
      <c r="AG44" s="27">
        <v>41090</v>
      </c>
      <c r="AL44">
        <v>93.592483999999999</v>
      </c>
    </row>
    <row r="45" spans="2:39">
      <c r="B45" s="27">
        <v>43373</v>
      </c>
      <c r="D45">
        <v>96.730999999999995</v>
      </c>
      <c r="H45">
        <v>96.281999999999996</v>
      </c>
      <c r="J45">
        <v>99.655475999999993</v>
      </c>
      <c r="K45">
        <v>98.843946000000003</v>
      </c>
      <c r="M45">
        <v>93.664000000000001</v>
      </c>
      <c r="S45" s="27">
        <v>43312</v>
      </c>
      <c r="AB45">
        <v>100.26049999999999</v>
      </c>
      <c r="AC45">
        <v>98.581000000000003</v>
      </c>
      <c r="AD45">
        <v>96.179500000000004</v>
      </c>
      <c r="AF45" s="130"/>
      <c r="AG45" s="27">
        <v>41060</v>
      </c>
      <c r="AL45">
        <v>93.480889000000005</v>
      </c>
    </row>
    <row r="46" spans="2:39">
      <c r="B46" s="27">
        <v>43343</v>
      </c>
      <c r="D46">
        <v>97.805999999999997</v>
      </c>
      <c r="H46">
        <v>97.616</v>
      </c>
      <c r="J46">
        <v>100.864423</v>
      </c>
      <c r="K46">
        <v>101.56034200000001</v>
      </c>
      <c r="M46">
        <v>95.218000000000004</v>
      </c>
      <c r="S46" s="27">
        <v>43281</v>
      </c>
      <c r="AB46">
        <v>100.2565</v>
      </c>
      <c r="AC46">
        <v>98.525499999999994</v>
      </c>
      <c r="AD46">
        <v>96.093000000000004</v>
      </c>
      <c r="AF46" s="130"/>
      <c r="AG46" s="27">
        <v>41029</v>
      </c>
      <c r="AL46">
        <v>93.355193999999997</v>
      </c>
    </row>
    <row r="47" spans="2:39">
      <c r="B47" s="27">
        <v>43312</v>
      </c>
      <c r="D47">
        <v>97.975999999999999</v>
      </c>
      <c r="H47">
        <v>97.652000000000001</v>
      </c>
      <c r="J47">
        <v>99.760690999999994</v>
      </c>
      <c r="K47">
        <v>99.217071000000004</v>
      </c>
      <c r="M47">
        <v>95.278999999999996</v>
      </c>
      <c r="S47" s="27">
        <v>43251</v>
      </c>
      <c r="AB47">
        <v>100.2915</v>
      </c>
      <c r="AC47">
        <v>98.499499999999998</v>
      </c>
      <c r="AD47">
        <v>96.013999999999996</v>
      </c>
      <c r="AF47" s="130"/>
      <c r="AG47" s="27">
        <v>40999</v>
      </c>
      <c r="AL47">
        <v>93.274833999999998</v>
      </c>
    </row>
    <row r="48" spans="2:39">
      <c r="B48" s="27">
        <v>43281</v>
      </c>
      <c r="D48">
        <v>97.707999999999998</v>
      </c>
      <c r="H48">
        <v>97.483999999999995</v>
      </c>
      <c r="J48">
        <v>100.083079</v>
      </c>
      <c r="K48">
        <v>99.465525999999997</v>
      </c>
      <c r="M48">
        <v>94.984999999999999</v>
      </c>
      <c r="N48">
        <f>'Bloomberg Bond Prices'!H60</f>
        <v>99.605000000000004</v>
      </c>
      <c r="S48" s="27">
        <v>43220</v>
      </c>
      <c r="AB48">
        <v>100.2715</v>
      </c>
      <c r="AC48">
        <v>98.476500000000001</v>
      </c>
      <c r="AD48">
        <v>95.923500000000004</v>
      </c>
      <c r="AF48" s="130"/>
      <c r="AG48" s="27">
        <v>40968</v>
      </c>
      <c r="AL48">
        <v>93.131325000000004</v>
      </c>
    </row>
    <row r="49" spans="2:38">
      <c r="B49" s="27">
        <v>43251</v>
      </c>
      <c r="D49">
        <v>98.272999999999996</v>
      </c>
      <c r="H49">
        <v>97.984999999999999</v>
      </c>
      <c r="J49">
        <v>99.901009000000002</v>
      </c>
      <c r="K49">
        <v>99.906025</v>
      </c>
      <c r="M49">
        <v>95.778000000000006</v>
      </c>
      <c r="S49" s="27">
        <v>43190</v>
      </c>
      <c r="AB49">
        <v>100.3035</v>
      </c>
      <c r="AC49">
        <v>98.422499999999999</v>
      </c>
      <c r="AD49">
        <v>95.834500000000006</v>
      </c>
      <c r="AF49" s="130"/>
      <c r="AG49" s="27">
        <v>40939</v>
      </c>
      <c r="AL49">
        <v>92.966019000000003</v>
      </c>
    </row>
    <row r="50" spans="2:38">
      <c r="B50" s="27">
        <v>43220</v>
      </c>
      <c r="D50">
        <v>99.075000000000003</v>
      </c>
      <c r="H50">
        <v>97.075000000000003</v>
      </c>
      <c r="J50">
        <v>99.623457999999999</v>
      </c>
      <c r="K50">
        <v>98.792687999999998</v>
      </c>
      <c r="S50" s="27">
        <v>43159</v>
      </c>
      <c r="AB50">
        <v>100.5685</v>
      </c>
      <c r="AC50">
        <v>98.400499999999994</v>
      </c>
      <c r="AD50">
        <v>95.730500000000006</v>
      </c>
      <c r="AF50" s="130"/>
      <c r="AG50" s="27">
        <v>40908</v>
      </c>
      <c r="AL50">
        <v>92.828974000000002</v>
      </c>
    </row>
    <row r="51" spans="2:38">
      <c r="B51" s="27">
        <v>43190</v>
      </c>
      <c r="D51">
        <v>100.46899999999999</v>
      </c>
      <c r="H51">
        <v>98.697999999999993</v>
      </c>
      <c r="J51">
        <v>100.60997999999999</v>
      </c>
      <c r="K51">
        <v>100.141713</v>
      </c>
      <c r="S51" s="27">
        <v>43131</v>
      </c>
      <c r="AB51">
        <v>100.46250000000001</v>
      </c>
      <c r="AC51">
        <v>98.365499999999997</v>
      </c>
      <c r="AD51">
        <v>95.653499999999994</v>
      </c>
      <c r="AF51" s="130"/>
      <c r="AG51" s="27">
        <v>40877</v>
      </c>
      <c r="AL51">
        <v>92.699309</v>
      </c>
    </row>
    <row r="52" spans="2:38">
      <c r="B52" s="27">
        <v>43159</v>
      </c>
      <c r="H52">
        <v>99.024000000000001</v>
      </c>
      <c r="J52">
        <v>100.14657099999999</v>
      </c>
      <c r="S52" s="27">
        <v>43100</v>
      </c>
      <c r="AB52">
        <v>100.4575</v>
      </c>
      <c r="AC52">
        <v>98.322500000000005</v>
      </c>
      <c r="AD52">
        <v>95.563000000000002</v>
      </c>
      <c r="AF52" s="130"/>
      <c r="AG52" s="27">
        <v>40847</v>
      </c>
      <c r="AL52">
        <v>92.653197000000006</v>
      </c>
    </row>
    <row r="53" spans="2:38">
      <c r="B53" s="27">
        <v>43131</v>
      </c>
      <c r="H53">
        <v>99.861999999999995</v>
      </c>
      <c r="J53">
        <v>99.990138000000002</v>
      </c>
      <c r="S53" s="27">
        <v>43069</v>
      </c>
      <c r="AB53">
        <v>100.4825</v>
      </c>
      <c r="AC53">
        <v>98.287999999999997</v>
      </c>
      <c r="AD53">
        <v>95.471500000000006</v>
      </c>
      <c r="AF53" s="130"/>
      <c r="AG53" s="27">
        <v>40816</v>
      </c>
      <c r="AL53">
        <v>92.519642000000005</v>
      </c>
    </row>
    <row r="54" spans="2:38">
      <c r="B54" s="27">
        <v>43100</v>
      </c>
      <c r="H54">
        <v>101.729</v>
      </c>
      <c r="J54">
        <v>101.035021</v>
      </c>
      <c r="S54" s="27">
        <v>43039</v>
      </c>
      <c r="AB54">
        <v>100.5335</v>
      </c>
      <c r="AC54">
        <v>95.817999999999998</v>
      </c>
      <c r="AD54">
        <v>95.383499999999998</v>
      </c>
      <c r="AF54" s="130"/>
      <c r="AG54" s="27">
        <v>40786</v>
      </c>
      <c r="AL54">
        <v>92.419959000000006</v>
      </c>
    </row>
    <row r="55" spans="2:38">
      <c r="B55" s="27">
        <v>43069</v>
      </c>
      <c r="H55">
        <v>100.53100000000001</v>
      </c>
      <c r="J55">
        <v>101.85664</v>
      </c>
      <c r="S55" s="27">
        <v>43008</v>
      </c>
      <c r="AB55">
        <v>100.63249999999999</v>
      </c>
      <c r="AC55">
        <v>95.734499999999997</v>
      </c>
      <c r="AD55">
        <v>95.302000000000007</v>
      </c>
      <c r="AF55" s="130"/>
      <c r="AG55" s="27">
        <v>40755</v>
      </c>
      <c r="AL55">
        <v>92.340607000000006</v>
      </c>
    </row>
    <row r="56" spans="2:38">
      <c r="B56" s="27">
        <v>43039</v>
      </c>
      <c r="H56">
        <v>101.178</v>
      </c>
      <c r="J56">
        <v>100.568754</v>
      </c>
      <c r="S56" s="27">
        <v>42978</v>
      </c>
      <c r="AB56">
        <v>100.6665</v>
      </c>
      <c r="AC56">
        <v>95.646000000000001</v>
      </c>
      <c r="AD56">
        <v>95.216999999999999</v>
      </c>
      <c r="AF56" s="130"/>
      <c r="AG56" s="27">
        <v>40724</v>
      </c>
      <c r="AK56">
        <v>100.06028999999999</v>
      </c>
      <c r="AL56">
        <v>92.270104000000003</v>
      </c>
    </row>
    <row r="57" spans="2:38">
      <c r="B57" s="27">
        <v>43008</v>
      </c>
      <c r="H57">
        <v>102.09699999999999</v>
      </c>
      <c r="J57">
        <v>98.789034000000001</v>
      </c>
      <c r="S57" s="27">
        <v>42947</v>
      </c>
      <c r="AB57">
        <v>100.62649999999999</v>
      </c>
      <c r="AC57">
        <v>95.554000000000002</v>
      </c>
      <c r="AD57">
        <v>95.126000000000005</v>
      </c>
      <c r="AF57" s="130"/>
      <c r="AG57" s="27">
        <v>40694</v>
      </c>
      <c r="AK57">
        <v>100.0467</v>
      </c>
      <c r="AL57">
        <v>86.802300000000002</v>
      </c>
    </row>
    <row r="58" spans="2:38">
      <c r="B58" s="27">
        <v>42978</v>
      </c>
      <c r="H58">
        <v>103.904</v>
      </c>
      <c r="J58">
        <v>99.908591999999999</v>
      </c>
      <c r="S58" s="27">
        <v>42916</v>
      </c>
      <c r="AB58">
        <v>100.3865</v>
      </c>
      <c r="AC58">
        <v>91.227000000000004</v>
      </c>
      <c r="AD58">
        <v>90.418000000000006</v>
      </c>
      <c r="AF58" s="130"/>
      <c r="AG58" s="27">
        <v>40663</v>
      </c>
      <c r="AK58">
        <v>99.926509999999993</v>
      </c>
      <c r="AL58">
        <v>86.583759999999998</v>
      </c>
    </row>
    <row r="59" spans="2:38">
      <c r="B59" s="27">
        <v>42947</v>
      </c>
      <c r="H59">
        <v>102.557</v>
      </c>
      <c r="S59" s="27">
        <v>42886</v>
      </c>
      <c r="AB59">
        <v>100.61750000000001</v>
      </c>
      <c r="AC59">
        <v>91.06</v>
      </c>
      <c r="AD59">
        <v>90.258499999999998</v>
      </c>
      <c r="AF59" s="130"/>
      <c r="AG59" s="27">
        <v>40633</v>
      </c>
      <c r="AK59">
        <v>99.812430000000006</v>
      </c>
      <c r="AL59">
        <v>86.38749</v>
      </c>
    </row>
    <row r="60" spans="2:38">
      <c r="B60" s="27">
        <v>42916</v>
      </c>
      <c r="H60">
        <v>102.355</v>
      </c>
      <c r="S60" s="27">
        <v>42855</v>
      </c>
      <c r="AB60">
        <v>100.2955</v>
      </c>
      <c r="AC60">
        <v>90.911500000000004</v>
      </c>
      <c r="AD60">
        <v>90.100999999999999</v>
      </c>
      <c r="AF60" s="130"/>
      <c r="AG60" s="27">
        <v>40602</v>
      </c>
      <c r="AK60">
        <v>99.511769999999999</v>
      </c>
      <c r="AL60">
        <v>86.176869999999994</v>
      </c>
    </row>
    <row r="61" spans="2:38">
      <c r="B61" s="27">
        <v>42886</v>
      </c>
      <c r="H61">
        <v>103.515</v>
      </c>
      <c r="S61" s="27">
        <v>42825</v>
      </c>
      <c r="AB61">
        <v>100.245</v>
      </c>
      <c r="AC61">
        <v>90.770499999999998</v>
      </c>
      <c r="AD61">
        <v>89.970500000000001</v>
      </c>
      <c r="AF61" s="130"/>
      <c r="AG61" s="27">
        <v>40574</v>
      </c>
      <c r="AK61">
        <v>99.350840000000005</v>
      </c>
      <c r="AL61">
        <v>85.993899999999996</v>
      </c>
    </row>
    <row r="62" spans="2:38">
      <c r="B62" s="27">
        <v>42855</v>
      </c>
      <c r="H62">
        <v>101.36799999999999</v>
      </c>
      <c r="S62" s="27">
        <v>42794</v>
      </c>
      <c r="AB62">
        <v>100.5155</v>
      </c>
      <c r="AC62">
        <v>90.596500000000006</v>
      </c>
      <c r="AD62">
        <v>89.796000000000006</v>
      </c>
      <c r="AF62" s="130"/>
      <c r="AG62" s="27">
        <v>40543</v>
      </c>
      <c r="AK62">
        <v>99.186440000000005</v>
      </c>
      <c r="AL62">
        <v>85.844099999999997</v>
      </c>
    </row>
    <row r="63" spans="2:38">
      <c r="B63" s="27">
        <v>42825</v>
      </c>
      <c r="H63">
        <v>99.917000000000002</v>
      </c>
      <c r="S63" s="27">
        <v>42766</v>
      </c>
      <c r="AB63">
        <v>100.163</v>
      </c>
      <c r="AC63">
        <v>90.442999999999998</v>
      </c>
      <c r="AD63">
        <v>89.652500000000003</v>
      </c>
      <c r="AF63" s="130"/>
      <c r="AG63" s="27">
        <v>40512</v>
      </c>
      <c r="AK63">
        <v>99.008960000000002</v>
      </c>
      <c r="AL63">
        <v>85.630989999999997</v>
      </c>
    </row>
    <row r="64" spans="2:38">
      <c r="B64" s="27">
        <v>42794</v>
      </c>
      <c r="H64">
        <v>101.285</v>
      </c>
      <c r="S64" s="27">
        <v>42735</v>
      </c>
      <c r="AB64">
        <v>100.033</v>
      </c>
      <c r="AC64">
        <v>90.296999999999997</v>
      </c>
      <c r="AD64">
        <v>89.512500000000003</v>
      </c>
      <c r="AG64" s="27">
        <v>40482</v>
      </c>
      <c r="AK64">
        <v>98.825630000000004</v>
      </c>
      <c r="AL64">
        <v>85.375649999999993</v>
      </c>
    </row>
    <row r="65" spans="19:38">
      <c r="S65" s="27">
        <v>42704</v>
      </c>
      <c r="AB65">
        <v>100.05200000000001</v>
      </c>
      <c r="AC65">
        <v>90.119</v>
      </c>
      <c r="AD65">
        <v>89.330500000000001</v>
      </c>
      <c r="AG65" s="27">
        <v>40451</v>
      </c>
      <c r="AK65">
        <v>98.65213</v>
      </c>
      <c r="AL65">
        <v>85.218450000000004</v>
      </c>
    </row>
    <row r="66" spans="19:38">
      <c r="S66" s="27">
        <v>42674</v>
      </c>
      <c r="AB66">
        <v>99.965999999999994</v>
      </c>
      <c r="AC66">
        <v>89.956500000000005</v>
      </c>
      <c r="AD66">
        <v>89.174999999999997</v>
      </c>
      <c r="AG66" s="27">
        <v>40421</v>
      </c>
      <c r="AK66">
        <v>98.524060000000006</v>
      </c>
      <c r="AL66">
        <v>84.943979999999996</v>
      </c>
    </row>
    <row r="67" spans="19:38">
      <c r="S67" s="27">
        <v>42643</v>
      </c>
      <c r="AB67">
        <v>99.969499999999996</v>
      </c>
      <c r="AC67">
        <v>89.811000000000007</v>
      </c>
      <c r="AD67">
        <v>89.034000000000006</v>
      </c>
      <c r="AG67" s="27">
        <v>40390</v>
      </c>
      <c r="AK67">
        <v>98.365470000000002</v>
      </c>
      <c r="AL67">
        <v>84.775999999999996</v>
      </c>
    </row>
    <row r="68" spans="19:38">
      <c r="S68" s="27">
        <v>42613</v>
      </c>
      <c r="AB68">
        <v>99.981499999999997</v>
      </c>
      <c r="AC68">
        <v>89.643500000000003</v>
      </c>
      <c r="AD68">
        <v>88.884500000000003</v>
      </c>
      <c r="AG68" s="27">
        <v>40359</v>
      </c>
      <c r="AK68">
        <v>98.182730000000006</v>
      </c>
      <c r="AL68">
        <v>84.624020000000002</v>
      </c>
    </row>
    <row r="69" spans="19:38">
      <c r="S69" s="27">
        <v>42582</v>
      </c>
      <c r="AB69">
        <v>99.977500000000006</v>
      </c>
      <c r="AC69">
        <v>89.522499999999994</v>
      </c>
      <c r="AD69">
        <v>88.765500000000003</v>
      </c>
      <c r="AG69" s="27">
        <v>40329</v>
      </c>
      <c r="AK69">
        <v>98.023150000000001</v>
      </c>
      <c r="AL69">
        <v>84.413079999999994</v>
      </c>
    </row>
    <row r="70" spans="19:38">
      <c r="S70" s="27">
        <v>42551</v>
      </c>
      <c r="AB70">
        <v>99.936000000000007</v>
      </c>
      <c r="AC70">
        <v>89.395499999999998</v>
      </c>
      <c r="AD70">
        <v>88.64</v>
      </c>
      <c r="AG70" s="27">
        <v>40298</v>
      </c>
      <c r="AK70">
        <v>97.174999999999997</v>
      </c>
      <c r="AL70">
        <v>84.127830000000003</v>
      </c>
    </row>
    <row r="71" spans="19:38">
      <c r="S71" s="27">
        <v>42521</v>
      </c>
      <c r="AB71">
        <v>100.035</v>
      </c>
      <c r="AC71">
        <v>89.24</v>
      </c>
      <c r="AD71">
        <v>88.515000000000001</v>
      </c>
      <c r="AG71" s="27">
        <v>40268</v>
      </c>
      <c r="AK71">
        <v>96.973029999999994</v>
      </c>
      <c r="AL71">
        <v>83.876270000000005</v>
      </c>
    </row>
    <row r="72" spans="19:38">
      <c r="S72" s="27">
        <v>42490</v>
      </c>
      <c r="AB72">
        <v>99.813500000000005</v>
      </c>
      <c r="AC72">
        <v>89.149000000000001</v>
      </c>
      <c r="AD72">
        <v>88.414000000000001</v>
      </c>
      <c r="AG72" s="27">
        <v>40237</v>
      </c>
      <c r="AK72">
        <v>96.778859999999995</v>
      </c>
      <c r="AL72">
        <v>83.54786</v>
      </c>
    </row>
    <row r="73" spans="19:38">
      <c r="S73" s="27">
        <v>42460</v>
      </c>
      <c r="AB73">
        <v>99.774000000000001</v>
      </c>
      <c r="AC73">
        <v>89.040999999999997</v>
      </c>
      <c r="AD73">
        <v>88.293999999999997</v>
      </c>
      <c r="AG73" s="27">
        <v>40209</v>
      </c>
      <c r="AK73">
        <v>96.563180000000003</v>
      </c>
      <c r="AL73">
        <v>83.457279999999997</v>
      </c>
    </row>
    <row r="74" spans="19:38">
      <c r="S74" s="27">
        <v>42429</v>
      </c>
      <c r="AB74">
        <v>99.813999999999993</v>
      </c>
      <c r="AC74">
        <v>88.885499999999993</v>
      </c>
      <c r="AD74">
        <v>88.143500000000003</v>
      </c>
      <c r="AG74" s="27">
        <v>40694</v>
      </c>
      <c r="AK74">
        <v>100.0467</v>
      </c>
      <c r="AL74">
        <v>86.802300000000002</v>
      </c>
    </row>
    <row r="75" spans="19:38">
      <c r="S75" s="27">
        <v>42400</v>
      </c>
      <c r="AB75">
        <v>99.992000000000004</v>
      </c>
      <c r="AC75">
        <v>88.742000000000004</v>
      </c>
      <c r="AD75">
        <v>88.005499999999998</v>
      </c>
      <c r="AG75" s="27">
        <v>40663</v>
      </c>
      <c r="AK75">
        <v>99.926509999999993</v>
      </c>
      <c r="AL75">
        <v>86.583759999999998</v>
      </c>
    </row>
    <row r="76" spans="19:38">
      <c r="S76" s="27">
        <v>42369</v>
      </c>
      <c r="AB76">
        <v>99.929500000000004</v>
      </c>
      <c r="AC76">
        <v>88.62</v>
      </c>
      <c r="AD76">
        <v>87.891499999999994</v>
      </c>
      <c r="AG76" s="27">
        <v>40633</v>
      </c>
      <c r="AK76">
        <v>99.812430000000006</v>
      </c>
      <c r="AL76">
        <v>86.38749</v>
      </c>
    </row>
    <row r="77" spans="19:38">
      <c r="S77" s="27">
        <v>42338</v>
      </c>
      <c r="AB77">
        <v>100.03700000000001</v>
      </c>
      <c r="AC77">
        <v>88.4285</v>
      </c>
      <c r="AD77">
        <v>87.6845</v>
      </c>
      <c r="AG77" s="27">
        <v>40602</v>
      </c>
      <c r="AK77">
        <v>99.511769999999999</v>
      </c>
      <c r="AL77">
        <v>86.176869999999994</v>
      </c>
    </row>
    <row r="78" spans="19:38">
      <c r="S78" s="27">
        <v>42308</v>
      </c>
      <c r="AB78">
        <v>100.089</v>
      </c>
      <c r="AC78">
        <v>88.244500000000002</v>
      </c>
      <c r="AD78">
        <v>87.507999999999996</v>
      </c>
      <c r="AG78" s="27">
        <v>40574</v>
      </c>
      <c r="AK78">
        <v>99.350840000000005</v>
      </c>
      <c r="AL78">
        <v>85.993899999999996</v>
      </c>
    </row>
    <row r="79" spans="19:38">
      <c r="S79" s="27">
        <v>42277</v>
      </c>
      <c r="AB79">
        <v>100.0395</v>
      </c>
      <c r="AC79">
        <v>88.123500000000007</v>
      </c>
      <c r="AD79">
        <v>87.384</v>
      </c>
      <c r="AG79" s="27">
        <v>40543</v>
      </c>
      <c r="AK79">
        <v>99.186440000000005</v>
      </c>
      <c r="AL79">
        <v>85.844099999999997</v>
      </c>
    </row>
    <row r="80" spans="19:38">
      <c r="S80" s="27">
        <v>42247</v>
      </c>
      <c r="AB80">
        <v>100.11750000000001</v>
      </c>
      <c r="AC80">
        <v>87.954999999999998</v>
      </c>
      <c r="AD80">
        <v>87.212999999999994</v>
      </c>
      <c r="AG80" s="27">
        <v>40512</v>
      </c>
      <c r="AK80">
        <v>99.008960000000002</v>
      </c>
      <c r="AL80">
        <v>85.630989999999997</v>
      </c>
    </row>
    <row r="81" spans="19:38">
      <c r="S81" s="27">
        <v>42216</v>
      </c>
      <c r="AB81">
        <v>100.1165</v>
      </c>
      <c r="AC81">
        <v>87.822500000000005</v>
      </c>
      <c r="AD81">
        <v>87.087999999999994</v>
      </c>
      <c r="AG81" s="27">
        <v>40482</v>
      </c>
      <c r="AK81">
        <v>98.825630000000004</v>
      </c>
      <c r="AL81">
        <v>85.375649999999993</v>
      </c>
    </row>
    <row r="82" spans="19:38">
      <c r="S82" s="27">
        <v>42185</v>
      </c>
      <c r="AB82">
        <v>100.09699999999999</v>
      </c>
      <c r="AC82">
        <v>87.656499999999994</v>
      </c>
      <c r="AD82">
        <v>86.933499999999995</v>
      </c>
      <c r="AG82" s="27">
        <v>40451</v>
      </c>
      <c r="AK82">
        <v>98.65213</v>
      </c>
      <c r="AL82">
        <v>85.218450000000004</v>
      </c>
    </row>
    <row r="83" spans="19:38">
      <c r="S83" s="27">
        <v>42155</v>
      </c>
      <c r="AB83">
        <v>100.092</v>
      </c>
      <c r="AC83">
        <v>87.513000000000005</v>
      </c>
      <c r="AD83">
        <v>86.8005</v>
      </c>
      <c r="AG83" s="27">
        <v>40421</v>
      </c>
      <c r="AK83">
        <v>98.524060000000006</v>
      </c>
      <c r="AL83">
        <v>84.943979999999996</v>
      </c>
    </row>
    <row r="84" spans="19:38">
      <c r="S84" s="27">
        <v>42124</v>
      </c>
      <c r="AB84">
        <v>100.08150000000001</v>
      </c>
      <c r="AC84">
        <v>87.418999999999997</v>
      </c>
      <c r="AD84">
        <v>86.700500000000005</v>
      </c>
      <c r="AG84" s="27">
        <v>40390</v>
      </c>
      <c r="AK84">
        <v>98.365470000000002</v>
      </c>
      <c r="AL84">
        <v>84.775999999999996</v>
      </c>
    </row>
    <row r="85" spans="19:38">
      <c r="S85" s="27">
        <v>42094</v>
      </c>
      <c r="AB85">
        <v>100.21250000000001</v>
      </c>
      <c r="AC85">
        <v>87.287000000000006</v>
      </c>
      <c r="AD85">
        <v>86.580500000000001</v>
      </c>
      <c r="AG85" s="27">
        <v>40359</v>
      </c>
      <c r="AK85">
        <v>98.182730000000006</v>
      </c>
      <c r="AL85">
        <v>84.624020000000002</v>
      </c>
    </row>
    <row r="86" spans="19:38">
      <c r="S86" s="27">
        <v>42063</v>
      </c>
      <c r="AB86">
        <v>100.125731</v>
      </c>
      <c r="AC86">
        <v>87.158848000000006</v>
      </c>
      <c r="AD86">
        <v>86.505429000000007</v>
      </c>
      <c r="AG86" s="27">
        <v>40329</v>
      </c>
      <c r="AK86">
        <v>98.023150000000001</v>
      </c>
      <c r="AL86">
        <v>84.413079999999994</v>
      </c>
    </row>
    <row r="87" spans="19:38">
      <c r="S87" s="27">
        <v>42035</v>
      </c>
      <c r="AB87">
        <v>100.122834</v>
      </c>
      <c r="AC87">
        <v>87.133304999999993</v>
      </c>
      <c r="AD87">
        <v>86.472379000000004</v>
      </c>
      <c r="AG87" s="27">
        <v>40298</v>
      </c>
      <c r="AK87">
        <v>97.174999999999997</v>
      </c>
      <c r="AL87">
        <v>84.127830000000003</v>
      </c>
    </row>
    <row r="88" spans="19:38">
      <c r="S88" s="27">
        <v>42004</v>
      </c>
      <c r="AB88">
        <v>100.080365</v>
      </c>
      <c r="AC88">
        <v>87.082048</v>
      </c>
      <c r="AD88">
        <v>86.400037999999995</v>
      </c>
      <c r="AG88" s="27">
        <v>40268</v>
      </c>
      <c r="AK88">
        <v>96.973029999999994</v>
      </c>
      <c r="AL88">
        <v>83.876270000000005</v>
      </c>
    </row>
    <row r="89" spans="19:38">
      <c r="S89" s="27">
        <v>41973</v>
      </c>
      <c r="AB89">
        <v>100.093481</v>
      </c>
      <c r="AC89">
        <v>86.925610000000006</v>
      </c>
      <c r="AD89">
        <v>86.237465</v>
      </c>
      <c r="AG89" s="27">
        <v>40237</v>
      </c>
      <c r="AK89">
        <v>96.778859999999995</v>
      </c>
      <c r="AL89">
        <v>83.54786</v>
      </c>
    </row>
    <row r="90" spans="19:38">
      <c r="S90" s="27">
        <v>41943</v>
      </c>
      <c r="AB90">
        <v>100.09282399999999</v>
      </c>
      <c r="AC90">
        <v>86.782263</v>
      </c>
      <c r="AD90">
        <v>86.110380000000006</v>
      </c>
      <c r="AG90" s="27">
        <v>40209</v>
      </c>
      <c r="AK90">
        <v>96.563180000000003</v>
      </c>
      <c r="AL90">
        <v>83.457279999999997</v>
      </c>
    </row>
    <row r="91" spans="19:38">
      <c r="S91" s="27">
        <v>41912</v>
      </c>
      <c r="AB91">
        <v>100.085187</v>
      </c>
      <c r="AC91">
        <v>86.628354999999999</v>
      </c>
      <c r="AD91">
        <v>85.967170999999993</v>
      </c>
    </row>
    <row r="92" spans="19:38">
      <c r="S92" s="27">
        <v>41882</v>
      </c>
      <c r="AB92">
        <v>100.10681700000001</v>
      </c>
      <c r="AC92">
        <v>86.460767000000004</v>
      </c>
      <c r="AD92">
        <v>85.788295000000005</v>
      </c>
    </row>
    <row r="93" spans="19:38">
      <c r="S93" s="27">
        <v>41851</v>
      </c>
      <c r="AB93">
        <v>100.106759</v>
      </c>
      <c r="AC93">
        <v>86.342639000000005</v>
      </c>
      <c r="AD93">
        <v>85.677745999999999</v>
      </c>
    </row>
    <row r="94" spans="19:38">
      <c r="S94" s="27">
        <v>41820</v>
      </c>
      <c r="AB94">
        <v>100.09481700000001</v>
      </c>
      <c r="AC94">
        <v>86.215228999999994</v>
      </c>
      <c r="AD94">
        <v>85.558790000000002</v>
      </c>
    </row>
    <row r="95" spans="19:38">
      <c r="S95" s="27">
        <v>41790</v>
      </c>
      <c r="AB95">
        <v>100.10423400000001</v>
      </c>
      <c r="AC95">
        <v>86.089202999999998</v>
      </c>
      <c r="AD95">
        <v>85.434639000000004</v>
      </c>
    </row>
    <row r="96" spans="19:38">
      <c r="S96" s="27">
        <v>41759</v>
      </c>
      <c r="AB96">
        <v>100.10563399999999</v>
      </c>
      <c r="AC96">
        <v>85.944260999999997</v>
      </c>
      <c r="AD96">
        <v>85.298080999999996</v>
      </c>
    </row>
    <row r="97" spans="19:30">
      <c r="S97" s="27">
        <v>41729</v>
      </c>
      <c r="AB97">
        <v>100.097843</v>
      </c>
      <c r="AC97">
        <v>85.808683000000002</v>
      </c>
      <c r="AD97">
        <v>85.176283999999995</v>
      </c>
    </row>
    <row r="98" spans="19:30">
      <c r="S98" s="27">
        <v>41698</v>
      </c>
      <c r="AB98">
        <v>100.115709</v>
      </c>
      <c r="AC98">
        <v>85.658304000000001</v>
      </c>
      <c r="AD98">
        <v>84.320043999999996</v>
      </c>
    </row>
    <row r="99" spans="19:30">
      <c r="S99" s="27">
        <v>41670</v>
      </c>
      <c r="AC99">
        <v>85.472295000000003</v>
      </c>
      <c r="AD99">
        <v>84.198103000000003</v>
      </c>
    </row>
    <row r="100" spans="19:30">
      <c r="S100" s="27">
        <v>41639</v>
      </c>
      <c r="AC100">
        <v>85.345181999999994</v>
      </c>
      <c r="AD100">
        <v>84.065862999999993</v>
      </c>
    </row>
    <row r="101" spans="19:30">
      <c r="S101" s="27">
        <v>41608</v>
      </c>
      <c r="AC101">
        <v>85.187100000000001</v>
      </c>
      <c r="AD101">
        <v>83.898767000000007</v>
      </c>
    </row>
    <row r="102" spans="19:30">
      <c r="S102" s="27">
        <v>41578</v>
      </c>
      <c r="AC102">
        <v>85.058690999999996</v>
      </c>
      <c r="AD102">
        <v>83.765842000000006</v>
      </c>
    </row>
    <row r="103" spans="19:30">
      <c r="S103" s="27">
        <v>41547</v>
      </c>
      <c r="AC103">
        <v>84.920489000000003</v>
      </c>
      <c r="AD103">
        <v>83.626478000000006</v>
      </c>
    </row>
    <row r="104" spans="19:30">
      <c r="S104" s="27">
        <v>41517</v>
      </c>
      <c r="AC104">
        <v>84.793488999999994</v>
      </c>
      <c r="AD104">
        <v>83.505144999999999</v>
      </c>
    </row>
    <row r="105" spans="19:30">
      <c r="S105" s="27">
        <v>41486</v>
      </c>
      <c r="AC105">
        <v>84.712901000000002</v>
      </c>
      <c r="AD105">
        <v>83.435762999999994</v>
      </c>
    </row>
    <row r="106" spans="19:30">
      <c r="S106" s="27">
        <v>41455</v>
      </c>
      <c r="AC106">
        <v>84.653414999999995</v>
      </c>
      <c r="AD106">
        <v>83.388434000000004</v>
      </c>
    </row>
    <row r="107" spans="19:30">
      <c r="S107" s="27">
        <v>41425</v>
      </c>
      <c r="AC107">
        <v>84.536822999999998</v>
      </c>
      <c r="AD107">
        <v>83.287868000000003</v>
      </c>
    </row>
    <row r="108" spans="19:30">
      <c r="S108" s="27">
        <v>41394</v>
      </c>
      <c r="AC108">
        <v>84.479146999999998</v>
      </c>
      <c r="AD108">
        <v>83.215159999999997</v>
      </c>
    </row>
    <row r="109" spans="19:30">
      <c r="S109" s="27">
        <v>41364</v>
      </c>
      <c r="AC109">
        <v>84.457854999999995</v>
      </c>
      <c r="AD109">
        <v>83.214389999999995</v>
      </c>
    </row>
    <row r="110" spans="19:30">
      <c r="S110" s="27">
        <v>41333</v>
      </c>
      <c r="Y110">
        <v>100.09298800000001</v>
      </c>
      <c r="AC110">
        <v>86.740014000000002</v>
      </c>
      <c r="AD110">
        <v>86.256703000000002</v>
      </c>
    </row>
    <row r="111" spans="19:30">
      <c r="S111" s="27">
        <v>41305</v>
      </c>
      <c r="Y111">
        <v>100.035995</v>
      </c>
      <c r="AC111">
        <v>84.832616000000002</v>
      </c>
      <c r="AD111">
        <v>81.284163000000007</v>
      </c>
    </row>
    <row r="112" spans="19:30">
      <c r="S112" s="27">
        <v>41274</v>
      </c>
      <c r="Y112">
        <v>99.920057999999997</v>
      </c>
      <c r="AC112">
        <v>84.799408</v>
      </c>
      <c r="AD112">
        <v>81.218663000000006</v>
      </c>
    </row>
    <row r="113" spans="19:30">
      <c r="S113" s="27">
        <v>41243</v>
      </c>
      <c r="Y113">
        <v>99.681208999999996</v>
      </c>
      <c r="AC113">
        <v>84.783308000000005</v>
      </c>
      <c r="AD113">
        <v>81.225091000000006</v>
      </c>
    </row>
    <row r="114" spans="19:30">
      <c r="S114" s="27">
        <v>41213</v>
      </c>
      <c r="Y114">
        <v>99.380713</v>
      </c>
      <c r="AC114">
        <v>84.756333999999995</v>
      </c>
      <c r="AD114">
        <v>81.240396000000004</v>
      </c>
    </row>
    <row r="115" spans="19:30">
      <c r="S115" s="27">
        <v>41182</v>
      </c>
      <c r="Y115">
        <v>99.172213999999997</v>
      </c>
      <c r="AC115">
        <v>84.800988000000004</v>
      </c>
      <c r="AD115">
        <v>81.289787000000004</v>
      </c>
    </row>
    <row r="116" spans="19:30">
      <c r="S116" s="27">
        <v>41152</v>
      </c>
      <c r="Y116">
        <v>98.975465</v>
      </c>
      <c r="AC116">
        <v>84.840958999999998</v>
      </c>
      <c r="AD116">
        <v>81.375867999999997</v>
      </c>
    </row>
    <row r="117" spans="19:30">
      <c r="S117" s="27">
        <v>41121</v>
      </c>
      <c r="Y117">
        <v>98.781931999999998</v>
      </c>
      <c r="AC117">
        <v>83.011139</v>
      </c>
      <c r="AD117">
        <v>81.375602999999998</v>
      </c>
    </row>
    <row r="118" spans="19:30">
      <c r="S118" s="27">
        <v>41090</v>
      </c>
      <c r="Y118">
        <v>98.585389000000006</v>
      </c>
      <c r="AC118">
        <v>82.851343999999997</v>
      </c>
      <c r="AD118">
        <v>81.219514000000004</v>
      </c>
    </row>
    <row r="119" spans="19:30">
      <c r="S119" s="27">
        <v>41060</v>
      </c>
      <c r="Y119">
        <v>98.446432000000001</v>
      </c>
      <c r="AC119">
        <v>82.733412000000001</v>
      </c>
      <c r="AD119">
        <v>81.122062999999997</v>
      </c>
    </row>
    <row r="120" spans="19:30">
      <c r="S120" s="27">
        <v>41029</v>
      </c>
      <c r="Y120">
        <v>98.271867999999998</v>
      </c>
      <c r="AC120">
        <v>83.021032000000005</v>
      </c>
      <c r="AD120">
        <v>81.395833999999994</v>
      </c>
    </row>
    <row r="121" spans="19:30">
      <c r="S121" s="27">
        <v>40999</v>
      </c>
      <c r="Y121">
        <v>97.655046999999996</v>
      </c>
      <c r="AC121">
        <v>83.116680000000002</v>
      </c>
      <c r="AD121">
        <v>81.501814999999993</v>
      </c>
    </row>
    <row r="122" spans="19:30">
      <c r="S122" s="27">
        <v>40968</v>
      </c>
      <c r="Y122">
        <v>97.414749</v>
      </c>
      <c r="AC122">
        <v>83.085864000000001</v>
      </c>
      <c r="AD122">
        <v>81.494495999999998</v>
      </c>
    </row>
    <row r="123" spans="19:30">
      <c r="S123" s="27">
        <v>40939</v>
      </c>
      <c r="Y123">
        <v>97.212757999999994</v>
      </c>
      <c r="AC123">
        <v>82.901976000000005</v>
      </c>
      <c r="AD123">
        <v>79.674541000000005</v>
      </c>
    </row>
    <row r="124" spans="19:30">
      <c r="S124" s="27">
        <v>40908</v>
      </c>
      <c r="Y124">
        <v>96.981195</v>
      </c>
      <c r="AC124">
        <v>82.910893000000002</v>
      </c>
      <c r="AD124">
        <v>79.688654</v>
      </c>
    </row>
    <row r="125" spans="19:30">
      <c r="S125" s="27">
        <v>40877</v>
      </c>
      <c r="Y125">
        <v>96.786826000000005</v>
      </c>
      <c r="AC125">
        <v>82.887307000000007</v>
      </c>
      <c r="AD125">
        <v>79.691928000000004</v>
      </c>
    </row>
    <row r="126" spans="19:30">
      <c r="S126" s="27">
        <v>40847</v>
      </c>
      <c r="Y126">
        <v>96.56841</v>
      </c>
      <c r="AC126">
        <v>82.89237</v>
      </c>
      <c r="AD126">
        <v>79.657364999999999</v>
      </c>
    </row>
    <row r="127" spans="19:30">
      <c r="S127" s="27">
        <v>40816</v>
      </c>
      <c r="Y127">
        <v>96.348401999999993</v>
      </c>
      <c r="AC127">
        <v>82.954415999999995</v>
      </c>
      <c r="AD127">
        <v>79.749885000000006</v>
      </c>
    </row>
    <row r="128" spans="19:30">
      <c r="S128" s="27">
        <v>40786</v>
      </c>
      <c r="Y128">
        <v>99.504485000000003</v>
      </c>
      <c r="AC128">
        <v>82.823678999999998</v>
      </c>
      <c r="AD128">
        <v>79.602744000000001</v>
      </c>
    </row>
    <row r="129" spans="19:30">
      <c r="S129" s="27">
        <v>40755</v>
      </c>
      <c r="Y129">
        <v>99.468175000000002</v>
      </c>
      <c r="AC129">
        <v>82.866320999999999</v>
      </c>
      <c r="AD129">
        <v>79.648120000000006</v>
      </c>
    </row>
    <row r="130" spans="19:30">
      <c r="S130" s="27">
        <v>40724</v>
      </c>
      <c r="Y130">
        <v>99.454459</v>
      </c>
      <c r="AC130">
        <v>82.736338000000003</v>
      </c>
      <c r="AD130">
        <v>79.526758000000001</v>
      </c>
    </row>
    <row r="131" spans="19:30">
      <c r="S131" s="27">
        <v>40694</v>
      </c>
      <c r="Y131">
        <v>99.429060000000007</v>
      </c>
      <c r="AC131">
        <v>82.628200000000007</v>
      </c>
      <c r="AD131">
        <v>79.395589999999999</v>
      </c>
    </row>
    <row r="132" spans="19:30">
      <c r="S132" s="27">
        <v>40663</v>
      </c>
      <c r="Y132">
        <v>99.39573</v>
      </c>
      <c r="AC132">
        <v>82.462569999999999</v>
      </c>
      <c r="AD132">
        <v>79.207650000000001</v>
      </c>
    </row>
    <row r="133" spans="19:30">
      <c r="S133" s="27">
        <v>40633</v>
      </c>
      <c r="Y133">
        <v>99.36842</v>
      </c>
      <c r="AC133">
        <v>82.375609999999995</v>
      </c>
      <c r="AD133">
        <v>79.124480000000005</v>
      </c>
    </row>
    <row r="134" spans="19:30">
      <c r="S134" s="27">
        <v>40602</v>
      </c>
      <c r="Y134">
        <v>99.33493</v>
      </c>
      <c r="AC134">
        <v>82.298000000000002</v>
      </c>
      <c r="AD134">
        <v>79.045990000000003</v>
      </c>
    </row>
    <row r="135" spans="19:30">
      <c r="S135" s="27">
        <v>40574</v>
      </c>
      <c r="Y135">
        <v>99.313090000000003</v>
      </c>
      <c r="AC135">
        <v>82.187539999999998</v>
      </c>
      <c r="AD135">
        <v>78.914959999999994</v>
      </c>
    </row>
    <row r="136" spans="19:30">
      <c r="S136" s="27">
        <v>40543</v>
      </c>
      <c r="Y136">
        <v>95.942999999999998</v>
      </c>
      <c r="AC136">
        <v>82.195999999999998</v>
      </c>
      <c r="AD136">
        <v>78.991039999999998</v>
      </c>
    </row>
    <row r="137" spans="19:30">
      <c r="S137" s="27">
        <v>40512</v>
      </c>
      <c r="Y137">
        <v>95.787000000000006</v>
      </c>
      <c r="AC137">
        <v>82.099010000000007</v>
      </c>
      <c r="AD137">
        <v>78.857619999999997</v>
      </c>
    </row>
    <row r="138" spans="19:30">
      <c r="S138" s="27">
        <v>40482</v>
      </c>
      <c r="Y138">
        <v>95.613439999999997</v>
      </c>
      <c r="AC138">
        <v>81.857039999999998</v>
      </c>
      <c r="AD138">
        <v>78.59957</v>
      </c>
    </row>
    <row r="139" spans="19:30">
      <c r="S139" s="27">
        <v>40451</v>
      </c>
      <c r="Y139">
        <v>94.491470000000007</v>
      </c>
      <c r="AC139">
        <v>81.867069999999998</v>
      </c>
      <c r="AD139">
        <v>78.668530000000004</v>
      </c>
    </row>
    <row r="140" spans="19:30">
      <c r="S140" s="27">
        <v>40421</v>
      </c>
      <c r="Y140">
        <v>94.327470000000005</v>
      </c>
      <c r="AC140">
        <v>81.567210000000003</v>
      </c>
      <c r="AD140">
        <v>78.30077</v>
      </c>
    </row>
    <row r="141" spans="19:30">
      <c r="S141" s="27">
        <v>40390</v>
      </c>
      <c r="Y141">
        <v>94.163640000000001</v>
      </c>
      <c r="AC141">
        <v>81.569460000000007</v>
      </c>
      <c r="AD141">
        <v>78.239959999999996</v>
      </c>
    </row>
    <row r="142" spans="19:30">
      <c r="S142" s="27">
        <v>40359</v>
      </c>
      <c r="Y142">
        <v>93.985029999999995</v>
      </c>
      <c r="AC142">
        <v>81.594570000000004</v>
      </c>
      <c r="AD142">
        <v>78.268230000000003</v>
      </c>
    </row>
    <row r="143" spans="19:30">
      <c r="S143" s="27">
        <v>40329</v>
      </c>
      <c r="Y143">
        <v>93.816289999999995</v>
      </c>
      <c r="AC143">
        <v>81.459239999999994</v>
      </c>
      <c r="AD143">
        <v>78.082740000000001</v>
      </c>
    </row>
    <row r="144" spans="19:30">
      <c r="S144" s="27">
        <v>40298</v>
      </c>
      <c r="Y144">
        <v>94.296149999999997</v>
      </c>
      <c r="AC144">
        <v>81.143960000000007</v>
      </c>
      <c r="AD144">
        <v>77.752039999999994</v>
      </c>
    </row>
    <row r="145" spans="19:30">
      <c r="S145" s="27">
        <v>40268</v>
      </c>
      <c r="Y145">
        <v>94.123109999999997</v>
      </c>
      <c r="AC145">
        <v>80.910420000000002</v>
      </c>
      <c r="AD145">
        <v>77.507050000000007</v>
      </c>
    </row>
    <row r="146" spans="19:30">
      <c r="S146" s="27">
        <v>40237</v>
      </c>
      <c r="Y146">
        <v>93.969549999999998</v>
      </c>
      <c r="AC146">
        <v>80.555049999999994</v>
      </c>
      <c r="AD146">
        <v>76.973969999999994</v>
      </c>
    </row>
    <row r="147" spans="19:30">
      <c r="S147" s="27">
        <v>40209</v>
      </c>
      <c r="Y147">
        <v>93.855009999999993</v>
      </c>
      <c r="AC147">
        <v>80.691159999999996</v>
      </c>
      <c r="AD147">
        <v>77.149370000000005</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82F54A-0979-415D-B82F-21F5606E890A}">
  <sheetPr>
    <tabColor theme="0" tint="-0.249977111117893"/>
  </sheetPr>
  <dimension ref="A1:T1945"/>
  <sheetViews>
    <sheetView workbookViewId="0">
      <selection activeCell="A6" sqref="A6"/>
    </sheetView>
  </sheetViews>
  <sheetFormatPr defaultRowHeight="14.25"/>
  <cols>
    <col min="3" max="3" width="13.58203125" customWidth="1"/>
    <col min="5" max="5" width="18.25" bestFit="1" customWidth="1"/>
    <col min="7" max="7" width="11.33203125" customWidth="1"/>
    <col min="9" max="9" width="14.83203125" customWidth="1"/>
    <col min="11" max="11" width="14.08203125" customWidth="1"/>
    <col min="13" max="13" width="12.58203125" customWidth="1"/>
    <col min="15" max="15" width="10.58203125" customWidth="1"/>
    <col min="17" max="17" width="13.08203125" customWidth="1"/>
    <col min="19" max="19" width="10.08203125" customWidth="1"/>
  </cols>
  <sheetData>
    <row r="1" spans="1:20">
      <c r="A1" t="s">
        <v>372</v>
      </c>
      <c r="B1" s="27">
        <v>40179</v>
      </c>
    </row>
    <row r="2" spans="1:20">
      <c r="A2" t="s">
        <v>373</v>
      </c>
      <c r="B2" s="27">
        <v>44621</v>
      </c>
      <c r="C2" t="s">
        <v>374</v>
      </c>
    </row>
    <row r="3" spans="1:20">
      <c r="B3" t="s">
        <v>375</v>
      </c>
      <c r="C3" t="s">
        <v>376</v>
      </c>
      <c r="E3" t="s">
        <v>377</v>
      </c>
      <c r="G3" t="s">
        <v>378</v>
      </c>
      <c r="I3" t="s">
        <v>379</v>
      </c>
      <c r="K3" t="s">
        <v>380</v>
      </c>
      <c r="M3" t="s">
        <v>381</v>
      </c>
      <c r="O3" t="s">
        <v>382</v>
      </c>
      <c r="Q3" t="s">
        <v>383</v>
      </c>
      <c r="S3" t="s">
        <v>384</v>
      </c>
    </row>
    <row r="4" spans="1:20">
      <c r="C4" s="27">
        <v>40637</v>
      </c>
      <c r="D4">
        <v>7.8876999999999997</v>
      </c>
      <c r="E4" s="27">
        <v>43052</v>
      </c>
      <c r="F4">
        <v>98.673000000000002</v>
      </c>
      <c r="G4" s="27">
        <v>43201</v>
      </c>
      <c r="H4">
        <v>100.48099999999999</v>
      </c>
      <c r="I4" s="27">
        <v>44040</v>
      </c>
      <c r="J4">
        <v>100.009</v>
      </c>
      <c r="K4" s="27">
        <v>44040</v>
      </c>
      <c r="L4">
        <v>100.008</v>
      </c>
      <c r="M4" s="27">
        <v>41808</v>
      </c>
      <c r="N4">
        <v>100.20699999999999</v>
      </c>
      <c r="O4" s="27">
        <v>41467</v>
      </c>
      <c r="P4">
        <v>99.876999999999995</v>
      </c>
      <c r="Q4" s="27">
        <v>41681</v>
      </c>
      <c r="R4">
        <v>94.094999999999999</v>
      </c>
      <c r="S4" s="27">
        <v>41920</v>
      </c>
      <c r="T4">
        <v>4.9806999999999997</v>
      </c>
    </row>
    <row r="5" spans="1:20">
      <c r="A5" t="s">
        <v>2135</v>
      </c>
      <c r="C5" s="27">
        <v>40638</v>
      </c>
      <c r="D5">
        <v>7.8319999999999999</v>
      </c>
      <c r="E5" s="27">
        <v>43053</v>
      </c>
      <c r="F5">
        <v>98.674000000000007</v>
      </c>
      <c r="G5" s="27">
        <v>43202</v>
      </c>
      <c r="H5">
        <v>100.181</v>
      </c>
      <c r="I5" s="27">
        <v>44041</v>
      </c>
      <c r="J5">
        <v>99.998999999999995</v>
      </c>
      <c r="K5" s="27">
        <v>44041</v>
      </c>
      <c r="L5">
        <v>99.998999999999995</v>
      </c>
      <c r="M5" s="27">
        <v>41809</v>
      </c>
      <c r="N5">
        <v>101.50700000000001</v>
      </c>
      <c r="O5" s="27">
        <v>41470</v>
      </c>
      <c r="P5">
        <v>100.11799999999999</v>
      </c>
      <c r="Q5" s="27">
        <v>41682</v>
      </c>
      <c r="R5">
        <v>94.106999999999999</v>
      </c>
      <c r="S5" s="27">
        <v>41921</v>
      </c>
      <c r="T5">
        <v>4.9503000000000004</v>
      </c>
    </row>
    <row r="6" spans="1:20">
      <c r="C6" s="27">
        <v>40639</v>
      </c>
      <c r="D6">
        <v>7.8677999999999999</v>
      </c>
      <c r="E6" s="27">
        <v>43054</v>
      </c>
      <c r="F6">
        <v>98.676000000000002</v>
      </c>
      <c r="G6" s="27">
        <v>43203</v>
      </c>
      <c r="H6">
        <v>99.971000000000004</v>
      </c>
      <c r="I6" s="27">
        <v>44042</v>
      </c>
      <c r="J6">
        <v>99.998999999999995</v>
      </c>
      <c r="K6" s="27">
        <v>44042</v>
      </c>
      <c r="L6">
        <v>100</v>
      </c>
      <c r="M6" s="27">
        <v>41810</v>
      </c>
      <c r="N6">
        <v>99.953999999999994</v>
      </c>
      <c r="O6" s="27">
        <v>41471</v>
      </c>
      <c r="P6">
        <v>100.048</v>
      </c>
      <c r="Q6" s="27">
        <v>41683</v>
      </c>
      <c r="R6">
        <v>94.105999999999995</v>
      </c>
      <c r="S6" s="27">
        <v>41922</v>
      </c>
      <c r="T6">
        <v>4.9530000000000003</v>
      </c>
    </row>
    <row r="7" spans="1:20">
      <c r="C7" s="27">
        <v>40640</v>
      </c>
      <c r="D7">
        <v>7.9480000000000004</v>
      </c>
      <c r="E7" s="27">
        <v>43055</v>
      </c>
      <c r="F7">
        <v>98.680999999999997</v>
      </c>
      <c r="G7" s="27">
        <v>43206</v>
      </c>
      <c r="H7">
        <v>99.747</v>
      </c>
      <c r="I7" s="27">
        <v>44043</v>
      </c>
      <c r="J7">
        <v>100.389</v>
      </c>
      <c r="K7" s="27">
        <v>44043</v>
      </c>
      <c r="L7">
        <v>100</v>
      </c>
      <c r="M7" s="27">
        <v>41813</v>
      </c>
      <c r="N7">
        <v>99.831999999999994</v>
      </c>
      <c r="O7" s="27">
        <v>41472</v>
      </c>
      <c r="P7">
        <v>100.235</v>
      </c>
      <c r="Q7" s="27">
        <v>41684</v>
      </c>
      <c r="R7">
        <v>94.106999999999999</v>
      </c>
      <c r="S7" s="27">
        <v>41925</v>
      </c>
      <c r="T7">
        <v>4.915</v>
      </c>
    </row>
    <row r="8" spans="1:20">
      <c r="C8" s="27">
        <v>40641</v>
      </c>
      <c r="D8">
        <v>7.9904999999999999</v>
      </c>
      <c r="E8" s="27">
        <v>43056</v>
      </c>
      <c r="F8">
        <v>98.683999999999997</v>
      </c>
      <c r="G8" s="27">
        <v>43207</v>
      </c>
      <c r="H8">
        <v>99.759</v>
      </c>
      <c r="I8" s="27">
        <v>44047</v>
      </c>
      <c r="J8">
        <v>100.389</v>
      </c>
      <c r="K8" s="27">
        <v>44047</v>
      </c>
      <c r="L8">
        <v>100</v>
      </c>
      <c r="M8" s="27">
        <v>41814</v>
      </c>
      <c r="N8">
        <v>99.588999999999999</v>
      </c>
      <c r="O8" s="27">
        <v>41473</v>
      </c>
      <c r="P8">
        <v>100.413</v>
      </c>
      <c r="Q8" s="27">
        <v>41687</v>
      </c>
      <c r="R8">
        <v>94.113</v>
      </c>
      <c r="S8" s="27">
        <v>41926</v>
      </c>
      <c r="T8">
        <v>4.9733999999999998</v>
      </c>
    </row>
    <row r="9" spans="1:20">
      <c r="C9" s="27">
        <v>40644</v>
      </c>
      <c r="D9">
        <v>8.0175000000000001</v>
      </c>
      <c r="E9" s="27">
        <v>43059</v>
      </c>
      <c r="F9">
        <v>98.712000000000003</v>
      </c>
      <c r="G9" s="27">
        <v>43208</v>
      </c>
      <c r="H9">
        <v>99.772999999999996</v>
      </c>
      <c r="I9" s="27">
        <v>44048</v>
      </c>
      <c r="J9">
        <v>100.389</v>
      </c>
      <c r="K9" s="27">
        <v>44048</v>
      </c>
      <c r="L9">
        <v>100</v>
      </c>
      <c r="M9" s="27">
        <v>41815</v>
      </c>
      <c r="N9">
        <v>100.172</v>
      </c>
      <c r="O9" s="27">
        <v>41474</v>
      </c>
      <c r="P9">
        <v>100.60599999999999</v>
      </c>
      <c r="Q9" s="27">
        <v>41688</v>
      </c>
      <c r="R9">
        <v>94.135000000000005</v>
      </c>
      <c r="S9" s="27">
        <v>41927</v>
      </c>
      <c r="T9">
        <v>4.9360999999999997</v>
      </c>
    </row>
    <row r="10" spans="1:20">
      <c r="C10" s="27">
        <v>40645</v>
      </c>
      <c r="D10">
        <v>7.9778000000000002</v>
      </c>
      <c r="E10" s="27">
        <v>43060</v>
      </c>
      <c r="F10">
        <v>98.713999999999999</v>
      </c>
      <c r="G10" s="27">
        <v>43209</v>
      </c>
      <c r="H10">
        <v>99.766000000000005</v>
      </c>
      <c r="I10" s="27">
        <v>44049</v>
      </c>
      <c r="J10">
        <v>100.389</v>
      </c>
      <c r="K10" s="27">
        <v>44049</v>
      </c>
      <c r="L10">
        <v>100</v>
      </c>
      <c r="M10" s="27">
        <v>41816</v>
      </c>
      <c r="N10">
        <v>100.444</v>
      </c>
      <c r="O10" s="27">
        <v>41477</v>
      </c>
      <c r="P10">
        <v>100.541</v>
      </c>
      <c r="Q10" s="27">
        <v>41689</v>
      </c>
      <c r="R10">
        <v>94.131</v>
      </c>
      <c r="S10" s="27">
        <v>41928</v>
      </c>
      <c r="T10">
        <v>4.8025000000000002</v>
      </c>
    </row>
    <row r="11" spans="1:20">
      <c r="C11" s="27">
        <v>40646</v>
      </c>
      <c r="D11">
        <v>7.9847000000000001</v>
      </c>
      <c r="E11" s="27">
        <v>43061</v>
      </c>
      <c r="F11">
        <v>98.715000000000003</v>
      </c>
      <c r="G11" s="27">
        <v>43210</v>
      </c>
      <c r="H11">
        <v>99.747</v>
      </c>
      <c r="I11" s="27">
        <v>44050</v>
      </c>
      <c r="J11">
        <v>100.389</v>
      </c>
      <c r="K11" s="27">
        <v>44050</v>
      </c>
      <c r="L11">
        <v>100</v>
      </c>
      <c r="M11" s="27">
        <v>41817</v>
      </c>
      <c r="N11">
        <v>100.383</v>
      </c>
      <c r="O11" s="27">
        <v>41478</v>
      </c>
      <c r="P11">
        <v>100.524</v>
      </c>
      <c r="Q11" s="27">
        <v>41690</v>
      </c>
      <c r="R11">
        <v>94.146000000000001</v>
      </c>
      <c r="S11" s="27">
        <v>41932</v>
      </c>
      <c r="T11">
        <v>4.9253</v>
      </c>
    </row>
    <row r="12" spans="1:20">
      <c r="C12" s="27">
        <v>40647</v>
      </c>
      <c r="D12">
        <v>7.9780999999999995</v>
      </c>
      <c r="E12" s="27">
        <v>43063</v>
      </c>
      <c r="F12">
        <v>98.722999999999999</v>
      </c>
      <c r="G12" s="27">
        <v>43213</v>
      </c>
      <c r="H12">
        <v>99.623999999999995</v>
      </c>
      <c r="I12" s="27">
        <v>44053</v>
      </c>
      <c r="J12">
        <v>100.389</v>
      </c>
      <c r="K12" s="27">
        <v>44053</v>
      </c>
      <c r="L12">
        <v>100</v>
      </c>
      <c r="M12" s="27">
        <v>41820</v>
      </c>
      <c r="N12">
        <v>100.727</v>
      </c>
      <c r="O12" s="27">
        <v>41479</v>
      </c>
      <c r="P12">
        <v>100.194</v>
      </c>
      <c r="Q12" s="27">
        <v>41691</v>
      </c>
      <c r="R12">
        <v>94.144000000000005</v>
      </c>
      <c r="S12" s="27">
        <v>41933</v>
      </c>
      <c r="T12">
        <v>4.8560999999999996</v>
      </c>
    </row>
    <row r="13" spans="1:20">
      <c r="C13" s="27">
        <v>40648</v>
      </c>
      <c r="D13">
        <v>7.9594000000000005</v>
      </c>
      <c r="E13" s="27">
        <v>43066</v>
      </c>
      <c r="F13">
        <v>98.724999999999994</v>
      </c>
      <c r="G13" s="27">
        <v>43214</v>
      </c>
      <c r="H13">
        <v>99.438000000000002</v>
      </c>
      <c r="I13" s="27">
        <v>44054</v>
      </c>
      <c r="J13">
        <v>100.389</v>
      </c>
      <c r="K13" s="27">
        <v>44054</v>
      </c>
      <c r="L13">
        <v>100</v>
      </c>
      <c r="M13" s="27">
        <v>41821</v>
      </c>
      <c r="N13">
        <v>100.807</v>
      </c>
      <c r="O13" s="27">
        <v>41480</v>
      </c>
      <c r="P13">
        <v>99.622</v>
      </c>
      <c r="Q13" s="27">
        <v>41694</v>
      </c>
      <c r="R13">
        <v>94.144000000000005</v>
      </c>
      <c r="S13" s="27">
        <v>41934</v>
      </c>
      <c r="T13">
        <v>4.9371999999999998</v>
      </c>
    </row>
    <row r="14" spans="1:20">
      <c r="C14" s="27">
        <v>40651</v>
      </c>
      <c r="D14">
        <v>7.9672999999999998</v>
      </c>
      <c r="E14" s="27">
        <v>43067</v>
      </c>
      <c r="F14">
        <v>98.725999999999999</v>
      </c>
      <c r="G14" s="27">
        <v>43215</v>
      </c>
      <c r="H14">
        <v>98.647999999999996</v>
      </c>
      <c r="I14" s="27">
        <v>44055</v>
      </c>
      <c r="J14">
        <v>100.389</v>
      </c>
      <c r="K14" s="27">
        <v>44055</v>
      </c>
      <c r="L14">
        <v>100</v>
      </c>
      <c r="M14" s="27">
        <v>41822</v>
      </c>
      <c r="N14">
        <v>100.672</v>
      </c>
      <c r="O14" s="27">
        <v>41481</v>
      </c>
      <c r="P14">
        <v>99.679000000000002</v>
      </c>
      <c r="Q14" s="27">
        <v>41696</v>
      </c>
      <c r="R14">
        <v>94.159000000000006</v>
      </c>
      <c r="S14" s="27">
        <v>41940</v>
      </c>
      <c r="T14">
        <v>4.9215</v>
      </c>
    </row>
    <row r="15" spans="1:20">
      <c r="C15" s="27">
        <v>40652</v>
      </c>
      <c r="D15">
        <v>7.8777999999999997</v>
      </c>
      <c r="E15" s="27">
        <v>43068</v>
      </c>
      <c r="F15">
        <v>98.727000000000004</v>
      </c>
      <c r="G15" s="27">
        <v>43216</v>
      </c>
      <c r="H15">
        <v>98.921000000000006</v>
      </c>
      <c r="I15" s="27">
        <v>44056</v>
      </c>
      <c r="J15">
        <v>100.389</v>
      </c>
      <c r="K15" s="27">
        <v>44056</v>
      </c>
      <c r="L15">
        <v>100</v>
      </c>
      <c r="M15" s="27">
        <v>41823</v>
      </c>
      <c r="N15">
        <v>100.69799999999999</v>
      </c>
      <c r="O15" s="27">
        <v>41484</v>
      </c>
      <c r="P15">
        <v>99.745000000000005</v>
      </c>
      <c r="Q15" s="27">
        <v>41697</v>
      </c>
      <c r="R15">
        <v>94.156999999999996</v>
      </c>
      <c r="S15" s="27">
        <v>41941</v>
      </c>
      <c r="T15">
        <v>4.9881000000000002</v>
      </c>
    </row>
    <row r="16" spans="1:20">
      <c r="C16" s="27">
        <v>40653</v>
      </c>
      <c r="D16">
        <v>7.8997999999999999</v>
      </c>
      <c r="E16" s="27">
        <v>43069</v>
      </c>
      <c r="F16">
        <v>98.731999999999999</v>
      </c>
      <c r="G16" s="27">
        <v>43217</v>
      </c>
      <c r="H16">
        <v>99.171000000000006</v>
      </c>
      <c r="I16" s="27">
        <v>44057</v>
      </c>
      <c r="J16">
        <v>100.389</v>
      </c>
      <c r="K16" s="27">
        <v>44057</v>
      </c>
      <c r="L16">
        <v>100</v>
      </c>
      <c r="M16" s="27">
        <v>41824</v>
      </c>
      <c r="N16">
        <v>101.07599999999999</v>
      </c>
      <c r="O16" s="27">
        <v>41485</v>
      </c>
      <c r="P16">
        <v>99.662999999999997</v>
      </c>
      <c r="Q16" s="27">
        <v>41698</v>
      </c>
      <c r="R16">
        <v>94.16</v>
      </c>
      <c r="S16" s="27">
        <v>42044</v>
      </c>
      <c r="T16">
        <v>4.0346000000000002</v>
      </c>
    </row>
    <row r="17" spans="3:20">
      <c r="C17" s="27">
        <v>40654</v>
      </c>
      <c r="D17">
        <v>7.9073000000000002</v>
      </c>
      <c r="E17" s="27">
        <v>43070</v>
      </c>
      <c r="F17">
        <v>98.733999999999995</v>
      </c>
      <c r="G17" s="27">
        <v>43220</v>
      </c>
      <c r="H17">
        <v>99.218999999999994</v>
      </c>
      <c r="I17" s="27">
        <v>44060</v>
      </c>
      <c r="J17">
        <v>100.389</v>
      </c>
      <c r="K17" s="27">
        <v>44060</v>
      </c>
      <c r="L17">
        <v>100.55200000000001</v>
      </c>
      <c r="M17" s="27">
        <v>41827</v>
      </c>
      <c r="N17">
        <v>101.01</v>
      </c>
      <c r="O17" s="27">
        <v>41486</v>
      </c>
      <c r="P17">
        <v>99.593000000000004</v>
      </c>
      <c r="Q17" s="27">
        <v>41701</v>
      </c>
      <c r="R17">
        <v>94.161000000000001</v>
      </c>
      <c r="S17" s="27">
        <v>42045</v>
      </c>
      <c r="T17">
        <v>4.0328999999999997</v>
      </c>
    </row>
    <row r="18" spans="3:20">
      <c r="C18" s="27">
        <v>40655</v>
      </c>
      <c r="D18">
        <v>7.9269999999999996</v>
      </c>
      <c r="E18" s="27">
        <v>43074</v>
      </c>
      <c r="F18">
        <v>98.736999999999995</v>
      </c>
      <c r="G18" s="27">
        <v>43222</v>
      </c>
      <c r="H18">
        <v>99.066999999999993</v>
      </c>
      <c r="I18" s="27">
        <v>44061</v>
      </c>
      <c r="J18">
        <v>100.389</v>
      </c>
      <c r="K18" s="27">
        <v>44061</v>
      </c>
      <c r="L18">
        <v>100.55200000000001</v>
      </c>
      <c r="M18" s="27">
        <v>41828</v>
      </c>
      <c r="N18">
        <v>101.251</v>
      </c>
      <c r="O18" s="27">
        <v>41487</v>
      </c>
      <c r="P18">
        <v>99.995000000000005</v>
      </c>
      <c r="Q18" s="27">
        <v>41702</v>
      </c>
      <c r="R18">
        <v>94.17</v>
      </c>
      <c r="S18" s="27">
        <v>42059</v>
      </c>
      <c r="T18">
        <v>3.9548000000000001</v>
      </c>
    </row>
    <row r="19" spans="3:20">
      <c r="C19" s="27">
        <v>40658</v>
      </c>
      <c r="D19">
        <v>7.9269999999999996</v>
      </c>
      <c r="E19" s="27">
        <v>43075</v>
      </c>
      <c r="F19">
        <v>98.796999999999997</v>
      </c>
      <c r="G19" s="27">
        <v>43223</v>
      </c>
      <c r="H19">
        <v>99.421999999999997</v>
      </c>
      <c r="I19" s="27">
        <v>44062</v>
      </c>
      <c r="J19">
        <v>100.389</v>
      </c>
      <c r="K19" s="27">
        <v>44062</v>
      </c>
      <c r="L19">
        <v>100.55200000000001</v>
      </c>
      <c r="M19" s="27">
        <v>41829</v>
      </c>
      <c r="N19">
        <v>101.16200000000001</v>
      </c>
      <c r="O19" s="27">
        <v>41488</v>
      </c>
      <c r="P19">
        <v>99.611000000000004</v>
      </c>
      <c r="Q19" s="27">
        <v>41703</v>
      </c>
      <c r="R19">
        <v>94.186000000000007</v>
      </c>
      <c r="S19" s="27">
        <v>42060</v>
      </c>
      <c r="T19">
        <v>3.9557000000000002</v>
      </c>
    </row>
    <row r="20" spans="3:20">
      <c r="C20" s="27">
        <v>40659</v>
      </c>
      <c r="D20">
        <v>7.9269999999999996</v>
      </c>
      <c r="E20" s="27">
        <v>43076</v>
      </c>
      <c r="F20">
        <v>98.802000000000007</v>
      </c>
      <c r="G20" s="27">
        <v>43224</v>
      </c>
      <c r="H20">
        <v>99.353999999999999</v>
      </c>
      <c r="I20" s="27">
        <v>44063</v>
      </c>
      <c r="J20">
        <v>100.38800000000001</v>
      </c>
      <c r="K20" s="27">
        <v>44063</v>
      </c>
      <c r="L20">
        <v>100.551</v>
      </c>
      <c r="M20" s="27">
        <v>41830</v>
      </c>
      <c r="N20">
        <v>101.40600000000001</v>
      </c>
      <c r="O20" s="27">
        <v>41491</v>
      </c>
      <c r="P20">
        <v>99.927999999999997</v>
      </c>
      <c r="Q20" s="27">
        <v>41704</v>
      </c>
      <c r="R20">
        <v>94.194999999999993</v>
      </c>
      <c r="S20" s="27">
        <v>42062</v>
      </c>
      <c r="T20">
        <v>3.8906999999999998</v>
      </c>
    </row>
    <row r="21" spans="3:20">
      <c r="C21" s="27">
        <v>40660</v>
      </c>
      <c r="D21">
        <v>7.9005000000000001</v>
      </c>
      <c r="E21" s="27">
        <v>43077</v>
      </c>
      <c r="F21">
        <v>98.83</v>
      </c>
      <c r="G21" s="27">
        <v>43227</v>
      </c>
      <c r="H21">
        <v>99.462999999999994</v>
      </c>
      <c r="I21" s="27">
        <v>44064</v>
      </c>
      <c r="J21">
        <v>100.38800000000001</v>
      </c>
      <c r="K21" s="27">
        <v>44064</v>
      </c>
      <c r="L21">
        <v>100.551</v>
      </c>
      <c r="M21" s="27">
        <v>41831</v>
      </c>
      <c r="N21">
        <v>101.20099999999999</v>
      </c>
      <c r="O21" s="27">
        <v>41492</v>
      </c>
      <c r="P21">
        <v>99.709000000000003</v>
      </c>
      <c r="Q21" s="27">
        <v>41705</v>
      </c>
      <c r="R21">
        <v>94.197000000000003</v>
      </c>
      <c r="S21" s="27">
        <v>42065</v>
      </c>
      <c r="T21">
        <v>3.9036999999999997</v>
      </c>
    </row>
    <row r="22" spans="3:20">
      <c r="C22" s="27">
        <v>40661</v>
      </c>
      <c r="D22">
        <v>7.8920000000000003</v>
      </c>
      <c r="E22" s="27">
        <v>43080</v>
      </c>
      <c r="F22">
        <v>98.866</v>
      </c>
      <c r="G22" s="27">
        <v>43228</v>
      </c>
      <c r="H22">
        <v>99.183000000000007</v>
      </c>
      <c r="I22" s="27">
        <v>44067</v>
      </c>
      <c r="J22">
        <v>100.38800000000001</v>
      </c>
      <c r="K22" s="27">
        <v>44067</v>
      </c>
      <c r="L22">
        <v>100.551</v>
      </c>
      <c r="M22" s="27">
        <v>41834</v>
      </c>
      <c r="N22">
        <v>101.02500000000001</v>
      </c>
      <c r="O22" s="27">
        <v>41493</v>
      </c>
      <c r="P22">
        <v>99.731999999999999</v>
      </c>
      <c r="Q22" s="27">
        <v>41708</v>
      </c>
      <c r="R22">
        <v>94.206999999999994</v>
      </c>
      <c r="S22" s="27">
        <v>42066</v>
      </c>
      <c r="T22">
        <v>3.9609999999999999</v>
      </c>
    </row>
    <row r="23" spans="3:20">
      <c r="C23" s="27">
        <v>40662</v>
      </c>
      <c r="D23">
        <v>7.8478000000000003</v>
      </c>
      <c r="E23" s="27">
        <v>43081</v>
      </c>
      <c r="F23">
        <v>98.867999999999995</v>
      </c>
      <c r="G23" s="27">
        <v>43229</v>
      </c>
      <c r="H23">
        <v>99.132000000000005</v>
      </c>
      <c r="I23" s="27">
        <v>44068</v>
      </c>
      <c r="J23">
        <v>100.38800000000001</v>
      </c>
      <c r="K23" s="27">
        <v>44068</v>
      </c>
      <c r="L23">
        <v>100.551</v>
      </c>
      <c r="M23" s="27">
        <v>41835</v>
      </c>
      <c r="N23">
        <v>101.27</v>
      </c>
      <c r="O23" s="27">
        <v>41494</v>
      </c>
      <c r="P23">
        <v>99.88</v>
      </c>
      <c r="Q23" s="27">
        <v>41709</v>
      </c>
      <c r="R23">
        <v>94.209000000000003</v>
      </c>
      <c r="S23" s="27">
        <v>42067</v>
      </c>
      <c r="T23">
        <v>4.0176999999999996</v>
      </c>
    </row>
    <row r="24" spans="3:20">
      <c r="C24" s="27">
        <v>40665</v>
      </c>
      <c r="D24">
        <v>7.8654000000000002</v>
      </c>
      <c r="E24" s="27">
        <v>43082</v>
      </c>
      <c r="F24">
        <v>98.867999999999995</v>
      </c>
      <c r="G24" s="27">
        <v>43230</v>
      </c>
      <c r="H24">
        <v>99.197000000000003</v>
      </c>
      <c r="I24" s="27">
        <v>44069</v>
      </c>
      <c r="J24">
        <v>100.38800000000001</v>
      </c>
      <c r="K24" s="27">
        <v>44069</v>
      </c>
      <c r="L24">
        <v>100.551</v>
      </c>
      <c r="M24" s="27">
        <v>41836</v>
      </c>
      <c r="N24">
        <v>101.46299999999999</v>
      </c>
      <c r="O24" s="27">
        <v>41495</v>
      </c>
      <c r="P24">
        <v>99.763999999999996</v>
      </c>
      <c r="Q24" s="27">
        <v>41710</v>
      </c>
      <c r="R24">
        <v>94.22</v>
      </c>
      <c r="S24" s="27">
        <v>42068</v>
      </c>
      <c r="T24">
        <v>4.032</v>
      </c>
    </row>
    <row r="25" spans="3:20">
      <c r="C25" s="27">
        <v>40666</v>
      </c>
      <c r="D25">
        <v>7.8277000000000001</v>
      </c>
      <c r="E25" s="27">
        <v>43083</v>
      </c>
      <c r="F25">
        <v>98.872</v>
      </c>
      <c r="G25" s="27">
        <v>43231</v>
      </c>
      <c r="H25">
        <v>99.111000000000004</v>
      </c>
      <c r="I25" s="27">
        <v>44070</v>
      </c>
      <c r="J25">
        <v>100.38800000000001</v>
      </c>
      <c r="K25" s="27">
        <v>44070</v>
      </c>
      <c r="L25">
        <v>100.551</v>
      </c>
      <c r="M25" s="27">
        <v>41837</v>
      </c>
      <c r="N25">
        <v>101.91500000000001</v>
      </c>
      <c r="O25" s="27">
        <v>41498</v>
      </c>
      <c r="P25">
        <v>99.873999999999995</v>
      </c>
      <c r="Q25" s="27">
        <v>41711</v>
      </c>
      <c r="R25">
        <v>94.225999999999999</v>
      </c>
      <c r="S25" s="27">
        <v>42069</v>
      </c>
      <c r="T25">
        <v>4.0411000000000001</v>
      </c>
    </row>
    <row r="26" spans="3:20">
      <c r="C26" s="27">
        <v>40667</v>
      </c>
      <c r="D26">
        <v>7.8323</v>
      </c>
      <c r="E26" s="27">
        <v>43084</v>
      </c>
      <c r="F26">
        <v>98.884</v>
      </c>
      <c r="G26" s="27">
        <v>43234</v>
      </c>
      <c r="H26">
        <v>98.611000000000004</v>
      </c>
      <c r="I26" s="27">
        <v>44071</v>
      </c>
      <c r="J26">
        <v>100.38800000000001</v>
      </c>
      <c r="K26" s="27">
        <v>44071</v>
      </c>
      <c r="L26">
        <v>100.551</v>
      </c>
      <c r="M26" s="27">
        <v>41838</v>
      </c>
      <c r="N26">
        <v>102.61799999999999</v>
      </c>
      <c r="O26" s="27">
        <v>41499</v>
      </c>
      <c r="P26">
        <v>99.622</v>
      </c>
      <c r="Q26" s="27">
        <v>41712</v>
      </c>
      <c r="R26">
        <v>94.224000000000004</v>
      </c>
      <c r="S26" s="27">
        <v>42072</v>
      </c>
      <c r="T26">
        <v>4.1414</v>
      </c>
    </row>
    <row r="27" spans="3:20">
      <c r="C27" s="27">
        <v>40668</v>
      </c>
      <c r="D27">
        <v>7.0011000000000001</v>
      </c>
      <c r="E27" s="27">
        <v>43087</v>
      </c>
      <c r="F27">
        <v>98.885000000000005</v>
      </c>
      <c r="G27" s="27">
        <v>43235</v>
      </c>
      <c r="H27">
        <v>98.289000000000001</v>
      </c>
      <c r="I27" s="27">
        <v>44074</v>
      </c>
      <c r="J27">
        <v>100.38800000000001</v>
      </c>
      <c r="K27" s="27">
        <v>44074</v>
      </c>
      <c r="L27">
        <v>100.55</v>
      </c>
      <c r="M27" s="27">
        <v>41841</v>
      </c>
      <c r="N27">
        <v>102.79</v>
      </c>
      <c r="O27" s="27">
        <v>41500</v>
      </c>
      <c r="P27">
        <v>99.066000000000003</v>
      </c>
      <c r="Q27" s="27">
        <v>41715</v>
      </c>
      <c r="R27">
        <v>94.23</v>
      </c>
      <c r="S27" s="27">
        <v>42073</v>
      </c>
      <c r="T27">
        <v>4.1138000000000003</v>
      </c>
    </row>
    <row r="28" spans="3:20">
      <c r="C28" s="27">
        <v>40669</v>
      </c>
      <c r="D28">
        <v>7.0902000000000003</v>
      </c>
      <c r="E28" s="27">
        <v>43088</v>
      </c>
      <c r="F28">
        <v>98.876999999999995</v>
      </c>
      <c r="G28" s="27">
        <v>43236</v>
      </c>
      <c r="H28">
        <v>98.536000000000001</v>
      </c>
      <c r="I28" s="27">
        <v>44075</v>
      </c>
      <c r="J28">
        <v>100.38800000000001</v>
      </c>
      <c r="K28" s="27">
        <v>44075</v>
      </c>
      <c r="L28">
        <v>100.55</v>
      </c>
      <c r="M28" s="27">
        <v>41842</v>
      </c>
      <c r="N28">
        <v>102.801</v>
      </c>
      <c r="O28" s="27">
        <v>41501</v>
      </c>
      <c r="P28">
        <v>99.177000000000007</v>
      </c>
      <c r="Q28" s="27">
        <v>41716</v>
      </c>
      <c r="R28">
        <v>94.238</v>
      </c>
      <c r="S28" s="27">
        <v>42074</v>
      </c>
      <c r="T28">
        <v>4.0499000000000001</v>
      </c>
    </row>
    <row r="29" spans="3:20">
      <c r="C29" s="27">
        <v>40672</v>
      </c>
      <c r="D29">
        <v>7.0823999999999998</v>
      </c>
      <c r="E29" s="27">
        <v>43089</v>
      </c>
      <c r="F29">
        <v>98.879000000000005</v>
      </c>
      <c r="G29" s="27">
        <v>43237</v>
      </c>
      <c r="H29">
        <v>98.23</v>
      </c>
      <c r="I29" s="27">
        <v>44076</v>
      </c>
      <c r="J29">
        <v>100.387</v>
      </c>
      <c r="K29" s="27">
        <v>44076</v>
      </c>
      <c r="L29">
        <v>100.596</v>
      </c>
      <c r="M29" s="27">
        <v>41843</v>
      </c>
      <c r="N29">
        <v>102.77</v>
      </c>
      <c r="O29" s="27">
        <v>41502</v>
      </c>
      <c r="P29">
        <v>98.817999999999998</v>
      </c>
      <c r="Q29" s="27">
        <v>41718</v>
      </c>
      <c r="R29">
        <v>94.272999999999996</v>
      </c>
      <c r="S29" s="27">
        <v>42082</v>
      </c>
      <c r="T29">
        <v>3.9285999999999999</v>
      </c>
    </row>
    <row r="30" spans="3:20">
      <c r="C30" s="27">
        <v>40673</v>
      </c>
      <c r="D30">
        <v>7.0576999999999996</v>
      </c>
      <c r="E30" s="27">
        <v>43090</v>
      </c>
      <c r="F30">
        <v>98.885999999999996</v>
      </c>
      <c r="G30" s="27">
        <v>43238</v>
      </c>
      <c r="H30">
        <v>98.703000000000003</v>
      </c>
      <c r="I30" s="27">
        <v>44077</v>
      </c>
      <c r="J30">
        <v>100.387</v>
      </c>
      <c r="K30" s="27">
        <v>44077</v>
      </c>
      <c r="L30">
        <v>101.14700000000001</v>
      </c>
      <c r="M30" s="27">
        <v>41844</v>
      </c>
      <c r="N30">
        <v>102.697</v>
      </c>
      <c r="O30" s="27">
        <v>41505</v>
      </c>
      <c r="P30">
        <v>98.695999999999998</v>
      </c>
      <c r="Q30" s="27">
        <v>41719</v>
      </c>
      <c r="R30">
        <v>94.278999999999996</v>
      </c>
      <c r="S30" s="27">
        <v>42083</v>
      </c>
      <c r="T30">
        <v>3.9504000000000001</v>
      </c>
    </row>
    <row r="31" spans="3:20">
      <c r="C31" s="27">
        <v>40674</v>
      </c>
      <c r="D31">
        <v>7.0724</v>
      </c>
      <c r="E31" s="27">
        <v>43091</v>
      </c>
      <c r="F31">
        <v>98.9</v>
      </c>
      <c r="G31" s="27">
        <v>43241</v>
      </c>
      <c r="H31">
        <v>99.138000000000005</v>
      </c>
      <c r="I31" s="27">
        <v>44078</v>
      </c>
      <c r="J31">
        <v>100.387</v>
      </c>
      <c r="K31" s="27">
        <v>44078</v>
      </c>
      <c r="L31">
        <v>101.557</v>
      </c>
      <c r="M31" s="27">
        <v>41845</v>
      </c>
      <c r="N31">
        <v>102.776</v>
      </c>
      <c r="O31" s="27">
        <v>41506</v>
      </c>
      <c r="P31">
        <v>98.852999999999994</v>
      </c>
      <c r="Q31" s="27">
        <v>41722</v>
      </c>
      <c r="R31">
        <v>94.272000000000006</v>
      </c>
      <c r="S31" s="27">
        <v>42087</v>
      </c>
      <c r="T31">
        <v>3.9298000000000002</v>
      </c>
    </row>
    <row r="32" spans="3:20">
      <c r="C32" s="27">
        <v>40675</v>
      </c>
      <c r="D32">
        <v>6.9841999999999995</v>
      </c>
      <c r="E32" s="27">
        <v>43096</v>
      </c>
      <c r="F32">
        <v>98.900999999999996</v>
      </c>
      <c r="G32" s="27">
        <v>43242</v>
      </c>
      <c r="H32">
        <v>98.867000000000004</v>
      </c>
      <c r="I32" s="27">
        <v>44081</v>
      </c>
      <c r="J32">
        <v>100.387</v>
      </c>
      <c r="K32" s="27">
        <v>44081</v>
      </c>
      <c r="L32">
        <v>101.54</v>
      </c>
      <c r="M32" s="27">
        <v>41848</v>
      </c>
      <c r="N32">
        <v>103.002</v>
      </c>
      <c r="O32" s="27">
        <v>41507</v>
      </c>
      <c r="P32">
        <v>98.882999999999996</v>
      </c>
      <c r="Q32" s="27">
        <v>41723</v>
      </c>
      <c r="R32">
        <v>94.274000000000001</v>
      </c>
      <c r="S32" s="27">
        <v>42088</v>
      </c>
      <c r="T32">
        <v>3.8858999999999999</v>
      </c>
    </row>
    <row r="33" spans="3:20">
      <c r="C33" s="27">
        <v>40676</v>
      </c>
      <c r="D33">
        <v>7.0052000000000003</v>
      </c>
      <c r="E33" s="27">
        <v>43097</v>
      </c>
      <c r="F33">
        <v>98.91</v>
      </c>
      <c r="G33" s="27">
        <v>43243</v>
      </c>
      <c r="H33">
        <v>99.135000000000005</v>
      </c>
      <c r="I33" s="27">
        <v>44082</v>
      </c>
      <c r="J33">
        <v>100.387</v>
      </c>
      <c r="K33" s="27">
        <v>44082</v>
      </c>
      <c r="L33">
        <v>101.96299999999999</v>
      </c>
      <c r="M33" s="27">
        <v>41849</v>
      </c>
      <c r="N33">
        <v>103.33</v>
      </c>
      <c r="O33" s="27">
        <v>41508</v>
      </c>
      <c r="P33">
        <v>98.494</v>
      </c>
      <c r="Q33" s="27">
        <v>41724</v>
      </c>
      <c r="R33">
        <v>94.296000000000006</v>
      </c>
      <c r="S33" s="27">
        <v>42089</v>
      </c>
      <c r="T33">
        <v>3.8843000000000001</v>
      </c>
    </row>
    <row r="34" spans="3:20">
      <c r="C34" s="27">
        <v>40679</v>
      </c>
      <c r="D34">
        <v>6.9879999999999995</v>
      </c>
      <c r="E34" s="27">
        <v>43102</v>
      </c>
      <c r="F34">
        <v>98.914000000000001</v>
      </c>
      <c r="G34" s="27">
        <v>43244</v>
      </c>
      <c r="H34">
        <v>99.415000000000006</v>
      </c>
      <c r="I34" s="27">
        <v>44083</v>
      </c>
      <c r="J34">
        <v>100.387</v>
      </c>
      <c r="K34" s="27">
        <v>44083</v>
      </c>
      <c r="L34">
        <v>102.15</v>
      </c>
      <c r="M34" s="27">
        <v>41850</v>
      </c>
      <c r="N34">
        <v>103.367</v>
      </c>
      <c r="O34" s="27">
        <v>41509</v>
      </c>
      <c r="P34">
        <v>98.465000000000003</v>
      </c>
      <c r="Q34" s="27">
        <v>41725</v>
      </c>
      <c r="R34">
        <v>94.284000000000006</v>
      </c>
      <c r="S34" s="27">
        <v>42090</v>
      </c>
      <c r="T34">
        <v>3.9380999999999999</v>
      </c>
    </row>
    <row r="35" spans="3:20">
      <c r="C35" s="27">
        <v>40680</v>
      </c>
      <c r="D35">
        <v>7.008</v>
      </c>
      <c r="E35" s="27">
        <v>43103</v>
      </c>
      <c r="F35">
        <v>98.906000000000006</v>
      </c>
      <c r="G35" s="27">
        <v>43245</v>
      </c>
      <c r="H35">
        <v>99.706999999999994</v>
      </c>
      <c r="I35" s="27">
        <v>44084</v>
      </c>
      <c r="J35">
        <v>100.387</v>
      </c>
      <c r="K35" s="27">
        <v>44084</v>
      </c>
      <c r="L35">
        <v>101.90300000000001</v>
      </c>
      <c r="M35" s="27">
        <v>41851</v>
      </c>
      <c r="N35">
        <v>103.273</v>
      </c>
      <c r="O35" s="27">
        <v>41512</v>
      </c>
      <c r="P35">
        <v>98.352000000000004</v>
      </c>
      <c r="Q35" s="27">
        <v>41726</v>
      </c>
      <c r="R35">
        <v>94.301000000000002</v>
      </c>
      <c r="S35" s="27">
        <v>42093</v>
      </c>
      <c r="T35">
        <v>3.8914</v>
      </c>
    </row>
    <row r="36" spans="3:20">
      <c r="C36" s="27">
        <v>40681</v>
      </c>
      <c r="D36">
        <v>6.9847999999999999</v>
      </c>
      <c r="E36" s="27">
        <v>43104</v>
      </c>
      <c r="F36">
        <v>98.915000000000006</v>
      </c>
      <c r="G36" s="27">
        <v>43248</v>
      </c>
      <c r="H36">
        <v>100.05200000000001</v>
      </c>
      <c r="I36" s="27">
        <v>44085</v>
      </c>
      <c r="J36">
        <v>100.387</v>
      </c>
      <c r="K36" s="27">
        <v>44085</v>
      </c>
      <c r="L36">
        <v>102.139</v>
      </c>
      <c r="M36" s="27">
        <v>41852</v>
      </c>
      <c r="N36">
        <v>103.36</v>
      </c>
      <c r="O36" s="27">
        <v>41513</v>
      </c>
      <c r="P36">
        <v>98.591999999999999</v>
      </c>
      <c r="Q36" s="27">
        <v>41729</v>
      </c>
      <c r="R36">
        <v>94.301000000000002</v>
      </c>
      <c r="S36" s="27">
        <v>42094</v>
      </c>
      <c r="T36">
        <v>3.8428</v>
      </c>
    </row>
    <row r="37" spans="3:20">
      <c r="C37" s="27">
        <v>40682</v>
      </c>
      <c r="D37">
        <v>6.9904999999999999</v>
      </c>
      <c r="E37" s="27">
        <v>43105</v>
      </c>
      <c r="F37">
        <v>98.927999999999997</v>
      </c>
      <c r="G37" s="27">
        <v>43249</v>
      </c>
      <c r="H37">
        <v>100.52800000000001</v>
      </c>
      <c r="I37" s="27">
        <v>44088</v>
      </c>
      <c r="J37">
        <v>100.387</v>
      </c>
      <c r="K37" s="27">
        <v>44088</v>
      </c>
      <c r="L37">
        <v>102.41800000000001</v>
      </c>
      <c r="M37" s="27">
        <v>41855</v>
      </c>
      <c r="N37">
        <v>103.509</v>
      </c>
      <c r="O37" s="27">
        <v>41514</v>
      </c>
      <c r="P37">
        <v>98.849000000000004</v>
      </c>
      <c r="Q37" s="27">
        <v>41730</v>
      </c>
      <c r="R37">
        <v>94.305000000000007</v>
      </c>
      <c r="S37" s="27">
        <v>42095</v>
      </c>
      <c r="T37">
        <v>3.8620000000000001</v>
      </c>
    </row>
    <row r="38" spans="3:20">
      <c r="C38" s="27">
        <v>40683</v>
      </c>
      <c r="D38">
        <v>6.9896000000000003</v>
      </c>
      <c r="E38" s="27">
        <v>43108</v>
      </c>
      <c r="F38">
        <v>98.918999999999997</v>
      </c>
      <c r="G38" s="27">
        <v>43250</v>
      </c>
      <c r="H38">
        <v>99.751999999999995</v>
      </c>
      <c r="I38" s="27">
        <v>44089</v>
      </c>
      <c r="J38">
        <v>100.386</v>
      </c>
      <c r="K38" s="27">
        <v>44089</v>
      </c>
      <c r="L38">
        <v>102.51</v>
      </c>
      <c r="M38" s="27">
        <v>41856</v>
      </c>
      <c r="N38">
        <v>103.488</v>
      </c>
      <c r="O38" s="27">
        <v>41515</v>
      </c>
      <c r="P38">
        <v>98.653999999999996</v>
      </c>
      <c r="Q38" s="27">
        <v>41731</v>
      </c>
      <c r="R38">
        <v>94.313999999999993</v>
      </c>
      <c r="S38" s="27">
        <v>42096</v>
      </c>
      <c r="T38">
        <v>3.8561000000000001</v>
      </c>
    </row>
    <row r="39" spans="3:20">
      <c r="C39" s="27">
        <v>40686</v>
      </c>
      <c r="D39">
        <v>6.9298999999999999</v>
      </c>
      <c r="E39" s="27">
        <v>43109</v>
      </c>
      <c r="F39">
        <v>98.921999999999997</v>
      </c>
      <c r="G39" s="27">
        <v>43251</v>
      </c>
      <c r="H39">
        <v>99.864000000000004</v>
      </c>
      <c r="I39" s="27">
        <v>44090</v>
      </c>
      <c r="J39">
        <v>100.386</v>
      </c>
      <c r="K39" s="27">
        <v>44090</v>
      </c>
      <c r="L39">
        <v>102.521</v>
      </c>
      <c r="M39" s="27">
        <v>41857</v>
      </c>
      <c r="N39">
        <v>103.679</v>
      </c>
      <c r="O39" s="27">
        <v>41516</v>
      </c>
      <c r="P39">
        <v>98.823999999999998</v>
      </c>
      <c r="Q39" s="27">
        <v>41732</v>
      </c>
      <c r="R39">
        <v>94.316999999999993</v>
      </c>
      <c r="S39" s="27">
        <v>42097</v>
      </c>
      <c r="T39">
        <v>3.8515999999999999</v>
      </c>
    </row>
    <row r="40" spans="3:20">
      <c r="C40" s="27">
        <v>40687</v>
      </c>
      <c r="D40">
        <v>6.9302999999999999</v>
      </c>
      <c r="E40" s="27">
        <v>43110</v>
      </c>
      <c r="F40">
        <v>98.924000000000007</v>
      </c>
      <c r="G40" s="27">
        <v>43252</v>
      </c>
      <c r="H40">
        <v>99.456000000000003</v>
      </c>
      <c r="I40" s="27">
        <v>44091</v>
      </c>
      <c r="J40">
        <v>100.417</v>
      </c>
      <c r="K40" s="27">
        <v>44091</v>
      </c>
      <c r="L40">
        <v>102.425</v>
      </c>
      <c r="M40" s="27">
        <v>41858</v>
      </c>
      <c r="N40">
        <v>110.331</v>
      </c>
      <c r="O40" s="27">
        <v>41519</v>
      </c>
      <c r="P40">
        <v>98.570999999999998</v>
      </c>
      <c r="Q40" s="27">
        <v>41733</v>
      </c>
      <c r="R40">
        <v>94.33</v>
      </c>
      <c r="S40" s="27">
        <v>42101</v>
      </c>
      <c r="T40">
        <v>3.9167000000000001</v>
      </c>
    </row>
    <row r="41" spans="3:20">
      <c r="C41" s="27">
        <v>40688</v>
      </c>
      <c r="D41">
        <v>6.9196999999999997</v>
      </c>
      <c r="E41" s="27">
        <v>43111</v>
      </c>
      <c r="F41">
        <v>98.927000000000007</v>
      </c>
      <c r="G41" s="27">
        <v>43255</v>
      </c>
      <c r="H41">
        <v>99.195999999999998</v>
      </c>
      <c r="I41" s="27">
        <v>44092</v>
      </c>
      <c r="J41">
        <v>100.605</v>
      </c>
      <c r="K41" s="27">
        <v>44092</v>
      </c>
      <c r="L41">
        <v>101.498</v>
      </c>
      <c r="M41" s="27">
        <v>41859</v>
      </c>
      <c r="N41">
        <v>110.364</v>
      </c>
      <c r="O41" s="27">
        <v>41520</v>
      </c>
      <c r="P41">
        <v>98.528000000000006</v>
      </c>
      <c r="Q41" s="27">
        <v>41736</v>
      </c>
      <c r="R41">
        <v>94.322000000000003</v>
      </c>
      <c r="S41" s="27">
        <v>42102</v>
      </c>
      <c r="T41">
        <v>3.8847</v>
      </c>
    </row>
    <row r="42" spans="3:20">
      <c r="C42" s="27">
        <v>40689</v>
      </c>
      <c r="D42">
        <v>6.9478999999999997</v>
      </c>
      <c r="E42" s="27">
        <v>43112</v>
      </c>
      <c r="F42">
        <v>98.929000000000002</v>
      </c>
      <c r="G42" s="27">
        <v>43256</v>
      </c>
      <c r="H42">
        <v>99.492999999999995</v>
      </c>
      <c r="I42" s="27">
        <v>44095</v>
      </c>
      <c r="J42">
        <v>101.752</v>
      </c>
      <c r="K42" s="27">
        <v>44095</v>
      </c>
      <c r="L42">
        <v>101.77</v>
      </c>
      <c r="M42" s="27">
        <v>41862</v>
      </c>
      <c r="N42">
        <v>109.79600000000001</v>
      </c>
      <c r="O42" s="27">
        <v>41521</v>
      </c>
      <c r="P42">
        <v>98.341999999999999</v>
      </c>
      <c r="Q42" s="27">
        <v>41737</v>
      </c>
      <c r="R42">
        <v>94.323999999999998</v>
      </c>
      <c r="S42" s="27">
        <v>42103</v>
      </c>
      <c r="T42">
        <v>3.8786</v>
      </c>
    </row>
    <row r="43" spans="3:20">
      <c r="C43" s="27">
        <v>40690</v>
      </c>
      <c r="D43">
        <v>6.9076000000000004</v>
      </c>
      <c r="E43" s="27">
        <v>43115</v>
      </c>
      <c r="F43">
        <v>98.933999999999997</v>
      </c>
      <c r="G43" s="27">
        <v>43257</v>
      </c>
      <c r="H43">
        <v>98.820999999999998</v>
      </c>
      <c r="I43" s="27">
        <v>44096</v>
      </c>
      <c r="J43">
        <v>102.84099999999999</v>
      </c>
      <c r="K43" s="27">
        <v>44096</v>
      </c>
      <c r="L43">
        <v>101.88800000000001</v>
      </c>
      <c r="M43" s="27">
        <v>41863</v>
      </c>
      <c r="N43">
        <v>109.85899999999999</v>
      </c>
      <c r="O43" s="27">
        <v>41522</v>
      </c>
      <c r="P43">
        <v>98.105999999999995</v>
      </c>
      <c r="Q43" s="27">
        <v>41738</v>
      </c>
      <c r="R43">
        <v>94.337999999999994</v>
      </c>
      <c r="S43" s="27">
        <v>42104</v>
      </c>
      <c r="T43">
        <v>3.9133</v>
      </c>
    </row>
    <row r="44" spans="3:20">
      <c r="C44" s="27">
        <v>40693</v>
      </c>
      <c r="D44">
        <v>6.8529999999999998</v>
      </c>
      <c r="E44" s="27">
        <v>43116</v>
      </c>
      <c r="F44">
        <v>98.936000000000007</v>
      </c>
      <c r="G44" s="27">
        <v>43258</v>
      </c>
      <c r="H44">
        <v>98.453000000000003</v>
      </c>
      <c r="I44" s="27">
        <v>44097</v>
      </c>
      <c r="J44">
        <v>103.473</v>
      </c>
      <c r="K44" s="27">
        <v>44097</v>
      </c>
      <c r="L44">
        <v>102.23099999999999</v>
      </c>
      <c r="M44" s="27">
        <v>41864</v>
      </c>
      <c r="N44">
        <v>109.214</v>
      </c>
      <c r="O44" s="27">
        <v>41523</v>
      </c>
      <c r="P44">
        <v>97.682000000000002</v>
      </c>
      <c r="Q44" s="27">
        <v>41739</v>
      </c>
      <c r="R44">
        <v>94.343999999999994</v>
      </c>
      <c r="S44" s="27">
        <v>42107</v>
      </c>
      <c r="T44">
        <v>3.8740000000000001</v>
      </c>
    </row>
    <row r="45" spans="3:20">
      <c r="C45" s="27">
        <v>40694</v>
      </c>
      <c r="D45">
        <v>6.8301999999999996</v>
      </c>
      <c r="E45" s="27">
        <v>43117</v>
      </c>
      <c r="F45">
        <v>98.938000000000002</v>
      </c>
      <c r="G45" s="27">
        <v>43259</v>
      </c>
      <c r="H45">
        <v>98.801000000000002</v>
      </c>
      <c r="I45" s="27">
        <v>44098</v>
      </c>
      <c r="J45">
        <v>104.36499999999999</v>
      </c>
      <c r="K45" s="27">
        <v>44098</v>
      </c>
      <c r="L45">
        <v>102.96299999999999</v>
      </c>
      <c r="M45" s="27">
        <v>41865</v>
      </c>
      <c r="N45">
        <v>109.401</v>
      </c>
      <c r="O45" s="27">
        <v>41526</v>
      </c>
      <c r="P45">
        <v>98.215999999999994</v>
      </c>
      <c r="Q45" s="27">
        <v>41740</v>
      </c>
      <c r="R45">
        <v>94.346000000000004</v>
      </c>
      <c r="S45" s="27">
        <v>42108</v>
      </c>
      <c r="T45">
        <v>3.8401999999999998</v>
      </c>
    </row>
    <row r="46" spans="3:20">
      <c r="C46" s="27">
        <v>40695</v>
      </c>
      <c r="D46">
        <v>6.9225000000000003</v>
      </c>
      <c r="E46" s="27">
        <v>43118</v>
      </c>
      <c r="F46">
        <v>98.941999999999993</v>
      </c>
      <c r="G46" s="27">
        <v>43262</v>
      </c>
      <c r="H46">
        <v>98.378</v>
      </c>
      <c r="I46" s="27">
        <v>44099</v>
      </c>
      <c r="J46">
        <v>104.45</v>
      </c>
      <c r="K46" s="27">
        <v>44099</v>
      </c>
      <c r="L46">
        <v>103.015</v>
      </c>
      <c r="M46" s="27">
        <v>41866</v>
      </c>
      <c r="N46">
        <v>109.345</v>
      </c>
      <c r="O46" s="27">
        <v>41527</v>
      </c>
      <c r="P46">
        <v>98.094999999999999</v>
      </c>
      <c r="Q46" s="27">
        <v>41743</v>
      </c>
      <c r="R46">
        <v>94.352000000000004</v>
      </c>
      <c r="S46" s="27">
        <v>42109</v>
      </c>
      <c r="T46">
        <v>3.8237999999999999</v>
      </c>
    </row>
    <row r="47" spans="3:20">
      <c r="C47" s="27">
        <v>40696</v>
      </c>
      <c r="D47">
        <v>6.8994</v>
      </c>
      <c r="E47" s="27">
        <v>43119</v>
      </c>
      <c r="F47">
        <v>98.944999999999993</v>
      </c>
      <c r="G47" s="27">
        <v>43263</v>
      </c>
      <c r="H47">
        <v>98.298000000000002</v>
      </c>
      <c r="I47" s="27">
        <v>44102</v>
      </c>
      <c r="J47">
        <v>104.71</v>
      </c>
      <c r="K47" s="27">
        <v>44102</v>
      </c>
      <c r="L47">
        <v>103.09699999999999</v>
      </c>
      <c r="M47" s="27">
        <v>41869</v>
      </c>
      <c r="N47">
        <v>109.114</v>
      </c>
      <c r="O47" s="27">
        <v>41528</v>
      </c>
      <c r="P47">
        <v>97.932000000000002</v>
      </c>
      <c r="Q47" s="27">
        <v>41744</v>
      </c>
      <c r="R47">
        <v>94.376999999999995</v>
      </c>
      <c r="S47" s="27">
        <v>42110</v>
      </c>
      <c r="T47">
        <v>3.9350000000000001</v>
      </c>
    </row>
    <row r="48" spans="3:20">
      <c r="C48" s="27">
        <v>40697</v>
      </c>
      <c r="D48">
        <v>6.8925000000000001</v>
      </c>
      <c r="E48" s="27">
        <v>43122</v>
      </c>
      <c r="F48">
        <v>98.950999999999993</v>
      </c>
      <c r="G48" s="27">
        <v>43264</v>
      </c>
      <c r="H48">
        <v>98.421000000000006</v>
      </c>
      <c r="I48" s="27">
        <v>44103</v>
      </c>
      <c r="J48">
        <v>104.739</v>
      </c>
      <c r="K48" s="27">
        <v>44103</v>
      </c>
      <c r="L48">
        <v>103.105</v>
      </c>
      <c r="M48" s="27">
        <v>41870</v>
      </c>
      <c r="N48">
        <v>109.35899999999999</v>
      </c>
      <c r="O48" s="27">
        <v>41529</v>
      </c>
      <c r="P48">
        <v>98.287000000000006</v>
      </c>
      <c r="Q48" s="27">
        <v>41745</v>
      </c>
      <c r="R48">
        <v>94.382999999999996</v>
      </c>
      <c r="S48" s="27">
        <v>42111</v>
      </c>
      <c r="T48">
        <v>3.9232</v>
      </c>
    </row>
    <row r="49" spans="3:20">
      <c r="C49" s="27">
        <v>40700</v>
      </c>
      <c r="D49">
        <v>6.8582999999999998</v>
      </c>
      <c r="E49" s="27">
        <v>43123</v>
      </c>
      <c r="F49">
        <v>98.965000000000003</v>
      </c>
      <c r="G49" s="27">
        <v>43265</v>
      </c>
      <c r="H49">
        <v>98.814999999999998</v>
      </c>
      <c r="I49" s="27">
        <v>44104</v>
      </c>
      <c r="J49">
        <v>104.694</v>
      </c>
      <c r="K49" s="27">
        <v>44104</v>
      </c>
      <c r="L49">
        <v>102.934</v>
      </c>
      <c r="M49" s="27">
        <v>41871</v>
      </c>
      <c r="N49">
        <v>109.812</v>
      </c>
      <c r="O49" s="27">
        <v>41530</v>
      </c>
      <c r="P49">
        <v>98.216999999999999</v>
      </c>
      <c r="Q49" s="27">
        <v>41746</v>
      </c>
      <c r="R49">
        <v>94.399000000000001</v>
      </c>
      <c r="S49" s="27">
        <v>42114</v>
      </c>
      <c r="T49">
        <v>3.9708000000000001</v>
      </c>
    </row>
    <row r="50" spans="3:20">
      <c r="C50" s="27">
        <v>40701</v>
      </c>
      <c r="D50">
        <v>6.8472</v>
      </c>
      <c r="E50" s="27">
        <v>43124</v>
      </c>
      <c r="F50">
        <v>98.975999999999999</v>
      </c>
      <c r="G50" s="27">
        <v>43266</v>
      </c>
      <c r="H50">
        <v>99.097999999999999</v>
      </c>
      <c r="I50" s="27">
        <v>44105</v>
      </c>
      <c r="J50">
        <v>104.209</v>
      </c>
      <c r="K50" s="27">
        <v>44105</v>
      </c>
      <c r="L50">
        <v>102.601</v>
      </c>
      <c r="M50" s="27">
        <v>41872</v>
      </c>
      <c r="N50">
        <v>109.11499999999999</v>
      </c>
      <c r="O50" s="27">
        <v>41533</v>
      </c>
      <c r="P50">
        <v>98.765000000000001</v>
      </c>
      <c r="Q50" s="27">
        <v>41751</v>
      </c>
      <c r="R50">
        <v>94.406000000000006</v>
      </c>
      <c r="S50" s="27">
        <v>42115</v>
      </c>
      <c r="T50">
        <v>3.9624999999999999</v>
      </c>
    </row>
    <row r="51" spans="3:20">
      <c r="C51" s="27">
        <v>40702</v>
      </c>
      <c r="D51">
        <v>6.8308999999999997</v>
      </c>
      <c r="E51" s="27">
        <v>43125</v>
      </c>
      <c r="F51">
        <v>98.984999999999999</v>
      </c>
      <c r="G51" s="27">
        <v>43269</v>
      </c>
      <c r="H51">
        <v>99.048000000000002</v>
      </c>
      <c r="I51" s="27">
        <v>44106</v>
      </c>
      <c r="J51">
        <v>105.035</v>
      </c>
      <c r="K51" s="27">
        <v>44106</v>
      </c>
      <c r="L51">
        <v>103.307</v>
      </c>
      <c r="M51" s="27">
        <v>41873</v>
      </c>
      <c r="N51">
        <v>109.42</v>
      </c>
      <c r="O51" s="27">
        <v>41534</v>
      </c>
      <c r="P51">
        <v>98.695999999999998</v>
      </c>
      <c r="Q51" s="27">
        <v>41752</v>
      </c>
      <c r="R51">
        <v>94.406999999999996</v>
      </c>
      <c r="S51" s="27">
        <v>42116</v>
      </c>
      <c r="T51">
        <v>4.0190000000000001</v>
      </c>
    </row>
    <row r="52" spans="3:20">
      <c r="C52" s="27">
        <v>40703</v>
      </c>
      <c r="D52">
        <v>6.7854999999999999</v>
      </c>
      <c r="E52" s="27">
        <v>43129</v>
      </c>
      <c r="F52">
        <v>98.986999999999995</v>
      </c>
      <c r="G52" s="27">
        <v>43270</v>
      </c>
      <c r="H52">
        <v>99.277000000000001</v>
      </c>
      <c r="I52" s="27">
        <v>44110</v>
      </c>
      <c r="J52">
        <v>104.96599999999999</v>
      </c>
      <c r="K52" s="27">
        <v>44110</v>
      </c>
      <c r="L52">
        <v>103.181</v>
      </c>
      <c r="M52" s="27">
        <v>41876</v>
      </c>
      <c r="N52">
        <v>109.657</v>
      </c>
      <c r="O52" s="27">
        <v>41535</v>
      </c>
      <c r="P52">
        <v>98.575999999999993</v>
      </c>
      <c r="Q52" s="27">
        <v>41753</v>
      </c>
      <c r="R52">
        <v>94.41</v>
      </c>
      <c r="S52" s="27">
        <v>42117</v>
      </c>
      <c r="T52">
        <v>4.0678999999999998</v>
      </c>
    </row>
    <row r="53" spans="3:20">
      <c r="C53" s="27">
        <v>40704</v>
      </c>
      <c r="D53">
        <v>6.7725999999999997</v>
      </c>
      <c r="E53" s="27">
        <v>43130</v>
      </c>
      <c r="F53">
        <v>98.989000000000004</v>
      </c>
      <c r="G53" s="27">
        <v>43271</v>
      </c>
      <c r="H53">
        <v>99.188000000000002</v>
      </c>
      <c r="I53" s="27">
        <v>44111</v>
      </c>
      <c r="J53">
        <v>104.965</v>
      </c>
      <c r="K53" s="27">
        <v>44111</v>
      </c>
      <c r="L53">
        <v>103.133</v>
      </c>
      <c r="M53" s="27">
        <v>41877</v>
      </c>
      <c r="N53">
        <v>109.80800000000001</v>
      </c>
      <c r="O53" s="27">
        <v>41536</v>
      </c>
      <c r="P53">
        <v>99.230999999999995</v>
      </c>
      <c r="Q53" s="27">
        <v>41757</v>
      </c>
      <c r="R53">
        <v>94.426000000000002</v>
      </c>
      <c r="S53" s="27">
        <v>42118</v>
      </c>
      <c r="T53">
        <v>4.0827999999999998</v>
      </c>
    </row>
    <row r="54" spans="3:20">
      <c r="C54" s="27">
        <v>40707</v>
      </c>
      <c r="D54">
        <v>6.7930000000000001</v>
      </c>
      <c r="E54" s="27">
        <v>43131</v>
      </c>
      <c r="F54">
        <v>98.991</v>
      </c>
      <c r="G54" s="27">
        <v>43272</v>
      </c>
      <c r="H54">
        <v>99.471999999999994</v>
      </c>
      <c r="I54" s="27">
        <v>44112</v>
      </c>
      <c r="J54">
        <v>104.724</v>
      </c>
      <c r="K54" s="27">
        <v>44112</v>
      </c>
      <c r="L54">
        <v>103.04</v>
      </c>
      <c r="M54" s="27">
        <v>41878</v>
      </c>
      <c r="N54">
        <v>110.392</v>
      </c>
      <c r="O54" s="27">
        <v>41537</v>
      </c>
      <c r="P54">
        <v>98.977000000000004</v>
      </c>
      <c r="Q54" s="27">
        <v>41758</v>
      </c>
      <c r="R54">
        <v>94.414000000000001</v>
      </c>
      <c r="S54" s="27">
        <v>42121</v>
      </c>
      <c r="T54">
        <v>4.0594000000000001</v>
      </c>
    </row>
    <row r="55" spans="3:20">
      <c r="C55" s="27">
        <v>40708</v>
      </c>
      <c r="D55">
        <v>6.7854000000000001</v>
      </c>
      <c r="E55" s="27">
        <v>43132</v>
      </c>
      <c r="F55">
        <v>99.025999999999996</v>
      </c>
      <c r="G55" s="27">
        <v>43273</v>
      </c>
      <c r="H55">
        <v>99.522999999999996</v>
      </c>
      <c r="I55" s="27">
        <v>44113</v>
      </c>
      <c r="J55">
        <v>105.38500000000001</v>
      </c>
      <c r="K55" s="27">
        <v>44113</v>
      </c>
      <c r="L55">
        <v>103.49299999999999</v>
      </c>
      <c r="M55" s="27">
        <v>41879</v>
      </c>
      <c r="N55">
        <v>110.916</v>
      </c>
      <c r="O55" s="27">
        <v>41540</v>
      </c>
      <c r="P55">
        <v>98.805999999999997</v>
      </c>
      <c r="Q55" s="27">
        <v>41759</v>
      </c>
      <c r="R55">
        <v>94.433999999999997</v>
      </c>
      <c r="S55" s="27">
        <v>42122</v>
      </c>
      <c r="T55">
        <v>4.1252000000000004</v>
      </c>
    </row>
    <row r="56" spans="3:20">
      <c r="C56" s="27">
        <v>40709</v>
      </c>
      <c r="D56">
        <v>6.8079999999999998</v>
      </c>
      <c r="E56" s="27">
        <v>43133</v>
      </c>
      <c r="F56">
        <v>99.028000000000006</v>
      </c>
      <c r="G56" s="27">
        <v>43276</v>
      </c>
      <c r="H56">
        <v>99.602999999999994</v>
      </c>
      <c r="I56" s="27">
        <v>44116</v>
      </c>
      <c r="J56">
        <v>105.486</v>
      </c>
      <c r="K56" s="27">
        <v>44116</v>
      </c>
      <c r="L56">
        <v>103.521</v>
      </c>
      <c r="M56" s="27">
        <v>41880</v>
      </c>
      <c r="N56">
        <v>110.66200000000001</v>
      </c>
      <c r="O56" s="27">
        <v>41541</v>
      </c>
      <c r="P56">
        <v>99.122</v>
      </c>
      <c r="Q56" s="27">
        <v>41760</v>
      </c>
      <c r="R56">
        <v>94.433999999999997</v>
      </c>
      <c r="S56" s="27">
        <v>42123</v>
      </c>
      <c r="T56">
        <v>4.1307999999999998</v>
      </c>
    </row>
    <row r="57" spans="3:20">
      <c r="C57" s="27">
        <v>40710</v>
      </c>
      <c r="D57">
        <v>6.6977000000000002</v>
      </c>
      <c r="E57" s="27">
        <v>43136</v>
      </c>
      <c r="F57">
        <v>99.031000000000006</v>
      </c>
      <c r="G57" s="27">
        <v>43277</v>
      </c>
      <c r="H57">
        <v>99.381</v>
      </c>
      <c r="I57" s="27">
        <v>44117</v>
      </c>
      <c r="J57">
        <v>105.726</v>
      </c>
      <c r="K57" s="27">
        <v>44117</v>
      </c>
      <c r="L57">
        <v>103.715</v>
      </c>
      <c r="M57" s="27">
        <v>41883</v>
      </c>
      <c r="N57">
        <v>110.72799999999999</v>
      </c>
      <c r="O57" s="27">
        <v>41542</v>
      </c>
      <c r="P57">
        <v>99.453000000000003</v>
      </c>
      <c r="Q57" s="27">
        <v>41761</v>
      </c>
      <c r="R57">
        <v>94.447999999999993</v>
      </c>
      <c r="S57" s="27">
        <v>42124</v>
      </c>
      <c r="T57">
        <v>4.1492000000000004</v>
      </c>
    </row>
    <row r="58" spans="3:20">
      <c r="C58" s="27">
        <v>40711</v>
      </c>
      <c r="D58">
        <v>6.7122999999999999</v>
      </c>
      <c r="E58" s="27">
        <v>43137</v>
      </c>
      <c r="F58">
        <v>99.033000000000001</v>
      </c>
      <c r="G58" s="27">
        <v>43278</v>
      </c>
      <c r="H58">
        <v>99.477999999999994</v>
      </c>
      <c r="I58" s="27">
        <v>44118</v>
      </c>
      <c r="J58">
        <v>106.036</v>
      </c>
      <c r="K58" s="27">
        <v>44118</v>
      </c>
      <c r="L58">
        <v>103.97</v>
      </c>
      <c r="M58" s="27">
        <v>41884</v>
      </c>
      <c r="N58">
        <v>110.325</v>
      </c>
      <c r="O58" s="27">
        <v>41543</v>
      </c>
      <c r="P58">
        <v>99.474999999999994</v>
      </c>
      <c r="Q58" s="27">
        <v>41764</v>
      </c>
      <c r="R58">
        <v>94.438000000000002</v>
      </c>
      <c r="S58" s="27">
        <v>42125</v>
      </c>
      <c r="T58">
        <v>4.1581000000000001</v>
      </c>
    </row>
    <row r="59" spans="3:20">
      <c r="C59" s="27">
        <v>40714</v>
      </c>
      <c r="D59">
        <v>6.6695000000000002</v>
      </c>
      <c r="E59" s="27">
        <v>43138</v>
      </c>
      <c r="F59">
        <v>99.034000000000006</v>
      </c>
      <c r="G59" s="27">
        <v>43279</v>
      </c>
      <c r="H59">
        <v>99.540999999999997</v>
      </c>
      <c r="I59" s="27">
        <v>44119</v>
      </c>
      <c r="J59">
        <v>106.946</v>
      </c>
      <c r="K59" s="27">
        <v>44119</v>
      </c>
      <c r="L59">
        <v>104.666</v>
      </c>
      <c r="M59" s="27">
        <v>41885</v>
      </c>
      <c r="N59">
        <v>111.011</v>
      </c>
      <c r="O59" s="27">
        <v>41544</v>
      </c>
      <c r="P59">
        <v>99.566999999999993</v>
      </c>
      <c r="Q59" s="27">
        <v>41765</v>
      </c>
      <c r="R59">
        <v>94.441000000000003</v>
      </c>
      <c r="S59" s="27">
        <v>42128</v>
      </c>
      <c r="T59">
        <v>4.1375000000000002</v>
      </c>
    </row>
    <row r="60" spans="3:20">
      <c r="C60" s="27">
        <v>40715</v>
      </c>
      <c r="D60">
        <v>6.6929999999999996</v>
      </c>
      <c r="E60" s="27">
        <v>43139</v>
      </c>
      <c r="F60">
        <v>99.04</v>
      </c>
      <c r="G60" s="27">
        <v>43280</v>
      </c>
      <c r="H60">
        <v>99.605000000000004</v>
      </c>
      <c r="I60" s="27">
        <v>44120</v>
      </c>
      <c r="J60">
        <v>107.06699999999999</v>
      </c>
      <c r="K60" s="27">
        <v>44120</v>
      </c>
      <c r="L60">
        <v>104.774</v>
      </c>
      <c r="M60" s="27">
        <v>41886</v>
      </c>
      <c r="N60">
        <v>111.005</v>
      </c>
      <c r="O60" s="27">
        <v>41547</v>
      </c>
      <c r="P60">
        <v>99.981999999999999</v>
      </c>
      <c r="Q60" s="27">
        <v>41766</v>
      </c>
      <c r="R60">
        <v>94.453000000000003</v>
      </c>
      <c r="S60" s="27">
        <v>42129</v>
      </c>
      <c r="T60">
        <v>4.2450000000000001</v>
      </c>
    </row>
    <row r="61" spans="3:20">
      <c r="C61" s="27">
        <v>40716</v>
      </c>
      <c r="D61">
        <v>6.7320000000000002</v>
      </c>
      <c r="E61" s="27">
        <v>43140</v>
      </c>
      <c r="F61">
        <v>99.042000000000002</v>
      </c>
      <c r="G61" s="27">
        <v>43283</v>
      </c>
      <c r="H61">
        <v>99.599000000000004</v>
      </c>
      <c r="I61" s="27">
        <v>44123</v>
      </c>
      <c r="J61">
        <v>106.845</v>
      </c>
      <c r="K61" s="27">
        <v>44123</v>
      </c>
      <c r="L61">
        <v>104.593</v>
      </c>
      <c r="M61" s="27">
        <v>41887</v>
      </c>
      <c r="N61">
        <v>111.07599999999999</v>
      </c>
      <c r="O61" s="27">
        <v>41548</v>
      </c>
      <c r="P61">
        <v>99.778000000000006</v>
      </c>
      <c r="Q61" s="27">
        <v>41767</v>
      </c>
      <c r="R61">
        <v>94.459000000000003</v>
      </c>
      <c r="S61" s="27">
        <v>42130</v>
      </c>
      <c r="T61">
        <v>4.3563999999999998</v>
      </c>
    </row>
    <row r="62" spans="3:20">
      <c r="C62" s="27">
        <v>40717</v>
      </c>
      <c r="D62">
        <v>6.7219999999999995</v>
      </c>
      <c r="E62" s="27">
        <v>43143</v>
      </c>
      <c r="F62">
        <v>99.034999999999997</v>
      </c>
      <c r="G62" s="27">
        <v>43284</v>
      </c>
      <c r="H62">
        <v>98.540999999999997</v>
      </c>
      <c r="I62" s="27">
        <v>44124</v>
      </c>
      <c r="J62">
        <v>106.697</v>
      </c>
      <c r="K62" s="27">
        <v>44124</v>
      </c>
      <c r="L62">
        <v>104.48399999999999</v>
      </c>
      <c r="M62" s="27">
        <v>41890</v>
      </c>
      <c r="N62">
        <v>111.30800000000001</v>
      </c>
      <c r="O62" s="27">
        <v>41549</v>
      </c>
      <c r="P62">
        <v>99.6</v>
      </c>
      <c r="Q62" s="27">
        <v>41768</v>
      </c>
      <c r="R62">
        <v>94.462999999999994</v>
      </c>
      <c r="S62" s="27">
        <v>42131</v>
      </c>
      <c r="T62">
        <v>4.3788999999999998</v>
      </c>
    </row>
    <row r="63" spans="3:20">
      <c r="C63" s="27">
        <v>40718</v>
      </c>
      <c r="D63">
        <v>6.7046000000000001</v>
      </c>
      <c r="E63" s="27">
        <v>43144</v>
      </c>
      <c r="F63">
        <v>99.036000000000001</v>
      </c>
      <c r="G63" s="27">
        <v>43285</v>
      </c>
      <c r="H63">
        <v>98.343000000000004</v>
      </c>
      <c r="I63" s="27">
        <v>44125</v>
      </c>
      <c r="J63">
        <v>106.276</v>
      </c>
      <c r="K63" s="27">
        <v>44125</v>
      </c>
      <c r="L63">
        <v>104.17700000000001</v>
      </c>
      <c r="M63" s="27">
        <v>41891</v>
      </c>
      <c r="N63">
        <v>110.70399999999999</v>
      </c>
      <c r="O63" s="27">
        <v>41550</v>
      </c>
      <c r="P63">
        <v>99.552999999999997</v>
      </c>
      <c r="Q63" s="27">
        <v>41771</v>
      </c>
      <c r="R63">
        <v>94.468000000000004</v>
      </c>
      <c r="S63" s="27">
        <v>42132</v>
      </c>
      <c r="T63">
        <v>4.3105000000000002</v>
      </c>
    </row>
    <row r="64" spans="3:20">
      <c r="C64" s="27">
        <v>40721</v>
      </c>
      <c r="D64">
        <v>6.5820999999999996</v>
      </c>
      <c r="E64" s="27">
        <v>43145</v>
      </c>
      <c r="F64">
        <v>99.037999999999997</v>
      </c>
      <c r="G64" s="27">
        <v>43286</v>
      </c>
      <c r="H64">
        <v>98.369</v>
      </c>
      <c r="I64" s="27">
        <v>44126</v>
      </c>
      <c r="J64">
        <v>106.357</v>
      </c>
      <c r="K64" s="27">
        <v>44126</v>
      </c>
      <c r="L64">
        <v>104.271</v>
      </c>
      <c r="M64" s="27">
        <v>41892</v>
      </c>
      <c r="N64">
        <v>110.2</v>
      </c>
      <c r="O64" s="27">
        <v>41551</v>
      </c>
      <c r="P64">
        <v>99.492000000000004</v>
      </c>
      <c r="Q64" s="27">
        <v>41772</v>
      </c>
      <c r="R64">
        <v>94.474000000000004</v>
      </c>
      <c r="S64" s="27">
        <v>42135</v>
      </c>
      <c r="T64">
        <v>4.3099999999999996</v>
      </c>
    </row>
    <row r="65" spans="3:20">
      <c r="C65" s="27">
        <v>40722</v>
      </c>
      <c r="D65">
        <v>6.6326000000000001</v>
      </c>
      <c r="E65" s="27">
        <v>43146</v>
      </c>
      <c r="F65">
        <v>99.043000000000006</v>
      </c>
      <c r="G65" s="27">
        <v>43287</v>
      </c>
      <c r="H65">
        <v>98.417000000000002</v>
      </c>
      <c r="I65" s="27">
        <v>44127</v>
      </c>
      <c r="J65">
        <v>106.354</v>
      </c>
      <c r="K65" s="27">
        <v>44127</v>
      </c>
      <c r="L65">
        <v>104.249</v>
      </c>
      <c r="M65" s="27">
        <v>41893</v>
      </c>
      <c r="N65">
        <v>110.352</v>
      </c>
      <c r="O65" s="27">
        <v>41554</v>
      </c>
      <c r="P65">
        <v>99.382000000000005</v>
      </c>
      <c r="Q65" s="27">
        <v>41773</v>
      </c>
      <c r="R65">
        <v>94.483000000000004</v>
      </c>
      <c r="S65" s="27">
        <v>42136</v>
      </c>
      <c r="T65">
        <v>4.4488000000000003</v>
      </c>
    </row>
    <row r="66" spans="3:20">
      <c r="C66" s="27">
        <v>40723</v>
      </c>
      <c r="D66">
        <v>6.7518000000000002</v>
      </c>
      <c r="E66" s="27">
        <v>43147</v>
      </c>
      <c r="F66">
        <v>99.043999999999997</v>
      </c>
      <c r="G66" s="27">
        <v>43290</v>
      </c>
      <c r="H66">
        <v>98.367000000000004</v>
      </c>
      <c r="I66" s="27">
        <v>44130</v>
      </c>
      <c r="J66">
        <v>107.255</v>
      </c>
      <c r="K66" s="27">
        <v>44130</v>
      </c>
      <c r="L66">
        <v>104.92100000000001</v>
      </c>
      <c r="M66" s="27">
        <v>41894</v>
      </c>
      <c r="N66">
        <v>109.938</v>
      </c>
      <c r="O66" s="27">
        <v>41555</v>
      </c>
      <c r="P66">
        <v>99.605000000000004</v>
      </c>
      <c r="Q66" s="27">
        <v>41774</v>
      </c>
      <c r="R66">
        <v>94.484999999999999</v>
      </c>
      <c r="S66" s="27">
        <v>42137</v>
      </c>
      <c r="T66">
        <v>4.3882000000000003</v>
      </c>
    </row>
    <row r="67" spans="3:20">
      <c r="C67" s="27">
        <v>40724</v>
      </c>
      <c r="D67">
        <v>6.7831000000000001</v>
      </c>
      <c r="E67" s="27">
        <v>43150</v>
      </c>
      <c r="F67">
        <v>99.046000000000006</v>
      </c>
      <c r="G67" s="27">
        <v>43291</v>
      </c>
      <c r="H67">
        <v>100.294</v>
      </c>
      <c r="I67" s="27">
        <v>44131</v>
      </c>
      <c r="J67">
        <v>107.495</v>
      </c>
      <c r="K67" s="27">
        <v>44131</v>
      </c>
      <c r="L67">
        <v>105.029</v>
      </c>
      <c r="M67" s="27">
        <v>41897</v>
      </c>
      <c r="N67">
        <v>110.30800000000001</v>
      </c>
      <c r="O67" s="27">
        <v>41556</v>
      </c>
      <c r="P67">
        <v>99.537999999999997</v>
      </c>
      <c r="Q67" s="27">
        <v>41775</v>
      </c>
      <c r="R67">
        <v>94.49</v>
      </c>
      <c r="S67" s="27">
        <v>42138</v>
      </c>
      <c r="T67">
        <v>4.3898000000000001</v>
      </c>
    </row>
    <row r="68" spans="3:20">
      <c r="C68" s="27">
        <v>40725</v>
      </c>
      <c r="D68">
        <v>6.8731999999999998</v>
      </c>
      <c r="E68" s="27">
        <v>43151</v>
      </c>
      <c r="F68">
        <v>99.048000000000002</v>
      </c>
      <c r="G68" s="27">
        <v>43292</v>
      </c>
      <c r="H68">
        <v>100.572</v>
      </c>
      <c r="I68" s="27">
        <v>44132</v>
      </c>
      <c r="J68">
        <v>107.291</v>
      </c>
      <c r="K68" s="27">
        <v>44132</v>
      </c>
      <c r="L68">
        <v>104.791</v>
      </c>
      <c r="M68" s="27">
        <v>41898</v>
      </c>
      <c r="N68">
        <v>110.322</v>
      </c>
      <c r="O68" s="27">
        <v>41557</v>
      </c>
      <c r="P68">
        <v>99.534000000000006</v>
      </c>
      <c r="Q68" s="27">
        <v>41778</v>
      </c>
      <c r="R68">
        <v>94.495000000000005</v>
      </c>
      <c r="S68" s="27">
        <v>42139</v>
      </c>
      <c r="T68">
        <v>4.3037999999999998</v>
      </c>
    </row>
    <row r="69" spans="3:20">
      <c r="C69" s="27">
        <v>40728</v>
      </c>
      <c r="D69">
        <v>6.8163</v>
      </c>
      <c r="E69" s="27">
        <v>43152</v>
      </c>
      <c r="F69">
        <v>99.05</v>
      </c>
      <c r="G69" s="27">
        <v>43293</v>
      </c>
      <c r="H69">
        <v>100.628</v>
      </c>
      <c r="I69" s="27">
        <v>44133</v>
      </c>
      <c r="J69">
        <v>107.13200000000001</v>
      </c>
      <c r="K69" s="27">
        <v>44133</v>
      </c>
      <c r="L69">
        <v>104.629</v>
      </c>
      <c r="M69" s="27">
        <v>41899</v>
      </c>
      <c r="N69">
        <v>110.43</v>
      </c>
      <c r="O69" s="27">
        <v>41558</v>
      </c>
      <c r="P69">
        <v>99.278999999999996</v>
      </c>
      <c r="Q69" s="27">
        <v>41779</v>
      </c>
      <c r="R69">
        <v>94.5</v>
      </c>
      <c r="S69" s="27">
        <v>42142</v>
      </c>
      <c r="T69">
        <v>4.2891000000000004</v>
      </c>
    </row>
    <row r="70" spans="3:20">
      <c r="C70" s="27">
        <v>40729</v>
      </c>
      <c r="D70">
        <v>6.7785000000000002</v>
      </c>
      <c r="E70" s="27">
        <v>43153</v>
      </c>
      <c r="F70">
        <v>99.051000000000002</v>
      </c>
      <c r="G70" s="27">
        <v>43294</v>
      </c>
      <c r="H70">
        <v>100.821</v>
      </c>
      <c r="I70" s="27">
        <v>44134</v>
      </c>
      <c r="J70">
        <v>106.678</v>
      </c>
      <c r="K70" s="27">
        <v>44134</v>
      </c>
      <c r="L70">
        <v>104.27800000000001</v>
      </c>
      <c r="M70" s="27">
        <v>41900</v>
      </c>
      <c r="N70">
        <v>109.30800000000001</v>
      </c>
      <c r="O70" s="27">
        <v>41561</v>
      </c>
      <c r="P70">
        <v>99.326999999999998</v>
      </c>
      <c r="Q70" s="27">
        <v>41780</v>
      </c>
      <c r="R70">
        <v>94.507999999999996</v>
      </c>
      <c r="S70" s="27">
        <v>42143</v>
      </c>
      <c r="T70">
        <v>4.3297999999999996</v>
      </c>
    </row>
    <row r="71" spans="3:20">
      <c r="C71" s="27">
        <v>40730</v>
      </c>
      <c r="D71">
        <v>6.7796000000000003</v>
      </c>
      <c r="E71" s="27">
        <v>43154</v>
      </c>
      <c r="F71">
        <v>99.052999999999997</v>
      </c>
      <c r="G71" s="27">
        <v>43297</v>
      </c>
      <c r="H71">
        <v>100.61799999999999</v>
      </c>
      <c r="I71" s="27">
        <v>44137</v>
      </c>
      <c r="J71">
        <v>107.03100000000001</v>
      </c>
      <c r="K71" s="27">
        <v>44137</v>
      </c>
      <c r="L71">
        <v>104.467</v>
      </c>
      <c r="M71" s="27">
        <v>41901</v>
      </c>
      <c r="N71">
        <v>109.459</v>
      </c>
      <c r="O71" s="27">
        <v>41562</v>
      </c>
      <c r="P71">
        <v>99.344999999999999</v>
      </c>
      <c r="Q71" s="27">
        <v>41781</v>
      </c>
      <c r="R71">
        <v>94.528000000000006</v>
      </c>
      <c r="S71" s="27">
        <v>42144</v>
      </c>
      <c r="T71">
        <v>4.3347999999999995</v>
      </c>
    </row>
    <row r="72" spans="3:20">
      <c r="C72" s="27">
        <v>40731</v>
      </c>
      <c r="D72">
        <v>6.7850999999999999</v>
      </c>
      <c r="E72" s="27">
        <v>43157</v>
      </c>
      <c r="F72">
        <v>99.054000000000002</v>
      </c>
      <c r="G72" s="27">
        <v>43298</v>
      </c>
      <c r="H72">
        <v>100.75</v>
      </c>
      <c r="I72" s="27">
        <v>44138</v>
      </c>
      <c r="J72">
        <v>106.514</v>
      </c>
      <c r="K72" s="27">
        <v>44138</v>
      </c>
      <c r="L72">
        <v>104.113</v>
      </c>
      <c r="M72" s="27">
        <v>41904</v>
      </c>
      <c r="N72">
        <v>109.73099999999999</v>
      </c>
      <c r="O72" s="27">
        <v>41563</v>
      </c>
      <c r="P72">
        <v>99.102000000000004</v>
      </c>
      <c r="Q72" s="27">
        <v>41782</v>
      </c>
      <c r="R72">
        <v>94.534000000000006</v>
      </c>
      <c r="S72" s="27">
        <v>42145</v>
      </c>
      <c r="T72">
        <v>4.2927999999999997</v>
      </c>
    </row>
    <row r="73" spans="3:20">
      <c r="C73" s="27">
        <v>40732</v>
      </c>
      <c r="D73">
        <v>6.8117000000000001</v>
      </c>
      <c r="E73" s="27">
        <v>43158</v>
      </c>
      <c r="F73">
        <v>99.055999999999997</v>
      </c>
      <c r="G73" s="27">
        <v>43299</v>
      </c>
      <c r="H73">
        <v>100.81399999999999</v>
      </c>
      <c r="I73" s="27">
        <v>44139</v>
      </c>
      <c r="J73">
        <v>107.35</v>
      </c>
      <c r="K73" s="27">
        <v>44139</v>
      </c>
      <c r="L73">
        <v>104.746</v>
      </c>
      <c r="M73" s="27">
        <v>41905</v>
      </c>
      <c r="N73">
        <v>109.874</v>
      </c>
      <c r="O73" s="27">
        <v>41564</v>
      </c>
      <c r="P73">
        <v>98.947999999999993</v>
      </c>
      <c r="Q73" s="27">
        <v>41785</v>
      </c>
      <c r="R73">
        <v>94.525999999999996</v>
      </c>
      <c r="S73" s="27">
        <v>42146</v>
      </c>
      <c r="T73">
        <v>4.2714999999999996</v>
      </c>
    </row>
    <row r="74" spans="3:20">
      <c r="C74" s="27">
        <v>40735</v>
      </c>
      <c r="D74">
        <v>6.6859999999999999</v>
      </c>
      <c r="E74" s="27">
        <v>43159</v>
      </c>
      <c r="F74">
        <v>99.058000000000007</v>
      </c>
      <c r="G74" s="27">
        <v>43300</v>
      </c>
      <c r="H74">
        <v>100.86</v>
      </c>
      <c r="I74" s="27">
        <v>44140</v>
      </c>
      <c r="J74">
        <v>108.089</v>
      </c>
      <c r="K74" s="27">
        <v>44140</v>
      </c>
      <c r="L74">
        <v>105.3</v>
      </c>
      <c r="M74" s="27">
        <v>41906</v>
      </c>
      <c r="N74">
        <v>110.22499999999999</v>
      </c>
      <c r="O74" s="27">
        <v>41565</v>
      </c>
      <c r="P74">
        <v>99.322999999999993</v>
      </c>
      <c r="Q74" s="27">
        <v>41786</v>
      </c>
      <c r="R74">
        <v>94.531000000000006</v>
      </c>
      <c r="S74" s="27">
        <v>42149</v>
      </c>
      <c r="T74">
        <v>4.2686000000000002</v>
      </c>
    </row>
    <row r="75" spans="3:20">
      <c r="C75" s="27">
        <v>40736</v>
      </c>
      <c r="D75">
        <v>6.5281000000000002</v>
      </c>
      <c r="E75" s="27">
        <v>43160</v>
      </c>
      <c r="F75">
        <v>99.061000000000007</v>
      </c>
      <c r="G75" s="27">
        <v>43301</v>
      </c>
      <c r="H75">
        <v>100.566</v>
      </c>
      <c r="I75" s="27">
        <v>44141</v>
      </c>
      <c r="J75">
        <v>107.813</v>
      </c>
      <c r="K75" s="27">
        <v>44141</v>
      </c>
      <c r="L75">
        <v>105.1</v>
      </c>
      <c r="M75" s="27">
        <v>41907</v>
      </c>
      <c r="N75">
        <v>110.402</v>
      </c>
      <c r="O75" s="27">
        <v>41568</v>
      </c>
      <c r="P75">
        <v>99.61</v>
      </c>
      <c r="Q75" s="27">
        <v>41787</v>
      </c>
      <c r="R75">
        <v>94.542000000000002</v>
      </c>
      <c r="S75" s="27">
        <v>42150</v>
      </c>
      <c r="T75">
        <v>4.2843</v>
      </c>
    </row>
    <row r="76" spans="3:20">
      <c r="C76" s="27">
        <v>40737</v>
      </c>
      <c r="D76">
        <v>6.5532000000000004</v>
      </c>
      <c r="E76" s="27">
        <v>43161</v>
      </c>
      <c r="F76">
        <v>99.061999999999998</v>
      </c>
      <c r="G76" s="27">
        <v>43304</v>
      </c>
      <c r="H76">
        <v>100.24</v>
      </c>
      <c r="I76" s="27">
        <v>44144</v>
      </c>
      <c r="J76">
        <v>106.32299999999999</v>
      </c>
      <c r="K76" s="27">
        <v>44144</v>
      </c>
      <c r="L76">
        <v>103.938</v>
      </c>
      <c r="M76" s="27">
        <v>41908</v>
      </c>
      <c r="N76">
        <v>106.258</v>
      </c>
      <c r="O76" s="27">
        <v>41569</v>
      </c>
      <c r="P76">
        <v>99.558000000000007</v>
      </c>
      <c r="Q76" s="27">
        <v>41788</v>
      </c>
      <c r="R76">
        <v>94.543999999999997</v>
      </c>
      <c r="S76" s="27">
        <v>42151</v>
      </c>
      <c r="T76">
        <v>4.2464000000000004</v>
      </c>
    </row>
    <row r="77" spans="3:20">
      <c r="C77" s="27">
        <v>40738</v>
      </c>
      <c r="D77">
        <v>6.5357000000000003</v>
      </c>
      <c r="E77" s="27">
        <v>43164</v>
      </c>
      <c r="F77">
        <v>99.061999999999998</v>
      </c>
      <c r="G77" s="27">
        <v>43305</v>
      </c>
      <c r="H77">
        <v>100.273</v>
      </c>
      <c r="I77" s="27">
        <v>44145</v>
      </c>
      <c r="J77">
        <v>106.02500000000001</v>
      </c>
      <c r="K77" s="27">
        <v>44145</v>
      </c>
      <c r="L77">
        <v>103.852</v>
      </c>
      <c r="M77" s="27">
        <v>41911</v>
      </c>
      <c r="N77">
        <v>105.14400000000001</v>
      </c>
      <c r="O77" s="27">
        <v>41570</v>
      </c>
      <c r="P77">
        <v>99.911000000000001</v>
      </c>
      <c r="Q77" s="27">
        <v>41789</v>
      </c>
      <c r="R77">
        <v>94.561000000000007</v>
      </c>
      <c r="S77" s="27">
        <v>42152</v>
      </c>
      <c r="T77">
        <v>4.1811999999999996</v>
      </c>
    </row>
    <row r="78" spans="3:20">
      <c r="C78" s="27">
        <v>40739</v>
      </c>
      <c r="D78">
        <v>6.4577999999999998</v>
      </c>
      <c r="E78" s="27">
        <v>43165</v>
      </c>
      <c r="F78">
        <v>99.063000000000002</v>
      </c>
      <c r="G78" s="27">
        <v>43306</v>
      </c>
      <c r="H78">
        <v>100.331</v>
      </c>
      <c r="I78" s="27">
        <v>44146</v>
      </c>
      <c r="J78">
        <v>105.46899999999999</v>
      </c>
      <c r="K78" s="27">
        <v>44146</v>
      </c>
      <c r="L78">
        <v>103.27800000000001</v>
      </c>
      <c r="M78" s="27">
        <v>41912</v>
      </c>
      <c r="N78">
        <v>105.008</v>
      </c>
      <c r="O78" s="27">
        <v>41571</v>
      </c>
      <c r="P78">
        <v>100.01900000000001</v>
      </c>
      <c r="Q78" s="27">
        <v>41792</v>
      </c>
      <c r="R78">
        <v>94.552000000000007</v>
      </c>
      <c r="S78" s="27">
        <v>42153</v>
      </c>
      <c r="T78">
        <v>4.1086999999999998</v>
      </c>
    </row>
    <row r="79" spans="3:20">
      <c r="C79" s="27">
        <v>40742</v>
      </c>
      <c r="D79">
        <v>6.3948</v>
      </c>
      <c r="E79" s="27">
        <v>43166</v>
      </c>
      <c r="F79">
        <v>99.061000000000007</v>
      </c>
      <c r="G79" s="27">
        <v>43307</v>
      </c>
      <c r="H79">
        <v>100.22199999999999</v>
      </c>
      <c r="I79" s="27">
        <v>44147</v>
      </c>
      <c r="J79">
        <v>107.181</v>
      </c>
      <c r="K79" s="27">
        <v>44147</v>
      </c>
      <c r="L79">
        <v>104.667</v>
      </c>
      <c r="M79" s="27">
        <v>41913</v>
      </c>
      <c r="N79">
        <v>105.22499999999999</v>
      </c>
      <c r="O79" s="27">
        <v>41572</v>
      </c>
      <c r="P79">
        <v>99.98</v>
      </c>
      <c r="Q79" s="27">
        <v>41793</v>
      </c>
      <c r="R79">
        <v>94.558000000000007</v>
      </c>
      <c r="S79" s="27">
        <v>42156</v>
      </c>
      <c r="T79">
        <v>4.1075999999999997</v>
      </c>
    </row>
    <row r="80" spans="3:20">
      <c r="C80" s="27">
        <v>40743</v>
      </c>
      <c r="D80">
        <v>6.3944999999999999</v>
      </c>
      <c r="E80" s="27">
        <v>43167</v>
      </c>
      <c r="F80">
        <v>99.063999999999993</v>
      </c>
      <c r="G80" s="27">
        <v>43308</v>
      </c>
      <c r="H80">
        <v>100.175</v>
      </c>
      <c r="I80" s="27">
        <v>44148</v>
      </c>
      <c r="J80">
        <v>107.651</v>
      </c>
      <c r="K80" s="27">
        <v>44148</v>
      </c>
      <c r="L80">
        <v>105.068</v>
      </c>
      <c r="M80" s="27">
        <v>41914</v>
      </c>
      <c r="N80">
        <v>105.121</v>
      </c>
      <c r="O80" s="27">
        <v>41575</v>
      </c>
      <c r="P80">
        <v>100.026</v>
      </c>
      <c r="Q80" s="27">
        <v>41794</v>
      </c>
      <c r="R80">
        <v>94.58</v>
      </c>
      <c r="S80" s="27">
        <v>42157</v>
      </c>
      <c r="T80">
        <v>4.1832000000000003</v>
      </c>
    </row>
    <row r="81" spans="3:20">
      <c r="C81" s="27">
        <v>40744</v>
      </c>
      <c r="D81">
        <v>6.4718</v>
      </c>
      <c r="E81" s="27">
        <v>43168</v>
      </c>
      <c r="F81">
        <v>99.093999999999994</v>
      </c>
      <c r="G81" s="27">
        <v>43311</v>
      </c>
      <c r="H81">
        <v>99.748999999999995</v>
      </c>
      <c r="I81" s="27">
        <v>44151</v>
      </c>
      <c r="J81">
        <v>107.444</v>
      </c>
      <c r="K81" s="27">
        <v>44151</v>
      </c>
      <c r="L81">
        <v>104.854</v>
      </c>
      <c r="M81" s="27">
        <v>41915</v>
      </c>
      <c r="N81">
        <v>104.97</v>
      </c>
      <c r="O81" s="27">
        <v>41576</v>
      </c>
      <c r="P81">
        <v>100.06699999999999</v>
      </c>
      <c r="Q81" s="27">
        <v>41795</v>
      </c>
      <c r="R81">
        <v>94.582999999999998</v>
      </c>
      <c r="S81" s="27">
        <v>42158</v>
      </c>
      <c r="T81">
        <v>4.2885999999999997</v>
      </c>
    </row>
    <row r="82" spans="3:20">
      <c r="C82" s="27">
        <v>40745</v>
      </c>
      <c r="D82">
        <v>6.4663000000000004</v>
      </c>
      <c r="E82" s="27">
        <v>43171</v>
      </c>
      <c r="F82">
        <v>99.094999999999999</v>
      </c>
      <c r="G82" s="27">
        <v>43312</v>
      </c>
      <c r="H82">
        <v>99.659000000000006</v>
      </c>
      <c r="I82" s="27">
        <v>44152</v>
      </c>
      <c r="J82">
        <v>107.66</v>
      </c>
      <c r="K82" s="27">
        <v>44152</v>
      </c>
      <c r="L82">
        <v>105.009</v>
      </c>
      <c r="M82" s="27">
        <v>41918</v>
      </c>
      <c r="N82">
        <v>105.122</v>
      </c>
      <c r="O82" s="27">
        <v>41577</v>
      </c>
      <c r="P82">
        <v>100.191</v>
      </c>
      <c r="Q82" s="27">
        <v>41796</v>
      </c>
      <c r="R82">
        <v>94.59</v>
      </c>
      <c r="S82" s="27">
        <v>42159</v>
      </c>
      <c r="T82">
        <v>4.3682999999999996</v>
      </c>
    </row>
    <row r="83" spans="3:20">
      <c r="C83" s="27">
        <v>40746</v>
      </c>
      <c r="D83">
        <v>6.5110999999999999</v>
      </c>
      <c r="E83" s="27">
        <v>43172</v>
      </c>
      <c r="F83">
        <v>99.096000000000004</v>
      </c>
      <c r="G83" s="27">
        <v>43313</v>
      </c>
      <c r="H83">
        <v>99.322999999999993</v>
      </c>
      <c r="I83" s="27">
        <v>44153</v>
      </c>
      <c r="J83">
        <v>107.994</v>
      </c>
      <c r="K83" s="27">
        <v>44153</v>
      </c>
      <c r="L83">
        <v>105.229</v>
      </c>
      <c r="M83" s="27">
        <v>41919</v>
      </c>
      <c r="N83">
        <v>105.149</v>
      </c>
      <c r="O83" s="27">
        <v>41578</v>
      </c>
      <c r="P83">
        <v>100.524</v>
      </c>
      <c r="Q83" s="27">
        <v>41800</v>
      </c>
      <c r="R83">
        <v>94.594999999999999</v>
      </c>
      <c r="S83" s="27">
        <v>42160</v>
      </c>
      <c r="T83">
        <v>4.3711000000000002</v>
      </c>
    </row>
    <row r="84" spans="3:20">
      <c r="C84" s="27">
        <v>40749</v>
      </c>
      <c r="D84">
        <v>6.4484000000000004</v>
      </c>
      <c r="E84" s="27">
        <v>43173</v>
      </c>
      <c r="F84">
        <v>99.097999999999999</v>
      </c>
      <c r="G84" s="27">
        <v>43314</v>
      </c>
      <c r="H84">
        <v>99.451999999999998</v>
      </c>
      <c r="I84" s="27">
        <v>44154</v>
      </c>
      <c r="J84">
        <v>108.25</v>
      </c>
      <c r="K84" s="27">
        <v>44154</v>
      </c>
      <c r="L84">
        <v>105.428</v>
      </c>
      <c r="M84" s="27">
        <v>41920</v>
      </c>
      <c r="N84">
        <v>105.279</v>
      </c>
      <c r="O84" s="27">
        <v>41579</v>
      </c>
      <c r="P84">
        <v>100.79</v>
      </c>
      <c r="Q84" s="27">
        <v>41801</v>
      </c>
      <c r="R84">
        <v>94.61</v>
      </c>
      <c r="S84" s="27">
        <v>42164</v>
      </c>
      <c r="T84">
        <v>4.3407</v>
      </c>
    </row>
    <row r="85" spans="3:20">
      <c r="C85" s="27">
        <v>40750</v>
      </c>
      <c r="D85">
        <v>6.4911000000000003</v>
      </c>
      <c r="E85" s="27">
        <v>43174</v>
      </c>
      <c r="F85">
        <v>99.085999999999999</v>
      </c>
      <c r="G85" s="27">
        <v>43315</v>
      </c>
      <c r="H85">
        <v>99.912999999999997</v>
      </c>
      <c r="I85" s="27">
        <v>44155</v>
      </c>
      <c r="J85">
        <v>109.13200000000001</v>
      </c>
      <c r="K85" s="27">
        <v>44155</v>
      </c>
      <c r="L85">
        <v>106.074</v>
      </c>
      <c r="M85" s="27">
        <v>41921</v>
      </c>
      <c r="N85">
        <v>105.423</v>
      </c>
      <c r="O85" s="27">
        <v>41582</v>
      </c>
      <c r="P85">
        <v>100.745</v>
      </c>
      <c r="Q85" s="27">
        <v>41802</v>
      </c>
      <c r="R85">
        <v>94.611999999999995</v>
      </c>
      <c r="S85" s="27">
        <v>42165</v>
      </c>
      <c r="T85">
        <v>4.3837999999999999</v>
      </c>
    </row>
    <row r="86" spans="3:20">
      <c r="C86" s="27">
        <v>40751</v>
      </c>
      <c r="D86">
        <v>6.6040000000000001</v>
      </c>
      <c r="E86" s="27">
        <v>43175</v>
      </c>
      <c r="F86">
        <v>99.088999999999999</v>
      </c>
      <c r="G86" s="27">
        <v>43318</v>
      </c>
      <c r="H86">
        <v>100.032</v>
      </c>
      <c r="I86" s="27">
        <v>44158</v>
      </c>
      <c r="J86">
        <v>109.312</v>
      </c>
      <c r="K86" s="27">
        <v>44158</v>
      </c>
      <c r="L86">
        <v>106.16500000000001</v>
      </c>
      <c r="M86" s="27">
        <v>41922</v>
      </c>
      <c r="N86">
        <v>105.673</v>
      </c>
      <c r="O86" s="27">
        <v>41583</v>
      </c>
      <c r="P86">
        <v>100.83499999999999</v>
      </c>
      <c r="Q86" s="27">
        <v>41803</v>
      </c>
      <c r="R86">
        <v>94.613</v>
      </c>
      <c r="S86" s="27">
        <v>42166</v>
      </c>
      <c r="T86">
        <v>4.4926000000000004</v>
      </c>
    </row>
    <row r="87" spans="3:20">
      <c r="C87" s="27">
        <v>40752</v>
      </c>
      <c r="D87">
        <v>6.5796999999999999</v>
      </c>
      <c r="E87" s="27">
        <v>43178</v>
      </c>
      <c r="F87">
        <v>99.09</v>
      </c>
      <c r="G87" s="27">
        <v>43319</v>
      </c>
      <c r="H87">
        <v>99.882999999999996</v>
      </c>
      <c r="I87" s="27">
        <v>44159</v>
      </c>
      <c r="J87">
        <v>108.82899999999999</v>
      </c>
      <c r="K87" s="27">
        <v>44159</v>
      </c>
      <c r="L87">
        <v>105.75</v>
      </c>
      <c r="M87" s="27">
        <v>41925</v>
      </c>
      <c r="N87">
        <v>105.696</v>
      </c>
      <c r="O87" s="27">
        <v>41584</v>
      </c>
      <c r="P87">
        <v>100.47</v>
      </c>
      <c r="Q87" s="27">
        <v>41806</v>
      </c>
      <c r="R87">
        <v>94.619</v>
      </c>
      <c r="S87" s="27">
        <v>42167</v>
      </c>
      <c r="T87">
        <v>4.4016999999999999</v>
      </c>
    </row>
    <row r="88" spans="3:20">
      <c r="C88" s="27">
        <v>40753</v>
      </c>
      <c r="D88">
        <v>6.4457000000000004</v>
      </c>
      <c r="E88" s="27">
        <v>43179</v>
      </c>
      <c r="F88">
        <v>99.084000000000003</v>
      </c>
      <c r="G88" s="27">
        <v>43320</v>
      </c>
      <c r="H88">
        <v>99.921000000000006</v>
      </c>
      <c r="I88" s="27">
        <v>44160</v>
      </c>
      <c r="J88">
        <v>108.7</v>
      </c>
      <c r="K88" s="27">
        <v>44160</v>
      </c>
      <c r="L88">
        <v>105.703</v>
      </c>
      <c r="M88" s="27">
        <v>41926</v>
      </c>
      <c r="N88">
        <v>106.21</v>
      </c>
      <c r="O88" s="27">
        <v>41585</v>
      </c>
      <c r="P88">
        <v>100.465</v>
      </c>
      <c r="Q88" s="27">
        <v>41807</v>
      </c>
      <c r="R88">
        <v>94.619</v>
      </c>
      <c r="S88" s="27">
        <v>42170</v>
      </c>
      <c r="T88">
        <v>4.3857999999999997</v>
      </c>
    </row>
    <row r="89" spans="3:20">
      <c r="C89" s="27">
        <v>40756</v>
      </c>
      <c r="D89">
        <v>6.5693000000000001</v>
      </c>
      <c r="E89" s="27">
        <v>43180</v>
      </c>
      <c r="F89">
        <v>99.088999999999999</v>
      </c>
      <c r="G89" s="27">
        <v>43321</v>
      </c>
      <c r="H89">
        <v>100.176</v>
      </c>
      <c r="I89" s="27">
        <v>44161</v>
      </c>
      <c r="J89">
        <v>109.021</v>
      </c>
      <c r="K89" s="27">
        <v>44161</v>
      </c>
      <c r="L89">
        <v>106.001</v>
      </c>
      <c r="M89" s="27">
        <v>41927</v>
      </c>
      <c r="N89">
        <v>107.489</v>
      </c>
      <c r="O89" s="27">
        <v>41586</v>
      </c>
      <c r="P89">
        <v>100.89700000000001</v>
      </c>
      <c r="Q89" s="27">
        <v>41808</v>
      </c>
      <c r="R89">
        <v>94.635000000000005</v>
      </c>
      <c r="S89" s="27">
        <v>42171</v>
      </c>
      <c r="T89">
        <v>4.3731999999999998</v>
      </c>
    </row>
    <row r="90" spans="3:20">
      <c r="C90" s="27">
        <v>40757</v>
      </c>
      <c r="D90">
        <v>6.3041999999999998</v>
      </c>
      <c r="E90" s="27">
        <v>43181</v>
      </c>
      <c r="F90">
        <v>99.09</v>
      </c>
      <c r="G90" s="27">
        <v>43322</v>
      </c>
      <c r="H90">
        <v>100.678</v>
      </c>
      <c r="I90" s="27">
        <v>44162</v>
      </c>
      <c r="J90">
        <v>109.191</v>
      </c>
      <c r="K90" s="27">
        <v>44162</v>
      </c>
      <c r="L90">
        <v>106.123</v>
      </c>
      <c r="M90" s="27">
        <v>41928</v>
      </c>
      <c r="N90">
        <v>107.24</v>
      </c>
      <c r="O90" s="27">
        <v>41589</v>
      </c>
      <c r="P90">
        <v>100.42700000000001</v>
      </c>
      <c r="Q90" s="27">
        <v>41809</v>
      </c>
      <c r="R90">
        <v>94.757999999999996</v>
      </c>
      <c r="S90" s="27">
        <v>42172</v>
      </c>
      <c r="T90">
        <v>4.3608000000000002</v>
      </c>
    </row>
    <row r="91" spans="3:20">
      <c r="C91" s="27">
        <v>40758</v>
      </c>
      <c r="D91">
        <v>6.1553000000000004</v>
      </c>
      <c r="E91" s="27">
        <v>43182</v>
      </c>
      <c r="F91">
        <v>99.091999999999999</v>
      </c>
      <c r="G91" s="27">
        <v>43325</v>
      </c>
      <c r="H91">
        <v>100.678</v>
      </c>
      <c r="I91" s="27">
        <v>44165</v>
      </c>
      <c r="J91">
        <v>109.251</v>
      </c>
      <c r="K91" s="27">
        <v>44165</v>
      </c>
      <c r="L91">
        <v>106.151</v>
      </c>
      <c r="M91" s="27">
        <v>41929</v>
      </c>
      <c r="N91">
        <v>106.63800000000001</v>
      </c>
      <c r="O91" s="27">
        <v>41590</v>
      </c>
      <c r="P91">
        <v>100.414</v>
      </c>
      <c r="Q91" s="27">
        <v>41810</v>
      </c>
      <c r="R91">
        <v>94.741</v>
      </c>
      <c r="S91" s="27">
        <v>42173</v>
      </c>
      <c r="T91">
        <v>4.2603999999999997</v>
      </c>
    </row>
    <row r="92" spans="3:20">
      <c r="C92" s="27">
        <v>40759</v>
      </c>
      <c r="D92">
        <v>6.2606000000000002</v>
      </c>
      <c r="E92" s="27">
        <v>43185</v>
      </c>
      <c r="F92">
        <v>99.093999999999994</v>
      </c>
      <c r="G92" s="27">
        <v>43326</v>
      </c>
      <c r="H92">
        <v>100.467</v>
      </c>
      <c r="I92" s="27">
        <v>44166</v>
      </c>
      <c r="J92">
        <v>108.495</v>
      </c>
      <c r="K92" s="27">
        <v>44166</v>
      </c>
      <c r="L92">
        <v>105.461</v>
      </c>
      <c r="M92" s="27">
        <v>41932</v>
      </c>
      <c r="N92">
        <v>106.538</v>
      </c>
      <c r="O92" s="27">
        <v>41591</v>
      </c>
      <c r="P92">
        <v>100.27200000000001</v>
      </c>
      <c r="Q92" s="27">
        <v>41813</v>
      </c>
      <c r="R92">
        <v>94.747</v>
      </c>
      <c r="S92" s="27">
        <v>42174</v>
      </c>
      <c r="T92">
        <v>4.2580999999999998</v>
      </c>
    </row>
    <row r="93" spans="3:20">
      <c r="C93" s="27">
        <v>40760</v>
      </c>
      <c r="D93">
        <v>5.8647999999999998</v>
      </c>
      <c r="E93" s="27">
        <v>43186</v>
      </c>
      <c r="F93">
        <v>99.094999999999999</v>
      </c>
      <c r="G93" s="27">
        <v>43327</v>
      </c>
      <c r="H93">
        <v>100.65900000000001</v>
      </c>
      <c r="I93" s="27">
        <v>44167</v>
      </c>
      <c r="J93">
        <v>108.036</v>
      </c>
      <c r="K93" s="27">
        <v>44167</v>
      </c>
      <c r="L93">
        <v>105.08</v>
      </c>
      <c r="M93" s="27">
        <v>41933</v>
      </c>
      <c r="N93">
        <v>106.14100000000001</v>
      </c>
      <c r="O93" s="27">
        <v>41592</v>
      </c>
      <c r="P93">
        <v>100.64</v>
      </c>
      <c r="Q93" s="27">
        <v>41814</v>
      </c>
      <c r="R93">
        <v>94.747</v>
      </c>
      <c r="S93" s="27">
        <v>42177</v>
      </c>
      <c r="T93">
        <v>4.3232999999999997</v>
      </c>
    </row>
    <row r="94" spans="3:20">
      <c r="C94" s="27">
        <v>40763</v>
      </c>
      <c r="D94">
        <v>6.0791000000000004</v>
      </c>
      <c r="E94" s="27">
        <v>43187</v>
      </c>
      <c r="F94">
        <v>99.102999999999994</v>
      </c>
      <c r="G94" s="27">
        <v>43328</v>
      </c>
      <c r="H94">
        <v>100.636</v>
      </c>
      <c r="I94" s="27">
        <v>44168</v>
      </c>
      <c r="J94">
        <v>108.042</v>
      </c>
      <c r="K94" s="27">
        <v>44168</v>
      </c>
      <c r="L94">
        <v>104.965</v>
      </c>
      <c r="M94" s="27">
        <v>41934</v>
      </c>
      <c r="N94">
        <v>106.19</v>
      </c>
      <c r="O94" s="27">
        <v>41593</v>
      </c>
      <c r="P94">
        <v>100.748</v>
      </c>
      <c r="Q94" s="27">
        <v>41815</v>
      </c>
      <c r="R94">
        <v>94.775999999999996</v>
      </c>
      <c r="S94" s="27">
        <v>42178</v>
      </c>
      <c r="T94">
        <v>4.4343000000000004</v>
      </c>
    </row>
    <row r="95" spans="3:20">
      <c r="C95" s="27">
        <v>40764</v>
      </c>
      <c r="D95">
        <v>6.0622999999999996</v>
      </c>
      <c r="E95" s="27">
        <v>43188</v>
      </c>
      <c r="F95">
        <v>99.105999999999995</v>
      </c>
      <c r="G95" s="27">
        <v>43329</v>
      </c>
      <c r="H95">
        <v>100.827</v>
      </c>
      <c r="I95" s="27">
        <v>44169</v>
      </c>
      <c r="J95">
        <v>107.11799999999999</v>
      </c>
      <c r="K95" s="27">
        <v>44169</v>
      </c>
      <c r="L95">
        <v>104.307</v>
      </c>
      <c r="M95" s="27">
        <v>41935</v>
      </c>
      <c r="N95">
        <v>105.97199999999999</v>
      </c>
      <c r="O95" s="27">
        <v>41596</v>
      </c>
      <c r="P95">
        <v>100.712</v>
      </c>
      <c r="Q95" s="27">
        <v>41817</v>
      </c>
      <c r="R95">
        <v>94.781000000000006</v>
      </c>
      <c r="S95" s="27">
        <v>42179</v>
      </c>
      <c r="T95">
        <v>4.3845999999999998</v>
      </c>
    </row>
    <row r="96" spans="3:20">
      <c r="C96" s="27">
        <v>40765</v>
      </c>
      <c r="D96">
        <v>6.1044999999999998</v>
      </c>
      <c r="E96" s="27">
        <v>43193</v>
      </c>
      <c r="F96">
        <v>99.108000000000004</v>
      </c>
      <c r="G96" s="27">
        <v>43332</v>
      </c>
      <c r="H96">
        <v>100.83</v>
      </c>
      <c r="I96" s="27">
        <v>44172</v>
      </c>
      <c r="J96">
        <v>107.77200000000001</v>
      </c>
      <c r="K96" s="27">
        <v>44172</v>
      </c>
      <c r="L96">
        <v>104.782</v>
      </c>
      <c r="M96" s="27">
        <v>41936</v>
      </c>
      <c r="N96">
        <v>106.01900000000001</v>
      </c>
      <c r="O96" s="27">
        <v>41597</v>
      </c>
      <c r="P96">
        <v>100.809</v>
      </c>
      <c r="Q96" s="27">
        <v>41820</v>
      </c>
      <c r="R96">
        <v>94.793000000000006</v>
      </c>
      <c r="S96" s="27">
        <v>42180</v>
      </c>
      <c r="T96">
        <v>4.4005999999999998</v>
      </c>
    </row>
    <row r="97" spans="3:20">
      <c r="C97" s="27">
        <v>40766</v>
      </c>
      <c r="D97">
        <v>5.9565999999999999</v>
      </c>
      <c r="E97" s="27">
        <v>43194</v>
      </c>
      <c r="F97">
        <v>99.111999999999995</v>
      </c>
      <c r="G97" s="27">
        <v>43333</v>
      </c>
      <c r="H97">
        <v>100.54900000000001</v>
      </c>
      <c r="I97" s="27">
        <v>44173</v>
      </c>
      <c r="J97">
        <v>108.235</v>
      </c>
      <c r="K97" s="27">
        <v>44173</v>
      </c>
      <c r="L97">
        <v>105.101</v>
      </c>
      <c r="M97" s="27">
        <v>41939</v>
      </c>
      <c r="N97">
        <v>106.16</v>
      </c>
      <c r="O97" s="27">
        <v>41598</v>
      </c>
      <c r="P97">
        <v>100.613</v>
      </c>
      <c r="Q97" s="27">
        <v>41821</v>
      </c>
      <c r="R97">
        <v>94.777000000000001</v>
      </c>
      <c r="S97" s="27">
        <v>42181</v>
      </c>
      <c r="T97">
        <v>4.4141000000000004</v>
      </c>
    </row>
    <row r="98" spans="3:20">
      <c r="C98" s="27">
        <v>40767</v>
      </c>
      <c r="D98">
        <v>5.9671000000000003</v>
      </c>
      <c r="E98" s="27">
        <v>43195</v>
      </c>
      <c r="F98">
        <v>99.117000000000004</v>
      </c>
      <c r="G98" s="27">
        <v>43334</v>
      </c>
      <c r="H98">
        <v>100.374</v>
      </c>
      <c r="I98" s="27">
        <v>44174</v>
      </c>
      <c r="J98">
        <v>108.036</v>
      </c>
      <c r="K98" s="27">
        <v>44174</v>
      </c>
      <c r="L98">
        <v>104.907</v>
      </c>
      <c r="M98" s="27">
        <v>41940</v>
      </c>
      <c r="N98">
        <v>106.593</v>
      </c>
      <c r="O98" s="27">
        <v>41599</v>
      </c>
      <c r="P98">
        <v>100.64</v>
      </c>
      <c r="Q98" s="27">
        <v>41822</v>
      </c>
      <c r="R98">
        <v>94.787000000000006</v>
      </c>
      <c r="S98" s="27">
        <v>42184</v>
      </c>
      <c r="T98">
        <v>4.3399000000000001</v>
      </c>
    </row>
    <row r="99" spans="3:20">
      <c r="C99" s="27">
        <v>40770</v>
      </c>
      <c r="D99">
        <v>6.0555000000000003</v>
      </c>
      <c r="E99" s="27">
        <v>43196</v>
      </c>
      <c r="F99">
        <v>99.123000000000005</v>
      </c>
      <c r="G99" s="27">
        <v>43335</v>
      </c>
      <c r="H99">
        <v>100.29300000000001</v>
      </c>
      <c r="I99" s="27">
        <v>44175</v>
      </c>
      <c r="J99">
        <v>108.303</v>
      </c>
      <c r="K99" s="27">
        <v>44175</v>
      </c>
      <c r="L99">
        <v>105.09399999999999</v>
      </c>
      <c r="M99" s="27">
        <v>41941</v>
      </c>
      <c r="N99">
        <v>107.224</v>
      </c>
      <c r="O99" s="27">
        <v>41600</v>
      </c>
      <c r="P99">
        <v>100.568</v>
      </c>
      <c r="Q99" s="27">
        <v>41823</v>
      </c>
      <c r="R99">
        <v>94.787000000000006</v>
      </c>
      <c r="S99" s="27">
        <v>42185</v>
      </c>
      <c r="T99">
        <v>4.3722000000000003</v>
      </c>
    </row>
    <row r="100" spans="3:20">
      <c r="C100" s="27">
        <v>40771</v>
      </c>
      <c r="D100">
        <v>6.0323000000000002</v>
      </c>
      <c r="E100" s="27">
        <v>43199</v>
      </c>
      <c r="F100">
        <v>99.125</v>
      </c>
      <c r="G100" s="27">
        <v>43336</v>
      </c>
      <c r="H100">
        <v>100.20099999999999</v>
      </c>
      <c r="I100" s="27">
        <v>44176</v>
      </c>
      <c r="J100">
        <v>109.459</v>
      </c>
      <c r="K100" s="27">
        <v>44176</v>
      </c>
      <c r="L100">
        <v>105.86</v>
      </c>
      <c r="M100" s="27">
        <v>41942</v>
      </c>
      <c r="N100">
        <v>107.746</v>
      </c>
      <c r="O100" s="27">
        <v>41603</v>
      </c>
      <c r="P100">
        <v>100.506</v>
      </c>
      <c r="Q100" s="27">
        <v>41824</v>
      </c>
      <c r="R100">
        <v>94.792000000000002</v>
      </c>
      <c r="S100" s="27">
        <v>42186</v>
      </c>
      <c r="T100">
        <v>4.3533999999999997</v>
      </c>
    </row>
    <row r="101" spans="3:20">
      <c r="C101" s="27">
        <v>40772</v>
      </c>
      <c r="D101">
        <v>5.9965999999999999</v>
      </c>
      <c r="E101" s="27">
        <v>43200</v>
      </c>
      <c r="F101">
        <v>99.126000000000005</v>
      </c>
      <c r="G101" s="27">
        <v>43339</v>
      </c>
      <c r="H101">
        <v>100.056</v>
      </c>
      <c r="I101" s="27">
        <v>44179</v>
      </c>
      <c r="J101">
        <v>109.19</v>
      </c>
      <c r="K101" s="27">
        <v>44179</v>
      </c>
      <c r="L101">
        <v>105.613</v>
      </c>
      <c r="M101" s="27">
        <v>41943</v>
      </c>
      <c r="N101">
        <v>107.685</v>
      </c>
      <c r="O101" s="27">
        <v>41604</v>
      </c>
      <c r="P101">
        <v>100.66200000000001</v>
      </c>
      <c r="Q101" s="27">
        <v>41827</v>
      </c>
      <c r="R101">
        <v>94.790999999999997</v>
      </c>
      <c r="S101" s="27">
        <v>42187</v>
      </c>
      <c r="T101">
        <v>4.4265999999999996</v>
      </c>
    </row>
    <row r="102" spans="3:20">
      <c r="C102" s="27">
        <v>40773</v>
      </c>
      <c r="D102">
        <v>5.8960999999999997</v>
      </c>
      <c r="E102" s="27">
        <v>43201</v>
      </c>
      <c r="F102">
        <v>99.128</v>
      </c>
      <c r="G102" s="27">
        <v>43340</v>
      </c>
      <c r="H102">
        <v>99.867999999999995</v>
      </c>
      <c r="I102" s="27">
        <v>44180</v>
      </c>
      <c r="J102">
        <v>109.095</v>
      </c>
      <c r="K102" s="27">
        <v>44180</v>
      </c>
      <c r="L102">
        <v>105.488</v>
      </c>
      <c r="M102" s="27">
        <v>41946</v>
      </c>
      <c r="N102">
        <v>107.78400000000001</v>
      </c>
      <c r="O102" s="27">
        <v>41605</v>
      </c>
      <c r="P102">
        <v>100.834</v>
      </c>
      <c r="Q102" s="27">
        <v>41828</v>
      </c>
      <c r="R102">
        <v>94.796000000000006</v>
      </c>
      <c r="S102" s="27">
        <v>42188</v>
      </c>
      <c r="T102">
        <v>4.3715999999999999</v>
      </c>
    </row>
    <row r="103" spans="3:20">
      <c r="C103" s="27">
        <v>40774</v>
      </c>
      <c r="D103">
        <v>5.7717000000000001</v>
      </c>
      <c r="E103" s="27">
        <v>43202</v>
      </c>
      <c r="F103">
        <v>99.132999999999996</v>
      </c>
      <c r="G103" s="27">
        <v>43341</v>
      </c>
      <c r="H103">
        <v>99.649000000000001</v>
      </c>
      <c r="I103" s="27">
        <v>44181</v>
      </c>
      <c r="J103">
        <v>108.871</v>
      </c>
      <c r="K103" s="27">
        <v>44181</v>
      </c>
      <c r="L103">
        <v>105.371</v>
      </c>
      <c r="M103" s="27">
        <v>41947</v>
      </c>
      <c r="N103">
        <v>108.096</v>
      </c>
      <c r="O103" s="27">
        <v>41606</v>
      </c>
      <c r="P103">
        <v>100.71299999999999</v>
      </c>
      <c r="Q103" s="27">
        <v>41829</v>
      </c>
      <c r="R103">
        <v>94.83</v>
      </c>
      <c r="S103" s="27">
        <v>42191</v>
      </c>
      <c r="T103">
        <v>4.3152999999999997</v>
      </c>
    </row>
    <row r="104" spans="3:20">
      <c r="C104" s="27">
        <v>40777</v>
      </c>
      <c r="D104">
        <v>5.8619000000000003</v>
      </c>
      <c r="E104" s="27">
        <v>43203</v>
      </c>
      <c r="F104">
        <v>99.135000000000005</v>
      </c>
      <c r="G104" s="27">
        <v>43342</v>
      </c>
      <c r="H104">
        <v>99.986999999999995</v>
      </c>
      <c r="I104" s="27">
        <v>44182</v>
      </c>
      <c r="J104">
        <v>109.10899999999999</v>
      </c>
      <c r="K104" s="27">
        <v>44182</v>
      </c>
      <c r="L104">
        <v>105.50700000000001</v>
      </c>
      <c r="M104" s="27">
        <v>41948</v>
      </c>
      <c r="N104">
        <v>108.03700000000001</v>
      </c>
      <c r="O104" s="27">
        <v>41607</v>
      </c>
      <c r="P104">
        <v>100.795</v>
      </c>
      <c r="Q104" s="27">
        <v>41830</v>
      </c>
      <c r="R104">
        <v>94.838999999999999</v>
      </c>
      <c r="S104" s="27">
        <v>42192</v>
      </c>
      <c r="T104">
        <v>4.2752999999999997</v>
      </c>
    </row>
    <row r="105" spans="3:20">
      <c r="C105" s="27">
        <v>40778</v>
      </c>
      <c r="D105">
        <v>5.9848999999999997</v>
      </c>
      <c r="E105" s="27">
        <v>43206</v>
      </c>
      <c r="F105">
        <v>99.143000000000001</v>
      </c>
      <c r="G105" s="27">
        <v>43343</v>
      </c>
      <c r="H105">
        <v>100.229</v>
      </c>
      <c r="I105" s="27">
        <v>44183</v>
      </c>
      <c r="J105">
        <v>109.06399999999999</v>
      </c>
      <c r="K105" s="27">
        <v>44183</v>
      </c>
      <c r="L105">
        <v>105.492</v>
      </c>
      <c r="M105" s="27">
        <v>41949</v>
      </c>
      <c r="N105">
        <v>107.821</v>
      </c>
      <c r="O105" s="27">
        <v>41610</v>
      </c>
      <c r="P105">
        <v>100.83199999999999</v>
      </c>
      <c r="Q105" s="27">
        <v>41831</v>
      </c>
      <c r="R105">
        <v>94.847999999999999</v>
      </c>
      <c r="S105" s="27">
        <v>42193</v>
      </c>
      <c r="T105">
        <v>4.1657000000000002</v>
      </c>
    </row>
    <row r="106" spans="3:20">
      <c r="C106" s="27">
        <v>40779</v>
      </c>
      <c r="D106">
        <v>5.9457000000000004</v>
      </c>
      <c r="E106" s="27">
        <v>43207</v>
      </c>
      <c r="F106">
        <v>99.144999999999996</v>
      </c>
      <c r="G106" s="27">
        <v>43346</v>
      </c>
      <c r="H106">
        <v>100.178</v>
      </c>
      <c r="I106" s="27">
        <v>44186</v>
      </c>
      <c r="J106">
        <v>109.40300000000001</v>
      </c>
      <c r="K106" s="27">
        <v>44186</v>
      </c>
      <c r="L106">
        <v>105.687</v>
      </c>
      <c r="M106" s="27">
        <v>41950</v>
      </c>
      <c r="N106">
        <v>107.851</v>
      </c>
      <c r="O106" s="27">
        <v>41611</v>
      </c>
      <c r="P106">
        <v>100.614</v>
      </c>
      <c r="Q106" s="27">
        <v>41834</v>
      </c>
      <c r="R106">
        <v>94.850999999999999</v>
      </c>
      <c r="S106" s="27">
        <v>42194</v>
      </c>
      <c r="T106">
        <v>4.2173999999999996</v>
      </c>
    </row>
    <row r="107" spans="3:20">
      <c r="C107" s="27">
        <v>40780</v>
      </c>
      <c r="D107">
        <v>6.0296000000000003</v>
      </c>
      <c r="E107" s="27">
        <v>43208</v>
      </c>
      <c r="F107">
        <v>99.147000000000006</v>
      </c>
      <c r="G107" s="27">
        <v>43347</v>
      </c>
      <c r="H107">
        <v>99.98</v>
      </c>
      <c r="I107" s="27">
        <v>44187</v>
      </c>
      <c r="J107">
        <v>109.63500000000001</v>
      </c>
      <c r="K107" s="27">
        <v>44187</v>
      </c>
      <c r="L107">
        <v>105.85299999999999</v>
      </c>
      <c r="M107" s="27">
        <v>41953</v>
      </c>
      <c r="N107">
        <v>107.795</v>
      </c>
      <c r="O107" s="27">
        <v>41612</v>
      </c>
      <c r="P107">
        <v>100.67700000000001</v>
      </c>
      <c r="Q107" s="27">
        <v>41835</v>
      </c>
      <c r="R107">
        <v>94.850999999999999</v>
      </c>
      <c r="S107" s="27">
        <v>42195</v>
      </c>
      <c r="T107">
        <v>4.2937000000000003</v>
      </c>
    </row>
    <row r="108" spans="3:20">
      <c r="C108" s="27">
        <v>40781</v>
      </c>
      <c r="D108">
        <v>6.0518000000000001</v>
      </c>
      <c r="E108" s="27">
        <v>43209</v>
      </c>
      <c r="F108">
        <v>99.15</v>
      </c>
      <c r="G108" s="27">
        <v>43348</v>
      </c>
      <c r="H108">
        <v>99.706000000000003</v>
      </c>
      <c r="I108" s="27">
        <v>44188</v>
      </c>
      <c r="J108">
        <v>108.96599999999999</v>
      </c>
      <c r="K108" s="27">
        <v>44188</v>
      </c>
      <c r="L108">
        <v>105.313</v>
      </c>
      <c r="M108" s="27">
        <v>41954</v>
      </c>
      <c r="N108">
        <v>107.56100000000001</v>
      </c>
      <c r="O108" s="27">
        <v>41613</v>
      </c>
      <c r="P108">
        <v>100.15900000000001</v>
      </c>
      <c r="Q108" s="27">
        <v>41836</v>
      </c>
      <c r="R108">
        <v>94.864000000000004</v>
      </c>
      <c r="S108" s="27">
        <v>42198</v>
      </c>
      <c r="T108">
        <v>4.3467000000000002</v>
      </c>
    </row>
    <row r="109" spans="3:20">
      <c r="C109" s="27">
        <v>40784</v>
      </c>
      <c r="D109">
        <v>6.0804</v>
      </c>
      <c r="E109" s="27">
        <v>43210</v>
      </c>
      <c r="F109">
        <v>99.153999999999996</v>
      </c>
      <c r="G109" s="27">
        <v>43349</v>
      </c>
      <c r="H109">
        <v>99.885999999999996</v>
      </c>
      <c r="I109" s="27">
        <v>44189</v>
      </c>
      <c r="J109">
        <v>109.514</v>
      </c>
      <c r="K109" s="27">
        <v>44189</v>
      </c>
      <c r="L109">
        <v>105.717</v>
      </c>
      <c r="M109" s="27">
        <v>41955</v>
      </c>
      <c r="N109">
        <v>107.804</v>
      </c>
      <c r="O109" s="27">
        <v>41614</v>
      </c>
      <c r="P109">
        <v>99.813999999999993</v>
      </c>
      <c r="Q109" s="27">
        <v>41837</v>
      </c>
      <c r="R109">
        <v>94.87</v>
      </c>
      <c r="S109" s="27">
        <v>42199</v>
      </c>
      <c r="T109">
        <v>4.3726000000000003</v>
      </c>
    </row>
    <row r="110" spans="3:20">
      <c r="C110" s="27">
        <v>40785</v>
      </c>
      <c r="D110">
        <v>6.0865</v>
      </c>
      <c r="E110" s="27">
        <v>43213</v>
      </c>
      <c r="F110">
        <v>99.153999999999996</v>
      </c>
      <c r="G110" s="27">
        <v>43350</v>
      </c>
      <c r="H110">
        <v>99.656000000000006</v>
      </c>
      <c r="I110" s="27">
        <v>44194</v>
      </c>
      <c r="J110">
        <v>109.666</v>
      </c>
      <c r="K110" s="27">
        <v>44194</v>
      </c>
      <c r="L110">
        <v>105.773</v>
      </c>
      <c r="M110" s="27">
        <v>41956</v>
      </c>
      <c r="N110">
        <v>107.801</v>
      </c>
      <c r="O110" s="27">
        <v>41617</v>
      </c>
      <c r="P110">
        <v>99.924000000000007</v>
      </c>
      <c r="Q110" s="27">
        <v>41838</v>
      </c>
      <c r="R110">
        <v>94.858000000000004</v>
      </c>
      <c r="S110" s="27">
        <v>42200</v>
      </c>
      <c r="T110">
        <v>4.3738999999999999</v>
      </c>
    </row>
    <row r="111" spans="3:20">
      <c r="C111" s="27">
        <v>40786</v>
      </c>
      <c r="D111">
        <v>6.0244</v>
      </c>
      <c r="E111" s="27">
        <v>43214</v>
      </c>
      <c r="F111">
        <v>99.155000000000001</v>
      </c>
      <c r="G111" s="27">
        <v>43353</v>
      </c>
      <c r="H111">
        <v>99.474000000000004</v>
      </c>
      <c r="I111" s="27">
        <v>44195</v>
      </c>
      <c r="J111">
        <v>109.205</v>
      </c>
      <c r="K111" s="27">
        <v>44195</v>
      </c>
      <c r="L111">
        <v>105.444</v>
      </c>
      <c r="M111" s="27">
        <v>41957</v>
      </c>
      <c r="N111">
        <v>107.974</v>
      </c>
      <c r="O111" s="27">
        <v>41618</v>
      </c>
      <c r="P111">
        <v>99.951999999999998</v>
      </c>
      <c r="Q111" s="27">
        <v>41841</v>
      </c>
      <c r="R111">
        <v>94.867999999999995</v>
      </c>
      <c r="S111" s="27">
        <v>42201</v>
      </c>
      <c r="T111">
        <v>4.3160999999999996</v>
      </c>
    </row>
    <row r="112" spans="3:20">
      <c r="C112" s="27">
        <v>40787</v>
      </c>
      <c r="D112">
        <v>6.1254</v>
      </c>
      <c r="E112" s="27">
        <v>43216</v>
      </c>
      <c r="F112">
        <v>99.141999999999996</v>
      </c>
      <c r="G112" s="27">
        <v>43354</v>
      </c>
      <c r="H112">
        <v>99.188000000000002</v>
      </c>
      <c r="I112" s="27">
        <v>44196</v>
      </c>
      <c r="J112">
        <v>109.608</v>
      </c>
      <c r="K112" s="27">
        <v>44196</v>
      </c>
      <c r="L112">
        <v>105.688</v>
      </c>
      <c r="M112" s="27">
        <v>41960</v>
      </c>
      <c r="N112">
        <v>107.96</v>
      </c>
      <c r="O112" s="27">
        <v>41619</v>
      </c>
      <c r="P112">
        <v>99.992999999999995</v>
      </c>
      <c r="Q112" s="27">
        <v>41842</v>
      </c>
      <c r="R112">
        <v>94.872</v>
      </c>
      <c r="S112" s="27">
        <v>42202</v>
      </c>
      <c r="T112">
        <v>4.2990000000000004</v>
      </c>
    </row>
    <row r="113" spans="3:20">
      <c r="C113" s="27">
        <v>40788</v>
      </c>
      <c r="D113">
        <v>6.05</v>
      </c>
      <c r="E113" s="27">
        <v>43217</v>
      </c>
      <c r="F113">
        <v>99.165000000000006</v>
      </c>
      <c r="G113" s="27">
        <v>43355</v>
      </c>
      <c r="H113">
        <v>99.343000000000004</v>
      </c>
      <c r="I113" s="27">
        <v>44200</v>
      </c>
      <c r="J113">
        <v>109.673</v>
      </c>
      <c r="K113" s="27">
        <v>44200</v>
      </c>
      <c r="L113">
        <v>105.762</v>
      </c>
      <c r="M113" s="27">
        <v>41961</v>
      </c>
      <c r="N113">
        <v>108.104</v>
      </c>
      <c r="O113" s="27">
        <v>41620</v>
      </c>
      <c r="P113">
        <v>100.027</v>
      </c>
      <c r="Q113" s="27">
        <v>41843</v>
      </c>
      <c r="R113">
        <v>94.882000000000005</v>
      </c>
      <c r="S113" s="27">
        <v>42205</v>
      </c>
      <c r="T113">
        <v>4.3041</v>
      </c>
    </row>
    <row r="114" spans="3:20">
      <c r="C114" s="27">
        <v>40791</v>
      </c>
      <c r="D114">
        <v>5.8795000000000002</v>
      </c>
      <c r="E114" s="27">
        <v>43220</v>
      </c>
      <c r="F114">
        <v>99.164000000000001</v>
      </c>
      <c r="G114" s="27">
        <v>43356</v>
      </c>
      <c r="H114">
        <v>99.262</v>
      </c>
      <c r="I114" s="27">
        <v>44201</v>
      </c>
      <c r="J114">
        <v>109.911</v>
      </c>
      <c r="K114" s="27">
        <v>44201</v>
      </c>
      <c r="L114">
        <v>105.883</v>
      </c>
      <c r="M114" s="27">
        <v>41962</v>
      </c>
      <c r="N114">
        <v>107.863</v>
      </c>
      <c r="O114" s="27">
        <v>41621</v>
      </c>
      <c r="P114">
        <v>99.885999999999996</v>
      </c>
      <c r="Q114" s="27">
        <v>41844</v>
      </c>
      <c r="R114">
        <v>94.893000000000001</v>
      </c>
      <c r="S114" s="27">
        <v>42206</v>
      </c>
      <c r="T114">
        <v>4.3042999999999996</v>
      </c>
    </row>
    <row r="115" spans="3:20">
      <c r="C115" s="27">
        <v>40792</v>
      </c>
      <c r="D115">
        <v>5.8590999999999998</v>
      </c>
      <c r="E115" s="27">
        <v>43221</v>
      </c>
      <c r="F115">
        <v>99.168999999999997</v>
      </c>
      <c r="G115" s="27">
        <v>43357</v>
      </c>
      <c r="H115">
        <v>99.061999999999998</v>
      </c>
      <c r="I115" s="27">
        <v>44202</v>
      </c>
      <c r="J115">
        <v>108.744</v>
      </c>
      <c r="K115" s="27">
        <v>44202</v>
      </c>
      <c r="L115">
        <v>105.054</v>
      </c>
      <c r="M115" s="27">
        <v>41963</v>
      </c>
      <c r="N115">
        <v>107.922</v>
      </c>
      <c r="O115" s="27">
        <v>41624</v>
      </c>
      <c r="P115">
        <v>99.980999999999995</v>
      </c>
      <c r="Q115" s="27">
        <v>41845</v>
      </c>
      <c r="R115">
        <v>94.897000000000006</v>
      </c>
      <c r="S115" s="27">
        <v>42207</v>
      </c>
      <c r="T115">
        <v>4.2664</v>
      </c>
    </row>
    <row r="116" spans="3:20">
      <c r="C116" s="27">
        <v>40793</v>
      </c>
      <c r="D116">
        <v>6.0290999999999997</v>
      </c>
      <c r="E116" s="27">
        <v>43222</v>
      </c>
      <c r="F116">
        <v>99.171000000000006</v>
      </c>
      <c r="G116" s="27">
        <v>43360</v>
      </c>
      <c r="H116">
        <v>98.944999999999993</v>
      </c>
      <c r="I116" s="27">
        <v>44203</v>
      </c>
      <c r="J116">
        <v>107.842</v>
      </c>
      <c r="K116" s="27">
        <v>44203</v>
      </c>
      <c r="L116">
        <v>104.369</v>
      </c>
      <c r="M116" s="27">
        <v>41964</v>
      </c>
      <c r="N116">
        <v>108.13800000000001</v>
      </c>
      <c r="O116" s="27">
        <v>41625</v>
      </c>
      <c r="P116">
        <v>99.873000000000005</v>
      </c>
      <c r="Q116" s="27">
        <v>41848</v>
      </c>
      <c r="R116">
        <v>94.9</v>
      </c>
      <c r="S116" s="27">
        <v>42208</v>
      </c>
      <c r="T116">
        <v>4.2283999999999997</v>
      </c>
    </row>
    <row r="117" spans="3:20">
      <c r="C117" s="27">
        <v>40794</v>
      </c>
      <c r="D117">
        <v>5.9024999999999999</v>
      </c>
      <c r="E117" s="27">
        <v>43223</v>
      </c>
      <c r="F117">
        <v>99.174999999999997</v>
      </c>
      <c r="G117" s="27">
        <v>43361</v>
      </c>
      <c r="H117">
        <v>98.799000000000007</v>
      </c>
      <c r="I117" s="27">
        <v>44204</v>
      </c>
      <c r="J117">
        <v>107.041</v>
      </c>
      <c r="K117" s="27">
        <v>44204</v>
      </c>
      <c r="L117">
        <v>103.65300000000001</v>
      </c>
      <c r="M117" s="27">
        <v>41967</v>
      </c>
      <c r="N117">
        <v>108.149</v>
      </c>
      <c r="O117" s="27">
        <v>41626</v>
      </c>
      <c r="P117">
        <v>99.992999999999995</v>
      </c>
      <c r="Q117" s="27">
        <v>41849</v>
      </c>
      <c r="R117">
        <v>94.906000000000006</v>
      </c>
      <c r="S117" s="27">
        <v>42209</v>
      </c>
      <c r="T117">
        <v>4.1807999999999996</v>
      </c>
    </row>
    <row r="118" spans="3:20">
      <c r="C118" s="27">
        <v>40795</v>
      </c>
      <c r="D118">
        <v>5.9142000000000001</v>
      </c>
      <c r="E118" s="27">
        <v>43224</v>
      </c>
      <c r="F118">
        <v>99.177999999999997</v>
      </c>
      <c r="G118" s="27">
        <v>43362</v>
      </c>
      <c r="H118">
        <v>98.661000000000001</v>
      </c>
      <c r="I118" s="27">
        <v>44207</v>
      </c>
      <c r="J118">
        <v>107.252</v>
      </c>
      <c r="K118" s="27">
        <v>44207</v>
      </c>
      <c r="L118">
        <v>103.867</v>
      </c>
      <c r="M118" s="27">
        <v>41968</v>
      </c>
      <c r="N118">
        <v>108.655</v>
      </c>
      <c r="O118" s="27">
        <v>41627</v>
      </c>
      <c r="P118">
        <v>99.834000000000003</v>
      </c>
      <c r="Q118" s="27">
        <v>41850</v>
      </c>
      <c r="R118">
        <v>94.923000000000002</v>
      </c>
      <c r="S118" s="27">
        <v>42212</v>
      </c>
      <c r="T118">
        <v>4.1463999999999999</v>
      </c>
    </row>
    <row r="119" spans="3:20">
      <c r="C119" s="27">
        <v>40798</v>
      </c>
      <c r="D119">
        <v>5.8688000000000002</v>
      </c>
      <c r="E119" s="27">
        <v>43227</v>
      </c>
      <c r="F119">
        <v>99.182000000000002</v>
      </c>
      <c r="G119" s="27">
        <v>43363</v>
      </c>
      <c r="H119">
        <v>98.75</v>
      </c>
      <c r="I119" s="27">
        <v>44208</v>
      </c>
      <c r="J119">
        <v>106.512</v>
      </c>
      <c r="K119" s="27">
        <v>44208</v>
      </c>
      <c r="L119">
        <v>103.203</v>
      </c>
      <c r="M119" s="27">
        <v>41969</v>
      </c>
      <c r="N119">
        <v>109.083</v>
      </c>
      <c r="O119" s="27">
        <v>41628</v>
      </c>
      <c r="P119">
        <v>99.765000000000001</v>
      </c>
      <c r="Q119" s="27">
        <v>41851</v>
      </c>
      <c r="R119">
        <v>94.927999999999997</v>
      </c>
      <c r="S119" s="27">
        <v>42213</v>
      </c>
      <c r="T119">
        <v>4.1750999999999996</v>
      </c>
    </row>
    <row r="120" spans="3:20">
      <c r="C120" s="27">
        <v>40799</v>
      </c>
      <c r="D120">
        <v>5.8552999999999997</v>
      </c>
      <c r="E120" s="27">
        <v>43228</v>
      </c>
      <c r="F120">
        <v>99.188000000000002</v>
      </c>
      <c r="G120" s="27">
        <v>43364</v>
      </c>
      <c r="H120">
        <v>98.882000000000005</v>
      </c>
      <c r="I120" s="27">
        <v>44209</v>
      </c>
      <c r="J120">
        <v>108.002</v>
      </c>
      <c r="K120" s="27">
        <v>44209</v>
      </c>
      <c r="L120">
        <v>104.41500000000001</v>
      </c>
      <c r="M120" s="27">
        <v>41970</v>
      </c>
      <c r="N120">
        <v>109.747</v>
      </c>
      <c r="O120" s="27">
        <v>41631</v>
      </c>
      <c r="P120">
        <v>99.63</v>
      </c>
      <c r="Q120" s="27">
        <v>41852</v>
      </c>
      <c r="R120">
        <v>94.933999999999997</v>
      </c>
      <c r="S120" s="27">
        <v>42214</v>
      </c>
      <c r="T120">
        <v>4.1776</v>
      </c>
    </row>
    <row r="121" spans="3:20">
      <c r="C121" s="27">
        <v>40800</v>
      </c>
      <c r="D121">
        <v>5.7737999999999996</v>
      </c>
      <c r="E121" s="27">
        <v>43229</v>
      </c>
      <c r="F121">
        <v>99.194000000000003</v>
      </c>
      <c r="G121" s="27">
        <v>43367</v>
      </c>
      <c r="H121">
        <v>98.489000000000004</v>
      </c>
      <c r="I121" s="27">
        <v>44210</v>
      </c>
      <c r="J121">
        <v>108.011</v>
      </c>
      <c r="K121" s="27">
        <v>44210</v>
      </c>
      <c r="L121">
        <v>104.431</v>
      </c>
      <c r="M121" s="27">
        <v>41971</v>
      </c>
      <c r="N121">
        <v>110.071</v>
      </c>
      <c r="O121" s="27">
        <v>41632</v>
      </c>
      <c r="P121">
        <v>99.593999999999994</v>
      </c>
      <c r="Q121" s="27">
        <v>41858</v>
      </c>
      <c r="R121">
        <v>95.191000000000003</v>
      </c>
      <c r="S121" s="27">
        <v>42215</v>
      </c>
      <c r="T121">
        <v>4.2286999999999999</v>
      </c>
    </row>
    <row r="122" spans="3:20">
      <c r="C122" s="27">
        <v>40801</v>
      </c>
      <c r="D122">
        <v>5.8304</v>
      </c>
      <c r="E122" s="27">
        <v>43230</v>
      </c>
      <c r="F122">
        <v>99.2</v>
      </c>
      <c r="G122" s="27">
        <v>43368</v>
      </c>
      <c r="H122">
        <v>98.066000000000003</v>
      </c>
      <c r="I122" s="27">
        <v>44211</v>
      </c>
      <c r="J122">
        <v>108.22</v>
      </c>
      <c r="K122" s="27">
        <v>44211</v>
      </c>
      <c r="L122">
        <v>104.617</v>
      </c>
      <c r="M122" s="27">
        <v>41974</v>
      </c>
      <c r="N122">
        <v>110.214</v>
      </c>
      <c r="O122" s="27">
        <v>41633</v>
      </c>
      <c r="P122">
        <v>99.573999999999998</v>
      </c>
      <c r="Q122" s="27">
        <v>41859</v>
      </c>
      <c r="R122">
        <v>95.191000000000003</v>
      </c>
      <c r="S122" s="27">
        <v>42216</v>
      </c>
      <c r="T122">
        <v>4.1662999999999997</v>
      </c>
    </row>
    <row r="123" spans="3:20">
      <c r="C123" s="27">
        <v>40802</v>
      </c>
      <c r="D123">
        <v>5.8278999999999996</v>
      </c>
      <c r="E123" s="27">
        <v>43231</v>
      </c>
      <c r="F123">
        <v>99.203999999999994</v>
      </c>
      <c r="G123" s="27">
        <v>43369</v>
      </c>
      <c r="H123">
        <v>98.119</v>
      </c>
      <c r="I123" s="27">
        <v>44214</v>
      </c>
      <c r="J123">
        <v>108.376</v>
      </c>
      <c r="K123" s="27">
        <v>44214</v>
      </c>
      <c r="L123">
        <v>104.63500000000001</v>
      </c>
      <c r="M123" s="27">
        <v>41975</v>
      </c>
      <c r="N123">
        <v>110.06699999999999</v>
      </c>
      <c r="O123" s="27">
        <v>41634</v>
      </c>
      <c r="P123">
        <v>99.59</v>
      </c>
      <c r="Q123" s="27">
        <v>41862</v>
      </c>
      <c r="R123">
        <v>95.2</v>
      </c>
      <c r="S123" s="27">
        <v>42219</v>
      </c>
      <c r="T123">
        <v>4.1452999999999998</v>
      </c>
    </row>
    <row r="124" spans="3:20">
      <c r="C124" s="27">
        <v>40805</v>
      </c>
      <c r="D124">
        <v>5.8063000000000002</v>
      </c>
      <c r="E124" s="27">
        <v>43234</v>
      </c>
      <c r="F124">
        <v>99.209000000000003</v>
      </c>
      <c r="G124" s="27">
        <v>43370</v>
      </c>
      <c r="H124">
        <v>98.16</v>
      </c>
      <c r="I124" s="27">
        <v>44215</v>
      </c>
      <c r="J124">
        <v>108.623</v>
      </c>
      <c r="K124" s="27">
        <v>44215</v>
      </c>
      <c r="L124">
        <v>104.748</v>
      </c>
      <c r="M124" s="27">
        <v>41976</v>
      </c>
      <c r="N124">
        <v>109.84699999999999</v>
      </c>
      <c r="O124" s="27">
        <v>41635</v>
      </c>
      <c r="P124">
        <v>99.58</v>
      </c>
      <c r="Q124" s="27">
        <v>41863</v>
      </c>
      <c r="R124">
        <v>95.203999999999994</v>
      </c>
      <c r="S124" s="27">
        <v>42220</v>
      </c>
      <c r="T124">
        <v>4.1847000000000003</v>
      </c>
    </row>
    <row r="125" spans="3:20">
      <c r="C125" s="27">
        <v>40806</v>
      </c>
      <c r="D125">
        <v>5.7864000000000004</v>
      </c>
      <c r="E125" s="27">
        <v>43235</v>
      </c>
      <c r="F125">
        <v>99.212999999999994</v>
      </c>
      <c r="G125" s="27">
        <v>43371</v>
      </c>
      <c r="H125">
        <v>98.587000000000003</v>
      </c>
      <c r="I125" s="27">
        <v>44216</v>
      </c>
      <c r="J125">
        <v>108.80500000000001</v>
      </c>
      <c r="K125" s="27">
        <v>44216</v>
      </c>
      <c r="L125">
        <v>104.845</v>
      </c>
      <c r="M125" s="27">
        <v>41977</v>
      </c>
      <c r="N125">
        <v>109.843</v>
      </c>
      <c r="O125" s="27">
        <v>41638</v>
      </c>
      <c r="P125">
        <v>99.206999999999994</v>
      </c>
      <c r="Q125" s="27">
        <v>41864</v>
      </c>
      <c r="R125">
        <v>95.216999999999999</v>
      </c>
      <c r="S125" s="27">
        <v>42221</v>
      </c>
      <c r="T125">
        <v>4.2439</v>
      </c>
    </row>
    <row r="126" spans="3:20">
      <c r="C126" s="27">
        <v>40807</v>
      </c>
      <c r="D126">
        <v>5.8830999999999998</v>
      </c>
      <c r="E126" s="27">
        <v>43236</v>
      </c>
      <c r="F126">
        <v>99.215000000000003</v>
      </c>
      <c r="G126" s="27">
        <v>43374</v>
      </c>
      <c r="H126">
        <v>98.623999999999995</v>
      </c>
      <c r="I126" s="27">
        <v>44217</v>
      </c>
      <c r="J126">
        <v>108.794</v>
      </c>
      <c r="K126" s="27">
        <v>44217</v>
      </c>
      <c r="L126">
        <v>104.822</v>
      </c>
      <c r="M126" s="27">
        <v>41978</v>
      </c>
      <c r="N126">
        <v>109.997</v>
      </c>
      <c r="O126" s="27">
        <v>41639</v>
      </c>
      <c r="P126">
        <v>99.381</v>
      </c>
      <c r="Q126" s="27">
        <v>41865</v>
      </c>
      <c r="R126">
        <v>95.216999999999999</v>
      </c>
      <c r="S126" s="27">
        <v>42222</v>
      </c>
      <c r="T126">
        <v>4.2518000000000002</v>
      </c>
    </row>
    <row r="127" spans="3:20">
      <c r="C127" s="27">
        <v>40808</v>
      </c>
      <c r="D127">
        <v>5.7225000000000001</v>
      </c>
      <c r="E127" s="27">
        <v>43237</v>
      </c>
      <c r="F127">
        <v>99.213999999999999</v>
      </c>
      <c r="G127" s="27">
        <v>43375</v>
      </c>
      <c r="H127">
        <v>99.105999999999995</v>
      </c>
      <c r="I127" s="27">
        <v>44218</v>
      </c>
      <c r="J127">
        <v>108.529</v>
      </c>
      <c r="K127" s="27">
        <v>44218</v>
      </c>
      <c r="L127">
        <v>104.629</v>
      </c>
      <c r="M127" s="27">
        <v>41981</v>
      </c>
      <c r="N127">
        <v>110.383</v>
      </c>
      <c r="O127" s="27">
        <v>41640</v>
      </c>
      <c r="P127">
        <v>99.343000000000004</v>
      </c>
      <c r="Q127" s="27">
        <v>41866</v>
      </c>
      <c r="R127">
        <v>95.203000000000003</v>
      </c>
      <c r="S127" s="27">
        <v>42223</v>
      </c>
      <c r="T127">
        <v>4.2587000000000002</v>
      </c>
    </row>
    <row r="128" spans="3:20">
      <c r="C128" s="27">
        <v>40809</v>
      </c>
      <c r="D128">
        <v>5.6470000000000002</v>
      </c>
      <c r="E128" s="27">
        <v>43238</v>
      </c>
      <c r="F128">
        <v>99.213999999999999</v>
      </c>
      <c r="G128" s="27">
        <v>43376</v>
      </c>
      <c r="H128">
        <v>98.71</v>
      </c>
      <c r="I128" s="27">
        <v>44221</v>
      </c>
      <c r="J128">
        <v>108.94199999999999</v>
      </c>
      <c r="K128" s="27">
        <v>44221</v>
      </c>
      <c r="L128">
        <v>104.938</v>
      </c>
      <c r="M128" s="27">
        <v>41982</v>
      </c>
      <c r="N128">
        <v>110.91500000000001</v>
      </c>
      <c r="O128" s="27">
        <v>41641</v>
      </c>
      <c r="P128">
        <v>99.385000000000005</v>
      </c>
      <c r="Q128" s="27">
        <v>41869</v>
      </c>
      <c r="R128">
        <v>95.224999999999994</v>
      </c>
      <c r="S128" s="27">
        <v>42226</v>
      </c>
      <c r="T128">
        <v>4.1981999999999999</v>
      </c>
    </row>
    <row r="129" spans="3:20">
      <c r="C129" s="27">
        <v>40812</v>
      </c>
      <c r="D129">
        <v>5.7096</v>
      </c>
      <c r="E129" s="27">
        <v>43241</v>
      </c>
      <c r="F129">
        <v>99.215000000000003</v>
      </c>
      <c r="G129" s="27">
        <v>43377</v>
      </c>
      <c r="H129">
        <v>98.149000000000001</v>
      </c>
      <c r="I129" s="27">
        <v>44223</v>
      </c>
      <c r="J129">
        <v>108.80800000000001</v>
      </c>
      <c r="K129" s="27">
        <v>44223</v>
      </c>
      <c r="L129">
        <v>104.879</v>
      </c>
      <c r="M129" s="27">
        <v>41983</v>
      </c>
      <c r="N129">
        <v>110.86799999999999</v>
      </c>
      <c r="O129" s="27">
        <v>41642</v>
      </c>
      <c r="P129">
        <v>99.263999999999996</v>
      </c>
      <c r="Q129" s="27">
        <v>41870</v>
      </c>
      <c r="R129">
        <v>95.230999999999995</v>
      </c>
      <c r="S129" s="27">
        <v>42227</v>
      </c>
      <c r="T129">
        <v>4.1954000000000002</v>
      </c>
    </row>
    <row r="130" spans="3:20">
      <c r="C130" s="27">
        <v>40814</v>
      </c>
      <c r="D130">
        <v>5.8704999999999998</v>
      </c>
      <c r="E130" s="27">
        <v>43242</v>
      </c>
      <c r="F130">
        <v>99.215999999999994</v>
      </c>
      <c r="G130" s="27">
        <v>43378</v>
      </c>
      <c r="H130">
        <v>97.748999999999995</v>
      </c>
      <c r="I130" s="27">
        <v>44224</v>
      </c>
      <c r="J130">
        <v>108.318</v>
      </c>
      <c r="K130" s="27">
        <v>44224</v>
      </c>
      <c r="L130">
        <v>104.464</v>
      </c>
      <c r="M130" s="27">
        <v>41984</v>
      </c>
      <c r="N130">
        <v>112.19499999999999</v>
      </c>
      <c r="O130" s="27">
        <v>41645</v>
      </c>
      <c r="P130">
        <v>99.373000000000005</v>
      </c>
      <c r="Q130" s="27">
        <v>41871</v>
      </c>
      <c r="R130">
        <v>95.245999999999995</v>
      </c>
      <c r="S130" s="27">
        <v>42228</v>
      </c>
      <c r="T130">
        <v>4.0956999999999999</v>
      </c>
    </row>
    <row r="131" spans="3:20">
      <c r="C131" s="27">
        <v>40819</v>
      </c>
      <c r="D131">
        <v>5.7332999999999998</v>
      </c>
      <c r="E131" s="27">
        <v>43243</v>
      </c>
      <c r="F131">
        <v>99.216999999999999</v>
      </c>
      <c r="G131" s="27">
        <v>43381</v>
      </c>
      <c r="H131">
        <v>97.991</v>
      </c>
      <c r="I131" s="27">
        <v>44225</v>
      </c>
      <c r="J131">
        <v>107.67400000000001</v>
      </c>
      <c r="K131" s="27">
        <v>44225</v>
      </c>
      <c r="L131">
        <v>103.983</v>
      </c>
      <c r="M131" s="27">
        <v>41985</v>
      </c>
      <c r="N131">
        <v>113.333</v>
      </c>
      <c r="O131" s="27">
        <v>41646</v>
      </c>
      <c r="P131">
        <v>99.637</v>
      </c>
      <c r="Q131" s="27">
        <v>41872</v>
      </c>
      <c r="R131">
        <v>95.254000000000005</v>
      </c>
      <c r="S131" s="27">
        <v>42229</v>
      </c>
      <c r="T131">
        <v>4.1577000000000002</v>
      </c>
    </row>
    <row r="132" spans="3:20">
      <c r="C132" s="27">
        <v>40822</v>
      </c>
      <c r="D132">
        <v>5.7153</v>
      </c>
      <c r="E132" s="27">
        <v>43244</v>
      </c>
      <c r="F132">
        <v>99.22</v>
      </c>
      <c r="G132" s="27">
        <v>43382</v>
      </c>
      <c r="H132">
        <v>97.935000000000002</v>
      </c>
      <c r="I132" s="27">
        <v>44228</v>
      </c>
      <c r="J132">
        <v>108.319</v>
      </c>
      <c r="K132" s="27">
        <v>44228</v>
      </c>
      <c r="L132">
        <v>104.443</v>
      </c>
      <c r="M132" s="27">
        <v>41988</v>
      </c>
      <c r="N132">
        <v>113.849</v>
      </c>
      <c r="O132" s="27">
        <v>41647</v>
      </c>
      <c r="P132">
        <v>99.742000000000004</v>
      </c>
      <c r="Q132" s="27">
        <v>41873</v>
      </c>
      <c r="R132">
        <v>95.257999999999996</v>
      </c>
      <c r="S132" s="27">
        <v>42230</v>
      </c>
      <c r="T132">
        <v>4.1848999999999998</v>
      </c>
    </row>
    <row r="133" spans="3:20">
      <c r="C133" s="27">
        <v>40827</v>
      </c>
      <c r="D133">
        <v>5.899</v>
      </c>
      <c r="E133" s="27">
        <v>43333</v>
      </c>
      <c r="F133">
        <v>99.503</v>
      </c>
      <c r="G133" s="27">
        <v>43383</v>
      </c>
      <c r="H133">
        <v>97.867000000000004</v>
      </c>
      <c r="I133" s="27">
        <v>44229</v>
      </c>
      <c r="J133">
        <v>108.078</v>
      </c>
      <c r="K133" s="27">
        <v>44229</v>
      </c>
      <c r="L133">
        <v>104.24</v>
      </c>
      <c r="M133" s="27">
        <v>41989</v>
      </c>
      <c r="N133">
        <v>114.26</v>
      </c>
      <c r="O133" s="27">
        <v>41648</v>
      </c>
      <c r="P133">
        <v>99.599000000000004</v>
      </c>
      <c r="Q133" s="27">
        <v>41876</v>
      </c>
      <c r="R133">
        <v>95.262</v>
      </c>
      <c r="S133" s="27">
        <v>42233</v>
      </c>
      <c r="T133">
        <v>4.1737000000000002</v>
      </c>
    </row>
    <row r="134" spans="3:20">
      <c r="C134" s="27">
        <v>40829</v>
      </c>
      <c r="D134">
        <v>6.0259999999999998</v>
      </c>
      <c r="E134" s="27">
        <v>43334</v>
      </c>
      <c r="F134">
        <v>99.501000000000005</v>
      </c>
      <c r="G134" s="27">
        <v>43384</v>
      </c>
      <c r="H134">
        <v>98.137</v>
      </c>
      <c r="I134" s="27">
        <v>44230</v>
      </c>
      <c r="J134">
        <v>107.614</v>
      </c>
      <c r="K134" s="27">
        <v>44230</v>
      </c>
      <c r="L134">
        <v>103.84099999999999</v>
      </c>
      <c r="M134" s="27">
        <v>41990</v>
      </c>
      <c r="N134">
        <v>113.913</v>
      </c>
      <c r="O134" s="27">
        <v>41649</v>
      </c>
      <c r="P134">
        <v>99.599000000000004</v>
      </c>
      <c r="Q134" s="27">
        <v>41877</v>
      </c>
      <c r="R134">
        <v>95.263999999999996</v>
      </c>
      <c r="S134" s="27">
        <v>42234</v>
      </c>
      <c r="T134">
        <v>4.1524999999999999</v>
      </c>
    </row>
    <row r="135" spans="3:20">
      <c r="C135" s="27">
        <v>40830</v>
      </c>
      <c r="D135">
        <v>5.9672999999999998</v>
      </c>
      <c r="E135" s="27">
        <v>43335</v>
      </c>
      <c r="F135">
        <v>99.507999999999996</v>
      </c>
      <c r="G135" s="27">
        <v>43385</v>
      </c>
      <c r="H135">
        <v>98.302999999999997</v>
      </c>
      <c r="I135" s="27">
        <v>44231</v>
      </c>
      <c r="J135">
        <v>106.77200000000001</v>
      </c>
      <c r="K135" s="27">
        <v>44231</v>
      </c>
      <c r="L135">
        <v>103.223</v>
      </c>
      <c r="M135" s="27">
        <v>41991</v>
      </c>
      <c r="N135">
        <v>112.70099999999999</v>
      </c>
      <c r="O135" s="27">
        <v>41652</v>
      </c>
      <c r="P135">
        <v>99.992000000000004</v>
      </c>
      <c r="Q135" s="27">
        <v>41878</v>
      </c>
      <c r="R135">
        <v>95.275999999999996</v>
      </c>
      <c r="S135" s="27">
        <v>42235</v>
      </c>
      <c r="T135">
        <v>4.1425999999999998</v>
      </c>
    </row>
    <row r="136" spans="3:20">
      <c r="C136" s="27">
        <v>40833</v>
      </c>
      <c r="D136">
        <v>6.0845000000000002</v>
      </c>
      <c r="E136" s="27">
        <v>43336</v>
      </c>
      <c r="F136">
        <v>99.506</v>
      </c>
      <c r="G136" s="27">
        <v>43388</v>
      </c>
      <c r="H136">
        <v>98.337999999999994</v>
      </c>
      <c r="I136" s="27">
        <v>44232</v>
      </c>
      <c r="J136">
        <v>106.807</v>
      </c>
      <c r="K136" s="27">
        <v>44232</v>
      </c>
      <c r="L136">
        <v>103.249</v>
      </c>
      <c r="M136" s="27">
        <v>41992</v>
      </c>
      <c r="N136">
        <v>112.51600000000001</v>
      </c>
      <c r="O136" s="27">
        <v>41653</v>
      </c>
      <c r="P136">
        <v>100.194</v>
      </c>
      <c r="Q136" s="27">
        <v>41879</v>
      </c>
      <c r="R136">
        <v>95.278999999999996</v>
      </c>
      <c r="S136" s="27">
        <v>42236</v>
      </c>
      <c r="T136">
        <v>4.0861000000000001</v>
      </c>
    </row>
    <row r="137" spans="3:20">
      <c r="C137" s="27">
        <v>40834</v>
      </c>
      <c r="D137">
        <v>5.8925000000000001</v>
      </c>
      <c r="E137" s="27">
        <v>43339</v>
      </c>
      <c r="F137">
        <v>99.507999999999996</v>
      </c>
      <c r="G137" s="27">
        <v>43389</v>
      </c>
      <c r="H137">
        <v>98.444999999999993</v>
      </c>
      <c r="I137" s="27">
        <v>44235</v>
      </c>
      <c r="J137">
        <v>106.616</v>
      </c>
      <c r="K137" s="27">
        <v>44235</v>
      </c>
      <c r="L137">
        <v>103.05800000000001</v>
      </c>
      <c r="M137" s="27">
        <v>41995</v>
      </c>
      <c r="N137">
        <v>112.181</v>
      </c>
      <c r="O137" s="27">
        <v>41654</v>
      </c>
      <c r="P137">
        <v>100.127</v>
      </c>
      <c r="Q137" s="27">
        <v>41880</v>
      </c>
      <c r="R137">
        <v>95.265000000000001</v>
      </c>
      <c r="S137" s="27">
        <v>42237</v>
      </c>
      <c r="T137">
        <v>4.0193000000000003</v>
      </c>
    </row>
    <row r="138" spans="3:20">
      <c r="C138" s="27">
        <v>40835</v>
      </c>
      <c r="D138">
        <v>6.0349000000000004</v>
      </c>
      <c r="E138" s="27">
        <v>43340</v>
      </c>
      <c r="F138">
        <v>99.509</v>
      </c>
      <c r="G138" s="27">
        <v>43390</v>
      </c>
      <c r="H138">
        <v>98.738</v>
      </c>
      <c r="I138" s="27">
        <v>44236</v>
      </c>
      <c r="J138">
        <v>107.23399999999999</v>
      </c>
      <c r="K138" s="27">
        <v>44236</v>
      </c>
      <c r="L138">
        <v>103.491</v>
      </c>
      <c r="M138" s="27">
        <v>41996</v>
      </c>
      <c r="N138">
        <v>112.383</v>
      </c>
      <c r="O138" s="27">
        <v>41655</v>
      </c>
      <c r="P138">
        <v>100.044</v>
      </c>
      <c r="Q138" s="27">
        <v>41883</v>
      </c>
      <c r="R138">
        <v>95.287999999999997</v>
      </c>
      <c r="S138" s="27">
        <v>42240</v>
      </c>
      <c r="T138">
        <v>3.9539999999999997</v>
      </c>
    </row>
    <row r="139" spans="3:20">
      <c r="C139" s="27">
        <v>40836</v>
      </c>
      <c r="D139">
        <v>6.0129000000000001</v>
      </c>
      <c r="E139" s="27">
        <v>43341</v>
      </c>
      <c r="F139">
        <v>99.51</v>
      </c>
      <c r="G139" s="27">
        <v>43391</v>
      </c>
      <c r="H139">
        <v>99.057000000000002</v>
      </c>
      <c r="I139" s="27">
        <v>44237</v>
      </c>
      <c r="J139">
        <v>107.306</v>
      </c>
      <c r="K139" s="27">
        <v>44237</v>
      </c>
      <c r="L139">
        <v>103.503</v>
      </c>
      <c r="M139" s="27">
        <v>42002</v>
      </c>
      <c r="N139">
        <v>113.646</v>
      </c>
      <c r="O139" s="27">
        <v>41656</v>
      </c>
      <c r="P139">
        <v>100.378</v>
      </c>
      <c r="Q139" s="27">
        <v>41884</v>
      </c>
      <c r="R139">
        <v>95.275999999999996</v>
      </c>
      <c r="S139" s="27">
        <v>42241</v>
      </c>
      <c r="T139">
        <v>4.0125999999999999</v>
      </c>
    </row>
    <row r="140" spans="3:20">
      <c r="C140" s="27">
        <v>40837</v>
      </c>
      <c r="D140">
        <v>6.0298999999999996</v>
      </c>
      <c r="E140" s="27">
        <v>43342</v>
      </c>
      <c r="F140">
        <v>99.55</v>
      </c>
      <c r="G140" s="27">
        <v>43392</v>
      </c>
      <c r="H140">
        <v>98.909000000000006</v>
      </c>
      <c r="I140" s="27">
        <v>44238</v>
      </c>
      <c r="J140">
        <v>107.373</v>
      </c>
      <c r="K140" s="27">
        <v>44238</v>
      </c>
      <c r="L140">
        <v>103.571</v>
      </c>
      <c r="M140" s="27">
        <v>42003</v>
      </c>
      <c r="N140">
        <v>114.18899999999999</v>
      </c>
      <c r="O140" s="27">
        <v>41659</v>
      </c>
      <c r="P140">
        <v>100.577</v>
      </c>
      <c r="Q140" s="27">
        <v>41885</v>
      </c>
      <c r="R140">
        <v>95.308000000000007</v>
      </c>
      <c r="S140" s="27">
        <v>42242</v>
      </c>
      <c r="T140">
        <v>4.0170000000000003</v>
      </c>
    </row>
    <row r="141" spans="3:20">
      <c r="C141" s="27">
        <v>40841</v>
      </c>
      <c r="D141">
        <v>6.1333000000000002</v>
      </c>
      <c r="E141" s="27">
        <v>43343</v>
      </c>
      <c r="F141">
        <v>99.551000000000002</v>
      </c>
      <c r="G141" s="27">
        <v>43395</v>
      </c>
      <c r="H141">
        <v>98.861000000000004</v>
      </c>
      <c r="I141" s="27">
        <v>44239</v>
      </c>
      <c r="J141">
        <v>107.17700000000001</v>
      </c>
      <c r="K141" s="27">
        <v>44239</v>
      </c>
      <c r="L141">
        <v>103.42700000000001</v>
      </c>
      <c r="M141" s="27">
        <v>42004</v>
      </c>
      <c r="N141">
        <v>113.98699999999999</v>
      </c>
      <c r="O141" s="27">
        <v>41660</v>
      </c>
      <c r="P141">
        <v>100.65300000000001</v>
      </c>
      <c r="Q141" s="27">
        <v>41886</v>
      </c>
      <c r="R141">
        <v>95.311999999999998</v>
      </c>
      <c r="S141" s="27">
        <v>42243</v>
      </c>
      <c r="T141">
        <v>4.0304000000000002</v>
      </c>
    </row>
    <row r="142" spans="3:20">
      <c r="C142" s="27">
        <v>40842</v>
      </c>
      <c r="D142">
        <v>5.9168000000000003</v>
      </c>
      <c r="E142" s="27">
        <v>43346</v>
      </c>
      <c r="F142">
        <v>99.552999999999997</v>
      </c>
      <c r="G142" s="27">
        <v>43396</v>
      </c>
      <c r="H142">
        <v>99.192999999999998</v>
      </c>
      <c r="I142" s="27">
        <v>44242</v>
      </c>
      <c r="J142">
        <v>105.688</v>
      </c>
      <c r="K142" s="27">
        <v>44242</v>
      </c>
      <c r="L142">
        <v>102.259</v>
      </c>
      <c r="M142" s="27">
        <v>42006</v>
      </c>
      <c r="N142">
        <v>114.318</v>
      </c>
      <c r="O142" s="27">
        <v>41661</v>
      </c>
      <c r="P142">
        <v>100.676</v>
      </c>
      <c r="Q142" s="27">
        <v>41887</v>
      </c>
      <c r="R142">
        <v>95.319000000000003</v>
      </c>
      <c r="S142" s="27">
        <v>42244</v>
      </c>
      <c r="T142">
        <v>4.056</v>
      </c>
    </row>
    <row r="143" spans="3:20">
      <c r="C143" s="27">
        <v>40843</v>
      </c>
      <c r="D143">
        <v>6.0254000000000003</v>
      </c>
      <c r="E143" s="27">
        <v>43347</v>
      </c>
      <c r="F143">
        <v>99.554000000000002</v>
      </c>
      <c r="G143" s="27">
        <v>43397</v>
      </c>
      <c r="H143">
        <v>99.33</v>
      </c>
      <c r="I143" s="27">
        <v>44243</v>
      </c>
      <c r="J143">
        <v>105.09099999999999</v>
      </c>
      <c r="K143" s="27">
        <v>44243</v>
      </c>
      <c r="L143">
        <v>101.774</v>
      </c>
      <c r="M143" s="27">
        <v>42009</v>
      </c>
      <c r="N143">
        <v>120.568</v>
      </c>
      <c r="O143" s="27">
        <v>41662</v>
      </c>
      <c r="P143">
        <v>100.542</v>
      </c>
      <c r="Q143" s="27">
        <v>41890</v>
      </c>
      <c r="R143">
        <v>95.322000000000003</v>
      </c>
      <c r="S143" s="27">
        <v>42247</v>
      </c>
      <c r="T143">
        <v>4.0011000000000001</v>
      </c>
    </row>
    <row r="144" spans="3:20">
      <c r="C144" s="27">
        <v>40847</v>
      </c>
      <c r="D144">
        <v>6.0374999999999996</v>
      </c>
      <c r="E144" s="27">
        <v>43348</v>
      </c>
      <c r="F144">
        <v>99.554000000000002</v>
      </c>
      <c r="G144" s="27">
        <v>43398</v>
      </c>
      <c r="H144">
        <v>99.311999999999998</v>
      </c>
      <c r="I144" s="27">
        <v>44244</v>
      </c>
      <c r="J144">
        <v>104.76900000000001</v>
      </c>
      <c r="K144" s="27">
        <v>44244</v>
      </c>
      <c r="L144">
        <v>101.343</v>
      </c>
      <c r="M144" s="27">
        <v>42010</v>
      </c>
      <c r="N144">
        <v>121.596</v>
      </c>
      <c r="O144" s="27">
        <v>41663</v>
      </c>
      <c r="P144">
        <v>100.89100000000001</v>
      </c>
      <c r="Q144" s="27">
        <v>41891</v>
      </c>
      <c r="R144">
        <v>95.33</v>
      </c>
      <c r="S144" s="27">
        <v>42248</v>
      </c>
      <c r="T144">
        <v>4.0012999999999996</v>
      </c>
    </row>
    <row r="145" spans="3:20">
      <c r="C145" s="27">
        <v>40851</v>
      </c>
      <c r="D145">
        <v>5.8878000000000004</v>
      </c>
      <c r="E145" s="27">
        <v>43349</v>
      </c>
      <c r="F145">
        <v>99.555999999999997</v>
      </c>
      <c r="G145" s="27">
        <v>43399</v>
      </c>
      <c r="H145">
        <v>99.647999999999996</v>
      </c>
      <c r="I145" s="27">
        <v>44245</v>
      </c>
      <c r="J145">
        <v>105.008</v>
      </c>
      <c r="K145" s="27">
        <v>44245</v>
      </c>
      <c r="L145">
        <v>101.55</v>
      </c>
      <c r="M145" s="27">
        <v>42011</v>
      </c>
      <c r="N145">
        <v>122.40600000000001</v>
      </c>
      <c r="O145" s="27">
        <v>41666</v>
      </c>
      <c r="P145">
        <v>101.053</v>
      </c>
      <c r="Q145" s="27">
        <v>41892</v>
      </c>
      <c r="R145">
        <v>95.343999999999994</v>
      </c>
      <c r="S145" s="27">
        <v>42249</v>
      </c>
      <c r="T145">
        <v>4.0231000000000003</v>
      </c>
    </row>
    <row r="146" spans="3:20">
      <c r="C146" s="27">
        <v>40855</v>
      </c>
      <c r="D146">
        <v>5.7332000000000001</v>
      </c>
      <c r="E146" s="27">
        <v>43350</v>
      </c>
      <c r="F146">
        <v>99.558000000000007</v>
      </c>
      <c r="G146" s="27">
        <v>43402</v>
      </c>
      <c r="H146">
        <v>99.525999999999996</v>
      </c>
      <c r="I146" s="27">
        <v>44246</v>
      </c>
      <c r="J146">
        <v>103.57</v>
      </c>
      <c r="K146" s="27">
        <v>44246</v>
      </c>
      <c r="L146">
        <v>100.39100000000001</v>
      </c>
      <c r="M146" s="27">
        <v>42012</v>
      </c>
      <c r="N146">
        <v>121.357</v>
      </c>
      <c r="O146" s="27">
        <v>41667</v>
      </c>
      <c r="P146">
        <v>100.934</v>
      </c>
      <c r="Q146" s="27">
        <v>41893</v>
      </c>
      <c r="R146">
        <v>95.346999999999994</v>
      </c>
      <c r="S146" s="27">
        <v>42250</v>
      </c>
      <c r="T146">
        <v>4.0209999999999999</v>
      </c>
    </row>
    <row r="147" spans="3:20">
      <c r="C147" s="27">
        <v>40861</v>
      </c>
      <c r="D147">
        <v>5.7645</v>
      </c>
      <c r="E147" s="27">
        <v>43353</v>
      </c>
      <c r="F147">
        <v>99.561000000000007</v>
      </c>
      <c r="G147" s="27">
        <v>43403</v>
      </c>
      <c r="H147">
        <v>99.451999999999998</v>
      </c>
      <c r="I147" s="27">
        <v>44249</v>
      </c>
      <c r="J147">
        <v>101.417</v>
      </c>
      <c r="K147" s="27">
        <v>44249</v>
      </c>
      <c r="L147">
        <v>98.826999999999998</v>
      </c>
      <c r="M147" s="27">
        <v>42013</v>
      </c>
      <c r="N147">
        <v>120.98399999999999</v>
      </c>
      <c r="O147" s="27">
        <v>41668</v>
      </c>
      <c r="P147">
        <v>100.892</v>
      </c>
      <c r="Q147" s="27">
        <v>41894</v>
      </c>
      <c r="R147">
        <v>95.35</v>
      </c>
      <c r="S147" s="27">
        <v>42251</v>
      </c>
      <c r="T147">
        <v>3.9649999999999999</v>
      </c>
    </row>
    <row r="148" spans="3:20">
      <c r="C148" s="27">
        <v>40863</v>
      </c>
      <c r="D148">
        <v>5.5739999999999998</v>
      </c>
      <c r="E148" s="27">
        <v>43354</v>
      </c>
      <c r="F148">
        <v>99.563000000000002</v>
      </c>
      <c r="G148" s="27">
        <v>43404</v>
      </c>
      <c r="H148">
        <v>99.296999999999997</v>
      </c>
      <c r="I148" s="27">
        <v>44250</v>
      </c>
      <c r="J148">
        <v>101.533</v>
      </c>
      <c r="K148" s="27">
        <v>44250</v>
      </c>
      <c r="L148">
        <v>98.822000000000003</v>
      </c>
      <c r="M148" s="27">
        <v>42016</v>
      </c>
      <c r="N148">
        <v>121.908</v>
      </c>
      <c r="O148" s="27">
        <v>41669</v>
      </c>
      <c r="P148">
        <v>101.104</v>
      </c>
      <c r="Q148" s="27">
        <v>41897</v>
      </c>
      <c r="R148">
        <v>95.355000000000004</v>
      </c>
      <c r="S148" s="27">
        <v>42254</v>
      </c>
      <c r="T148">
        <v>4.0190000000000001</v>
      </c>
    </row>
    <row r="149" spans="3:20">
      <c r="C149" s="27">
        <v>40864</v>
      </c>
      <c r="D149">
        <v>5.5991</v>
      </c>
      <c r="E149" s="27">
        <v>43355</v>
      </c>
      <c r="F149">
        <v>99.563000000000002</v>
      </c>
      <c r="G149" s="27">
        <v>43405</v>
      </c>
      <c r="H149">
        <v>99.126999999999995</v>
      </c>
      <c r="I149" s="27">
        <v>44251</v>
      </c>
      <c r="J149">
        <v>100.746</v>
      </c>
      <c r="K149" s="27">
        <v>44251</v>
      </c>
      <c r="L149">
        <v>98.097999999999999</v>
      </c>
      <c r="M149" s="27">
        <v>42017</v>
      </c>
      <c r="N149">
        <v>122.057</v>
      </c>
      <c r="O149" s="27">
        <v>41670</v>
      </c>
      <c r="P149">
        <v>101.16</v>
      </c>
      <c r="Q149" s="27">
        <v>41898</v>
      </c>
      <c r="R149">
        <v>95.341999999999999</v>
      </c>
      <c r="S149" s="27">
        <v>42255</v>
      </c>
      <c r="T149">
        <v>4.0339999999999998</v>
      </c>
    </row>
    <row r="150" spans="3:20">
      <c r="C150" s="27">
        <v>40868</v>
      </c>
      <c r="D150">
        <v>5.5834999999999999</v>
      </c>
      <c r="E150" s="27">
        <v>43356</v>
      </c>
      <c r="F150">
        <v>99.569000000000003</v>
      </c>
      <c r="G150" s="27">
        <v>43406</v>
      </c>
      <c r="H150">
        <v>98.881</v>
      </c>
      <c r="I150" s="27">
        <v>44252</v>
      </c>
      <c r="J150">
        <v>99.013000000000005</v>
      </c>
      <c r="K150" s="27">
        <v>44252</v>
      </c>
      <c r="L150">
        <v>96.444000000000003</v>
      </c>
      <c r="M150" s="27">
        <v>42018</v>
      </c>
      <c r="N150">
        <v>122.29900000000001</v>
      </c>
      <c r="O150" s="27">
        <v>41673</v>
      </c>
      <c r="P150">
        <v>101.374</v>
      </c>
      <c r="Q150" s="27">
        <v>41899</v>
      </c>
      <c r="R150">
        <v>95.373999999999995</v>
      </c>
      <c r="S150" s="27">
        <v>42256</v>
      </c>
      <c r="T150">
        <v>4.0949999999999998</v>
      </c>
    </row>
    <row r="151" spans="3:20">
      <c r="C151" s="27">
        <v>40869</v>
      </c>
      <c r="D151">
        <v>5.5278999999999998</v>
      </c>
      <c r="E151" s="27">
        <v>43357</v>
      </c>
      <c r="F151">
        <v>99.570999999999998</v>
      </c>
      <c r="G151" s="27">
        <v>43409</v>
      </c>
      <c r="H151">
        <v>98.92</v>
      </c>
      <c r="I151" s="27">
        <v>44253</v>
      </c>
      <c r="J151">
        <v>100.161</v>
      </c>
      <c r="K151" s="27">
        <v>44253</v>
      </c>
      <c r="L151">
        <v>97.078999999999994</v>
      </c>
      <c r="M151" s="27">
        <v>42019</v>
      </c>
      <c r="N151">
        <v>122.357</v>
      </c>
      <c r="O151" s="27">
        <v>41674</v>
      </c>
      <c r="P151">
        <v>101.458</v>
      </c>
      <c r="Q151" s="27">
        <v>41900</v>
      </c>
      <c r="R151">
        <v>95.381</v>
      </c>
      <c r="S151" s="27">
        <v>42257</v>
      </c>
      <c r="T151">
        <v>4.0880000000000001</v>
      </c>
    </row>
    <row r="152" spans="3:20">
      <c r="C152" s="27">
        <v>40871</v>
      </c>
      <c r="D152">
        <v>5.4371999999999998</v>
      </c>
      <c r="E152" s="27">
        <v>43360</v>
      </c>
      <c r="F152">
        <v>99.572000000000003</v>
      </c>
      <c r="G152" s="27">
        <v>43410</v>
      </c>
      <c r="H152">
        <v>98.89</v>
      </c>
      <c r="I152" s="27">
        <v>44256</v>
      </c>
      <c r="J152">
        <v>101.374</v>
      </c>
      <c r="K152" s="27">
        <v>44256</v>
      </c>
      <c r="L152">
        <v>97.911000000000001</v>
      </c>
      <c r="M152" s="27">
        <v>42020</v>
      </c>
      <c r="N152">
        <v>122.715</v>
      </c>
      <c r="O152" s="27">
        <v>41675</v>
      </c>
      <c r="P152">
        <v>101.426</v>
      </c>
      <c r="Q152" s="27">
        <v>41901</v>
      </c>
      <c r="R152">
        <v>95.366</v>
      </c>
      <c r="S152" s="27">
        <v>42258</v>
      </c>
      <c r="T152">
        <v>4.1100000000000003</v>
      </c>
    </row>
    <row r="153" spans="3:20">
      <c r="C153" s="27">
        <v>40872</v>
      </c>
      <c r="D153">
        <v>5.4614000000000003</v>
      </c>
      <c r="E153" s="27">
        <v>43361</v>
      </c>
      <c r="F153">
        <v>99.575000000000003</v>
      </c>
      <c r="G153" s="27">
        <v>43411</v>
      </c>
      <c r="H153">
        <v>98.783000000000001</v>
      </c>
      <c r="I153" s="27">
        <v>44257</v>
      </c>
      <c r="J153">
        <v>100.82599999999999</v>
      </c>
      <c r="K153" s="27">
        <v>44257</v>
      </c>
      <c r="L153">
        <v>97.713999999999999</v>
      </c>
      <c r="M153" s="27">
        <v>42023</v>
      </c>
      <c r="N153">
        <v>122.652</v>
      </c>
      <c r="O153" s="27">
        <v>41676</v>
      </c>
      <c r="P153">
        <v>101.435</v>
      </c>
      <c r="Q153" s="27">
        <v>41904</v>
      </c>
      <c r="R153">
        <v>95.387</v>
      </c>
      <c r="S153" s="27">
        <v>42261</v>
      </c>
      <c r="T153">
        <v>4.0990000000000002</v>
      </c>
    </row>
    <row r="154" spans="3:20">
      <c r="C154" s="27">
        <v>40876</v>
      </c>
      <c r="D154">
        <v>5.6071</v>
      </c>
      <c r="E154" s="27">
        <v>43362</v>
      </c>
      <c r="F154">
        <v>99.573999999999998</v>
      </c>
      <c r="G154" s="27">
        <v>43412</v>
      </c>
      <c r="H154">
        <v>98.659000000000006</v>
      </c>
      <c r="I154" s="27">
        <v>44258</v>
      </c>
      <c r="J154">
        <v>100.06100000000001</v>
      </c>
      <c r="K154" s="27">
        <v>44258</v>
      </c>
      <c r="L154">
        <v>97.212999999999994</v>
      </c>
      <c r="M154" s="27">
        <v>42024</v>
      </c>
      <c r="N154">
        <v>123.086</v>
      </c>
      <c r="O154" s="27">
        <v>41677</v>
      </c>
      <c r="P154">
        <v>101.072</v>
      </c>
      <c r="Q154" s="27">
        <v>41905</v>
      </c>
      <c r="R154">
        <v>95.388000000000005</v>
      </c>
      <c r="S154" s="27">
        <v>42262</v>
      </c>
      <c r="T154">
        <v>4.0659999999999998</v>
      </c>
    </row>
    <row r="155" spans="3:20">
      <c r="C155" s="27">
        <v>40877</v>
      </c>
      <c r="D155">
        <v>5.6238999999999999</v>
      </c>
      <c r="E155" s="27">
        <v>43363</v>
      </c>
      <c r="F155">
        <v>99.575999999999993</v>
      </c>
      <c r="G155" s="27">
        <v>43413</v>
      </c>
      <c r="H155">
        <v>98.991</v>
      </c>
      <c r="I155" s="27">
        <v>44259</v>
      </c>
      <c r="J155">
        <v>99.731999999999999</v>
      </c>
      <c r="K155" s="27">
        <v>44259</v>
      </c>
      <c r="L155">
        <v>96.82</v>
      </c>
      <c r="M155" s="27">
        <v>42025</v>
      </c>
      <c r="N155">
        <v>122.744</v>
      </c>
      <c r="O155" s="27">
        <v>41680</v>
      </c>
      <c r="P155">
        <v>101.355</v>
      </c>
      <c r="Q155" s="27">
        <v>41906</v>
      </c>
      <c r="R155">
        <v>95.397999999999996</v>
      </c>
      <c r="S155" s="27">
        <v>42263</v>
      </c>
      <c r="T155">
        <v>4.1539999999999999</v>
      </c>
    </row>
    <row r="156" spans="3:20">
      <c r="C156" s="27">
        <v>40878</v>
      </c>
      <c r="D156">
        <v>5.6604000000000001</v>
      </c>
      <c r="E156" s="27">
        <v>43364</v>
      </c>
      <c r="F156">
        <v>99.576999999999998</v>
      </c>
      <c r="G156" s="27">
        <v>43416</v>
      </c>
      <c r="H156">
        <v>99.164000000000001</v>
      </c>
      <c r="I156" s="27">
        <v>44260</v>
      </c>
      <c r="J156">
        <v>99.052000000000007</v>
      </c>
      <c r="K156" s="27">
        <v>44260</v>
      </c>
      <c r="L156">
        <v>96.072000000000003</v>
      </c>
      <c r="M156" s="27">
        <v>42026</v>
      </c>
      <c r="N156">
        <v>122.333</v>
      </c>
      <c r="O156" s="27">
        <v>41681</v>
      </c>
      <c r="P156">
        <v>101.262</v>
      </c>
      <c r="Q156" s="27">
        <v>41907</v>
      </c>
      <c r="R156">
        <v>95.399000000000001</v>
      </c>
      <c r="S156" s="27">
        <v>42264</v>
      </c>
      <c r="T156">
        <v>4.22</v>
      </c>
    </row>
    <row r="157" spans="3:20">
      <c r="C157" s="27">
        <v>40879</v>
      </c>
      <c r="D157">
        <v>5.6754999999999995</v>
      </c>
      <c r="E157" s="27">
        <v>43367</v>
      </c>
      <c r="F157">
        <v>99.578000000000003</v>
      </c>
      <c r="G157" s="27">
        <v>43417</v>
      </c>
      <c r="H157">
        <v>99.093999999999994</v>
      </c>
      <c r="I157" s="27">
        <v>44263</v>
      </c>
      <c r="J157">
        <v>99.284999999999997</v>
      </c>
      <c r="K157" s="27">
        <v>44263</v>
      </c>
      <c r="L157">
        <v>96.225999999999999</v>
      </c>
      <c r="M157" s="27">
        <v>42027</v>
      </c>
      <c r="N157">
        <v>123.158</v>
      </c>
      <c r="O157" s="27">
        <v>41682</v>
      </c>
      <c r="P157">
        <v>101.268</v>
      </c>
      <c r="Q157" s="27">
        <v>41908</v>
      </c>
      <c r="R157">
        <v>95.381</v>
      </c>
      <c r="S157" s="27">
        <v>42265</v>
      </c>
      <c r="T157">
        <v>4.1210000000000004</v>
      </c>
    </row>
    <row r="158" spans="3:20">
      <c r="C158" s="27">
        <v>40882</v>
      </c>
      <c r="D158">
        <v>5.6425999999999998</v>
      </c>
      <c r="E158" s="27">
        <v>43368</v>
      </c>
      <c r="F158">
        <v>99.578000000000003</v>
      </c>
      <c r="G158" s="27">
        <v>43418</v>
      </c>
      <c r="H158">
        <v>99.025000000000006</v>
      </c>
      <c r="I158" s="27">
        <v>44264</v>
      </c>
      <c r="J158">
        <v>99.867999999999995</v>
      </c>
      <c r="K158" s="27">
        <v>44264</v>
      </c>
      <c r="L158">
        <v>96.596000000000004</v>
      </c>
      <c r="M158" s="27">
        <v>42030</v>
      </c>
      <c r="N158">
        <v>123.465</v>
      </c>
      <c r="O158" s="27">
        <v>41683</v>
      </c>
      <c r="P158">
        <v>101.123</v>
      </c>
      <c r="Q158" s="27">
        <v>41911</v>
      </c>
      <c r="R158">
        <v>95.411000000000001</v>
      </c>
      <c r="S158" s="27">
        <v>42268</v>
      </c>
      <c r="T158">
        <v>4.0979999999999999</v>
      </c>
    </row>
    <row r="159" spans="3:20">
      <c r="C159" s="27">
        <v>40884</v>
      </c>
      <c r="D159">
        <v>5.5753000000000004</v>
      </c>
      <c r="E159" s="27">
        <v>43369</v>
      </c>
      <c r="F159">
        <v>99.578000000000003</v>
      </c>
      <c r="G159" s="27">
        <v>43419</v>
      </c>
      <c r="H159">
        <v>99.262</v>
      </c>
      <c r="I159" s="27">
        <v>44265</v>
      </c>
      <c r="J159">
        <v>100.73</v>
      </c>
      <c r="K159" s="27">
        <v>44265</v>
      </c>
      <c r="L159">
        <v>97.335999999999999</v>
      </c>
      <c r="M159" s="27">
        <v>42031</v>
      </c>
      <c r="N159">
        <v>122.928</v>
      </c>
      <c r="O159" s="27">
        <v>41684</v>
      </c>
      <c r="P159">
        <v>101.42100000000001</v>
      </c>
      <c r="Q159" s="27">
        <v>41912</v>
      </c>
      <c r="R159">
        <v>95.411000000000001</v>
      </c>
      <c r="S159" s="27">
        <v>42269</v>
      </c>
      <c r="T159">
        <v>4.0659999999999998</v>
      </c>
    </row>
    <row r="160" spans="3:20">
      <c r="C160" s="27">
        <v>40885</v>
      </c>
      <c r="D160">
        <v>5.5750000000000002</v>
      </c>
      <c r="E160" s="27">
        <v>43370</v>
      </c>
      <c r="F160">
        <v>99.581999999999994</v>
      </c>
      <c r="G160" s="27">
        <v>43420</v>
      </c>
      <c r="H160">
        <v>99.150999999999996</v>
      </c>
      <c r="I160" s="27">
        <v>44266</v>
      </c>
      <c r="J160">
        <v>101.56699999999999</v>
      </c>
      <c r="K160" s="27">
        <v>44266</v>
      </c>
      <c r="L160">
        <v>98</v>
      </c>
      <c r="M160" s="27">
        <v>42032</v>
      </c>
      <c r="N160">
        <v>122.93</v>
      </c>
      <c r="O160" s="27">
        <v>41687</v>
      </c>
      <c r="P160">
        <v>101.33199999999999</v>
      </c>
      <c r="Q160" s="27">
        <v>41913</v>
      </c>
      <c r="R160">
        <v>95.423000000000002</v>
      </c>
      <c r="S160" s="27">
        <v>42270</v>
      </c>
      <c r="T160">
        <v>4.0209999999999999</v>
      </c>
    </row>
    <row r="161" spans="3:20">
      <c r="C161" s="27">
        <v>40886</v>
      </c>
      <c r="D161">
        <v>5.5140000000000002</v>
      </c>
      <c r="E161" s="27">
        <v>43371</v>
      </c>
      <c r="F161">
        <v>99.584999999999994</v>
      </c>
      <c r="G161" s="27">
        <v>43423</v>
      </c>
      <c r="H161">
        <v>99.055000000000007</v>
      </c>
      <c r="I161" s="27">
        <v>44267</v>
      </c>
      <c r="J161">
        <v>98.763999999999996</v>
      </c>
      <c r="K161" s="27">
        <v>44267</v>
      </c>
      <c r="L161">
        <v>96.016999999999996</v>
      </c>
      <c r="M161" s="27">
        <v>42033</v>
      </c>
      <c r="N161">
        <v>123.223</v>
      </c>
      <c r="O161" s="27">
        <v>41688</v>
      </c>
      <c r="P161">
        <v>101.324</v>
      </c>
      <c r="Q161" s="27">
        <v>41914</v>
      </c>
      <c r="R161">
        <v>95.433000000000007</v>
      </c>
      <c r="S161" s="27">
        <v>42271</v>
      </c>
      <c r="T161">
        <v>4.0010000000000003</v>
      </c>
    </row>
    <row r="162" spans="3:20">
      <c r="C162" s="27">
        <v>40889</v>
      </c>
      <c r="D162">
        <v>5.6655999999999995</v>
      </c>
      <c r="E162" s="27">
        <v>43375</v>
      </c>
      <c r="F162">
        <v>99.587999999999994</v>
      </c>
      <c r="G162" s="27">
        <v>43424</v>
      </c>
      <c r="H162">
        <v>99.171000000000006</v>
      </c>
      <c r="I162" s="27">
        <v>44270</v>
      </c>
      <c r="J162">
        <v>99.805000000000007</v>
      </c>
      <c r="K162" s="27">
        <v>44270</v>
      </c>
      <c r="L162">
        <v>96.603999999999999</v>
      </c>
      <c r="M162" s="27">
        <v>42034</v>
      </c>
      <c r="N162">
        <v>123.84</v>
      </c>
      <c r="O162" s="27">
        <v>41689</v>
      </c>
      <c r="P162">
        <v>101.506</v>
      </c>
      <c r="Q162" s="27">
        <v>41915</v>
      </c>
      <c r="R162">
        <v>95.436999999999998</v>
      </c>
      <c r="S162" s="27">
        <v>42272</v>
      </c>
      <c r="T162">
        <v>4.0339999999999998</v>
      </c>
    </row>
    <row r="163" spans="3:20">
      <c r="C163" s="27">
        <v>40890</v>
      </c>
      <c r="D163">
        <v>5.5796999999999999</v>
      </c>
      <c r="E163" s="27">
        <v>43376</v>
      </c>
      <c r="F163">
        <v>99.59</v>
      </c>
      <c r="G163" s="27">
        <v>43425</v>
      </c>
      <c r="H163">
        <v>98.977999999999994</v>
      </c>
      <c r="I163" s="27">
        <v>44271</v>
      </c>
      <c r="J163">
        <v>99.765000000000001</v>
      </c>
      <c r="K163" s="27">
        <v>44271</v>
      </c>
      <c r="L163">
        <v>96.766000000000005</v>
      </c>
      <c r="M163" s="27">
        <v>42037</v>
      </c>
      <c r="N163">
        <v>123.563</v>
      </c>
      <c r="O163" s="27">
        <v>41690</v>
      </c>
      <c r="P163">
        <v>101.5</v>
      </c>
      <c r="Q163" s="27">
        <v>41920</v>
      </c>
      <c r="R163">
        <v>95.441000000000003</v>
      </c>
      <c r="S163" s="27">
        <v>42275</v>
      </c>
      <c r="T163">
        <v>4.024</v>
      </c>
    </row>
    <row r="164" spans="3:20">
      <c r="C164" s="27">
        <v>40891</v>
      </c>
      <c r="D164">
        <v>5.5330000000000004</v>
      </c>
      <c r="E164" s="27">
        <v>43377</v>
      </c>
      <c r="F164">
        <v>99.591999999999999</v>
      </c>
      <c r="G164" s="27">
        <v>43426</v>
      </c>
      <c r="H164">
        <v>98.959000000000003</v>
      </c>
      <c r="I164" s="27">
        <v>44272</v>
      </c>
      <c r="J164">
        <v>99.049000000000007</v>
      </c>
      <c r="K164" s="27">
        <v>44272</v>
      </c>
      <c r="L164">
        <v>96.198999999999998</v>
      </c>
      <c r="M164" s="27">
        <v>42038</v>
      </c>
      <c r="N164">
        <v>122.68600000000001</v>
      </c>
      <c r="O164" s="27">
        <v>41691</v>
      </c>
      <c r="P164">
        <v>101.363</v>
      </c>
      <c r="Q164" s="27">
        <v>41921</v>
      </c>
      <c r="R164">
        <v>95.442999999999998</v>
      </c>
      <c r="S164" s="27">
        <v>42276</v>
      </c>
      <c r="T164">
        <v>3.915</v>
      </c>
    </row>
    <row r="165" spans="3:20">
      <c r="C165" s="27">
        <v>40892</v>
      </c>
      <c r="D165">
        <v>5.4139999999999997</v>
      </c>
      <c r="E165" s="27">
        <v>43378</v>
      </c>
      <c r="F165">
        <v>99.594999999999999</v>
      </c>
      <c r="G165" s="27">
        <v>43427</v>
      </c>
      <c r="H165">
        <v>99.125</v>
      </c>
      <c r="I165" s="27">
        <v>44273</v>
      </c>
      <c r="J165">
        <v>97.509</v>
      </c>
      <c r="K165" s="27">
        <v>44273</v>
      </c>
      <c r="L165">
        <v>95.03</v>
      </c>
      <c r="M165" s="27">
        <v>42039</v>
      </c>
      <c r="N165">
        <v>122.85599999999999</v>
      </c>
      <c r="O165" s="27">
        <v>41694</v>
      </c>
      <c r="P165">
        <v>101.53700000000001</v>
      </c>
      <c r="Q165" s="27">
        <v>41922</v>
      </c>
      <c r="R165">
        <v>95.448999999999998</v>
      </c>
      <c r="S165" s="27">
        <v>42277</v>
      </c>
      <c r="T165">
        <v>3.944</v>
      </c>
    </row>
    <row r="166" spans="3:20">
      <c r="C166" s="27">
        <v>40893</v>
      </c>
      <c r="D166">
        <v>5.4729999999999999</v>
      </c>
      <c r="E166" s="27">
        <v>43381</v>
      </c>
      <c r="F166">
        <v>99.596000000000004</v>
      </c>
      <c r="G166" s="27">
        <v>43430</v>
      </c>
      <c r="H166">
        <v>99.025000000000006</v>
      </c>
      <c r="I166" s="27">
        <v>44274</v>
      </c>
      <c r="J166">
        <v>98.549000000000007</v>
      </c>
      <c r="K166" s="27">
        <v>44274</v>
      </c>
      <c r="L166">
        <v>95.873000000000005</v>
      </c>
      <c r="M166" s="27">
        <v>42040</v>
      </c>
      <c r="N166">
        <v>121.795</v>
      </c>
      <c r="O166" s="27">
        <v>41695</v>
      </c>
      <c r="P166">
        <v>101.417</v>
      </c>
      <c r="Q166" s="27">
        <v>41925</v>
      </c>
      <c r="R166">
        <v>95.453999999999994</v>
      </c>
      <c r="S166" s="27">
        <v>42278</v>
      </c>
      <c r="T166">
        <v>3.9329999999999998</v>
      </c>
    </row>
    <row r="167" spans="3:20">
      <c r="C167" s="27">
        <v>40896</v>
      </c>
      <c r="D167">
        <v>5.4166999999999996</v>
      </c>
      <c r="E167" s="27">
        <v>43382</v>
      </c>
      <c r="F167">
        <v>99.587999999999994</v>
      </c>
      <c r="G167" s="27">
        <v>43431</v>
      </c>
      <c r="H167">
        <v>99.093999999999994</v>
      </c>
      <c r="I167" s="27">
        <v>44277</v>
      </c>
      <c r="J167">
        <v>99.016999999999996</v>
      </c>
      <c r="K167" s="27">
        <v>44277</v>
      </c>
      <c r="L167">
        <v>96.248999999999995</v>
      </c>
      <c r="M167" s="27">
        <v>42041</v>
      </c>
      <c r="N167">
        <v>121.61199999999999</v>
      </c>
      <c r="O167" s="27">
        <v>41696</v>
      </c>
      <c r="P167">
        <v>101.619</v>
      </c>
      <c r="Q167" s="27">
        <v>41926</v>
      </c>
      <c r="R167">
        <v>95.459000000000003</v>
      </c>
      <c r="S167" s="27">
        <v>42279</v>
      </c>
      <c r="T167">
        <v>3.9489999999999998</v>
      </c>
    </row>
    <row r="168" spans="3:20">
      <c r="C168" s="27">
        <v>40897</v>
      </c>
      <c r="D168">
        <v>5.4428999999999998</v>
      </c>
      <c r="E168" s="27">
        <v>43383</v>
      </c>
      <c r="F168">
        <v>99.59</v>
      </c>
      <c r="G168" s="27">
        <v>43432</v>
      </c>
      <c r="H168">
        <v>99.063999999999993</v>
      </c>
      <c r="I168" s="27">
        <v>44278</v>
      </c>
      <c r="J168">
        <v>99.724000000000004</v>
      </c>
      <c r="K168" s="27">
        <v>44278</v>
      </c>
      <c r="L168">
        <v>96.837999999999994</v>
      </c>
      <c r="M168" s="27">
        <v>42044</v>
      </c>
      <c r="N168">
        <v>121.792</v>
      </c>
      <c r="O168" s="27">
        <v>41697</v>
      </c>
      <c r="P168">
        <v>101.879</v>
      </c>
      <c r="Q168" s="27">
        <v>41927</v>
      </c>
      <c r="R168">
        <v>95.474000000000004</v>
      </c>
      <c r="S168" s="27">
        <v>42282</v>
      </c>
      <c r="T168">
        <v>3.911</v>
      </c>
    </row>
    <row r="169" spans="3:20">
      <c r="C169" s="27">
        <v>40898</v>
      </c>
      <c r="D169">
        <v>5.5266000000000002</v>
      </c>
      <c r="E169" s="27">
        <v>43384</v>
      </c>
      <c r="F169">
        <v>99.590999999999994</v>
      </c>
      <c r="G169" s="27">
        <v>43433</v>
      </c>
      <c r="H169">
        <v>99.238</v>
      </c>
      <c r="I169" s="27">
        <v>44279</v>
      </c>
      <c r="J169">
        <v>99.647999999999996</v>
      </c>
      <c r="K169" s="27">
        <v>44279</v>
      </c>
      <c r="L169">
        <v>96.888999999999996</v>
      </c>
      <c r="M169" s="27">
        <v>42045</v>
      </c>
      <c r="N169">
        <v>121.157</v>
      </c>
      <c r="O169" s="27">
        <v>41698</v>
      </c>
      <c r="P169">
        <v>102.187</v>
      </c>
      <c r="Q169" s="27">
        <v>41928</v>
      </c>
      <c r="R169">
        <v>95.475999999999999</v>
      </c>
      <c r="S169" s="27">
        <v>42283</v>
      </c>
      <c r="T169">
        <v>3.9430000000000001</v>
      </c>
    </row>
    <row r="170" spans="3:20">
      <c r="C170" s="27">
        <v>40899</v>
      </c>
      <c r="D170">
        <v>5.5792999999999999</v>
      </c>
      <c r="E170" s="27">
        <v>43385</v>
      </c>
      <c r="F170">
        <v>99.597999999999999</v>
      </c>
      <c r="G170" s="27">
        <v>43434</v>
      </c>
      <c r="H170">
        <v>99.241</v>
      </c>
      <c r="I170" s="27">
        <v>44280</v>
      </c>
      <c r="J170">
        <v>100.32599999999999</v>
      </c>
      <c r="K170" s="27">
        <v>44280</v>
      </c>
      <c r="L170">
        <v>97.400999999999996</v>
      </c>
      <c r="M170" s="27">
        <v>42046</v>
      </c>
      <c r="N170">
        <v>121.04</v>
      </c>
      <c r="O170" s="27">
        <v>41701</v>
      </c>
      <c r="P170">
        <v>101.93600000000001</v>
      </c>
      <c r="Q170" s="27">
        <v>41929</v>
      </c>
      <c r="R170">
        <v>95.478999999999999</v>
      </c>
      <c r="S170" s="27">
        <v>42284</v>
      </c>
      <c r="T170">
        <v>3.9939999999999998</v>
      </c>
    </row>
    <row r="171" spans="3:20">
      <c r="C171" s="27">
        <v>40900</v>
      </c>
      <c r="D171">
        <v>5.5972</v>
      </c>
      <c r="E171" s="27">
        <v>43388</v>
      </c>
      <c r="F171">
        <v>99.599000000000004</v>
      </c>
      <c r="G171" s="27">
        <v>43437</v>
      </c>
      <c r="H171">
        <v>99.31</v>
      </c>
      <c r="I171" s="27">
        <v>44281</v>
      </c>
      <c r="J171">
        <v>99.966999999999999</v>
      </c>
      <c r="K171" s="27">
        <v>44281</v>
      </c>
      <c r="L171">
        <v>97.116</v>
      </c>
      <c r="M171" s="27">
        <v>42047</v>
      </c>
      <c r="N171">
        <v>122.18300000000001</v>
      </c>
      <c r="O171" s="27">
        <v>41702</v>
      </c>
      <c r="P171">
        <v>102.25700000000001</v>
      </c>
      <c r="Q171" s="27">
        <v>41932</v>
      </c>
      <c r="R171">
        <v>95.484999999999999</v>
      </c>
      <c r="S171" s="27">
        <v>42285</v>
      </c>
      <c r="T171">
        <v>3.9670000000000001</v>
      </c>
    </row>
    <row r="172" spans="3:20">
      <c r="C172" s="27">
        <v>40904</v>
      </c>
      <c r="D172">
        <v>5.5831</v>
      </c>
      <c r="E172" s="27">
        <v>43389</v>
      </c>
      <c r="F172">
        <v>99.6</v>
      </c>
      <c r="G172" s="27">
        <v>43438</v>
      </c>
      <c r="H172">
        <v>99.668000000000006</v>
      </c>
      <c r="I172" s="27">
        <v>44284</v>
      </c>
      <c r="J172">
        <v>99.347999999999999</v>
      </c>
      <c r="K172" s="27">
        <v>44284</v>
      </c>
      <c r="L172">
        <v>96.569000000000003</v>
      </c>
      <c r="M172" s="27">
        <v>42048</v>
      </c>
      <c r="N172">
        <v>121.72799999999999</v>
      </c>
      <c r="O172" s="27">
        <v>41703</v>
      </c>
      <c r="P172">
        <v>102.154</v>
      </c>
      <c r="Q172" s="27">
        <v>41933</v>
      </c>
      <c r="R172">
        <v>95.484999999999999</v>
      </c>
      <c r="S172" s="27">
        <v>42286</v>
      </c>
      <c r="T172">
        <v>3.9990000000000001</v>
      </c>
    </row>
    <row r="173" spans="3:20">
      <c r="C173" s="27">
        <v>40905</v>
      </c>
      <c r="D173">
        <v>5.6257000000000001</v>
      </c>
      <c r="E173" s="27">
        <v>43390</v>
      </c>
      <c r="F173">
        <v>99.6</v>
      </c>
      <c r="G173" s="27">
        <v>43439</v>
      </c>
      <c r="H173">
        <v>99.54</v>
      </c>
      <c r="I173" s="27">
        <v>44285</v>
      </c>
      <c r="J173">
        <v>98.712000000000003</v>
      </c>
      <c r="K173" s="27">
        <v>44285</v>
      </c>
      <c r="L173">
        <v>95.988</v>
      </c>
      <c r="M173" s="27">
        <v>42051</v>
      </c>
      <c r="N173">
        <v>121.18</v>
      </c>
      <c r="O173" s="27">
        <v>41704</v>
      </c>
      <c r="P173">
        <v>102.16800000000001</v>
      </c>
      <c r="Q173" s="27">
        <v>41934</v>
      </c>
      <c r="R173">
        <v>95.498000000000005</v>
      </c>
      <c r="S173" s="27">
        <v>42289</v>
      </c>
      <c r="T173">
        <v>4.0289999999999999</v>
      </c>
    </row>
    <row r="174" spans="3:20">
      <c r="C174" s="27">
        <v>40906</v>
      </c>
      <c r="D174">
        <v>5.6490999999999998</v>
      </c>
      <c r="E174" s="27">
        <v>43391</v>
      </c>
      <c r="F174">
        <v>99.606999999999999</v>
      </c>
      <c r="G174" s="27">
        <v>43440</v>
      </c>
      <c r="H174">
        <v>99.680999999999997</v>
      </c>
      <c r="I174" s="27">
        <v>44286</v>
      </c>
      <c r="J174">
        <v>99.105000000000004</v>
      </c>
      <c r="K174" s="27">
        <v>44286</v>
      </c>
      <c r="L174">
        <v>96.034000000000006</v>
      </c>
      <c r="M174" s="27">
        <v>42052</v>
      </c>
      <c r="N174">
        <v>121.259</v>
      </c>
      <c r="O174" s="27">
        <v>41705</v>
      </c>
      <c r="P174">
        <v>101.913</v>
      </c>
      <c r="Q174" s="27">
        <v>41935</v>
      </c>
      <c r="R174">
        <v>95.481999999999999</v>
      </c>
      <c r="S174" s="27">
        <v>42290</v>
      </c>
      <c r="T174">
        <v>3.9889999999999999</v>
      </c>
    </row>
    <row r="175" spans="3:20">
      <c r="C175" s="27">
        <v>40907</v>
      </c>
      <c r="D175">
        <v>5.5655999999999999</v>
      </c>
      <c r="E175" s="27">
        <v>43392</v>
      </c>
      <c r="F175">
        <v>99.602000000000004</v>
      </c>
      <c r="G175" s="27">
        <v>43441</v>
      </c>
      <c r="H175">
        <v>99.498999999999995</v>
      </c>
      <c r="I175" s="27">
        <v>44287</v>
      </c>
      <c r="J175">
        <v>99.78</v>
      </c>
      <c r="K175" s="27">
        <v>44287</v>
      </c>
      <c r="L175">
        <v>96.581999999999994</v>
      </c>
      <c r="M175" s="27">
        <v>42053</v>
      </c>
      <c r="N175">
        <v>120.24299999999999</v>
      </c>
      <c r="O175" s="27">
        <v>41708</v>
      </c>
      <c r="P175">
        <v>101.92100000000001</v>
      </c>
      <c r="Q175" s="27">
        <v>41936</v>
      </c>
      <c r="R175">
        <v>95.489000000000004</v>
      </c>
      <c r="S175" s="27">
        <v>42291</v>
      </c>
      <c r="T175">
        <v>3.9180000000000001</v>
      </c>
    </row>
    <row r="176" spans="3:20">
      <c r="C176" s="27">
        <v>40911</v>
      </c>
      <c r="D176">
        <v>5.6966000000000001</v>
      </c>
      <c r="E176" s="27">
        <v>43395</v>
      </c>
      <c r="F176">
        <v>99.597999999999999</v>
      </c>
      <c r="G176" s="27">
        <v>43444</v>
      </c>
      <c r="H176">
        <v>99.424000000000007</v>
      </c>
      <c r="I176" s="27">
        <v>44292</v>
      </c>
      <c r="J176">
        <v>100.621</v>
      </c>
      <c r="K176" s="27">
        <v>44292</v>
      </c>
      <c r="L176">
        <v>97.236000000000004</v>
      </c>
      <c r="M176" s="27">
        <v>42054</v>
      </c>
      <c r="N176">
        <v>120.88</v>
      </c>
      <c r="O176" s="27">
        <v>41709</v>
      </c>
      <c r="P176">
        <v>102.09399999999999</v>
      </c>
      <c r="Q176" s="27">
        <v>41939</v>
      </c>
      <c r="R176">
        <v>95.512</v>
      </c>
      <c r="S176" s="27">
        <v>42292</v>
      </c>
      <c r="T176">
        <v>3.9060000000000001</v>
      </c>
    </row>
    <row r="177" spans="3:20">
      <c r="C177" s="27">
        <v>40912</v>
      </c>
      <c r="D177">
        <v>5.6336000000000004</v>
      </c>
      <c r="E177" s="27">
        <v>43396</v>
      </c>
      <c r="F177">
        <v>99.597999999999999</v>
      </c>
      <c r="G177" s="27">
        <v>43445</v>
      </c>
      <c r="H177">
        <v>99.533000000000001</v>
      </c>
      <c r="I177" s="27">
        <v>44293</v>
      </c>
      <c r="J177">
        <v>101.093</v>
      </c>
      <c r="K177" s="27">
        <v>44293</v>
      </c>
      <c r="L177">
        <v>97.554000000000002</v>
      </c>
      <c r="M177" s="27">
        <v>42055</v>
      </c>
      <c r="N177">
        <v>120.849</v>
      </c>
      <c r="O177" s="27">
        <v>41710</v>
      </c>
      <c r="P177">
        <v>102.10299999999999</v>
      </c>
      <c r="Q177" s="27">
        <v>41940</v>
      </c>
      <c r="R177">
        <v>95.513000000000005</v>
      </c>
      <c r="S177" s="27">
        <v>42293</v>
      </c>
      <c r="T177">
        <v>3.9279999999999999</v>
      </c>
    </row>
    <row r="178" spans="3:20">
      <c r="C178" s="27">
        <v>40913</v>
      </c>
      <c r="D178">
        <v>5.6111000000000004</v>
      </c>
      <c r="E178" s="27">
        <v>43397</v>
      </c>
      <c r="F178">
        <v>99.594999999999999</v>
      </c>
      <c r="G178" s="27">
        <v>43446</v>
      </c>
      <c r="H178">
        <v>99.164000000000001</v>
      </c>
      <c r="I178" s="27">
        <v>44294</v>
      </c>
      <c r="J178">
        <v>101.181</v>
      </c>
      <c r="K178" s="27">
        <v>44294</v>
      </c>
      <c r="L178">
        <v>97.7</v>
      </c>
      <c r="M178" s="27">
        <v>42058</v>
      </c>
      <c r="N178">
        <v>120.181</v>
      </c>
      <c r="O178" s="27">
        <v>41711</v>
      </c>
      <c r="P178">
        <v>102.261</v>
      </c>
      <c r="Q178" s="27">
        <v>41941</v>
      </c>
      <c r="R178">
        <v>95.522000000000006</v>
      </c>
      <c r="S178" s="27">
        <v>42296</v>
      </c>
      <c r="T178">
        <v>3.9350000000000001</v>
      </c>
    </row>
    <row r="179" spans="3:20">
      <c r="C179" s="27">
        <v>40914</v>
      </c>
      <c r="D179">
        <v>5.5768000000000004</v>
      </c>
      <c r="E179" s="27">
        <v>43398</v>
      </c>
      <c r="F179">
        <v>99.596000000000004</v>
      </c>
      <c r="G179" s="27">
        <v>43447</v>
      </c>
      <c r="H179">
        <v>99.105999999999995</v>
      </c>
      <c r="I179" s="27">
        <v>44295</v>
      </c>
      <c r="J179">
        <v>100.373</v>
      </c>
      <c r="K179" s="27">
        <v>44295</v>
      </c>
      <c r="L179">
        <v>97.057000000000002</v>
      </c>
      <c r="M179" s="27">
        <v>42059</v>
      </c>
      <c r="N179">
        <v>120.51600000000001</v>
      </c>
      <c r="O179" s="27">
        <v>41712</v>
      </c>
      <c r="P179">
        <v>102.63200000000001</v>
      </c>
      <c r="Q179" s="27">
        <v>41942</v>
      </c>
      <c r="R179">
        <v>95.516000000000005</v>
      </c>
      <c r="S179" s="27">
        <v>42297</v>
      </c>
      <c r="T179">
        <v>3.9279999999999999</v>
      </c>
    </row>
    <row r="180" spans="3:20">
      <c r="C180" s="27">
        <v>40917</v>
      </c>
      <c r="D180">
        <v>5.5190000000000001</v>
      </c>
      <c r="E180" s="27">
        <v>43399</v>
      </c>
      <c r="F180">
        <v>99.597999999999999</v>
      </c>
      <c r="G180" s="27">
        <v>43448</v>
      </c>
      <c r="H180">
        <v>99.265000000000001</v>
      </c>
      <c r="I180" s="27">
        <v>44298</v>
      </c>
      <c r="J180">
        <v>100.25700000000001</v>
      </c>
      <c r="K180" s="27">
        <v>44298</v>
      </c>
      <c r="L180">
        <v>96.965999999999994</v>
      </c>
      <c r="M180" s="27">
        <v>42060</v>
      </c>
      <c r="N180">
        <v>120.648</v>
      </c>
      <c r="O180" s="27">
        <v>41715</v>
      </c>
      <c r="P180">
        <v>102.548</v>
      </c>
      <c r="Q180" s="27">
        <v>41943</v>
      </c>
      <c r="R180">
        <v>95.537999999999997</v>
      </c>
      <c r="S180" s="27">
        <v>42298</v>
      </c>
      <c r="T180">
        <v>3.9569999999999999</v>
      </c>
    </row>
    <row r="181" spans="3:20">
      <c r="C181" s="27">
        <v>40918</v>
      </c>
      <c r="D181">
        <v>5.5742000000000003</v>
      </c>
      <c r="E181" s="27">
        <v>43402</v>
      </c>
      <c r="F181">
        <v>99.599000000000004</v>
      </c>
      <c r="G181" s="27">
        <v>43451</v>
      </c>
      <c r="H181">
        <v>99.248000000000005</v>
      </c>
      <c r="I181" s="27">
        <v>44299</v>
      </c>
      <c r="J181">
        <v>100.36799999999999</v>
      </c>
      <c r="K181" s="27">
        <v>44299</v>
      </c>
      <c r="L181">
        <v>97.058999999999997</v>
      </c>
      <c r="M181" s="27">
        <v>42061</v>
      </c>
      <c r="N181">
        <v>120.934</v>
      </c>
      <c r="O181" s="27">
        <v>41716</v>
      </c>
      <c r="P181">
        <v>102.488</v>
      </c>
      <c r="Q181" s="27">
        <v>41946</v>
      </c>
      <c r="R181">
        <v>95.683999999999997</v>
      </c>
      <c r="S181" s="27">
        <v>42299</v>
      </c>
      <c r="T181">
        <v>3.9459999999999997</v>
      </c>
    </row>
    <row r="182" spans="3:20">
      <c r="C182" s="27">
        <v>40919</v>
      </c>
      <c r="D182">
        <v>5.5759999999999996</v>
      </c>
      <c r="E182" s="27">
        <v>43403</v>
      </c>
      <c r="F182">
        <v>99.6</v>
      </c>
      <c r="G182" s="27">
        <v>43452</v>
      </c>
      <c r="H182">
        <v>99.313000000000002</v>
      </c>
      <c r="I182" s="27">
        <v>44300</v>
      </c>
      <c r="J182">
        <v>100.61</v>
      </c>
      <c r="K182" s="27">
        <v>44300</v>
      </c>
      <c r="L182">
        <v>97.222999999999999</v>
      </c>
      <c r="M182" s="27">
        <v>42062</v>
      </c>
      <c r="N182">
        <v>120.633</v>
      </c>
      <c r="O182" s="27">
        <v>41717</v>
      </c>
      <c r="P182">
        <v>102.502</v>
      </c>
      <c r="Q182" s="27">
        <v>41948</v>
      </c>
      <c r="R182">
        <v>95.7</v>
      </c>
      <c r="S182" s="27">
        <v>42300</v>
      </c>
      <c r="T182">
        <v>3.92</v>
      </c>
    </row>
    <row r="183" spans="3:20">
      <c r="C183" s="27">
        <v>40920</v>
      </c>
      <c r="D183">
        <v>5.5488999999999997</v>
      </c>
      <c r="E183" s="27">
        <v>43404</v>
      </c>
      <c r="F183">
        <v>99.617999999999995</v>
      </c>
      <c r="G183" s="27">
        <v>43453</v>
      </c>
      <c r="H183">
        <v>99.366</v>
      </c>
      <c r="I183" s="27">
        <v>44301</v>
      </c>
      <c r="J183">
        <v>101.55800000000001</v>
      </c>
      <c r="K183" s="27">
        <v>44301</v>
      </c>
      <c r="L183">
        <v>97.97</v>
      </c>
      <c r="M183" s="27">
        <v>42065</v>
      </c>
      <c r="N183">
        <v>120.541</v>
      </c>
      <c r="O183" s="27">
        <v>41718</v>
      </c>
      <c r="P183">
        <v>102.262</v>
      </c>
      <c r="Q183" s="27">
        <v>41949</v>
      </c>
      <c r="R183">
        <v>95.703999999999994</v>
      </c>
      <c r="S183" s="27">
        <v>42303</v>
      </c>
      <c r="T183">
        <v>3.9539999999999997</v>
      </c>
    </row>
    <row r="184" spans="3:20">
      <c r="C184" s="27">
        <v>40921</v>
      </c>
      <c r="D184">
        <v>5.6471</v>
      </c>
      <c r="E184" s="27">
        <v>43405</v>
      </c>
      <c r="F184">
        <v>99.623999999999995</v>
      </c>
      <c r="G184" s="27">
        <v>43454</v>
      </c>
      <c r="H184">
        <v>99.417000000000002</v>
      </c>
      <c r="I184" s="27">
        <v>44302</v>
      </c>
      <c r="J184">
        <v>101.289</v>
      </c>
      <c r="K184" s="27">
        <v>44302</v>
      </c>
      <c r="L184">
        <v>97.751000000000005</v>
      </c>
      <c r="M184" s="27">
        <v>42066</v>
      </c>
      <c r="N184">
        <v>120.176</v>
      </c>
      <c r="O184" s="27">
        <v>41719</v>
      </c>
      <c r="P184">
        <v>101.968</v>
      </c>
      <c r="Q184" s="27">
        <v>41950</v>
      </c>
      <c r="R184">
        <v>95.709000000000003</v>
      </c>
      <c r="S184" s="27">
        <v>42304</v>
      </c>
      <c r="T184">
        <v>3.9390000000000001</v>
      </c>
    </row>
    <row r="185" spans="3:20">
      <c r="C185" s="27">
        <v>40924</v>
      </c>
      <c r="D185">
        <v>5.4307999999999996</v>
      </c>
      <c r="E185" s="27">
        <v>43406</v>
      </c>
      <c r="F185">
        <v>99.62</v>
      </c>
      <c r="G185" s="27">
        <v>43455</v>
      </c>
      <c r="H185">
        <v>99.302000000000007</v>
      </c>
      <c r="I185" s="27">
        <v>44305</v>
      </c>
      <c r="J185">
        <v>101.51300000000001</v>
      </c>
      <c r="K185" s="27">
        <v>44305</v>
      </c>
      <c r="L185">
        <v>97.954999999999998</v>
      </c>
      <c r="M185" s="27">
        <v>42067</v>
      </c>
      <c r="N185">
        <v>119.732</v>
      </c>
      <c r="O185" s="27">
        <v>41722</v>
      </c>
      <c r="P185">
        <v>102.01600000000001</v>
      </c>
      <c r="Q185" s="27">
        <v>41953</v>
      </c>
      <c r="R185">
        <v>95.712999999999994</v>
      </c>
      <c r="S185" s="27">
        <v>42305</v>
      </c>
      <c r="T185">
        <v>3.839</v>
      </c>
    </row>
    <row r="186" spans="3:20">
      <c r="C186" s="27">
        <v>40925</v>
      </c>
      <c r="D186">
        <v>5.5979999999999999</v>
      </c>
      <c r="E186" s="27">
        <v>43409</v>
      </c>
      <c r="F186">
        <v>99.62</v>
      </c>
      <c r="G186" s="27">
        <v>43458</v>
      </c>
      <c r="H186">
        <v>99.281999999999996</v>
      </c>
      <c r="I186" s="27">
        <v>44306</v>
      </c>
      <c r="J186">
        <v>101.119</v>
      </c>
      <c r="K186" s="27">
        <v>44306</v>
      </c>
      <c r="L186">
        <v>97.655000000000001</v>
      </c>
      <c r="M186" s="27">
        <v>42068</v>
      </c>
      <c r="N186">
        <v>119.217</v>
      </c>
      <c r="O186" s="27">
        <v>41723</v>
      </c>
      <c r="P186">
        <v>102.3</v>
      </c>
      <c r="Q186" s="27">
        <v>41954</v>
      </c>
      <c r="R186">
        <v>95.718000000000004</v>
      </c>
      <c r="S186" s="27">
        <v>42306</v>
      </c>
      <c r="T186">
        <v>3.859</v>
      </c>
    </row>
    <row r="187" spans="3:20">
      <c r="C187" s="27">
        <v>40926</v>
      </c>
      <c r="D187">
        <v>5.55</v>
      </c>
      <c r="E187" s="27">
        <v>43410</v>
      </c>
      <c r="F187">
        <v>99.619</v>
      </c>
      <c r="G187" s="27">
        <v>43461</v>
      </c>
      <c r="H187">
        <v>99.350999999999999</v>
      </c>
      <c r="I187" s="27">
        <v>44307</v>
      </c>
      <c r="J187">
        <v>101.23399999999999</v>
      </c>
      <c r="K187" s="27">
        <v>44307</v>
      </c>
      <c r="L187">
        <v>97.727999999999994</v>
      </c>
      <c r="M187" s="27">
        <v>42069</v>
      </c>
      <c r="N187">
        <v>118.598</v>
      </c>
      <c r="O187" s="27">
        <v>41724</v>
      </c>
      <c r="P187">
        <v>102.39</v>
      </c>
      <c r="Q187" s="27">
        <v>41955</v>
      </c>
      <c r="R187">
        <v>95.730999999999995</v>
      </c>
      <c r="S187" s="27">
        <v>42307</v>
      </c>
      <c r="T187">
        <v>3.87</v>
      </c>
    </row>
    <row r="188" spans="3:20">
      <c r="C188" s="27">
        <v>40927</v>
      </c>
      <c r="D188">
        <v>5.5271999999999997</v>
      </c>
      <c r="E188" s="27">
        <v>43411</v>
      </c>
      <c r="F188">
        <v>99.62</v>
      </c>
      <c r="G188" s="27">
        <v>43462</v>
      </c>
      <c r="H188">
        <v>99.26</v>
      </c>
      <c r="I188" s="27">
        <v>44308</v>
      </c>
      <c r="J188">
        <v>101.73</v>
      </c>
      <c r="K188" s="27">
        <v>44308</v>
      </c>
      <c r="L188">
        <v>98.034000000000006</v>
      </c>
      <c r="M188" s="27">
        <v>42072</v>
      </c>
      <c r="N188">
        <v>118.934</v>
      </c>
      <c r="O188" s="27">
        <v>41725</v>
      </c>
      <c r="P188">
        <v>102.548</v>
      </c>
      <c r="Q188" s="27">
        <v>41956</v>
      </c>
      <c r="R188">
        <v>95.733000000000004</v>
      </c>
      <c r="S188" s="27">
        <v>42310</v>
      </c>
      <c r="T188">
        <v>3.8740000000000001</v>
      </c>
    </row>
    <row r="189" spans="3:20">
      <c r="C189" s="27">
        <v>40928</v>
      </c>
      <c r="D189">
        <v>5.5176999999999996</v>
      </c>
      <c r="E189" s="27">
        <v>43412</v>
      </c>
      <c r="F189">
        <v>99.625</v>
      </c>
      <c r="G189" s="27">
        <v>43465</v>
      </c>
      <c r="H189">
        <v>99.195999999999998</v>
      </c>
      <c r="I189" s="27">
        <v>44309</v>
      </c>
      <c r="J189">
        <v>101.42400000000001</v>
      </c>
      <c r="K189" s="27">
        <v>44309</v>
      </c>
      <c r="L189">
        <v>97.85</v>
      </c>
      <c r="M189" s="27">
        <v>42073</v>
      </c>
      <c r="N189">
        <v>119.804</v>
      </c>
      <c r="O189" s="27">
        <v>41726</v>
      </c>
      <c r="P189">
        <v>102.684</v>
      </c>
      <c r="Q189" s="27">
        <v>41957</v>
      </c>
      <c r="R189">
        <v>95.738</v>
      </c>
      <c r="S189" s="27">
        <v>42311</v>
      </c>
      <c r="T189">
        <v>3.9510000000000001</v>
      </c>
    </row>
    <row r="190" spans="3:20">
      <c r="C190" s="27">
        <v>40931</v>
      </c>
      <c r="D190">
        <v>5.5425000000000004</v>
      </c>
      <c r="E190" s="27">
        <v>43413</v>
      </c>
      <c r="F190">
        <v>99.626999999999995</v>
      </c>
      <c r="G190" s="27">
        <v>43467</v>
      </c>
      <c r="H190">
        <v>99.713999999999999</v>
      </c>
      <c r="I190" s="27">
        <v>44312</v>
      </c>
      <c r="J190">
        <v>101.506</v>
      </c>
      <c r="K190" s="27">
        <v>44312</v>
      </c>
      <c r="L190">
        <v>97.92</v>
      </c>
      <c r="M190" s="27">
        <v>42074</v>
      </c>
      <c r="N190">
        <v>120.321</v>
      </c>
      <c r="O190" s="27">
        <v>41729</v>
      </c>
      <c r="P190">
        <v>102.602</v>
      </c>
      <c r="Q190" s="27">
        <v>41960</v>
      </c>
      <c r="R190">
        <v>95.745999999999995</v>
      </c>
      <c r="S190" s="27">
        <v>42312</v>
      </c>
      <c r="T190">
        <v>3.968</v>
      </c>
    </row>
    <row r="191" spans="3:20">
      <c r="C191" s="27">
        <v>40932</v>
      </c>
      <c r="D191">
        <v>5.5496999999999996</v>
      </c>
      <c r="E191" s="27">
        <v>43416</v>
      </c>
      <c r="F191">
        <v>99.628</v>
      </c>
      <c r="G191" s="27">
        <v>43468</v>
      </c>
      <c r="H191">
        <v>99.731999999999999</v>
      </c>
      <c r="I191" s="27">
        <v>44313</v>
      </c>
      <c r="J191">
        <v>101.379</v>
      </c>
      <c r="K191" s="27">
        <v>44313</v>
      </c>
      <c r="L191">
        <v>97.805999999999997</v>
      </c>
      <c r="M191" s="27">
        <v>42075</v>
      </c>
      <c r="N191">
        <v>120.348</v>
      </c>
      <c r="O191" s="27">
        <v>41730</v>
      </c>
      <c r="P191">
        <v>102.502</v>
      </c>
      <c r="Q191" s="27">
        <v>41961</v>
      </c>
      <c r="R191">
        <v>95.748000000000005</v>
      </c>
      <c r="S191" s="27">
        <v>42313</v>
      </c>
      <c r="T191">
        <v>4.016</v>
      </c>
    </row>
    <row r="192" spans="3:20">
      <c r="C192" s="27">
        <v>40933</v>
      </c>
      <c r="D192">
        <v>5.6746999999999996</v>
      </c>
      <c r="E192" s="27">
        <v>43417</v>
      </c>
      <c r="F192">
        <v>99.628</v>
      </c>
      <c r="G192" s="27">
        <v>43469</v>
      </c>
      <c r="H192">
        <v>99.153999999999996</v>
      </c>
      <c r="I192" s="27">
        <v>44314</v>
      </c>
      <c r="J192">
        <v>101.387</v>
      </c>
      <c r="K192" s="27">
        <v>44314</v>
      </c>
      <c r="L192">
        <v>97.837000000000003</v>
      </c>
      <c r="M192" s="27">
        <v>42076</v>
      </c>
      <c r="N192">
        <v>120.313</v>
      </c>
      <c r="O192" s="27">
        <v>41731</v>
      </c>
      <c r="P192">
        <v>102.408</v>
      </c>
      <c r="Q192" s="27">
        <v>41962</v>
      </c>
      <c r="R192">
        <v>95.76</v>
      </c>
      <c r="S192" s="27">
        <v>42314</v>
      </c>
      <c r="T192">
        <v>3.99</v>
      </c>
    </row>
    <row r="193" spans="3:20">
      <c r="C193" s="27">
        <v>40934</v>
      </c>
      <c r="D193">
        <v>5.6544999999999996</v>
      </c>
      <c r="E193" s="27">
        <v>43418</v>
      </c>
      <c r="F193">
        <v>99.63</v>
      </c>
      <c r="G193" s="27">
        <v>43472</v>
      </c>
      <c r="H193">
        <v>98.927999999999997</v>
      </c>
      <c r="I193" s="27">
        <v>44315</v>
      </c>
      <c r="J193">
        <v>100.926</v>
      </c>
      <c r="K193" s="27">
        <v>44315</v>
      </c>
      <c r="L193">
        <v>97.481999999999999</v>
      </c>
      <c r="M193" s="27">
        <v>42079</v>
      </c>
      <c r="N193">
        <v>120.69499999999999</v>
      </c>
      <c r="O193" s="27">
        <v>41732</v>
      </c>
      <c r="P193">
        <v>102.163</v>
      </c>
      <c r="Q193" s="27">
        <v>41963</v>
      </c>
      <c r="R193">
        <v>95.760999999999996</v>
      </c>
      <c r="S193" s="27">
        <v>42317</v>
      </c>
      <c r="T193">
        <v>4.109</v>
      </c>
    </row>
    <row r="194" spans="3:20">
      <c r="C194" s="27">
        <v>40935</v>
      </c>
      <c r="D194">
        <v>5.5895999999999999</v>
      </c>
      <c r="E194" s="27">
        <v>43419</v>
      </c>
      <c r="F194">
        <v>99.632999999999996</v>
      </c>
      <c r="G194" s="27">
        <v>43473</v>
      </c>
      <c r="H194">
        <v>98.76</v>
      </c>
      <c r="I194" s="27">
        <v>44316</v>
      </c>
      <c r="J194">
        <v>100.63</v>
      </c>
      <c r="K194" s="27">
        <v>44316</v>
      </c>
      <c r="L194">
        <v>97.247</v>
      </c>
      <c r="M194" s="27">
        <v>42080</v>
      </c>
      <c r="N194">
        <v>121.235</v>
      </c>
      <c r="O194" s="27">
        <v>41733</v>
      </c>
      <c r="P194">
        <v>102.324</v>
      </c>
      <c r="Q194" s="27">
        <v>41964</v>
      </c>
      <c r="R194">
        <v>95.766000000000005</v>
      </c>
      <c r="S194" s="27">
        <v>42318</v>
      </c>
      <c r="T194">
        <v>4.1150000000000002</v>
      </c>
    </row>
    <row r="195" spans="3:20">
      <c r="C195" s="27">
        <v>40938</v>
      </c>
      <c r="D195">
        <v>5.5618999999999996</v>
      </c>
      <c r="E195" s="27">
        <v>43420</v>
      </c>
      <c r="F195">
        <v>99.634</v>
      </c>
      <c r="G195" s="27">
        <v>43474</v>
      </c>
      <c r="H195">
        <v>98.638999999999996</v>
      </c>
      <c r="I195" s="27">
        <v>44319</v>
      </c>
      <c r="J195">
        <v>100.78</v>
      </c>
      <c r="K195" s="27">
        <v>44319</v>
      </c>
      <c r="L195">
        <v>97.403000000000006</v>
      </c>
      <c r="M195" s="27">
        <v>42081</v>
      </c>
      <c r="N195">
        <v>121.773</v>
      </c>
      <c r="O195" s="27">
        <v>41736</v>
      </c>
      <c r="P195">
        <v>102.696</v>
      </c>
      <c r="Q195" s="27">
        <v>41967</v>
      </c>
      <c r="R195">
        <v>95.774000000000001</v>
      </c>
      <c r="S195" s="27">
        <v>42319</v>
      </c>
      <c r="T195">
        <v>4.0270000000000001</v>
      </c>
    </row>
    <row r="196" spans="3:20">
      <c r="C196" s="27">
        <v>40939</v>
      </c>
      <c r="D196">
        <v>5.4806999999999997</v>
      </c>
      <c r="E196" s="27">
        <v>43423</v>
      </c>
      <c r="F196">
        <v>99.635999999999996</v>
      </c>
      <c r="G196" s="27">
        <v>43475</v>
      </c>
      <c r="H196">
        <v>98.786000000000001</v>
      </c>
      <c r="I196" s="27">
        <v>44320</v>
      </c>
      <c r="J196">
        <v>101.002</v>
      </c>
      <c r="K196" s="27">
        <v>44320</v>
      </c>
      <c r="L196">
        <v>97.521000000000001</v>
      </c>
      <c r="M196" s="27">
        <v>42082</v>
      </c>
      <c r="N196">
        <v>121.965</v>
      </c>
      <c r="O196" s="27">
        <v>41737</v>
      </c>
      <c r="P196">
        <v>102.651</v>
      </c>
      <c r="Q196" s="27">
        <v>41968</v>
      </c>
      <c r="R196">
        <v>95.777000000000001</v>
      </c>
      <c r="S196" s="27">
        <v>42320</v>
      </c>
      <c r="T196">
        <v>4.1390000000000002</v>
      </c>
    </row>
    <row r="197" spans="3:20">
      <c r="C197" s="27">
        <v>40940</v>
      </c>
      <c r="D197">
        <v>5.4519000000000002</v>
      </c>
      <c r="E197" s="27">
        <v>43424</v>
      </c>
      <c r="F197">
        <v>99.584999999999994</v>
      </c>
      <c r="G197" s="27">
        <v>43476</v>
      </c>
      <c r="H197">
        <v>98.899000000000001</v>
      </c>
      <c r="I197" s="27">
        <v>44321</v>
      </c>
      <c r="J197">
        <v>101.15600000000001</v>
      </c>
      <c r="K197" s="27">
        <v>44321</v>
      </c>
      <c r="L197">
        <v>97.685000000000002</v>
      </c>
      <c r="M197" s="27">
        <v>42083</v>
      </c>
      <c r="N197">
        <v>121.94199999999999</v>
      </c>
      <c r="O197" s="27">
        <v>41738</v>
      </c>
      <c r="P197">
        <v>102.67100000000001</v>
      </c>
      <c r="Q197" s="27">
        <v>41969</v>
      </c>
      <c r="R197">
        <v>95.786000000000001</v>
      </c>
      <c r="S197" s="27">
        <v>42321</v>
      </c>
      <c r="T197">
        <v>4.1669999999999998</v>
      </c>
    </row>
    <row r="198" spans="3:20">
      <c r="C198" s="27">
        <v>40941</v>
      </c>
      <c r="D198">
        <v>5.5547000000000004</v>
      </c>
      <c r="E198" s="27">
        <v>43425</v>
      </c>
      <c r="F198">
        <v>99.585999999999999</v>
      </c>
      <c r="G198" s="27">
        <v>43479</v>
      </c>
      <c r="H198">
        <v>99.037999999999997</v>
      </c>
      <c r="I198" s="27">
        <v>44322</v>
      </c>
      <c r="J198">
        <v>101.79600000000001</v>
      </c>
      <c r="K198" s="27">
        <v>44322</v>
      </c>
      <c r="L198">
        <v>98.183000000000007</v>
      </c>
      <c r="M198" s="27">
        <v>42086</v>
      </c>
      <c r="N198">
        <v>122.069</v>
      </c>
      <c r="O198" s="27">
        <v>41739</v>
      </c>
      <c r="P198">
        <v>102.818</v>
      </c>
      <c r="Q198" s="27">
        <v>41970</v>
      </c>
      <c r="R198">
        <v>95.790999999999997</v>
      </c>
      <c r="S198" s="27">
        <v>42324</v>
      </c>
      <c r="T198">
        <v>4.1210000000000004</v>
      </c>
    </row>
    <row r="199" spans="3:20">
      <c r="C199" s="27">
        <v>40942</v>
      </c>
      <c r="D199">
        <v>5.4382000000000001</v>
      </c>
      <c r="E199" s="27">
        <v>43426</v>
      </c>
      <c r="F199">
        <v>99.59</v>
      </c>
      <c r="G199" s="27">
        <v>43480</v>
      </c>
      <c r="H199">
        <v>99.194000000000003</v>
      </c>
      <c r="I199" s="27">
        <v>44323</v>
      </c>
      <c r="J199">
        <v>101.857</v>
      </c>
      <c r="K199" s="27">
        <v>44323</v>
      </c>
      <c r="L199">
        <v>98.197000000000003</v>
      </c>
      <c r="M199" s="27">
        <v>42087</v>
      </c>
      <c r="N199">
        <v>121.2</v>
      </c>
      <c r="O199" s="27">
        <v>41740</v>
      </c>
      <c r="P199">
        <v>102.893</v>
      </c>
      <c r="Q199" s="27">
        <v>41971</v>
      </c>
      <c r="R199">
        <v>95.79</v>
      </c>
      <c r="S199" s="27">
        <v>42325</v>
      </c>
      <c r="T199">
        <v>4.1379999999999999</v>
      </c>
    </row>
    <row r="200" spans="3:20">
      <c r="C200" s="27">
        <v>40945</v>
      </c>
      <c r="D200">
        <v>5.6470000000000002</v>
      </c>
      <c r="E200" s="27">
        <v>43427</v>
      </c>
      <c r="F200">
        <v>99.602000000000004</v>
      </c>
      <c r="G200" s="27">
        <v>43481</v>
      </c>
      <c r="H200">
        <v>98.989000000000004</v>
      </c>
      <c r="I200" s="27">
        <v>44326</v>
      </c>
      <c r="J200">
        <v>101.429</v>
      </c>
      <c r="K200" s="27">
        <v>44326</v>
      </c>
      <c r="L200">
        <v>97.891000000000005</v>
      </c>
      <c r="M200" s="27">
        <v>42088</v>
      </c>
      <c r="N200">
        <v>121.06399999999999</v>
      </c>
      <c r="O200" s="27">
        <v>41743</v>
      </c>
      <c r="P200">
        <v>103.15600000000001</v>
      </c>
      <c r="Q200" s="27">
        <v>41974</v>
      </c>
      <c r="R200">
        <v>95.792000000000002</v>
      </c>
      <c r="S200" s="27">
        <v>42326</v>
      </c>
      <c r="T200">
        <v>4.1079999999999997</v>
      </c>
    </row>
    <row r="201" spans="3:20">
      <c r="C201" s="27">
        <v>40946</v>
      </c>
      <c r="D201">
        <v>5.7179000000000002</v>
      </c>
      <c r="E201" s="27">
        <v>43430</v>
      </c>
      <c r="F201">
        <v>99.594999999999999</v>
      </c>
      <c r="G201" s="27">
        <v>43482</v>
      </c>
      <c r="H201">
        <v>98.783000000000001</v>
      </c>
      <c r="I201" s="27">
        <v>44327</v>
      </c>
      <c r="J201">
        <v>100.136</v>
      </c>
      <c r="K201" s="27">
        <v>44327</v>
      </c>
      <c r="L201">
        <v>96.879000000000005</v>
      </c>
      <c r="M201" s="27">
        <v>42089</v>
      </c>
      <c r="N201">
        <v>121.327</v>
      </c>
      <c r="O201" s="27">
        <v>41744</v>
      </c>
      <c r="P201">
        <v>103.01300000000001</v>
      </c>
      <c r="Q201" s="27">
        <v>41975</v>
      </c>
      <c r="R201">
        <v>95.802000000000007</v>
      </c>
      <c r="S201" s="27">
        <v>42327</v>
      </c>
      <c r="T201">
        <v>4.1630000000000003</v>
      </c>
    </row>
    <row r="202" spans="3:20">
      <c r="C202" s="27">
        <v>40947</v>
      </c>
      <c r="D202">
        <v>5.7641999999999998</v>
      </c>
      <c r="E202" s="27">
        <v>43431</v>
      </c>
      <c r="F202">
        <v>99.632000000000005</v>
      </c>
      <c r="G202" s="27">
        <v>43483</v>
      </c>
      <c r="H202">
        <v>98.594999999999999</v>
      </c>
      <c r="I202" s="27">
        <v>44328</v>
      </c>
      <c r="J202">
        <v>99.989000000000004</v>
      </c>
      <c r="K202" s="27">
        <v>44328</v>
      </c>
      <c r="L202">
        <v>96.765000000000001</v>
      </c>
      <c r="M202" s="27">
        <v>42090</v>
      </c>
      <c r="N202">
        <v>121.09099999999999</v>
      </c>
      <c r="O202" s="27">
        <v>41745</v>
      </c>
      <c r="P202">
        <v>103.328</v>
      </c>
      <c r="Q202" s="27">
        <v>41977</v>
      </c>
      <c r="R202">
        <v>95.811999999999998</v>
      </c>
      <c r="S202" s="27">
        <v>42328</v>
      </c>
      <c r="T202">
        <v>4.2279999999999998</v>
      </c>
    </row>
    <row r="203" spans="3:20">
      <c r="C203" s="27">
        <v>40948</v>
      </c>
      <c r="D203">
        <v>5.8504000000000005</v>
      </c>
      <c r="E203" s="27">
        <v>43432</v>
      </c>
      <c r="F203">
        <v>99.632999999999996</v>
      </c>
      <c r="G203" s="27">
        <v>43486</v>
      </c>
      <c r="H203">
        <v>98.581000000000003</v>
      </c>
      <c r="I203" s="27">
        <v>44329</v>
      </c>
      <c r="J203">
        <v>99.897000000000006</v>
      </c>
      <c r="K203" s="27">
        <v>44329</v>
      </c>
      <c r="L203">
        <v>96.680999999999997</v>
      </c>
      <c r="M203" s="27">
        <v>42093</v>
      </c>
      <c r="N203">
        <v>121.664</v>
      </c>
      <c r="O203" s="27">
        <v>41746</v>
      </c>
      <c r="P203">
        <v>103.30500000000001</v>
      </c>
      <c r="Q203" s="27">
        <v>41978</v>
      </c>
      <c r="R203">
        <v>95.814999999999998</v>
      </c>
      <c r="S203" s="27">
        <v>42331</v>
      </c>
      <c r="T203">
        <v>4.2370000000000001</v>
      </c>
    </row>
    <row r="204" spans="3:20">
      <c r="C204" s="27">
        <v>40949</v>
      </c>
      <c r="D204">
        <v>5.7597000000000005</v>
      </c>
      <c r="E204" s="27">
        <v>43433</v>
      </c>
      <c r="F204">
        <v>99.637</v>
      </c>
      <c r="G204" s="27">
        <v>43487</v>
      </c>
      <c r="H204">
        <v>98.725999999999999</v>
      </c>
      <c r="I204" s="27">
        <v>44330</v>
      </c>
      <c r="J204">
        <v>100.223</v>
      </c>
      <c r="K204" s="27">
        <v>44330</v>
      </c>
      <c r="L204">
        <v>96.926000000000002</v>
      </c>
      <c r="M204" s="27">
        <v>42094</v>
      </c>
      <c r="N204">
        <v>121.348</v>
      </c>
      <c r="O204" s="27">
        <v>41747</v>
      </c>
      <c r="P204">
        <v>103.071</v>
      </c>
      <c r="Q204" s="27">
        <v>41981</v>
      </c>
      <c r="R204">
        <v>95.820999999999998</v>
      </c>
      <c r="S204" s="27">
        <v>42332</v>
      </c>
      <c r="T204">
        <v>4.22</v>
      </c>
    </row>
    <row r="205" spans="3:20">
      <c r="C205" s="27">
        <v>40952</v>
      </c>
      <c r="D205">
        <v>5.7638999999999996</v>
      </c>
      <c r="E205" s="27">
        <v>43434</v>
      </c>
      <c r="F205">
        <v>99.629000000000005</v>
      </c>
      <c r="G205" s="27">
        <v>43488</v>
      </c>
      <c r="H205">
        <v>98.822000000000003</v>
      </c>
      <c r="I205" s="27">
        <v>44333</v>
      </c>
      <c r="J205">
        <v>100.562</v>
      </c>
      <c r="K205" s="27">
        <v>44333</v>
      </c>
      <c r="L205">
        <v>97.180999999999997</v>
      </c>
      <c r="M205" s="27">
        <v>42095</v>
      </c>
      <c r="N205">
        <v>121.349</v>
      </c>
      <c r="O205" s="27">
        <v>41750</v>
      </c>
      <c r="P205">
        <v>103.06399999999999</v>
      </c>
      <c r="Q205" s="27">
        <v>41982</v>
      </c>
      <c r="R205">
        <v>95.822000000000003</v>
      </c>
      <c r="S205" s="27">
        <v>42333</v>
      </c>
      <c r="T205">
        <v>4.1989999999999998</v>
      </c>
    </row>
    <row r="206" spans="3:20">
      <c r="C206" s="27">
        <v>40953</v>
      </c>
      <c r="D206">
        <v>5.758</v>
      </c>
      <c r="E206" s="27">
        <v>43437</v>
      </c>
      <c r="F206">
        <v>99.63</v>
      </c>
      <c r="G206" s="27">
        <v>43489</v>
      </c>
      <c r="H206">
        <v>99.198999999999998</v>
      </c>
      <c r="I206" s="27">
        <v>44334</v>
      </c>
      <c r="J206">
        <v>100.251</v>
      </c>
      <c r="K206" s="27">
        <v>44334</v>
      </c>
      <c r="L206">
        <v>96.963999999999999</v>
      </c>
      <c r="M206" s="27">
        <v>42101</v>
      </c>
      <c r="N206">
        <v>122.48</v>
      </c>
      <c r="O206" s="27">
        <v>41751</v>
      </c>
      <c r="P206">
        <v>103.03400000000001</v>
      </c>
      <c r="Q206" s="27">
        <v>41983</v>
      </c>
      <c r="R206">
        <v>95.832999999999998</v>
      </c>
      <c r="S206" s="27">
        <v>42334</v>
      </c>
      <c r="T206">
        <v>4.1349999999999998</v>
      </c>
    </row>
    <row r="207" spans="3:20">
      <c r="C207" s="27">
        <v>40954</v>
      </c>
      <c r="D207">
        <v>5.7866999999999997</v>
      </c>
      <c r="E207" s="27">
        <v>43438</v>
      </c>
      <c r="F207">
        <v>99.63</v>
      </c>
      <c r="G207" s="27">
        <v>43490</v>
      </c>
      <c r="H207">
        <v>99.168999999999997</v>
      </c>
      <c r="I207" s="27">
        <v>44335</v>
      </c>
      <c r="J207">
        <v>100.735</v>
      </c>
      <c r="K207" s="27">
        <v>44335</v>
      </c>
      <c r="L207">
        <v>97.311000000000007</v>
      </c>
      <c r="M207" s="27">
        <v>42102</v>
      </c>
      <c r="N207">
        <v>122.366</v>
      </c>
      <c r="O207" s="27">
        <v>41752</v>
      </c>
      <c r="P207">
        <v>103.01900000000001</v>
      </c>
      <c r="Q207" s="27">
        <v>41984</v>
      </c>
      <c r="R207">
        <v>95.837000000000003</v>
      </c>
      <c r="S207" s="27">
        <v>42335</v>
      </c>
      <c r="T207">
        <v>4.1479999999999997</v>
      </c>
    </row>
    <row r="208" spans="3:20">
      <c r="C208" s="27">
        <v>40955</v>
      </c>
      <c r="D208">
        <v>5.7508999999999997</v>
      </c>
      <c r="E208" s="27">
        <v>43439</v>
      </c>
      <c r="F208">
        <v>99.626999999999995</v>
      </c>
      <c r="G208" s="27">
        <v>43493</v>
      </c>
      <c r="H208">
        <v>99.048000000000002</v>
      </c>
      <c r="I208" s="27">
        <v>44336</v>
      </c>
      <c r="J208">
        <v>100.97</v>
      </c>
      <c r="K208" s="27">
        <v>44336</v>
      </c>
      <c r="L208">
        <v>97.525999999999996</v>
      </c>
      <c r="M208" s="27">
        <v>42103</v>
      </c>
      <c r="N208">
        <v>122.11799999999999</v>
      </c>
      <c r="O208" s="27">
        <v>41753</v>
      </c>
      <c r="P208">
        <v>103.066</v>
      </c>
      <c r="Q208" s="27">
        <v>41985</v>
      </c>
      <c r="R208">
        <v>95.841999999999999</v>
      </c>
      <c r="S208" s="27">
        <v>42338</v>
      </c>
      <c r="T208">
        <v>4.16</v>
      </c>
    </row>
    <row r="209" spans="3:20">
      <c r="C209" s="27">
        <v>40956</v>
      </c>
      <c r="D209">
        <v>5.8495999999999997</v>
      </c>
      <c r="E209" s="27">
        <v>43440</v>
      </c>
      <c r="F209">
        <v>99.629000000000005</v>
      </c>
      <c r="G209" s="27">
        <v>43494</v>
      </c>
      <c r="H209">
        <v>99.088999999999999</v>
      </c>
      <c r="I209" s="27">
        <v>44337</v>
      </c>
      <c r="J209">
        <v>101.35</v>
      </c>
      <c r="K209" s="27">
        <v>44337</v>
      </c>
      <c r="L209">
        <v>97.774000000000001</v>
      </c>
      <c r="M209" s="27">
        <v>42104</v>
      </c>
      <c r="N209">
        <v>122.07299999999999</v>
      </c>
      <c r="O209" s="27">
        <v>41754</v>
      </c>
      <c r="P209">
        <v>103.125</v>
      </c>
      <c r="Q209" s="27">
        <v>41989</v>
      </c>
      <c r="R209">
        <v>95.85</v>
      </c>
      <c r="S209" s="27">
        <v>42339</v>
      </c>
      <c r="T209">
        <v>4.1680000000000001</v>
      </c>
    </row>
    <row r="210" spans="3:20">
      <c r="C210" s="27">
        <v>40959</v>
      </c>
      <c r="D210">
        <v>5.9112</v>
      </c>
      <c r="E210" s="27">
        <v>43441</v>
      </c>
      <c r="F210">
        <v>99.63</v>
      </c>
      <c r="G210" s="27">
        <v>43495</v>
      </c>
      <c r="H210">
        <v>99.165999999999997</v>
      </c>
      <c r="I210" s="27">
        <v>44340</v>
      </c>
      <c r="J210">
        <v>101.89700000000001</v>
      </c>
      <c r="K210" s="27">
        <v>44340</v>
      </c>
      <c r="L210">
        <v>98.198999999999998</v>
      </c>
      <c r="M210" s="27">
        <v>42107</v>
      </c>
      <c r="N210">
        <v>121.884</v>
      </c>
      <c r="O210" s="27">
        <v>41757</v>
      </c>
      <c r="P210">
        <v>103.23399999999999</v>
      </c>
      <c r="Q210" s="27">
        <v>41990</v>
      </c>
      <c r="R210">
        <v>95.86</v>
      </c>
      <c r="S210" s="27">
        <v>42340</v>
      </c>
      <c r="T210">
        <v>4.1520000000000001</v>
      </c>
    </row>
    <row r="211" spans="3:20">
      <c r="C211" s="27">
        <v>40960</v>
      </c>
      <c r="D211">
        <v>5.8548999999999998</v>
      </c>
      <c r="E211" s="27">
        <v>43444</v>
      </c>
      <c r="F211">
        <v>99.631</v>
      </c>
      <c r="G211" s="27">
        <v>43496</v>
      </c>
      <c r="H211">
        <v>99.567999999999998</v>
      </c>
      <c r="I211" s="27">
        <v>44341</v>
      </c>
      <c r="J211">
        <v>102.43</v>
      </c>
      <c r="K211" s="27">
        <v>44341</v>
      </c>
      <c r="L211">
        <v>98.665000000000006</v>
      </c>
      <c r="M211" s="27">
        <v>42108</v>
      </c>
      <c r="N211">
        <v>121.77500000000001</v>
      </c>
      <c r="O211" s="27">
        <v>41758</v>
      </c>
      <c r="P211">
        <v>103.163</v>
      </c>
      <c r="Q211" s="27">
        <v>41991</v>
      </c>
      <c r="R211">
        <v>95.864000000000004</v>
      </c>
      <c r="S211" s="27">
        <v>42341</v>
      </c>
      <c r="T211">
        <v>4.1689999999999996</v>
      </c>
    </row>
    <row r="212" spans="3:20">
      <c r="C212" s="27">
        <v>40961</v>
      </c>
      <c r="D212">
        <v>5.8754999999999997</v>
      </c>
      <c r="E212" s="27">
        <v>43445</v>
      </c>
      <c r="F212">
        <v>99.632000000000005</v>
      </c>
      <c r="G212" s="27">
        <v>43497</v>
      </c>
      <c r="H212">
        <v>99.635999999999996</v>
      </c>
      <c r="I212" s="27">
        <v>44342</v>
      </c>
      <c r="J212">
        <v>102.85899999999999</v>
      </c>
      <c r="K212" s="27">
        <v>44342</v>
      </c>
      <c r="L212">
        <v>98.864000000000004</v>
      </c>
      <c r="M212" s="27">
        <v>42109</v>
      </c>
      <c r="N212">
        <v>121.761</v>
      </c>
      <c r="O212" s="27">
        <v>41759</v>
      </c>
      <c r="P212">
        <v>103.40900000000001</v>
      </c>
      <c r="Q212" s="27">
        <v>41992</v>
      </c>
      <c r="R212">
        <v>95.869</v>
      </c>
      <c r="S212" s="27">
        <v>42342</v>
      </c>
      <c r="T212">
        <v>4.2220000000000004</v>
      </c>
    </row>
    <row r="213" spans="3:20">
      <c r="C213" s="27">
        <v>40962</v>
      </c>
      <c r="D213">
        <v>5.8357999999999999</v>
      </c>
      <c r="E213" s="27">
        <v>43446</v>
      </c>
      <c r="F213">
        <v>99.632999999999996</v>
      </c>
      <c r="G213" s="27">
        <v>43500</v>
      </c>
      <c r="H213">
        <v>99.546000000000006</v>
      </c>
      <c r="I213" s="27">
        <v>44343</v>
      </c>
      <c r="J213">
        <v>102.79300000000001</v>
      </c>
      <c r="K213" s="27">
        <v>44343</v>
      </c>
      <c r="L213">
        <v>98.834000000000003</v>
      </c>
      <c r="M213" s="27">
        <v>42110</v>
      </c>
      <c r="N213">
        <v>121.72799999999999</v>
      </c>
      <c r="O213" s="27">
        <v>41760</v>
      </c>
      <c r="P213">
        <v>103.459</v>
      </c>
      <c r="Q213" s="27">
        <v>41995</v>
      </c>
      <c r="R213">
        <v>95.887</v>
      </c>
      <c r="S213" s="27">
        <v>42345</v>
      </c>
      <c r="T213">
        <v>4.26</v>
      </c>
    </row>
    <row r="214" spans="3:20">
      <c r="C214" s="27">
        <v>40963</v>
      </c>
      <c r="D214">
        <v>5.8789999999999996</v>
      </c>
      <c r="E214" s="27">
        <v>43447</v>
      </c>
      <c r="F214">
        <v>99.638999999999996</v>
      </c>
      <c r="G214" s="27">
        <v>43501</v>
      </c>
      <c r="H214">
        <v>99.61</v>
      </c>
      <c r="I214" s="27">
        <v>44344</v>
      </c>
      <c r="J214">
        <v>102.589</v>
      </c>
      <c r="K214" s="27">
        <v>44344</v>
      </c>
      <c r="L214">
        <v>98.680999999999997</v>
      </c>
      <c r="M214" s="27">
        <v>42111</v>
      </c>
      <c r="N214">
        <v>122.04300000000001</v>
      </c>
      <c r="O214" s="27">
        <v>41761</v>
      </c>
      <c r="P214">
        <v>103.51900000000001</v>
      </c>
      <c r="Q214" s="27">
        <v>41996</v>
      </c>
      <c r="R214">
        <v>95.891000000000005</v>
      </c>
      <c r="S214" s="27">
        <v>42346</v>
      </c>
      <c r="T214">
        <v>4.1980000000000004</v>
      </c>
    </row>
    <row r="215" spans="3:20">
      <c r="C215" s="27">
        <v>40966</v>
      </c>
      <c r="D215">
        <v>5.8440000000000003</v>
      </c>
      <c r="E215" s="27">
        <v>43448</v>
      </c>
      <c r="F215">
        <v>99.637</v>
      </c>
      <c r="G215" s="27">
        <v>43502</v>
      </c>
      <c r="H215">
        <v>99.674000000000007</v>
      </c>
      <c r="I215" s="27">
        <v>44347</v>
      </c>
      <c r="J215">
        <v>102.351</v>
      </c>
      <c r="K215" s="27">
        <v>44347</v>
      </c>
      <c r="L215">
        <v>98.497</v>
      </c>
      <c r="M215" s="27">
        <v>42114</v>
      </c>
      <c r="N215">
        <v>122.086</v>
      </c>
      <c r="O215" s="27">
        <v>41764</v>
      </c>
      <c r="P215">
        <v>103.66200000000001</v>
      </c>
      <c r="Q215" s="27">
        <v>42002</v>
      </c>
      <c r="R215">
        <v>95.903999999999996</v>
      </c>
      <c r="S215" s="27">
        <v>42347</v>
      </c>
      <c r="T215">
        <v>4.157</v>
      </c>
    </row>
    <row r="216" spans="3:20">
      <c r="C216" s="27">
        <v>40967</v>
      </c>
      <c r="D216">
        <v>5.8222000000000005</v>
      </c>
      <c r="E216" s="27">
        <v>43451</v>
      </c>
      <c r="F216">
        <v>99.635999999999996</v>
      </c>
      <c r="G216" s="27">
        <v>43503</v>
      </c>
      <c r="H216">
        <v>100.05200000000001</v>
      </c>
      <c r="I216" s="27">
        <v>44348</v>
      </c>
      <c r="J216">
        <v>102.047</v>
      </c>
      <c r="K216" s="27">
        <v>44348</v>
      </c>
      <c r="L216">
        <v>98.242999999999995</v>
      </c>
      <c r="M216" s="27">
        <v>42115</v>
      </c>
      <c r="N216">
        <v>122.16200000000001</v>
      </c>
      <c r="O216" s="27">
        <v>41765</v>
      </c>
      <c r="P216">
        <v>103.622</v>
      </c>
      <c r="Q216" s="27">
        <v>42003</v>
      </c>
      <c r="R216">
        <v>95.915999999999997</v>
      </c>
      <c r="S216" s="27">
        <v>42348</v>
      </c>
      <c r="T216">
        <v>4.2279999999999998</v>
      </c>
    </row>
    <row r="217" spans="3:20">
      <c r="C217" s="27">
        <v>40968</v>
      </c>
      <c r="D217">
        <v>5.7895000000000003</v>
      </c>
      <c r="E217" s="27">
        <v>43452</v>
      </c>
      <c r="F217">
        <v>99.637</v>
      </c>
      <c r="G217" s="27">
        <v>43504</v>
      </c>
      <c r="H217">
        <v>100.31699999999999</v>
      </c>
      <c r="I217" s="27">
        <v>44349</v>
      </c>
      <c r="J217">
        <v>103.027</v>
      </c>
      <c r="K217" s="27">
        <v>44349</v>
      </c>
      <c r="L217">
        <v>98.998999999999995</v>
      </c>
      <c r="M217" s="27">
        <v>42116</v>
      </c>
      <c r="N217">
        <v>121.983</v>
      </c>
      <c r="O217" s="27">
        <v>41766</v>
      </c>
      <c r="P217">
        <v>103.602</v>
      </c>
      <c r="Q217" s="27">
        <v>42006</v>
      </c>
      <c r="R217">
        <v>95.921999999999997</v>
      </c>
      <c r="S217" s="27">
        <v>42349</v>
      </c>
      <c r="T217">
        <v>4.2489999999999997</v>
      </c>
    </row>
    <row r="218" spans="3:20">
      <c r="C218" s="27">
        <v>40969</v>
      </c>
      <c r="D218">
        <v>5.8895</v>
      </c>
      <c r="E218" s="27">
        <v>43453</v>
      </c>
      <c r="F218">
        <v>99.635999999999996</v>
      </c>
      <c r="G218" s="27">
        <v>43507</v>
      </c>
      <c r="H218">
        <v>100.173</v>
      </c>
      <c r="I218" s="27">
        <v>44350</v>
      </c>
      <c r="J218">
        <v>103.05800000000001</v>
      </c>
      <c r="K218" s="27">
        <v>44350</v>
      </c>
      <c r="L218">
        <v>99.021000000000001</v>
      </c>
      <c r="M218" s="27">
        <v>42117</v>
      </c>
      <c r="N218">
        <v>121.813</v>
      </c>
      <c r="O218" s="27">
        <v>41767</v>
      </c>
      <c r="P218">
        <v>103.50700000000001</v>
      </c>
      <c r="Q218" s="27">
        <v>42009</v>
      </c>
      <c r="R218">
        <v>95.926000000000002</v>
      </c>
      <c r="S218" s="27">
        <v>42352</v>
      </c>
      <c r="T218">
        <v>4.1890000000000001</v>
      </c>
    </row>
    <row r="219" spans="3:20">
      <c r="C219" s="27">
        <v>40970</v>
      </c>
      <c r="D219">
        <v>5.9507000000000003</v>
      </c>
      <c r="E219" s="27">
        <v>43454</v>
      </c>
      <c r="F219">
        <v>99.643000000000001</v>
      </c>
      <c r="G219" s="27">
        <v>43508</v>
      </c>
      <c r="H219">
        <v>99.965000000000003</v>
      </c>
      <c r="I219" s="27">
        <v>44351</v>
      </c>
      <c r="J219">
        <v>103.705</v>
      </c>
      <c r="K219" s="27">
        <v>44351</v>
      </c>
      <c r="L219">
        <v>99.516999999999996</v>
      </c>
      <c r="M219" s="27">
        <v>42118</v>
      </c>
      <c r="N219">
        <v>121.354</v>
      </c>
      <c r="O219" s="27">
        <v>41768</v>
      </c>
      <c r="P219">
        <v>103.792</v>
      </c>
      <c r="Q219" s="27">
        <v>42011</v>
      </c>
      <c r="R219">
        <v>95.956999999999994</v>
      </c>
      <c r="S219" s="27">
        <v>42353</v>
      </c>
      <c r="T219">
        <v>4.1890000000000001</v>
      </c>
    </row>
    <row r="220" spans="3:20">
      <c r="C220" s="27">
        <v>40973</v>
      </c>
      <c r="D220">
        <v>5.8949999999999996</v>
      </c>
      <c r="E220" s="27">
        <v>43455</v>
      </c>
      <c r="F220">
        <v>99.64</v>
      </c>
      <c r="G220" s="27">
        <v>43509</v>
      </c>
      <c r="H220">
        <v>100.012</v>
      </c>
      <c r="I220" s="27">
        <v>44354</v>
      </c>
      <c r="J220">
        <v>103.548</v>
      </c>
      <c r="K220" s="27">
        <v>44354</v>
      </c>
      <c r="L220">
        <v>99.373999999999995</v>
      </c>
      <c r="M220" s="27">
        <v>42121</v>
      </c>
      <c r="N220">
        <v>120.64700000000001</v>
      </c>
      <c r="O220" s="27">
        <v>41771</v>
      </c>
      <c r="P220">
        <v>103.697</v>
      </c>
      <c r="Q220" s="27">
        <v>42012</v>
      </c>
      <c r="R220">
        <v>95.96</v>
      </c>
      <c r="S220" s="27">
        <v>42354</v>
      </c>
      <c r="T220">
        <v>4.2119999999999997</v>
      </c>
    </row>
    <row r="221" spans="3:20">
      <c r="C221" s="27">
        <v>40974</v>
      </c>
      <c r="D221">
        <v>5.8417000000000003</v>
      </c>
      <c r="E221" s="27">
        <v>43458</v>
      </c>
      <c r="F221">
        <v>99.653000000000006</v>
      </c>
      <c r="G221" s="27">
        <v>43510</v>
      </c>
      <c r="H221">
        <v>100.18600000000001</v>
      </c>
      <c r="I221" s="27">
        <v>44355</v>
      </c>
      <c r="J221">
        <v>104.425</v>
      </c>
      <c r="K221" s="27">
        <v>44355</v>
      </c>
      <c r="L221">
        <v>100.042</v>
      </c>
      <c r="M221" s="27">
        <v>42122</v>
      </c>
      <c r="N221">
        <v>120.098</v>
      </c>
      <c r="O221" s="27">
        <v>41772</v>
      </c>
      <c r="P221">
        <v>103.754</v>
      </c>
      <c r="Q221" s="27">
        <v>42016</v>
      </c>
      <c r="R221">
        <v>95.975999999999999</v>
      </c>
      <c r="S221" s="27">
        <v>42355</v>
      </c>
      <c r="T221">
        <v>4.202</v>
      </c>
    </row>
    <row r="222" spans="3:20">
      <c r="C222" s="27">
        <v>40975</v>
      </c>
      <c r="D222">
        <v>5.7868000000000004</v>
      </c>
      <c r="E222" s="27">
        <v>43462</v>
      </c>
      <c r="F222">
        <v>99.652000000000001</v>
      </c>
      <c r="G222" s="27">
        <v>43511</v>
      </c>
      <c r="H222">
        <v>100.254</v>
      </c>
      <c r="I222" s="27">
        <v>44356</v>
      </c>
      <c r="J222">
        <v>105.57299999999999</v>
      </c>
      <c r="K222" s="27">
        <v>44356</v>
      </c>
      <c r="L222">
        <v>100.80200000000001</v>
      </c>
      <c r="M222" s="27">
        <v>42123</v>
      </c>
      <c r="N222">
        <v>118.785</v>
      </c>
      <c r="O222" s="27">
        <v>41773</v>
      </c>
      <c r="P222">
        <v>104.04600000000001</v>
      </c>
      <c r="Q222" s="27">
        <v>42017</v>
      </c>
      <c r="R222">
        <v>95.977000000000004</v>
      </c>
      <c r="S222" s="27">
        <v>42356</v>
      </c>
      <c r="T222">
        <v>4.1769999999999996</v>
      </c>
    </row>
    <row r="223" spans="3:20">
      <c r="C223" s="27">
        <v>40976</v>
      </c>
      <c r="D223">
        <v>5.7553000000000001</v>
      </c>
      <c r="E223" s="27">
        <v>43465</v>
      </c>
      <c r="F223">
        <v>99.662999999999997</v>
      </c>
      <c r="G223" s="27">
        <v>43514</v>
      </c>
      <c r="H223">
        <v>100.223</v>
      </c>
      <c r="I223" s="27">
        <v>44357</v>
      </c>
      <c r="J223">
        <v>105.81</v>
      </c>
      <c r="K223" s="27">
        <v>44357</v>
      </c>
      <c r="L223">
        <v>100.994</v>
      </c>
      <c r="M223" s="27">
        <v>42124</v>
      </c>
      <c r="N223">
        <v>118.03100000000001</v>
      </c>
      <c r="O223" s="27">
        <v>41774</v>
      </c>
      <c r="P223">
        <v>104.30200000000001</v>
      </c>
      <c r="Q223" s="27">
        <v>42018</v>
      </c>
      <c r="R223">
        <v>95.991</v>
      </c>
      <c r="S223" s="27">
        <v>42359</v>
      </c>
      <c r="T223">
        <v>4.1470000000000002</v>
      </c>
    </row>
    <row r="224" spans="3:20">
      <c r="C224" s="27">
        <v>40977</v>
      </c>
      <c r="D224">
        <v>5.8368000000000002</v>
      </c>
      <c r="E224" s="27">
        <v>43467</v>
      </c>
      <c r="F224">
        <v>99.613</v>
      </c>
      <c r="G224" s="27">
        <v>43515</v>
      </c>
      <c r="H224">
        <v>100.294</v>
      </c>
      <c r="I224" s="27">
        <v>44358</v>
      </c>
      <c r="J224">
        <v>105.75700000000001</v>
      </c>
      <c r="K224" s="27">
        <v>44358</v>
      </c>
      <c r="L224">
        <v>100.973</v>
      </c>
      <c r="M224" s="27">
        <v>42128</v>
      </c>
      <c r="N224">
        <v>118.404</v>
      </c>
      <c r="O224" s="27">
        <v>41775</v>
      </c>
      <c r="P224">
        <v>104.60899999999999</v>
      </c>
      <c r="Q224" s="27">
        <v>42019</v>
      </c>
      <c r="R224">
        <v>95.997</v>
      </c>
      <c r="S224" s="27">
        <v>42360</v>
      </c>
      <c r="T224">
        <v>4.1840000000000002</v>
      </c>
    </row>
    <row r="225" spans="3:20">
      <c r="C225" s="27">
        <v>40980</v>
      </c>
      <c r="D225">
        <v>5.7462</v>
      </c>
      <c r="E225" s="27">
        <v>43468</v>
      </c>
      <c r="F225">
        <v>99.619</v>
      </c>
      <c r="G225" s="27">
        <v>43516</v>
      </c>
      <c r="H225">
        <v>100.372</v>
      </c>
      <c r="I225" s="27">
        <v>44362</v>
      </c>
      <c r="J225">
        <v>105.093</v>
      </c>
      <c r="K225" s="27">
        <v>44362</v>
      </c>
      <c r="L225">
        <v>100.444</v>
      </c>
      <c r="M225" s="27">
        <v>42129</v>
      </c>
      <c r="N225">
        <v>117.97799999999999</v>
      </c>
      <c r="O225" s="27">
        <v>41778</v>
      </c>
      <c r="P225">
        <v>104.505</v>
      </c>
      <c r="Q225" s="27">
        <v>42020</v>
      </c>
      <c r="R225">
        <v>95.997</v>
      </c>
      <c r="S225" s="27">
        <v>42361</v>
      </c>
      <c r="T225">
        <v>4.2039999999999997</v>
      </c>
    </row>
    <row r="226" spans="3:20">
      <c r="C226" s="27">
        <v>40981</v>
      </c>
      <c r="D226">
        <v>5.7676999999999996</v>
      </c>
      <c r="E226" s="27">
        <v>43469</v>
      </c>
      <c r="F226">
        <v>99.617000000000004</v>
      </c>
      <c r="G226" s="27">
        <v>43517</v>
      </c>
      <c r="H226">
        <v>100.10899999999999</v>
      </c>
      <c r="I226" s="27">
        <v>44363</v>
      </c>
      <c r="J226">
        <v>104.723</v>
      </c>
      <c r="K226" s="27">
        <v>44363</v>
      </c>
      <c r="L226">
        <v>100.131</v>
      </c>
      <c r="M226" s="27">
        <v>42130</v>
      </c>
      <c r="N226">
        <v>117.161</v>
      </c>
      <c r="O226" s="27">
        <v>41779</v>
      </c>
      <c r="P226">
        <v>104.404</v>
      </c>
      <c r="Q226" s="27">
        <v>42023</v>
      </c>
      <c r="R226">
        <v>96.006</v>
      </c>
      <c r="S226" s="27">
        <v>42362</v>
      </c>
      <c r="T226">
        <v>4.1639999999999997</v>
      </c>
    </row>
    <row r="227" spans="3:20">
      <c r="C227" s="27">
        <v>40982</v>
      </c>
      <c r="D227">
        <v>5.8586</v>
      </c>
      <c r="E227" s="27">
        <v>43472</v>
      </c>
      <c r="F227">
        <v>99.62</v>
      </c>
      <c r="G227" s="27">
        <v>43518</v>
      </c>
      <c r="H227">
        <v>100.325</v>
      </c>
      <c r="I227" s="27">
        <v>44364</v>
      </c>
      <c r="J227">
        <v>104.054</v>
      </c>
      <c r="K227" s="27">
        <v>44364</v>
      </c>
      <c r="L227">
        <v>99.534000000000006</v>
      </c>
      <c r="M227" s="27">
        <v>42131</v>
      </c>
      <c r="N227">
        <v>116.34</v>
      </c>
      <c r="O227" s="27">
        <v>41780</v>
      </c>
      <c r="P227">
        <v>104.479</v>
      </c>
      <c r="Q227" s="27">
        <v>42024</v>
      </c>
      <c r="R227">
        <v>96.013999999999996</v>
      </c>
      <c r="S227" s="27">
        <v>42363</v>
      </c>
      <c r="T227">
        <v>4.2060000000000004</v>
      </c>
    </row>
    <row r="228" spans="3:20">
      <c r="C228" s="27">
        <v>40984</v>
      </c>
      <c r="D228">
        <v>5.9649000000000001</v>
      </c>
      <c r="E228" s="27">
        <v>43473</v>
      </c>
      <c r="F228">
        <v>99.622</v>
      </c>
      <c r="G228" s="27">
        <v>43521</v>
      </c>
      <c r="H228">
        <v>100.289</v>
      </c>
      <c r="I228" s="27">
        <v>44365</v>
      </c>
      <c r="J228">
        <v>106.06</v>
      </c>
      <c r="K228" s="27">
        <v>44365</v>
      </c>
      <c r="L228">
        <v>100.985</v>
      </c>
      <c r="M228" s="27">
        <v>42132</v>
      </c>
      <c r="N228">
        <v>116.982</v>
      </c>
      <c r="O228" s="27">
        <v>41781</v>
      </c>
      <c r="P228">
        <v>104.30200000000001</v>
      </c>
      <c r="Q228" s="27">
        <v>42025</v>
      </c>
      <c r="R228">
        <v>96.03</v>
      </c>
      <c r="S228" s="27">
        <v>42367</v>
      </c>
      <c r="T228">
        <v>4.1749999999999998</v>
      </c>
    </row>
    <row r="229" spans="3:20">
      <c r="C229" s="27">
        <v>40987</v>
      </c>
      <c r="D229">
        <v>6.0239000000000003</v>
      </c>
      <c r="E229" s="27">
        <v>43474</v>
      </c>
      <c r="F229">
        <v>99.625</v>
      </c>
      <c r="G229" s="27">
        <v>43522</v>
      </c>
      <c r="H229">
        <v>100.202</v>
      </c>
      <c r="I229" s="27">
        <v>44368</v>
      </c>
      <c r="J229">
        <v>105.547</v>
      </c>
      <c r="K229" s="27">
        <v>44368</v>
      </c>
      <c r="L229">
        <v>100.47199999999999</v>
      </c>
      <c r="M229" s="27">
        <v>42135</v>
      </c>
      <c r="N229">
        <v>116.57</v>
      </c>
      <c r="O229" s="27">
        <v>41782</v>
      </c>
      <c r="P229">
        <v>104.458</v>
      </c>
      <c r="Q229" s="27">
        <v>42026</v>
      </c>
      <c r="R229">
        <v>96.039000000000001</v>
      </c>
      <c r="S229" s="27">
        <v>42368</v>
      </c>
      <c r="T229">
        <v>4.1319999999999997</v>
      </c>
    </row>
    <row r="230" spans="3:20">
      <c r="C230" s="27">
        <v>40988</v>
      </c>
      <c r="D230">
        <v>5.9469000000000003</v>
      </c>
      <c r="E230" s="27">
        <v>43475</v>
      </c>
      <c r="F230">
        <v>99.629000000000005</v>
      </c>
      <c r="G230" s="27">
        <v>43523</v>
      </c>
      <c r="H230">
        <v>99.375</v>
      </c>
      <c r="I230" s="27">
        <v>44369</v>
      </c>
      <c r="J230">
        <v>105.93600000000001</v>
      </c>
      <c r="K230" s="27">
        <v>44369</v>
      </c>
      <c r="L230">
        <v>100.59699999999999</v>
      </c>
      <c r="M230" s="27">
        <v>42136</v>
      </c>
      <c r="N230">
        <v>116.5</v>
      </c>
      <c r="O230" s="27">
        <v>41785</v>
      </c>
      <c r="P230">
        <v>104.456</v>
      </c>
      <c r="Q230" s="27">
        <v>42027</v>
      </c>
      <c r="R230">
        <v>96.045000000000002</v>
      </c>
      <c r="S230" s="27">
        <v>42369</v>
      </c>
      <c r="T230">
        <v>4.1970000000000001</v>
      </c>
    </row>
    <row r="231" spans="3:20">
      <c r="C231" s="27">
        <v>40989</v>
      </c>
      <c r="D231">
        <v>5.9527999999999999</v>
      </c>
      <c r="E231" s="27">
        <v>43476</v>
      </c>
      <c r="F231">
        <v>99.631</v>
      </c>
      <c r="G231" s="27">
        <v>43524</v>
      </c>
      <c r="H231">
        <v>98.975999999999999</v>
      </c>
      <c r="I231" s="27">
        <v>44370</v>
      </c>
      <c r="J231">
        <v>105.78700000000001</v>
      </c>
      <c r="K231" s="27">
        <v>44370</v>
      </c>
      <c r="L231">
        <v>100.518</v>
      </c>
      <c r="M231" s="27">
        <v>42137</v>
      </c>
      <c r="N231">
        <v>117.25</v>
      </c>
      <c r="O231" s="27">
        <v>41786</v>
      </c>
      <c r="P231">
        <v>104.467</v>
      </c>
      <c r="Q231" s="27">
        <v>42031</v>
      </c>
      <c r="R231">
        <v>96.05</v>
      </c>
      <c r="S231" s="27">
        <v>42370</v>
      </c>
      <c r="T231">
        <v>4.194</v>
      </c>
    </row>
    <row r="232" spans="3:20">
      <c r="C232" s="27">
        <v>40990</v>
      </c>
      <c r="D232">
        <v>5.8677999999999999</v>
      </c>
      <c r="E232" s="27">
        <v>43479</v>
      </c>
      <c r="F232">
        <v>99.631</v>
      </c>
      <c r="G232" s="27">
        <v>43525</v>
      </c>
      <c r="H232">
        <v>98.870999999999995</v>
      </c>
      <c r="I232" s="27">
        <v>44371</v>
      </c>
      <c r="J232">
        <v>106.504</v>
      </c>
      <c r="K232" s="27">
        <v>44371</v>
      </c>
      <c r="L232">
        <v>101.081</v>
      </c>
      <c r="M232" s="27">
        <v>42139</v>
      </c>
      <c r="N232">
        <v>116.661</v>
      </c>
      <c r="O232" s="27">
        <v>41787</v>
      </c>
      <c r="P232">
        <v>104.642</v>
      </c>
      <c r="Q232" s="27">
        <v>42033</v>
      </c>
      <c r="R232">
        <v>96.066999999999993</v>
      </c>
      <c r="S232" s="27">
        <v>42373</v>
      </c>
      <c r="T232">
        <v>4.1440000000000001</v>
      </c>
    </row>
    <row r="233" spans="3:20">
      <c r="C233" s="27">
        <v>40991</v>
      </c>
      <c r="D233">
        <v>5.8840000000000003</v>
      </c>
      <c r="E233" s="27">
        <v>43480</v>
      </c>
      <c r="F233">
        <v>99.634</v>
      </c>
      <c r="G233" s="27">
        <v>43528</v>
      </c>
      <c r="H233">
        <v>99.614000000000004</v>
      </c>
      <c r="I233" s="27">
        <v>44372</v>
      </c>
      <c r="J233">
        <v>105.702</v>
      </c>
      <c r="K233" s="27">
        <v>44372</v>
      </c>
      <c r="L233">
        <v>100.437</v>
      </c>
      <c r="M233" s="27">
        <v>42142</v>
      </c>
      <c r="N233">
        <v>116.729</v>
      </c>
      <c r="O233" s="27">
        <v>41788</v>
      </c>
      <c r="P233">
        <v>104.84</v>
      </c>
      <c r="Q233" s="27">
        <v>42034</v>
      </c>
      <c r="R233">
        <v>96.072000000000003</v>
      </c>
      <c r="S233" s="27">
        <v>42374</v>
      </c>
      <c r="T233">
        <v>4.133</v>
      </c>
    </row>
    <row r="234" spans="3:20">
      <c r="C234" s="27">
        <v>40994</v>
      </c>
      <c r="D234">
        <v>5.8502000000000001</v>
      </c>
      <c r="E234" s="27">
        <v>43481</v>
      </c>
      <c r="F234">
        <v>99.635000000000005</v>
      </c>
      <c r="G234" s="27">
        <v>43529</v>
      </c>
      <c r="H234">
        <v>99.626999999999995</v>
      </c>
      <c r="I234" s="27">
        <v>44375</v>
      </c>
      <c r="J234">
        <v>106.2</v>
      </c>
      <c r="K234" s="27">
        <v>44375</v>
      </c>
      <c r="L234">
        <v>100.818</v>
      </c>
      <c r="M234" s="27">
        <v>42143</v>
      </c>
      <c r="N234">
        <v>116.485</v>
      </c>
      <c r="O234" s="27">
        <v>41789</v>
      </c>
      <c r="P234">
        <v>104.738</v>
      </c>
      <c r="Q234" s="27">
        <v>42037</v>
      </c>
      <c r="R234">
        <v>96.090999999999994</v>
      </c>
      <c r="S234" s="27">
        <v>42375</v>
      </c>
      <c r="T234">
        <v>4.1079999999999997</v>
      </c>
    </row>
    <row r="235" spans="3:20">
      <c r="C235" s="27">
        <v>40995</v>
      </c>
      <c r="D235">
        <v>5.9001000000000001</v>
      </c>
      <c r="E235" s="27">
        <v>43482</v>
      </c>
      <c r="F235">
        <v>99.638000000000005</v>
      </c>
      <c r="G235" s="27">
        <v>43530</v>
      </c>
      <c r="H235">
        <v>99.894000000000005</v>
      </c>
      <c r="I235" s="27">
        <v>44376</v>
      </c>
      <c r="J235">
        <v>106.926</v>
      </c>
      <c r="K235" s="27">
        <v>44376</v>
      </c>
      <c r="L235">
        <v>101.404</v>
      </c>
      <c r="M235" s="27">
        <v>42144</v>
      </c>
      <c r="N235">
        <v>116.661</v>
      </c>
      <c r="O235" s="27">
        <v>41792</v>
      </c>
      <c r="P235">
        <v>104.681</v>
      </c>
      <c r="Q235" s="27">
        <v>42038</v>
      </c>
      <c r="R235">
        <v>96.090999999999994</v>
      </c>
      <c r="S235" s="27">
        <v>42376</v>
      </c>
      <c r="T235">
        <v>4.0599999999999996</v>
      </c>
    </row>
    <row r="236" spans="3:20">
      <c r="C236" s="27">
        <v>40996</v>
      </c>
      <c r="D236">
        <v>5.8024000000000004</v>
      </c>
      <c r="E236" s="27">
        <v>43483</v>
      </c>
      <c r="F236">
        <v>99.629000000000005</v>
      </c>
      <c r="G236" s="27">
        <v>43531</v>
      </c>
      <c r="H236">
        <v>100.315</v>
      </c>
      <c r="I236" s="27">
        <v>44377</v>
      </c>
      <c r="J236">
        <v>106.583</v>
      </c>
      <c r="K236" s="27">
        <v>44377</v>
      </c>
      <c r="L236">
        <v>101.1</v>
      </c>
      <c r="M236" s="27">
        <v>42145</v>
      </c>
      <c r="N236">
        <v>116.351</v>
      </c>
      <c r="O236" s="27">
        <v>41793</v>
      </c>
      <c r="P236">
        <v>104.702</v>
      </c>
      <c r="Q236" s="27">
        <v>42039</v>
      </c>
      <c r="R236">
        <v>96.12</v>
      </c>
      <c r="S236" s="27">
        <v>42377</v>
      </c>
      <c r="T236">
        <v>4.0709999999999997</v>
      </c>
    </row>
    <row r="237" spans="3:20">
      <c r="C237" s="27">
        <v>40997</v>
      </c>
      <c r="D237">
        <v>5.7142999999999997</v>
      </c>
      <c r="E237" s="27">
        <v>43486</v>
      </c>
      <c r="F237">
        <v>99.64</v>
      </c>
      <c r="G237" s="27">
        <v>43532</v>
      </c>
      <c r="H237">
        <v>100.36199999999999</v>
      </c>
      <c r="I237" s="27">
        <v>44378</v>
      </c>
      <c r="J237">
        <v>107.167</v>
      </c>
      <c r="K237" s="27">
        <v>44378</v>
      </c>
      <c r="L237">
        <v>101.55800000000001</v>
      </c>
      <c r="M237" s="27">
        <v>42146</v>
      </c>
      <c r="N237">
        <v>116.498</v>
      </c>
      <c r="O237" s="27">
        <v>41794</v>
      </c>
      <c r="P237">
        <v>104.514</v>
      </c>
      <c r="Q237" s="27">
        <v>42040</v>
      </c>
      <c r="R237">
        <v>96.120999999999995</v>
      </c>
      <c r="S237" s="27">
        <v>42380</v>
      </c>
      <c r="T237">
        <v>4.0880000000000001</v>
      </c>
    </row>
    <row r="238" spans="3:20">
      <c r="C238" s="27">
        <v>40998</v>
      </c>
      <c r="D238">
        <v>5.6641000000000004</v>
      </c>
      <c r="E238" s="27">
        <v>43487</v>
      </c>
      <c r="F238">
        <v>99.641000000000005</v>
      </c>
      <c r="G238" s="27">
        <v>43535</v>
      </c>
      <c r="H238">
        <v>100.32599999999999</v>
      </c>
      <c r="I238" s="27">
        <v>44379</v>
      </c>
      <c r="J238">
        <v>107.58</v>
      </c>
      <c r="K238" s="27">
        <v>44379</v>
      </c>
      <c r="L238">
        <v>101.824</v>
      </c>
      <c r="M238" s="27">
        <v>42150</v>
      </c>
      <c r="N238">
        <v>117.035</v>
      </c>
      <c r="O238" s="27">
        <v>41795</v>
      </c>
      <c r="P238">
        <v>104.509</v>
      </c>
      <c r="Q238" s="27">
        <v>42041</v>
      </c>
      <c r="R238">
        <v>96.125</v>
      </c>
      <c r="S238" s="27">
        <v>42381</v>
      </c>
      <c r="T238">
        <v>4.0960000000000001</v>
      </c>
    </row>
    <row r="239" spans="3:20">
      <c r="C239" s="27">
        <v>41001</v>
      </c>
      <c r="D239">
        <v>5.7054</v>
      </c>
      <c r="E239" s="27">
        <v>43488</v>
      </c>
      <c r="F239">
        <v>99.641999999999996</v>
      </c>
      <c r="G239" s="27">
        <v>43536</v>
      </c>
      <c r="H239">
        <v>100.44199999999999</v>
      </c>
      <c r="I239" s="27">
        <v>44382</v>
      </c>
      <c r="J239">
        <v>107.08199999999999</v>
      </c>
      <c r="K239" s="27">
        <v>44382</v>
      </c>
      <c r="L239">
        <v>101.45399999999999</v>
      </c>
      <c r="M239" s="27">
        <v>42151</v>
      </c>
      <c r="N239">
        <v>117.48099999999999</v>
      </c>
      <c r="O239" s="27">
        <v>41796</v>
      </c>
      <c r="P239">
        <v>104.80500000000001</v>
      </c>
      <c r="Q239" s="27">
        <v>42044</v>
      </c>
      <c r="R239">
        <v>96.13</v>
      </c>
      <c r="S239" s="27">
        <v>42382</v>
      </c>
      <c r="T239">
        <v>4.0869999999999997</v>
      </c>
    </row>
    <row r="240" spans="3:20">
      <c r="C240" s="27">
        <v>41002</v>
      </c>
      <c r="D240">
        <v>5.6250999999999998</v>
      </c>
      <c r="E240" s="27">
        <v>43489</v>
      </c>
      <c r="F240">
        <v>99.635999999999996</v>
      </c>
      <c r="G240" s="27">
        <v>43537</v>
      </c>
      <c r="H240">
        <v>100.434</v>
      </c>
      <c r="I240" s="27">
        <v>44383</v>
      </c>
      <c r="J240">
        <v>108.495</v>
      </c>
      <c r="K240" s="27">
        <v>44383</v>
      </c>
      <c r="L240">
        <v>102.50700000000001</v>
      </c>
      <c r="M240" s="27">
        <v>42152</v>
      </c>
      <c r="N240">
        <v>118.01900000000001</v>
      </c>
      <c r="O240" s="27">
        <v>41799</v>
      </c>
      <c r="P240">
        <v>104.935</v>
      </c>
      <c r="Q240" s="27">
        <v>42045</v>
      </c>
      <c r="R240">
        <v>96.134</v>
      </c>
      <c r="S240" s="27">
        <v>42383</v>
      </c>
      <c r="T240">
        <v>4.0179999999999998</v>
      </c>
    </row>
    <row r="241" spans="3:20">
      <c r="C241" s="27">
        <v>41003</v>
      </c>
      <c r="D241">
        <v>5.6237000000000004</v>
      </c>
      <c r="E241" s="27">
        <v>43490</v>
      </c>
      <c r="F241">
        <v>99.646000000000001</v>
      </c>
      <c r="G241" s="27">
        <v>43538</v>
      </c>
      <c r="H241">
        <v>100.34699999999999</v>
      </c>
      <c r="I241" s="27">
        <v>44384</v>
      </c>
      <c r="J241">
        <v>109.327</v>
      </c>
      <c r="K241" s="27">
        <v>44384</v>
      </c>
      <c r="L241">
        <v>103.056</v>
      </c>
      <c r="M241" s="27">
        <v>42153</v>
      </c>
      <c r="N241">
        <v>118.08</v>
      </c>
      <c r="O241" s="27">
        <v>41800</v>
      </c>
      <c r="P241">
        <v>104.881</v>
      </c>
      <c r="Q241" s="27">
        <v>42046</v>
      </c>
      <c r="R241">
        <v>96.14</v>
      </c>
      <c r="S241" s="27">
        <v>42384</v>
      </c>
      <c r="T241">
        <v>4.016</v>
      </c>
    </row>
    <row r="242" spans="3:20">
      <c r="C242" s="27">
        <v>41004</v>
      </c>
      <c r="D242">
        <v>5.6036999999999999</v>
      </c>
      <c r="E242" s="27">
        <v>43494</v>
      </c>
      <c r="F242">
        <v>99.647999999999996</v>
      </c>
      <c r="G242" s="27">
        <v>43539</v>
      </c>
      <c r="H242">
        <v>100.313</v>
      </c>
      <c r="I242" s="27">
        <v>44385</v>
      </c>
      <c r="J242">
        <v>110.241</v>
      </c>
      <c r="K242" s="27">
        <v>44385</v>
      </c>
      <c r="L242">
        <v>103.71599999999999</v>
      </c>
      <c r="M242" s="27">
        <v>42156</v>
      </c>
      <c r="N242">
        <v>118.239</v>
      </c>
      <c r="O242" s="27">
        <v>41801</v>
      </c>
      <c r="P242">
        <v>104.646</v>
      </c>
      <c r="Q242" s="27">
        <v>42047</v>
      </c>
      <c r="R242">
        <v>96.149000000000001</v>
      </c>
      <c r="S242" s="27">
        <v>42387</v>
      </c>
      <c r="T242">
        <v>3.9990000000000001</v>
      </c>
    </row>
    <row r="243" spans="3:20">
      <c r="C243" s="27">
        <v>41009</v>
      </c>
      <c r="D243">
        <v>5.4945000000000004</v>
      </c>
      <c r="E243" s="27">
        <v>43495</v>
      </c>
      <c r="F243">
        <v>99.65</v>
      </c>
      <c r="G243" s="27">
        <v>43542</v>
      </c>
      <c r="H243">
        <v>100.411</v>
      </c>
      <c r="I243" s="27">
        <v>44386</v>
      </c>
      <c r="J243">
        <v>109.23399999999999</v>
      </c>
      <c r="K243" s="27">
        <v>44386</v>
      </c>
      <c r="L243">
        <v>103.006</v>
      </c>
      <c r="M243" s="27">
        <v>42157</v>
      </c>
      <c r="N243">
        <v>117.402</v>
      </c>
      <c r="O243" s="27">
        <v>41802</v>
      </c>
      <c r="P243">
        <v>104.804</v>
      </c>
      <c r="Q243" s="27">
        <v>42048</v>
      </c>
      <c r="R243">
        <v>96.150999999999996</v>
      </c>
      <c r="S243" s="27">
        <v>42388</v>
      </c>
      <c r="T243">
        <v>3.9870000000000001</v>
      </c>
    </row>
    <row r="244" spans="3:20">
      <c r="C244" s="27">
        <v>41010</v>
      </c>
      <c r="D244">
        <v>5.4935</v>
      </c>
      <c r="E244" s="27">
        <v>43496</v>
      </c>
      <c r="F244">
        <v>99.659000000000006</v>
      </c>
      <c r="G244" s="27">
        <v>43543</v>
      </c>
      <c r="H244">
        <v>100.342</v>
      </c>
      <c r="I244" s="27">
        <v>44389</v>
      </c>
      <c r="J244">
        <v>110.089</v>
      </c>
      <c r="K244" s="27">
        <v>44389</v>
      </c>
      <c r="L244">
        <v>103.642</v>
      </c>
      <c r="M244" s="27">
        <v>42158</v>
      </c>
      <c r="N244">
        <v>115.72</v>
      </c>
      <c r="O244" s="27">
        <v>41803</v>
      </c>
      <c r="P244">
        <v>104.815</v>
      </c>
      <c r="Q244" s="27">
        <v>42051</v>
      </c>
      <c r="R244">
        <v>96.159000000000006</v>
      </c>
      <c r="S244" s="27">
        <v>42389</v>
      </c>
      <c r="T244">
        <v>3.9649999999999999</v>
      </c>
    </row>
    <row r="245" spans="3:20">
      <c r="C245" s="27">
        <v>41011</v>
      </c>
      <c r="D245">
        <v>5.5822000000000003</v>
      </c>
      <c r="E245" s="27">
        <v>43497</v>
      </c>
      <c r="F245">
        <v>99.661000000000001</v>
      </c>
      <c r="G245" s="27">
        <v>43544</v>
      </c>
      <c r="H245">
        <v>100.417</v>
      </c>
      <c r="I245" s="27">
        <v>44390</v>
      </c>
      <c r="J245">
        <v>109.797</v>
      </c>
      <c r="K245" s="27">
        <v>44390</v>
      </c>
      <c r="L245">
        <v>103.458</v>
      </c>
      <c r="M245" s="27">
        <v>42159</v>
      </c>
      <c r="N245">
        <v>115.32599999999999</v>
      </c>
      <c r="O245" s="27">
        <v>41806</v>
      </c>
      <c r="P245">
        <v>105.027</v>
      </c>
      <c r="Q245" s="27">
        <v>42052</v>
      </c>
      <c r="R245">
        <v>96.16</v>
      </c>
      <c r="S245" s="27">
        <v>42390</v>
      </c>
      <c r="T245">
        <v>3.9729999999999999</v>
      </c>
    </row>
    <row r="246" spans="3:20">
      <c r="C246" s="27">
        <v>41012</v>
      </c>
      <c r="D246">
        <v>5.5003000000000002</v>
      </c>
      <c r="E246" s="27">
        <v>43500</v>
      </c>
      <c r="F246">
        <v>99.667000000000002</v>
      </c>
      <c r="G246" s="27">
        <v>43545</v>
      </c>
      <c r="H246">
        <v>100.771</v>
      </c>
      <c r="I246" s="27">
        <v>44391</v>
      </c>
      <c r="J246">
        <v>109.753</v>
      </c>
      <c r="K246" s="27">
        <v>44391</v>
      </c>
      <c r="L246">
        <v>103.42</v>
      </c>
      <c r="M246" s="27">
        <v>42160</v>
      </c>
      <c r="N246">
        <v>115.589</v>
      </c>
      <c r="O246" s="27">
        <v>41807</v>
      </c>
      <c r="P246">
        <v>105.033</v>
      </c>
      <c r="Q246" s="27">
        <v>42053</v>
      </c>
      <c r="R246">
        <v>96.168000000000006</v>
      </c>
      <c r="S246" s="27">
        <v>42391</v>
      </c>
      <c r="T246">
        <v>4.0149999999999997</v>
      </c>
    </row>
    <row r="247" spans="3:20">
      <c r="C247" s="27">
        <v>41015</v>
      </c>
      <c r="D247">
        <v>5.4524999999999997</v>
      </c>
      <c r="E247" s="27">
        <v>43501</v>
      </c>
      <c r="F247">
        <v>99.662000000000006</v>
      </c>
      <c r="G247" s="27">
        <v>43546</v>
      </c>
      <c r="H247">
        <v>101.258</v>
      </c>
      <c r="I247" s="27">
        <v>44392</v>
      </c>
      <c r="J247">
        <v>110.392</v>
      </c>
      <c r="K247" s="27">
        <v>44392</v>
      </c>
      <c r="L247">
        <v>103.858</v>
      </c>
      <c r="M247" s="27">
        <v>42163</v>
      </c>
      <c r="N247">
        <v>115.59399999999999</v>
      </c>
      <c r="O247" s="27">
        <v>41808</v>
      </c>
      <c r="P247">
        <v>104.74</v>
      </c>
      <c r="Q247" s="27">
        <v>42054</v>
      </c>
      <c r="R247">
        <v>96.173000000000002</v>
      </c>
      <c r="S247" s="27">
        <v>42394</v>
      </c>
      <c r="T247">
        <v>4.0049999999999999</v>
      </c>
    </row>
    <row r="248" spans="3:20">
      <c r="C248" s="27">
        <v>41016</v>
      </c>
      <c r="D248">
        <v>5.4375999999999998</v>
      </c>
      <c r="E248" s="27">
        <v>43502</v>
      </c>
      <c r="F248">
        <v>99.664000000000001</v>
      </c>
      <c r="G248" s="27">
        <v>43549</v>
      </c>
      <c r="H248">
        <v>101.282</v>
      </c>
      <c r="I248" s="27">
        <v>44393</v>
      </c>
      <c r="J248">
        <v>110.864</v>
      </c>
      <c r="K248" s="27">
        <v>44393</v>
      </c>
      <c r="L248">
        <v>104.22199999999999</v>
      </c>
      <c r="M248" s="27">
        <v>42164</v>
      </c>
      <c r="N248">
        <v>115.099</v>
      </c>
      <c r="O248" s="27">
        <v>41809</v>
      </c>
      <c r="P248">
        <v>105.036</v>
      </c>
      <c r="Q248" s="27">
        <v>42055</v>
      </c>
      <c r="R248">
        <v>96.171000000000006</v>
      </c>
      <c r="S248" s="27">
        <v>42395</v>
      </c>
      <c r="T248">
        <v>3.9470000000000001</v>
      </c>
    </row>
    <row r="249" spans="3:20">
      <c r="C249" s="27">
        <v>41017</v>
      </c>
      <c r="D249">
        <v>5.5153999999999996</v>
      </c>
      <c r="E249" s="27">
        <v>43503</v>
      </c>
      <c r="F249">
        <v>99.688999999999993</v>
      </c>
      <c r="G249" s="27">
        <v>43550</v>
      </c>
      <c r="H249">
        <v>101.22199999999999</v>
      </c>
      <c r="I249" s="27">
        <v>44396</v>
      </c>
      <c r="J249">
        <v>112.679</v>
      </c>
      <c r="K249" s="27">
        <v>44396</v>
      </c>
      <c r="L249">
        <v>105.53</v>
      </c>
      <c r="M249" s="27">
        <v>42165</v>
      </c>
      <c r="N249">
        <v>114.816</v>
      </c>
      <c r="O249" s="27">
        <v>41810</v>
      </c>
      <c r="P249">
        <v>105.078</v>
      </c>
      <c r="Q249" s="27">
        <v>42058</v>
      </c>
      <c r="R249">
        <v>96.18</v>
      </c>
      <c r="S249" s="27">
        <v>42396</v>
      </c>
      <c r="T249">
        <v>3.9809999999999999</v>
      </c>
    </row>
    <row r="250" spans="3:20">
      <c r="C250" s="27">
        <v>41018</v>
      </c>
      <c r="D250">
        <v>5.4687000000000001</v>
      </c>
      <c r="E250" s="27">
        <v>43504</v>
      </c>
      <c r="F250">
        <v>99.691999999999993</v>
      </c>
      <c r="G250" s="27">
        <v>43551</v>
      </c>
      <c r="H250">
        <v>101.69199999999999</v>
      </c>
      <c r="I250" s="27">
        <v>44397</v>
      </c>
      <c r="J250">
        <v>112.92</v>
      </c>
      <c r="K250" s="27">
        <v>44397</v>
      </c>
      <c r="L250">
        <v>105.682</v>
      </c>
      <c r="M250" s="27">
        <v>42166</v>
      </c>
      <c r="N250">
        <v>115.102</v>
      </c>
      <c r="O250" s="27">
        <v>41813</v>
      </c>
      <c r="P250">
        <v>104.964</v>
      </c>
      <c r="Q250" s="27">
        <v>42059</v>
      </c>
      <c r="R250">
        <v>96.183999999999997</v>
      </c>
      <c r="S250" s="27">
        <v>42397</v>
      </c>
      <c r="T250">
        <v>4.0090000000000003</v>
      </c>
    </row>
    <row r="251" spans="3:20">
      <c r="C251" s="27">
        <v>41019</v>
      </c>
      <c r="D251">
        <v>5.4629000000000003</v>
      </c>
      <c r="E251" s="27">
        <v>43507</v>
      </c>
      <c r="F251">
        <v>99.695999999999998</v>
      </c>
      <c r="G251" s="27">
        <v>43552</v>
      </c>
      <c r="H251">
        <v>101.723</v>
      </c>
      <c r="I251" s="27">
        <v>44398</v>
      </c>
      <c r="J251">
        <v>111.557</v>
      </c>
      <c r="K251" s="27">
        <v>44398</v>
      </c>
      <c r="L251">
        <v>104.721</v>
      </c>
      <c r="M251" s="27">
        <v>42167</v>
      </c>
      <c r="N251">
        <v>114.88200000000001</v>
      </c>
      <c r="O251" s="27">
        <v>41814</v>
      </c>
      <c r="P251">
        <v>105.078</v>
      </c>
      <c r="Q251" s="27">
        <v>42060</v>
      </c>
      <c r="R251">
        <v>96.192999999999998</v>
      </c>
      <c r="S251" s="27">
        <v>42398</v>
      </c>
      <c r="T251">
        <v>3.968</v>
      </c>
    </row>
    <row r="252" spans="3:20">
      <c r="C252" s="27">
        <v>41022</v>
      </c>
      <c r="D252">
        <v>5.3859000000000004</v>
      </c>
      <c r="E252" s="27">
        <v>43508</v>
      </c>
      <c r="F252">
        <v>99.697000000000003</v>
      </c>
      <c r="G252" s="27">
        <v>43553</v>
      </c>
      <c r="H252">
        <v>101.749</v>
      </c>
      <c r="I252" s="27">
        <v>44399</v>
      </c>
      <c r="J252">
        <v>112.196</v>
      </c>
      <c r="K252" s="27">
        <v>44399</v>
      </c>
      <c r="L252">
        <v>105.21</v>
      </c>
      <c r="M252" s="27">
        <v>42170</v>
      </c>
      <c r="N252">
        <v>115.462</v>
      </c>
      <c r="O252" s="27">
        <v>41815</v>
      </c>
      <c r="P252">
        <v>105.10899999999999</v>
      </c>
      <c r="Q252" s="27">
        <v>42061</v>
      </c>
      <c r="R252">
        <v>96.191000000000003</v>
      </c>
      <c r="S252" s="27">
        <v>42401</v>
      </c>
      <c r="T252">
        <v>3.9220000000000002</v>
      </c>
    </row>
    <row r="253" spans="3:20">
      <c r="C253" s="27">
        <v>41023</v>
      </c>
      <c r="D253">
        <v>5.3230000000000004</v>
      </c>
      <c r="E253" s="27">
        <v>43509</v>
      </c>
      <c r="F253">
        <v>99.7</v>
      </c>
      <c r="G253" s="27">
        <v>43556</v>
      </c>
      <c r="H253">
        <v>101.428</v>
      </c>
      <c r="I253" s="27">
        <v>44400</v>
      </c>
      <c r="J253">
        <v>111.85599999999999</v>
      </c>
      <c r="K253" s="27">
        <v>44400</v>
      </c>
      <c r="L253">
        <v>104.871</v>
      </c>
      <c r="M253" s="27">
        <v>42171</v>
      </c>
      <c r="N253">
        <v>115.79900000000001</v>
      </c>
      <c r="O253" s="27">
        <v>41816</v>
      </c>
      <c r="P253">
        <v>105.306</v>
      </c>
      <c r="Q253" s="27">
        <v>42062</v>
      </c>
      <c r="R253">
        <v>96.197000000000003</v>
      </c>
      <c r="S253" s="27">
        <v>42402</v>
      </c>
      <c r="T253">
        <v>3.9390000000000001</v>
      </c>
    </row>
    <row r="254" spans="3:20">
      <c r="C254" s="27">
        <v>41024</v>
      </c>
      <c r="D254">
        <v>5.3937999999999997</v>
      </c>
      <c r="E254" s="27">
        <v>43510</v>
      </c>
      <c r="F254">
        <v>99.703000000000003</v>
      </c>
      <c r="G254" s="27">
        <v>43557</v>
      </c>
      <c r="H254">
        <v>101.57</v>
      </c>
      <c r="I254" s="27">
        <v>44403</v>
      </c>
      <c r="J254">
        <v>111.92700000000001</v>
      </c>
      <c r="K254" s="27">
        <v>44403</v>
      </c>
      <c r="L254">
        <v>104.91</v>
      </c>
      <c r="M254" s="27">
        <v>42172</v>
      </c>
      <c r="N254">
        <v>115.616</v>
      </c>
      <c r="O254" s="27">
        <v>41817</v>
      </c>
      <c r="P254">
        <v>105.396</v>
      </c>
      <c r="Q254" s="27">
        <v>42065</v>
      </c>
      <c r="R254">
        <v>96.263000000000005</v>
      </c>
      <c r="S254" s="27">
        <v>42403</v>
      </c>
      <c r="T254">
        <v>3.8879999999999999</v>
      </c>
    </row>
    <row r="255" spans="3:20">
      <c r="C255" s="27">
        <v>41025</v>
      </c>
      <c r="D255">
        <v>5.3971999999999998</v>
      </c>
      <c r="E255" s="27">
        <v>43511</v>
      </c>
      <c r="F255">
        <v>99.706999999999994</v>
      </c>
      <c r="G255" s="27">
        <v>43558</v>
      </c>
      <c r="H255">
        <v>101.13500000000001</v>
      </c>
      <c r="I255" s="27">
        <v>44404</v>
      </c>
      <c r="J255">
        <v>112.471</v>
      </c>
      <c r="K255" s="27">
        <v>44404</v>
      </c>
      <c r="L255">
        <v>105.33499999999999</v>
      </c>
      <c r="M255" s="27">
        <v>42173</v>
      </c>
      <c r="N255">
        <v>115.675</v>
      </c>
      <c r="O255" s="27">
        <v>41820</v>
      </c>
      <c r="P255">
        <v>105.221</v>
      </c>
      <c r="Q255" s="27">
        <v>42066</v>
      </c>
      <c r="R255">
        <v>96.253</v>
      </c>
      <c r="S255" s="27">
        <v>42404</v>
      </c>
      <c r="T255">
        <v>3.9279999999999999</v>
      </c>
    </row>
    <row r="256" spans="3:20">
      <c r="C256" s="27">
        <v>41026</v>
      </c>
      <c r="D256">
        <v>5.343</v>
      </c>
      <c r="E256" s="27">
        <v>43514</v>
      </c>
      <c r="F256">
        <v>99.712000000000003</v>
      </c>
      <c r="G256" s="27">
        <v>43559</v>
      </c>
      <c r="H256">
        <v>101.15900000000001</v>
      </c>
      <c r="I256" s="27">
        <v>44405</v>
      </c>
      <c r="J256">
        <v>112.533</v>
      </c>
      <c r="K256" s="27">
        <v>44405</v>
      </c>
      <c r="L256">
        <v>105.44199999999999</v>
      </c>
      <c r="M256" s="27">
        <v>42174</v>
      </c>
      <c r="N256">
        <v>115.69799999999999</v>
      </c>
      <c r="O256" s="27">
        <v>41821</v>
      </c>
      <c r="P256">
        <v>105.339</v>
      </c>
      <c r="Q256" s="27">
        <v>42067</v>
      </c>
      <c r="R256">
        <v>96.275000000000006</v>
      </c>
      <c r="S256" s="27">
        <v>42405</v>
      </c>
      <c r="T256">
        <v>3.9210000000000003</v>
      </c>
    </row>
    <row r="257" spans="3:20">
      <c r="C257" s="27">
        <v>41029</v>
      </c>
      <c r="D257">
        <v>5.3209</v>
      </c>
      <c r="E257" s="27">
        <v>43515</v>
      </c>
      <c r="F257">
        <v>99.716999999999999</v>
      </c>
      <c r="G257" s="27">
        <v>43560</v>
      </c>
      <c r="H257">
        <v>101.035</v>
      </c>
      <c r="I257" s="27">
        <v>44406</v>
      </c>
      <c r="J257">
        <v>112.83</v>
      </c>
      <c r="K257" s="27">
        <v>44406</v>
      </c>
      <c r="L257">
        <v>105.664</v>
      </c>
      <c r="M257" s="27">
        <v>42177</v>
      </c>
      <c r="N257">
        <v>113.152</v>
      </c>
      <c r="O257" s="27">
        <v>41822</v>
      </c>
      <c r="P257">
        <v>105.413</v>
      </c>
      <c r="Q257" s="27">
        <v>42068</v>
      </c>
      <c r="R257">
        <v>96.278999999999996</v>
      </c>
      <c r="S257" s="27">
        <v>42408</v>
      </c>
      <c r="T257">
        <v>3.9119999999999999</v>
      </c>
    </row>
    <row r="258" spans="3:20">
      <c r="C258" s="27">
        <v>41030</v>
      </c>
      <c r="D258">
        <v>5.1623999999999999</v>
      </c>
      <c r="E258" s="27">
        <v>43516</v>
      </c>
      <c r="F258">
        <v>99.72</v>
      </c>
      <c r="G258" s="27">
        <v>43563</v>
      </c>
      <c r="H258">
        <v>101.02</v>
      </c>
      <c r="I258" s="27">
        <v>44407</v>
      </c>
      <c r="J258">
        <v>112.337</v>
      </c>
      <c r="K258" s="27">
        <v>44407</v>
      </c>
      <c r="L258">
        <v>105.38800000000001</v>
      </c>
      <c r="M258" s="27">
        <v>42178</v>
      </c>
      <c r="N258">
        <v>112.452</v>
      </c>
      <c r="O258" s="27">
        <v>41823</v>
      </c>
      <c r="P258">
        <v>105.229</v>
      </c>
      <c r="Q258" s="27">
        <v>42069</v>
      </c>
      <c r="R258">
        <v>96.269000000000005</v>
      </c>
      <c r="S258" s="27">
        <v>42409</v>
      </c>
      <c r="T258">
        <v>3.7949999999999999</v>
      </c>
    </row>
    <row r="259" spans="3:20">
      <c r="C259" s="27">
        <v>41031</v>
      </c>
      <c r="D259">
        <v>5.1951000000000001</v>
      </c>
      <c r="E259" s="27">
        <v>43517</v>
      </c>
      <c r="F259">
        <v>99.724999999999994</v>
      </c>
      <c r="G259" s="27">
        <v>43564</v>
      </c>
      <c r="H259">
        <v>101.116</v>
      </c>
      <c r="I259" s="27">
        <v>44411</v>
      </c>
      <c r="J259">
        <v>112.988</v>
      </c>
      <c r="K259" s="27">
        <v>44411</v>
      </c>
      <c r="L259">
        <v>105.967</v>
      </c>
      <c r="M259" s="27">
        <v>42179</v>
      </c>
      <c r="N259">
        <v>112.96</v>
      </c>
      <c r="O259" s="27">
        <v>41824</v>
      </c>
      <c r="P259">
        <v>105.288</v>
      </c>
      <c r="Q259" s="27">
        <v>42072</v>
      </c>
      <c r="R259">
        <v>96.289000000000001</v>
      </c>
      <c r="S259" s="27">
        <v>42410</v>
      </c>
      <c r="T259">
        <v>3.8289999999999997</v>
      </c>
    </row>
    <row r="260" spans="3:20">
      <c r="C260" s="27">
        <v>41032</v>
      </c>
      <c r="D260">
        <v>5.1310000000000002</v>
      </c>
      <c r="E260" s="27">
        <v>43518</v>
      </c>
      <c r="F260">
        <v>99.727000000000004</v>
      </c>
      <c r="G260" s="27">
        <v>43565</v>
      </c>
      <c r="H260">
        <v>101.348</v>
      </c>
      <c r="I260" s="27">
        <v>44412</v>
      </c>
      <c r="J260">
        <v>112.489</v>
      </c>
      <c r="K260" s="27">
        <v>44412</v>
      </c>
      <c r="L260">
        <v>105.634</v>
      </c>
      <c r="M260" s="27">
        <v>42180</v>
      </c>
      <c r="N260">
        <v>112.732</v>
      </c>
      <c r="O260" s="27">
        <v>41827</v>
      </c>
      <c r="P260">
        <v>105.426</v>
      </c>
      <c r="Q260" s="27">
        <v>42073</v>
      </c>
      <c r="R260">
        <v>96.292000000000002</v>
      </c>
      <c r="S260" s="27">
        <v>42411</v>
      </c>
      <c r="T260">
        <v>3.8220000000000001</v>
      </c>
    </row>
    <row r="261" spans="3:20">
      <c r="C261" s="27">
        <v>41033</v>
      </c>
      <c r="D261">
        <v>5.0876000000000001</v>
      </c>
      <c r="E261" s="27">
        <v>43521</v>
      </c>
      <c r="F261">
        <v>99.730999999999995</v>
      </c>
      <c r="G261" s="27">
        <v>43566</v>
      </c>
      <c r="H261">
        <v>101.211</v>
      </c>
      <c r="I261" s="27">
        <v>44413</v>
      </c>
      <c r="J261">
        <v>112.538</v>
      </c>
      <c r="K261" s="27">
        <v>44413</v>
      </c>
      <c r="L261">
        <v>105.754</v>
      </c>
      <c r="M261" s="27">
        <v>42181</v>
      </c>
      <c r="N261">
        <v>112.229</v>
      </c>
      <c r="O261" s="27">
        <v>41828</v>
      </c>
      <c r="P261">
        <v>105.378</v>
      </c>
      <c r="Q261" s="27">
        <v>42074</v>
      </c>
      <c r="R261">
        <v>96.3</v>
      </c>
      <c r="S261" s="27">
        <v>42412</v>
      </c>
      <c r="T261">
        <v>3.867</v>
      </c>
    </row>
    <row r="262" spans="3:20">
      <c r="C262" s="27">
        <v>41036</v>
      </c>
      <c r="D262">
        <v>4.9321000000000002</v>
      </c>
      <c r="E262" s="27">
        <v>43522</v>
      </c>
      <c r="F262">
        <v>99.725999999999999</v>
      </c>
      <c r="G262" s="27">
        <v>43567</v>
      </c>
      <c r="H262">
        <v>100.699</v>
      </c>
      <c r="I262" s="27">
        <v>44414</v>
      </c>
      <c r="J262">
        <v>111.505</v>
      </c>
      <c r="K262" s="27">
        <v>44414</v>
      </c>
      <c r="L262">
        <v>104.90300000000001</v>
      </c>
      <c r="M262" s="27">
        <v>42184</v>
      </c>
      <c r="N262">
        <v>112.66800000000001</v>
      </c>
      <c r="O262" s="27">
        <v>41829</v>
      </c>
      <c r="P262">
        <v>105.589</v>
      </c>
      <c r="Q262" s="27">
        <v>42075</v>
      </c>
      <c r="R262">
        <v>96.302999999999997</v>
      </c>
      <c r="S262" s="27">
        <v>42415</v>
      </c>
      <c r="T262">
        <v>3.919</v>
      </c>
    </row>
    <row r="263" spans="3:20">
      <c r="C263" s="27">
        <v>41037</v>
      </c>
      <c r="D263">
        <v>4.9588000000000001</v>
      </c>
      <c r="E263" s="27">
        <v>43523</v>
      </c>
      <c r="F263">
        <v>99.725999999999999</v>
      </c>
      <c r="G263" s="27">
        <v>43570</v>
      </c>
      <c r="H263">
        <v>100.593</v>
      </c>
      <c r="I263" s="27">
        <v>44417</v>
      </c>
      <c r="J263">
        <v>112.203</v>
      </c>
      <c r="K263" s="27">
        <v>44417</v>
      </c>
      <c r="L263">
        <v>105.268</v>
      </c>
      <c r="M263" s="27">
        <v>42185</v>
      </c>
      <c r="N263">
        <v>112.55500000000001</v>
      </c>
      <c r="O263" s="27">
        <v>41830</v>
      </c>
      <c r="P263">
        <v>105.613</v>
      </c>
      <c r="Q263" s="27">
        <v>42076</v>
      </c>
      <c r="R263">
        <v>96.293000000000006</v>
      </c>
      <c r="S263" s="27">
        <v>42416</v>
      </c>
      <c r="T263">
        <v>3.9550000000000001</v>
      </c>
    </row>
    <row r="264" spans="3:20">
      <c r="C264" s="27">
        <v>41038</v>
      </c>
      <c r="D264">
        <v>4.9193999999999996</v>
      </c>
      <c r="E264" s="27">
        <v>43524</v>
      </c>
      <c r="F264">
        <v>99.736000000000004</v>
      </c>
      <c r="G264" s="27">
        <v>43571</v>
      </c>
      <c r="H264">
        <v>100.541</v>
      </c>
      <c r="I264" s="27">
        <v>44418</v>
      </c>
      <c r="J264">
        <v>112.03700000000001</v>
      </c>
      <c r="K264" s="27">
        <v>44418</v>
      </c>
      <c r="L264">
        <v>105.11199999999999</v>
      </c>
      <c r="M264" s="27">
        <v>42186</v>
      </c>
      <c r="N264">
        <v>112.24</v>
      </c>
      <c r="O264" s="27">
        <v>41831</v>
      </c>
      <c r="P264">
        <v>105.646</v>
      </c>
      <c r="Q264" s="27">
        <v>42079</v>
      </c>
      <c r="R264">
        <v>96.308000000000007</v>
      </c>
      <c r="S264" s="27">
        <v>42417</v>
      </c>
      <c r="T264">
        <v>3.9340000000000002</v>
      </c>
    </row>
    <row r="265" spans="3:20">
      <c r="C265" s="27">
        <v>41039</v>
      </c>
      <c r="D265">
        <v>4.9916</v>
      </c>
      <c r="E265" s="27">
        <v>43525</v>
      </c>
      <c r="F265">
        <v>99.730999999999995</v>
      </c>
      <c r="G265" s="27">
        <v>43572</v>
      </c>
      <c r="H265">
        <v>100.622</v>
      </c>
      <c r="I265" s="27">
        <v>44419</v>
      </c>
      <c r="J265">
        <v>112.33499999999999</v>
      </c>
      <c r="K265" s="27">
        <v>44419</v>
      </c>
      <c r="L265">
        <v>105.282</v>
      </c>
      <c r="M265" s="27">
        <v>42187</v>
      </c>
      <c r="N265">
        <v>112.17700000000001</v>
      </c>
      <c r="O265" s="27">
        <v>41834</v>
      </c>
      <c r="P265">
        <v>105.55800000000001</v>
      </c>
      <c r="Q265" s="27">
        <v>42080</v>
      </c>
      <c r="R265">
        <v>96.311000000000007</v>
      </c>
      <c r="S265" s="27">
        <v>42418</v>
      </c>
      <c r="T265">
        <v>3.9329999999999998</v>
      </c>
    </row>
    <row r="266" spans="3:20">
      <c r="C266" s="27">
        <v>41040</v>
      </c>
      <c r="D266">
        <v>4.9324000000000003</v>
      </c>
      <c r="E266" s="27">
        <v>43528</v>
      </c>
      <c r="F266">
        <v>99.738</v>
      </c>
      <c r="G266" s="27">
        <v>43573</v>
      </c>
      <c r="H266">
        <v>100.995</v>
      </c>
      <c r="I266" s="27">
        <v>44420</v>
      </c>
      <c r="J266">
        <v>112.512</v>
      </c>
      <c r="K266" s="27">
        <v>44420</v>
      </c>
      <c r="L266">
        <v>105.405</v>
      </c>
      <c r="M266" s="27">
        <v>42188</v>
      </c>
      <c r="N266">
        <v>112.414</v>
      </c>
      <c r="O266" s="27">
        <v>41835</v>
      </c>
      <c r="P266">
        <v>105.64100000000001</v>
      </c>
      <c r="Q266" s="27">
        <v>42081</v>
      </c>
      <c r="R266">
        <v>96.316000000000003</v>
      </c>
      <c r="S266" s="27">
        <v>42419</v>
      </c>
      <c r="T266">
        <v>3.8940000000000001</v>
      </c>
    </row>
    <row r="267" spans="3:20">
      <c r="C267" s="27">
        <v>41043</v>
      </c>
      <c r="D267">
        <v>4.8918999999999997</v>
      </c>
      <c r="E267" s="27">
        <v>43529</v>
      </c>
      <c r="F267">
        <v>99.738</v>
      </c>
      <c r="G267" s="27">
        <v>43578</v>
      </c>
      <c r="H267">
        <v>101.191</v>
      </c>
      <c r="I267" s="27">
        <v>44421</v>
      </c>
      <c r="J267">
        <v>112.658</v>
      </c>
      <c r="K267" s="27">
        <v>44421</v>
      </c>
      <c r="L267">
        <v>105.48399999999999</v>
      </c>
      <c r="M267" s="27">
        <v>42191</v>
      </c>
      <c r="N267">
        <v>112.816</v>
      </c>
      <c r="O267" s="27">
        <v>41836</v>
      </c>
      <c r="P267">
        <v>105.607</v>
      </c>
      <c r="Q267" s="27">
        <v>42082</v>
      </c>
      <c r="R267">
        <v>96.316999999999993</v>
      </c>
      <c r="S267" s="27">
        <v>42422</v>
      </c>
      <c r="T267">
        <v>3.8570000000000002</v>
      </c>
    </row>
    <row r="268" spans="3:20">
      <c r="C268" s="27">
        <v>41044</v>
      </c>
      <c r="D268">
        <v>4.9062000000000001</v>
      </c>
      <c r="E268" s="27">
        <v>43530</v>
      </c>
      <c r="F268">
        <v>99.739000000000004</v>
      </c>
      <c r="G268" s="27">
        <v>43579</v>
      </c>
      <c r="H268">
        <v>101.657</v>
      </c>
      <c r="I268" s="27">
        <v>44424</v>
      </c>
      <c r="J268">
        <v>113.386</v>
      </c>
      <c r="K268" s="27">
        <v>44424</v>
      </c>
      <c r="L268">
        <v>106.03</v>
      </c>
      <c r="M268" s="27">
        <v>42192</v>
      </c>
      <c r="N268">
        <v>113.51900000000001</v>
      </c>
      <c r="O268" s="27">
        <v>41837</v>
      </c>
      <c r="P268">
        <v>105.649</v>
      </c>
      <c r="Q268" s="27">
        <v>42083</v>
      </c>
      <c r="R268">
        <v>96.317999999999998</v>
      </c>
      <c r="S268" s="27">
        <v>42423</v>
      </c>
      <c r="T268">
        <v>3.823</v>
      </c>
    </row>
    <row r="269" spans="3:20">
      <c r="C269" s="27">
        <v>41045</v>
      </c>
      <c r="D269">
        <v>4.8922999999999996</v>
      </c>
      <c r="E269" s="27">
        <v>43531</v>
      </c>
      <c r="F269">
        <v>99.742000000000004</v>
      </c>
      <c r="G269" s="27">
        <v>43580</v>
      </c>
      <c r="H269">
        <v>101.562</v>
      </c>
      <c r="I269" s="27">
        <v>44425</v>
      </c>
      <c r="J269">
        <v>113.633</v>
      </c>
      <c r="K269" s="27">
        <v>44425</v>
      </c>
      <c r="L269">
        <v>106.254</v>
      </c>
      <c r="M269" s="27">
        <v>42193</v>
      </c>
      <c r="N269">
        <v>114.059</v>
      </c>
      <c r="O269" s="27">
        <v>41838</v>
      </c>
      <c r="P269">
        <v>105.712</v>
      </c>
      <c r="Q269" s="27">
        <v>42086</v>
      </c>
      <c r="R269">
        <v>96.32</v>
      </c>
      <c r="S269" s="27">
        <v>42424</v>
      </c>
      <c r="T269">
        <v>3.8279999999999998</v>
      </c>
    </row>
    <row r="270" spans="3:20">
      <c r="C270" s="27">
        <v>41046</v>
      </c>
      <c r="D270">
        <v>4.9371999999999998</v>
      </c>
      <c r="E270" s="27">
        <v>43532</v>
      </c>
      <c r="F270">
        <v>99.742000000000004</v>
      </c>
      <c r="G270" s="27">
        <v>43581</v>
      </c>
      <c r="H270">
        <v>101.628</v>
      </c>
      <c r="I270" s="27">
        <v>44426</v>
      </c>
      <c r="J270">
        <v>113.44</v>
      </c>
      <c r="K270" s="27">
        <v>44426</v>
      </c>
      <c r="L270">
        <v>106.099</v>
      </c>
      <c r="M270" s="27">
        <v>42194</v>
      </c>
      <c r="N270">
        <v>114.145</v>
      </c>
      <c r="O270" s="27">
        <v>41841</v>
      </c>
      <c r="P270">
        <v>105.723</v>
      </c>
      <c r="Q270" s="27">
        <v>42087</v>
      </c>
      <c r="R270">
        <v>96.322000000000003</v>
      </c>
      <c r="S270" s="27">
        <v>42425</v>
      </c>
      <c r="T270">
        <v>3.8129999999999997</v>
      </c>
    </row>
    <row r="271" spans="3:20">
      <c r="C271" s="27">
        <v>41047</v>
      </c>
      <c r="D271">
        <v>4.7660999999999998</v>
      </c>
      <c r="E271" s="27">
        <v>43535</v>
      </c>
      <c r="F271">
        <v>99.742999999999995</v>
      </c>
      <c r="G271" s="27">
        <v>43584</v>
      </c>
      <c r="H271">
        <v>101.724</v>
      </c>
      <c r="I271" s="27">
        <v>44427</v>
      </c>
      <c r="J271">
        <v>114.542</v>
      </c>
      <c r="K271" s="27">
        <v>44427</v>
      </c>
      <c r="L271">
        <v>107.003</v>
      </c>
      <c r="M271" s="27">
        <v>42195</v>
      </c>
      <c r="N271">
        <v>113.133</v>
      </c>
      <c r="O271" s="27">
        <v>41842</v>
      </c>
      <c r="P271">
        <v>105.69499999999999</v>
      </c>
      <c r="Q271" s="27">
        <v>42088</v>
      </c>
      <c r="R271">
        <v>96.326999999999998</v>
      </c>
      <c r="S271" s="27">
        <v>42426</v>
      </c>
      <c r="T271">
        <v>3.7960000000000003</v>
      </c>
    </row>
    <row r="272" spans="3:20">
      <c r="C272" s="27">
        <v>41050</v>
      </c>
      <c r="D272">
        <v>4.8544999999999998</v>
      </c>
      <c r="E272" s="27">
        <v>43536</v>
      </c>
      <c r="F272">
        <v>99.738</v>
      </c>
      <c r="G272" s="27">
        <v>43585</v>
      </c>
      <c r="H272">
        <v>101.693</v>
      </c>
      <c r="I272" s="27">
        <v>44428</v>
      </c>
      <c r="J272">
        <v>114.605</v>
      </c>
      <c r="K272" s="27">
        <v>44428</v>
      </c>
      <c r="L272">
        <v>107.015</v>
      </c>
      <c r="M272" s="27">
        <v>42198</v>
      </c>
      <c r="N272">
        <v>112.54300000000001</v>
      </c>
      <c r="O272" s="27">
        <v>41843</v>
      </c>
      <c r="P272">
        <v>105.712</v>
      </c>
      <c r="Q272" s="27">
        <v>42089</v>
      </c>
      <c r="R272">
        <v>96.313000000000002</v>
      </c>
      <c r="S272" s="27">
        <v>42429</v>
      </c>
      <c r="T272">
        <v>3.7949999999999999</v>
      </c>
    </row>
    <row r="273" spans="3:20">
      <c r="C273" s="27">
        <v>41051</v>
      </c>
      <c r="D273">
        <v>4.8993000000000002</v>
      </c>
      <c r="E273" s="27">
        <v>43537</v>
      </c>
      <c r="F273">
        <v>99.744</v>
      </c>
      <c r="G273" s="27">
        <v>43587</v>
      </c>
      <c r="H273">
        <v>101.629</v>
      </c>
      <c r="I273" s="27">
        <v>44431</v>
      </c>
      <c r="J273">
        <v>114.08799999999999</v>
      </c>
      <c r="K273" s="27">
        <v>44431</v>
      </c>
      <c r="L273">
        <v>106.605</v>
      </c>
      <c r="M273" s="27">
        <v>42199</v>
      </c>
      <c r="N273">
        <v>113.02500000000001</v>
      </c>
      <c r="O273" s="27">
        <v>41844</v>
      </c>
      <c r="P273">
        <v>105.776</v>
      </c>
      <c r="Q273" s="27">
        <v>42090</v>
      </c>
      <c r="R273">
        <v>96.316000000000003</v>
      </c>
      <c r="S273" s="27">
        <v>42430</v>
      </c>
      <c r="T273">
        <v>3.7759999999999998</v>
      </c>
    </row>
    <row r="274" spans="3:20">
      <c r="C274" s="27">
        <v>41052</v>
      </c>
      <c r="D274">
        <v>4.8530999999999995</v>
      </c>
      <c r="E274" s="27">
        <v>43538</v>
      </c>
      <c r="F274">
        <v>99.742999999999995</v>
      </c>
      <c r="G274" s="27">
        <v>43588</v>
      </c>
      <c r="H274">
        <v>101.611</v>
      </c>
      <c r="I274" s="27">
        <v>44432</v>
      </c>
      <c r="J274">
        <v>113.27</v>
      </c>
      <c r="K274" s="27">
        <v>44432</v>
      </c>
      <c r="L274">
        <v>105.938</v>
      </c>
      <c r="M274" s="27">
        <v>42200</v>
      </c>
      <c r="N274">
        <v>113.608</v>
      </c>
      <c r="O274" s="27">
        <v>41845</v>
      </c>
      <c r="P274">
        <v>105.681</v>
      </c>
      <c r="Q274" s="27">
        <v>42093</v>
      </c>
      <c r="R274">
        <v>96.331000000000003</v>
      </c>
      <c r="S274" s="27">
        <v>42431</v>
      </c>
      <c r="T274">
        <v>3.8730000000000002</v>
      </c>
    </row>
    <row r="275" spans="3:20">
      <c r="C275" s="27">
        <v>41053</v>
      </c>
      <c r="D275">
        <v>4.8337000000000003</v>
      </c>
      <c r="E275" s="27">
        <v>43539</v>
      </c>
      <c r="F275">
        <v>99.748999999999995</v>
      </c>
      <c r="G275" s="27">
        <v>43591</v>
      </c>
      <c r="H275">
        <v>101.78700000000001</v>
      </c>
      <c r="I275" s="27">
        <v>44433</v>
      </c>
      <c r="J275">
        <v>112.503</v>
      </c>
      <c r="K275" s="27">
        <v>44433</v>
      </c>
      <c r="L275">
        <v>105.358</v>
      </c>
      <c r="M275" s="27">
        <v>42201</v>
      </c>
      <c r="N275">
        <v>113.715</v>
      </c>
      <c r="O275" s="27">
        <v>41848</v>
      </c>
      <c r="P275">
        <v>105.762</v>
      </c>
      <c r="Q275" s="27">
        <v>42094</v>
      </c>
      <c r="R275">
        <v>96.322999999999993</v>
      </c>
      <c r="S275" s="27">
        <v>42473</v>
      </c>
      <c r="T275">
        <v>4.1920000000000002</v>
      </c>
    </row>
    <row r="276" spans="3:20">
      <c r="C276" s="27">
        <v>41054</v>
      </c>
      <c r="D276">
        <v>4.8704000000000001</v>
      </c>
      <c r="E276" s="27">
        <v>43542</v>
      </c>
      <c r="F276">
        <v>99.745999999999995</v>
      </c>
      <c r="G276" s="27">
        <v>43592</v>
      </c>
      <c r="H276">
        <v>102.02500000000001</v>
      </c>
      <c r="I276" s="27">
        <v>44434</v>
      </c>
      <c r="J276">
        <v>112.78700000000001</v>
      </c>
      <c r="K276" s="27">
        <v>44434</v>
      </c>
      <c r="L276">
        <v>105.535</v>
      </c>
      <c r="M276" s="27">
        <v>42202</v>
      </c>
      <c r="N276">
        <v>114.21599999999999</v>
      </c>
      <c r="O276" s="27">
        <v>41849</v>
      </c>
      <c r="P276">
        <v>105.765</v>
      </c>
      <c r="Q276" s="27">
        <v>42096</v>
      </c>
      <c r="R276">
        <v>96.350999999999999</v>
      </c>
      <c r="S276" s="27">
        <v>42480</v>
      </c>
      <c r="T276">
        <v>4.2039999999999997</v>
      </c>
    </row>
    <row r="277" spans="3:20">
      <c r="C277" s="27">
        <v>41057</v>
      </c>
      <c r="D277">
        <v>4.9038000000000004</v>
      </c>
      <c r="E277" s="27">
        <v>43543</v>
      </c>
      <c r="F277">
        <v>99.748999999999995</v>
      </c>
      <c r="G277" s="27">
        <v>43593</v>
      </c>
      <c r="H277">
        <v>102.01600000000001</v>
      </c>
      <c r="I277" s="27">
        <v>44435</v>
      </c>
      <c r="J277">
        <v>112.593</v>
      </c>
      <c r="K277" s="27">
        <v>44435</v>
      </c>
      <c r="L277">
        <v>105.349</v>
      </c>
      <c r="M277" s="27">
        <v>42205</v>
      </c>
      <c r="N277">
        <v>114.58499999999999</v>
      </c>
      <c r="O277" s="27">
        <v>41850</v>
      </c>
      <c r="P277">
        <v>105.896</v>
      </c>
      <c r="Q277" s="27">
        <v>42101</v>
      </c>
      <c r="R277">
        <v>96.373000000000005</v>
      </c>
      <c r="S277" s="27">
        <v>42481</v>
      </c>
      <c r="T277">
        <v>4.2549999999999999</v>
      </c>
    </row>
    <row r="278" spans="3:20">
      <c r="C278" s="27">
        <v>41058</v>
      </c>
      <c r="D278">
        <v>4.8666999999999998</v>
      </c>
      <c r="E278" s="27">
        <v>43544</v>
      </c>
      <c r="F278">
        <v>99.751999999999995</v>
      </c>
      <c r="G278" s="27">
        <v>43594</v>
      </c>
      <c r="H278">
        <v>102.01600000000001</v>
      </c>
      <c r="I278" s="27">
        <v>44438</v>
      </c>
      <c r="J278">
        <v>113.64100000000001</v>
      </c>
      <c r="K278" s="27">
        <v>44438</v>
      </c>
      <c r="L278">
        <v>106.12</v>
      </c>
      <c r="M278" s="27">
        <v>42206</v>
      </c>
      <c r="N278">
        <v>114.331</v>
      </c>
      <c r="O278" s="27">
        <v>41851</v>
      </c>
      <c r="P278">
        <v>105.68899999999999</v>
      </c>
      <c r="Q278" s="27">
        <v>42102</v>
      </c>
      <c r="R278">
        <v>96.385999999999996</v>
      </c>
      <c r="S278" s="27">
        <v>42482</v>
      </c>
      <c r="T278">
        <v>4.28</v>
      </c>
    </row>
    <row r="279" spans="3:20">
      <c r="C279" s="27">
        <v>41059</v>
      </c>
      <c r="D279">
        <v>4.7755000000000001</v>
      </c>
      <c r="E279" s="27">
        <v>43545</v>
      </c>
      <c r="F279">
        <v>99.754999999999995</v>
      </c>
      <c r="G279" s="27">
        <v>43595</v>
      </c>
      <c r="H279">
        <v>101.964</v>
      </c>
      <c r="I279" s="27">
        <v>44439</v>
      </c>
      <c r="J279">
        <v>112.34</v>
      </c>
      <c r="K279" s="27">
        <v>44439</v>
      </c>
      <c r="L279">
        <v>105.11499999999999</v>
      </c>
      <c r="M279" s="27">
        <v>42207</v>
      </c>
      <c r="N279">
        <v>114.518</v>
      </c>
      <c r="O279" s="27">
        <v>41852</v>
      </c>
      <c r="P279">
        <v>105.827</v>
      </c>
      <c r="Q279" s="27">
        <v>42103</v>
      </c>
      <c r="R279">
        <v>96.39</v>
      </c>
      <c r="S279" s="27">
        <v>42485</v>
      </c>
      <c r="T279">
        <v>4.2770000000000001</v>
      </c>
    </row>
    <row r="280" spans="3:20">
      <c r="C280" s="27">
        <v>41060</v>
      </c>
      <c r="D280">
        <v>4.6444000000000001</v>
      </c>
      <c r="E280" s="27">
        <v>43546</v>
      </c>
      <c r="F280">
        <v>99.756</v>
      </c>
      <c r="G280" s="27">
        <v>43598</v>
      </c>
      <c r="H280">
        <v>102.07599999999999</v>
      </c>
      <c r="I280" s="27">
        <v>44440</v>
      </c>
      <c r="J280">
        <v>112.139</v>
      </c>
      <c r="K280" s="27">
        <v>44440</v>
      </c>
      <c r="L280">
        <v>104.941</v>
      </c>
      <c r="M280" s="27">
        <v>42208</v>
      </c>
      <c r="N280">
        <v>114.752</v>
      </c>
      <c r="O280" s="27">
        <v>41855</v>
      </c>
      <c r="P280">
        <v>105.898</v>
      </c>
      <c r="Q280" s="27">
        <v>42104</v>
      </c>
      <c r="R280">
        <v>96.382999999999996</v>
      </c>
      <c r="S280" s="27">
        <v>42486</v>
      </c>
      <c r="T280">
        <v>4.2889999999999997</v>
      </c>
    </row>
    <row r="281" spans="3:20">
      <c r="C281" s="27">
        <v>41061</v>
      </c>
      <c r="D281">
        <v>4.5761000000000003</v>
      </c>
      <c r="E281" s="27">
        <v>43549</v>
      </c>
      <c r="F281">
        <v>99.756</v>
      </c>
      <c r="G281" s="27">
        <v>43599</v>
      </c>
      <c r="H281">
        <v>102.08199999999999</v>
      </c>
      <c r="I281" s="27">
        <v>44441</v>
      </c>
      <c r="J281">
        <v>112.675</v>
      </c>
      <c r="K281" s="27">
        <v>44441</v>
      </c>
      <c r="L281">
        <v>105.328</v>
      </c>
      <c r="M281" s="27">
        <v>42209</v>
      </c>
      <c r="N281">
        <v>115.249</v>
      </c>
      <c r="O281" s="27">
        <v>41856</v>
      </c>
      <c r="P281">
        <v>105.914</v>
      </c>
      <c r="Q281" s="27">
        <v>42107</v>
      </c>
      <c r="R281">
        <v>96.385000000000005</v>
      </c>
      <c r="S281" s="27">
        <v>42487</v>
      </c>
      <c r="T281">
        <v>4.1829999999999998</v>
      </c>
    </row>
    <row r="282" spans="3:20">
      <c r="C282" s="27">
        <v>41064</v>
      </c>
      <c r="D282">
        <v>4.5804</v>
      </c>
      <c r="E282" s="27">
        <v>43550</v>
      </c>
      <c r="F282">
        <v>99.757000000000005</v>
      </c>
      <c r="G282" s="27">
        <v>43600</v>
      </c>
      <c r="H282">
        <v>102.30200000000001</v>
      </c>
      <c r="I282" s="27">
        <v>44442</v>
      </c>
      <c r="J282">
        <v>111.754</v>
      </c>
      <c r="K282" s="27">
        <v>44442</v>
      </c>
      <c r="L282">
        <v>104.6</v>
      </c>
      <c r="M282" s="27">
        <v>42212</v>
      </c>
      <c r="N282">
        <v>115.685</v>
      </c>
      <c r="O282" s="27">
        <v>41857</v>
      </c>
      <c r="P282">
        <v>105.834</v>
      </c>
      <c r="Q282" s="27">
        <v>42108</v>
      </c>
      <c r="R282">
        <v>96.402000000000001</v>
      </c>
      <c r="S282" s="27">
        <v>42488</v>
      </c>
      <c r="T282">
        <v>4.056</v>
      </c>
    </row>
    <row r="283" spans="3:20">
      <c r="C283" s="27">
        <v>41065</v>
      </c>
      <c r="D283">
        <v>4.7179000000000002</v>
      </c>
      <c r="E283" s="27">
        <v>43551</v>
      </c>
      <c r="F283">
        <v>99.757999999999996</v>
      </c>
      <c r="G283" s="27">
        <v>43601</v>
      </c>
      <c r="H283">
        <v>102.3</v>
      </c>
      <c r="I283" s="27">
        <v>44445</v>
      </c>
      <c r="J283">
        <v>112.116</v>
      </c>
      <c r="K283" s="27">
        <v>44445</v>
      </c>
      <c r="L283">
        <v>104.759</v>
      </c>
      <c r="M283" s="27">
        <v>42213</v>
      </c>
      <c r="N283">
        <v>115.617</v>
      </c>
      <c r="O283" s="27">
        <v>41858</v>
      </c>
      <c r="P283">
        <v>106.14700000000001</v>
      </c>
      <c r="Q283" s="27">
        <v>42109</v>
      </c>
      <c r="R283">
        <v>96.397000000000006</v>
      </c>
      <c r="S283" s="27">
        <v>42489</v>
      </c>
      <c r="T283">
        <v>4.0970000000000004</v>
      </c>
    </row>
    <row r="284" spans="3:20">
      <c r="C284" s="27">
        <v>41066</v>
      </c>
      <c r="D284">
        <v>4.7747999999999999</v>
      </c>
      <c r="E284" s="27">
        <v>43552</v>
      </c>
      <c r="F284">
        <v>99.760999999999996</v>
      </c>
      <c r="G284" s="27">
        <v>43602</v>
      </c>
      <c r="H284">
        <v>102.381</v>
      </c>
      <c r="I284" s="27">
        <v>44446</v>
      </c>
      <c r="J284">
        <v>111.789</v>
      </c>
      <c r="K284" s="27">
        <v>44446</v>
      </c>
      <c r="L284">
        <v>104.605</v>
      </c>
      <c r="M284" s="27">
        <v>42214</v>
      </c>
      <c r="N284">
        <v>115.505</v>
      </c>
      <c r="O284" s="27">
        <v>41859</v>
      </c>
      <c r="P284">
        <v>106.3</v>
      </c>
      <c r="Q284" s="27">
        <v>42110</v>
      </c>
      <c r="R284">
        <v>96.423000000000002</v>
      </c>
      <c r="S284" s="27">
        <v>42492</v>
      </c>
      <c r="T284">
        <v>4.1109999999999998</v>
      </c>
    </row>
    <row r="285" spans="3:20">
      <c r="C285" s="27">
        <v>41067</v>
      </c>
      <c r="D285">
        <v>4.8905000000000003</v>
      </c>
      <c r="E285" s="27">
        <v>43553</v>
      </c>
      <c r="F285">
        <v>99.763000000000005</v>
      </c>
      <c r="G285" s="27">
        <v>43605</v>
      </c>
      <c r="H285">
        <v>102.255</v>
      </c>
      <c r="I285" s="27">
        <v>44447</v>
      </c>
      <c r="J285">
        <v>111.84699999999999</v>
      </c>
      <c r="K285" s="27">
        <v>44447</v>
      </c>
      <c r="L285">
        <v>104.651</v>
      </c>
      <c r="M285" s="27">
        <v>42215</v>
      </c>
      <c r="N285">
        <v>115.443</v>
      </c>
      <c r="O285" s="27">
        <v>41862</v>
      </c>
      <c r="P285">
        <v>106.06</v>
      </c>
      <c r="Q285" s="27">
        <v>42111</v>
      </c>
      <c r="R285">
        <v>96.426000000000002</v>
      </c>
      <c r="S285" s="27">
        <v>42493</v>
      </c>
      <c r="T285">
        <v>3.9619999999999997</v>
      </c>
    </row>
    <row r="286" spans="3:20">
      <c r="C286" s="27">
        <v>41068</v>
      </c>
      <c r="D286">
        <v>4.8024000000000004</v>
      </c>
      <c r="E286" s="27">
        <v>43556</v>
      </c>
      <c r="F286">
        <v>99.766000000000005</v>
      </c>
      <c r="G286" s="27">
        <v>43606</v>
      </c>
      <c r="H286">
        <v>102.086</v>
      </c>
      <c r="I286" s="27">
        <v>44448</v>
      </c>
      <c r="J286">
        <v>111.843</v>
      </c>
      <c r="K286" s="27">
        <v>44448</v>
      </c>
      <c r="L286">
        <v>104.68</v>
      </c>
      <c r="M286" s="27">
        <v>42216</v>
      </c>
      <c r="N286">
        <v>115.599</v>
      </c>
      <c r="O286" s="27">
        <v>41863</v>
      </c>
      <c r="P286">
        <v>106.107</v>
      </c>
      <c r="Q286" s="27">
        <v>42114</v>
      </c>
      <c r="R286">
        <v>96.433000000000007</v>
      </c>
      <c r="S286" s="27">
        <v>42494</v>
      </c>
      <c r="T286">
        <v>3.9379999999999997</v>
      </c>
    </row>
    <row r="287" spans="3:20">
      <c r="C287" s="27">
        <v>41071</v>
      </c>
      <c r="D287">
        <v>4.8262</v>
      </c>
      <c r="E287" s="27">
        <v>43557</v>
      </c>
      <c r="F287">
        <v>99.766999999999996</v>
      </c>
      <c r="G287" s="27">
        <v>43607</v>
      </c>
      <c r="H287">
        <v>102.161</v>
      </c>
      <c r="I287" s="27">
        <v>44449</v>
      </c>
      <c r="J287">
        <v>111.554</v>
      </c>
      <c r="K287" s="27">
        <v>44449</v>
      </c>
      <c r="L287">
        <v>104.47499999999999</v>
      </c>
      <c r="M287" s="27">
        <v>42219</v>
      </c>
      <c r="N287">
        <v>115.80200000000001</v>
      </c>
      <c r="O287" s="27">
        <v>41864</v>
      </c>
      <c r="P287">
        <v>106.09</v>
      </c>
      <c r="Q287" s="27">
        <v>42115</v>
      </c>
      <c r="R287">
        <v>96.44</v>
      </c>
      <c r="S287" s="27">
        <v>42514</v>
      </c>
      <c r="T287">
        <v>4</v>
      </c>
    </row>
    <row r="288" spans="3:20">
      <c r="C288" s="27">
        <v>41072</v>
      </c>
      <c r="D288">
        <v>4.7756999999999996</v>
      </c>
      <c r="E288" s="27">
        <v>43558</v>
      </c>
      <c r="F288">
        <v>99.765000000000001</v>
      </c>
      <c r="G288" s="27">
        <v>43608</v>
      </c>
      <c r="H288">
        <v>102.429</v>
      </c>
      <c r="I288" s="27">
        <v>44452</v>
      </c>
      <c r="J288">
        <v>111.41200000000001</v>
      </c>
      <c r="K288" s="27">
        <v>44452</v>
      </c>
      <c r="L288">
        <v>104.31</v>
      </c>
      <c r="M288" s="27">
        <v>42220</v>
      </c>
      <c r="N288">
        <v>115.913</v>
      </c>
      <c r="O288" s="27">
        <v>41865</v>
      </c>
      <c r="P288">
        <v>106.399</v>
      </c>
      <c r="Q288" s="27">
        <v>42116</v>
      </c>
      <c r="R288">
        <v>96.451999999999998</v>
      </c>
      <c r="S288" s="27">
        <v>42515</v>
      </c>
      <c r="T288">
        <v>4.0060000000000002</v>
      </c>
    </row>
    <row r="289" spans="3:20">
      <c r="C289" s="27">
        <v>41073</v>
      </c>
      <c r="D289">
        <v>4.8502000000000001</v>
      </c>
      <c r="E289" s="27">
        <v>43559</v>
      </c>
      <c r="F289">
        <v>99.768000000000001</v>
      </c>
      <c r="G289" s="27">
        <v>43609</v>
      </c>
      <c r="H289">
        <v>102.45</v>
      </c>
      <c r="I289" s="27">
        <v>44453</v>
      </c>
      <c r="J289">
        <v>112.117</v>
      </c>
      <c r="K289" s="27">
        <v>44453</v>
      </c>
      <c r="L289">
        <v>104.77200000000001</v>
      </c>
      <c r="M289" s="27">
        <v>42221</v>
      </c>
      <c r="N289">
        <v>115.53</v>
      </c>
      <c r="O289" s="27">
        <v>41866</v>
      </c>
      <c r="P289">
        <v>106.33</v>
      </c>
      <c r="Q289" s="27">
        <v>42117</v>
      </c>
      <c r="R289">
        <v>96.456000000000003</v>
      </c>
      <c r="S289" s="27">
        <v>42516</v>
      </c>
      <c r="T289">
        <v>3.992</v>
      </c>
    </row>
    <row r="290" spans="3:20">
      <c r="C290" s="27">
        <v>41074</v>
      </c>
      <c r="D290">
        <v>4.7245999999999997</v>
      </c>
      <c r="E290" s="27">
        <v>43560</v>
      </c>
      <c r="F290">
        <v>99.768000000000001</v>
      </c>
      <c r="G290" s="27">
        <v>43612</v>
      </c>
      <c r="H290">
        <v>102.761</v>
      </c>
      <c r="I290" s="27">
        <v>44454</v>
      </c>
      <c r="J290">
        <v>111.91500000000001</v>
      </c>
      <c r="K290" s="27">
        <v>44454</v>
      </c>
      <c r="L290">
        <v>104.6</v>
      </c>
      <c r="M290" s="27">
        <v>42222</v>
      </c>
      <c r="N290">
        <v>115.453</v>
      </c>
      <c r="O290" s="27">
        <v>41869</v>
      </c>
      <c r="P290">
        <v>106.381</v>
      </c>
      <c r="Q290" s="27">
        <v>42118</v>
      </c>
      <c r="R290">
        <v>96.460999999999999</v>
      </c>
      <c r="S290" s="27">
        <v>42517</v>
      </c>
      <c r="T290">
        <v>4.008</v>
      </c>
    </row>
    <row r="291" spans="3:20">
      <c r="C291" s="27">
        <v>41075</v>
      </c>
      <c r="D291">
        <v>4.7214999999999998</v>
      </c>
      <c r="E291" s="27">
        <v>43563</v>
      </c>
      <c r="F291">
        <v>99.774000000000001</v>
      </c>
      <c r="G291" s="27">
        <v>43613</v>
      </c>
      <c r="H291">
        <v>102.813</v>
      </c>
      <c r="I291" s="27">
        <v>44455</v>
      </c>
      <c r="J291">
        <v>111.08499999999999</v>
      </c>
      <c r="K291" s="27">
        <v>44455</v>
      </c>
      <c r="L291">
        <v>103.89</v>
      </c>
      <c r="M291" s="27">
        <v>42223</v>
      </c>
      <c r="N291">
        <v>115.749</v>
      </c>
      <c r="O291" s="27">
        <v>41870</v>
      </c>
      <c r="P291">
        <v>106.306</v>
      </c>
      <c r="Q291" s="27">
        <v>42121</v>
      </c>
      <c r="R291">
        <v>96.463999999999999</v>
      </c>
      <c r="S291" s="27">
        <v>42520</v>
      </c>
      <c r="T291">
        <v>4.0039999999999996</v>
      </c>
    </row>
    <row r="292" spans="3:20">
      <c r="C292" s="27">
        <v>41078</v>
      </c>
      <c r="D292">
        <v>4.7953000000000001</v>
      </c>
      <c r="E292" s="27">
        <v>43564</v>
      </c>
      <c r="F292">
        <v>99.774000000000001</v>
      </c>
      <c r="G292" s="27">
        <v>43614</v>
      </c>
      <c r="H292">
        <v>102.958</v>
      </c>
      <c r="I292" s="27">
        <v>44456</v>
      </c>
      <c r="J292">
        <v>110.762</v>
      </c>
      <c r="K292" s="27">
        <v>44456</v>
      </c>
      <c r="L292">
        <v>103.6</v>
      </c>
      <c r="M292" s="27">
        <v>42226</v>
      </c>
      <c r="N292">
        <v>115.628</v>
      </c>
      <c r="O292" s="27">
        <v>41871</v>
      </c>
      <c r="P292">
        <v>106.371</v>
      </c>
      <c r="Q292" s="27">
        <v>42122</v>
      </c>
      <c r="R292">
        <v>96.453000000000003</v>
      </c>
      <c r="S292" s="27">
        <v>42521</v>
      </c>
      <c r="T292">
        <v>4.03</v>
      </c>
    </row>
    <row r="293" spans="3:20">
      <c r="C293" s="27">
        <v>41079</v>
      </c>
      <c r="D293">
        <v>4.7011000000000003</v>
      </c>
      <c r="E293" s="27">
        <v>43565</v>
      </c>
      <c r="F293">
        <v>99.778999999999996</v>
      </c>
      <c r="G293" s="27">
        <v>43615</v>
      </c>
      <c r="H293">
        <v>102.941</v>
      </c>
      <c r="I293" s="27">
        <v>44459</v>
      </c>
      <c r="J293">
        <v>111.447</v>
      </c>
      <c r="K293" s="27">
        <v>44459</v>
      </c>
      <c r="L293">
        <v>104.24299999999999</v>
      </c>
      <c r="M293" s="27">
        <v>42227</v>
      </c>
      <c r="N293">
        <v>116.11499999999999</v>
      </c>
      <c r="O293" s="27">
        <v>41872</v>
      </c>
      <c r="P293">
        <v>106.396</v>
      </c>
      <c r="Q293" s="27">
        <v>42123</v>
      </c>
      <c r="R293">
        <v>96.474999999999994</v>
      </c>
      <c r="S293" s="27">
        <v>42522</v>
      </c>
      <c r="T293">
        <v>4.024</v>
      </c>
    </row>
    <row r="294" spans="3:20">
      <c r="C294" s="27">
        <v>41080</v>
      </c>
      <c r="D294">
        <v>4.8353000000000002</v>
      </c>
      <c r="E294" s="27">
        <v>43566</v>
      </c>
      <c r="F294">
        <v>99.78</v>
      </c>
      <c r="G294" s="27">
        <v>43616</v>
      </c>
      <c r="H294">
        <v>103.23699999999999</v>
      </c>
      <c r="I294" s="27">
        <v>44460</v>
      </c>
      <c r="J294">
        <v>111.625</v>
      </c>
      <c r="K294" s="27">
        <v>44460</v>
      </c>
      <c r="L294">
        <v>104.32899999999999</v>
      </c>
      <c r="M294" s="27">
        <v>42228</v>
      </c>
      <c r="N294">
        <v>116.843</v>
      </c>
      <c r="O294" s="27">
        <v>41873</v>
      </c>
      <c r="P294">
        <v>106.40600000000001</v>
      </c>
      <c r="Q294" s="27">
        <v>42124</v>
      </c>
      <c r="R294">
        <v>96.477000000000004</v>
      </c>
      <c r="S294" s="27">
        <v>42523</v>
      </c>
      <c r="T294">
        <v>3.992</v>
      </c>
    </row>
    <row r="295" spans="3:20">
      <c r="C295" s="27">
        <v>41081</v>
      </c>
      <c r="D295">
        <v>4.8632</v>
      </c>
      <c r="E295" s="27">
        <v>43567</v>
      </c>
      <c r="F295">
        <v>99.775999999999996</v>
      </c>
      <c r="G295" s="27">
        <v>43619</v>
      </c>
      <c r="H295">
        <v>103.25700000000001</v>
      </c>
      <c r="I295" s="27">
        <v>44461</v>
      </c>
      <c r="J295">
        <v>111.17400000000001</v>
      </c>
      <c r="K295" s="27">
        <v>44461</v>
      </c>
      <c r="L295">
        <v>104.004</v>
      </c>
      <c r="M295" s="27">
        <v>42229</v>
      </c>
      <c r="N295">
        <v>116.916</v>
      </c>
      <c r="O295" s="27">
        <v>41876</v>
      </c>
      <c r="P295">
        <v>106.593</v>
      </c>
      <c r="Q295" s="27">
        <v>42125</v>
      </c>
      <c r="R295">
        <v>96.468999999999994</v>
      </c>
      <c r="S295" s="27">
        <v>42524</v>
      </c>
      <c r="T295">
        <v>3.9619999999999997</v>
      </c>
    </row>
    <row r="296" spans="3:20">
      <c r="C296" s="27">
        <v>41082</v>
      </c>
      <c r="D296">
        <v>4.7830000000000004</v>
      </c>
      <c r="E296" s="27">
        <v>43570</v>
      </c>
      <c r="F296">
        <v>99.781000000000006</v>
      </c>
      <c r="G296" s="27">
        <v>43620</v>
      </c>
      <c r="H296">
        <v>103.34099999999999</v>
      </c>
      <c r="I296" s="27">
        <v>44462</v>
      </c>
      <c r="J296">
        <v>110.393</v>
      </c>
      <c r="K296" s="27">
        <v>44462</v>
      </c>
      <c r="L296">
        <v>103.337</v>
      </c>
      <c r="M296" s="27">
        <v>42230</v>
      </c>
      <c r="N296">
        <v>117.02</v>
      </c>
      <c r="O296" s="27">
        <v>41877</v>
      </c>
      <c r="P296">
        <v>106.626</v>
      </c>
      <c r="Q296" s="27">
        <v>42128</v>
      </c>
      <c r="R296">
        <v>96.506</v>
      </c>
      <c r="S296" s="27">
        <v>42527</v>
      </c>
      <c r="T296">
        <v>3.9119999999999999</v>
      </c>
    </row>
    <row r="297" spans="3:20">
      <c r="C297" s="27">
        <v>41085</v>
      </c>
      <c r="D297">
        <v>4.7561999999999998</v>
      </c>
      <c r="E297" s="27">
        <v>43571</v>
      </c>
      <c r="F297">
        <v>99.781000000000006</v>
      </c>
      <c r="G297" s="27">
        <v>43621</v>
      </c>
      <c r="H297">
        <v>103.57899999999999</v>
      </c>
      <c r="I297" s="27">
        <v>44463</v>
      </c>
      <c r="J297">
        <v>108.908</v>
      </c>
      <c r="K297" s="27">
        <v>44463</v>
      </c>
      <c r="L297">
        <v>102.20099999999999</v>
      </c>
      <c r="M297" s="27">
        <v>42233</v>
      </c>
      <c r="N297">
        <v>117.133</v>
      </c>
      <c r="O297" s="27">
        <v>41878</v>
      </c>
      <c r="P297">
        <v>106.669</v>
      </c>
      <c r="Q297" s="27">
        <v>42129</v>
      </c>
      <c r="R297">
        <v>96.510999999999996</v>
      </c>
      <c r="S297" s="27">
        <v>42528</v>
      </c>
      <c r="T297">
        <v>3.996</v>
      </c>
    </row>
    <row r="298" spans="3:20">
      <c r="C298" s="27">
        <v>41086</v>
      </c>
      <c r="D298">
        <v>4.7058999999999997</v>
      </c>
      <c r="E298" s="27">
        <v>43572</v>
      </c>
      <c r="F298">
        <v>99.781000000000006</v>
      </c>
      <c r="G298" s="27">
        <v>43622</v>
      </c>
      <c r="H298">
        <v>103.63200000000001</v>
      </c>
      <c r="I298" s="27">
        <v>44466</v>
      </c>
      <c r="J298">
        <v>108.655</v>
      </c>
      <c r="K298" s="27">
        <v>44466</v>
      </c>
      <c r="L298">
        <v>102.015</v>
      </c>
      <c r="M298" s="27">
        <v>42234</v>
      </c>
      <c r="N298">
        <v>117.35599999999999</v>
      </c>
      <c r="O298" s="27">
        <v>41879</v>
      </c>
      <c r="P298">
        <v>106.774</v>
      </c>
      <c r="Q298" s="27">
        <v>42130</v>
      </c>
      <c r="R298">
        <v>96.521000000000001</v>
      </c>
      <c r="S298" s="27">
        <v>42529</v>
      </c>
      <c r="T298">
        <v>3.968</v>
      </c>
    </row>
    <row r="299" spans="3:20">
      <c r="C299" s="27">
        <v>41087</v>
      </c>
      <c r="D299">
        <v>4.7275999999999998</v>
      </c>
      <c r="E299" s="27">
        <v>43573</v>
      </c>
      <c r="F299">
        <v>99.781000000000006</v>
      </c>
      <c r="G299" s="27">
        <v>43623</v>
      </c>
      <c r="H299">
        <v>103.80500000000001</v>
      </c>
      <c r="I299" s="27">
        <v>44467</v>
      </c>
      <c r="J299">
        <v>108.081</v>
      </c>
      <c r="K299" s="27">
        <v>44467</v>
      </c>
      <c r="L299">
        <v>101.59</v>
      </c>
      <c r="M299" s="27">
        <v>42235</v>
      </c>
      <c r="N299">
        <v>117.419</v>
      </c>
      <c r="O299" s="27">
        <v>41880</v>
      </c>
      <c r="P299">
        <v>106.81699999999999</v>
      </c>
      <c r="Q299" s="27">
        <v>42131</v>
      </c>
      <c r="R299">
        <v>96.537000000000006</v>
      </c>
      <c r="S299" s="27">
        <v>42530</v>
      </c>
      <c r="T299">
        <v>3.931</v>
      </c>
    </row>
    <row r="300" spans="3:20">
      <c r="C300" s="27">
        <v>41088</v>
      </c>
      <c r="D300">
        <v>4.7293000000000003</v>
      </c>
      <c r="E300" s="27">
        <v>43578</v>
      </c>
      <c r="F300">
        <v>99.802999999999997</v>
      </c>
      <c r="G300" s="27">
        <v>43626</v>
      </c>
      <c r="H300">
        <v>103.566</v>
      </c>
      <c r="I300" s="27">
        <v>44468</v>
      </c>
      <c r="J300">
        <v>107.38800000000001</v>
      </c>
      <c r="K300" s="27">
        <v>44468</v>
      </c>
      <c r="L300">
        <v>101.047</v>
      </c>
      <c r="M300" s="27">
        <v>42236</v>
      </c>
      <c r="N300">
        <v>117.804</v>
      </c>
      <c r="O300" s="27">
        <v>41883</v>
      </c>
      <c r="P300">
        <v>106.771</v>
      </c>
      <c r="Q300" s="27">
        <v>42194</v>
      </c>
      <c r="R300">
        <v>96.912999999999997</v>
      </c>
      <c r="S300" s="27">
        <v>42531</v>
      </c>
      <c r="T300">
        <v>3.944</v>
      </c>
    </row>
    <row r="301" spans="3:20">
      <c r="C301" s="27">
        <v>41089</v>
      </c>
      <c r="D301">
        <v>4.7647000000000004</v>
      </c>
      <c r="E301" s="27">
        <v>43579</v>
      </c>
      <c r="F301">
        <v>99.804000000000002</v>
      </c>
      <c r="G301" s="27">
        <v>43627</v>
      </c>
      <c r="H301">
        <v>103.645</v>
      </c>
      <c r="I301" s="27">
        <v>44469</v>
      </c>
      <c r="J301">
        <v>107.636</v>
      </c>
      <c r="K301" s="27">
        <v>44469</v>
      </c>
      <c r="L301">
        <v>101.19</v>
      </c>
      <c r="M301" s="27">
        <v>42237</v>
      </c>
      <c r="N301">
        <v>118.011</v>
      </c>
      <c r="O301" s="27">
        <v>41884</v>
      </c>
      <c r="P301">
        <v>106.765</v>
      </c>
      <c r="Q301" s="27">
        <v>42242</v>
      </c>
      <c r="R301">
        <v>97.027000000000001</v>
      </c>
      <c r="S301" s="27">
        <v>42534</v>
      </c>
      <c r="T301">
        <v>3.94</v>
      </c>
    </row>
    <row r="302" spans="3:20">
      <c r="C302" s="27">
        <v>41092</v>
      </c>
      <c r="D302">
        <v>4.7946</v>
      </c>
      <c r="E302" s="27">
        <v>43581</v>
      </c>
      <c r="F302">
        <v>99.820999999999998</v>
      </c>
      <c r="G302" s="27">
        <v>43628</v>
      </c>
      <c r="H302">
        <v>103.709</v>
      </c>
      <c r="I302" s="27">
        <v>44470</v>
      </c>
      <c r="J302">
        <v>107.822</v>
      </c>
      <c r="K302" s="27">
        <v>44470</v>
      </c>
      <c r="L302">
        <v>101.351</v>
      </c>
      <c r="M302" s="27">
        <v>42240</v>
      </c>
      <c r="N302">
        <v>118.928</v>
      </c>
      <c r="O302" s="27">
        <v>41885</v>
      </c>
      <c r="P302">
        <v>106.672</v>
      </c>
      <c r="Q302" s="27">
        <v>42296</v>
      </c>
      <c r="R302">
        <v>97.245999999999995</v>
      </c>
      <c r="S302" s="27">
        <v>42535</v>
      </c>
      <c r="T302">
        <v>3.9279999999999999</v>
      </c>
    </row>
    <row r="303" spans="3:20">
      <c r="C303" s="27">
        <v>41093</v>
      </c>
      <c r="D303">
        <v>4.8075999999999999</v>
      </c>
      <c r="E303" s="27">
        <v>43584</v>
      </c>
      <c r="F303">
        <v>99.811000000000007</v>
      </c>
      <c r="G303" s="27">
        <v>43629</v>
      </c>
      <c r="H303">
        <v>103.72</v>
      </c>
      <c r="I303" s="27">
        <v>44474</v>
      </c>
      <c r="J303">
        <v>107.473</v>
      </c>
      <c r="K303" s="27">
        <v>44474</v>
      </c>
      <c r="L303">
        <v>101.05500000000001</v>
      </c>
      <c r="M303" s="27">
        <v>42241</v>
      </c>
      <c r="N303">
        <v>117.58499999999999</v>
      </c>
      <c r="O303" s="27">
        <v>41886</v>
      </c>
      <c r="P303">
        <v>106.634</v>
      </c>
      <c r="Q303" s="27">
        <v>42304</v>
      </c>
      <c r="R303">
        <v>97.325000000000003</v>
      </c>
      <c r="S303" s="27">
        <v>42536</v>
      </c>
      <c r="T303">
        <v>3.915</v>
      </c>
    </row>
    <row r="304" spans="3:20">
      <c r="C304" s="27">
        <v>41094</v>
      </c>
      <c r="D304">
        <v>4.8521999999999998</v>
      </c>
      <c r="E304" s="27">
        <v>43585</v>
      </c>
      <c r="F304">
        <v>99.811999999999998</v>
      </c>
      <c r="G304" s="27">
        <v>43630</v>
      </c>
      <c r="H304">
        <v>103.85599999999999</v>
      </c>
      <c r="I304" s="27">
        <v>44475</v>
      </c>
      <c r="J304">
        <v>106.38</v>
      </c>
      <c r="K304" s="27">
        <v>44475</v>
      </c>
      <c r="L304">
        <v>100.203</v>
      </c>
      <c r="M304" s="27">
        <v>42242</v>
      </c>
      <c r="N304">
        <v>117.328</v>
      </c>
      <c r="O304" s="27">
        <v>41887</v>
      </c>
      <c r="P304">
        <v>106.92700000000001</v>
      </c>
      <c r="Q304" s="27">
        <v>42488</v>
      </c>
      <c r="R304">
        <v>98.132999999999996</v>
      </c>
      <c r="S304" s="27">
        <v>42537</v>
      </c>
      <c r="T304">
        <v>3.8959999999999999</v>
      </c>
    </row>
    <row r="305" spans="3:20">
      <c r="C305" s="27">
        <v>41095</v>
      </c>
      <c r="D305">
        <v>4.7411000000000003</v>
      </c>
      <c r="E305" s="27">
        <v>43586</v>
      </c>
      <c r="F305">
        <v>99.811999999999998</v>
      </c>
      <c r="G305" s="27">
        <v>43633</v>
      </c>
      <c r="H305">
        <v>103.78100000000001</v>
      </c>
      <c r="I305" s="27">
        <v>44476</v>
      </c>
      <c r="J305">
        <v>106.91800000000001</v>
      </c>
      <c r="K305" s="27">
        <v>44476</v>
      </c>
      <c r="L305">
        <v>100.604</v>
      </c>
      <c r="M305" s="27">
        <v>42243</v>
      </c>
      <c r="N305">
        <v>116.723</v>
      </c>
      <c r="O305" s="27">
        <v>41890</v>
      </c>
      <c r="P305">
        <v>106.937</v>
      </c>
      <c r="Q305" s="27">
        <v>42516</v>
      </c>
      <c r="R305">
        <v>98.265000000000001</v>
      </c>
      <c r="S305" s="27">
        <v>42538</v>
      </c>
      <c r="T305">
        <v>3.915</v>
      </c>
    </row>
    <row r="306" spans="3:20">
      <c r="C306" s="27">
        <v>41096</v>
      </c>
      <c r="D306">
        <v>4.7778</v>
      </c>
      <c r="E306" s="27">
        <v>43587</v>
      </c>
      <c r="F306">
        <v>99.817999999999998</v>
      </c>
      <c r="G306" s="27">
        <v>43634</v>
      </c>
      <c r="H306">
        <v>104.509</v>
      </c>
      <c r="I306" s="27">
        <v>44477</v>
      </c>
      <c r="J306">
        <v>106.056</v>
      </c>
      <c r="K306" s="27">
        <v>44477</v>
      </c>
      <c r="L306">
        <v>99.832999999999998</v>
      </c>
      <c r="M306" s="27">
        <v>42244</v>
      </c>
      <c r="N306">
        <v>116.75</v>
      </c>
      <c r="O306" s="27">
        <v>41891</v>
      </c>
      <c r="P306">
        <v>106.807</v>
      </c>
      <c r="Q306" s="27">
        <v>42556</v>
      </c>
      <c r="R306">
        <v>98.393000000000001</v>
      </c>
      <c r="S306" s="27">
        <v>42541</v>
      </c>
      <c r="T306">
        <v>3.9569999999999999</v>
      </c>
    </row>
    <row r="307" spans="3:20">
      <c r="C307" s="27">
        <v>41099</v>
      </c>
      <c r="D307">
        <v>4.6966000000000001</v>
      </c>
      <c r="E307" s="27">
        <v>43588</v>
      </c>
      <c r="F307">
        <v>99.817999999999998</v>
      </c>
      <c r="G307" s="27">
        <v>43635</v>
      </c>
      <c r="H307">
        <v>104.471</v>
      </c>
      <c r="I307" s="27">
        <v>44480</v>
      </c>
      <c r="J307">
        <v>105.383</v>
      </c>
      <c r="K307" s="27">
        <v>44480</v>
      </c>
      <c r="L307">
        <v>99.314999999999998</v>
      </c>
      <c r="M307" s="27">
        <v>42247</v>
      </c>
      <c r="N307">
        <v>116.852</v>
      </c>
      <c r="O307" s="27">
        <v>41892</v>
      </c>
      <c r="P307">
        <v>106.691</v>
      </c>
      <c r="Q307" s="27">
        <v>42625</v>
      </c>
      <c r="R307">
        <v>98.709000000000003</v>
      </c>
      <c r="S307" s="27">
        <v>42542</v>
      </c>
      <c r="T307">
        <v>4.0140000000000002</v>
      </c>
    </row>
    <row r="308" spans="3:20">
      <c r="C308" s="27">
        <v>41100</v>
      </c>
      <c r="D308">
        <v>4.7172999999999998</v>
      </c>
      <c r="E308" s="27">
        <v>43591</v>
      </c>
      <c r="F308">
        <v>99.819000000000003</v>
      </c>
      <c r="G308" s="27">
        <v>43636</v>
      </c>
      <c r="H308">
        <v>104.871</v>
      </c>
      <c r="I308" s="27">
        <v>44481</v>
      </c>
      <c r="J308">
        <v>105.393</v>
      </c>
      <c r="K308" s="27">
        <v>44481</v>
      </c>
      <c r="L308">
        <v>99.260999999999996</v>
      </c>
      <c r="M308" s="27">
        <v>42248</v>
      </c>
      <c r="N308">
        <v>115.621</v>
      </c>
      <c r="O308" s="27">
        <v>41893</v>
      </c>
      <c r="P308">
        <v>106.752</v>
      </c>
      <c r="Q308" s="27">
        <v>42782</v>
      </c>
      <c r="R308">
        <v>99.491</v>
      </c>
      <c r="S308" s="27">
        <v>42543</v>
      </c>
      <c r="T308">
        <v>4.0609999999999999</v>
      </c>
    </row>
    <row r="309" spans="3:20">
      <c r="C309" s="27">
        <v>41101</v>
      </c>
      <c r="D309">
        <v>4.7251000000000003</v>
      </c>
      <c r="E309" s="27">
        <v>43592</v>
      </c>
      <c r="F309">
        <v>99.82</v>
      </c>
      <c r="G309" s="27">
        <v>43637</v>
      </c>
      <c r="H309">
        <v>104.79</v>
      </c>
      <c r="I309" s="27">
        <v>44482</v>
      </c>
      <c r="J309">
        <v>106.836</v>
      </c>
      <c r="K309" s="27">
        <v>44482</v>
      </c>
      <c r="L309">
        <v>100.358</v>
      </c>
      <c r="M309" s="27">
        <v>42249</v>
      </c>
      <c r="N309">
        <v>115.30500000000001</v>
      </c>
      <c r="O309" s="27">
        <v>41894</v>
      </c>
      <c r="P309">
        <v>106.66</v>
      </c>
      <c r="Q309" s="27">
        <v>42783</v>
      </c>
      <c r="R309">
        <v>99.495999999999995</v>
      </c>
      <c r="S309" s="27">
        <v>42544</v>
      </c>
      <c r="T309">
        <v>4.1020000000000003</v>
      </c>
    </row>
    <row r="310" spans="3:20">
      <c r="C310" s="27">
        <v>41102</v>
      </c>
      <c r="D310">
        <v>4.5844000000000005</v>
      </c>
      <c r="E310" s="27">
        <v>43593</v>
      </c>
      <c r="F310">
        <v>99.801000000000002</v>
      </c>
      <c r="G310" s="27">
        <v>43640</v>
      </c>
      <c r="H310">
        <v>104.95399999999999</v>
      </c>
      <c r="I310" s="27">
        <v>44483</v>
      </c>
      <c r="J310">
        <v>106.932</v>
      </c>
      <c r="K310" s="27">
        <v>44483</v>
      </c>
      <c r="L310">
        <v>100.504</v>
      </c>
      <c r="M310" s="27">
        <v>42250</v>
      </c>
      <c r="N310">
        <v>116.027</v>
      </c>
      <c r="O310" s="27">
        <v>41897</v>
      </c>
      <c r="P310">
        <v>106.55500000000001</v>
      </c>
      <c r="Q310" s="27">
        <v>42788</v>
      </c>
      <c r="R310">
        <v>99.507999999999996</v>
      </c>
      <c r="S310" s="27">
        <v>42545</v>
      </c>
      <c r="T310">
        <v>3.95</v>
      </c>
    </row>
    <row r="311" spans="3:20">
      <c r="C311" s="27">
        <v>41103</v>
      </c>
      <c r="D311">
        <v>4.5850999999999997</v>
      </c>
      <c r="E311" s="27">
        <v>43594</v>
      </c>
      <c r="F311">
        <v>99.804000000000002</v>
      </c>
      <c r="G311" s="27">
        <v>43641</v>
      </c>
      <c r="H311">
        <v>105.148</v>
      </c>
      <c r="I311" s="27">
        <v>44484</v>
      </c>
      <c r="J311">
        <v>106.045</v>
      </c>
      <c r="K311" s="27">
        <v>44484</v>
      </c>
      <c r="L311">
        <v>99.811999999999998</v>
      </c>
      <c r="M311" s="27">
        <v>42251</v>
      </c>
      <c r="N311">
        <v>116.39</v>
      </c>
      <c r="O311" s="27">
        <v>41898</v>
      </c>
      <c r="P311">
        <v>106.735</v>
      </c>
      <c r="Q311" s="27">
        <v>42789</v>
      </c>
      <c r="R311">
        <v>99.521000000000001</v>
      </c>
      <c r="S311" s="27">
        <v>42548</v>
      </c>
      <c r="T311">
        <v>3.948</v>
      </c>
    </row>
    <row r="312" spans="3:20">
      <c r="C312" s="27">
        <v>41106</v>
      </c>
      <c r="D312">
        <v>4.5850999999999997</v>
      </c>
      <c r="E312" s="27">
        <v>43595</v>
      </c>
      <c r="F312">
        <v>99.804000000000002</v>
      </c>
      <c r="G312" s="27">
        <v>43642</v>
      </c>
      <c r="H312">
        <v>104.986</v>
      </c>
      <c r="I312" s="27">
        <v>44487</v>
      </c>
      <c r="J312">
        <v>105.057</v>
      </c>
      <c r="K312" s="27">
        <v>44487</v>
      </c>
      <c r="L312">
        <v>98.878</v>
      </c>
      <c r="M312" s="27">
        <v>42254</v>
      </c>
      <c r="N312">
        <v>116.27</v>
      </c>
      <c r="O312" s="27">
        <v>41899</v>
      </c>
      <c r="P312">
        <v>106.676</v>
      </c>
      <c r="Q312" s="27">
        <v>42790</v>
      </c>
      <c r="R312">
        <v>99.525999999999996</v>
      </c>
      <c r="S312" s="27">
        <v>42549</v>
      </c>
      <c r="T312">
        <v>3.9210000000000003</v>
      </c>
    </row>
    <row r="313" spans="3:20">
      <c r="C313" s="27">
        <v>41107</v>
      </c>
      <c r="D313">
        <v>4.5964</v>
      </c>
      <c r="E313" s="27">
        <v>43598</v>
      </c>
      <c r="F313">
        <v>99.807000000000002</v>
      </c>
      <c r="G313" s="27">
        <v>43643</v>
      </c>
      <c r="H313">
        <v>105.04</v>
      </c>
      <c r="I313" s="27">
        <v>44488</v>
      </c>
      <c r="J313">
        <v>105.48099999999999</v>
      </c>
      <c r="K313" s="27">
        <v>44488</v>
      </c>
      <c r="L313">
        <v>99.215000000000003</v>
      </c>
      <c r="M313" s="27">
        <v>42255</v>
      </c>
      <c r="N313">
        <v>116.212</v>
      </c>
      <c r="O313" s="27">
        <v>41900</v>
      </c>
      <c r="P313">
        <v>106.637</v>
      </c>
      <c r="Q313" s="27">
        <v>42793</v>
      </c>
      <c r="R313">
        <v>99.528000000000006</v>
      </c>
      <c r="S313" s="27">
        <v>42550</v>
      </c>
      <c r="T313">
        <v>3.9089999999999998</v>
      </c>
    </row>
    <row r="314" spans="3:20">
      <c r="C314" s="27">
        <v>41108</v>
      </c>
      <c r="D314">
        <v>4.6020000000000003</v>
      </c>
      <c r="E314" s="27">
        <v>43599</v>
      </c>
      <c r="F314">
        <v>99.808999999999997</v>
      </c>
      <c r="G314" s="27">
        <v>43644</v>
      </c>
      <c r="H314">
        <v>105.179</v>
      </c>
      <c r="I314" s="27">
        <v>44489</v>
      </c>
      <c r="J314">
        <v>104.758</v>
      </c>
      <c r="K314" s="27">
        <v>44489</v>
      </c>
      <c r="L314">
        <v>98.594999999999999</v>
      </c>
      <c r="M314" s="27">
        <v>42256</v>
      </c>
      <c r="N314">
        <v>115.867</v>
      </c>
      <c r="O314" s="27">
        <v>41901</v>
      </c>
      <c r="P314">
        <v>106.414</v>
      </c>
      <c r="Q314" s="27">
        <v>42794</v>
      </c>
      <c r="R314">
        <v>99.53</v>
      </c>
      <c r="S314" s="27">
        <v>42551</v>
      </c>
      <c r="T314">
        <v>3.9329999999999998</v>
      </c>
    </row>
    <row r="315" spans="3:20">
      <c r="C315" s="27">
        <v>41109</v>
      </c>
      <c r="D315">
        <v>4.5892999999999997</v>
      </c>
      <c r="E315" s="27">
        <v>43600</v>
      </c>
      <c r="F315">
        <v>99.81</v>
      </c>
      <c r="G315" s="27">
        <v>43647</v>
      </c>
      <c r="H315">
        <v>105.47799999999999</v>
      </c>
      <c r="I315" s="27">
        <v>44490</v>
      </c>
      <c r="J315">
        <v>104.489</v>
      </c>
      <c r="K315" s="27">
        <v>44490</v>
      </c>
      <c r="L315">
        <v>98.41</v>
      </c>
      <c r="M315" s="27">
        <v>42257</v>
      </c>
      <c r="N315">
        <v>116.11799999999999</v>
      </c>
      <c r="O315" s="27">
        <v>41904</v>
      </c>
      <c r="P315">
        <v>106.79600000000001</v>
      </c>
      <c r="Q315" s="27">
        <v>42795</v>
      </c>
      <c r="R315">
        <v>99.528999999999996</v>
      </c>
      <c r="S315" s="27">
        <v>42552</v>
      </c>
      <c r="T315">
        <v>3.89</v>
      </c>
    </row>
    <row r="316" spans="3:20">
      <c r="C316" s="27">
        <v>41110</v>
      </c>
      <c r="D316">
        <v>4.5666000000000002</v>
      </c>
      <c r="E316" s="27">
        <v>43601</v>
      </c>
      <c r="F316">
        <v>99.819000000000003</v>
      </c>
      <c r="G316" s="27">
        <v>43648</v>
      </c>
      <c r="H316">
        <v>105.59</v>
      </c>
      <c r="I316" s="27">
        <v>44491</v>
      </c>
      <c r="J316">
        <v>104.688</v>
      </c>
      <c r="K316" s="27">
        <v>44491</v>
      </c>
      <c r="L316">
        <v>98.44</v>
      </c>
      <c r="M316" s="27">
        <v>42258</v>
      </c>
      <c r="N316">
        <v>116.22799999999999</v>
      </c>
      <c r="O316" s="27">
        <v>41905</v>
      </c>
      <c r="P316">
        <v>106.87</v>
      </c>
      <c r="Q316" s="27">
        <v>42796</v>
      </c>
      <c r="R316">
        <v>99.542000000000002</v>
      </c>
      <c r="S316" s="27">
        <v>42555</v>
      </c>
      <c r="T316">
        <v>3.8890000000000002</v>
      </c>
    </row>
    <row r="317" spans="3:20">
      <c r="C317" s="27">
        <v>41113</v>
      </c>
      <c r="D317">
        <v>4.4545000000000003</v>
      </c>
      <c r="E317" s="27">
        <v>43602</v>
      </c>
      <c r="F317">
        <v>99.828000000000003</v>
      </c>
      <c r="G317" s="27">
        <v>43649</v>
      </c>
      <c r="H317">
        <v>105.898</v>
      </c>
      <c r="I317" s="27">
        <v>44494</v>
      </c>
      <c r="J317">
        <v>105.334</v>
      </c>
      <c r="K317" s="27">
        <v>44494</v>
      </c>
      <c r="L317">
        <v>98.893000000000001</v>
      </c>
      <c r="M317" s="27">
        <v>42261</v>
      </c>
      <c r="N317">
        <v>116.404</v>
      </c>
      <c r="O317" s="27">
        <v>41906</v>
      </c>
      <c r="P317">
        <v>106.753</v>
      </c>
      <c r="Q317" s="27">
        <v>42800</v>
      </c>
      <c r="R317">
        <v>99.55</v>
      </c>
      <c r="S317" s="27">
        <v>42556</v>
      </c>
      <c r="T317">
        <v>3.871</v>
      </c>
    </row>
    <row r="318" spans="3:20">
      <c r="C318" s="27">
        <v>41114</v>
      </c>
      <c r="D318">
        <v>4.4934000000000003</v>
      </c>
      <c r="E318" s="27">
        <v>43605</v>
      </c>
      <c r="F318">
        <v>99.828999999999994</v>
      </c>
      <c r="G318" s="27">
        <v>43650</v>
      </c>
      <c r="H318">
        <v>106.11</v>
      </c>
      <c r="I318" s="27">
        <v>44495</v>
      </c>
      <c r="J318">
        <v>104.867</v>
      </c>
      <c r="K318" s="27">
        <v>44495</v>
      </c>
      <c r="L318">
        <v>98.536000000000001</v>
      </c>
      <c r="M318" s="27">
        <v>42262</v>
      </c>
      <c r="N318">
        <v>115.946</v>
      </c>
      <c r="O318" s="27">
        <v>41907</v>
      </c>
      <c r="P318">
        <v>106.75700000000001</v>
      </c>
      <c r="Q318" s="27">
        <v>42801</v>
      </c>
      <c r="R318">
        <v>99.55</v>
      </c>
      <c r="S318" s="27">
        <v>42557</v>
      </c>
      <c r="T318">
        <v>3.8260000000000001</v>
      </c>
    </row>
    <row r="319" spans="3:20">
      <c r="C319" s="27">
        <v>41115</v>
      </c>
      <c r="D319">
        <v>4.4946999999999999</v>
      </c>
      <c r="E319" s="27">
        <v>43606</v>
      </c>
      <c r="F319">
        <v>99.831999999999994</v>
      </c>
      <c r="G319" s="27">
        <v>43651</v>
      </c>
      <c r="H319">
        <v>105.91500000000001</v>
      </c>
      <c r="I319" s="27">
        <v>44496</v>
      </c>
      <c r="J319">
        <v>103.89400000000001</v>
      </c>
      <c r="K319" s="27">
        <v>44496</v>
      </c>
      <c r="L319">
        <v>97.61</v>
      </c>
      <c r="M319" s="27">
        <v>42263</v>
      </c>
      <c r="N319">
        <v>115.45</v>
      </c>
      <c r="O319" s="27">
        <v>41908</v>
      </c>
      <c r="P319">
        <v>106.976</v>
      </c>
      <c r="Q319" s="27">
        <v>42802</v>
      </c>
      <c r="R319">
        <v>99.55</v>
      </c>
      <c r="S319" s="27">
        <v>42558</v>
      </c>
      <c r="T319">
        <v>3.835</v>
      </c>
    </row>
    <row r="320" spans="3:20">
      <c r="C320" s="27">
        <v>41116</v>
      </c>
      <c r="D320">
        <v>4.5286</v>
      </c>
      <c r="E320" s="27">
        <v>43607</v>
      </c>
      <c r="F320">
        <v>99.841999999999999</v>
      </c>
      <c r="G320" s="27">
        <v>43654</v>
      </c>
      <c r="H320">
        <v>105.837</v>
      </c>
      <c r="I320" s="27">
        <v>44497</v>
      </c>
      <c r="J320">
        <v>103.059</v>
      </c>
      <c r="K320" s="27">
        <v>44497</v>
      </c>
      <c r="L320">
        <v>97.039000000000001</v>
      </c>
      <c r="M320" s="27">
        <v>42264</v>
      </c>
      <c r="N320">
        <v>115.005</v>
      </c>
      <c r="O320" s="27">
        <v>41911</v>
      </c>
      <c r="P320">
        <v>106.929</v>
      </c>
      <c r="Q320" s="27">
        <v>42803</v>
      </c>
      <c r="R320">
        <v>99.563000000000002</v>
      </c>
      <c r="S320" s="27">
        <v>42559</v>
      </c>
      <c r="T320">
        <v>3.8420000000000001</v>
      </c>
    </row>
    <row r="321" spans="3:20">
      <c r="C321" s="27">
        <v>41117</v>
      </c>
      <c r="D321">
        <v>4.6921999999999997</v>
      </c>
      <c r="E321" s="27">
        <v>43608</v>
      </c>
      <c r="F321">
        <v>99.846999999999994</v>
      </c>
      <c r="G321" s="27">
        <v>43655</v>
      </c>
      <c r="H321">
        <v>105.672</v>
      </c>
      <c r="I321" s="27">
        <v>44498</v>
      </c>
      <c r="J321">
        <v>102.238</v>
      </c>
      <c r="K321" s="27">
        <v>44498</v>
      </c>
      <c r="L321">
        <v>96.361999999999995</v>
      </c>
      <c r="M321" s="27">
        <v>42265</v>
      </c>
      <c r="N321">
        <v>115.855</v>
      </c>
      <c r="O321" s="27">
        <v>41912</v>
      </c>
      <c r="P321">
        <v>106.947</v>
      </c>
      <c r="Q321" s="27">
        <v>42804</v>
      </c>
      <c r="R321">
        <v>99.567999999999998</v>
      </c>
      <c r="S321" s="27">
        <v>42562</v>
      </c>
      <c r="T321">
        <v>3.883</v>
      </c>
    </row>
    <row r="322" spans="3:20">
      <c r="C322" s="27">
        <v>41120</v>
      </c>
      <c r="D322">
        <v>4.7820999999999998</v>
      </c>
      <c r="E322" s="27">
        <v>43609</v>
      </c>
      <c r="F322">
        <v>99.850999999999999</v>
      </c>
      <c r="G322" s="27">
        <v>43656</v>
      </c>
      <c r="H322">
        <v>105.223</v>
      </c>
      <c r="I322" s="27">
        <v>44501</v>
      </c>
      <c r="J322">
        <v>102.568</v>
      </c>
      <c r="K322" s="27">
        <v>44501</v>
      </c>
      <c r="L322">
        <v>96.593999999999994</v>
      </c>
      <c r="M322" s="27">
        <v>42268</v>
      </c>
      <c r="N322">
        <v>115.38200000000001</v>
      </c>
      <c r="O322" s="27">
        <v>41913</v>
      </c>
      <c r="P322">
        <v>107.05500000000001</v>
      </c>
      <c r="Q322" s="27">
        <v>42807</v>
      </c>
      <c r="R322">
        <v>99.572000000000003</v>
      </c>
      <c r="S322" s="27">
        <v>42563</v>
      </c>
      <c r="T322">
        <v>3.8740000000000001</v>
      </c>
    </row>
    <row r="323" spans="3:20">
      <c r="C323" s="27">
        <v>41121</v>
      </c>
      <c r="D323">
        <v>4.7510000000000003</v>
      </c>
      <c r="E323" s="27">
        <v>43612</v>
      </c>
      <c r="F323">
        <v>99.852999999999994</v>
      </c>
      <c r="G323" s="27">
        <v>43657</v>
      </c>
      <c r="H323">
        <v>104.81100000000001</v>
      </c>
      <c r="I323" s="27">
        <v>44502</v>
      </c>
      <c r="J323">
        <v>104.56699999999999</v>
      </c>
      <c r="K323" s="27">
        <v>44502</v>
      </c>
      <c r="L323">
        <v>98.120999999999995</v>
      </c>
      <c r="M323" s="27">
        <v>42269</v>
      </c>
      <c r="N323">
        <v>115.175</v>
      </c>
      <c r="O323" s="27">
        <v>41914</v>
      </c>
      <c r="P323">
        <v>107.191</v>
      </c>
      <c r="Q323" s="27">
        <v>42808</v>
      </c>
      <c r="R323">
        <v>99.572000000000003</v>
      </c>
      <c r="S323" s="27">
        <v>42564</v>
      </c>
      <c r="T323">
        <v>3.88</v>
      </c>
    </row>
    <row r="324" spans="3:20">
      <c r="C324" s="27">
        <v>41122</v>
      </c>
      <c r="D324">
        <v>4.7644000000000002</v>
      </c>
      <c r="E324" s="27">
        <v>43613</v>
      </c>
      <c r="F324">
        <v>99.863</v>
      </c>
      <c r="G324" s="27">
        <v>43658</v>
      </c>
      <c r="H324">
        <v>104.623</v>
      </c>
      <c r="I324" s="27">
        <v>44503</v>
      </c>
      <c r="J324">
        <v>103.499</v>
      </c>
      <c r="K324" s="27">
        <v>44503</v>
      </c>
      <c r="L324">
        <v>97.346999999999994</v>
      </c>
      <c r="M324" s="27">
        <v>42270</v>
      </c>
      <c r="N324">
        <v>115.288</v>
      </c>
      <c r="O324" s="27">
        <v>41915</v>
      </c>
      <c r="P324">
        <v>106.991</v>
      </c>
      <c r="Q324" s="27">
        <v>42809</v>
      </c>
      <c r="R324">
        <v>99.572000000000003</v>
      </c>
      <c r="S324" s="27">
        <v>42565</v>
      </c>
      <c r="T324">
        <v>3.883</v>
      </c>
    </row>
    <row r="325" spans="3:20">
      <c r="C325" s="27">
        <v>41123</v>
      </c>
      <c r="D325">
        <v>4.8087</v>
      </c>
      <c r="E325" s="27">
        <v>43614</v>
      </c>
      <c r="F325">
        <v>99.864000000000004</v>
      </c>
      <c r="G325" s="27">
        <v>43661</v>
      </c>
      <c r="H325">
        <v>104.97499999999999</v>
      </c>
      <c r="I325" s="27">
        <v>44504</v>
      </c>
      <c r="J325">
        <v>104.14400000000001</v>
      </c>
      <c r="K325" s="27">
        <v>44504</v>
      </c>
      <c r="L325">
        <v>97.715000000000003</v>
      </c>
      <c r="M325" s="27">
        <v>42271</v>
      </c>
      <c r="N325">
        <v>115.59099999999999</v>
      </c>
      <c r="O325" s="27">
        <v>41918</v>
      </c>
      <c r="P325">
        <v>106.937</v>
      </c>
      <c r="Q325" s="27">
        <v>42810</v>
      </c>
      <c r="R325">
        <v>99.58</v>
      </c>
      <c r="S325" s="27">
        <v>42566</v>
      </c>
      <c r="T325">
        <v>3.891</v>
      </c>
    </row>
    <row r="326" spans="3:20">
      <c r="C326" s="27">
        <v>41124</v>
      </c>
      <c r="D326">
        <v>4.7705000000000002</v>
      </c>
      <c r="E326" s="27">
        <v>43615</v>
      </c>
      <c r="F326">
        <v>99.867999999999995</v>
      </c>
      <c r="G326" s="27">
        <v>43662</v>
      </c>
      <c r="H326">
        <v>105.066</v>
      </c>
      <c r="I326" s="27">
        <v>44505</v>
      </c>
      <c r="J326">
        <v>105.039</v>
      </c>
      <c r="K326" s="27">
        <v>44505</v>
      </c>
      <c r="L326">
        <v>98.563999999999993</v>
      </c>
      <c r="M326" s="27">
        <v>42272</v>
      </c>
      <c r="N326">
        <v>113.396</v>
      </c>
      <c r="O326" s="27">
        <v>41919</v>
      </c>
      <c r="P326">
        <v>107.01300000000001</v>
      </c>
      <c r="Q326" s="27">
        <v>42811</v>
      </c>
      <c r="R326">
        <v>99.588999999999999</v>
      </c>
      <c r="S326" s="27">
        <v>42569</v>
      </c>
      <c r="T326">
        <v>3.8959999999999999</v>
      </c>
    </row>
    <row r="327" spans="3:20">
      <c r="C327" s="27">
        <v>41127</v>
      </c>
      <c r="D327">
        <v>4.9954999999999998</v>
      </c>
      <c r="E327" s="27">
        <v>43616</v>
      </c>
      <c r="F327">
        <v>99.869</v>
      </c>
      <c r="G327" s="27">
        <v>43663</v>
      </c>
      <c r="H327">
        <v>105.492</v>
      </c>
      <c r="I327" s="27">
        <v>44508</v>
      </c>
      <c r="J327">
        <v>103.65300000000001</v>
      </c>
      <c r="K327" s="27">
        <v>44508</v>
      </c>
      <c r="L327">
        <v>97.597999999999999</v>
      </c>
      <c r="M327" s="27">
        <v>42275</v>
      </c>
      <c r="N327">
        <v>113.76</v>
      </c>
      <c r="O327" s="27">
        <v>41920</v>
      </c>
      <c r="P327">
        <v>107.02</v>
      </c>
      <c r="Q327" s="27">
        <v>42816</v>
      </c>
      <c r="R327">
        <v>99.591999999999999</v>
      </c>
      <c r="S327" s="27">
        <v>42570</v>
      </c>
      <c r="T327">
        <v>3.835</v>
      </c>
    </row>
    <row r="328" spans="3:20">
      <c r="C328" s="27">
        <v>41128</v>
      </c>
      <c r="D328">
        <v>4.9489000000000001</v>
      </c>
      <c r="E328" s="27">
        <v>43619</v>
      </c>
      <c r="F328">
        <v>99.872</v>
      </c>
      <c r="G328" s="27">
        <v>43664</v>
      </c>
      <c r="H328">
        <v>105.66800000000001</v>
      </c>
      <c r="I328" s="27">
        <v>44509</v>
      </c>
      <c r="J328">
        <v>104.41200000000001</v>
      </c>
      <c r="K328" s="27">
        <v>44509</v>
      </c>
      <c r="L328">
        <v>98.075000000000003</v>
      </c>
      <c r="M328" s="27">
        <v>42276</v>
      </c>
      <c r="N328">
        <v>113.994</v>
      </c>
      <c r="O328" s="27">
        <v>41921</v>
      </c>
      <c r="P328">
        <v>107.032</v>
      </c>
      <c r="Q328" s="27">
        <v>42817</v>
      </c>
      <c r="R328">
        <v>99.603999999999999</v>
      </c>
      <c r="S328" s="27">
        <v>42571</v>
      </c>
      <c r="T328">
        <v>3.83</v>
      </c>
    </row>
    <row r="329" spans="3:20">
      <c r="C329" s="27">
        <v>41129</v>
      </c>
      <c r="D329">
        <v>4.9347000000000003</v>
      </c>
      <c r="E329" s="27">
        <v>43620</v>
      </c>
      <c r="F329">
        <v>99.873999999999995</v>
      </c>
      <c r="G329" s="27">
        <v>43665</v>
      </c>
      <c r="H329">
        <v>105.779</v>
      </c>
      <c r="I329" s="27">
        <v>44510</v>
      </c>
      <c r="J329">
        <v>103.114</v>
      </c>
      <c r="K329" s="27">
        <v>44510</v>
      </c>
      <c r="L329">
        <v>96.995000000000005</v>
      </c>
      <c r="M329" s="27">
        <v>42277</v>
      </c>
      <c r="N329">
        <v>113.532</v>
      </c>
      <c r="O329" s="27">
        <v>41922</v>
      </c>
      <c r="P329">
        <v>107.01600000000001</v>
      </c>
      <c r="Q329" s="27">
        <v>42818</v>
      </c>
      <c r="R329">
        <v>99.632000000000005</v>
      </c>
      <c r="S329" s="27">
        <v>42572</v>
      </c>
      <c r="T329">
        <v>3.8120000000000003</v>
      </c>
    </row>
    <row r="330" spans="3:20">
      <c r="C330" s="27">
        <v>41130</v>
      </c>
      <c r="D330">
        <v>4.9691999999999998</v>
      </c>
      <c r="E330" s="27">
        <v>43621</v>
      </c>
      <c r="F330">
        <v>99.873999999999995</v>
      </c>
      <c r="G330" s="27">
        <v>43668</v>
      </c>
      <c r="H330">
        <v>105.919</v>
      </c>
      <c r="I330" s="27">
        <v>44511</v>
      </c>
      <c r="J330">
        <v>103.91800000000001</v>
      </c>
      <c r="K330" s="27">
        <v>44511</v>
      </c>
      <c r="L330">
        <v>97.581999999999994</v>
      </c>
      <c r="M330" s="27">
        <v>42278</v>
      </c>
      <c r="N330">
        <v>113.89100000000001</v>
      </c>
      <c r="O330" s="27">
        <v>41925</v>
      </c>
      <c r="P330">
        <v>107.047</v>
      </c>
      <c r="Q330" s="27">
        <v>42821</v>
      </c>
      <c r="R330">
        <v>99.634</v>
      </c>
      <c r="S330" s="27">
        <v>42573</v>
      </c>
      <c r="T330">
        <v>3.8180000000000001</v>
      </c>
    </row>
    <row r="331" spans="3:20">
      <c r="C331" s="27">
        <v>41131</v>
      </c>
      <c r="D331">
        <v>4.8931000000000004</v>
      </c>
      <c r="E331" s="27">
        <v>43622</v>
      </c>
      <c r="F331">
        <v>99.876999999999995</v>
      </c>
      <c r="G331" s="27">
        <v>43669</v>
      </c>
      <c r="H331">
        <v>106.01</v>
      </c>
      <c r="I331" s="27">
        <v>44512</v>
      </c>
      <c r="J331">
        <v>104.303</v>
      </c>
      <c r="K331" s="27">
        <v>44512</v>
      </c>
      <c r="L331">
        <v>97.820999999999998</v>
      </c>
      <c r="M331" s="27">
        <v>42279</v>
      </c>
      <c r="N331">
        <v>114.363</v>
      </c>
      <c r="O331" s="27">
        <v>41926</v>
      </c>
      <c r="P331">
        <v>106.98399999999999</v>
      </c>
      <c r="Q331" s="27">
        <v>42822</v>
      </c>
      <c r="R331">
        <v>99.634</v>
      </c>
      <c r="S331" s="27">
        <v>42576</v>
      </c>
      <c r="T331">
        <v>3.8</v>
      </c>
    </row>
    <row r="332" spans="3:20">
      <c r="C332" s="27">
        <v>41134</v>
      </c>
      <c r="D332">
        <v>4.9218999999999999</v>
      </c>
      <c r="E332" s="27">
        <v>43623</v>
      </c>
      <c r="F332">
        <v>99.876999999999995</v>
      </c>
      <c r="G332" s="27">
        <v>43670</v>
      </c>
      <c r="H332">
        <v>106.252</v>
      </c>
      <c r="I332" s="27">
        <v>44515</v>
      </c>
      <c r="J332">
        <v>103.79600000000001</v>
      </c>
      <c r="K332" s="27">
        <v>44515</v>
      </c>
      <c r="L332">
        <v>97.397999999999996</v>
      </c>
      <c r="M332" s="27">
        <v>42282</v>
      </c>
      <c r="N332">
        <v>114.815</v>
      </c>
      <c r="O332" s="27">
        <v>41927</v>
      </c>
      <c r="P332">
        <v>107.179</v>
      </c>
      <c r="Q332" s="27">
        <v>42823</v>
      </c>
      <c r="R332">
        <v>99.638000000000005</v>
      </c>
      <c r="S332" s="27">
        <v>42577</v>
      </c>
      <c r="T332">
        <v>3.819</v>
      </c>
    </row>
    <row r="333" spans="3:20">
      <c r="C333" s="27">
        <v>41135</v>
      </c>
      <c r="D333">
        <v>4.9396000000000004</v>
      </c>
      <c r="E333" s="27">
        <v>43627</v>
      </c>
      <c r="F333">
        <v>99.879000000000005</v>
      </c>
      <c r="G333" s="27">
        <v>43671</v>
      </c>
      <c r="H333">
        <v>106.19</v>
      </c>
      <c r="I333" s="27">
        <v>44516</v>
      </c>
      <c r="J333">
        <v>103.048</v>
      </c>
      <c r="K333" s="27">
        <v>44516</v>
      </c>
      <c r="L333">
        <v>96.802999999999997</v>
      </c>
      <c r="M333" s="27">
        <v>42283</v>
      </c>
      <c r="N333">
        <v>114.53700000000001</v>
      </c>
      <c r="O333" s="27">
        <v>41928</v>
      </c>
      <c r="P333">
        <v>107.438</v>
      </c>
      <c r="Q333" s="27">
        <v>42824</v>
      </c>
      <c r="R333">
        <v>99.649000000000001</v>
      </c>
      <c r="S333" s="27">
        <v>42578</v>
      </c>
      <c r="T333">
        <v>3.8519999999999999</v>
      </c>
    </row>
    <row r="334" spans="3:20">
      <c r="C334" s="27">
        <v>41136</v>
      </c>
      <c r="D334">
        <v>4.9786000000000001</v>
      </c>
      <c r="E334" s="27">
        <v>43628</v>
      </c>
      <c r="F334">
        <v>99.879000000000005</v>
      </c>
      <c r="G334" s="27">
        <v>43672</v>
      </c>
      <c r="H334">
        <v>106.39700000000001</v>
      </c>
      <c r="I334" s="27">
        <v>44517</v>
      </c>
      <c r="J334">
        <v>103.95699999999999</v>
      </c>
      <c r="K334" s="27">
        <v>44517</v>
      </c>
      <c r="L334">
        <v>97.396000000000001</v>
      </c>
      <c r="M334" s="27">
        <v>42284</v>
      </c>
      <c r="N334">
        <v>114.30800000000001</v>
      </c>
      <c r="O334" s="27">
        <v>41929</v>
      </c>
      <c r="P334">
        <v>107.10299999999999</v>
      </c>
      <c r="Q334" s="27">
        <v>42825</v>
      </c>
      <c r="R334">
        <v>99.653999999999996</v>
      </c>
      <c r="S334" s="27">
        <v>42579</v>
      </c>
      <c r="T334">
        <v>3.8340000000000001</v>
      </c>
    </row>
    <row r="335" spans="3:20">
      <c r="C335" s="27">
        <v>41137</v>
      </c>
      <c r="D335">
        <v>5.0468999999999999</v>
      </c>
      <c r="E335" s="27">
        <v>43629</v>
      </c>
      <c r="F335">
        <v>99.882000000000005</v>
      </c>
      <c r="G335" s="27">
        <v>43675</v>
      </c>
      <c r="H335">
        <v>106.49299999999999</v>
      </c>
      <c r="I335" s="27">
        <v>44518</v>
      </c>
      <c r="J335">
        <v>103.444</v>
      </c>
      <c r="K335" s="27">
        <v>44518</v>
      </c>
      <c r="L335">
        <v>97.093000000000004</v>
      </c>
      <c r="M335" s="27">
        <v>42285</v>
      </c>
      <c r="N335">
        <v>114.47799999999999</v>
      </c>
      <c r="O335" s="27">
        <v>41932</v>
      </c>
      <c r="P335">
        <v>106.93899999999999</v>
      </c>
      <c r="Q335" s="27">
        <v>42828</v>
      </c>
      <c r="R335">
        <v>99.652000000000001</v>
      </c>
      <c r="S335" s="27">
        <v>42580</v>
      </c>
      <c r="T335">
        <v>3.8</v>
      </c>
    </row>
    <row r="336" spans="3:20">
      <c r="C336" s="27">
        <v>41138</v>
      </c>
      <c r="D336">
        <v>5.0233999999999996</v>
      </c>
      <c r="E336" s="27">
        <v>43630</v>
      </c>
      <c r="F336">
        <v>99.885000000000005</v>
      </c>
      <c r="G336" s="27">
        <v>43676</v>
      </c>
      <c r="H336">
        <v>106.538</v>
      </c>
      <c r="I336" s="27">
        <v>44519</v>
      </c>
      <c r="J336">
        <v>103.654</v>
      </c>
      <c r="K336" s="27">
        <v>44519</v>
      </c>
      <c r="L336">
        <v>97.287999999999997</v>
      </c>
      <c r="M336" s="27">
        <v>42286</v>
      </c>
      <c r="N336">
        <v>113.797</v>
      </c>
      <c r="O336" s="27">
        <v>41933</v>
      </c>
      <c r="P336">
        <v>107.07299999999999</v>
      </c>
      <c r="Q336" s="27">
        <v>42829</v>
      </c>
      <c r="R336">
        <v>99.65</v>
      </c>
      <c r="S336" s="27">
        <v>42583</v>
      </c>
      <c r="T336">
        <v>3.7530000000000001</v>
      </c>
    </row>
    <row r="337" spans="3:20">
      <c r="C337" s="27">
        <v>41141</v>
      </c>
      <c r="D337">
        <v>5.0288000000000004</v>
      </c>
      <c r="E337" s="27">
        <v>43633</v>
      </c>
      <c r="F337">
        <v>99.875</v>
      </c>
      <c r="G337" s="27">
        <v>43677</v>
      </c>
      <c r="H337">
        <v>106.90600000000001</v>
      </c>
      <c r="I337" s="27">
        <v>44522</v>
      </c>
      <c r="J337">
        <v>102.307</v>
      </c>
      <c r="K337" s="27">
        <v>44522</v>
      </c>
      <c r="L337">
        <v>96.275999999999996</v>
      </c>
      <c r="M337" s="27">
        <v>42289</v>
      </c>
      <c r="N337">
        <v>112.988</v>
      </c>
      <c r="O337" s="27">
        <v>41934</v>
      </c>
      <c r="P337">
        <v>106.947</v>
      </c>
      <c r="Q337" s="27">
        <v>42830</v>
      </c>
      <c r="R337">
        <v>99.650999999999996</v>
      </c>
      <c r="S337" s="27">
        <v>42584</v>
      </c>
      <c r="T337">
        <v>3.7389999999999999</v>
      </c>
    </row>
    <row r="338" spans="3:20">
      <c r="C338" s="27">
        <v>41142</v>
      </c>
      <c r="D338">
        <v>5.0221</v>
      </c>
      <c r="E338" s="27">
        <v>43634</v>
      </c>
      <c r="F338">
        <v>99.878</v>
      </c>
      <c r="G338" s="27">
        <v>43678</v>
      </c>
      <c r="H338">
        <v>107.02800000000001</v>
      </c>
      <c r="I338" s="27">
        <v>44523</v>
      </c>
      <c r="J338">
        <v>101.842</v>
      </c>
      <c r="K338" s="27">
        <v>44523</v>
      </c>
      <c r="L338">
        <v>95.822999999999993</v>
      </c>
      <c r="M338" s="27">
        <v>42290</v>
      </c>
      <c r="N338">
        <v>113.301</v>
      </c>
      <c r="O338" s="27">
        <v>41935</v>
      </c>
      <c r="P338">
        <v>107.00700000000001</v>
      </c>
      <c r="Q338" s="27">
        <v>42832</v>
      </c>
      <c r="R338">
        <v>99.665999999999997</v>
      </c>
      <c r="S338" s="27">
        <v>42585</v>
      </c>
      <c r="T338">
        <v>3.75</v>
      </c>
    </row>
    <row r="339" spans="3:20">
      <c r="C339" s="27">
        <v>41143</v>
      </c>
      <c r="D339">
        <v>4.9382000000000001</v>
      </c>
      <c r="E339" s="27">
        <v>43635</v>
      </c>
      <c r="F339">
        <v>99.887</v>
      </c>
      <c r="G339" s="27">
        <v>43679</v>
      </c>
      <c r="H339">
        <v>107.274</v>
      </c>
      <c r="I339" s="27">
        <v>44524</v>
      </c>
      <c r="J339">
        <v>102.03</v>
      </c>
      <c r="K339" s="27">
        <v>44524</v>
      </c>
      <c r="L339">
        <v>95.948999999999998</v>
      </c>
      <c r="M339" s="27">
        <v>42291</v>
      </c>
      <c r="N339">
        <v>113.538</v>
      </c>
      <c r="O339" s="27">
        <v>41936</v>
      </c>
      <c r="P339">
        <v>106.89100000000001</v>
      </c>
      <c r="Q339" s="27">
        <v>42835</v>
      </c>
      <c r="R339">
        <v>99.677999999999997</v>
      </c>
      <c r="S339" s="27">
        <v>42586</v>
      </c>
      <c r="T339">
        <v>3.7349999999999999</v>
      </c>
    </row>
    <row r="340" spans="3:20">
      <c r="C340" s="27">
        <v>41144</v>
      </c>
      <c r="D340">
        <v>4.8685</v>
      </c>
      <c r="E340" s="27">
        <v>43636</v>
      </c>
      <c r="F340">
        <v>99.891000000000005</v>
      </c>
      <c r="G340" s="27">
        <v>43682</v>
      </c>
      <c r="H340">
        <v>107.40600000000001</v>
      </c>
      <c r="I340" s="27">
        <v>44525</v>
      </c>
      <c r="J340">
        <v>103.318</v>
      </c>
      <c r="K340" s="27">
        <v>44525</v>
      </c>
      <c r="L340">
        <v>96.826999999999998</v>
      </c>
      <c r="M340" s="27">
        <v>42292</v>
      </c>
      <c r="N340">
        <v>113.68600000000001</v>
      </c>
      <c r="O340" s="27">
        <v>41939</v>
      </c>
      <c r="P340">
        <v>106.911</v>
      </c>
      <c r="Q340" s="27">
        <v>42836</v>
      </c>
      <c r="R340">
        <v>99.68</v>
      </c>
      <c r="S340" s="27">
        <v>42587</v>
      </c>
      <c r="T340">
        <v>3.7250000000000001</v>
      </c>
    </row>
    <row r="341" spans="3:20">
      <c r="C341" s="27">
        <v>41145</v>
      </c>
      <c r="D341">
        <v>4.8476999999999997</v>
      </c>
      <c r="E341" s="27">
        <v>43637</v>
      </c>
      <c r="F341">
        <v>99.893000000000001</v>
      </c>
      <c r="G341" s="27">
        <v>43683</v>
      </c>
      <c r="H341">
        <v>107.458</v>
      </c>
      <c r="I341" s="27">
        <v>44526</v>
      </c>
      <c r="J341">
        <v>105.73099999999999</v>
      </c>
      <c r="K341" s="27">
        <v>44526</v>
      </c>
      <c r="L341">
        <v>98.677000000000007</v>
      </c>
      <c r="M341" s="27">
        <v>42293</v>
      </c>
      <c r="N341">
        <v>113.408</v>
      </c>
      <c r="O341" s="27">
        <v>41940</v>
      </c>
      <c r="P341">
        <v>107.008</v>
      </c>
      <c r="Q341" s="27">
        <v>42837</v>
      </c>
      <c r="R341">
        <v>99.694999999999993</v>
      </c>
      <c r="S341" s="27">
        <v>42590</v>
      </c>
      <c r="T341">
        <v>3.7549999999999999</v>
      </c>
    </row>
    <row r="342" spans="3:20">
      <c r="C342" s="27">
        <v>41148</v>
      </c>
      <c r="D342">
        <v>4.8216000000000001</v>
      </c>
      <c r="E342" s="27">
        <v>43640</v>
      </c>
      <c r="F342">
        <v>99.894999999999996</v>
      </c>
      <c r="G342" s="27">
        <v>43684</v>
      </c>
      <c r="H342">
        <v>107.976</v>
      </c>
      <c r="I342" s="27">
        <v>44529</v>
      </c>
      <c r="J342">
        <v>104.848</v>
      </c>
      <c r="K342" s="27">
        <v>44529</v>
      </c>
      <c r="L342">
        <v>97.980999999999995</v>
      </c>
      <c r="M342" s="27">
        <v>42296</v>
      </c>
      <c r="N342">
        <v>113.06100000000001</v>
      </c>
      <c r="O342" s="27">
        <v>41941</v>
      </c>
      <c r="P342">
        <v>106.976</v>
      </c>
      <c r="Q342" s="27">
        <v>42843</v>
      </c>
      <c r="R342">
        <v>99.706000000000003</v>
      </c>
      <c r="S342" s="27">
        <v>42591</v>
      </c>
      <c r="T342">
        <v>3.7279999999999998</v>
      </c>
    </row>
    <row r="343" spans="3:20">
      <c r="C343" s="27">
        <v>41149</v>
      </c>
      <c r="D343">
        <v>4.8037999999999998</v>
      </c>
      <c r="E343" s="27">
        <v>43641</v>
      </c>
      <c r="F343">
        <v>99.896000000000001</v>
      </c>
      <c r="G343" s="27">
        <v>43685</v>
      </c>
      <c r="H343">
        <v>107.67100000000001</v>
      </c>
      <c r="I343" s="27">
        <v>44530</v>
      </c>
      <c r="J343">
        <v>103.99</v>
      </c>
      <c r="K343" s="27">
        <v>44530</v>
      </c>
      <c r="L343">
        <v>97.373000000000005</v>
      </c>
      <c r="M343" s="27">
        <v>42297</v>
      </c>
      <c r="N343">
        <v>112.949</v>
      </c>
      <c r="O343" s="27">
        <v>41942</v>
      </c>
      <c r="P343">
        <v>106.946</v>
      </c>
      <c r="Q343" s="27">
        <v>42844</v>
      </c>
      <c r="R343">
        <v>99.703000000000003</v>
      </c>
      <c r="S343" s="27">
        <v>42592</v>
      </c>
      <c r="T343">
        <v>3.7119999999999997</v>
      </c>
    </row>
    <row r="344" spans="3:20">
      <c r="C344" s="27">
        <v>41150</v>
      </c>
      <c r="D344">
        <v>4.7855999999999996</v>
      </c>
      <c r="E344" s="27">
        <v>43642</v>
      </c>
      <c r="F344">
        <v>99.894999999999996</v>
      </c>
      <c r="G344" s="27">
        <v>43686</v>
      </c>
      <c r="H344">
        <v>107.825</v>
      </c>
      <c r="I344" s="27">
        <v>44531</v>
      </c>
      <c r="J344">
        <v>104.70399999999999</v>
      </c>
      <c r="K344" s="27">
        <v>44531</v>
      </c>
      <c r="L344">
        <v>97.849000000000004</v>
      </c>
      <c r="M344" s="27">
        <v>42298</v>
      </c>
      <c r="N344">
        <v>113.045</v>
      </c>
      <c r="O344" s="27">
        <v>41943</v>
      </c>
      <c r="P344">
        <v>107.158</v>
      </c>
      <c r="Q344" s="27">
        <v>42846</v>
      </c>
      <c r="R344">
        <v>99.724999999999994</v>
      </c>
      <c r="S344" s="27">
        <v>42593</v>
      </c>
      <c r="T344">
        <v>3.6850000000000001</v>
      </c>
    </row>
    <row r="345" spans="3:20">
      <c r="C345" s="27">
        <v>41151</v>
      </c>
      <c r="D345">
        <v>4.6957000000000004</v>
      </c>
      <c r="E345" s="27">
        <v>43643</v>
      </c>
      <c r="F345">
        <v>99.894999999999996</v>
      </c>
      <c r="G345" s="27">
        <v>43689</v>
      </c>
      <c r="H345">
        <v>107.929</v>
      </c>
      <c r="I345" s="27">
        <v>44532</v>
      </c>
      <c r="J345">
        <v>103.812</v>
      </c>
      <c r="K345" s="27">
        <v>44532</v>
      </c>
      <c r="L345">
        <v>97.075000000000003</v>
      </c>
      <c r="M345" s="27">
        <v>42299</v>
      </c>
      <c r="N345">
        <v>113.471</v>
      </c>
      <c r="O345" s="27">
        <v>41946</v>
      </c>
      <c r="P345">
        <v>107.26900000000001</v>
      </c>
      <c r="Q345" s="27">
        <v>42849</v>
      </c>
      <c r="R345">
        <v>99.727000000000004</v>
      </c>
      <c r="S345" s="27">
        <v>42594</v>
      </c>
      <c r="T345">
        <v>3.7039999999999997</v>
      </c>
    </row>
    <row r="346" spans="3:20">
      <c r="C346" s="27">
        <v>41152</v>
      </c>
      <c r="D346">
        <v>4.6413000000000002</v>
      </c>
      <c r="E346" s="27">
        <v>43644</v>
      </c>
      <c r="F346">
        <v>99.894999999999996</v>
      </c>
      <c r="G346" s="27">
        <v>43690</v>
      </c>
      <c r="H346">
        <v>108.16</v>
      </c>
      <c r="I346" s="27">
        <v>44533</v>
      </c>
      <c r="J346">
        <v>105.879</v>
      </c>
      <c r="K346" s="27">
        <v>44533</v>
      </c>
      <c r="L346">
        <v>98.606999999999999</v>
      </c>
      <c r="M346" s="27">
        <v>42300</v>
      </c>
      <c r="N346">
        <v>113.28700000000001</v>
      </c>
      <c r="O346" s="27">
        <v>41947</v>
      </c>
      <c r="P346">
        <v>107.23699999999999</v>
      </c>
      <c r="Q346" s="27">
        <v>42851</v>
      </c>
      <c r="R346">
        <v>99.725999999999999</v>
      </c>
      <c r="S346" s="27">
        <v>42597</v>
      </c>
      <c r="T346">
        <v>3.68</v>
      </c>
    </row>
    <row r="347" spans="3:20">
      <c r="C347" s="27">
        <v>41155</v>
      </c>
      <c r="D347">
        <v>4.5980999999999996</v>
      </c>
      <c r="E347" s="27">
        <v>43647</v>
      </c>
      <c r="F347">
        <v>99.894999999999996</v>
      </c>
      <c r="G347" s="27">
        <v>43691</v>
      </c>
      <c r="H347">
        <v>108.667</v>
      </c>
      <c r="I347" s="27">
        <v>44536</v>
      </c>
      <c r="J347">
        <v>106.18600000000001</v>
      </c>
      <c r="K347" s="27">
        <v>44536</v>
      </c>
      <c r="L347">
        <v>98.840999999999994</v>
      </c>
      <c r="M347" s="27">
        <v>42303</v>
      </c>
      <c r="N347">
        <v>113.273</v>
      </c>
      <c r="O347" s="27">
        <v>41948</v>
      </c>
      <c r="P347">
        <v>107.38500000000001</v>
      </c>
      <c r="Q347" s="27">
        <v>42853</v>
      </c>
      <c r="R347">
        <v>99.762</v>
      </c>
      <c r="S347" s="27">
        <v>42598</v>
      </c>
      <c r="T347">
        <v>3.6669999999999998</v>
      </c>
    </row>
    <row r="348" spans="3:20">
      <c r="C348" s="27">
        <v>41156</v>
      </c>
      <c r="D348">
        <v>4.5980999999999996</v>
      </c>
      <c r="E348" s="27">
        <v>43648</v>
      </c>
      <c r="F348">
        <v>99.896000000000001</v>
      </c>
      <c r="G348" s="27">
        <v>43692</v>
      </c>
      <c r="H348">
        <v>109.179</v>
      </c>
      <c r="I348" s="27">
        <v>44537</v>
      </c>
      <c r="J348">
        <v>105.264</v>
      </c>
      <c r="K348" s="27">
        <v>44537</v>
      </c>
      <c r="L348">
        <v>98.165000000000006</v>
      </c>
      <c r="M348" s="27">
        <v>42304</v>
      </c>
      <c r="N348">
        <v>113.84099999999999</v>
      </c>
      <c r="O348" s="27">
        <v>41949</v>
      </c>
      <c r="P348">
        <v>107.389</v>
      </c>
      <c r="Q348" s="27">
        <v>42856</v>
      </c>
      <c r="R348">
        <v>99.763999999999996</v>
      </c>
      <c r="S348" s="27">
        <v>42599</v>
      </c>
      <c r="T348">
        <v>3.67</v>
      </c>
    </row>
    <row r="349" spans="3:20">
      <c r="C349" s="27">
        <v>41157</v>
      </c>
      <c r="D349">
        <v>4.5647000000000002</v>
      </c>
      <c r="E349" s="27">
        <v>43649</v>
      </c>
      <c r="F349">
        <v>99.9</v>
      </c>
      <c r="G349" s="27">
        <v>43693</v>
      </c>
      <c r="H349">
        <v>109.09399999999999</v>
      </c>
      <c r="I349" s="27">
        <v>44538</v>
      </c>
      <c r="J349">
        <v>105.059</v>
      </c>
      <c r="K349" s="27">
        <v>44538</v>
      </c>
      <c r="L349">
        <v>98.045000000000002</v>
      </c>
      <c r="M349" s="27">
        <v>42305</v>
      </c>
      <c r="N349">
        <v>114.255</v>
      </c>
      <c r="O349" s="27">
        <v>41950</v>
      </c>
      <c r="P349">
        <v>107.38800000000001</v>
      </c>
      <c r="Q349" s="27">
        <v>42857</v>
      </c>
      <c r="R349">
        <v>99.763000000000005</v>
      </c>
      <c r="S349" s="27">
        <v>42600</v>
      </c>
      <c r="T349">
        <v>3.681</v>
      </c>
    </row>
    <row r="350" spans="3:20">
      <c r="C350" s="27">
        <v>41158</v>
      </c>
      <c r="D350">
        <v>4.6315</v>
      </c>
      <c r="E350" s="27">
        <v>43650</v>
      </c>
      <c r="F350">
        <v>99.954999999999998</v>
      </c>
      <c r="G350" s="27">
        <v>43696</v>
      </c>
      <c r="H350">
        <v>108.51600000000001</v>
      </c>
      <c r="I350" s="27">
        <v>44539</v>
      </c>
      <c r="J350">
        <v>106.004</v>
      </c>
      <c r="K350" s="27">
        <v>44539</v>
      </c>
      <c r="L350">
        <v>98.811999999999998</v>
      </c>
      <c r="M350" s="27">
        <v>42306</v>
      </c>
      <c r="N350">
        <v>114.83799999999999</v>
      </c>
      <c r="O350" s="27">
        <v>41953</v>
      </c>
      <c r="P350">
        <v>107.459</v>
      </c>
      <c r="Q350" s="27">
        <v>42858</v>
      </c>
      <c r="R350">
        <v>99.763999999999996</v>
      </c>
      <c r="S350" s="27">
        <v>42601</v>
      </c>
      <c r="T350">
        <v>3.645</v>
      </c>
    </row>
    <row r="351" spans="3:20">
      <c r="C351" s="27">
        <v>41159</v>
      </c>
      <c r="D351">
        <v>4.7068000000000003</v>
      </c>
      <c r="E351" s="27">
        <v>43651</v>
      </c>
      <c r="F351">
        <v>99.956999999999994</v>
      </c>
      <c r="G351" s="27">
        <v>43697</v>
      </c>
      <c r="H351">
        <v>108.914</v>
      </c>
      <c r="I351" s="27">
        <v>44540</v>
      </c>
      <c r="J351">
        <v>106.405</v>
      </c>
      <c r="K351" s="27">
        <v>44540</v>
      </c>
      <c r="L351">
        <v>99.207999999999998</v>
      </c>
      <c r="M351" s="27">
        <v>42307</v>
      </c>
      <c r="N351">
        <v>115.09399999999999</v>
      </c>
      <c r="O351" s="27">
        <v>41954</v>
      </c>
      <c r="P351">
        <v>107.37</v>
      </c>
      <c r="Q351" s="27">
        <v>42859</v>
      </c>
      <c r="R351">
        <v>99.774000000000001</v>
      </c>
      <c r="S351" s="27">
        <v>42604</v>
      </c>
      <c r="T351">
        <v>3.6859999999999999</v>
      </c>
    </row>
    <row r="352" spans="3:20">
      <c r="C352" s="27">
        <v>41162</v>
      </c>
      <c r="D352">
        <v>4.6265999999999998</v>
      </c>
      <c r="E352" s="27">
        <v>43654</v>
      </c>
      <c r="F352">
        <v>99.903000000000006</v>
      </c>
      <c r="G352" s="27">
        <v>43698</v>
      </c>
      <c r="H352">
        <v>108.688</v>
      </c>
      <c r="I352" s="27">
        <v>44543</v>
      </c>
      <c r="J352">
        <v>107.705</v>
      </c>
      <c r="K352" s="27">
        <v>44543</v>
      </c>
      <c r="L352">
        <v>100.18899999999999</v>
      </c>
      <c r="M352" s="27">
        <v>42310</v>
      </c>
      <c r="N352">
        <v>112.977</v>
      </c>
      <c r="O352" s="27">
        <v>41955</v>
      </c>
      <c r="P352">
        <v>107.453</v>
      </c>
      <c r="Q352" s="27">
        <v>42860</v>
      </c>
      <c r="R352">
        <v>99.778999999999996</v>
      </c>
      <c r="S352" s="27">
        <v>42605</v>
      </c>
      <c r="T352">
        <v>3.6710000000000003</v>
      </c>
    </row>
    <row r="353" spans="3:20">
      <c r="C353" s="27">
        <v>41163</v>
      </c>
      <c r="D353">
        <v>4.6272000000000002</v>
      </c>
      <c r="E353" s="27">
        <v>43655</v>
      </c>
      <c r="F353">
        <v>99.903999999999996</v>
      </c>
      <c r="G353" s="27">
        <v>43699</v>
      </c>
      <c r="H353">
        <v>108.371</v>
      </c>
      <c r="I353" s="27">
        <v>44544</v>
      </c>
      <c r="J353">
        <v>106.605</v>
      </c>
      <c r="K353" s="27">
        <v>44544</v>
      </c>
      <c r="L353">
        <v>99.334000000000003</v>
      </c>
      <c r="M353" s="27">
        <v>42311</v>
      </c>
      <c r="N353">
        <v>114.953</v>
      </c>
      <c r="O353" s="27">
        <v>41956</v>
      </c>
      <c r="P353">
        <v>107.512</v>
      </c>
      <c r="Q353" s="27">
        <v>42863</v>
      </c>
      <c r="R353">
        <v>99.781999999999996</v>
      </c>
      <c r="S353" s="27">
        <v>42606</v>
      </c>
      <c r="T353">
        <v>3.718</v>
      </c>
    </row>
    <row r="354" spans="3:20">
      <c r="C354" s="27">
        <v>41164</v>
      </c>
      <c r="D354">
        <v>4.7214</v>
      </c>
      <c r="E354" s="27">
        <v>43656</v>
      </c>
      <c r="F354">
        <v>99.957999999999998</v>
      </c>
      <c r="G354" s="27">
        <v>43700</v>
      </c>
      <c r="H354">
        <v>108.616</v>
      </c>
      <c r="I354" s="27">
        <v>44545</v>
      </c>
      <c r="J354">
        <v>107.742</v>
      </c>
      <c r="K354" s="27">
        <v>44545</v>
      </c>
      <c r="L354">
        <v>100.105</v>
      </c>
      <c r="M354" s="27">
        <v>42312</v>
      </c>
      <c r="N354">
        <v>115.473</v>
      </c>
      <c r="O354" s="27">
        <v>41957</v>
      </c>
      <c r="P354">
        <v>107.578</v>
      </c>
      <c r="Q354" s="27">
        <v>42864</v>
      </c>
      <c r="R354">
        <v>99.781000000000006</v>
      </c>
      <c r="S354" s="27">
        <v>42607</v>
      </c>
      <c r="T354">
        <v>3.6640000000000001</v>
      </c>
    </row>
    <row r="355" spans="3:20">
      <c r="C355" s="27">
        <v>41165</v>
      </c>
      <c r="D355">
        <v>4.6993</v>
      </c>
      <c r="E355" s="27">
        <v>43657</v>
      </c>
      <c r="F355">
        <v>99.960999999999999</v>
      </c>
      <c r="G355" s="27">
        <v>43703</v>
      </c>
      <c r="H355">
        <v>108.568</v>
      </c>
      <c r="I355" s="27">
        <v>44546</v>
      </c>
      <c r="J355">
        <v>106.86499999999999</v>
      </c>
      <c r="K355" s="27">
        <v>44546</v>
      </c>
      <c r="L355">
        <v>99.391000000000005</v>
      </c>
      <c r="M355" s="27">
        <v>42313</v>
      </c>
      <c r="N355">
        <v>115.31699999999999</v>
      </c>
      <c r="O355" s="27">
        <v>41960</v>
      </c>
      <c r="P355">
        <v>107.584</v>
      </c>
      <c r="Q355" s="27">
        <v>42865</v>
      </c>
      <c r="R355">
        <v>99.781000000000006</v>
      </c>
      <c r="S355" s="27">
        <v>42608</v>
      </c>
      <c r="T355">
        <v>3.657</v>
      </c>
    </row>
    <row r="356" spans="3:20">
      <c r="C356" s="27">
        <v>41166</v>
      </c>
      <c r="D356">
        <v>4.7366999999999999</v>
      </c>
      <c r="E356" s="27">
        <v>43658</v>
      </c>
      <c r="F356">
        <v>99.91</v>
      </c>
      <c r="G356" s="27">
        <v>43704</v>
      </c>
      <c r="H356">
        <v>108.84699999999999</v>
      </c>
      <c r="I356" s="27">
        <v>44547</v>
      </c>
      <c r="J356">
        <v>106.52</v>
      </c>
      <c r="K356" s="27">
        <v>44547</v>
      </c>
      <c r="L356">
        <v>99.221999999999994</v>
      </c>
      <c r="M356" s="27">
        <v>42314</v>
      </c>
      <c r="N356">
        <v>113.29600000000001</v>
      </c>
      <c r="O356" s="27">
        <v>41961</v>
      </c>
      <c r="P356">
        <v>107.468</v>
      </c>
      <c r="Q356" s="27">
        <v>42866</v>
      </c>
      <c r="R356">
        <v>99.792000000000002</v>
      </c>
      <c r="S356" s="27">
        <v>42611</v>
      </c>
      <c r="T356">
        <v>3.677</v>
      </c>
    </row>
    <row r="357" spans="3:20">
      <c r="C357" s="27">
        <v>41169</v>
      </c>
      <c r="D357">
        <v>4.7503000000000002</v>
      </c>
      <c r="E357" s="27">
        <v>43661</v>
      </c>
      <c r="F357">
        <v>99.909000000000006</v>
      </c>
      <c r="G357" s="27">
        <v>43705</v>
      </c>
      <c r="H357">
        <v>109.164</v>
      </c>
      <c r="I357" s="27">
        <v>44550</v>
      </c>
      <c r="J357">
        <v>106.604</v>
      </c>
      <c r="K357" s="27">
        <v>44550</v>
      </c>
      <c r="L357">
        <v>99.254999999999995</v>
      </c>
      <c r="M357" s="27">
        <v>42317</v>
      </c>
      <c r="N357">
        <v>112.337</v>
      </c>
      <c r="O357" s="27">
        <v>41962</v>
      </c>
      <c r="P357">
        <v>107.429</v>
      </c>
      <c r="Q357" s="27">
        <v>42867</v>
      </c>
      <c r="R357">
        <v>99.798000000000002</v>
      </c>
      <c r="S357" s="27">
        <v>42612</v>
      </c>
      <c r="T357">
        <v>3.6720000000000002</v>
      </c>
    </row>
    <row r="358" spans="3:20">
      <c r="C358" s="27">
        <v>41170</v>
      </c>
      <c r="D358">
        <v>4.6166999999999998</v>
      </c>
      <c r="E358" s="27">
        <v>43662</v>
      </c>
      <c r="F358">
        <v>99.909000000000006</v>
      </c>
      <c r="G358" s="27">
        <v>43706</v>
      </c>
      <c r="H358">
        <v>108.845</v>
      </c>
      <c r="I358" s="27">
        <v>44551</v>
      </c>
      <c r="J358">
        <v>105.086</v>
      </c>
      <c r="K358" s="27">
        <v>44551</v>
      </c>
      <c r="L358">
        <v>98.135000000000005</v>
      </c>
      <c r="M358" s="27">
        <v>42318</v>
      </c>
      <c r="N358">
        <v>112.166</v>
      </c>
      <c r="O358" s="27">
        <v>41963</v>
      </c>
      <c r="P358">
        <v>107.158</v>
      </c>
      <c r="Q358" s="27">
        <v>42870</v>
      </c>
      <c r="R358">
        <v>99.802000000000007</v>
      </c>
      <c r="S358" s="27">
        <v>42613</v>
      </c>
      <c r="T358">
        <v>3.621</v>
      </c>
    </row>
    <row r="359" spans="3:20">
      <c r="C359" s="27">
        <v>41171</v>
      </c>
      <c r="D359">
        <v>4.6231999999999998</v>
      </c>
      <c r="E359" s="27">
        <v>43663</v>
      </c>
      <c r="F359">
        <v>99.908000000000001</v>
      </c>
      <c r="G359" s="27">
        <v>43707</v>
      </c>
      <c r="H359">
        <v>108.92</v>
      </c>
      <c r="I359" s="27">
        <v>44552</v>
      </c>
      <c r="J359">
        <v>105.545</v>
      </c>
      <c r="K359" s="27">
        <v>44552</v>
      </c>
      <c r="L359">
        <v>98.494</v>
      </c>
      <c r="M359" s="27">
        <v>42319</v>
      </c>
      <c r="N359">
        <v>113.357</v>
      </c>
      <c r="O359" s="27">
        <v>41964</v>
      </c>
      <c r="P359">
        <v>107.349</v>
      </c>
      <c r="Q359" s="27">
        <v>42871</v>
      </c>
      <c r="R359">
        <v>99.805999999999997</v>
      </c>
      <c r="S359" s="27">
        <v>42614</v>
      </c>
      <c r="T359">
        <v>3.63</v>
      </c>
    </row>
    <row r="360" spans="3:20">
      <c r="C360" s="27">
        <v>41172</v>
      </c>
      <c r="D360">
        <v>4.4874999999999998</v>
      </c>
      <c r="E360" s="27">
        <v>43664</v>
      </c>
      <c r="F360">
        <v>99.909000000000006</v>
      </c>
      <c r="G360" s="27">
        <v>43710</v>
      </c>
      <c r="H360">
        <v>108.836</v>
      </c>
      <c r="I360" s="27">
        <v>44553</v>
      </c>
      <c r="J360">
        <v>105.678</v>
      </c>
      <c r="K360" s="27">
        <v>44553</v>
      </c>
      <c r="L360">
        <v>98.576999999999998</v>
      </c>
      <c r="M360" s="27">
        <v>42320</v>
      </c>
      <c r="N360">
        <v>113.904</v>
      </c>
      <c r="O360" s="27">
        <v>41967</v>
      </c>
      <c r="P360">
        <v>107.462</v>
      </c>
      <c r="Q360" s="27">
        <v>42872</v>
      </c>
      <c r="R360">
        <v>99.808999999999997</v>
      </c>
      <c r="S360" s="27">
        <v>42615</v>
      </c>
      <c r="T360">
        <v>3.661</v>
      </c>
    </row>
    <row r="361" spans="3:20">
      <c r="C361" s="27">
        <v>41173</v>
      </c>
      <c r="D361">
        <v>4.5571999999999999</v>
      </c>
      <c r="E361" s="27">
        <v>43665</v>
      </c>
      <c r="F361">
        <v>99.91</v>
      </c>
      <c r="G361" s="27">
        <v>43711</v>
      </c>
      <c r="H361">
        <v>108.91</v>
      </c>
      <c r="I361" s="27">
        <v>44554</v>
      </c>
      <c r="J361">
        <v>106.178</v>
      </c>
      <c r="K361" s="27">
        <v>44554</v>
      </c>
      <c r="L361">
        <v>99.031000000000006</v>
      </c>
      <c r="M361" s="27">
        <v>42321</v>
      </c>
      <c r="N361">
        <v>114.351</v>
      </c>
      <c r="O361" s="27">
        <v>41968</v>
      </c>
      <c r="P361">
        <v>107.444</v>
      </c>
      <c r="Q361" s="27">
        <v>42873</v>
      </c>
      <c r="R361">
        <v>99.820999999999998</v>
      </c>
      <c r="S361" s="27">
        <v>42618</v>
      </c>
      <c r="T361">
        <v>3.6640000000000001</v>
      </c>
    </row>
    <row r="362" spans="3:20">
      <c r="C362" s="27">
        <v>41176</v>
      </c>
      <c r="D362">
        <v>4.4833999999999996</v>
      </c>
      <c r="E362" s="27">
        <v>43668</v>
      </c>
      <c r="F362">
        <v>99.909000000000006</v>
      </c>
      <c r="G362" s="27">
        <v>43712</v>
      </c>
      <c r="H362">
        <v>108.54300000000001</v>
      </c>
      <c r="I362" s="27">
        <v>44559</v>
      </c>
      <c r="J362">
        <v>102.834</v>
      </c>
      <c r="K362" s="27">
        <v>44559</v>
      </c>
      <c r="L362">
        <v>96.191000000000003</v>
      </c>
      <c r="M362" s="27">
        <v>42324</v>
      </c>
      <c r="N362">
        <v>114.791</v>
      </c>
      <c r="O362" s="27">
        <v>41969</v>
      </c>
      <c r="P362">
        <v>107.524</v>
      </c>
      <c r="Q362" s="27">
        <v>42874</v>
      </c>
      <c r="R362">
        <v>99.825999999999993</v>
      </c>
      <c r="S362" s="27">
        <v>42619</v>
      </c>
      <c r="T362">
        <v>3.6440000000000001</v>
      </c>
    </row>
    <row r="363" spans="3:20">
      <c r="C363" s="27">
        <v>41177</v>
      </c>
      <c r="D363">
        <v>4.4748999999999999</v>
      </c>
      <c r="E363" s="27">
        <v>43669</v>
      </c>
      <c r="F363">
        <v>99.909000000000006</v>
      </c>
      <c r="G363" s="27">
        <v>43713</v>
      </c>
      <c r="H363">
        <v>107.55500000000001</v>
      </c>
      <c r="I363" s="27">
        <v>44560</v>
      </c>
      <c r="J363">
        <v>103.072</v>
      </c>
      <c r="K363" s="27">
        <v>44560</v>
      </c>
      <c r="L363">
        <v>96.399000000000001</v>
      </c>
      <c r="M363" s="27">
        <v>42325</v>
      </c>
      <c r="N363">
        <v>114.747</v>
      </c>
      <c r="O363" s="27">
        <v>41970</v>
      </c>
      <c r="P363">
        <v>107.55500000000001</v>
      </c>
      <c r="Q363" s="27">
        <v>42877</v>
      </c>
      <c r="R363">
        <v>99.828999999999994</v>
      </c>
      <c r="S363" s="27">
        <v>42620</v>
      </c>
      <c r="T363">
        <v>3.6429999999999998</v>
      </c>
    </row>
    <row r="364" spans="3:20">
      <c r="C364" s="27">
        <v>41178</v>
      </c>
      <c r="D364">
        <v>4.3704999999999998</v>
      </c>
      <c r="E364" s="27">
        <v>43670</v>
      </c>
      <c r="F364">
        <v>99.909000000000006</v>
      </c>
      <c r="G364" s="27">
        <v>43714</v>
      </c>
      <c r="H364">
        <v>108.083</v>
      </c>
      <c r="I364" s="27">
        <v>44561</v>
      </c>
      <c r="J364">
        <v>102.52800000000001</v>
      </c>
      <c r="K364" s="27">
        <v>44561</v>
      </c>
      <c r="L364">
        <v>96.084999999999994</v>
      </c>
      <c r="M364" s="27">
        <v>42326</v>
      </c>
      <c r="N364">
        <v>114.883</v>
      </c>
      <c r="O364" s="27">
        <v>41971</v>
      </c>
      <c r="P364">
        <v>107.59</v>
      </c>
      <c r="Q364" s="27">
        <v>42878</v>
      </c>
      <c r="R364">
        <v>99.834000000000003</v>
      </c>
      <c r="S364" s="27">
        <v>42621</v>
      </c>
      <c r="T364">
        <v>3.669</v>
      </c>
    </row>
    <row r="365" spans="3:20">
      <c r="C365" s="27">
        <v>41179</v>
      </c>
      <c r="D365">
        <v>4.3536999999999999</v>
      </c>
      <c r="E365" s="27">
        <v>43671</v>
      </c>
      <c r="F365">
        <v>99.911000000000001</v>
      </c>
      <c r="G365" s="27">
        <v>43717</v>
      </c>
      <c r="H365">
        <v>107.44799999999999</v>
      </c>
      <c r="I365" s="27">
        <v>44565</v>
      </c>
      <c r="J365">
        <v>100.72499999999999</v>
      </c>
      <c r="K365" s="27">
        <v>44565</v>
      </c>
      <c r="L365">
        <v>94.712000000000003</v>
      </c>
      <c r="M365" s="27">
        <v>42327</v>
      </c>
      <c r="N365">
        <v>115.32</v>
      </c>
      <c r="O365" s="27">
        <v>41974</v>
      </c>
      <c r="P365">
        <v>107.54600000000001</v>
      </c>
      <c r="Q365" s="27">
        <v>42879</v>
      </c>
      <c r="R365">
        <v>99.837000000000003</v>
      </c>
      <c r="S365" s="27">
        <v>42622</v>
      </c>
      <c r="T365">
        <v>3.69</v>
      </c>
    </row>
    <row r="366" spans="3:20">
      <c r="C366" s="27">
        <v>41180</v>
      </c>
      <c r="D366">
        <v>4.3304999999999998</v>
      </c>
      <c r="E366" s="27">
        <v>43672</v>
      </c>
      <c r="F366">
        <v>99.915999999999997</v>
      </c>
      <c r="G366" s="27">
        <v>43718</v>
      </c>
      <c r="H366">
        <v>107.16500000000001</v>
      </c>
      <c r="I366" s="27">
        <v>44566</v>
      </c>
      <c r="J366">
        <v>100.29900000000001</v>
      </c>
      <c r="K366" s="27">
        <v>44566</v>
      </c>
      <c r="L366">
        <v>94.29</v>
      </c>
      <c r="M366" s="27">
        <v>42328</v>
      </c>
      <c r="N366">
        <v>115.437</v>
      </c>
      <c r="O366" s="27">
        <v>41975</v>
      </c>
      <c r="P366">
        <v>107.33799999999999</v>
      </c>
      <c r="Q366" s="27">
        <v>42880</v>
      </c>
      <c r="R366">
        <v>99.846999999999994</v>
      </c>
      <c r="S366" s="27">
        <v>42625</v>
      </c>
      <c r="T366">
        <v>3.782</v>
      </c>
    </row>
    <row r="367" spans="3:20">
      <c r="C367" s="27">
        <v>41183</v>
      </c>
      <c r="D367">
        <v>4.3181000000000003</v>
      </c>
      <c r="E367" s="27">
        <v>43675</v>
      </c>
      <c r="F367">
        <v>99.914000000000001</v>
      </c>
      <c r="G367" s="27">
        <v>43719</v>
      </c>
      <c r="H367">
        <v>107.324</v>
      </c>
      <c r="I367" s="27">
        <v>44567</v>
      </c>
      <c r="J367">
        <v>99.501999999999995</v>
      </c>
      <c r="K367" s="27">
        <v>44567</v>
      </c>
      <c r="L367">
        <v>93.801000000000002</v>
      </c>
      <c r="M367" s="27">
        <v>42331</v>
      </c>
      <c r="N367">
        <v>108.645</v>
      </c>
      <c r="O367" s="27">
        <v>41976</v>
      </c>
      <c r="P367">
        <v>107.307</v>
      </c>
      <c r="Q367" s="27">
        <v>42884</v>
      </c>
      <c r="R367">
        <v>99.855000000000004</v>
      </c>
      <c r="S367" s="27">
        <v>42626</v>
      </c>
      <c r="T367">
        <v>3.7720000000000002</v>
      </c>
    </row>
    <row r="368" spans="3:20">
      <c r="C368" s="27">
        <v>41184</v>
      </c>
      <c r="D368">
        <v>4.2499000000000002</v>
      </c>
      <c r="E368" s="27">
        <v>43676</v>
      </c>
      <c r="F368">
        <v>99.917000000000002</v>
      </c>
      <c r="G368" s="27">
        <v>43720</v>
      </c>
      <c r="H368">
        <v>106.979</v>
      </c>
      <c r="I368" s="27">
        <v>44568</v>
      </c>
      <c r="J368">
        <v>99.855999999999995</v>
      </c>
      <c r="K368" s="27">
        <v>44568</v>
      </c>
      <c r="L368">
        <v>93.850999999999999</v>
      </c>
      <c r="M368" s="27">
        <v>42332</v>
      </c>
      <c r="N368">
        <v>107.97499999999999</v>
      </c>
      <c r="O368" s="27">
        <v>41977</v>
      </c>
      <c r="P368">
        <v>107.41</v>
      </c>
      <c r="Q368" s="27">
        <v>42885</v>
      </c>
      <c r="R368">
        <v>99.86</v>
      </c>
      <c r="S368" s="27">
        <v>42627</v>
      </c>
      <c r="T368">
        <v>3.782</v>
      </c>
    </row>
    <row r="369" spans="3:20">
      <c r="C369" s="27">
        <v>41185</v>
      </c>
      <c r="D369">
        <v>4.1871999999999998</v>
      </c>
      <c r="E369" s="27">
        <v>43677</v>
      </c>
      <c r="F369">
        <v>99.921999999999997</v>
      </c>
      <c r="G369" s="27">
        <v>43721</v>
      </c>
      <c r="H369">
        <v>106.47</v>
      </c>
      <c r="I369" s="27">
        <v>44571</v>
      </c>
      <c r="J369">
        <v>99.971000000000004</v>
      </c>
      <c r="K369" s="27">
        <v>44571</v>
      </c>
      <c r="L369">
        <v>93.822000000000003</v>
      </c>
      <c r="M369" s="27">
        <v>42333</v>
      </c>
      <c r="N369">
        <v>108.28400000000001</v>
      </c>
      <c r="O369" s="27">
        <v>41978</v>
      </c>
      <c r="P369">
        <v>107.322</v>
      </c>
      <c r="Q369" s="27">
        <v>42888</v>
      </c>
      <c r="R369">
        <v>99.879000000000005</v>
      </c>
      <c r="S369" s="27">
        <v>42628</v>
      </c>
      <c r="T369">
        <v>3.7960000000000003</v>
      </c>
    </row>
    <row r="370" spans="3:20">
      <c r="C370" s="27">
        <v>41186</v>
      </c>
      <c r="D370">
        <v>4.2031999999999998</v>
      </c>
      <c r="E370" s="27">
        <v>43678</v>
      </c>
      <c r="F370">
        <v>99.92</v>
      </c>
      <c r="G370" s="27">
        <v>43724</v>
      </c>
      <c r="H370">
        <v>106.807</v>
      </c>
      <c r="I370" s="27">
        <v>44572</v>
      </c>
      <c r="J370">
        <v>100.387</v>
      </c>
      <c r="K370" s="27">
        <v>44572</v>
      </c>
      <c r="L370">
        <v>94.230999999999995</v>
      </c>
      <c r="M370" s="27">
        <v>42334</v>
      </c>
      <c r="N370">
        <v>108.36799999999999</v>
      </c>
      <c r="O370" s="27">
        <v>41981</v>
      </c>
      <c r="P370">
        <v>107.294</v>
      </c>
      <c r="Q370" s="27">
        <v>42891</v>
      </c>
      <c r="R370">
        <v>99.882999999999996</v>
      </c>
      <c r="S370" s="27">
        <v>42629</v>
      </c>
      <c r="T370">
        <v>3.7919999999999998</v>
      </c>
    </row>
    <row r="371" spans="3:20">
      <c r="C371" s="27">
        <v>41187</v>
      </c>
      <c r="D371">
        <v>4.2237999999999998</v>
      </c>
      <c r="E371" s="27">
        <v>43679</v>
      </c>
      <c r="F371">
        <v>99.921000000000006</v>
      </c>
      <c r="G371" s="27">
        <v>43725</v>
      </c>
      <c r="H371">
        <v>106.744</v>
      </c>
      <c r="I371" s="27">
        <v>44573</v>
      </c>
      <c r="J371">
        <v>100.38800000000001</v>
      </c>
      <c r="K371" s="27">
        <v>44573</v>
      </c>
      <c r="L371">
        <v>94.18</v>
      </c>
      <c r="M371" s="27">
        <v>42335</v>
      </c>
      <c r="N371">
        <v>108.563</v>
      </c>
      <c r="O371" s="27">
        <v>41982</v>
      </c>
      <c r="P371">
        <v>107.52200000000001</v>
      </c>
      <c r="Q371" s="27">
        <v>42892</v>
      </c>
      <c r="R371">
        <v>99.885000000000005</v>
      </c>
      <c r="S371" s="27">
        <v>42632</v>
      </c>
      <c r="T371">
        <v>3.8069999999999999</v>
      </c>
    </row>
    <row r="372" spans="3:20">
      <c r="C372" s="27">
        <v>41190</v>
      </c>
      <c r="D372">
        <v>4.2168999999999999</v>
      </c>
      <c r="E372" s="27">
        <v>43683</v>
      </c>
      <c r="F372">
        <v>99.926000000000002</v>
      </c>
      <c r="G372" s="27">
        <v>43726</v>
      </c>
      <c r="H372">
        <v>107.072</v>
      </c>
      <c r="I372" s="27">
        <v>44574</v>
      </c>
      <c r="J372">
        <v>100.43899999999999</v>
      </c>
      <c r="K372" s="27">
        <v>44574</v>
      </c>
      <c r="L372">
        <v>94.337999999999994</v>
      </c>
      <c r="M372" s="27">
        <v>42338</v>
      </c>
      <c r="N372">
        <v>108.452</v>
      </c>
      <c r="O372" s="27">
        <v>41983</v>
      </c>
      <c r="P372">
        <v>107.55800000000001</v>
      </c>
      <c r="Q372" s="27">
        <v>42893</v>
      </c>
      <c r="R372">
        <v>99.89</v>
      </c>
      <c r="S372" s="27">
        <v>42633</v>
      </c>
      <c r="T372">
        <v>3.8170000000000002</v>
      </c>
    </row>
    <row r="373" spans="3:20">
      <c r="C373" s="27">
        <v>41191</v>
      </c>
      <c r="D373">
        <v>4.2141999999999999</v>
      </c>
      <c r="E373" s="27">
        <v>43684</v>
      </c>
      <c r="F373">
        <v>99.929000000000002</v>
      </c>
      <c r="G373" s="27">
        <v>43727</v>
      </c>
      <c r="H373">
        <v>106.98399999999999</v>
      </c>
      <c r="I373" s="27">
        <v>44575</v>
      </c>
      <c r="J373">
        <v>104.19</v>
      </c>
      <c r="K373" s="27">
        <v>44575</v>
      </c>
      <c r="L373">
        <v>95.974000000000004</v>
      </c>
      <c r="M373" s="27">
        <v>42339</v>
      </c>
      <c r="N373">
        <v>108.477</v>
      </c>
      <c r="O373" s="27">
        <v>41984</v>
      </c>
      <c r="P373">
        <v>107.58</v>
      </c>
      <c r="Q373" s="27">
        <v>42894</v>
      </c>
      <c r="R373">
        <v>99.905000000000001</v>
      </c>
      <c r="S373" s="27">
        <v>42634</v>
      </c>
      <c r="T373">
        <v>3.8460000000000001</v>
      </c>
    </row>
    <row r="374" spans="3:20">
      <c r="C374" s="27">
        <v>41192</v>
      </c>
      <c r="D374">
        <v>4.2321999999999997</v>
      </c>
      <c r="E374" s="27">
        <v>43685</v>
      </c>
      <c r="F374">
        <v>99.933000000000007</v>
      </c>
      <c r="G374" s="27">
        <v>43728</v>
      </c>
      <c r="H374">
        <v>107.07299999999999</v>
      </c>
      <c r="I374" s="27">
        <v>44578</v>
      </c>
      <c r="J374">
        <v>103.78400000000001</v>
      </c>
      <c r="K374" s="27">
        <v>44578</v>
      </c>
      <c r="L374">
        <v>95.668999999999997</v>
      </c>
      <c r="M374" s="27">
        <v>42340</v>
      </c>
      <c r="N374">
        <v>108.499</v>
      </c>
      <c r="O374" s="27">
        <v>41985</v>
      </c>
      <c r="P374">
        <v>107.57899999999999</v>
      </c>
      <c r="Q374" s="27">
        <v>42899</v>
      </c>
      <c r="R374">
        <v>99.912000000000006</v>
      </c>
      <c r="S374" s="27">
        <v>42635</v>
      </c>
      <c r="T374">
        <v>3.778</v>
      </c>
    </row>
    <row r="375" spans="3:20">
      <c r="C375" s="27">
        <v>41193</v>
      </c>
      <c r="D375">
        <v>4.2137000000000002</v>
      </c>
      <c r="E375" s="27">
        <v>43686</v>
      </c>
      <c r="F375">
        <v>99.933999999999997</v>
      </c>
      <c r="G375" s="27">
        <v>43731</v>
      </c>
      <c r="H375">
        <v>107.61499999999999</v>
      </c>
      <c r="I375" s="27">
        <v>44579</v>
      </c>
      <c r="J375">
        <v>99.388999999999996</v>
      </c>
      <c r="K375" s="27">
        <v>44579</v>
      </c>
      <c r="L375">
        <v>93.292000000000002</v>
      </c>
      <c r="M375" s="27">
        <v>42341</v>
      </c>
      <c r="N375">
        <v>107.506</v>
      </c>
      <c r="O375" s="27">
        <v>41988</v>
      </c>
      <c r="P375">
        <v>107.639</v>
      </c>
      <c r="Q375" s="27">
        <v>42900</v>
      </c>
      <c r="R375">
        <v>99.927000000000007</v>
      </c>
      <c r="S375" s="27">
        <v>42636</v>
      </c>
      <c r="T375">
        <v>3.7560000000000002</v>
      </c>
    </row>
    <row r="376" spans="3:20">
      <c r="C376" s="27">
        <v>41194</v>
      </c>
      <c r="D376">
        <v>4.2207999999999997</v>
      </c>
      <c r="E376" s="27">
        <v>43689</v>
      </c>
      <c r="F376">
        <v>99.933999999999997</v>
      </c>
      <c r="G376" s="27">
        <v>43732</v>
      </c>
      <c r="H376">
        <v>107.85</v>
      </c>
      <c r="I376" s="27">
        <v>44580</v>
      </c>
      <c r="J376">
        <v>100.008</v>
      </c>
      <c r="K376" s="27">
        <v>44580</v>
      </c>
      <c r="L376">
        <v>93.619</v>
      </c>
      <c r="M376" s="27">
        <v>42342</v>
      </c>
      <c r="N376">
        <v>106.959</v>
      </c>
      <c r="O376" s="27">
        <v>41989</v>
      </c>
      <c r="P376">
        <v>107.643</v>
      </c>
      <c r="Q376" s="27">
        <v>42901</v>
      </c>
      <c r="R376">
        <v>99.927000000000007</v>
      </c>
      <c r="S376" s="27">
        <v>42639</v>
      </c>
      <c r="T376">
        <v>3.754</v>
      </c>
    </row>
    <row r="377" spans="3:20">
      <c r="C377" s="27">
        <v>41197</v>
      </c>
      <c r="D377">
        <v>4.1763000000000003</v>
      </c>
      <c r="E377" s="27">
        <v>43690</v>
      </c>
      <c r="F377">
        <v>99.936000000000007</v>
      </c>
      <c r="G377" s="27">
        <v>43733</v>
      </c>
      <c r="H377">
        <v>107.68</v>
      </c>
      <c r="I377" s="27">
        <v>44581</v>
      </c>
      <c r="J377">
        <v>99.811999999999998</v>
      </c>
      <c r="K377" s="27">
        <v>44581</v>
      </c>
      <c r="L377">
        <v>93.555000000000007</v>
      </c>
      <c r="M377" s="27">
        <v>42345</v>
      </c>
      <c r="N377">
        <v>107.465</v>
      </c>
      <c r="O377" s="27">
        <v>41990</v>
      </c>
      <c r="P377">
        <v>107.65600000000001</v>
      </c>
      <c r="Q377" s="27">
        <v>42902</v>
      </c>
      <c r="R377">
        <v>99.930999999999997</v>
      </c>
      <c r="S377" s="27">
        <v>42640</v>
      </c>
      <c r="T377">
        <v>3.758</v>
      </c>
    </row>
    <row r="378" spans="3:20">
      <c r="C378" s="27">
        <v>41198</v>
      </c>
      <c r="D378">
        <v>4.1718000000000002</v>
      </c>
      <c r="E378" s="27">
        <v>43691</v>
      </c>
      <c r="F378">
        <v>99.935000000000002</v>
      </c>
      <c r="G378" s="27">
        <v>43734</v>
      </c>
      <c r="H378">
        <v>107.705</v>
      </c>
      <c r="I378" s="27">
        <v>44582</v>
      </c>
      <c r="J378">
        <v>100.70699999999999</v>
      </c>
      <c r="K378" s="27">
        <v>44582</v>
      </c>
      <c r="L378">
        <v>94.180999999999997</v>
      </c>
      <c r="M378" s="27">
        <v>42346</v>
      </c>
      <c r="N378">
        <v>107.994</v>
      </c>
      <c r="O378" s="27">
        <v>41991</v>
      </c>
      <c r="P378">
        <v>107.70699999999999</v>
      </c>
      <c r="Q378" s="27">
        <v>42905</v>
      </c>
      <c r="R378">
        <v>99.935000000000002</v>
      </c>
      <c r="S378" s="27">
        <v>42641</v>
      </c>
      <c r="T378">
        <v>3.74</v>
      </c>
    </row>
    <row r="379" spans="3:20">
      <c r="C379" s="27">
        <v>41199</v>
      </c>
      <c r="D379">
        <v>4.2384000000000004</v>
      </c>
      <c r="E379" s="27">
        <v>43692</v>
      </c>
      <c r="F379">
        <v>99.938000000000002</v>
      </c>
      <c r="G379" s="27">
        <v>43735</v>
      </c>
      <c r="H379">
        <v>107.666</v>
      </c>
      <c r="I379" s="27">
        <v>44585</v>
      </c>
      <c r="J379">
        <v>100.434</v>
      </c>
      <c r="K379" s="27">
        <v>44585</v>
      </c>
      <c r="L379">
        <v>94.034000000000006</v>
      </c>
      <c r="M379" s="27">
        <v>42347</v>
      </c>
      <c r="N379">
        <v>107.839</v>
      </c>
      <c r="O379" s="27">
        <v>41992</v>
      </c>
      <c r="P379">
        <v>107.664</v>
      </c>
      <c r="Q379" s="27">
        <v>42906</v>
      </c>
      <c r="R379">
        <v>99.938000000000002</v>
      </c>
      <c r="S379" s="27">
        <v>42642</v>
      </c>
      <c r="T379">
        <v>3.7410000000000001</v>
      </c>
    </row>
    <row r="380" spans="3:20">
      <c r="C380" s="27">
        <v>41200</v>
      </c>
      <c r="D380">
        <v>4.3285999999999998</v>
      </c>
      <c r="E380" s="27">
        <v>43693</v>
      </c>
      <c r="F380">
        <v>99.938000000000002</v>
      </c>
      <c r="G380" s="27">
        <v>43738</v>
      </c>
      <c r="H380">
        <v>107.589</v>
      </c>
      <c r="I380" s="27">
        <v>44586</v>
      </c>
      <c r="J380">
        <v>99.828999999999994</v>
      </c>
      <c r="K380" s="27">
        <v>44586</v>
      </c>
      <c r="L380">
        <v>93.521000000000001</v>
      </c>
      <c r="M380" s="27">
        <v>42348</v>
      </c>
      <c r="N380">
        <v>107.71899999999999</v>
      </c>
      <c r="O380" s="27">
        <v>41995</v>
      </c>
      <c r="P380">
        <v>107.768</v>
      </c>
      <c r="Q380" s="27">
        <v>42907</v>
      </c>
      <c r="R380">
        <v>99.941000000000003</v>
      </c>
      <c r="S380" s="27">
        <v>42643</v>
      </c>
      <c r="T380">
        <v>3.6520000000000001</v>
      </c>
    </row>
    <row r="381" spans="3:20">
      <c r="C381" s="27">
        <v>41201</v>
      </c>
      <c r="D381">
        <v>4.3075000000000001</v>
      </c>
      <c r="E381" s="27">
        <v>43696</v>
      </c>
      <c r="F381">
        <v>99.938000000000002</v>
      </c>
      <c r="G381" s="27">
        <v>43739</v>
      </c>
      <c r="H381">
        <v>107.566</v>
      </c>
      <c r="I381" s="27">
        <v>44588</v>
      </c>
      <c r="J381">
        <v>99.798000000000002</v>
      </c>
      <c r="K381" s="27">
        <v>44588</v>
      </c>
      <c r="L381">
        <v>93.375</v>
      </c>
      <c r="M381" s="27">
        <v>42349</v>
      </c>
      <c r="N381">
        <v>107.916</v>
      </c>
      <c r="O381" s="27">
        <v>41996</v>
      </c>
      <c r="P381">
        <v>107.773</v>
      </c>
      <c r="Q381" s="27">
        <v>42908</v>
      </c>
      <c r="R381">
        <v>99.951999999999998</v>
      </c>
      <c r="S381" s="27">
        <v>42646</v>
      </c>
      <c r="T381">
        <v>3.69</v>
      </c>
    </row>
    <row r="382" spans="3:20">
      <c r="C382" s="27">
        <v>41204</v>
      </c>
      <c r="D382">
        <v>4.2960000000000003</v>
      </c>
      <c r="E382" s="27">
        <v>43697</v>
      </c>
      <c r="F382">
        <v>99.938000000000002</v>
      </c>
      <c r="G382" s="27">
        <v>43740</v>
      </c>
      <c r="H382">
        <v>107.35</v>
      </c>
      <c r="I382" s="27">
        <v>44589</v>
      </c>
      <c r="J382">
        <v>100.461</v>
      </c>
      <c r="K382" s="27">
        <v>44589</v>
      </c>
      <c r="L382">
        <v>93.852000000000004</v>
      </c>
      <c r="M382" s="27">
        <v>42352</v>
      </c>
      <c r="N382">
        <v>107.673</v>
      </c>
      <c r="O382" s="27">
        <v>41997</v>
      </c>
      <c r="P382">
        <v>107.739</v>
      </c>
      <c r="Q382" s="27">
        <v>42909</v>
      </c>
      <c r="R382">
        <v>99.956000000000003</v>
      </c>
      <c r="S382" s="27">
        <v>42647</v>
      </c>
      <c r="T382">
        <v>3.7330000000000001</v>
      </c>
    </row>
    <row r="383" spans="3:20">
      <c r="C383" s="27">
        <v>41205</v>
      </c>
      <c r="D383">
        <v>4.3126999999999995</v>
      </c>
      <c r="E383" s="27">
        <v>43698</v>
      </c>
      <c r="F383">
        <v>99.938000000000002</v>
      </c>
      <c r="G383" s="27">
        <v>43741</v>
      </c>
      <c r="H383">
        <v>107.48099999999999</v>
      </c>
      <c r="I383" s="27">
        <v>44592</v>
      </c>
      <c r="J383">
        <v>100.71299999999999</v>
      </c>
      <c r="K383" s="27">
        <v>44592</v>
      </c>
      <c r="L383">
        <v>94.004999999999995</v>
      </c>
      <c r="M383" s="27">
        <v>42353</v>
      </c>
      <c r="N383">
        <v>107.337</v>
      </c>
      <c r="O383" s="27">
        <v>41998</v>
      </c>
      <c r="P383">
        <v>107.72799999999999</v>
      </c>
      <c r="Q383" s="27">
        <v>42912</v>
      </c>
      <c r="R383">
        <v>99.959000000000003</v>
      </c>
      <c r="S383" s="27">
        <v>42648</v>
      </c>
      <c r="T383">
        <v>3.7640000000000002</v>
      </c>
    </row>
    <row r="384" spans="3:20">
      <c r="C384" s="27">
        <v>41206</v>
      </c>
      <c r="D384">
        <v>4.3635999999999999</v>
      </c>
      <c r="E384" s="27">
        <v>43699</v>
      </c>
      <c r="F384">
        <v>99.941000000000003</v>
      </c>
      <c r="G384" s="27">
        <v>43742</v>
      </c>
      <c r="H384">
        <v>107.504</v>
      </c>
      <c r="I384" s="27">
        <v>44593</v>
      </c>
      <c r="J384">
        <v>100.137</v>
      </c>
      <c r="K384" s="27">
        <v>44593</v>
      </c>
      <c r="L384">
        <v>93.638000000000005</v>
      </c>
      <c r="M384" s="27">
        <v>42354</v>
      </c>
      <c r="N384">
        <v>107.23</v>
      </c>
      <c r="O384" s="27">
        <v>41999</v>
      </c>
      <c r="P384">
        <v>107.739</v>
      </c>
      <c r="Q384" s="27">
        <v>42913</v>
      </c>
      <c r="R384">
        <v>99.962999999999994</v>
      </c>
      <c r="S384" s="27">
        <v>42649</v>
      </c>
      <c r="T384">
        <v>3.7970000000000002</v>
      </c>
    </row>
    <row r="385" spans="3:20">
      <c r="C385" s="27">
        <v>41207</v>
      </c>
      <c r="D385">
        <v>4.4179000000000004</v>
      </c>
      <c r="E385" s="27">
        <v>43700</v>
      </c>
      <c r="F385">
        <v>99.942999999999998</v>
      </c>
      <c r="G385" s="27">
        <v>43745</v>
      </c>
      <c r="H385">
        <v>107.328</v>
      </c>
      <c r="I385" s="27">
        <v>44594</v>
      </c>
      <c r="J385">
        <v>100.51600000000001</v>
      </c>
      <c r="K385" s="27">
        <v>44594</v>
      </c>
      <c r="L385">
        <v>93.947999999999993</v>
      </c>
      <c r="M385" s="27">
        <v>42355</v>
      </c>
      <c r="N385">
        <v>107.437</v>
      </c>
      <c r="O385" s="27">
        <v>42002</v>
      </c>
      <c r="P385">
        <v>107.693</v>
      </c>
      <c r="Q385" s="27">
        <v>42915</v>
      </c>
      <c r="R385">
        <v>99.975999999999999</v>
      </c>
      <c r="S385" s="27">
        <v>42650</v>
      </c>
      <c r="T385">
        <v>3.8170000000000002</v>
      </c>
    </row>
    <row r="386" spans="3:20">
      <c r="C386" s="27">
        <v>41208</v>
      </c>
      <c r="D386">
        <v>4.3792</v>
      </c>
      <c r="E386" s="27">
        <v>43703</v>
      </c>
      <c r="F386">
        <v>99.944000000000003</v>
      </c>
      <c r="G386" s="27">
        <v>43746</v>
      </c>
      <c r="H386">
        <v>107.17</v>
      </c>
      <c r="I386" s="27">
        <v>44595</v>
      </c>
      <c r="J386">
        <v>100.514</v>
      </c>
      <c r="K386" s="27">
        <v>44595</v>
      </c>
      <c r="L386">
        <v>93.897999999999996</v>
      </c>
      <c r="M386" s="27">
        <v>42356</v>
      </c>
      <c r="N386">
        <v>107.845</v>
      </c>
      <c r="O386" s="27">
        <v>42003</v>
      </c>
      <c r="P386">
        <v>107.97199999999999</v>
      </c>
      <c r="Q386" s="27">
        <v>42919</v>
      </c>
      <c r="R386">
        <v>99.983000000000004</v>
      </c>
      <c r="S386" s="27">
        <v>42653</v>
      </c>
      <c r="T386">
        <v>3.8380000000000001</v>
      </c>
    </row>
    <row r="387" spans="3:20">
      <c r="C387" s="27">
        <v>41211</v>
      </c>
      <c r="D387">
        <v>4.3400999999999996</v>
      </c>
      <c r="E387" s="27">
        <v>43704</v>
      </c>
      <c r="F387">
        <v>99.944999999999993</v>
      </c>
      <c r="G387" s="27">
        <v>43747</v>
      </c>
      <c r="H387">
        <v>107.069</v>
      </c>
      <c r="I387" s="27">
        <v>44596</v>
      </c>
      <c r="J387">
        <v>98.77</v>
      </c>
      <c r="K387" s="27">
        <v>44596</v>
      </c>
      <c r="L387">
        <v>92.727000000000004</v>
      </c>
      <c r="M387" s="27">
        <v>42359</v>
      </c>
      <c r="N387">
        <v>107.824</v>
      </c>
      <c r="O387" s="27">
        <v>42004</v>
      </c>
      <c r="P387">
        <v>107.98</v>
      </c>
      <c r="Q387" s="27">
        <v>42921</v>
      </c>
      <c r="R387">
        <v>99.991</v>
      </c>
      <c r="S387" s="27">
        <v>42654</v>
      </c>
      <c r="T387">
        <v>3.8730000000000002</v>
      </c>
    </row>
    <row r="388" spans="3:20">
      <c r="C388" s="27">
        <v>41212</v>
      </c>
      <c r="D388">
        <v>4.3163</v>
      </c>
      <c r="E388" s="27">
        <v>43705</v>
      </c>
      <c r="F388">
        <v>99.947000000000003</v>
      </c>
      <c r="G388" s="27">
        <v>43748</v>
      </c>
      <c r="H388">
        <v>106.41500000000001</v>
      </c>
      <c r="I388" s="27">
        <v>44599</v>
      </c>
      <c r="J388">
        <v>99.143000000000001</v>
      </c>
      <c r="K388" s="27">
        <v>44599</v>
      </c>
      <c r="L388">
        <v>92.745000000000005</v>
      </c>
      <c r="M388" s="27">
        <v>42360</v>
      </c>
      <c r="N388">
        <v>107.661</v>
      </c>
      <c r="O388" s="27">
        <v>42005</v>
      </c>
      <c r="P388">
        <v>107.943</v>
      </c>
      <c r="S388" s="27">
        <v>42655</v>
      </c>
      <c r="T388">
        <v>3.94</v>
      </c>
    </row>
    <row r="389" spans="3:20">
      <c r="C389" s="27">
        <v>41213</v>
      </c>
      <c r="D389">
        <v>4.3273999999999999</v>
      </c>
      <c r="E389" s="27">
        <v>43706</v>
      </c>
      <c r="F389">
        <v>99.95</v>
      </c>
      <c r="G389" s="27">
        <v>43749</v>
      </c>
      <c r="H389">
        <v>106.16800000000001</v>
      </c>
      <c r="I389" s="27">
        <v>44600</v>
      </c>
      <c r="J389">
        <v>97.712999999999994</v>
      </c>
      <c r="K389" s="27">
        <v>44600</v>
      </c>
      <c r="L389">
        <v>91.73</v>
      </c>
      <c r="M389" s="27">
        <v>42361</v>
      </c>
      <c r="N389">
        <v>107.374</v>
      </c>
      <c r="O389" s="27">
        <v>42006</v>
      </c>
      <c r="P389">
        <v>107.947</v>
      </c>
      <c r="S389" s="27">
        <v>42656</v>
      </c>
      <c r="T389">
        <v>3.923</v>
      </c>
    </row>
    <row r="390" spans="3:20">
      <c r="C390" s="27">
        <v>41214</v>
      </c>
      <c r="D390">
        <v>4.3159999999999998</v>
      </c>
      <c r="E390" s="27">
        <v>43707</v>
      </c>
      <c r="F390">
        <v>99.95</v>
      </c>
      <c r="G390" s="27">
        <v>43752</v>
      </c>
      <c r="H390">
        <v>106.23099999999999</v>
      </c>
      <c r="I390" s="27">
        <v>44601</v>
      </c>
      <c r="J390">
        <v>96.748000000000005</v>
      </c>
      <c r="K390" s="27">
        <v>44601</v>
      </c>
      <c r="L390">
        <v>90.93</v>
      </c>
      <c r="M390" s="27">
        <v>42366</v>
      </c>
      <c r="N390">
        <v>107.93899999999999</v>
      </c>
      <c r="O390" s="27">
        <v>42009</v>
      </c>
      <c r="P390">
        <v>108.04600000000001</v>
      </c>
      <c r="S390" s="27">
        <v>42657</v>
      </c>
      <c r="T390">
        <v>3.93</v>
      </c>
    </row>
    <row r="391" spans="3:20">
      <c r="C391" s="27">
        <v>41215</v>
      </c>
      <c r="D391">
        <v>4.3753000000000002</v>
      </c>
      <c r="E391" s="27">
        <v>43710</v>
      </c>
      <c r="F391">
        <v>99.950999999999993</v>
      </c>
      <c r="G391" s="27">
        <v>43753</v>
      </c>
      <c r="H391">
        <v>106.01300000000001</v>
      </c>
      <c r="I391" s="27">
        <v>44602</v>
      </c>
      <c r="J391">
        <v>94.81</v>
      </c>
      <c r="K391" s="27">
        <v>44602</v>
      </c>
      <c r="L391">
        <v>89.528000000000006</v>
      </c>
      <c r="M391" s="27">
        <v>42367</v>
      </c>
      <c r="N391">
        <v>107.873</v>
      </c>
      <c r="O391" s="27">
        <v>42010</v>
      </c>
      <c r="P391">
        <v>107.971</v>
      </c>
      <c r="S391" s="27">
        <v>42660</v>
      </c>
      <c r="T391">
        <v>3.9459999999999997</v>
      </c>
    </row>
    <row r="392" spans="3:20">
      <c r="C392" s="27">
        <v>41218</v>
      </c>
      <c r="D392">
        <v>4.3910999999999998</v>
      </c>
      <c r="E392" s="27">
        <v>43711</v>
      </c>
      <c r="F392">
        <v>99.951999999999998</v>
      </c>
      <c r="G392" s="27">
        <v>43754</v>
      </c>
      <c r="H392">
        <v>105.804</v>
      </c>
      <c r="I392" s="27">
        <v>44603</v>
      </c>
      <c r="J392">
        <v>95.106999999999999</v>
      </c>
      <c r="K392" s="27">
        <v>44603</v>
      </c>
      <c r="L392">
        <v>89.718000000000004</v>
      </c>
      <c r="M392" s="27">
        <v>42368</v>
      </c>
      <c r="N392">
        <v>107.84699999999999</v>
      </c>
      <c r="O392" s="27">
        <v>42011</v>
      </c>
      <c r="P392">
        <v>108.07299999999999</v>
      </c>
      <c r="S392" s="27">
        <v>42661</v>
      </c>
      <c r="T392">
        <v>3.9470000000000001</v>
      </c>
    </row>
    <row r="393" spans="3:20">
      <c r="C393" s="27">
        <v>41219</v>
      </c>
      <c r="D393">
        <v>4.4724000000000004</v>
      </c>
      <c r="E393" s="27">
        <v>43712</v>
      </c>
      <c r="F393">
        <v>99.951999999999998</v>
      </c>
      <c r="G393" s="27">
        <v>43755</v>
      </c>
      <c r="H393">
        <v>105.812</v>
      </c>
      <c r="I393" s="27">
        <v>44606</v>
      </c>
      <c r="J393">
        <v>95.084999999999994</v>
      </c>
      <c r="K393" s="27">
        <v>44606</v>
      </c>
      <c r="L393">
        <v>89.695999999999998</v>
      </c>
      <c r="M393" s="27">
        <v>42369</v>
      </c>
      <c r="N393">
        <v>107.852</v>
      </c>
      <c r="O393" s="27">
        <v>42012</v>
      </c>
      <c r="P393">
        <v>108.051</v>
      </c>
      <c r="S393" s="27">
        <v>42662</v>
      </c>
      <c r="T393">
        <v>3.915</v>
      </c>
    </row>
    <row r="394" spans="3:20">
      <c r="C394" s="27">
        <v>41220</v>
      </c>
      <c r="D394">
        <v>4.4614000000000003</v>
      </c>
      <c r="E394" s="27">
        <v>43713</v>
      </c>
      <c r="F394">
        <v>99.956000000000003</v>
      </c>
      <c r="G394" s="27">
        <v>43756</v>
      </c>
      <c r="H394">
        <v>104.85299999999999</v>
      </c>
      <c r="I394" s="27">
        <v>44607</v>
      </c>
      <c r="J394">
        <v>94.596999999999994</v>
      </c>
      <c r="K394" s="27">
        <v>44607</v>
      </c>
      <c r="L394">
        <v>89.123000000000005</v>
      </c>
      <c r="M394" s="27">
        <v>42373</v>
      </c>
      <c r="N394">
        <v>108.622</v>
      </c>
      <c r="O394" s="27">
        <v>42013</v>
      </c>
      <c r="P394">
        <v>107.98099999999999</v>
      </c>
      <c r="S394" s="27">
        <v>42663</v>
      </c>
      <c r="T394">
        <v>3.8929999999999998</v>
      </c>
    </row>
    <row r="395" spans="3:20">
      <c r="C395" s="27">
        <v>41221</v>
      </c>
      <c r="D395">
        <v>4.4249999999999998</v>
      </c>
      <c r="E395" s="27">
        <v>43714</v>
      </c>
      <c r="F395">
        <v>99.956999999999994</v>
      </c>
      <c r="G395" s="27">
        <v>43759</v>
      </c>
      <c r="H395">
        <v>104.502</v>
      </c>
      <c r="I395" s="27">
        <v>44608</v>
      </c>
      <c r="J395">
        <v>94.891000000000005</v>
      </c>
      <c r="K395" s="27">
        <v>44608</v>
      </c>
      <c r="L395">
        <v>89.441000000000003</v>
      </c>
      <c r="M395" s="27">
        <v>42374</v>
      </c>
      <c r="N395">
        <v>108.783</v>
      </c>
      <c r="O395" s="27">
        <v>42016</v>
      </c>
      <c r="P395">
        <v>108.05</v>
      </c>
      <c r="S395" s="27">
        <v>42664</v>
      </c>
      <c r="T395">
        <v>3.919</v>
      </c>
    </row>
    <row r="396" spans="3:20">
      <c r="C396" s="27">
        <v>41222</v>
      </c>
      <c r="D396">
        <v>4.4032999999999998</v>
      </c>
      <c r="E396" s="27">
        <v>43717</v>
      </c>
      <c r="F396">
        <v>99.957999999999998</v>
      </c>
      <c r="G396" s="27">
        <v>43760</v>
      </c>
      <c r="H396">
        <v>104.598</v>
      </c>
      <c r="I396" s="27">
        <v>44609</v>
      </c>
      <c r="J396">
        <v>95.072999999999993</v>
      </c>
      <c r="K396" s="27">
        <v>44609</v>
      </c>
      <c r="L396">
        <v>89.602000000000004</v>
      </c>
      <c r="M396" s="27">
        <v>42375</v>
      </c>
      <c r="N396">
        <v>109.104</v>
      </c>
      <c r="O396" s="27">
        <v>42017</v>
      </c>
      <c r="P396">
        <v>107.968</v>
      </c>
      <c r="S396" s="27">
        <v>42667</v>
      </c>
      <c r="T396">
        <v>3.9009999999999998</v>
      </c>
    </row>
    <row r="397" spans="3:20">
      <c r="C397" s="27">
        <v>41225</v>
      </c>
      <c r="D397">
        <v>4.3883999999999999</v>
      </c>
      <c r="E397" s="27">
        <v>43718</v>
      </c>
      <c r="F397">
        <v>99.959000000000003</v>
      </c>
      <c r="G397" s="27">
        <v>43761</v>
      </c>
      <c r="H397">
        <v>104.899</v>
      </c>
      <c r="I397" s="27">
        <v>44610</v>
      </c>
      <c r="J397">
        <v>95.097999999999999</v>
      </c>
      <c r="K397" s="27">
        <v>44610</v>
      </c>
      <c r="L397">
        <v>89.647000000000006</v>
      </c>
      <c r="M397" s="27">
        <v>42376</v>
      </c>
      <c r="N397">
        <v>109.259</v>
      </c>
      <c r="O397" s="27">
        <v>42018</v>
      </c>
      <c r="P397">
        <v>107.98</v>
      </c>
      <c r="S397" s="27">
        <v>42668</v>
      </c>
      <c r="T397">
        <v>3.9239999999999999</v>
      </c>
    </row>
    <row r="398" spans="3:20">
      <c r="C398" s="27">
        <v>41226</v>
      </c>
      <c r="D398">
        <v>4.3860000000000001</v>
      </c>
      <c r="E398" s="27">
        <v>43719</v>
      </c>
      <c r="F398">
        <v>99.960999999999999</v>
      </c>
      <c r="G398" s="27">
        <v>43762</v>
      </c>
      <c r="H398">
        <v>104.98</v>
      </c>
      <c r="I398" s="27">
        <v>44613</v>
      </c>
      <c r="J398">
        <v>95.221000000000004</v>
      </c>
      <c r="K398" s="27">
        <v>44613</v>
      </c>
      <c r="L398">
        <v>89.778000000000006</v>
      </c>
      <c r="M398" s="27">
        <v>42377</v>
      </c>
      <c r="N398">
        <v>109.461</v>
      </c>
      <c r="O398" s="27">
        <v>42019</v>
      </c>
      <c r="P398">
        <v>108.018</v>
      </c>
      <c r="S398" s="27">
        <v>42669</v>
      </c>
      <c r="T398">
        <v>3.911</v>
      </c>
    </row>
    <row r="399" spans="3:20">
      <c r="C399" s="27">
        <v>41227</v>
      </c>
      <c r="D399">
        <v>4.4008000000000003</v>
      </c>
      <c r="E399" s="27">
        <v>43720</v>
      </c>
      <c r="F399">
        <v>99.962999999999994</v>
      </c>
      <c r="G399" s="27">
        <v>43763</v>
      </c>
      <c r="H399">
        <v>104.745</v>
      </c>
      <c r="I399" s="27">
        <v>44614</v>
      </c>
      <c r="J399">
        <v>94.224000000000004</v>
      </c>
      <c r="K399" s="27">
        <v>44614</v>
      </c>
      <c r="L399">
        <v>88.954999999999998</v>
      </c>
      <c r="M399" s="27">
        <v>42380</v>
      </c>
      <c r="N399">
        <v>109.68300000000001</v>
      </c>
      <c r="O399" s="27">
        <v>42020</v>
      </c>
      <c r="P399">
        <v>108.13200000000001</v>
      </c>
      <c r="S399" s="27">
        <v>42670</v>
      </c>
      <c r="T399">
        <v>3.931</v>
      </c>
    </row>
    <row r="400" spans="3:20">
      <c r="C400" s="27">
        <v>41228</v>
      </c>
      <c r="D400">
        <v>4.3273000000000001</v>
      </c>
      <c r="E400" s="27">
        <v>43721</v>
      </c>
      <c r="F400">
        <v>99.963999999999999</v>
      </c>
      <c r="G400" s="27">
        <v>43766</v>
      </c>
      <c r="H400">
        <v>104.446</v>
      </c>
      <c r="I400" s="27">
        <v>44615</v>
      </c>
      <c r="J400">
        <v>93.84</v>
      </c>
      <c r="K400" s="27">
        <v>44615</v>
      </c>
      <c r="L400">
        <v>88.725999999999999</v>
      </c>
      <c r="M400" s="27">
        <v>42381</v>
      </c>
      <c r="N400">
        <v>109.697</v>
      </c>
      <c r="O400" s="27">
        <v>42023</v>
      </c>
      <c r="P400">
        <v>108.086</v>
      </c>
      <c r="S400" s="27">
        <v>42671</v>
      </c>
      <c r="T400">
        <v>3.9319999999999999</v>
      </c>
    </row>
    <row r="401" spans="3:20">
      <c r="C401" s="27">
        <v>41229</v>
      </c>
      <c r="D401">
        <v>4.3426</v>
      </c>
      <c r="E401" s="27">
        <v>43724</v>
      </c>
      <c r="F401">
        <v>99.965999999999994</v>
      </c>
      <c r="G401" s="27">
        <v>43767</v>
      </c>
      <c r="H401">
        <v>104.524</v>
      </c>
      <c r="I401" s="27">
        <v>44616</v>
      </c>
      <c r="J401">
        <v>94.174000000000007</v>
      </c>
      <c r="K401" s="27">
        <v>44616</v>
      </c>
      <c r="L401">
        <v>88.980999999999995</v>
      </c>
      <c r="M401" s="27">
        <v>42382</v>
      </c>
      <c r="N401">
        <v>109.68600000000001</v>
      </c>
      <c r="O401" s="27">
        <v>42024</v>
      </c>
      <c r="P401">
        <v>108.107</v>
      </c>
      <c r="S401" s="27">
        <v>42674</v>
      </c>
      <c r="T401">
        <v>3.8769999999999998</v>
      </c>
    </row>
    <row r="402" spans="3:20">
      <c r="C402" s="27">
        <v>41232</v>
      </c>
      <c r="D402">
        <v>4.3959999999999999</v>
      </c>
      <c r="E402" s="27">
        <v>43725</v>
      </c>
      <c r="F402">
        <v>99.966999999999999</v>
      </c>
      <c r="G402" s="27">
        <v>43768</v>
      </c>
      <c r="H402">
        <v>104.617</v>
      </c>
      <c r="I402" s="27">
        <v>44617</v>
      </c>
      <c r="J402">
        <v>93.691999999999993</v>
      </c>
      <c r="K402" s="27">
        <v>44617</v>
      </c>
      <c r="L402">
        <v>88.543999999999997</v>
      </c>
      <c r="M402" s="27">
        <v>42383</v>
      </c>
      <c r="N402">
        <v>109.89700000000001</v>
      </c>
      <c r="O402" s="27">
        <v>42025</v>
      </c>
      <c r="P402">
        <v>107.991</v>
      </c>
      <c r="S402" s="27">
        <v>42675</v>
      </c>
      <c r="T402">
        <v>3.887</v>
      </c>
    </row>
    <row r="403" spans="3:20">
      <c r="C403" s="27">
        <v>41233</v>
      </c>
      <c r="D403">
        <v>4.4157000000000002</v>
      </c>
      <c r="E403" s="27">
        <v>43726</v>
      </c>
      <c r="F403">
        <v>99.97</v>
      </c>
      <c r="G403" s="27">
        <v>43769</v>
      </c>
      <c r="H403">
        <v>105.48099999999999</v>
      </c>
      <c r="I403" s="27">
        <v>44620</v>
      </c>
      <c r="J403">
        <v>94.641999999999996</v>
      </c>
      <c r="K403" s="27">
        <v>44620</v>
      </c>
      <c r="L403">
        <v>89.293999999999997</v>
      </c>
      <c r="M403" s="27">
        <v>42384</v>
      </c>
      <c r="N403">
        <v>110.092</v>
      </c>
      <c r="O403" s="27">
        <v>42026</v>
      </c>
      <c r="P403">
        <v>107.777</v>
      </c>
      <c r="S403" s="27">
        <v>42676</v>
      </c>
      <c r="T403">
        <v>3.867</v>
      </c>
    </row>
    <row r="404" spans="3:20">
      <c r="C404" s="27">
        <v>41234</v>
      </c>
      <c r="D404">
        <v>4.4333</v>
      </c>
      <c r="E404" s="27">
        <v>43727</v>
      </c>
      <c r="F404">
        <v>99.974000000000004</v>
      </c>
      <c r="G404" s="27">
        <v>43770</v>
      </c>
      <c r="H404">
        <v>105.459</v>
      </c>
      <c r="I404" s="27">
        <v>44621</v>
      </c>
      <c r="J404">
        <v>95.266000000000005</v>
      </c>
      <c r="K404" s="27">
        <v>44621</v>
      </c>
      <c r="L404">
        <v>89.756</v>
      </c>
      <c r="M404" s="27">
        <v>42387</v>
      </c>
      <c r="N404">
        <v>110.00700000000001</v>
      </c>
      <c r="O404" s="27">
        <v>42027</v>
      </c>
      <c r="P404">
        <v>107.925</v>
      </c>
      <c r="S404" s="27">
        <v>42677</v>
      </c>
      <c r="T404">
        <v>3.851</v>
      </c>
    </row>
    <row r="405" spans="3:20">
      <c r="C405" s="27">
        <v>41235</v>
      </c>
      <c r="D405">
        <v>4.4751000000000003</v>
      </c>
      <c r="E405" s="27">
        <v>43728</v>
      </c>
      <c r="F405">
        <v>99.974000000000004</v>
      </c>
      <c r="G405" s="27">
        <v>43773</v>
      </c>
      <c r="H405">
        <v>105.242</v>
      </c>
      <c r="M405" s="27">
        <v>42388</v>
      </c>
      <c r="N405">
        <v>109.68899999999999</v>
      </c>
      <c r="O405" s="27">
        <v>42030</v>
      </c>
      <c r="P405">
        <v>108.172</v>
      </c>
      <c r="S405" s="27">
        <v>42678</v>
      </c>
      <c r="T405">
        <v>3.8650000000000002</v>
      </c>
    </row>
    <row r="406" spans="3:20">
      <c r="C406" s="27">
        <v>41236</v>
      </c>
      <c r="D406">
        <v>4.5250000000000004</v>
      </c>
      <c r="E406" s="27">
        <v>43731</v>
      </c>
      <c r="F406">
        <v>99.977999999999994</v>
      </c>
      <c r="G406" s="27">
        <v>43774</v>
      </c>
      <c r="H406">
        <v>106.17700000000001</v>
      </c>
      <c r="M406" s="27">
        <v>42389</v>
      </c>
      <c r="N406">
        <v>109.88200000000001</v>
      </c>
      <c r="O406" s="27">
        <v>42031</v>
      </c>
      <c r="P406">
        <v>107.922</v>
      </c>
      <c r="S406" s="27">
        <v>42681</v>
      </c>
      <c r="T406">
        <v>3.863</v>
      </c>
    </row>
    <row r="407" spans="3:20">
      <c r="C407" s="27">
        <v>41239</v>
      </c>
      <c r="D407">
        <v>4.4966999999999997</v>
      </c>
      <c r="E407" s="27">
        <v>43732</v>
      </c>
      <c r="F407">
        <v>99.98</v>
      </c>
      <c r="G407" s="27">
        <v>43775</v>
      </c>
      <c r="H407">
        <v>106.336</v>
      </c>
      <c r="M407" s="27">
        <v>42390</v>
      </c>
      <c r="N407">
        <v>110.114</v>
      </c>
      <c r="O407" s="27">
        <v>42032</v>
      </c>
      <c r="P407">
        <v>107.899</v>
      </c>
      <c r="S407" s="27">
        <v>42682</v>
      </c>
      <c r="T407">
        <v>3.895</v>
      </c>
    </row>
    <row r="408" spans="3:20">
      <c r="C408" s="27">
        <v>41240</v>
      </c>
      <c r="D408">
        <v>4.5073999999999996</v>
      </c>
      <c r="E408" s="27">
        <v>43733</v>
      </c>
      <c r="F408">
        <v>99.98</v>
      </c>
      <c r="G408" s="27">
        <v>43776</v>
      </c>
      <c r="H408">
        <v>105.64100000000001</v>
      </c>
      <c r="M408" s="27">
        <v>42391</v>
      </c>
      <c r="N408">
        <v>109.551</v>
      </c>
      <c r="O408" s="27">
        <v>42033</v>
      </c>
      <c r="P408">
        <v>108.128</v>
      </c>
      <c r="S408" s="27">
        <v>42683</v>
      </c>
      <c r="T408">
        <v>3.7450000000000001</v>
      </c>
    </row>
    <row r="409" spans="3:20">
      <c r="C409" s="27">
        <v>41241</v>
      </c>
      <c r="D409">
        <v>4.4382999999999999</v>
      </c>
      <c r="E409" s="27">
        <v>43734</v>
      </c>
      <c r="F409">
        <v>99.98</v>
      </c>
      <c r="G409" s="27">
        <v>43777</v>
      </c>
      <c r="H409">
        <v>105.601</v>
      </c>
      <c r="M409" s="27">
        <v>42394</v>
      </c>
      <c r="N409">
        <v>109.447</v>
      </c>
      <c r="O409" s="27">
        <v>42034</v>
      </c>
      <c r="P409">
        <v>108.075</v>
      </c>
      <c r="S409" s="27">
        <v>42684</v>
      </c>
      <c r="T409">
        <v>3.8970000000000002</v>
      </c>
    </row>
    <row r="410" spans="3:20">
      <c r="C410" s="27">
        <v>41242</v>
      </c>
      <c r="D410">
        <v>4.4512</v>
      </c>
      <c r="E410" s="27">
        <v>43735</v>
      </c>
      <c r="F410">
        <v>99.983999999999995</v>
      </c>
      <c r="G410" s="27">
        <v>43780</v>
      </c>
      <c r="H410">
        <v>105.52</v>
      </c>
      <c r="M410" s="27">
        <v>42395</v>
      </c>
      <c r="N410">
        <v>109.718</v>
      </c>
      <c r="O410" s="27">
        <v>42037</v>
      </c>
      <c r="P410">
        <v>108.282</v>
      </c>
      <c r="S410" s="27">
        <v>42685</v>
      </c>
      <c r="T410">
        <v>4.0199999999999996</v>
      </c>
    </row>
    <row r="411" spans="3:20">
      <c r="C411" s="27">
        <v>41243</v>
      </c>
      <c r="D411">
        <v>4.3780000000000001</v>
      </c>
      <c r="E411" s="27">
        <v>43738</v>
      </c>
      <c r="F411">
        <v>99.986000000000004</v>
      </c>
      <c r="G411" s="27">
        <v>43781</v>
      </c>
      <c r="H411">
        <v>105.465</v>
      </c>
      <c r="M411" s="27">
        <v>42396</v>
      </c>
      <c r="N411">
        <v>109.739</v>
      </c>
      <c r="O411" s="27">
        <v>42038</v>
      </c>
      <c r="P411">
        <v>108.261</v>
      </c>
      <c r="S411" s="27">
        <v>42688</v>
      </c>
      <c r="T411">
        <v>4.1029999999999998</v>
      </c>
    </row>
    <row r="412" spans="3:20">
      <c r="C412" s="27">
        <v>41246</v>
      </c>
      <c r="D412">
        <v>4.3327</v>
      </c>
      <c r="E412" s="27">
        <v>43739</v>
      </c>
      <c r="F412">
        <v>99.989000000000004</v>
      </c>
      <c r="G412" s="27">
        <v>43782</v>
      </c>
      <c r="H412">
        <v>105.79900000000001</v>
      </c>
      <c r="M412" s="27">
        <v>42397</v>
      </c>
      <c r="N412">
        <v>109.95399999999999</v>
      </c>
      <c r="O412" s="27">
        <v>42039</v>
      </c>
      <c r="P412">
        <v>108.181</v>
      </c>
      <c r="S412" s="27">
        <v>42689</v>
      </c>
      <c r="T412">
        <v>4.117</v>
      </c>
    </row>
    <row r="413" spans="3:20">
      <c r="C413" s="27">
        <v>41247</v>
      </c>
      <c r="D413">
        <v>4.3803000000000001</v>
      </c>
      <c r="E413" s="27">
        <v>43740</v>
      </c>
      <c r="F413">
        <v>99.991</v>
      </c>
      <c r="G413" s="27">
        <v>43783</v>
      </c>
      <c r="H413">
        <v>106.155</v>
      </c>
      <c r="M413" s="27">
        <v>42398</v>
      </c>
      <c r="N413">
        <v>110.505</v>
      </c>
      <c r="O413" s="27">
        <v>42040</v>
      </c>
      <c r="P413">
        <v>108.194</v>
      </c>
      <c r="S413" s="27">
        <v>42690</v>
      </c>
      <c r="T413">
        <v>4.0519999999999996</v>
      </c>
    </row>
    <row r="414" spans="3:20">
      <c r="C414" s="27">
        <v>41248</v>
      </c>
      <c r="D414">
        <v>4.3640999999999996</v>
      </c>
      <c r="E414" s="27">
        <v>43741</v>
      </c>
      <c r="F414">
        <v>100.008</v>
      </c>
      <c r="G414" s="27">
        <v>43784</v>
      </c>
      <c r="H414">
        <v>106.098</v>
      </c>
      <c r="M414" s="27">
        <v>42401</v>
      </c>
      <c r="N414">
        <v>110.767</v>
      </c>
      <c r="O414" s="27">
        <v>42041</v>
      </c>
      <c r="P414">
        <v>108.18300000000001</v>
      </c>
      <c r="S414" s="27">
        <v>42691</v>
      </c>
      <c r="T414">
        <v>4.0549999999999997</v>
      </c>
    </row>
    <row r="415" spans="3:20">
      <c r="C415" s="27">
        <v>41249</v>
      </c>
      <c r="D415">
        <v>4.3380999999999998</v>
      </c>
      <c r="E415" s="27">
        <v>43742</v>
      </c>
      <c r="F415">
        <v>100.009</v>
      </c>
      <c r="G415" s="27">
        <v>43787</v>
      </c>
      <c r="H415">
        <v>106.084</v>
      </c>
      <c r="M415" s="27">
        <v>42402</v>
      </c>
      <c r="N415">
        <v>110.9</v>
      </c>
      <c r="O415" s="27">
        <v>42044</v>
      </c>
      <c r="P415">
        <v>108.20399999999999</v>
      </c>
      <c r="S415" s="27">
        <v>42692</v>
      </c>
      <c r="T415">
        <v>4.0709999999999997</v>
      </c>
    </row>
    <row r="416" spans="3:20">
      <c r="C416" s="27">
        <v>41250</v>
      </c>
      <c r="D416">
        <v>4.3289999999999997</v>
      </c>
      <c r="E416" s="27">
        <v>43746</v>
      </c>
      <c r="F416">
        <v>100.01</v>
      </c>
      <c r="G416" s="27">
        <v>43788</v>
      </c>
      <c r="H416">
        <v>105.99</v>
      </c>
      <c r="M416" s="27">
        <v>42403</v>
      </c>
      <c r="N416">
        <v>111.045</v>
      </c>
      <c r="O416" s="27">
        <v>42045</v>
      </c>
      <c r="P416">
        <v>108.221</v>
      </c>
      <c r="S416" s="27">
        <v>42695</v>
      </c>
      <c r="T416">
        <v>4.1390000000000002</v>
      </c>
    </row>
    <row r="417" spans="3:20">
      <c r="C417" s="27">
        <v>41253</v>
      </c>
      <c r="D417">
        <v>4.3489000000000004</v>
      </c>
      <c r="E417" s="27">
        <v>43747</v>
      </c>
      <c r="F417">
        <v>100.01</v>
      </c>
      <c r="G417" s="27">
        <v>43789</v>
      </c>
      <c r="H417">
        <v>105.938</v>
      </c>
      <c r="M417" s="27">
        <v>42404</v>
      </c>
      <c r="N417">
        <v>111.012</v>
      </c>
      <c r="O417" s="27">
        <v>42046</v>
      </c>
      <c r="P417">
        <v>108.25</v>
      </c>
      <c r="S417" s="27">
        <v>42696</v>
      </c>
      <c r="T417">
        <v>4.09</v>
      </c>
    </row>
    <row r="418" spans="3:20">
      <c r="C418" s="27">
        <v>41254</v>
      </c>
      <c r="D418">
        <v>4.3231999999999999</v>
      </c>
      <c r="E418" s="27">
        <v>43748</v>
      </c>
      <c r="F418">
        <v>100.009</v>
      </c>
      <c r="G418" s="27">
        <v>43790</v>
      </c>
      <c r="H418">
        <v>105.715</v>
      </c>
      <c r="M418" s="27">
        <v>42405</v>
      </c>
      <c r="N418">
        <v>110.877</v>
      </c>
      <c r="O418" s="27">
        <v>42047</v>
      </c>
      <c r="P418">
        <v>108.33</v>
      </c>
      <c r="S418" s="27">
        <v>42697</v>
      </c>
      <c r="T418">
        <v>4.1289999999999996</v>
      </c>
    </row>
    <row r="419" spans="3:20">
      <c r="C419" s="27">
        <v>41255</v>
      </c>
      <c r="D419">
        <v>4.3917000000000002</v>
      </c>
      <c r="E419" s="27">
        <v>43749</v>
      </c>
      <c r="F419">
        <v>100.009</v>
      </c>
      <c r="G419" s="27">
        <v>43791</v>
      </c>
      <c r="H419">
        <v>105.91500000000001</v>
      </c>
      <c r="M419" s="27">
        <v>42408</v>
      </c>
      <c r="N419">
        <v>111.27</v>
      </c>
      <c r="O419" s="27">
        <v>42048</v>
      </c>
      <c r="P419">
        <v>108.408</v>
      </c>
      <c r="S419" s="27">
        <v>42698</v>
      </c>
      <c r="T419">
        <v>4.2379999999999995</v>
      </c>
    </row>
    <row r="420" spans="3:20">
      <c r="C420" s="27">
        <v>41256</v>
      </c>
      <c r="D420">
        <v>4.4233000000000002</v>
      </c>
      <c r="G420" s="27">
        <v>43794</v>
      </c>
      <c r="H420">
        <v>105.94499999999999</v>
      </c>
      <c r="M420" s="27">
        <v>42409</v>
      </c>
      <c r="N420">
        <v>111.518</v>
      </c>
      <c r="O420" s="27">
        <v>42051</v>
      </c>
      <c r="P420">
        <v>108.45699999999999</v>
      </c>
      <c r="S420" s="27">
        <v>42699</v>
      </c>
      <c r="T420">
        <v>4.2359999999999998</v>
      </c>
    </row>
    <row r="421" spans="3:20">
      <c r="C421" s="27">
        <v>41257</v>
      </c>
      <c r="D421">
        <v>4.4558</v>
      </c>
      <c r="G421" s="27">
        <v>43795</v>
      </c>
      <c r="H421">
        <v>106.06699999999999</v>
      </c>
      <c r="M421" s="27">
        <v>42410</v>
      </c>
      <c r="N421">
        <v>111.574</v>
      </c>
      <c r="O421" s="27">
        <v>42052</v>
      </c>
      <c r="P421">
        <v>108.51600000000001</v>
      </c>
      <c r="S421" s="27">
        <v>42702</v>
      </c>
      <c r="T421">
        <v>4.2060000000000004</v>
      </c>
    </row>
    <row r="422" spans="3:20">
      <c r="C422" s="27">
        <v>41260</v>
      </c>
      <c r="D422">
        <v>4.4120999999999997</v>
      </c>
      <c r="G422" s="27">
        <v>43796</v>
      </c>
      <c r="H422">
        <v>106.127</v>
      </c>
      <c r="M422" s="27">
        <v>42411</v>
      </c>
      <c r="N422">
        <v>112.054</v>
      </c>
      <c r="O422" s="27">
        <v>42053</v>
      </c>
      <c r="P422">
        <v>108.348</v>
      </c>
      <c r="S422" s="27">
        <v>42703</v>
      </c>
      <c r="T422">
        <v>4.2</v>
      </c>
    </row>
    <row r="423" spans="3:20">
      <c r="C423" s="27">
        <v>41261</v>
      </c>
      <c r="D423">
        <v>4.4191000000000003</v>
      </c>
      <c r="G423" s="27">
        <v>43797</v>
      </c>
      <c r="H423">
        <v>106.054</v>
      </c>
      <c r="M423" s="27">
        <v>42412</v>
      </c>
      <c r="N423">
        <v>112.03400000000001</v>
      </c>
      <c r="O423" s="27">
        <v>42054</v>
      </c>
      <c r="P423">
        <v>108.471</v>
      </c>
      <c r="S423" s="27">
        <v>42704</v>
      </c>
      <c r="T423">
        <v>4.2089999999999996</v>
      </c>
    </row>
    <row r="424" spans="3:20">
      <c r="C424" s="27">
        <v>41262</v>
      </c>
      <c r="D424">
        <v>4.4080000000000004</v>
      </c>
      <c r="G424" s="27">
        <v>43798</v>
      </c>
      <c r="H424">
        <v>105.99299999999999</v>
      </c>
      <c r="M424" s="27">
        <v>42415</v>
      </c>
      <c r="N424">
        <v>111.504</v>
      </c>
      <c r="O424" s="27">
        <v>42055</v>
      </c>
      <c r="P424">
        <v>108.461</v>
      </c>
      <c r="S424" s="27">
        <v>42705</v>
      </c>
      <c r="T424">
        <v>4.1950000000000003</v>
      </c>
    </row>
    <row r="425" spans="3:20">
      <c r="C425" s="27">
        <v>41263</v>
      </c>
      <c r="D425">
        <v>4.3773999999999997</v>
      </c>
      <c r="G425" s="27">
        <v>43801</v>
      </c>
      <c r="H425">
        <v>105.39700000000001</v>
      </c>
      <c r="M425" s="27">
        <v>42416</v>
      </c>
      <c r="N425">
        <v>111.26</v>
      </c>
      <c r="O425" s="27">
        <v>42058</v>
      </c>
      <c r="P425">
        <v>108.515</v>
      </c>
      <c r="S425" s="27">
        <v>42706</v>
      </c>
      <c r="T425">
        <v>4.2489999999999997</v>
      </c>
    </row>
    <row r="426" spans="3:20">
      <c r="C426" s="27">
        <v>41264</v>
      </c>
      <c r="D426">
        <v>4.3459000000000003</v>
      </c>
      <c r="G426" s="27">
        <v>43802</v>
      </c>
      <c r="H426">
        <v>105.754</v>
      </c>
      <c r="M426" s="27">
        <v>42417</v>
      </c>
      <c r="N426">
        <v>110.96</v>
      </c>
      <c r="O426" s="27">
        <v>42059</v>
      </c>
      <c r="P426">
        <v>108.532</v>
      </c>
      <c r="S426" s="27">
        <v>42709</v>
      </c>
      <c r="T426">
        <v>4.2240000000000002</v>
      </c>
    </row>
    <row r="427" spans="3:20">
      <c r="C427" s="27">
        <v>41267</v>
      </c>
      <c r="D427">
        <v>4.3556999999999997</v>
      </c>
      <c r="G427" s="27">
        <v>43803</v>
      </c>
      <c r="H427">
        <v>105.678</v>
      </c>
      <c r="M427" s="27">
        <v>42418</v>
      </c>
      <c r="N427">
        <v>111.11</v>
      </c>
      <c r="O427" s="27">
        <v>42060</v>
      </c>
      <c r="P427">
        <v>108.517</v>
      </c>
      <c r="S427" s="27">
        <v>42710</v>
      </c>
      <c r="T427">
        <v>4.21</v>
      </c>
    </row>
    <row r="428" spans="3:20">
      <c r="C428" s="27">
        <v>41268</v>
      </c>
      <c r="D428">
        <v>4.3558000000000003</v>
      </c>
      <c r="G428" s="27">
        <v>43804</v>
      </c>
      <c r="H428">
        <v>105.495</v>
      </c>
      <c r="M428" s="27">
        <v>42419</v>
      </c>
      <c r="N428">
        <v>111.145</v>
      </c>
      <c r="O428" s="27">
        <v>42061</v>
      </c>
      <c r="P428">
        <v>108.64700000000001</v>
      </c>
      <c r="S428" s="27">
        <v>42711</v>
      </c>
      <c r="T428">
        <v>4.2080000000000002</v>
      </c>
    </row>
    <row r="429" spans="3:20">
      <c r="C429" s="27">
        <v>41269</v>
      </c>
      <c r="D429">
        <v>4.3560999999999996</v>
      </c>
      <c r="G429" s="27">
        <v>43805</v>
      </c>
      <c r="H429">
        <v>105.316</v>
      </c>
      <c r="M429" s="27">
        <v>42422</v>
      </c>
      <c r="N429">
        <v>111.325</v>
      </c>
      <c r="O429" s="27">
        <v>42062</v>
      </c>
      <c r="P429">
        <v>108.678</v>
      </c>
      <c r="S429" s="27">
        <v>42712</v>
      </c>
      <c r="T429">
        <v>4.1509999999999998</v>
      </c>
    </row>
    <row r="430" spans="3:20">
      <c r="C430" s="27">
        <v>41270</v>
      </c>
      <c r="D430">
        <v>4.3469999999999995</v>
      </c>
      <c r="G430" s="27">
        <v>43808</v>
      </c>
      <c r="H430">
        <v>105.447</v>
      </c>
      <c r="M430" s="27">
        <v>42423</v>
      </c>
      <c r="N430">
        <v>111.187</v>
      </c>
      <c r="O430" s="27">
        <v>42065</v>
      </c>
      <c r="P430">
        <v>108.571</v>
      </c>
      <c r="S430" s="27">
        <v>42713</v>
      </c>
      <c r="T430">
        <v>4.1500000000000004</v>
      </c>
    </row>
    <row r="431" spans="3:20">
      <c r="C431" s="27">
        <v>41271</v>
      </c>
      <c r="D431">
        <v>4.3295000000000003</v>
      </c>
      <c r="G431" s="27">
        <v>43809</v>
      </c>
      <c r="H431">
        <v>105.429</v>
      </c>
      <c r="M431" s="27">
        <v>42424</v>
      </c>
      <c r="N431">
        <v>111.63</v>
      </c>
      <c r="O431" s="27">
        <v>42066</v>
      </c>
      <c r="P431">
        <v>108.44499999999999</v>
      </c>
      <c r="S431" s="27">
        <v>42716</v>
      </c>
      <c r="T431">
        <v>4.1909999999999998</v>
      </c>
    </row>
    <row r="432" spans="3:20">
      <c r="C432" s="27">
        <v>41274</v>
      </c>
      <c r="D432">
        <v>4.2850000000000001</v>
      </c>
      <c r="G432" s="27">
        <v>43810</v>
      </c>
      <c r="H432">
        <v>105.557</v>
      </c>
      <c r="M432" s="27">
        <v>42425</v>
      </c>
      <c r="N432">
        <v>111.81100000000001</v>
      </c>
      <c r="O432" s="27">
        <v>42067</v>
      </c>
      <c r="P432">
        <v>108.435</v>
      </c>
      <c r="S432" s="27">
        <v>42717</v>
      </c>
      <c r="T432">
        <v>4.1660000000000004</v>
      </c>
    </row>
    <row r="433" spans="3:20">
      <c r="C433" s="27">
        <v>41275</v>
      </c>
      <c r="D433">
        <v>4.2790999999999997</v>
      </c>
      <c r="G433" s="27">
        <v>43811</v>
      </c>
      <c r="H433">
        <v>105.252</v>
      </c>
      <c r="M433" s="27">
        <v>42426</v>
      </c>
      <c r="N433">
        <v>115.732</v>
      </c>
      <c r="O433" s="27">
        <v>42068</v>
      </c>
      <c r="P433">
        <v>108.33199999999999</v>
      </c>
      <c r="S433" s="27">
        <v>42718</v>
      </c>
      <c r="T433">
        <v>4.1440000000000001</v>
      </c>
    </row>
    <row r="434" spans="3:20">
      <c r="C434" s="27">
        <v>41276</v>
      </c>
      <c r="D434">
        <v>4.4202000000000004</v>
      </c>
      <c r="G434" s="27">
        <v>43812</v>
      </c>
      <c r="H434">
        <v>105.404</v>
      </c>
      <c r="M434" s="27">
        <v>42429</v>
      </c>
      <c r="N434">
        <v>116.08199999999999</v>
      </c>
      <c r="O434" s="27">
        <v>42069</v>
      </c>
      <c r="P434">
        <v>108.47</v>
      </c>
      <c r="S434" s="27">
        <v>42719</v>
      </c>
      <c r="T434">
        <v>4.2249999999999996</v>
      </c>
    </row>
    <row r="435" spans="3:20">
      <c r="C435" s="27">
        <v>41277</v>
      </c>
      <c r="D435">
        <v>4.3651</v>
      </c>
      <c r="G435" s="27">
        <v>43815</v>
      </c>
      <c r="H435">
        <v>105.38200000000001</v>
      </c>
      <c r="M435" s="27">
        <v>42430</v>
      </c>
      <c r="N435">
        <v>116.233</v>
      </c>
      <c r="O435" s="27">
        <v>42072</v>
      </c>
      <c r="P435">
        <v>108.358</v>
      </c>
      <c r="S435" s="27">
        <v>42720</v>
      </c>
      <c r="T435">
        <v>4.2140000000000004</v>
      </c>
    </row>
    <row r="436" spans="3:20">
      <c r="C436" s="27">
        <v>41278</v>
      </c>
      <c r="D436">
        <v>4.4526000000000003</v>
      </c>
      <c r="G436" s="27">
        <v>43816</v>
      </c>
      <c r="H436">
        <v>105.602</v>
      </c>
      <c r="M436" s="27">
        <v>42431</v>
      </c>
      <c r="N436">
        <v>115.70399999999999</v>
      </c>
      <c r="O436" s="27">
        <v>42073</v>
      </c>
      <c r="P436">
        <v>108.512</v>
      </c>
      <c r="S436" s="27">
        <v>42723</v>
      </c>
      <c r="T436">
        <v>4.2869999999999999</v>
      </c>
    </row>
    <row r="437" spans="3:20">
      <c r="C437" s="27">
        <v>41281</v>
      </c>
      <c r="D437">
        <v>4.444</v>
      </c>
      <c r="G437" s="27">
        <v>43817</v>
      </c>
      <c r="H437">
        <v>105.387</v>
      </c>
      <c r="M437" s="27">
        <v>42432</v>
      </c>
      <c r="N437">
        <v>115.663</v>
      </c>
      <c r="O437" s="27">
        <v>42074</v>
      </c>
      <c r="P437">
        <v>108.611</v>
      </c>
      <c r="S437" s="27">
        <v>42724</v>
      </c>
      <c r="T437">
        <v>4.1890000000000001</v>
      </c>
    </row>
    <row r="438" spans="3:20">
      <c r="C438" s="27">
        <v>41282</v>
      </c>
      <c r="D438">
        <v>4.4404000000000003</v>
      </c>
      <c r="G438" s="27">
        <v>43818</v>
      </c>
      <c r="H438">
        <v>105.092</v>
      </c>
      <c r="M438" s="27">
        <v>42433</v>
      </c>
      <c r="N438">
        <v>115.78400000000001</v>
      </c>
      <c r="O438" s="27">
        <v>42075</v>
      </c>
      <c r="P438">
        <v>108.574</v>
      </c>
      <c r="S438" s="27">
        <v>42726</v>
      </c>
      <c r="T438">
        <v>4.3310000000000004</v>
      </c>
    </row>
    <row r="439" spans="3:20">
      <c r="C439" s="27">
        <v>41283</v>
      </c>
      <c r="D439">
        <v>4.4001999999999999</v>
      </c>
      <c r="G439" s="27">
        <v>43819</v>
      </c>
      <c r="H439">
        <v>105.19199999999999</v>
      </c>
      <c r="M439" s="27">
        <v>42436</v>
      </c>
      <c r="N439">
        <v>115.93300000000001</v>
      </c>
      <c r="O439" s="27">
        <v>42076</v>
      </c>
      <c r="P439">
        <v>108.343</v>
      </c>
      <c r="S439" s="27">
        <v>42732</v>
      </c>
      <c r="T439">
        <v>4.3129999999999997</v>
      </c>
    </row>
    <row r="440" spans="3:20">
      <c r="C440" s="27">
        <v>41284</v>
      </c>
      <c r="D440">
        <v>4.4462000000000002</v>
      </c>
      <c r="G440" s="27">
        <v>43822</v>
      </c>
      <c r="H440">
        <v>105.151</v>
      </c>
      <c r="M440" s="27">
        <v>42437</v>
      </c>
      <c r="N440">
        <v>116.036</v>
      </c>
      <c r="O440" s="27">
        <v>42079</v>
      </c>
      <c r="P440">
        <v>108.25</v>
      </c>
      <c r="S440" s="27">
        <v>42733</v>
      </c>
      <c r="T440">
        <v>4.399</v>
      </c>
    </row>
    <row r="441" spans="3:20">
      <c r="C441" s="27">
        <v>41285</v>
      </c>
      <c r="D441">
        <v>4.4771999999999998</v>
      </c>
      <c r="G441" s="27">
        <v>43823</v>
      </c>
      <c r="H441">
        <v>105.13500000000001</v>
      </c>
      <c r="M441" s="27">
        <v>42438</v>
      </c>
      <c r="N441">
        <v>115.66800000000001</v>
      </c>
      <c r="O441" s="27">
        <v>42080</v>
      </c>
      <c r="P441">
        <v>107.977</v>
      </c>
      <c r="S441" s="27">
        <v>42734</v>
      </c>
      <c r="T441">
        <v>4.37</v>
      </c>
    </row>
    <row r="442" spans="3:20">
      <c r="C442" s="27">
        <v>41288</v>
      </c>
      <c r="D442">
        <v>4.4623999999999997</v>
      </c>
      <c r="G442" s="27">
        <v>43826</v>
      </c>
      <c r="H442">
        <v>105.18600000000001</v>
      </c>
      <c r="M442" s="27">
        <v>42439</v>
      </c>
      <c r="N442">
        <v>115.66</v>
      </c>
      <c r="O442" s="27">
        <v>42081</v>
      </c>
      <c r="P442">
        <v>107.943</v>
      </c>
      <c r="S442" s="27">
        <v>42738</v>
      </c>
      <c r="T442">
        <v>4.2880000000000003</v>
      </c>
    </row>
    <row r="443" spans="3:20">
      <c r="C443" s="27">
        <v>41289</v>
      </c>
      <c r="D443">
        <v>4.4199000000000002</v>
      </c>
      <c r="G443" s="27">
        <v>43829</v>
      </c>
      <c r="H443">
        <v>104.782</v>
      </c>
      <c r="M443" s="27">
        <v>42440</v>
      </c>
      <c r="N443">
        <v>115.577</v>
      </c>
      <c r="O443" s="27">
        <v>42082</v>
      </c>
      <c r="P443">
        <v>108.187</v>
      </c>
      <c r="S443" s="27">
        <v>42739</v>
      </c>
      <c r="T443">
        <v>4.2990000000000004</v>
      </c>
    </row>
    <row r="444" spans="3:20">
      <c r="C444" s="27">
        <v>41290</v>
      </c>
      <c r="D444">
        <v>4.3661000000000003</v>
      </c>
      <c r="G444" s="27">
        <v>43830</v>
      </c>
      <c r="H444">
        <v>104.744</v>
      </c>
      <c r="M444" s="27">
        <v>42443</v>
      </c>
      <c r="N444">
        <v>115.845</v>
      </c>
      <c r="O444" s="27">
        <v>42083</v>
      </c>
      <c r="P444">
        <v>108.167</v>
      </c>
      <c r="S444" s="27">
        <v>42740</v>
      </c>
      <c r="T444">
        <v>4.2149999999999999</v>
      </c>
    </row>
    <row r="445" spans="3:20">
      <c r="C445" s="27">
        <v>41291</v>
      </c>
      <c r="D445">
        <v>4.2990000000000004</v>
      </c>
      <c r="G445" s="27">
        <v>43832</v>
      </c>
      <c r="H445">
        <v>105.026</v>
      </c>
      <c r="M445" s="27">
        <v>42444</v>
      </c>
      <c r="N445">
        <v>116.357</v>
      </c>
      <c r="O445" s="27">
        <v>42086</v>
      </c>
      <c r="P445">
        <v>108.20099999999999</v>
      </c>
      <c r="S445" s="27">
        <v>42741</v>
      </c>
      <c r="T445">
        <v>4.234</v>
      </c>
    </row>
    <row r="446" spans="3:20">
      <c r="C446" s="27">
        <v>41292</v>
      </c>
      <c r="D446">
        <v>4.4077999999999999</v>
      </c>
      <c r="G446" s="27">
        <v>43833</v>
      </c>
      <c r="H446">
        <v>105.50700000000001</v>
      </c>
      <c r="M446" s="27">
        <v>42445</v>
      </c>
      <c r="N446">
        <v>116.131</v>
      </c>
      <c r="O446" s="27">
        <v>42087</v>
      </c>
      <c r="P446">
        <v>108</v>
      </c>
      <c r="S446" s="27">
        <v>42744</v>
      </c>
      <c r="T446">
        <v>4.3029999999999999</v>
      </c>
    </row>
    <row r="447" spans="3:20">
      <c r="C447" s="27">
        <v>41295</v>
      </c>
      <c r="D447">
        <v>4.3551000000000002</v>
      </c>
      <c r="G447" s="27">
        <v>43836</v>
      </c>
      <c r="H447">
        <v>105.629</v>
      </c>
      <c r="M447" s="27">
        <v>42446</v>
      </c>
      <c r="N447">
        <v>117.04300000000001</v>
      </c>
      <c r="O447" s="27">
        <v>42088</v>
      </c>
      <c r="P447">
        <v>107.961</v>
      </c>
      <c r="S447" s="27">
        <v>42745</v>
      </c>
      <c r="T447">
        <v>4.2549999999999999</v>
      </c>
    </row>
    <row r="448" spans="3:20">
      <c r="C448" s="27">
        <v>41296</v>
      </c>
      <c r="D448">
        <v>4.3727999999999998</v>
      </c>
      <c r="G448" s="27">
        <v>43837</v>
      </c>
      <c r="H448">
        <v>105.62</v>
      </c>
      <c r="M448" s="27">
        <v>42447</v>
      </c>
      <c r="N448">
        <v>119.41200000000001</v>
      </c>
      <c r="O448" s="27">
        <v>42089</v>
      </c>
      <c r="P448">
        <v>108.072</v>
      </c>
      <c r="S448" s="27">
        <v>42746</v>
      </c>
      <c r="T448">
        <v>4.2229999999999999</v>
      </c>
    </row>
    <row r="449" spans="3:20">
      <c r="C449" s="27">
        <v>41297</v>
      </c>
      <c r="D449">
        <v>4.3091999999999997</v>
      </c>
      <c r="G449" s="27">
        <v>43838</v>
      </c>
      <c r="H449">
        <v>105.31100000000001</v>
      </c>
      <c r="M449" s="27">
        <v>42450</v>
      </c>
      <c r="N449">
        <v>119.7</v>
      </c>
      <c r="O449" s="27">
        <v>42090</v>
      </c>
      <c r="P449">
        <v>108.166</v>
      </c>
      <c r="S449" s="27">
        <v>42747</v>
      </c>
      <c r="T449">
        <v>4.0369999999999999</v>
      </c>
    </row>
    <row r="450" spans="3:20">
      <c r="C450" s="27">
        <v>41298</v>
      </c>
      <c r="D450">
        <v>4.2744</v>
      </c>
      <c r="G450" s="27">
        <v>43839</v>
      </c>
      <c r="H450">
        <v>104.995</v>
      </c>
      <c r="M450" s="27">
        <v>42451</v>
      </c>
      <c r="N450">
        <v>120.068</v>
      </c>
      <c r="O450" s="27">
        <v>42093</v>
      </c>
      <c r="P450">
        <v>108.233</v>
      </c>
      <c r="S450" s="27">
        <v>42748</v>
      </c>
      <c r="T450">
        <v>4.2290000000000001</v>
      </c>
    </row>
    <row r="451" spans="3:20">
      <c r="C451" s="27">
        <v>41299</v>
      </c>
      <c r="D451">
        <v>4.3032000000000004</v>
      </c>
      <c r="G451" s="27">
        <v>43840</v>
      </c>
      <c r="H451">
        <v>105.34699999999999</v>
      </c>
      <c r="M451" s="27">
        <v>42452</v>
      </c>
      <c r="N451">
        <v>120.101</v>
      </c>
      <c r="O451" s="27">
        <v>42094</v>
      </c>
      <c r="P451">
        <v>108.199</v>
      </c>
      <c r="S451" s="27">
        <v>42751</v>
      </c>
      <c r="T451">
        <v>4.226</v>
      </c>
    </row>
    <row r="452" spans="3:20">
      <c r="C452" s="27">
        <v>41302</v>
      </c>
      <c r="D452">
        <v>4.3974000000000002</v>
      </c>
      <c r="G452" s="27">
        <v>43843</v>
      </c>
      <c r="H452">
        <v>105.108</v>
      </c>
      <c r="M452" s="27">
        <v>42458</v>
      </c>
      <c r="N452">
        <v>121.58</v>
      </c>
      <c r="O452" s="27">
        <v>42095</v>
      </c>
      <c r="P452">
        <v>108.327</v>
      </c>
      <c r="S452" s="27">
        <v>42752</v>
      </c>
      <c r="T452">
        <v>4.2320000000000002</v>
      </c>
    </row>
    <row r="453" spans="3:20">
      <c r="C453" s="27">
        <v>41303</v>
      </c>
      <c r="D453">
        <v>4.4509999999999996</v>
      </c>
      <c r="G453" s="27">
        <v>43844</v>
      </c>
      <c r="H453">
        <v>105.16</v>
      </c>
      <c r="M453" s="27">
        <v>42459</v>
      </c>
      <c r="N453">
        <v>121.486</v>
      </c>
      <c r="O453" s="27">
        <v>42096</v>
      </c>
      <c r="P453">
        <v>108.345</v>
      </c>
      <c r="S453" s="27">
        <v>42753</v>
      </c>
      <c r="T453">
        <v>4.03</v>
      </c>
    </row>
    <row r="454" spans="3:20">
      <c r="C454" s="27">
        <v>41304</v>
      </c>
      <c r="D454">
        <v>4.4496000000000002</v>
      </c>
      <c r="G454" s="27">
        <v>43845</v>
      </c>
      <c r="H454">
        <v>105.377</v>
      </c>
      <c r="M454" s="27">
        <v>42460</v>
      </c>
      <c r="N454">
        <v>121.227</v>
      </c>
      <c r="O454" s="27">
        <v>42097</v>
      </c>
      <c r="P454">
        <v>108.256</v>
      </c>
      <c r="S454" s="27">
        <v>42754</v>
      </c>
      <c r="T454">
        <v>4.0819999999999999</v>
      </c>
    </row>
    <row r="455" spans="3:20">
      <c r="C455" s="27">
        <v>41305</v>
      </c>
      <c r="D455">
        <v>4.3681999999999999</v>
      </c>
      <c r="G455" s="27">
        <v>43846</v>
      </c>
      <c r="H455">
        <v>105.64</v>
      </c>
      <c r="M455" s="27">
        <v>42461</v>
      </c>
      <c r="N455">
        <v>121.14</v>
      </c>
      <c r="O455" s="27">
        <v>42100</v>
      </c>
      <c r="P455">
        <v>108.253</v>
      </c>
      <c r="S455" s="27">
        <v>42755</v>
      </c>
      <c r="T455">
        <v>4.0990000000000002</v>
      </c>
    </row>
    <row r="456" spans="3:20">
      <c r="C456" s="27">
        <v>41306</v>
      </c>
      <c r="D456">
        <v>4.4462000000000002</v>
      </c>
      <c r="G456" s="27">
        <v>43847</v>
      </c>
      <c r="H456">
        <v>105.66800000000001</v>
      </c>
      <c r="M456" s="27">
        <v>42464</v>
      </c>
      <c r="N456">
        <v>120.9</v>
      </c>
      <c r="O456" s="27">
        <v>42101</v>
      </c>
      <c r="P456">
        <v>108.324</v>
      </c>
      <c r="S456" s="27">
        <v>42759</v>
      </c>
      <c r="T456">
        <v>4.1310000000000002</v>
      </c>
    </row>
    <row r="457" spans="3:20">
      <c r="C457" s="27">
        <v>41309</v>
      </c>
      <c r="D457">
        <v>4.4973000000000001</v>
      </c>
      <c r="G457" s="27">
        <v>43850</v>
      </c>
      <c r="H457">
        <v>105.624</v>
      </c>
      <c r="M457" s="27">
        <v>42465</v>
      </c>
      <c r="N457">
        <v>121.133</v>
      </c>
      <c r="O457" s="27">
        <v>42102</v>
      </c>
      <c r="P457">
        <v>108.44199999999999</v>
      </c>
      <c r="S457" s="27">
        <v>42760</v>
      </c>
      <c r="T457">
        <v>4.1589999999999998</v>
      </c>
    </row>
    <row r="458" spans="3:20">
      <c r="C458" s="27">
        <v>41310</v>
      </c>
      <c r="D458">
        <v>4.4238999999999997</v>
      </c>
      <c r="G458" s="27">
        <v>43851</v>
      </c>
      <c r="H458">
        <v>105.822</v>
      </c>
      <c r="M458" s="27">
        <v>42466</v>
      </c>
      <c r="N458">
        <v>121.024</v>
      </c>
      <c r="O458" s="27">
        <v>42103</v>
      </c>
      <c r="P458">
        <v>108.575</v>
      </c>
      <c r="S458" s="27">
        <v>42767</v>
      </c>
      <c r="T458">
        <v>4.0469999999999997</v>
      </c>
    </row>
    <row r="459" spans="3:20">
      <c r="C459" s="27">
        <v>41311</v>
      </c>
      <c r="D459">
        <v>4.4179000000000004</v>
      </c>
      <c r="G459" s="27">
        <v>43852</v>
      </c>
      <c r="H459">
        <v>105.98099999999999</v>
      </c>
      <c r="M459" s="27">
        <v>42467</v>
      </c>
      <c r="N459">
        <v>121.06100000000001</v>
      </c>
      <c r="O459" s="27">
        <v>42104</v>
      </c>
      <c r="P459">
        <v>108.584</v>
      </c>
      <c r="S459" s="27">
        <v>42769</v>
      </c>
      <c r="T459">
        <v>4.0919999999999996</v>
      </c>
    </row>
    <row r="460" spans="3:20">
      <c r="C460" s="27">
        <v>41312</v>
      </c>
      <c r="D460">
        <v>4.3749000000000002</v>
      </c>
      <c r="G460" s="27">
        <v>43853</v>
      </c>
      <c r="H460">
        <v>106.24299999999999</v>
      </c>
      <c r="M460" s="27">
        <v>42468</v>
      </c>
      <c r="N460">
        <v>120.79900000000001</v>
      </c>
      <c r="O460" s="27">
        <v>42107</v>
      </c>
      <c r="P460">
        <v>108.57599999999999</v>
      </c>
      <c r="S460" s="27">
        <v>42773</v>
      </c>
      <c r="T460">
        <v>4.0419999999999998</v>
      </c>
    </row>
    <row r="461" spans="3:20">
      <c r="C461" s="27">
        <v>41313</v>
      </c>
      <c r="D461">
        <v>4.3848000000000003</v>
      </c>
      <c r="G461" s="27">
        <v>43854</v>
      </c>
      <c r="H461">
        <v>106.584</v>
      </c>
      <c r="M461" s="27">
        <v>42471</v>
      </c>
      <c r="N461">
        <v>120.51300000000001</v>
      </c>
      <c r="O461" s="27">
        <v>42108</v>
      </c>
      <c r="P461">
        <v>108.562</v>
      </c>
      <c r="S461" s="27">
        <v>42789</v>
      </c>
      <c r="T461">
        <v>4.1470000000000002</v>
      </c>
    </row>
    <row r="462" spans="3:20">
      <c r="C462" s="27">
        <v>41316</v>
      </c>
      <c r="D462">
        <v>4.3087999999999997</v>
      </c>
      <c r="G462" s="27">
        <v>43857</v>
      </c>
      <c r="H462">
        <v>106.928</v>
      </c>
      <c r="M462" s="27">
        <v>42472</v>
      </c>
      <c r="N462">
        <v>120.313</v>
      </c>
      <c r="O462" s="27">
        <v>42109</v>
      </c>
      <c r="P462">
        <v>108.58799999999999</v>
      </c>
      <c r="S462" s="27">
        <v>42790</v>
      </c>
      <c r="T462">
        <v>4.1059999999999999</v>
      </c>
    </row>
    <row r="463" spans="3:20">
      <c r="C463" s="27">
        <v>41317</v>
      </c>
      <c r="D463">
        <v>4.3022999999999998</v>
      </c>
      <c r="G463" s="27">
        <v>43858</v>
      </c>
      <c r="H463">
        <v>106.72799999999999</v>
      </c>
      <c r="M463" s="27">
        <v>42473</v>
      </c>
      <c r="N463">
        <v>120.51900000000001</v>
      </c>
      <c r="O463" s="27">
        <v>42110</v>
      </c>
      <c r="P463">
        <v>108.65300000000001</v>
      </c>
      <c r="S463" s="27">
        <v>42793</v>
      </c>
      <c r="T463">
        <v>4.0869999999999997</v>
      </c>
    </row>
    <row r="464" spans="3:20">
      <c r="C464" s="27">
        <v>41318</v>
      </c>
      <c r="D464">
        <v>4.3525</v>
      </c>
      <c r="G464" s="27">
        <v>43859</v>
      </c>
      <c r="H464">
        <v>106.934</v>
      </c>
      <c r="M464" s="27">
        <v>42474</v>
      </c>
      <c r="N464">
        <v>120.86499999999999</v>
      </c>
      <c r="O464" s="27">
        <v>42111</v>
      </c>
      <c r="P464">
        <v>108.693</v>
      </c>
      <c r="S464" s="27">
        <v>42794</v>
      </c>
      <c r="T464">
        <v>4.0990000000000002</v>
      </c>
    </row>
    <row r="465" spans="3:20">
      <c r="C465" s="27">
        <v>41319</v>
      </c>
      <c r="D465">
        <v>4.4020999999999999</v>
      </c>
      <c r="G465" s="27">
        <v>43860</v>
      </c>
      <c r="H465">
        <v>107.194</v>
      </c>
      <c r="M465" s="27">
        <v>42475</v>
      </c>
      <c r="N465">
        <v>120.90900000000001</v>
      </c>
      <c r="O465" s="27">
        <v>42114</v>
      </c>
      <c r="P465">
        <v>108.712</v>
      </c>
      <c r="S465" s="27">
        <v>42795</v>
      </c>
      <c r="T465">
        <v>4.1639999999999997</v>
      </c>
    </row>
    <row r="466" spans="3:20">
      <c r="C466" s="27">
        <v>41320</v>
      </c>
      <c r="D466">
        <v>4.3383000000000003</v>
      </c>
      <c r="G466" s="27">
        <v>43861</v>
      </c>
      <c r="H466">
        <v>107.47499999999999</v>
      </c>
      <c r="M466" s="27">
        <v>42478</v>
      </c>
      <c r="N466">
        <v>120.642</v>
      </c>
      <c r="O466" s="27">
        <v>42115</v>
      </c>
      <c r="P466">
        <v>108.642</v>
      </c>
      <c r="S466" s="27">
        <v>42796</v>
      </c>
      <c r="T466">
        <v>4.1269999999999998</v>
      </c>
    </row>
    <row r="467" spans="3:20">
      <c r="C467" s="27">
        <v>41323</v>
      </c>
      <c r="D467">
        <v>4.3837999999999999</v>
      </c>
      <c r="G467" s="27">
        <v>43864</v>
      </c>
      <c r="H467">
        <v>107.538</v>
      </c>
      <c r="M467" s="27">
        <v>42479</v>
      </c>
      <c r="N467">
        <v>120.203</v>
      </c>
      <c r="O467" s="27">
        <v>42116</v>
      </c>
      <c r="P467">
        <v>108.605</v>
      </c>
      <c r="S467" s="27">
        <v>42797</v>
      </c>
      <c r="T467">
        <v>4.0179999999999998</v>
      </c>
    </row>
    <row r="468" spans="3:20">
      <c r="C468" s="27">
        <v>41324</v>
      </c>
      <c r="D468">
        <v>4.3879999999999999</v>
      </c>
      <c r="G468" s="27">
        <v>43865</v>
      </c>
      <c r="H468">
        <v>107.29600000000001</v>
      </c>
      <c r="M468" s="27">
        <v>42480</v>
      </c>
      <c r="N468">
        <v>120.208</v>
      </c>
      <c r="O468" s="27">
        <v>42117</v>
      </c>
      <c r="P468">
        <v>108.381</v>
      </c>
      <c r="S468" s="27">
        <v>42800</v>
      </c>
      <c r="T468">
        <v>4.0339999999999998</v>
      </c>
    </row>
    <row r="469" spans="3:20">
      <c r="C469" s="27">
        <v>41325</v>
      </c>
      <c r="D469">
        <v>4.3964999999999996</v>
      </c>
      <c r="G469" s="27">
        <v>43866</v>
      </c>
      <c r="H469">
        <v>107.01</v>
      </c>
      <c r="M469" s="27">
        <v>42481</v>
      </c>
      <c r="N469">
        <v>120.068</v>
      </c>
      <c r="O469" s="27">
        <v>42118</v>
      </c>
      <c r="P469">
        <v>108.42100000000001</v>
      </c>
      <c r="S469" s="27">
        <v>42801</v>
      </c>
      <c r="T469">
        <v>3.9990000000000001</v>
      </c>
    </row>
    <row r="470" spans="3:20">
      <c r="C470" s="27">
        <v>41326</v>
      </c>
      <c r="D470">
        <v>4.3548</v>
      </c>
      <c r="G470" s="27">
        <v>43867</v>
      </c>
      <c r="H470">
        <v>106.96299999999999</v>
      </c>
      <c r="M470" s="27">
        <v>42482</v>
      </c>
      <c r="N470">
        <v>119.892</v>
      </c>
      <c r="O470" s="27">
        <v>42121</v>
      </c>
      <c r="P470">
        <v>108.438</v>
      </c>
      <c r="S470" s="27">
        <v>42802</v>
      </c>
      <c r="T470">
        <v>4.0439999999999996</v>
      </c>
    </row>
    <row r="471" spans="3:20">
      <c r="C471" s="27">
        <v>41327</v>
      </c>
      <c r="D471">
        <v>4.3803000000000001</v>
      </c>
      <c r="G471" s="27">
        <v>43868</v>
      </c>
      <c r="H471">
        <v>107.099</v>
      </c>
      <c r="M471" s="27">
        <v>42485</v>
      </c>
      <c r="N471">
        <v>119.724</v>
      </c>
      <c r="O471" s="27">
        <v>42122</v>
      </c>
      <c r="P471">
        <v>108.43600000000001</v>
      </c>
      <c r="S471" s="27">
        <v>42803</v>
      </c>
      <c r="T471">
        <v>4.069</v>
      </c>
    </row>
    <row r="472" spans="3:20">
      <c r="C472" s="27">
        <v>41330</v>
      </c>
      <c r="D472">
        <v>4.3475999999999999</v>
      </c>
      <c r="G472" s="27">
        <v>43871</v>
      </c>
      <c r="H472">
        <v>107.259</v>
      </c>
      <c r="M472" s="27">
        <v>42486</v>
      </c>
      <c r="N472">
        <v>119.262</v>
      </c>
      <c r="O472" s="27">
        <v>42123</v>
      </c>
      <c r="P472">
        <v>108.432</v>
      </c>
      <c r="S472" s="27">
        <v>42804</v>
      </c>
      <c r="T472">
        <v>4.0960000000000001</v>
      </c>
    </row>
    <row r="473" spans="3:20">
      <c r="C473" s="27">
        <v>41331</v>
      </c>
      <c r="D473">
        <v>4.2618999999999998</v>
      </c>
      <c r="G473" s="27">
        <v>43872</v>
      </c>
      <c r="H473">
        <v>107.127</v>
      </c>
      <c r="M473" s="27">
        <v>42487</v>
      </c>
      <c r="N473">
        <v>119.238</v>
      </c>
      <c r="O473" s="27">
        <v>42124</v>
      </c>
      <c r="P473">
        <v>108.011</v>
      </c>
      <c r="S473" s="27">
        <v>42807</v>
      </c>
      <c r="T473">
        <v>4.0659999999999998</v>
      </c>
    </row>
    <row r="474" spans="3:20">
      <c r="C474" s="27">
        <v>41332</v>
      </c>
      <c r="D474">
        <v>4.2347999999999999</v>
      </c>
      <c r="G474" s="27">
        <v>43873</v>
      </c>
      <c r="H474">
        <v>107.032</v>
      </c>
      <c r="M474" s="27">
        <v>42488</v>
      </c>
      <c r="N474">
        <v>119.50700000000001</v>
      </c>
      <c r="O474" s="27">
        <v>42125</v>
      </c>
      <c r="P474">
        <v>107.726</v>
      </c>
      <c r="S474" s="27">
        <v>42808</v>
      </c>
      <c r="T474">
        <v>4.0579999999999998</v>
      </c>
    </row>
    <row r="475" spans="3:20">
      <c r="C475" s="27">
        <v>41333</v>
      </c>
      <c r="D475">
        <v>4.2588999999999997</v>
      </c>
      <c r="G475" s="27">
        <v>43874</v>
      </c>
      <c r="H475">
        <v>107.093</v>
      </c>
      <c r="M475" s="27">
        <v>42489</v>
      </c>
      <c r="N475">
        <v>119.324</v>
      </c>
      <c r="O475" s="27">
        <v>42128</v>
      </c>
      <c r="P475">
        <v>107.68</v>
      </c>
      <c r="S475" s="27">
        <v>42809</v>
      </c>
      <c r="T475">
        <v>4.0659999999999998</v>
      </c>
    </row>
    <row r="476" spans="3:20">
      <c r="C476" s="27">
        <v>41334</v>
      </c>
      <c r="D476">
        <v>4.2649999999999997</v>
      </c>
      <c r="G476" s="27">
        <v>43875</v>
      </c>
      <c r="H476">
        <v>107.361</v>
      </c>
      <c r="M476" s="27">
        <v>42492</v>
      </c>
      <c r="N476">
        <v>119.19199999999999</v>
      </c>
      <c r="O476" s="27">
        <v>42129</v>
      </c>
      <c r="P476">
        <v>107.56</v>
      </c>
      <c r="S476" s="27">
        <v>42810</v>
      </c>
      <c r="T476">
        <v>3.996</v>
      </c>
    </row>
    <row r="477" spans="3:20">
      <c r="C477" s="27">
        <v>41337</v>
      </c>
      <c r="D477">
        <v>4.2305999999999999</v>
      </c>
      <c r="G477" s="27">
        <v>43878</v>
      </c>
      <c r="H477">
        <v>107.431</v>
      </c>
      <c r="M477" s="27">
        <v>42493</v>
      </c>
      <c r="N477">
        <v>119.693</v>
      </c>
      <c r="O477" s="27">
        <v>42130</v>
      </c>
      <c r="P477">
        <v>107.392</v>
      </c>
      <c r="S477" s="27">
        <v>42811</v>
      </c>
      <c r="T477">
        <v>4.0439999999999996</v>
      </c>
    </row>
    <row r="478" spans="3:20">
      <c r="C478" s="27">
        <v>41338</v>
      </c>
      <c r="D478">
        <v>4.3158000000000003</v>
      </c>
      <c r="G478" s="27">
        <v>43879</v>
      </c>
      <c r="H478">
        <v>107.46899999999999</v>
      </c>
      <c r="M478" s="27">
        <v>42494</v>
      </c>
      <c r="N478">
        <v>119.753</v>
      </c>
      <c r="O478" s="27">
        <v>42131</v>
      </c>
      <c r="P478">
        <v>107.203</v>
      </c>
      <c r="S478" s="27">
        <v>42814</v>
      </c>
      <c r="T478">
        <v>3.9910000000000001</v>
      </c>
    </row>
    <row r="479" spans="3:20">
      <c r="C479" s="27">
        <v>41339</v>
      </c>
      <c r="D479">
        <v>4.3581000000000003</v>
      </c>
      <c r="G479" s="27">
        <v>43880</v>
      </c>
      <c r="H479">
        <v>107.586</v>
      </c>
      <c r="M479" s="27">
        <v>42496</v>
      </c>
      <c r="N479">
        <v>120.241</v>
      </c>
      <c r="O479" s="27">
        <v>42132</v>
      </c>
      <c r="P479">
        <v>107.489</v>
      </c>
      <c r="S479" s="27">
        <v>42815</v>
      </c>
      <c r="T479">
        <v>3.9750000000000001</v>
      </c>
    </row>
    <row r="480" spans="3:20">
      <c r="C480" s="27">
        <v>41340</v>
      </c>
      <c r="D480">
        <v>4.38</v>
      </c>
      <c r="G480" s="27">
        <v>43881</v>
      </c>
      <c r="H480">
        <v>107.803</v>
      </c>
      <c r="M480" s="27">
        <v>42499</v>
      </c>
      <c r="N480">
        <v>120.723</v>
      </c>
      <c r="O480" s="27">
        <v>42135</v>
      </c>
      <c r="P480">
        <v>107.499</v>
      </c>
      <c r="S480" s="27">
        <v>42816</v>
      </c>
      <c r="T480">
        <v>3.919</v>
      </c>
    </row>
    <row r="481" spans="3:20">
      <c r="C481" s="27">
        <v>41341</v>
      </c>
      <c r="D481">
        <v>4.4302999999999999</v>
      </c>
      <c r="G481" s="27">
        <v>43882</v>
      </c>
      <c r="H481">
        <v>107.788</v>
      </c>
      <c r="M481" s="27">
        <v>42500</v>
      </c>
      <c r="N481">
        <v>120.943</v>
      </c>
      <c r="O481" s="27">
        <v>42136</v>
      </c>
      <c r="P481">
        <v>107.167</v>
      </c>
      <c r="S481" s="27">
        <v>42817</v>
      </c>
      <c r="T481">
        <v>3.9449999999999998</v>
      </c>
    </row>
    <row r="482" spans="3:20">
      <c r="C482" s="27">
        <v>41344</v>
      </c>
      <c r="D482">
        <v>4.4583000000000004</v>
      </c>
      <c r="G482" s="27">
        <v>43885</v>
      </c>
      <c r="H482">
        <v>108.069</v>
      </c>
      <c r="M482" s="27">
        <v>42501</v>
      </c>
      <c r="N482">
        <v>121.16</v>
      </c>
      <c r="O482" s="27">
        <v>42137</v>
      </c>
      <c r="P482">
        <v>107.227</v>
      </c>
      <c r="S482" s="27">
        <v>42818</v>
      </c>
      <c r="T482">
        <v>3.9290000000000003</v>
      </c>
    </row>
    <row r="483" spans="3:20">
      <c r="C483" s="27">
        <v>41345</v>
      </c>
      <c r="D483">
        <v>4.4923999999999999</v>
      </c>
      <c r="G483" s="27">
        <v>43886</v>
      </c>
      <c r="H483">
        <v>108.24299999999999</v>
      </c>
      <c r="M483" s="27">
        <v>42502</v>
      </c>
      <c r="N483">
        <v>120.863</v>
      </c>
      <c r="O483" s="27">
        <v>42138</v>
      </c>
      <c r="P483">
        <v>107.057</v>
      </c>
      <c r="S483" s="27">
        <v>42821</v>
      </c>
      <c r="T483">
        <v>3.92</v>
      </c>
    </row>
    <row r="484" spans="3:20">
      <c r="C484" s="27">
        <v>41346</v>
      </c>
      <c r="D484">
        <v>4.4672000000000001</v>
      </c>
      <c r="G484" s="27">
        <v>43887</v>
      </c>
      <c r="H484">
        <v>108.10899999999999</v>
      </c>
      <c r="M484" s="27">
        <v>42503</v>
      </c>
      <c r="N484">
        <v>120.65900000000001</v>
      </c>
      <c r="O484" s="27">
        <v>42139</v>
      </c>
      <c r="P484">
        <v>107.145</v>
      </c>
      <c r="S484" s="27">
        <v>42822</v>
      </c>
      <c r="T484">
        <v>3.891</v>
      </c>
    </row>
    <row r="485" spans="3:20">
      <c r="C485" s="27">
        <v>41347</v>
      </c>
      <c r="D485">
        <v>4.6288</v>
      </c>
      <c r="G485" s="27">
        <v>43888</v>
      </c>
      <c r="H485">
        <v>108.17400000000001</v>
      </c>
      <c r="M485" s="27">
        <v>42508</v>
      </c>
      <c r="N485">
        <v>120.34099999999999</v>
      </c>
      <c r="O485" s="27">
        <v>42142</v>
      </c>
      <c r="P485">
        <v>107.242</v>
      </c>
      <c r="S485" s="27">
        <v>42823</v>
      </c>
      <c r="T485">
        <v>3.923</v>
      </c>
    </row>
    <row r="486" spans="3:20">
      <c r="C486" s="27">
        <v>41348</v>
      </c>
      <c r="D486">
        <v>4.5876999999999999</v>
      </c>
      <c r="G486" s="27">
        <v>43889</v>
      </c>
      <c r="H486">
        <v>108.20699999999999</v>
      </c>
      <c r="M486" s="27">
        <v>42509</v>
      </c>
      <c r="N486">
        <v>120.3</v>
      </c>
      <c r="O486" s="27">
        <v>42143</v>
      </c>
      <c r="P486">
        <v>107.321</v>
      </c>
      <c r="S486" s="27">
        <v>42824</v>
      </c>
      <c r="T486">
        <v>3.7829999999999999</v>
      </c>
    </row>
    <row r="487" spans="3:20">
      <c r="C487" s="27">
        <v>41351</v>
      </c>
      <c r="D487">
        <v>4.4199000000000002</v>
      </c>
      <c r="G487" s="27">
        <v>43892</v>
      </c>
      <c r="H487">
        <v>108.04600000000001</v>
      </c>
      <c r="M487" s="27">
        <v>42510</v>
      </c>
      <c r="N487">
        <v>120.126</v>
      </c>
      <c r="O487" s="27">
        <v>42144</v>
      </c>
      <c r="P487">
        <v>107.41</v>
      </c>
      <c r="S487" s="27">
        <v>42825</v>
      </c>
      <c r="T487">
        <v>3.8239999999999998</v>
      </c>
    </row>
    <row r="488" spans="3:20">
      <c r="C488" s="27">
        <v>41352</v>
      </c>
      <c r="D488">
        <v>4.5305999999999997</v>
      </c>
      <c r="G488" s="27">
        <v>43893</v>
      </c>
      <c r="H488">
        <v>108.01300000000001</v>
      </c>
      <c r="M488" s="27">
        <v>42513</v>
      </c>
      <c r="N488">
        <v>120.1</v>
      </c>
      <c r="O488" s="27">
        <v>42145</v>
      </c>
      <c r="P488">
        <v>107.29600000000001</v>
      </c>
      <c r="S488" s="27">
        <v>42829</v>
      </c>
      <c r="T488">
        <v>3.7359999999999998</v>
      </c>
    </row>
    <row r="489" spans="3:20">
      <c r="C489" s="27">
        <v>41353</v>
      </c>
      <c r="D489">
        <v>4.4741</v>
      </c>
      <c r="G489" s="27">
        <v>43894</v>
      </c>
      <c r="H489">
        <v>108.09699999999999</v>
      </c>
      <c r="M489" s="27">
        <v>42514</v>
      </c>
      <c r="N489">
        <v>120.38800000000001</v>
      </c>
      <c r="O489" s="27">
        <v>42146</v>
      </c>
      <c r="P489">
        <v>107.214</v>
      </c>
      <c r="S489" s="27">
        <v>42830</v>
      </c>
      <c r="T489">
        <v>3.7549999999999999</v>
      </c>
    </row>
    <row r="490" spans="3:20">
      <c r="C490" s="27">
        <v>41354</v>
      </c>
      <c r="D490">
        <v>4.5491000000000001</v>
      </c>
      <c r="G490" s="27">
        <v>43895</v>
      </c>
      <c r="H490">
        <v>108.393</v>
      </c>
      <c r="M490" s="27">
        <v>42515</v>
      </c>
      <c r="N490">
        <v>120.497</v>
      </c>
      <c r="O490" s="27">
        <v>42149</v>
      </c>
      <c r="P490">
        <v>107.199</v>
      </c>
      <c r="S490" s="27">
        <v>42831</v>
      </c>
      <c r="T490">
        <v>3.726</v>
      </c>
    </row>
    <row r="491" spans="3:20">
      <c r="C491" s="27">
        <v>41355</v>
      </c>
      <c r="D491">
        <v>4.4969000000000001</v>
      </c>
      <c r="G491" s="27">
        <v>43896</v>
      </c>
      <c r="H491">
        <v>108.386</v>
      </c>
      <c r="M491" s="27">
        <v>42516</v>
      </c>
      <c r="N491">
        <v>120.523</v>
      </c>
      <c r="O491" s="27">
        <v>42150</v>
      </c>
      <c r="P491">
        <v>107.27</v>
      </c>
      <c r="S491" s="27">
        <v>42832</v>
      </c>
      <c r="T491">
        <v>3.7530000000000001</v>
      </c>
    </row>
    <row r="492" spans="3:20">
      <c r="C492" s="27">
        <v>41358</v>
      </c>
      <c r="D492">
        <v>4.5856000000000003</v>
      </c>
      <c r="G492" s="27">
        <v>43899</v>
      </c>
      <c r="H492">
        <v>107.73699999999999</v>
      </c>
      <c r="M492" s="27">
        <v>42517</v>
      </c>
      <c r="N492">
        <v>120.931</v>
      </c>
      <c r="O492" s="27">
        <v>42151</v>
      </c>
      <c r="P492">
        <v>107.283</v>
      </c>
      <c r="S492" s="27">
        <v>42835</v>
      </c>
      <c r="T492">
        <v>3.6749999999999998</v>
      </c>
    </row>
    <row r="493" spans="3:20">
      <c r="C493" s="27">
        <v>41359</v>
      </c>
      <c r="D493">
        <v>4.5326000000000004</v>
      </c>
      <c r="G493" s="27">
        <v>43900</v>
      </c>
      <c r="H493">
        <v>107.068</v>
      </c>
      <c r="M493" s="27">
        <v>42520</v>
      </c>
      <c r="N493">
        <v>120.44799999999999</v>
      </c>
      <c r="O493" s="27">
        <v>42152</v>
      </c>
      <c r="P493">
        <v>107.357</v>
      </c>
      <c r="S493" s="27">
        <v>42836</v>
      </c>
      <c r="T493">
        <v>3.7090000000000001</v>
      </c>
    </row>
    <row r="494" spans="3:20">
      <c r="C494" s="27">
        <v>41360</v>
      </c>
      <c r="D494">
        <v>4.4737</v>
      </c>
      <c r="G494" s="27">
        <v>43901</v>
      </c>
      <c r="H494">
        <v>106.605</v>
      </c>
      <c r="M494" s="27">
        <v>42521</v>
      </c>
      <c r="N494">
        <v>121.264</v>
      </c>
      <c r="O494" s="27">
        <v>42153</v>
      </c>
      <c r="P494">
        <v>107.31100000000001</v>
      </c>
      <c r="S494" s="27">
        <v>42837</v>
      </c>
      <c r="T494">
        <v>3.7880000000000003</v>
      </c>
    </row>
    <row r="495" spans="3:20">
      <c r="C495" s="27">
        <v>41361</v>
      </c>
      <c r="D495">
        <v>4.3860999999999999</v>
      </c>
      <c r="G495" s="27">
        <v>43902</v>
      </c>
      <c r="H495">
        <v>105.871</v>
      </c>
      <c r="M495" s="27">
        <v>42522</v>
      </c>
      <c r="N495">
        <v>121.752</v>
      </c>
      <c r="O495" s="27">
        <v>42156</v>
      </c>
      <c r="P495">
        <v>107.289</v>
      </c>
      <c r="S495" s="27">
        <v>42838</v>
      </c>
      <c r="T495">
        <v>3.645</v>
      </c>
    </row>
    <row r="496" spans="3:20">
      <c r="C496" s="27">
        <v>41362</v>
      </c>
      <c r="D496">
        <v>4.3986000000000001</v>
      </c>
      <c r="G496" s="27">
        <v>43903</v>
      </c>
      <c r="H496">
        <v>104.378</v>
      </c>
      <c r="M496" s="27">
        <v>42523</v>
      </c>
      <c r="N496">
        <v>122.241</v>
      </c>
      <c r="O496" s="27">
        <v>42157</v>
      </c>
      <c r="P496">
        <v>107.02200000000001</v>
      </c>
      <c r="S496" s="27">
        <v>42843</v>
      </c>
      <c r="T496">
        <v>3.6429999999999998</v>
      </c>
    </row>
    <row r="497" spans="3:20">
      <c r="C497" s="27">
        <v>41365</v>
      </c>
      <c r="D497">
        <v>4.3882000000000003</v>
      </c>
      <c r="G497" s="27">
        <v>43906</v>
      </c>
      <c r="H497">
        <v>102.886</v>
      </c>
      <c r="M497" s="27">
        <v>42524</v>
      </c>
      <c r="N497">
        <v>122.538</v>
      </c>
      <c r="O497" s="27">
        <v>42158</v>
      </c>
      <c r="P497">
        <v>106.61499999999999</v>
      </c>
      <c r="S497" s="27">
        <v>42844</v>
      </c>
      <c r="T497">
        <v>3.6440000000000001</v>
      </c>
    </row>
    <row r="498" spans="3:20">
      <c r="C498" s="27">
        <v>41366</v>
      </c>
      <c r="D498">
        <v>4.3985000000000003</v>
      </c>
      <c r="G498" s="27">
        <v>43907</v>
      </c>
      <c r="H498">
        <v>101.866</v>
      </c>
      <c r="M498" s="27">
        <v>42527</v>
      </c>
      <c r="N498">
        <v>122.968</v>
      </c>
      <c r="O498" s="27">
        <v>42159</v>
      </c>
      <c r="P498">
        <v>106.137</v>
      </c>
      <c r="S498" s="27">
        <v>42845</v>
      </c>
      <c r="T498">
        <v>3.681</v>
      </c>
    </row>
    <row r="499" spans="3:20">
      <c r="C499" s="27">
        <v>41367</v>
      </c>
      <c r="D499">
        <v>4.4556000000000004</v>
      </c>
      <c r="G499" s="27">
        <v>43908</v>
      </c>
      <c r="H499">
        <v>99.173000000000002</v>
      </c>
      <c r="M499" s="27">
        <v>42528</v>
      </c>
      <c r="N499">
        <v>122.604</v>
      </c>
      <c r="O499" s="27">
        <v>42160</v>
      </c>
      <c r="P499">
        <v>106.256</v>
      </c>
      <c r="S499" s="27">
        <v>42846</v>
      </c>
      <c r="T499">
        <v>3.6829999999999998</v>
      </c>
    </row>
    <row r="500" spans="3:20">
      <c r="C500" s="27">
        <v>41368</v>
      </c>
      <c r="D500">
        <v>4.4282000000000004</v>
      </c>
      <c r="G500" s="27">
        <v>43909</v>
      </c>
      <c r="H500">
        <v>98.343000000000004</v>
      </c>
      <c r="M500" s="27">
        <v>42529</v>
      </c>
      <c r="N500">
        <v>122.816</v>
      </c>
      <c r="O500" s="27">
        <v>42163</v>
      </c>
      <c r="P500">
        <v>106.27800000000001</v>
      </c>
      <c r="S500" s="27">
        <v>42849</v>
      </c>
      <c r="T500">
        <v>3.7039999999999997</v>
      </c>
    </row>
    <row r="501" spans="3:20">
      <c r="C501" s="27">
        <v>41369</v>
      </c>
      <c r="D501">
        <v>4.3864000000000001</v>
      </c>
      <c r="G501" s="27">
        <v>43910</v>
      </c>
      <c r="H501">
        <v>99.34</v>
      </c>
      <c r="M501" s="27">
        <v>42530</v>
      </c>
      <c r="N501">
        <v>122.90300000000001</v>
      </c>
      <c r="O501" s="27">
        <v>42164</v>
      </c>
      <c r="P501">
        <v>106.117</v>
      </c>
      <c r="S501" s="27">
        <v>42851</v>
      </c>
      <c r="T501">
        <v>3.726</v>
      </c>
    </row>
    <row r="502" spans="3:20">
      <c r="C502" s="27">
        <v>41372</v>
      </c>
      <c r="D502">
        <v>4.3379000000000003</v>
      </c>
      <c r="G502" s="27">
        <v>43913</v>
      </c>
      <c r="H502">
        <v>99.44</v>
      </c>
      <c r="M502" s="27">
        <v>42531</v>
      </c>
      <c r="N502">
        <v>123.324</v>
      </c>
      <c r="O502" s="27">
        <v>42165</v>
      </c>
      <c r="P502">
        <v>105.791</v>
      </c>
      <c r="S502" s="27">
        <v>42852</v>
      </c>
      <c r="T502">
        <v>3.7250000000000001</v>
      </c>
    </row>
    <row r="503" spans="3:20">
      <c r="C503" s="27">
        <v>41373</v>
      </c>
      <c r="D503">
        <v>4.3437000000000001</v>
      </c>
      <c r="G503" s="27">
        <v>43914</v>
      </c>
      <c r="H503">
        <v>98.99</v>
      </c>
      <c r="M503" s="27">
        <v>42534</v>
      </c>
      <c r="N503">
        <v>123.887</v>
      </c>
      <c r="O503" s="27">
        <v>42166</v>
      </c>
      <c r="P503">
        <v>105.804</v>
      </c>
      <c r="S503" s="27">
        <v>42853</v>
      </c>
      <c r="T503">
        <v>3.698</v>
      </c>
    </row>
    <row r="504" spans="3:20">
      <c r="C504" s="27">
        <v>41374</v>
      </c>
      <c r="D504">
        <v>4.3545999999999996</v>
      </c>
      <c r="G504" s="27">
        <v>43915</v>
      </c>
      <c r="H504">
        <v>98.653000000000006</v>
      </c>
      <c r="M504" s="27">
        <v>42535</v>
      </c>
      <c r="N504">
        <v>124.36799999999999</v>
      </c>
      <c r="O504" s="27">
        <v>42167</v>
      </c>
      <c r="P504">
        <v>106.06699999999999</v>
      </c>
      <c r="S504" s="27">
        <v>42856</v>
      </c>
      <c r="T504">
        <v>3.7109999999999999</v>
      </c>
    </row>
    <row r="505" spans="3:20">
      <c r="C505" s="27">
        <v>41375</v>
      </c>
      <c r="D505">
        <v>4.3346999999999998</v>
      </c>
      <c r="G505" s="27">
        <v>43916</v>
      </c>
      <c r="H505">
        <v>99.200999999999993</v>
      </c>
      <c r="M505" s="27">
        <v>42536</v>
      </c>
      <c r="N505">
        <v>124.18</v>
      </c>
      <c r="O505" s="27">
        <v>42170</v>
      </c>
      <c r="P505">
        <v>106.20699999999999</v>
      </c>
      <c r="S505" s="27">
        <v>42857</v>
      </c>
      <c r="T505">
        <v>3.718</v>
      </c>
    </row>
    <row r="506" spans="3:20">
      <c r="C506" s="27">
        <v>41376</v>
      </c>
      <c r="D506">
        <v>4.3303000000000003</v>
      </c>
      <c r="G506" s="27">
        <v>43917</v>
      </c>
      <c r="H506">
        <v>99.933999999999997</v>
      </c>
      <c r="M506" s="27">
        <v>42537</v>
      </c>
      <c r="N506">
        <v>124.27800000000001</v>
      </c>
      <c r="O506" s="27">
        <v>42171</v>
      </c>
      <c r="P506">
        <v>106.20699999999999</v>
      </c>
      <c r="S506" s="27">
        <v>42858</v>
      </c>
      <c r="T506">
        <v>3.7069999999999999</v>
      </c>
    </row>
    <row r="507" spans="3:20">
      <c r="C507" s="27">
        <v>41379</v>
      </c>
      <c r="D507">
        <v>4.2464000000000004</v>
      </c>
      <c r="G507" s="27">
        <v>43920</v>
      </c>
      <c r="H507">
        <v>100.376</v>
      </c>
      <c r="M507" s="27">
        <v>42538</v>
      </c>
      <c r="N507">
        <v>124.036</v>
      </c>
      <c r="O507" s="27">
        <v>42172</v>
      </c>
      <c r="P507">
        <v>106.15600000000001</v>
      </c>
      <c r="S507" s="27">
        <v>42859</v>
      </c>
      <c r="T507">
        <v>3.734</v>
      </c>
    </row>
    <row r="508" spans="3:20">
      <c r="C508" s="27">
        <v>41380</v>
      </c>
      <c r="D508">
        <v>4.2592999999999996</v>
      </c>
      <c r="G508" s="27">
        <v>43921</v>
      </c>
      <c r="H508">
        <v>100.255</v>
      </c>
      <c r="M508" s="27">
        <v>42541</v>
      </c>
      <c r="N508">
        <v>123.74</v>
      </c>
      <c r="O508" s="27">
        <v>42173</v>
      </c>
      <c r="P508">
        <v>106.267</v>
      </c>
      <c r="S508" s="27">
        <v>42860</v>
      </c>
      <c r="T508">
        <v>3.742</v>
      </c>
    </row>
    <row r="509" spans="3:20">
      <c r="C509" s="27">
        <v>41381</v>
      </c>
      <c r="D509">
        <v>4.2911999999999999</v>
      </c>
      <c r="G509" s="27">
        <v>43922</v>
      </c>
      <c r="H509">
        <v>100.242</v>
      </c>
      <c r="M509" s="27">
        <v>42542</v>
      </c>
      <c r="N509">
        <v>123.68899999999999</v>
      </c>
      <c r="O509" s="27">
        <v>42174</v>
      </c>
      <c r="P509">
        <v>106.221</v>
      </c>
      <c r="S509" s="27">
        <v>42864</v>
      </c>
      <c r="T509">
        <v>3.8149999999999999</v>
      </c>
    </row>
    <row r="510" spans="3:20">
      <c r="C510" s="27">
        <v>41382</v>
      </c>
      <c r="D510">
        <v>4.2203999999999997</v>
      </c>
      <c r="G510" s="27">
        <v>43923</v>
      </c>
      <c r="H510">
        <v>99.936999999999998</v>
      </c>
      <c r="M510" s="27">
        <v>42543</v>
      </c>
      <c r="N510">
        <v>123.255</v>
      </c>
      <c r="O510" s="27">
        <v>42177</v>
      </c>
      <c r="P510">
        <v>106.08799999999999</v>
      </c>
      <c r="S510" s="27">
        <v>42865</v>
      </c>
      <c r="T510">
        <v>3.754</v>
      </c>
    </row>
    <row r="511" spans="3:20">
      <c r="C511" s="27">
        <v>41383</v>
      </c>
      <c r="D511">
        <v>4.2076000000000002</v>
      </c>
      <c r="G511" s="27">
        <v>43924</v>
      </c>
      <c r="H511">
        <v>100.015</v>
      </c>
      <c r="M511" s="27">
        <v>42544</v>
      </c>
      <c r="N511">
        <v>122.988</v>
      </c>
      <c r="O511" s="27">
        <v>42178</v>
      </c>
      <c r="P511">
        <v>105.863</v>
      </c>
      <c r="S511" s="27">
        <v>42866</v>
      </c>
      <c r="T511">
        <v>3.7450000000000001</v>
      </c>
    </row>
    <row r="512" spans="3:20">
      <c r="C512" s="27">
        <v>41386</v>
      </c>
      <c r="D512">
        <v>4.2390999999999996</v>
      </c>
      <c r="G512" s="27">
        <v>43927</v>
      </c>
      <c r="H512">
        <v>99.918999999999997</v>
      </c>
      <c r="M512" s="27">
        <v>42545</v>
      </c>
      <c r="N512">
        <v>122.646</v>
      </c>
      <c r="O512" s="27">
        <v>42179</v>
      </c>
      <c r="P512">
        <v>106.011</v>
      </c>
      <c r="S512" s="27">
        <v>42867</v>
      </c>
      <c r="T512">
        <v>3.7229999999999999</v>
      </c>
    </row>
    <row r="513" spans="3:20">
      <c r="C513" s="27">
        <v>41387</v>
      </c>
      <c r="D513">
        <v>4.1642000000000001</v>
      </c>
      <c r="G513" s="27">
        <v>43928</v>
      </c>
      <c r="H513">
        <v>99.376000000000005</v>
      </c>
      <c r="M513" s="27">
        <v>42548</v>
      </c>
      <c r="N513">
        <v>121.809</v>
      </c>
      <c r="O513" s="27">
        <v>42180</v>
      </c>
      <c r="P513">
        <v>106.083</v>
      </c>
      <c r="S513" s="27">
        <v>42870</v>
      </c>
      <c r="T513">
        <v>3.6579999999999999</v>
      </c>
    </row>
    <row r="514" spans="3:20">
      <c r="C514" s="27">
        <v>41388</v>
      </c>
      <c r="D514">
        <v>4.1079999999999997</v>
      </c>
      <c r="G514" s="27">
        <v>43929</v>
      </c>
      <c r="H514">
        <v>99.171999999999997</v>
      </c>
      <c r="M514" s="27">
        <v>42549</v>
      </c>
      <c r="N514">
        <v>121.726</v>
      </c>
      <c r="O514" s="27">
        <v>42181</v>
      </c>
      <c r="P514">
        <v>106.023</v>
      </c>
      <c r="S514" s="27">
        <v>42871</v>
      </c>
      <c r="T514">
        <v>3.6870000000000003</v>
      </c>
    </row>
    <row r="515" spans="3:20">
      <c r="C515" s="27">
        <v>41389</v>
      </c>
      <c r="D515">
        <v>4.1581999999999999</v>
      </c>
      <c r="G515" s="27">
        <v>43930</v>
      </c>
      <c r="H515">
        <v>99.771000000000001</v>
      </c>
      <c r="M515" s="27">
        <v>42550</v>
      </c>
      <c r="N515">
        <v>123.262</v>
      </c>
      <c r="O515" s="27">
        <v>42184</v>
      </c>
      <c r="P515">
        <v>106.363</v>
      </c>
      <c r="S515" s="27">
        <v>42872</v>
      </c>
      <c r="T515">
        <v>3.6429999999999998</v>
      </c>
    </row>
    <row r="516" spans="3:20">
      <c r="C516" s="27">
        <v>41390</v>
      </c>
      <c r="D516">
        <v>4.1060999999999996</v>
      </c>
      <c r="G516" s="27">
        <v>43935</v>
      </c>
      <c r="H516">
        <v>100.556</v>
      </c>
      <c r="M516" s="27">
        <v>42551</v>
      </c>
      <c r="N516">
        <v>124.39100000000001</v>
      </c>
      <c r="O516" s="27">
        <v>42185</v>
      </c>
      <c r="P516">
        <v>106.092</v>
      </c>
      <c r="S516" s="27">
        <v>42873</v>
      </c>
      <c r="T516">
        <v>3.6379999999999999</v>
      </c>
    </row>
    <row r="517" spans="3:20">
      <c r="C517" s="27">
        <v>41393</v>
      </c>
      <c r="D517">
        <v>4.0915999999999997</v>
      </c>
      <c r="G517" s="27">
        <v>43936</v>
      </c>
      <c r="H517">
        <v>101.43600000000001</v>
      </c>
      <c r="M517" s="27">
        <v>42552</v>
      </c>
      <c r="N517">
        <v>123.794</v>
      </c>
      <c r="O517" s="27">
        <v>42186</v>
      </c>
      <c r="P517">
        <v>106.03400000000001</v>
      </c>
      <c r="S517" s="27">
        <v>42874</v>
      </c>
      <c r="T517">
        <v>3.581</v>
      </c>
    </row>
    <row r="518" spans="3:20">
      <c r="C518" s="27">
        <v>41394</v>
      </c>
      <c r="D518">
        <v>4.0467000000000004</v>
      </c>
      <c r="G518" s="27">
        <v>43937</v>
      </c>
      <c r="H518">
        <v>101.548</v>
      </c>
      <c r="M518" s="27">
        <v>42555</v>
      </c>
      <c r="N518">
        <v>122.58499999999999</v>
      </c>
      <c r="O518" s="27">
        <v>42187</v>
      </c>
      <c r="P518">
        <v>106.02800000000001</v>
      </c>
      <c r="S518" s="27">
        <v>42877</v>
      </c>
      <c r="T518">
        <v>3.5680000000000001</v>
      </c>
    </row>
    <row r="519" spans="3:20">
      <c r="C519" s="27">
        <v>41395</v>
      </c>
      <c r="D519">
        <v>4.0270999999999999</v>
      </c>
      <c r="G519" s="27">
        <v>43938</v>
      </c>
      <c r="H519">
        <v>101.627</v>
      </c>
      <c r="M519" s="27">
        <v>42556</v>
      </c>
      <c r="N519">
        <v>122.47499999999999</v>
      </c>
      <c r="O519" s="27">
        <v>42188</v>
      </c>
      <c r="P519">
        <v>106.069</v>
      </c>
      <c r="S519" s="27">
        <v>42878</v>
      </c>
      <c r="T519">
        <v>3.5339999999999998</v>
      </c>
    </row>
    <row r="520" spans="3:20">
      <c r="C520" s="27">
        <v>41396</v>
      </c>
      <c r="D520">
        <v>3.9853000000000001</v>
      </c>
      <c r="G520" s="27">
        <v>43941</v>
      </c>
      <c r="H520">
        <v>101.617</v>
      </c>
      <c r="M520" s="27">
        <v>42557</v>
      </c>
      <c r="N520">
        <v>125.66800000000001</v>
      </c>
      <c r="O520" s="27">
        <v>42191</v>
      </c>
      <c r="P520">
        <v>106.431</v>
      </c>
      <c r="S520" s="27">
        <v>42879</v>
      </c>
      <c r="T520">
        <v>3.5449999999999999</v>
      </c>
    </row>
    <row r="521" spans="3:20">
      <c r="C521" s="27">
        <v>41397</v>
      </c>
      <c r="D521">
        <v>3.9882999999999997</v>
      </c>
      <c r="G521" s="27">
        <v>43942</v>
      </c>
      <c r="H521">
        <v>101.80200000000001</v>
      </c>
      <c r="M521" s="27">
        <v>42558</v>
      </c>
      <c r="N521">
        <v>126.458</v>
      </c>
      <c r="O521" s="27">
        <v>42192</v>
      </c>
      <c r="P521">
        <v>106.318</v>
      </c>
      <c r="S521" s="27">
        <v>42880</v>
      </c>
      <c r="T521">
        <v>3.52</v>
      </c>
    </row>
    <row r="522" spans="3:20">
      <c r="C522" s="27">
        <v>41400</v>
      </c>
      <c r="D522">
        <v>3.9666000000000001</v>
      </c>
      <c r="G522" s="27">
        <v>43943</v>
      </c>
      <c r="H522">
        <v>101.46899999999999</v>
      </c>
      <c r="M522" s="27">
        <v>42559</v>
      </c>
      <c r="N522">
        <v>125.194</v>
      </c>
      <c r="O522" s="27">
        <v>42193</v>
      </c>
      <c r="P522">
        <v>106.366</v>
      </c>
      <c r="S522" s="27">
        <v>42881</v>
      </c>
      <c r="T522">
        <v>3.496</v>
      </c>
    </row>
    <row r="523" spans="3:20">
      <c r="C523" s="27">
        <v>41401</v>
      </c>
      <c r="D523">
        <v>3.9260000000000002</v>
      </c>
      <c r="G523" s="27">
        <v>43944</v>
      </c>
      <c r="H523">
        <v>101.747</v>
      </c>
      <c r="M523" s="27">
        <v>42562</v>
      </c>
      <c r="N523">
        <v>124.959</v>
      </c>
      <c r="O523" s="27">
        <v>42194</v>
      </c>
      <c r="P523">
        <v>106.122</v>
      </c>
      <c r="S523" s="27">
        <v>42884</v>
      </c>
      <c r="T523">
        <v>3.51</v>
      </c>
    </row>
    <row r="524" spans="3:20">
      <c r="C524" s="27">
        <v>41402</v>
      </c>
      <c r="D524">
        <v>3.8839999999999999</v>
      </c>
      <c r="G524" s="27">
        <v>43945</v>
      </c>
      <c r="H524">
        <v>102.414</v>
      </c>
      <c r="M524" s="27">
        <v>42563</v>
      </c>
      <c r="N524">
        <v>122.08499999999999</v>
      </c>
      <c r="O524" s="27">
        <v>42195</v>
      </c>
      <c r="P524">
        <v>105.895</v>
      </c>
      <c r="S524" s="27">
        <v>42885</v>
      </c>
      <c r="T524">
        <v>3.4870000000000001</v>
      </c>
    </row>
    <row r="525" spans="3:20">
      <c r="C525" s="27">
        <v>41403</v>
      </c>
      <c r="D525">
        <v>3.9157000000000002</v>
      </c>
      <c r="G525" s="27">
        <v>43948</v>
      </c>
      <c r="H525">
        <v>102.69199999999999</v>
      </c>
      <c r="M525" s="27">
        <v>42564</v>
      </c>
      <c r="N525">
        <v>123.911</v>
      </c>
      <c r="O525" s="27">
        <v>42198</v>
      </c>
      <c r="P525">
        <v>105.58199999999999</v>
      </c>
      <c r="S525" s="27">
        <v>42886</v>
      </c>
      <c r="T525">
        <v>3.468</v>
      </c>
    </row>
    <row r="526" spans="3:20">
      <c r="C526" s="27">
        <v>41404</v>
      </c>
      <c r="D526">
        <v>3.9976000000000003</v>
      </c>
      <c r="G526" s="27">
        <v>43949</v>
      </c>
      <c r="H526">
        <v>102.943</v>
      </c>
      <c r="M526" s="27">
        <v>42565</v>
      </c>
      <c r="N526">
        <v>123.518</v>
      </c>
      <c r="O526" s="27">
        <v>42199</v>
      </c>
      <c r="P526">
        <v>105.80500000000001</v>
      </c>
      <c r="S526" s="27">
        <v>42887</v>
      </c>
      <c r="T526">
        <v>3.4830000000000001</v>
      </c>
    </row>
    <row r="527" spans="3:20">
      <c r="C527" s="27">
        <v>41407</v>
      </c>
      <c r="D527">
        <v>3.9590999999999998</v>
      </c>
      <c r="G527" s="27">
        <v>43950</v>
      </c>
      <c r="H527">
        <v>103.157</v>
      </c>
      <c r="M527" s="27">
        <v>42566</v>
      </c>
      <c r="N527">
        <v>120.611</v>
      </c>
      <c r="O527" s="27">
        <v>42200</v>
      </c>
      <c r="P527">
        <v>105.84</v>
      </c>
      <c r="S527" s="27">
        <v>42888</v>
      </c>
      <c r="T527">
        <v>3.4939999999999998</v>
      </c>
    </row>
    <row r="528" spans="3:20">
      <c r="C528" s="27">
        <v>41408</v>
      </c>
      <c r="D528">
        <v>3.9420000000000002</v>
      </c>
      <c r="G528" s="27">
        <v>43951</v>
      </c>
      <c r="H528">
        <v>103.861</v>
      </c>
      <c r="M528" s="27">
        <v>42569</v>
      </c>
      <c r="N528">
        <v>120.842</v>
      </c>
      <c r="O528" s="27">
        <v>42201</v>
      </c>
      <c r="P528">
        <v>106.051</v>
      </c>
      <c r="S528" s="27">
        <v>42891</v>
      </c>
      <c r="T528">
        <v>3.4910000000000001</v>
      </c>
    </row>
    <row r="529" spans="3:20">
      <c r="C529" s="27">
        <v>41409</v>
      </c>
      <c r="D529">
        <v>3.9609000000000001</v>
      </c>
      <c r="G529" s="27">
        <v>43955</v>
      </c>
      <c r="H529">
        <v>103.46</v>
      </c>
      <c r="M529" s="27">
        <v>42570</v>
      </c>
      <c r="N529">
        <v>122.348</v>
      </c>
      <c r="O529" s="27">
        <v>42202</v>
      </c>
      <c r="P529">
        <v>106.083</v>
      </c>
      <c r="S529" s="27">
        <v>42892</v>
      </c>
      <c r="T529">
        <v>3.4699999999999998</v>
      </c>
    </row>
    <row r="530" spans="3:20">
      <c r="C530" s="27">
        <v>41410</v>
      </c>
      <c r="D530">
        <v>3.9356999999999998</v>
      </c>
      <c r="G530" s="27">
        <v>43956</v>
      </c>
      <c r="H530">
        <v>103.54</v>
      </c>
      <c r="M530" s="27">
        <v>42571</v>
      </c>
      <c r="N530">
        <v>122.822</v>
      </c>
      <c r="O530" s="27">
        <v>42205</v>
      </c>
      <c r="P530">
        <v>106.172</v>
      </c>
      <c r="S530" s="27">
        <v>42893</v>
      </c>
      <c r="T530">
        <v>3.504</v>
      </c>
    </row>
    <row r="531" spans="3:20">
      <c r="C531" s="27">
        <v>41411</v>
      </c>
      <c r="D531">
        <v>3.8946000000000001</v>
      </c>
      <c r="G531" s="27">
        <v>43957</v>
      </c>
      <c r="H531">
        <v>102.956</v>
      </c>
      <c r="M531" s="27">
        <v>42572</v>
      </c>
      <c r="N531">
        <v>122.334</v>
      </c>
      <c r="O531" s="27">
        <v>42206</v>
      </c>
      <c r="P531">
        <v>106.285</v>
      </c>
      <c r="S531" s="27">
        <v>42894</v>
      </c>
      <c r="T531">
        <v>3.508</v>
      </c>
    </row>
    <row r="532" spans="3:20">
      <c r="C532" s="27">
        <v>41414</v>
      </c>
      <c r="D532">
        <v>3.9561000000000002</v>
      </c>
      <c r="G532" s="27">
        <v>43958</v>
      </c>
      <c r="H532">
        <v>103.063</v>
      </c>
      <c r="M532" s="27">
        <v>42573</v>
      </c>
      <c r="N532">
        <v>122.40600000000001</v>
      </c>
      <c r="O532" s="27">
        <v>42207</v>
      </c>
      <c r="P532">
        <v>106.215</v>
      </c>
      <c r="S532" s="27">
        <v>42895</v>
      </c>
      <c r="T532">
        <v>3.5220000000000002</v>
      </c>
    </row>
    <row r="533" spans="3:20">
      <c r="C533" s="27">
        <v>41415</v>
      </c>
      <c r="D533">
        <v>3.9630000000000001</v>
      </c>
      <c r="G533" s="27">
        <v>43959</v>
      </c>
      <c r="H533">
        <v>103.11199999999999</v>
      </c>
      <c r="M533" s="27">
        <v>42576</v>
      </c>
      <c r="N533">
        <v>121.474</v>
      </c>
      <c r="O533" s="27">
        <v>42208</v>
      </c>
      <c r="P533">
        <v>106.273</v>
      </c>
      <c r="S533" s="27">
        <v>42899</v>
      </c>
      <c r="T533">
        <v>3.5419999999999998</v>
      </c>
    </row>
    <row r="534" spans="3:20">
      <c r="C534" s="27">
        <v>41416</v>
      </c>
      <c r="D534">
        <v>3.9763000000000002</v>
      </c>
      <c r="G534" s="27">
        <v>43962</v>
      </c>
      <c r="H534">
        <v>102.889</v>
      </c>
      <c r="M534" s="27">
        <v>42577</v>
      </c>
      <c r="N534">
        <v>121.235</v>
      </c>
      <c r="O534" s="27">
        <v>42209</v>
      </c>
      <c r="P534">
        <v>106.26</v>
      </c>
      <c r="S534" s="27">
        <v>42900</v>
      </c>
      <c r="T534">
        <v>3.51</v>
      </c>
    </row>
    <row r="535" spans="3:20">
      <c r="C535" s="27">
        <v>41417</v>
      </c>
      <c r="D535">
        <v>3.9758</v>
      </c>
      <c r="G535" s="27">
        <v>43963</v>
      </c>
      <c r="H535">
        <v>102.762</v>
      </c>
      <c r="M535" s="27">
        <v>42578</v>
      </c>
      <c r="N535">
        <v>122.608</v>
      </c>
      <c r="O535" s="27">
        <v>42212</v>
      </c>
      <c r="P535">
        <v>106.307</v>
      </c>
      <c r="S535" s="27">
        <v>42901</v>
      </c>
      <c r="T535">
        <v>3.5369999999999999</v>
      </c>
    </row>
    <row r="536" spans="3:20">
      <c r="C536" s="27">
        <v>41418</v>
      </c>
      <c r="D536">
        <v>3.9851999999999999</v>
      </c>
      <c r="G536" s="27">
        <v>43964</v>
      </c>
      <c r="H536">
        <v>102.764</v>
      </c>
      <c r="M536" s="27">
        <v>42579</v>
      </c>
      <c r="N536">
        <v>123.157</v>
      </c>
      <c r="O536" s="27">
        <v>42213</v>
      </c>
      <c r="P536">
        <v>106.187</v>
      </c>
      <c r="S536" s="27">
        <v>42902</v>
      </c>
      <c r="T536">
        <v>3.56</v>
      </c>
    </row>
    <row r="537" spans="3:20">
      <c r="C537" s="27">
        <v>41421</v>
      </c>
      <c r="D537">
        <v>3.9558</v>
      </c>
      <c r="G537" s="27">
        <v>43965</v>
      </c>
      <c r="H537">
        <v>102.889</v>
      </c>
      <c r="M537" s="27">
        <v>42580</v>
      </c>
      <c r="N537">
        <v>123.071</v>
      </c>
      <c r="O537" s="27">
        <v>42214</v>
      </c>
      <c r="P537">
        <v>106.185</v>
      </c>
      <c r="S537" s="27">
        <v>42905</v>
      </c>
      <c r="T537">
        <v>3.5760000000000001</v>
      </c>
    </row>
    <row r="538" spans="3:20">
      <c r="C538" s="27">
        <v>41422</v>
      </c>
      <c r="D538">
        <v>3.9964</v>
      </c>
      <c r="G538" s="27">
        <v>43966</v>
      </c>
      <c r="H538">
        <v>102.84</v>
      </c>
      <c r="M538" s="27">
        <v>42583</v>
      </c>
      <c r="N538">
        <v>123.08499999999999</v>
      </c>
      <c r="O538" s="27">
        <v>42215</v>
      </c>
      <c r="P538">
        <v>106.22</v>
      </c>
      <c r="S538" s="27">
        <v>42906</v>
      </c>
      <c r="T538">
        <v>3.605</v>
      </c>
    </row>
    <row r="539" spans="3:20">
      <c r="C539" s="27">
        <v>41423</v>
      </c>
      <c r="D539">
        <v>4.0434999999999999</v>
      </c>
      <c r="G539" s="27">
        <v>43969</v>
      </c>
      <c r="H539">
        <v>102.496</v>
      </c>
      <c r="M539" s="27">
        <v>42584</v>
      </c>
      <c r="N539">
        <v>122.889</v>
      </c>
      <c r="O539" s="27">
        <v>42216</v>
      </c>
      <c r="P539">
        <v>106.35</v>
      </c>
      <c r="S539" s="27">
        <v>42907</v>
      </c>
      <c r="T539">
        <v>3.5819999999999999</v>
      </c>
    </row>
    <row r="540" spans="3:20">
      <c r="C540" s="27">
        <v>41424</v>
      </c>
      <c r="D540">
        <v>3.9727999999999999</v>
      </c>
      <c r="G540" s="27">
        <v>43970</v>
      </c>
      <c r="H540">
        <v>102.49</v>
      </c>
      <c r="M540" s="27">
        <v>42585</v>
      </c>
      <c r="N540">
        <v>122.586</v>
      </c>
      <c r="O540" s="27">
        <v>42219</v>
      </c>
      <c r="P540">
        <v>106.337</v>
      </c>
      <c r="S540" s="27">
        <v>42908</v>
      </c>
      <c r="T540">
        <v>3.5670000000000002</v>
      </c>
    </row>
    <row r="541" spans="3:20">
      <c r="C541" s="27">
        <v>41425</v>
      </c>
      <c r="D541">
        <v>3.9565999999999999</v>
      </c>
      <c r="G541" s="27">
        <v>43971</v>
      </c>
      <c r="H541">
        <v>102.621</v>
      </c>
      <c r="M541" s="27">
        <v>42586</v>
      </c>
      <c r="N541">
        <v>122.646</v>
      </c>
      <c r="O541" s="27">
        <v>42220</v>
      </c>
      <c r="P541">
        <v>106.429</v>
      </c>
      <c r="S541" s="27">
        <v>42909</v>
      </c>
      <c r="T541">
        <v>3.5649999999999999</v>
      </c>
    </row>
    <row r="542" spans="3:20">
      <c r="C542" s="27">
        <v>41428</v>
      </c>
      <c r="D542">
        <v>3.9828999999999999</v>
      </c>
      <c r="G542" s="27">
        <v>43972</v>
      </c>
      <c r="H542">
        <v>102.996</v>
      </c>
      <c r="M542" s="27">
        <v>42587</v>
      </c>
      <c r="N542">
        <v>122.851</v>
      </c>
      <c r="O542" s="27">
        <v>42221</v>
      </c>
      <c r="P542">
        <v>106.312</v>
      </c>
      <c r="S542" s="27">
        <v>42912</v>
      </c>
      <c r="T542">
        <v>3.56</v>
      </c>
    </row>
    <row r="543" spans="3:20">
      <c r="C543" s="27">
        <v>41429</v>
      </c>
      <c r="D543">
        <v>4.0068999999999999</v>
      </c>
      <c r="G543" s="27">
        <v>43973</v>
      </c>
      <c r="H543">
        <v>103.066</v>
      </c>
      <c r="M543" s="27">
        <v>42590</v>
      </c>
      <c r="N543">
        <v>122.651</v>
      </c>
      <c r="O543" s="27">
        <v>42222</v>
      </c>
      <c r="P543">
        <v>106.232</v>
      </c>
      <c r="S543" s="27">
        <v>42916</v>
      </c>
      <c r="T543">
        <v>3.7229999999999999</v>
      </c>
    </row>
    <row r="544" spans="3:20">
      <c r="C544" s="27">
        <v>41430</v>
      </c>
      <c r="D544">
        <v>3.9590000000000001</v>
      </c>
      <c r="G544" s="27">
        <v>43976</v>
      </c>
      <c r="H544">
        <v>103.08199999999999</v>
      </c>
      <c r="M544" s="27">
        <v>42591</v>
      </c>
      <c r="N544">
        <v>122.581</v>
      </c>
      <c r="O544" s="27">
        <v>42223</v>
      </c>
      <c r="P544">
        <v>106.319</v>
      </c>
      <c r="S544" s="27">
        <v>42919</v>
      </c>
      <c r="T544">
        <v>3.7629999999999999</v>
      </c>
    </row>
    <row r="545" spans="3:20">
      <c r="C545" s="27">
        <v>41431</v>
      </c>
      <c r="D545">
        <v>3.8904999999999998</v>
      </c>
      <c r="G545" s="27">
        <v>43977</v>
      </c>
      <c r="H545">
        <v>102.896</v>
      </c>
      <c r="M545" s="27">
        <v>42592</v>
      </c>
      <c r="N545">
        <v>122.402</v>
      </c>
      <c r="O545" s="27">
        <v>42226</v>
      </c>
      <c r="P545">
        <v>106.38500000000001</v>
      </c>
      <c r="S545" s="27">
        <v>42920</v>
      </c>
      <c r="T545">
        <v>3.669</v>
      </c>
    </row>
    <row r="546" spans="3:20">
      <c r="C546" s="27">
        <v>41432</v>
      </c>
      <c r="D546">
        <v>3.8570000000000002</v>
      </c>
      <c r="G546" s="27">
        <v>43978</v>
      </c>
      <c r="H546">
        <v>103.20399999999999</v>
      </c>
      <c r="M546" s="27">
        <v>42593</v>
      </c>
      <c r="N546">
        <v>122.352</v>
      </c>
      <c r="O546" s="27">
        <v>42227</v>
      </c>
      <c r="P546">
        <v>106.43600000000001</v>
      </c>
      <c r="S546" s="27">
        <v>42921</v>
      </c>
      <c r="T546">
        <v>3.6879999999999997</v>
      </c>
    </row>
    <row r="547" spans="3:20">
      <c r="C547" s="27">
        <v>41435</v>
      </c>
      <c r="D547">
        <v>3.9247000000000001</v>
      </c>
      <c r="G547" s="27">
        <v>43979</v>
      </c>
      <c r="H547">
        <v>103.41200000000001</v>
      </c>
      <c r="M547" s="27">
        <v>42594</v>
      </c>
      <c r="N547">
        <v>122.44799999999999</v>
      </c>
      <c r="O547" s="27">
        <v>42228</v>
      </c>
      <c r="P547">
        <v>106.59099999999999</v>
      </c>
      <c r="S547" s="27">
        <v>42922</v>
      </c>
      <c r="T547">
        <v>3.6989999999999998</v>
      </c>
    </row>
    <row r="548" spans="3:20">
      <c r="C548" s="27">
        <v>41436</v>
      </c>
      <c r="D548">
        <v>3.9569999999999999</v>
      </c>
      <c r="G548" s="27">
        <v>43980</v>
      </c>
      <c r="H548">
        <v>103.72</v>
      </c>
      <c r="M548" s="27">
        <v>42597</v>
      </c>
      <c r="N548">
        <v>122.452</v>
      </c>
      <c r="O548" s="27">
        <v>42229</v>
      </c>
      <c r="P548">
        <v>106.48099999999999</v>
      </c>
      <c r="S548" s="27">
        <v>42923</v>
      </c>
      <c r="T548">
        <v>3.7970000000000002</v>
      </c>
    </row>
    <row r="549" spans="3:20">
      <c r="C549" s="27">
        <v>41437</v>
      </c>
      <c r="D549">
        <v>4.0237999999999996</v>
      </c>
      <c r="G549" s="27">
        <v>43983</v>
      </c>
      <c r="H549">
        <v>103.455</v>
      </c>
      <c r="M549" s="27">
        <v>42598</v>
      </c>
      <c r="N549">
        <v>122.227</v>
      </c>
      <c r="O549" s="27">
        <v>42230</v>
      </c>
      <c r="P549">
        <v>106.498</v>
      </c>
      <c r="S549" s="27">
        <v>42926</v>
      </c>
      <c r="T549">
        <v>3.7949999999999999</v>
      </c>
    </row>
    <row r="550" spans="3:20">
      <c r="C550" s="27">
        <v>41438</v>
      </c>
      <c r="D550">
        <v>3.9866000000000001</v>
      </c>
      <c r="G550" s="27">
        <v>43984</v>
      </c>
      <c r="H550">
        <v>103.839</v>
      </c>
      <c r="M550" s="27">
        <v>42599</v>
      </c>
      <c r="N550">
        <v>121.88500000000001</v>
      </c>
      <c r="O550" s="27">
        <v>42233</v>
      </c>
      <c r="P550">
        <v>106.399</v>
      </c>
      <c r="S550" s="27">
        <v>42930</v>
      </c>
      <c r="T550">
        <v>3.7389999999999999</v>
      </c>
    </row>
    <row r="551" spans="3:20">
      <c r="C551" s="27">
        <v>41439</v>
      </c>
      <c r="D551">
        <v>3.9864000000000002</v>
      </c>
      <c r="G551" s="27">
        <v>43985</v>
      </c>
      <c r="H551">
        <v>103.651</v>
      </c>
      <c r="M551" s="27">
        <v>42600</v>
      </c>
      <c r="N551">
        <v>121.643</v>
      </c>
      <c r="O551" s="27">
        <v>42234</v>
      </c>
      <c r="P551">
        <v>106.443</v>
      </c>
      <c r="S551" s="27">
        <v>42933</v>
      </c>
      <c r="T551">
        <v>3.7450000000000001</v>
      </c>
    </row>
    <row r="552" spans="3:20">
      <c r="C552" s="27">
        <v>41442</v>
      </c>
      <c r="D552">
        <v>4.0208000000000004</v>
      </c>
      <c r="G552" s="27">
        <v>43986</v>
      </c>
      <c r="H552">
        <v>103.834</v>
      </c>
      <c r="M552" s="27">
        <v>42601</v>
      </c>
      <c r="N552">
        <v>122.914</v>
      </c>
      <c r="O552" s="27">
        <v>42235</v>
      </c>
      <c r="P552">
        <v>106.366</v>
      </c>
      <c r="S552" s="27">
        <v>42934</v>
      </c>
      <c r="T552">
        <v>3.8109999999999999</v>
      </c>
    </row>
    <row r="553" spans="3:20">
      <c r="C553" s="27">
        <v>41443</v>
      </c>
      <c r="D553">
        <v>4.0065</v>
      </c>
      <c r="G553" s="27">
        <v>43987</v>
      </c>
      <c r="H553">
        <v>104.339</v>
      </c>
      <c r="M553" s="27">
        <v>42604</v>
      </c>
      <c r="N553">
        <v>122.792</v>
      </c>
      <c r="O553" s="27">
        <v>42236</v>
      </c>
      <c r="P553">
        <v>106.404</v>
      </c>
      <c r="S553" s="27">
        <v>42935</v>
      </c>
      <c r="T553">
        <v>3.802</v>
      </c>
    </row>
    <row r="554" spans="3:20">
      <c r="C554" s="27">
        <v>41444</v>
      </c>
      <c r="D554">
        <v>4.0179</v>
      </c>
      <c r="G554" s="27">
        <v>43990</v>
      </c>
      <c r="H554">
        <v>104.88</v>
      </c>
      <c r="M554" s="27">
        <v>42605</v>
      </c>
      <c r="N554">
        <v>121.658</v>
      </c>
      <c r="O554" s="27">
        <v>42237</v>
      </c>
      <c r="P554">
        <v>106.44499999999999</v>
      </c>
      <c r="S554" s="27">
        <v>42936</v>
      </c>
      <c r="T554">
        <v>3.8170000000000002</v>
      </c>
    </row>
    <row r="555" spans="3:20">
      <c r="C555" s="27">
        <v>41445</v>
      </c>
      <c r="D555">
        <v>4.1665000000000001</v>
      </c>
      <c r="G555" s="27">
        <v>43991</v>
      </c>
      <c r="H555">
        <v>104.813</v>
      </c>
      <c r="M555" s="27">
        <v>42606</v>
      </c>
      <c r="N555">
        <v>121.413</v>
      </c>
      <c r="O555" s="27">
        <v>42240</v>
      </c>
      <c r="P555">
        <v>106.399</v>
      </c>
      <c r="S555" s="27">
        <v>42937</v>
      </c>
      <c r="T555">
        <v>3.6949999999999998</v>
      </c>
    </row>
    <row r="556" spans="3:20">
      <c r="C556" s="27">
        <v>41446</v>
      </c>
      <c r="D556">
        <v>4.2648999999999999</v>
      </c>
      <c r="G556" s="27">
        <v>43992</v>
      </c>
      <c r="H556">
        <v>104.74</v>
      </c>
      <c r="M556" s="27">
        <v>42607</v>
      </c>
      <c r="N556">
        <v>121.015</v>
      </c>
      <c r="O556" s="27">
        <v>42241</v>
      </c>
      <c r="P556">
        <v>106.121</v>
      </c>
      <c r="S556" s="27">
        <v>42942</v>
      </c>
      <c r="T556">
        <v>3.742</v>
      </c>
    </row>
    <row r="557" spans="3:20">
      <c r="C557" s="27">
        <v>41449</v>
      </c>
      <c r="D557">
        <v>4.5</v>
      </c>
      <c r="G557" s="27">
        <v>43993</v>
      </c>
      <c r="H557">
        <v>104.965</v>
      </c>
      <c r="M557" s="27">
        <v>42608</v>
      </c>
      <c r="N557">
        <v>120.928</v>
      </c>
      <c r="O557" s="27">
        <v>42242</v>
      </c>
      <c r="P557">
        <v>105.786</v>
      </c>
      <c r="S557" s="27">
        <v>42943</v>
      </c>
      <c r="T557">
        <v>3.6930000000000001</v>
      </c>
    </row>
    <row r="558" spans="3:20">
      <c r="C558" s="27">
        <v>41450</v>
      </c>
      <c r="D558">
        <v>4.3612000000000002</v>
      </c>
      <c r="G558" s="27">
        <v>43994</v>
      </c>
      <c r="H558">
        <v>105.05500000000001</v>
      </c>
      <c r="M558" s="27">
        <v>42611</v>
      </c>
      <c r="N558">
        <v>120.705</v>
      </c>
      <c r="O558" s="27">
        <v>42243</v>
      </c>
      <c r="P558">
        <v>105.773</v>
      </c>
      <c r="S558" s="27">
        <v>42948</v>
      </c>
      <c r="T558">
        <v>3.6760000000000002</v>
      </c>
    </row>
    <row r="559" spans="3:20">
      <c r="C559" s="27">
        <v>41451</v>
      </c>
      <c r="D559">
        <v>4.3761999999999999</v>
      </c>
      <c r="G559" s="27">
        <v>43997</v>
      </c>
      <c r="H559">
        <v>105.048</v>
      </c>
      <c r="M559" s="27">
        <v>42612</v>
      </c>
      <c r="N559">
        <v>120.697</v>
      </c>
      <c r="O559" s="27">
        <v>42244</v>
      </c>
      <c r="P559">
        <v>105.80200000000001</v>
      </c>
      <c r="S559" s="27">
        <v>43139</v>
      </c>
      <c r="T559">
        <v>3.3340000000000001</v>
      </c>
    </row>
    <row r="560" spans="3:20">
      <c r="C560" s="27">
        <v>41452</v>
      </c>
      <c r="D560">
        <v>4.2900999999999998</v>
      </c>
      <c r="G560" s="27">
        <v>43998</v>
      </c>
      <c r="H560">
        <v>105.321</v>
      </c>
      <c r="M560" s="27">
        <v>42613</v>
      </c>
      <c r="N560">
        <v>122.818</v>
      </c>
      <c r="O560" s="27">
        <v>42247</v>
      </c>
      <c r="P560">
        <v>105.736</v>
      </c>
      <c r="S560" s="27">
        <v>43146</v>
      </c>
      <c r="T560">
        <v>3.343</v>
      </c>
    </row>
    <row r="561" spans="3:20">
      <c r="C561" s="27">
        <v>41453</v>
      </c>
      <c r="D561">
        <v>4.2073</v>
      </c>
      <c r="G561" s="27">
        <v>43999</v>
      </c>
      <c r="H561">
        <v>105.30800000000001</v>
      </c>
      <c r="M561" s="27">
        <v>42614</v>
      </c>
      <c r="N561">
        <v>121.17400000000001</v>
      </c>
      <c r="O561" s="27">
        <v>42248</v>
      </c>
      <c r="P561">
        <v>105.587</v>
      </c>
      <c r="S561" s="27">
        <v>43168</v>
      </c>
      <c r="T561">
        <v>3.2439999999999998</v>
      </c>
    </row>
    <row r="562" spans="3:20">
      <c r="C562" s="27">
        <v>41456</v>
      </c>
      <c r="D562">
        <v>4.2747000000000002</v>
      </c>
      <c r="G562" s="27">
        <v>44000</v>
      </c>
      <c r="H562">
        <v>105.286</v>
      </c>
      <c r="M562" s="27">
        <v>42615</v>
      </c>
      <c r="N562">
        <v>120.82899999999999</v>
      </c>
      <c r="O562" s="27">
        <v>42249</v>
      </c>
      <c r="P562">
        <v>105.49299999999999</v>
      </c>
      <c r="S562" s="27">
        <v>43173</v>
      </c>
      <c r="T562">
        <v>3.2450000000000001</v>
      </c>
    </row>
    <row r="563" spans="3:20">
      <c r="C563" s="27">
        <v>41457</v>
      </c>
      <c r="D563">
        <v>4.2392000000000003</v>
      </c>
      <c r="G563" s="27">
        <v>44001</v>
      </c>
      <c r="H563">
        <v>105.324</v>
      </c>
      <c r="M563" s="27">
        <v>42618</v>
      </c>
      <c r="N563">
        <v>120.822</v>
      </c>
      <c r="O563" s="27">
        <v>42250</v>
      </c>
      <c r="P563">
        <v>105.569</v>
      </c>
      <c r="S563" s="27">
        <v>43174</v>
      </c>
      <c r="T563">
        <v>3.2040000000000002</v>
      </c>
    </row>
    <row r="564" spans="3:20">
      <c r="C564" s="27">
        <v>41458</v>
      </c>
      <c r="D564">
        <v>4.1859000000000002</v>
      </c>
      <c r="G564" s="27">
        <v>44004</v>
      </c>
      <c r="H564">
        <v>105.46299999999999</v>
      </c>
      <c r="M564" s="27">
        <v>42619</v>
      </c>
      <c r="N564">
        <v>120.94199999999999</v>
      </c>
      <c r="O564" s="27">
        <v>42251</v>
      </c>
      <c r="P564">
        <v>105.806</v>
      </c>
      <c r="S564" s="27">
        <v>43175</v>
      </c>
      <c r="T564">
        <v>3.21</v>
      </c>
    </row>
    <row r="565" spans="3:20">
      <c r="C565" s="27">
        <v>41459</v>
      </c>
      <c r="D565">
        <v>4.2527999999999997</v>
      </c>
      <c r="G565" s="27">
        <v>44005</v>
      </c>
      <c r="H565">
        <v>105.191</v>
      </c>
      <c r="M565" s="27">
        <v>42620</v>
      </c>
      <c r="N565">
        <v>122.857</v>
      </c>
      <c r="O565" s="27">
        <v>42254</v>
      </c>
      <c r="P565">
        <v>105.85599999999999</v>
      </c>
      <c r="S565" s="27">
        <v>43178</v>
      </c>
      <c r="T565">
        <v>3.2189999999999999</v>
      </c>
    </row>
    <row r="566" spans="3:20">
      <c r="C566" s="27">
        <v>41460</v>
      </c>
      <c r="D566">
        <v>4.2885999999999997</v>
      </c>
      <c r="G566" s="27">
        <v>44006</v>
      </c>
      <c r="H566">
        <v>105.086</v>
      </c>
      <c r="M566" s="27">
        <v>42621</v>
      </c>
      <c r="N566">
        <v>122.79</v>
      </c>
      <c r="O566" s="27">
        <v>42255</v>
      </c>
      <c r="P566">
        <v>105.85599999999999</v>
      </c>
      <c r="S566" s="27">
        <v>43179</v>
      </c>
      <c r="T566">
        <v>3.2359999999999998</v>
      </c>
    </row>
    <row r="567" spans="3:20">
      <c r="C567" s="27">
        <v>41463</v>
      </c>
      <c r="D567">
        <v>4.3181000000000003</v>
      </c>
      <c r="G567" s="27">
        <v>44007</v>
      </c>
      <c r="H567">
        <v>105.21</v>
      </c>
      <c r="M567" s="27">
        <v>42622</v>
      </c>
      <c r="N567">
        <v>122.22499999999999</v>
      </c>
      <c r="O567" s="27">
        <v>42256</v>
      </c>
      <c r="P567">
        <v>105.816</v>
      </c>
      <c r="S567" s="27">
        <v>43180</v>
      </c>
      <c r="T567">
        <v>3.2749999999999999</v>
      </c>
    </row>
    <row r="568" spans="3:20">
      <c r="C568" s="27">
        <v>41464</v>
      </c>
      <c r="D568">
        <v>4.2571000000000003</v>
      </c>
      <c r="G568" s="27">
        <v>44008</v>
      </c>
      <c r="H568">
        <v>105.27200000000001</v>
      </c>
      <c r="M568" s="27">
        <v>42625</v>
      </c>
      <c r="N568">
        <v>121.63800000000001</v>
      </c>
      <c r="O568" s="27">
        <v>42257</v>
      </c>
      <c r="P568">
        <v>105.875</v>
      </c>
      <c r="S568" s="27">
        <v>43181</v>
      </c>
      <c r="T568">
        <v>3.31</v>
      </c>
    </row>
    <row r="569" spans="3:20">
      <c r="C569" s="27">
        <v>41465</v>
      </c>
      <c r="D569">
        <v>4.2031999999999998</v>
      </c>
      <c r="G569" s="27">
        <v>44011</v>
      </c>
      <c r="H569">
        <v>105.14400000000001</v>
      </c>
      <c r="M569" s="27">
        <v>42626</v>
      </c>
      <c r="N569">
        <v>121.464</v>
      </c>
      <c r="O569" s="27">
        <v>42258</v>
      </c>
      <c r="P569">
        <v>105.839</v>
      </c>
      <c r="S569" s="27">
        <v>43185</v>
      </c>
      <c r="T569">
        <v>3.282</v>
      </c>
    </row>
    <row r="570" spans="3:20">
      <c r="C570" s="27">
        <v>41466</v>
      </c>
      <c r="D570">
        <v>4.1497999999999999</v>
      </c>
      <c r="G570" s="27">
        <v>44012</v>
      </c>
      <c r="H570">
        <v>105.039</v>
      </c>
      <c r="M570" s="27">
        <v>42627</v>
      </c>
      <c r="N570">
        <v>121.34099999999999</v>
      </c>
      <c r="O570" s="27">
        <v>42261</v>
      </c>
      <c r="P570">
        <v>105.798</v>
      </c>
      <c r="S570" s="27">
        <v>43186</v>
      </c>
      <c r="T570">
        <v>3.2850000000000001</v>
      </c>
    </row>
    <row r="571" spans="3:20">
      <c r="C571" s="27">
        <v>41467</v>
      </c>
      <c r="D571">
        <v>4.1235999999999997</v>
      </c>
      <c r="G571" s="27">
        <v>44013</v>
      </c>
      <c r="H571">
        <v>104.67700000000001</v>
      </c>
      <c r="M571" s="27">
        <v>42628</v>
      </c>
      <c r="N571">
        <v>121.675</v>
      </c>
      <c r="O571" s="27">
        <v>42262</v>
      </c>
      <c r="P571">
        <v>105.798</v>
      </c>
      <c r="S571" s="27">
        <v>43193</v>
      </c>
      <c r="T571">
        <v>3.214</v>
      </c>
    </row>
    <row r="572" spans="3:20">
      <c r="C572" s="27">
        <v>41470</v>
      </c>
      <c r="D572">
        <v>4.101</v>
      </c>
      <c r="G572" s="27">
        <v>44014</v>
      </c>
      <c r="H572">
        <v>104.97799999999999</v>
      </c>
      <c r="M572" s="27">
        <v>42629</v>
      </c>
      <c r="N572">
        <v>122.026</v>
      </c>
      <c r="O572" s="27">
        <v>42263</v>
      </c>
      <c r="P572">
        <v>105.504</v>
      </c>
      <c r="S572" s="27">
        <v>43199</v>
      </c>
      <c r="T572">
        <v>3.2589999999999999</v>
      </c>
    </row>
    <row r="573" spans="3:20">
      <c r="C573" s="27">
        <v>41471</v>
      </c>
      <c r="D573">
        <v>4.1574</v>
      </c>
      <c r="G573" s="27">
        <v>44015</v>
      </c>
      <c r="H573">
        <v>105.038</v>
      </c>
      <c r="M573" s="27">
        <v>42632</v>
      </c>
      <c r="N573">
        <v>122.04300000000001</v>
      </c>
      <c r="O573" s="27">
        <v>42264</v>
      </c>
      <c r="P573">
        <v>105.44499999999999</v>
      </c>
      <c r="S573" s="27">
        <v>43206</v>
      </c>
      <c r="T573">
        <v>3.351</v>
      </c>
    </row>
    <row r="574" spans="3:20">
      <c r="C574" s="27">
        <v>41472</v>
      </c>
      <c r="D574">
        <v>4.1516000000000002</v>
      </c>
      <c r="G574" s="27">
        <v>44018</v>
      </c>
      <c r="H574">
        <v>105.148</v>
      </c>
      <c r="M574" s="27">
        <v>42633</v>
      </c>
      <c r="N574">
        <v>121.63500000000001</v>
      </c>
      <c r="O574" s="27">
        <v>42265</v>
      </c>
      <c r="P574">
        <v>105.696</v>
      </c>
      <c r="S574" s="27">
        <v>43221</v>
      </c>
      <c r="T574">
        <v>3.294</v>
      </c>
    </row>
    <row r="575" spans="3:20">
      <c r="C575" s="27">
        <v>41473</v>
      </c>
      <c r="D575">
        <v>4.1113</v>
      </c>
      <c r="G575" s="27">
        <v>44019</v>
      </c>
      <c r="H575">
        <v>105.169</v>
      </c>
      <c r="M575" s="27">
        <v>42634</v>
      </c>
      <c r="N575">
        <v>122.20099999999999</v>
      </c>
      <c r="O575" s="27">
        <v>42268</v>
      </c>
      <c r="P575">
        <v>105.654</v>
      </c>
      <c r="S575" s="27">
        <v>43229</v>
      </c>
      <c r="T575">
        <v>3.2890000000000001</v>
      </c>
    </row>
    <row r="576" spans="3:20">
      <c r="C576" s="27">
        <v>41474</v>
      </c>
      <c r="D576">
        <v>4.0884</v>
      </c>
      <c r="G576" s="27">
        <v>44020</v>
      </c>
      <c r="H576">
        <v>105.41200000000001</v>
      </c>
      <c r="M576" s="27">
        <v>42635</v>
      </c>
      <c r="N576">
        <v>122.622</v>
      </c>
      <c r="O576" s="27">
        <v>42269</v>
      </c>
      <c r="P576">
        <v>105.67700000000001</v>
      </c>
      <c r="S576" s="27">
        <v>43266</v>
      </c>
      <c r="T576">
        <v>3.2349999999999999</v>
      </c>
    </row>
    <row r="577" spans="3:20">
      <c r="C577" s="27">
        <v>41477</v>
      </c>
      <c r="D577">
        <v>4.0289999999999999</v>
      </c>
      <c r="G577" s="27">
        <v>44021</v>
      </c>
      <c r="H577">
        <v>105.61</v>
      </c>
      <c r="M577" s="27">
        <v>42636</v>
      </c>
      <c r="N577">
        <v>122.886</v>
      </c>
      <c r="O577" s="27">
        <v>42270</v>
      </c>
      <c r="P577">
        <v>105.76</v>
      </c>
      <c r="S577" s="27">
        <v>43269</v>
      </c>
      <c r="T577">
        <v>3.2240000000000002</v>
      </c>
    </row>
    <row r="578" spans="3:20">
      <c r="C578" s="27">
        <v>41478</v>
      </c>
      <c r="D578">
        <v>4.0270000000000001</v>
      </c>
      <c r="G578" s="27">
        <v>44022</v>
      </c>
      <c r="H578">
        <v>105.669</v>
      </c>
      <c r="M578" s="27">
        <v>42639</v>
      </c>
      <c r="N578">
        <v>123.047</v>
      </c>
      <c r="O578" s="27">
        <v>42271</v>
      </c>
      <c r="P578">
        <v>105.65300000000001</v>
      </c>
      <c r="S578" s="27">
        <v>43270</v>
      </c>
      <c r="T578">
        <v>3.21</v>
      </c>
    </row>
    <row r="579" spans="3:20">
      <c r="C579" s="27">
        <v>41479</v>
      </c>
      <c r="D579">
        <v>4.0446</v>
      </c>
      <c r="G579" s="27">
        <v>44025</v>
      </c>
      <c r="H579">
        <v>105.301</v>
      </c>
      <c r="M579" s="27">
        <v>42640</v>
      </c>
      <c r="N579">
        <v>123.27500000000001</v>
      </c>
      <c r="O579" s="27">
        <v>42272</v>
      </c>
      <c r="P579">
        <v>105.473</v>
      </c>
      <c r="S579" s="27">
        <v>43271</v>
      </c>
      <c r="T579">
        <v>3.25</v>
      </c>
    </row>
    <row r="580" spans="3:20">
      <c r="C580" s="27">
        <v>41480</v>
      </c>
      <c r="D580">
        <v>4.0872999999999999</v>
      </c>
      <c r="G580" s="27">
        <v>44026</v>
      </c>
      <c r="H580">
        <v>105.568</v>
      </c>
      <c r="M580" s="27">
        <v>42641</v>
      </c>
      <c r="N580">
        <v>123.732</v>
      </c>
      <c r="O580" s="27">
        <v>42275</v>
      </c>
      <c r="P580">
        <v>105.52800000000001</v>
      </c>
      <c r="S580" s="27">
        <v>43272</v>
      </c>
      <c r="T580">
        <v>3.2549999999999999</v>
      </c>
    </row>
    <row r="581" spans="3:20">
      <c r="C581" s="27">
        <v>41481</v>
      </c>
      <c r="D581">
        <v>4.0667</v>
      </c>
      <c r="G581" s="27">
        <v>44027</v>
      </c>
      <c r="H581">
        <v>105.79900000000001</v>
      </c>
      <c r="M581" s="27">
        <v>42642</v>
      </c>
      <c r="N581">
        <v>123.371</v>
      </c>
      <c r="O581" s="27">
        <v>42276</v>
      </c>
      <c r="P581">
        <v>105.50700000000001</v>
      </c>
      <c r="S581" s="27">
        <v>43273</v>
      </c>
      <c r="T581">
        <v>3.2269999999999999</v>
      </c>
    </row>
    <row r="582" spans="3:20">
      <c r="C582" s="27">
        <v>41484</v>
      </c>
      <c r="D582">
        <v>4.0288000000000004</v>
      </c>
      <c r="G582" s="27">
        <v>44028</v>
      </c>
      <c r="H582">
        <v>106.081</v>
      </c>
      <c r="M582" s="27">
        <v>42643</v>
      </c>
      <c r="N582">
        <v>123.512</v>
      </c>
      <c r="O582" s="27">
        <v>42277</v>
      </c>
      <c r="P582">
        <v>105.291</v>
      </c>
      <c r="S582" s="27">
        <v>43276</v>
      </c>
      <c r="T582">
        <v>3.2469999999999999</v>
      </c>
    </row>
    <row r="583" spans="3:20">
      <c r="C583" s="27">
        <v>41485</v>
      </c>
      <c r="D583">
        <v>3.94</v>
      </c>
      <c r="G583" s="27">
        <v>44029</v>
      </c>
      <c r="H583">
        <v>106.074</v>
      </c>
      <c r="M583" s="27">
        <v>42646</v>
      </c>
      <c r="N583">
        <v>123.46</v>
      </c>
      <c r="O583" s="27">
        <v>42278</v>
      </c>
      <c r="P583">
        <v>105.172</v>
      </c>
      <c r="S583" s="27">
        <v>43564</v>
      </c>
      <c r="T583">
        <v>2.9169999999999998</v>
      </c>
    </row>
    <row r="584" spans="3:20">
      <c r="C584" s="27">
        <v>41486</v>
      </c>
      <c r="D584">
        <v>3.9062999999999999</v>
      </c>
      <c r="G584" s="27">
        <v>44032</v>
      </c>
      <c r="H584">
        <v>106.25</v>
      </c>
      <c r="M584" s="27">
        <v>42647</v>
      </c>
      <c r="N584">
        <v>123.59699999999999</v>
      </c>
      <c r="O584" s="27">
        <v>42279</v>
      </c>
      <c r="P584">
        <v>105.092</v>
      </c>
      <c r="S584" s="27">
        <v>43565</v>
      </c>
      <c r="T584">
        <v>2.8727</v>
      </c>
    </row>
    <row r="585" spans="3:20">
      <c r="C585" s="27">
        <v>41487</v>
      </c>
      <c r="D585">
        <v>3.8984999999999999</v>
      </c>
      <c r="G585" s="27">
        <v>44033</v>
      </c>
      <c r="H585">
        <v>106.51</v>
      </c>
      <c r="M585" s="27">
        <v>42648</v>
      </c>
      <c r="N585">
        <v>123.107</v>
      </c>
      <c r="O585" s="27">
        <v>42282</v>
      </c>
      <c r="P585">
        <v>105.104</v>
      </c>
      <c r="S585" s="27">
        <v>43566</v>
      </c>
      <c r="T585">
        <v>2.8778999999999999</v>
      </c>
    </row>
    <row r="586" spans="3:20">
      <c r="C586" s="27">
        <v>41488</v>
      </c>
      <c r="D586">
        <v>3.9424000000000001</v>
      </c>
      <c r="G586" s="27">
        <v>44034</v>
      </c>
      <c r="H586">
        <v>106.798</v>
      </c>
      <c r="M586" s="27">
        <v>42649</v>
      </c>
      <c r="N586">
        <v>122.57899999999999</v>
      </c>
      <c r="O586" s="27">
        <v>42283</v>
      </c>
      <c r="P586">
        <v>104.99299999999999</v>
      </c>
      <c r="S586" s="27">
        <v>43567</v>
      </c>
      <c r="T586">
        <v>2.8898999999999999</v>
      </c>
    </row>
    <row r="587" spans="3:20">
      <c r="C587" s="27">
        <v>41491</v>
      </c>
      <c r="D587">
        <v>3.7838000000000003</v>
      </c>
      <c r="G587" s="27">
        <v>44035</v>
      </c>
      <c r="H587">
        <v>106.88200000000001</v>
      </c>
      <c r="M587" s="27">
        <v>42650</v>
      </c>
      <c r="N587">
        <v>122.386</v>
      </c>
      <c r="O587" s="27">
        <v>42284</v>
      </c>
      <c r="P587">
        <v>104.934</v>
      </c>
      <c r="S587" s="27">
        <v>43570</v>
      </c>
      <c r="T587">
        <v>2.9314999999999998</v>
      </c>
    </row>
    <row r="588" spans="3:20">
      <c r="C588" s="27">
        <v>41492</v>
      </c>
      <c r="D588">
        <v>3.8990999999999998</v>
      </c>
      <c r="G588" s="27">
        <v>44036</v>
      </c>
      <c r="H588">
        <v>106.673</v>
      </c>
      <c r="M588" s="27">
        <v>42653</v>
      </c>
      <c r="N588">
        <v>122.075</v>
      </c>
      <c r="O588" s="27">
        <v>42285</v>
      </c>
      <c r="P588">
        <v>104.989</v>
      </c>
      <c r="S588" s="27">
        <v>43571</v>
      </c>
      <c r="T588">
        <v>2.8218999999999999</v>
      </c>
    </row>
    <row r="589" spans="3:20">
      <c r="C589" s="27">
        <v>41493</v>
      </c>
      <c r="D589">
        <v>3.8841999999999999</v>
      </c>
      <c r="G589" s="27">
        <v>44039</v>
      </c>
      <c r="H589">
        <v>107.008</v>
      </c>
      <c r="M589" s="27">
        <v>42654</v>
      </c>
      <c r="N589">
        <v>122.051</v>
      </c>
      <c r="O589" s="27">
        <v>42286</v>
      </c>
      <c r="P589">
        <v>104.94199999999999</v>
      </c>
      <c r="S589" s="27">
        <v>43572</v>
      </c>
      <c r="T589">
        <v>2.8479999999999999</v>
      </c>
    </row>
    <row r="590" spans="3:20">
      <c r="C590" s="27">
        <v>41494</v>
      </c>
      <c r="D590">
        <v>3.9012000000000002</v>
      </c>
      <c r="G590" s="27">
        <v>44040</v>
      </c>
      <c r="H590">
        <v>107.215</v>
      </c>
      <c r="M590" s="27">
        <v>42655</v>
      </c>
      <c r="N590">
        <v>122.03700000000001</v>
      </c>
      <c r="O590" s="27">
        <v>42289</v>
      </c>
      <c r="P590">
        <v>104.941</v>
      </c>
      <c r="S590" s="27">
        <v>43573</v>
      </c>
      <c r="T590">
        <v>2.8098000000000001</v>
      </c>
    </row>
    <row r="591" spans="3:20">
      <c r="C591" s="27">
        <v>41495</v>
      </c>
      <c r="D591">
        <v>3.9415</v>
      </c>
      <c r="G591" s="27">
        <v>44041</v>
      </c>
      <c r="H591">
        <v>107.13800000000001</v>
      </c>
      <c r="M591" s="27">
        <v>42656</v>
      </c>
      <c r="N591">
        <v>122.559</v>
      </c>
      <c r="O591" s="27">
        <v>42290</v>
      </c>
      <c r="P591">
        <v>105.044</v>
      </c>
      <c r="S591" s="27">
        <v>43578</v>
      </c>
      <c r="T591">
        <v>2.7458999999999998</v>
      </c>
    </row>
    <row r="592" spans="3:20">
      <c r="C592" s="27">
        <v>41498</v>
      </c>
      <c r="D592">
        <v>3.9538000000000002</v>
      </c>
      <c r="G592" s="27">
        <v>44042</v>
      </c>
      <c r="H592">
        <v>107.24</v>
      </c>
      <c r="M592" s="27">
        <v>42657</v>
      </c>
      <c r="N592">
        <v>121.71</v>
      </c>
      <c r="O592" s="27">
        <v>42291</v>
      </c>
      <c r="P592">
        <v>105.024</v>
      </c>
      <c r="S592" s="27">
        <v>43579</v>
      </c>
      <c r="T592">
        <v>2.6061999999999999</v>
      </c>
    </row>
    <row r="593" spans="3:20">
      <c r="C593" s="27">
        <v>41499</v>
      </c>
      <c r="D593">
        <v>3.9996999999999998</v>
      </c>
      <c r="G593" s="27">
        <v>44043</v>
      </c>
      <c r="H593">
        <v>107.18</v>
      </c>
      <c r="M593" s="27">
        <v>42660</v>
      </c>
      <c r="N593">
        <v>121.304</v>
      </c>
      <c r="O593" s="27">
        <v>42292</v>
      </c>
      <c r="P593">
        <v>105.158</v>
      </c>
      <c r="S593" s="27">
        <v>43581</v>
      </c>
      <c r="T593">
        <v>2.6137000000000001</v>
      </c>
    </row>
    <row r="594" spans="3:20">
      <c r="C594" s="27">
        <v>41500</v>
      </c>
      <c r="D594">
        <v>4.0609999999999999</v>
      </c>
      <c r="G594" s="27">
        <v>44046</v>
      </c>
      <c r="H594">
        <v>107.149</v>
      </c>
      <c r="M594" s="27">
        <v>42661</v>
      </c>
      <c r="N594">
        <v>120.241</v>
      </c>
      <c r="O594" s="27">
        <v>42293</v>
      </c>
      <c r="P594">
        <v>105.074</v>
      </c>
      <c r="S594" s="27">
        <v>43584</v>
      </c>
      <c r="T594">
        <v>2.6147</v>
      </c>
    </row>
    <row r="595" spans="3:20">
      <c r="C595" s="27">
        <v>41501</v>
      </c>
      <c r="D595">
        <v>4.0930999999999997</v>
      </c>
      <c r="G595" s="27">
        <v>44047</v>
      </c>
      <c r="H595">
        <v>107.444</v>
      </c>
      <c r="M595" s="27">
        <v>42662</v>
      </c>
      <c r="N595">
        <v>121.07299999999999</v>
      </c>
      <c r="O595" s="27">
        <v>42296</v>
      </c>
      <c r="P595">
        <v>105.116</v>
      </c>
      <c r="S595" s="27">
        <v>43585</v>
      </c>
      <c r="T595">
        <v>2.6067999999999998</v>
      </c>
    </row>
    <row r="596" spans="3:20">
      <c r="C596" s="27">
        <v>41502</v>
      </c>
      <c r="D596">
        <v>4.1616999999999997</v>
      </c>
      <c r="G596" s="27">
        <v>44048</v>
      </c>
      <c r="H596">
        <v>107.246</v>
      </c>
      <c r="M596" s="27">
        <v>42663</v>
      </c>
      <c r="N596">
        <v>121.82</v>
      </c>
      <c r="O596" s="27">
        <v>42297</v>
      </c>
      <c r="P596">
        <v>105.09699999999999</v>
      </c>
      <c r="S596" s="27">
        <v>43586</v>
      </c>
      <c r="T596">
        <v>2.5891999999999999</v>
      </c>
    </row>
    <row r="597" spans="3:20">
      <c r="C597" s="27">
        <v>41505</v>
      </c>
      <c r="D597">
        <v>4.1879999999999997</v>
      </c>
      <c r="G597" s="27">
        <v>44049</v>
      </c>
      <c r="H597">
        <v>107.446</v>
      </c>
      <c r="M597" s="27">
        <v>42664</v>
      </c>
      <c r="N597">
        <v>122.003</v>
      </c>
      <c r="O597" s="27">
        <v>42298</v>
      </c>
      <c r="P597">
        <v>104.881</v>
      </c>
      <c r="S597" s="27">
        <v>43587</v>
      </c>
      <c r="T597">
        <v>2.5737999999999999</v>
      </c>
    </row>
    <row r="598" spans="3:20">
      <c r="C598" s="27">
        <v>41506</v>
      </c>
      <c r="D598">
        <v>4.1487999999999996</v>
      </c>
      <c r="G598" s="27">
        <v>44050</v>
      </c>
      <c r="H598">
        <v>107.41</v>
      </c>
      <c r="M598" s="27">
        <v>42667</v>
      </c>
      <c r="N598">
        <v>122.639</v>
      </c>
      <c r="O598" s="27">
        <v>42299</v>
      </c>
      <c r="P598">
        <v>105.06</v>
      </c>
      <c r="S598" s="27">
        <v>43588</v>
      </c>
      <c r="T598">
        <v>2.5636999999999999</v>
      </c>
    </row>
    <row r="599" spans="3:20">
      <c r="C599" s="27">
        <v>41507</v>
      </c>
      <c r="D599">
        <v>4.1399999999999997</v>
      </c>
      <c r="G599" s="27">
        <v>44053</v>
      </c>
      <c r="H599">
        <v>107.645</v>
      </c>
      <c r="M599" s="27">
        <v>42668</v>
      </c>
      <c r="N599">
        <v>119.74</v>
      </c>
      <c r="O599" s="27">
        <v>42300</v>
      </c>
      <c r="P599">
        <v>105.38500000000001</v>
      </c>
      <c r="S599" s="27">
        <v>43591</v>
      </c>
      <c r="T599">
        <v>2.5434999999999999</v>
      </c>
    </row>
    <row r="600" spans="3:20">
      <c r="C600" s="27">
        <v>41508</v>
      </c>
      <c r="D600">
        <v>4.2313999999999998</v>
      </c>
      <c r="G600" s="27">
        <v>44054</v>
      </c>
      <c r="H600">
        <v>107.515</v>
      </c>
      <c r="M600" s="27">
        <v>42669</v>
      </c>
      <c r="N600">
        <v>122.40300000000001</v>
      </c>
      <c r="O600" s="27">
        <v>42303</v>
      </c>
      <c r="P600">
        <v>105.426</v>
      </c>
      <c r="S600" s="27">
        <v>43592</v>
      </c>
      <c r="T600">
        <v>2.6116999999999999</v>
      </c>
    </row>
    <row r="601" spans="3:20">
      <c r="C601" s="27">
        <v>41509</v>
      </c>
      <c r="D601">
        <v>4.1986999999999997</v>
      </c>
      <c r="G601" s="27">
        <v>44055</v>
      </c>
      <c r="H601">
        <v>107.345</v>
      </c>
      <c r="M601" s="27">
        <v>42670</v>
      </c>
      <c r="N601">
        <v>122.23</v>
      </c>
      <c r="O601" s="27">
        <v>42304</v>
      </c>
      <c r="P601">
        <v>105.446</v>
      </c>
      <c r="S601" s="27">
        <v>43593</v>
      </c>
      <c r="T601">
        <v>2.5735999999999999</v>
      </c>
    </row>
    <row r="602" spans="3:20">
      <c r="C602" s="27">
        <v>41512</v>
      </c>
      <c r="D602">
        <v>4.2011000000000003</v>
      </c>
      <c r="G602" s="27">
        <v>44056</v>
      </c>
      <c r="H602">
        <v>107.111</v>
      </c>
      <c r="M602" s="27">
        <v>42671</v>
      </c>
      <c r="N602">
        <v>121.988</v>
      </c>
      <c r="O602" s="27">
        <v>42305</v>
      </c>
      <c r="P602">
        <v>105.581</v>
      </c>
      <c r="S602" s="27">
        <v>43594</v>
      </c>
      <c r="T602">
        <v>2.5872000000000002</v>
      </c>
    </row>
    <row r="603" spans="3:20">
      <c r="C603" s="27">
        <v>41513</v>
      </c>
      <c r="D603">
        <v>4.1260000000000003</v>
      </c>
      <c r="G603" s="27">
        <v>44057</v>
      </c>
      <c r="H603">
        <v>107.128</v>
      </c>
      <c r="M603" s="27">
        <v>42674</v>
      </c>
      <c r="N603">
        <v>122.039</v>
      </c>
      <c r="O603" s="27">
        <v>42306</v>
      </c>
      <c r="P603">
        <v>105.584</v>
      </c>
      <c r="S603" s="27">
        <v>43595</v>
      </c>
      <c r="T603">
        <v>2.5813000000000001</v>
      </c>
    </row>
    <row r="604" spans="3:20">
      <c r="C604" s="27">
        <v>41514</v>
      </c>
      <c r="D604">
        <v>4.1245000000000003</v>
      </c>
      <c r="G604" s="27">
        <v>44060</v>
      </c>
      <c r="H604">
        <v>107.355</v>
      </c>
      <c r="M604" s="27">
        <v>42675</v>
      </c>
      <c r="N604">
        <v>121.89</v>
      </c>
      <c r="O604" s="27">
        <v>42307</v>
      </c>
      <c r="P604">
        <v>105.327</v>
      </c>
      <c r="S604" s="27">
        <v>43598</v>
      </c>
      <c r="T604">
        <v>2.5503999999999998</v>
      </c>
    </row>
    <row r="605" spans="3:20">
      <c r="C605" s="27">
        <v>41515</v>
      </c>
      <c r="D605">
        <v>4.1281999999999996</v>
      </c>
      <c r="G605" s="27">
        <v>44061</v>
      </c>
      <c r="H605">
        <v>107.506</v>
      </c>
      <c r="M605" s="27">
        <v>42676</v>
      </c>
      <c r="N605">
        <v>121.75</v>
      </c>
      <c r="O605" s="27">
        <v>42310</v>
      </c>
      <c r="P605">
        <v>105.333</v>
      </c>
      <c r="S605" s="27">
        <v>43599</v>
      </c>
      <c r="T605">
        <v>2.5135999999999998</v>
      </c>
    </row>
    <row r="606" spans="3:20">
      <c r="C606" s="27">
        <v>41516</v>
      </c>
      <c r="D606">
        <v>4.0890000000000004</v>
      </c>
      <c r="G606" s="27">
        <v>44062</v>
      </c>
      <c r="H606">
        <v>107.631</v>
      </c>
      <c r="M606" s="27">
        <v>42677</v>
      </c>
      <c r="N606">
        <v>119.139</v>
      </c>
      <c r="O606" s="27">
        <v>42311</v>
      </c>
      <c r="P606">
        <v>105.28</v>
      </c>
      <c r="S606" s="27">
        <v>43600</v>
      </c>
      <c r="T606">
        <v>2.5243000000000002</v>
      </c>
    </row>
    <row r="607" spans="3:20">
      <c r="C607" s="27">
        <v>41519</v>
      </c>
      <c r="D607">
        <v>4.1481000000000003</v>
      </c>
      <c r="G607" s="27">
        <v>44063</v>
      </c>
      <c r="H607">
        <v>107.81</v>
      </c>
      <c r="M607" s="27">
        <v>42678</v>
      </c>
      <c r="N607">
        <v>118.84699999999999</v>
      </c>
      <c r="O607" s="27">
        <v>42312</v>
      </c>
      <c r="P607">
        <v>105.301</v>
      </c>
      <c r="S607" s="27">
        <v>43601</v>
      </c>
      <c r="T607">
        <v>2.4737</v>
      </c>
    </row>
    <row r="608" spans="3:20">
      <c r="C608" s="27">
        <v>41520</v>
      </c>
      <c r="D608">
        <v>4.2149000000000001</v>
      </c>
      <c r="G608" s="27">
        <v>44064</v>
      </c>
      <c r="H608">
        <v>107.907</v>
      </c>
      <c r="M608" s="27">
        <v>42681</v>
      </c>
      <c r="N608">
        <v>118.745</v>
      </c>
      <c r="O608" s="27">
        <v>42313</v>
      </c>
      <c r="P608">
        <v>105.349</v>
      </c>
      <c r="S608" s="27">
        <v>43602</v>
      </c>
      <c r="T608">
        <v>2.46</v>
      </c>
    </row>
    <row r="609" spans="3:20">
      <c r="C609" s="27">
        <v>41521</v>
      </c>
      <c r="D609">
        <v>4.2991999999999999</v>
      </c>
      <c r="G609" s="27">
        <v>44067</v>
      </c>
      <c r="H609">
        <v>107.86499999999999</v>
      </c>
      <c r="M609" s="27">
        <v>42682</v>
      </c>
      <c r="N609">
        <v>118.496</v>
      </c>
      <c r="O609" s="27">
        <v>42314</v>
      </c>
      <c r="P609">
        <v>105.325</v>
      </c>
      <c r="S609" s="27">
        <v>43605</v>
      </c>
      <c r="T609">
        <v>2.4988000000000001</v>
      </c>
    </row>
    <row r="610" spans="3:20">
      <c r="C610" s="27">
        <v>41522</v>
      </c>
      <c r="D610">
        <v>4.3235999999999999</v>
      </c>
      <c r="G610" s="27">
        <v>44068</v>
      </c>
      <c r="H610">
        <v>107.425</v>
      </c>
      <c r="M610" s="27">
        <v>42683</v>
      </c>
      <c r="N610">
        <v>121.117</v>
      </c>
      <c r="O610" s="27">
        <v>42317</v>
      </c>
      <c r="P610">
        <v>105.032</v>
      </c>
      <c r="S610" s="27">
        <v>43606</v>
      </c>
      <c r="T610">
        <v>2.4594</v>
      </c>
    </row>
    <row r="611" spans="3:20">
      <c r="C611" s="27">
        <v>41523</v>
      </c>
      <c r="D611">
        <v>4.359</v>
      </c>
      <c r="G611" s="27">
        <v>44069</v>
      </c>
      <c r="H611">
        <v>107.22</v>
      </c>
      <c r="M611" s="27">
        <v>42684</v>
      </c>
      <c r="N611">
        <v>117.023</v>
      </c>
      <c r="O611" s="27">
        <v>42318</v>
      </c>
      <c r="P611">
        <v>105.32299999999999</v>
      </c>
      <c r="S611" s="27">
        <v>43607</v>
      </c>
      <c r="T611">
        <v>2.4561999999999999</v>
      </c>
    </row>
    <row r="612" spans="3:20">
      <c r="C612" s="27">
        <v>41526</v>
      </c>
      <c r="D612">
        <v>4.2945000000000002</v>
      </c>
      <c r="G612" s="27">
        <v>44070</v>
      </c>
      <c r="H612">
        <v>107.157</v>
      </c>
      <c r="M612" s="27">
        <v>42685</v>
      </c>
      <c r="N612">
        <v>116.083</v>
      </c>
      <c r="O612" s="27">
        <v>42319</v>
      </c>
      <c r="P612">
        <v>105.502</v>
      </c>
      <c r="S612" s="27">
        <v>43608</v>
      </c>
      <c r="T612">
        <v>2.4258999999999999</v>
      </c>
    </row>
    <row r="613" spans="3:20">
      <c r="C613" s="27">
        <v>41527</v>
      </c>
      <c r="D613">
        <v>4.3563999999999998</v>
      </c>
      <c r="G613" s="27">
        <v>44071</v>
      </c>
      <c r="H613">
        <v>107.172</v>
      </c>
      <c r="M613" s="27">
        <v>42688</v>
      </c>
      <c r="N613">
        <v>115.738</v>
      </c>
      <c r="O613" s="27">
        <v>42320</v>
      </c>
      <c r="P613">
        <v>105.54600000000001</v>
      </c>
      <c r="S613" s="27">
        <v>43609</v>
      </c>
      <c r="T613">
        <v>2.3675999999999999</v>
      </c>
    </row>
    <row r="614" spans="3:20">
      <c r="C614" s="27">
        <v>41528</v>
      </c>
      <c r="D614">
        <v>4.3408999999999995</v>
      </c>
      <c r="G614" s="27">
        <v>44074</v>
      </c>
      <c r="H614">
        <v>107.142</v>
      </c>
      <c r="M614" s="27">
        <v>42689</v>
      </c>
      <c r="N614">
        <v>115.697</v>
      </c>
      <c r="O614" s="27">
        <v>42321</v>
      </c>
      <c r="P614">
        <v>105.6</v>
      </c>
      <c r="S614" s="27">
        <v>43612</v>
      </c>
      <c r="T614">
        <v>2.4135</v>
      </c>
    </row>
    <row r="615" spans="3:20">
      <c r="C615" s="27">
        <v>41529</v>
      </c>
      <c r="D615">
        <v>4.2422000000000004</v>
      </c>
      <c r="G615" s="27">
        <v>44075</v>
      </c>
      <c r="H615">
        <v>107.24</v>
      </c>
      <c r="M615" s="27">
        <v>42690</v>
      </c>
      <c r="N615">
        <v>118.001</v>
      </c>
      <c r="O615" s="27">
        <v>42324</v>
      </c>
      <c r="P615">
        <v>105.8</v>
      </c>
      <c r="S615" s="27">
        <v>43613</v>
      </c>
      <c r="T615">
        <v>2.3986999999999998</v>
      </c>
    </row>
    <row r="616" spans="3:20">
      <c r="C616" s="27">
        <v>41530</v>
      </c>
      <c r="D616">
        <v>4.2763</v>
      </c>
      <c r="G616" s="27">
        <v>44076</v>
      </c>
      <c r="H616">
        <v>107.696</v>
      </c>
      <c r="M616" s="27">
        <v>42691</v>
      </c>
      <c r="N616">
        <v>116.253</v>
      </c>
      <c r="O616" s="27">
        <v>42325</v>
      </c>
      <c r="P616">
        <v>105.792</v>
      </c>
      <c r="S616" s="27">
        <v>43614</v>
      </c>
      <c r="T616">
        <v>2.3772000000000002</v>
      </c>
    </row>
    <row r="617" spans="3:20">
      <c r="C617" s="27">
        <v>41533</v>
      </c>
      <c r="D617">
        <v>4.2249999999999996</v>
      </c>
      <c r="G617" s="27">
        <v>44077</v>
      </c>
      <c r="H617">
        <v>107.9</v>
      </c>
      <c r="M617" s="27">
        <v>42692</v>
      </c>
      <c r="N617">
        <v>116.28100000000001</v>
      </c>
      <c r="O617" s="27">
        <v>42326</v>
      </c>
      <c r="P617">
        <v>105.875</v>
      </c>
      <c r="S617" s="27">
        <v>43615</v>
      </c>
      <c r="T617">
        <v>2.4104999999999999</v>
      </c>
    </row>
    <row r="618" spans="3:20">
      <c r="C618" s="27">
        <v>41534</v>
      </c>
      <c r="D618">
        <v>4.2672999999999996</v>
      </c>
      <c r="G618" s="27">
        <v>44078</v>
      </c>
      <c r="H618">
        <v>107.806</v>
      </c>
      <c r="M618" s="27">
        <v>42695</v>
      </c>
      <c r="N618">
        <v>118.553</v>
      </c>
      <c r="O618" s="27">
        <v>42327</v>
      </c>
      <c r="P618">
        <v>105.88800000000001</v>
      </c>
      <c r="S618" s="27">
        <v>43616</v>
      </c>
      <c r="T618">
        <v>2.3833000000000002</v>
      </c>
    </row>
    <row r="619" spans="3:20">
      <c r="C619" s="27">
        <v>41535</v>
      </c>
      <c r="D619">
        <v>4.2742000000000004</v>
      </c>
      <c r="G619" s="27">
        <v>44081</v>
      </c>
      <c r="H619">
        <v>107.673</v>
      </c>
      <c r="M619" s="27">
        <v>42696</v>
      </c>
      <c r="N619">
        <v>118.944</v>
      </c>
      <c r="O619" s="27">
        <v>42328</v>
      </c>
      <c r="P619">
        <v>105.929</v>
      </c>
      <c r="S619" s="27">
        <v>43619</v>
      </c>
      <c r="T619">
        <v>2.3927999999999998</v>
      </c>
    </row>
    <row r="620" spans="3:20">
      <c r="C620" s="27">
        <v>41536</v>
      </c>
      <c r="D620">
        <v>4.1436000000000002</v>
      </c>
      <c r="G620" s="27">
        <v>44082</v>
      </c>
      <c r="H620">
        <v>107.876</v>
      </c>
      <c r="M620" s="27">
        <v>42697</v>
      </c>
      <c r="N620">
        <v>119.029</v>
      </c>
      <c r="O620" s="27">
        <v>42331</v>
      </c>
      <c r="P620">
        <v>105.958</v>
      </c>
      <c r="S620" s="27">
        <v>43620</v>
      </c>
      <c r="T620">
        <v>2.3890000000000002</v>
      </c>
    </row>
    <row r="621" spans="3:20">
      <c r="C621" s="27">
        <v>41537</v>
      </c>
      <c r="D621">
        <v>4.1772</v>
      </c>
      <c r="G621" s="27">
        <v>44083</v>
      </c>
      <c r="H621">
        <v>107.64400000000001</v>
      </c>
      <c r="M621" s="27">
        <v>42698</v>
      </c>
      <c r="N621">
        <v>119.417</v>
      </c>
      <c r="O621" s="27">
        <v>42332</v>
      </c>
      <c r="P621">
        <v>105.953</v>
      </c>
      <c r="S621" s="27">
        <v>43621</v>
      </c>
      <c r="T621">
        <v>2.3746999999999998</v>
      </c>
    </row>
    <row r="622" spans="3:20">
      <c r="C622" s="27">
        <v>41540</v>
      </c>
      <c r="D622">
        <v>4.1924000000000001</v>
      </c>
      <c r="G622" s="27">
        <v>44084</v>
      </c>
      <c r="H622">
        <v>107.361</v>
      </c>
      <c r="M622" s="27">
        <v>42699</v>
      </c>
      <c r="N622">
        <v>119.462</v>
      </c>
      <c r="O622" s="27">
        <v>42333</v>
      </c>
      <c r="P622">
        <v>105.97799999999999</v>
      </c>
      <c r="S622" s="27">
        <v>43622</v>
      </c>
      <c r="T622">
        <v>2.3439999999999999</v>
      </c>
    </row>
    <row r="623" spans="3:20">
      <c r="C623" s="27">
        <v>41541</v>
      </c>
      <c r="D623">
        <v>4.1322000000000001</v>
      </c>
      <c r="G623" s="27">
        <v>44085</v>
      </c>
      <c r="H623">
        <v>107.691</v>
      </c>
      <c r="M623" s="27">
        <v>42702</v>
      </c>
      <c r="N623">
        <v>119.354</v>
      </c>
      <c r="O623" s="27">
        <v>42334</v>
      </c>
      <c r="P623">
        <v>106.18600000000001</v>
      </c>
      <c r="S623" s="27">
        <v>43623</v>
      </c>
      <c r="T623">
        <v>2.3586999999999998</v>
      </c>
    </row>
    <row r="624" spans="3:20">
      <c r="C624" s="27">
        <v>41542</v>
      </c>
      <c r="D624">
        <v>4.1044999999999998</v>
      </c>
      <c r="G624" s="27">
        <v>44088</v>
      </c>
      <c r="H624">
        <v>107.74</v>
      </c>
      <c r="M624" s="27">
        <v>42703</v>
      </c>
      <c r="N624">
        <v>119.438</v>
      </c>
      <c r="O624" s="27">
        <v>42335</v>
      </c>
      <c r="P624">
        <v>106.19</v>
      </c>
      <c r="S624" s="27">
        <v>43627</v>
      </c>
      <c r="T624">
        <v>2.3363999999999998</v>
      </c>
    </row>
    <row r="625" spans="3:20">
      <c r="C625" s="27">
        <v>41543</v>
      </c>
      <c r="D625">
        <v>4.1230000000000002</v>
      </c>
      <c r="G625" s="27">
        <v>44089</v>
      </c>
      <c r="H625">
        <v>107.732</v>
      </c>
      <c r="M625" s="27">
        <v>42704</v>
      </c>
      <c r="N625">
        <v>119.163</v>
      </c>
      <c r="O625" s="27">
        <v>42338</v>
      </c>
      <c r="P625">
        <v>106.18</v>
      </c>
      <c r="S625" s="27">
        <v>43628</v>
      </c>
      <c r="T625">
        <v>2.3098000000000001</v>
      </c>
    </row>
    <row r="626" spans="3:20">
      <c r="C626" s="27">
        <v>41544</v>
      </c>
      <c r="D626">
        <v>4.1052</v>
      </c>
      <c r="G626" s="27">
        <v>44090</v>
      </c>
      <c r="H626">
        <v>107.71599999999999</v>
      </c>
      <c r="M626" s="27">
        <v>42705</v>
      </c>
      <c r="N626">
        <v>115.334</v>
      </c>
      <c r="O626" s="27">
        <v>42339</v>
      </c>
      <c r="P626">
        <v>106.146</v>
      </c>
      <c r="S626" s="27">
        <v>43629</v>
      </c>
      <c r="T626">
        <v>2.2709999999999999</v>
      </c>
    </row>
    <row r="627" spans="3:20">
      <c r="C627" s="27">
        <v>41547</v>
      </c>
      <c r="D627">
        <v>4.0743</v>
      </c>
      <c r="G627" s="27">
        <v>44091</v>
      </c>
      <c r="H627">
        <v>107.82599999999999</v>
      </c>
      <c r="M627" s="27">
        <v>42706</v>
      </c>
      <c r="N627">
        <v>117.289</v>
      </c>
      <c r="O627" s="27">
        <v>42340</v>
      </c>
      <c r="P627">
        <v>106.246</v>
      </c>
      <c r="S627" s="27">
        <v>43630</v>
      </c>
      <c r="T627">
        <v>2.2496999999999998</v>
      </c>
    </row>
    <row r="628" spans="3:20">
      <c r="C628" s="27">
        <v>41548</v>
      </c>
      <c r="D628">
        <v>4.1421000000000001</v>
      </c>
      <c r="G628" s="27">
        <v>44092</v>
      </c>
      <c r="H628">
        <v>107.77500000000001</v>
      </c>
      <c r="M628" s="27">
        <v>42709</v>
      </c>
      <c r="N628">
        <v>117.127</v>
      </c>
      <c r="O628" s="27">
        <v>42341</v>
      </c>
      <c r="P628">
        <v>106.30800000000001</v>
      </c>
      <c r="S628" s="27">
        <v>43633</v>
      </c>
      <c r="T628">
        <v>2.2711000000000001</v>
      </c>
    </row>
    <row r="629" spans="3:20">
      <c r="C629" s="27">
        <v>41549</v>
      </c>
      <c r="D629">
        <v>4.1344000000000003</v>
      </c>
      <c r="G629" s="27">
        <v>44095</v>
      </c>
      <c r="H629">
        <v>107.996</v>
      </c>
      <c r="M629" s="27">
        <v>42710</v>
      </c>
      <c r="N629">
        <v>117.078</v>
      </c>
      <c r="O629" s="27">
        <v>42342</v>
      </c>
      <c r="P629">
        <v>105.443</v>
      </c>
      <c r="S629" s="27">
        <v>43634</v>
      </c>
      <c r="T629">
        <v>2.2513999999999998</v>
      </c>
    </row>
    <row r="630" spans="3:20">
      <c r="C630" s="27">
        <v>41550</v>
      </c>
      <c r="D630">
        <v>4.1317000000000004</v>
      </c>
      <c r="G630" s="27">
        <v>44096</v>
      </c>
      <c r="H630">
        <v>107.759</v>
      </c>
      <c r="M630" s="27">
        <v>42711</v>
      </c>
      <c r="N630">
        <v>116.11</v>
      </c>
      <c r="O630" s="27">
        <v>42345</v>
      </c>
      <c r="P630">
        <v>105.402</v>
      </c>
      <c r="S630" s="27">
        <v>43635</v>
      </c>
      <c r="T630">
        <v>2.2130000000000001</v>
      </c>
    </row>
    <row r="631" spans="3:20">
      <c r="C631" s="27">
        <v>41551</v>
      </c>
      <c r="D631">
        <v>4.1913999999999998</v>
      </c>
      <c r="G631" s="27">
        <v>44097</v>
      </c>
      <c r="H631">
        <v>107.669</v>
      </c>
      <c r="M631" s="27">
        <v>42712</v>
      </c>
      <c r="N631">
        <v>115.874</v>
      </c>
      <c r="O631" s="27">
        <v>42346</v>
      </c>
      <c r="P631">
        <v>105.727</v>
      </c>
      <c r="S631" s="27">
        <v>43636</v>
      </c>
      <c r="T631">
        <v>2.1758000000000002</v>
      </c>
    </row>
    <row r="632" spans="3:20">
      <c r="C632" s="27">
        <v>41554</v>
      </c>
      <c r="D632">
        <v>4.2230999999999996</v>
      </c>
      <c r="G632" s="27">
        <v>44098</v>
      </c>
      <c r="H632">
        <v>107.63</v>
      </c>
      <c r="M632" s="27">
        <v>42713</v>
      </c>
      <c r="N632">
        <v>116.571</v>
      </c>
      <c r="O632" s="27">
        <v>42347</v>
      </c>
      <c r="P632">
        <v>105.687</v>
      </c>
      <c r="S632" s="27">
        <v>43637</v>
      </c>
      <c r="T632">
        <v>2.1267999999999998</v>
      </c>
    </row>
    <row r="633" spans="3:20">
      <c r="C633" s="27">
        <v>41555</v>
      </c>
      <c r="D633">
        <v>4.218</v>
      </c>
      <c r="G633" s="27">
        <v>44099</v>
      </c>
      <c r="H633">
        <v>107.655</v>
      </c>
      <c r="M633" s="27">
        <v>42716</v>
      </c>
      <c r="N633">
        <v>116.43300000000001</v>
      </c>
      <c r="O633" s="27">
        <v>42348</v>
      </c>
      <c r="P633">
        <v>105.69799999999999</v>
      </c>
      <c r="S633" s="27">
        <v>43640</v>
      </c>
      <c r="T633">
        <v>2.1307</v>
      </c>
    </row>
    <row r="634" spans="3:20">
      <c r="C634" s="27">
        <v>41556</v>
      </c>
      <c r="D634">
        <v>4.2510000000000003</v>
      </c>
      <c r="G634" s="27">
        <v>44102</v>
      </c>
      <c r="H634">
        <v>107.651</v>
      </c>
      <c r="M634" s="27">
        <v>42717</v>
      </c>
      <c r="N634">
        <v>116.595</v>
      </c>
      <c r="O634" s="27">
        <v>42349</v>
      </c>
      <c r="P634">
        <v>105.798</v>
      </c>
      <c r="S634" s="27">
        <v>43641</v>
      </c>
      <c r="T634">
        <v>2.1219000000000001</v>
      </c>
    </row>
    <row r="635" spans="3:20">
      <c r="C635" s="27">
        <v>41557</v>
      </c>
      <c r="D635">
        <v>4.3106</v>
      </c>
      <c r="G635" s="27">
        <v>44103</v>
      </c>
      <c r="H635">
        <v>107.79300000000001</v>
      </c>
      <c r="M635" s="27">
        <v>42718</v>
      </c>
      <c r="N635">
        <v>117.083</v>
      </c>
      <c r="O635" s="27">
        <v>42352</v>
      </c>
      <c r="P635">
        <v>105.923</v>
      </c>
      <c r="S635" s="27">
        <v>43642</v>
      </c>
      <c r="T635">
        <v>2.1387</v>
      </c>
    </row>
    <row r="636" spans="3:20">
      <c r="C636" s="27">
        <v>41558</v>
      </c>
      <c r="D636">
        <v>4.2858999999999998</v>
      </c>
      <c r="G636" s="27">
        <v>44104</v>
      </c>
      <c r="H636">
        <v>107.691</v>
      </c>
      <c r="M636" s="27">
        <v>42719</v>
      </c>
      <c r="N636">
        <v>116.839</v>
      </c>
      <c r="O636" s="27">
        <v>42353</v>
      </c>
      <c r="P636">
        <v>105.82299999999999</v>
      </c>
      <c r="S636" s="27">
        <v>43643</v>
      </c>
      <c r="T636">
        <v>2.1985999999999999</v>
      </c>
    </row>
    <row r="637" spans="3:20">
      <c r="C637" s="27">
        <v>41561</v>
      </c>
      <c r="D637">
        <v>4.2606999999999999</v>
      </c>
      <c r="G637" s="27">
        <v>44105</v>
      </c>
      <c r="H637">
        <v>107.80200000000001</v>
      </c>
      <c r="M637" s="27">
        <v>42720</v>
      </c>
      <c r="N637">
        <v>117.03</v>
      </c>
      <c r="O637" s="27">
        <v>42354</v>
      </c>
      <c r="P637">
        <v>105.596</v>
      </c>
      <c r="S637" s="27">
        <v>43644</v>
      </c>
      <c r="T637">
        <v>2.1783000000000001</v>
      </c>
    </row>
    <row r="638" spans="3:20">
      <c r="C638" s="27">
        <v>41562</v>
      </c>
      <c r="D638">
        <v>4.3238000000000003</v>
      </c>
      <c r="G638" s="27">
        <v>44106</v>
      </c>
      <c r="H638">
        <v>107.89100000000001</v>
      </c>
      <c r="M638" s="27">
        <v>42723</v>
      </c>
      <c r="N638">
        <v>116.95</v>
      </c>
      <c r="O638" s="27">
        <v>42355</v>
      </c>
      <c r="P638">
        <v>105.485</v>
      </c>
      <c r="S638" s="27">
        <v>43647</v>
      </c>
      <c r="T638">
        <v>2.1642000000000001</v>
      </c>
    </row>
    <row r="639" spans="3:20">
      <c r="C639" s="27">
        <v>41563</v>
      </c>
      <c r="D639">
        <v>4.3245000000000005</v>
      </c>
      <c r="G639" s="27">
        <v>44109</v>
      </c>
      <c r="H639">
        <v>107.816</v>
      </c>
      <c r="M639" s="27">
        <v>42724</v>
      </c>
      <c r="N639">
        <v>116.913</v>
      </c>
      <c r="O639" s="27">
        <v>42356</v>
      </c>
      <c r="P639">
        <v>105.67700000000001</v>
      </c>
      <c r="S639" s="27">
        <v>43648</v>
      </c>
      <c r="T639">
        <v>2.1373000000000002</v>
      </c>
    </row>
    <row r="640" spans="3:20">
      <c r="C640" s="27">
        <v>41564</v>
      </c>
      <c r="D640">
        <v>4.2266000000000004</v>
      </c>
      <c r="G640" s="27">
        <v>44110</v>
      </c>
      <c r="H640">
        <v>107.901</v>
      </c>
      <c r="M640" s="27">
        <v>42725</v>
      </c>
      <c r="N640">
        <v>116.69799999999999</v>
      </c>
      <c r="O640" s="27">
        <v>42359</v>
      </c>
      <c r="P640">
        <v>105.76300000000001</v>
      </c>
      <c r="S640" s="27">
        <v>43649</v>
      </c>
      <c r="T640">
        <v>2.1193</v>
      </c>
    </row>
    <row r="641" spans="3:20">
      <c r="C641" s="27">
        <v>41565</v>
      </c>
      <c r="D641">
        <v>4.2126000000000001</v>
      </c>
      <c r="G641" s="27">
        <v>44111</v>
      </c>
      <c r="H641">
        <v>107.867</v>
      </c>
      <c r="M641" s="27">
        <v>42726</v>
      </c>
      <c r="N641">
        <v>116.783</v>
      </c>
      <c r="O641" s="27">
        <v>42360</v>
      </c>
      <c r="P641">
        <v>105.754</v>
      </c>
      <c r="S641" s="27">
        <v>43650</v>
      </c>
      <c r="T641">
        <v>2.1246999999999998</v>
      </c>
    </row>
    <row r="642" spans="3:20">
      <c r="C642" s="27">
        <v>41568</v>
      </c>
      <c r="D642">
        <v>4.1954000000000002</v>
      </c>
      <c r="G642" s="27">
        <v>44112</v>
      </c>
      <c r="H642">
        <v>108.066</v>
      </c>
      <c r="M642" s="27">
        <v>42727</v>
      </c>
      <c r="N642">
        <v>117.035</v>
      </c>
      <c r="O642" s="27">
        <v>42361</v>
      </c>
      <c r="P642">
        <v>105.602</v>
      </c>
      <c r="S642" s="27">
        <v>43651</v>
      </c>
      <c r="T642">
        <v>2.1173000000000002</v>
      </c>
    </row>
    <row r="643" spans="3:20">
      <c r="C643" s="27">
        <v>41569</v>
      </c>
      <c r="D643">
        <v>4.2241</v>
      </c>
      <c r="G643" s="27">
        <v>44113</v>
      </c>
      <c r="H643">
        <v>108.179</v>
      </c>
      <c r="M643" s="27">
        <v>42731</v>
      </c>
      <c r="N643">
        <v>117.041</v>
      </c>
      <c r="O643" s="27">
        <v>42362</v>
      </c>
      <c r="P643">
        <v>105.479</v>
      </c>
      <c r="S643" s="27">
        <v>43654</v>
      </c>
      <c r="T643">
        <v>2.1513</v>
      </c>
    </row>
    <row r="644" spans="3:20">
      <c r="C644" s="27">
        <v>41570</v>
      </c>
      <c r="D644">
        <v>4.1891999999999996</v>
      </c>
      <c r="G644" s="27">
        <v>44116</v>
      </c>
      <c r="H644">
        <v>108.36</v>
      </c>
      <c r="M644" s="27">
        <v>42732</v>
      </c>
      <c r="N644">
        <v>117.07299999999999</v>
      </c>
      <c r="O644" s="27">
        <v>42363</v>
      </c>
      <c r="P644">
        <v>105.446</v>
      </c>
      <c r="S644" s="27">
        <v>43655</v>
      </c>
      <c r="T644">
        <v>2.1390000000000002</v>
      </c>
    </row>
    <row r="645" spans="3:20">
      <c r="C645" s="27">
        <v>41571</v>
      </c>
      <c r="D645">
        <v>4.1657999999999999</v>
      </c>
      <c r="G645" s="27">
        <v>44117</v>
      </c>
      <c r="H645">
        <v>108.505</v>
      </c>
      <c r="M645" s="27">
        <v>42733</v>
      </c>
      <c r="N645">
        <v>117.205</v>
      </c>
      <c r="O645" s="27">
        <v>42366</v>
      </c>
      <c r="P645">
        <v>105.459</v>
      </c>
      <c r="S645" s="27">
        <v>43656</v>
      </c>
      <c r="T645">
        <v>2.1516999999999999</v>
      </c>
    </row>
    <row r="646" spans="3:20">
      <c r="C646" s="27">
        <v>41572</v>
      </c>
      <c r="D646">
        <v>4.1614000000000004</v>
      </c>
      <c r="G646" s="27">
        <v>44118</v>
      </c>
      <c r="H646">
        <v>108.711</v>
      </c>
      <c r="M646" s="27">
        <v>42734</v>
      </c>
      <c r="N646">
        <v>117.51</v>
      </c>
      <c r="O646" s="27">
        <v>42367</v>
      </c>
      <c r="P646">
        <v>105.554</v>
      </c>
      <c r="S646" s="27">
        <v>43657</v>
      </c>
      <c r="T646">
        <v>2.1255999999999999</v>
      </c>
    </row>
    <row r="647" spans="3:20">
      <c r="C647" s="27">
        <v>41575</v>
      </c>
      <c r="D647">
        <v>4.1721000000000004</v>
      </c>
      <c r="G647" s="27">
        <v>44119</v>
      </c>
      <c r="H647">
        <v>108.86199999999999</v>
      </c>
      <c r="M647" s="27">
        <v>42737</v>
      </c>
      <c r="N647">
        <v>116.51300000000001</v>
      </c>
      <c r="O647" s="27">
        <v>42368</v>
      </c>
      <c r="P647">
        <v>105.467</v>
      </c>
      <c r="S647" s="27">
        <v>43658</v>
      </c>
      <c r="T647">
        <v>2.1419000000000001</v>
      </c>
    </row>
    <row r="648" spans="3:20">
      <c r="C648" s="27">
        <v>41576</v>
      </c>
      <c r="D648">
        <v>4.1359000000000004</v>
      </c>
      <c r="G648" s="27">
        <v>44120</v>
      </c>
      <c r="H648">
        <v>108.96599999999999</v>
      </c>
      <c r="M648" s="27">
        <v>42738</v>
      </c>
      <c r="N648">
        <v>117.25700000000001</v>
      </c>
      <c r="O648" s="27">
        <v>42369</v>
      </c>
      <c r="P648">
        <v>105.51300000000001</v>
      </c>
      <c r="S648" s="27">
        <v>43661</v>
      </c>
      <c r="T648">
        <v>2.1534</v>
      </c>
    </row>
    <row r="649" spans="3:20">
      <c r="C649" s="27">
        <v>41577</v>
      </c>
      <c r="D649">
        <v>4.1044</v>
      </c>
      <c r="G649" s="27">
        <v>44123</v>
      </c>
      <c r="H649">
        <v>109.026</v>
      </c>
      <c r="M649" s="27">
        <v>42739</v>
      </c>
      <c r="N649">
        <v>117.34399999999999</v>
      </c>
      <c r="O649" s="27">
        <v>42370</v>
      </c>
      <c r="P649">
        <v>105.506</v>
      </c>
      <c r="S649" s="27">
        <v>43662</v>
      </c>
      <c r="T649">
        <v>2.1206999999999998</v>
      </c>
    </row>
    <row r="650" spans="3:20">
      <c r="C650" s="27">
        <v>41578</v>
      </c>
      <c r="D650">
        <v>4.1632999999999996</v>
      </c>
      <c r="G650" s="27">
        <v>44124</v>
      </c>
      <c r="H650">
        <v>108.834</v>
      </c>
      <c r="M650" s="27">
        <v>42740</v>
      </c>
      <c r="N650">
        <v>117.327</v>
      </c>
      <c r="O650" s="27">
        <v>42373</v>
      </c>
      <c r="P650">
        <v>105.48099999999999</v>
      </c>
      <c r="S650" s="27">
        <v>43663</v>
      </c>
      <c r="T650">
        <v>2.1151</v>
      </c>
    </row>
    <row r="651" spans="3:20">
      <c r="C651" s="27">
        <v>41579</v>
      </c>
      <c r="D651">
        <v>4.1924000000000001</v>
      </c>
      <c r="G651" s="27">
        <v>44125</v>
      </c>
      <c r="H651">
        <v>108.702</v>
      </c>
      <c r="M651" s="27">
        <v>42741</v>
      </c>
      <c r="N651">
        <v>117.72799999999999</v>
      </c>
      <c r="O651" s="27">
        <v>42374</v>
      </c>
      <c r="P651">
        <v>105.444</v>
      </c>
      <c r="S651" s="27">
        <v>43664</v>
      </c>
      <c r="T651">
        <v>2.1122999999999998</v>
      </c>
    </row>
    <row r="652" spans="3:20">
      <c r="C652" s="27">
        <v>41582</v>
      </c>
      <c r="D652">
        <v>4.2716000000000003</v>
      </c>
      <c r="G652" s="27">
        <v>44126</v>
      </c>
      <c r="H652">
        <v>108.545</v>
      </c>
      <c r="M652" s="27">
        <v>42744</v>
      </c>
      <c r="N652">
        <v>117.965</v>
      </c>
      <c r="O652" s="27">
        <v>42375</v>
      </c>
      <c r="P652">
        <v>105.758</v>
      </c>
      <c r="S652" s="27">
        <v>43665</v>
      </c>
      <c r="T652">
        <v>2.1141000000000001</v>
      </c>
    </row>
    <row r="653" spans="3:20">
      <c r="C653" s="27">
        <v>41583</v>
      </c>
      <c r="D653">
        <v>4.2633000000000001</v>
      </c>
      <c r="G653" s="27">
        <v>44127</v>
      </c>
      <c r="H653">
        <v>108.63500000000001</v>
      </c>
      <c r="M653" s="27">
        <v>42745</v>
      </c>
      <c r="N653">
        <v>118.021</v>
      </c>
      <c r="O653" s="27">
        <v>42376</v>
      </c>
      <c r="P653">
        <v>105.83199999999999</v>
      </c>
      <c r="S653" s="27">
        <v>43668</v>
      </c>
      <c r="T653">
        <v>2.0945999999999998</v>
      </c>
    </row>
    <row r="654" spans="3:20">
      <c r="C654" s="27">
        <v>41584</v>
      </c>
      <c r="D654">
        <v>4.2897999999999996</v>
      </c>
      <c r="G654" s="27">
        <v>44130</v>
      </c>
      <c r="H654">
        <v>108.60299999999999</v>
      </c>
      <c r="M654" s="27">
        <v>42746</v>
      </c>
      <c r="N654">
        <v>117.965</v>
      </c>
      <c r="O654" s="27">
        <v>42377</v>
      </c>
      <c r="P654">
        <v>105.57</v>
      </c>
      <c r="S654" s="27">
        <v>43669</v>
      </c>
      <c r="T654">
        <v>2.089</v>
      </c>
    </row>
    <row r="655" spans="3:20">
      <c r="C655" s="27">
        <v>41585</v>
      </c>
      <c r="D655">
        <v>4.2257999999999996</v>
      </c>
      <c r="G655" s="27">
        <v>44131</v>
      </c>
      <c r="H655">
        <v>108.916</v>
      </c>
      <c r="M655" s="27">
        <v>42747</v>
      </c>
      <c r="N655">
        <v>117.86</v>
      </c>
      <c r="O655" s="27">
        <v>42380</v>
      </c>
      <c r="P655">
        <v>105.59399999999999</v>
      </c>
      <c r="S655" s="27">
        <v>43670</v>
      </c>
      <c r="T655">
        <v>2.0527000000000002</v>
      </c>
    </row>
    <row r="656" spans="3:20">
      <c r="C656" s="27">
        <v>41586</v>
      </c>
      <c r="D656">
        <v>4.1919000000000004</v>
      </c>
      <c r="G656" s="27">
        <v>44132</v>
      </c>
      <c r="H656">
        <v>108.857</v>
      </c>
      <c r="M656" s="27">
        <v>42748</v>
      </c>
      <c r="N656">
        <v>117.679</v>
      </c>
      <c r="O656" s="27">
        <v>42381</v>
      </c>
      <c r="P656">
        <v>105.477</v>
      </c>
      <c r="S656" s="27">
        <v>43671</v>
      </c>
      <c r="T656">
        <v>2.0123000000000002</v>
      </c>
    </row>
    <row r="657" spans="3:20">
      <c r="C657" s="27">
        <v>41589</v>
      </c>
      <c r="D657">
        <v>4.2470999999999997</v>
      </c>
      <c r="G657" s="27">
        <v>44133</v>
      </c>
      <c r="H657">
        <v>108.92100000000001</v>
      </c>
      <c r="M657" s="27">
        <v>42751</v>
      </c>
      <c r="N657">
        <v>118.13</v>
      </c>
      <c r="O657" s="27">
        <v>42382</v>
      </c>
      <c r="P657">
        <v>105.405</v>
      </c>
      <c r="S657" s="27">
        <v>43672</v>
      </c>
      <c r="T657">
        <v>1.9910000000000001</v>
      </c>
    </row>
    <row r="658" spans="3:20">
      <c r="C658" s="27">
        <v>41590</v>
      </c>
      <c r="D658">
        <v>4.2717999999999998</v>
      </c>
      <c r="G658" s="27">
        <v>44134</v>
      </c>
      <c r="H658">
        <v>108.777</v>
      </c>
      <c r="M658" s="27">
        <v>42752</v>
      </c>
      <c r="N658">
        <v>118.099</v>
      </c>
      <c r="O658" s="27">
        <v>42383</v>
      </c>
      <c r="P658">
        <v>105.417</v>
      </c>
      <c r="S658" s="27">
        <v>43675</v>
      </c>
      <c r="T658">
        <v>1.9673</v>
      </c>
    </row>
    <row r="659" spans="3:20">
      <c r="C659" s="27">
        <v>41591</v>
      </c>
      <c r="D659">
        <v>4.2460000000000004</v>
      </c>
      <c r="G659" s="27">
        <v>44137</v>
      </c>
      <c r="H659">
        <v>108.877</v>
      </c>
      <c r="M659" s="27">
        <v>42753</v>
      </c>
      <c r="N659">
        <v>117.759</v>
      </c>
      <c r="O659" s="27">
        <v>42384</v>
      </c>
      <c r="P659">
        <v>105.33</v>
      </c>
      <c r="S659" s="27">
        <v>43676</v>
      </c>
      <c r="T659">
        <v>1.9537</v>
      </c>
    </row>
    <row r="660" spans="3:20">
      <c r="C660" s="27">
        <v>41592</v>
      </c>
      <c r="D660">
        <v>4.1973000000000003</v>
      </c>
      <c r="G660" s="27">
        <v>44138</v>
      </c>
      <c r="H660">
        <v>108.706</v>
      </c>
      <c r="M660" s="27">
        <v>42754</v>
      </c>
      <c r="N660">
        <v>117.459</v>
      </c>
      <c r="O660" s="27">
        <v>42387</v>
      </c>
      <c r="P660">
        <v>105.404</v>
      </c>
      <c r="S660" s="27">
        <v>43678</v>
      </c>
      <c r="T660">
        <v>1.9678</v>
      </c>
    </row>
    <row r="661" spans="3:20">
      <c r="C661" s="27">
        <v>41593</v>
      </c>
      <c r="D661">
        <v>4.1680000000000001</v>
      </c>
      <c r="G661" s="27">
        <v>44139</v>
      </c>
      <c r="H661">
        <v>108.932</v>
      </c>
      <c r="M661" s="27">
        <v>42755</v>
      </c>
      <c r="N661">
        <v>117.322</v>
      </c>
      <c r="O661" s="27">
        <v>42388</v>
      </c>
      <c r="P661">
        <v>105.39700000000001</v>
      </c>
      <c r="S661" s="27">
        <v>43679</v>
      </c>
      <c r="T661">
        <v>1.8729</v>
      </c>
    </row>
    <row r="662" spans="3:20">
      <c r="C662" s="27">
        <v>41596</v>
      </c>
      <c r="D662">
        <v>4.1715</v>
      </c>
      <c r="G662" s="27">
        <v>44140</v>
      </c>
      <c r="H662">
        <v>109.11199999999999</v>
      </c>
      <c r="M662" s="27">
        <v>42758</v>
      </c>
      <c r="N662">
        <v>117.432</v>
      </c>
      <c r="O662" s="27">
        <v>42389</v>
      </c>
      <c r="P662">
        <v>105.434</v>
      </c>
      <c r="S662" s="27">
        <v>43683</v>
      </c>
      <c r="T662">
        <v>1.8574999999999999</v>
      </c>
    </row>
    <row r="663" spans="3:20">
      <c r="C663" s="27">
        <v>41597</v>
      </c>
      <c r="D663">
        <v>4.1885000000000003</v>
      </c>
      <c r="G663" s="27">
        <v>44141</v>
      </c>
      <c r="H663">
        <v>109.105</v>
      </c>
      <c r="M663" s="27">
        <v>42759</v>
      </c>
      <c r="N663">
        <v>117.40600000000001</v>
      </c>
      <c r="O663" s="27">
        <v>42390</v>
      </c>
      <c r="P663">
        <v>105.366</v>
      </c>
      <c r="S663" s="27">
        <v>43684</v>
      </c>
      <c r="T663">
        <v>1.8307</v>
      </c>
    </row>
    <row r="664" spans="3:20">
      <c r="C664" s="27">
        <v>41598</v>
      </c>
      <c r="D664">
        <v>4.1977000000000002</v>
      </c>
      <c r="G664" s="27">
        <v>44144</v>
      </c>
      <c r="H664">
        <v>108.598</v>
      </c>
      <c r="M664" s="27">
        <v>42760</v>
      </c>
      <c r="N664">
        <v>117.044</v>
      </c>
      <c r="O664" s="27">
        <v>42391</v>
      </c>
      <c r="P664">
        <v>105.542</v>
      </c>
      <c r="S664" s="27">
        <v>43685</v>
      </c>
      <c r="T664">
        <v>1.8715999999999999</v>
      </c>
    </row>
    <row r="665" spans="3:20">
      <c r="C665" s="27">
        <v>41599</v>
      </c>
      <c r="D665">
        <v>4.2195</v>
      </c>
      <c r="G665" s="27">
        <v>44145</v>
      </c>
      <c r="H665">
        <v>108.407</v>
      </c>
      <c r="M665" s="27">
        <v>42761</v>
      </c>
      <c r="N665">
        <v>116.51</v>
      </c>
      <c r="O665" s="27">
        <v>42394</v>
      </c>
      <c r="P665">
        <v>105.523</v>
      </c>
      <c r="S665" s="27">
        <v>43686</v>
      </c>
      <c r="T665">
        <v>1.8532</v>
      </c>
    </row>
    <row r="666" spans="3:20">
      <c r="C666" s="27">
        <v>41600</v>
      </c>
      <c r="D666">
        <v>4.2096</v>
      </c>
      <c r="G666" s="27">
        <v>44146</v>
      </c>
      <c r="H666">
        <v>108.65900000000001</v>
      </c>
      <c r="M666" s="27">
        <v>42762</v>
      </c>
      <c r="N666">
        <v>116.063</v>
      </c>
      <c r="O666" s="27">
        <v>42395</v>
      </c>
      <c r="P666">
        <v>105.548</v>
      </c>
      <c r="S666" s="27">
        <v>43689</v>
      </c>
      <c r="T666">
        <v>1.8268</v>
      </c>
    </row>
    <row r="667" spans="3:20">
      <c r="C667" s="27">
        <v>41603</v>
      </c>
      <c r="D667">
        <v>4.1935000000000002</v>
      </c>
      <c r="G667" s="27">
        <v>44147</v>
      </c>
      <c r="H667">
        <v>108.90900000000001</v>
      </c>
      <c r="M667" s="27">
        <v>42765</v>
      </c>
      <c r="N667">
        <v>115.499</v>
      </c>
      <c r="O667" s="27">
        <v>42396</v>
      </c>
      <c r="P667">
        <v>105.613</v>
      </c>
      <c r="S667" s="27">
        <v>43691</v>
      </c>
      <c r="T667">
        <v>1.8328</v>
      </c>
    </row>
    <row r="668" spans="3:20">
      <c r="C668" s="27">
        <v>41604</v>
      </c>
      <c r="D668">
        <v>4.1710000000000003</v>
      </c>
      <c r="G668" s="27">
        <v>44148</v>
      </c>
      <c r="H668">
        <v>109.04900000000001</v>
      </c>
      <c r="M668" s="27">
        <v>42766</v>
      </c>
      <c r="N668">
        <v>116.04900000000001</v>
      </c>
      <c r="O668" s="27">
        <v>42397</v>
      </c>
      <c r="P668">
        <v>105.58199999999999</v>
      </c>
      <c r="S668" s="27">
        <v>43692</v>
      </c>
      <c r="T668">
        <v>1.8189</v>
      </c>
    </row>
    <row r="669" spans="3:20">
      <c r="C669" s="27">
        <v>41605</v>
      </c>
      <c r="D669">
        <v>4.1477000000000004</v>
      </c>
      <c r="G669" s="27">
        <v>44151</v>
      </c>
      <c r="H669">
        <v>109.057</v>
      </c>
      <c r="M669" s="27">
        <v>42767</v>
      </c>
      <c r="N669">
        <v>115.98099999999999</v>
      </c>
      <c r="O669" s="27">
        <v>42398</v>
      </c>
      <c r="P669">
        <v>105.67</v>
      </c>
      <c r="S669" s="27">
        <v>43693</v>
      </c>
      <c r="T669">
        <v>1.8178999999999998</v>
      </c>
    </row>
    <row r="670" spans="3:20">
      <c r="C670" s="27">
        <v>41606</v>
      </c>
      <c r="D670">
        <v>4.1875999999999998</v>
      </c>
      <c r="G670" s="27">
        <v>44152</v>
      </c>
      <c r="H670">
        <v>109.245</v>
      </c>
      <c r="M670" s="27">
        <v>42768</v>
      </c>
      <c r="N670">
        <v>116.22799999999999</v>
      </c>
      <c r="O670" s="27">
        <v>42401</v>
      </c>
      <c r="P670">
        <v>105.92100000000001</v>
      </c>
      <c r="S670" s="27">
        <v>43696</v>
      </c>
      <c r="T670">
        <v>1.8098999999999998</v>
      </c>
    </row>
    <row r="671" spans="3:20">
      <c r="C671" s="27">
        <v>41607</v>
      </c>
      <c r="D671">
        <v>4.1497999999999999</v>
      </c>
      <c r="G671" s="27">
        <v>44153</v>
      </c>
      <c r="H671">
        <v>109.188</v>
      </c>
      <c r="M671" s="27">
        <v>42769</v>
      </c>
      <c r="N671">
        <v>116.691</v>
      </c>
      <c r="O671" s="27">
        <v>42402</v>
      </c>
      <c r="P671">
        <v>105.831</v>
      </c>
      <c r="S671" s="27">
        <v>43697</v>
      </c>
      <c r="T671">
        <v>1.8108</v>
      </c>
    </row>
    <row r="672" spans="3:20">
      <c r="C672" s="27">
        <v>41610</v>
      </c>
      <c r="D672">
        <v>4.2036999999999995</v>
      </c>
      <c r="G672" s="27">
        <v>44154</v>
      </c>
      <c r="H672">
        <v>109.334</v>
      </c>
      <c r="M672" s="27">
        <v>42772</v>
      </c>
      <c r="N672">
        <v>116.355</v>
      </c>
      <c r="O672" s="27">
        <v>42403</v>
      </c>
      <c r="P672">
        <v>105.916</v>
      </c>
      <c r="S672" s="27">
        <v>43698</v>
      </c>
      <c r="T672">
        <v>1.8172000000000001</v>
      </c>
    </row>
    <row r="673" spans="3:20">
      <c r="C673" s="27">
        <v>41611</v>
      </c>
      <c r="D673">
        <v>4.2249999999999996</v>
      </c>
      <c r="G673" s="27">
        <v>44155</v>
      </c>
      <c r="H673">
        <v>109.437</v>
      </c>
      <c r="M673" s="27">
        <v>42773</v>
      </c>
      <c r="N673">
        <v>115.80800000000001</v>
      </c>
      <c r="O673" s="27">
        <v>42404</v>
      </c>
      <c r="P673">
        <v>105.983</v>
      </c>
      <c r="S673" s="27">
        <v>43699</v>
      </c>
      <c r="T673">
        <v>1.8420999999999998</v>
      </c>
    </row>
    <row r="674" spans="3:20">
      <c r="C674" s="27">
        <v>41612</v>
      </c>
      <c r="D674">
        <v>4.1776</v>
      </c>
      <c r="G674" s="27">
        <v>44158</v>
      </c>
      <c r="H674">
        <v>109.432</v>
      </c>
      <c r="M674" s="27">
        <v>42774</v>
      </c>
      <c r="N674">
        <v>117.357</v>
      </c>
      <c r="O674" s="27">
        <v>42405</v>
      </c>
      <c r="P674">
        <v>105.914</v>
      </c>
      <c r="S674" s="27">
        <v>43700</v>
      </c>
      <c r="T674">
        <v>1.8660999999999999</v>
      </c>
    </row>
    <row r="675" spans="3:20">
      <c r="C675" s="27">
        <v>41613</v>
      </c>
      <c r="D675">
        <v>4.1932999999999998</v>
      </c>
      <c r="G675" s="27">
        <v>44159</v>
      </c>
      <c r="H675">
        <v>109.348</v>
      </c>
      <c r="M675" s="27">
        <v>42775</v>
      </c>
      <c r="N675">
        <v>117.71</v>
      </c>
      <c r="O675" s="27">
        <v>42408</v>
      </c>
      <c r="P675">
        <v>105.928</v>
      </c>
      <c r="S675" s="27">
        <v>43703</v>
      </c>
      <c r="T675">
        <v>1.7742</v>
      </c>
    </row>
    <row r="676" spans="3:20">
      <c r="C676" s="27">
        <v>41614</v>
      </c>
      <c r="D676">
        <v>4.2096</v>
      </c>
      <c r="G676" s="27">
        <v>44160</v>
      </c>
      <c r="H676">
        <v>109.4</v>
      </c>
      <c r="M676" s="27">
        <v>42776</v>
      </c>
      <c r="N676">
        <v>117.56399999999999</v>
      </c>
      <c r="O676" s="27">
        <v>42409</v>
      </c>
      <c r="P676">
        <v>106.06399999999999</v>
      </c>
      <c r="S676" s="27">
        <v>43704</v>
      </c>
      <c r="T676">
        <v>1.8601000000000001</v>
      </c>
    </row>
    <row r="677" spans="3:20">
      <c r="C677" s="27">
        <v>41617</v>
      </c>
      <c r="D677">
        <v>4.1624999999999996</v>
      </c>
      <c r="G677" s="27">
        <v>44161</v>
      </c>
      <c r="H677">
        <v>109.557</v>
      </c>
      <c r="M677" s="27">
        <v>42779</v>
      </c>
      <c r="N677">
        <v>117.199</v>
      </c>
      <c r="O677" s="27">
        <v>42410</v>
      </c>
      <c r="P677">
        <v>106.03</v>
      </c>
      <c r="S677" s="27">
        <v>43705</v>
      </c>
      <c r="T677">
        <v>1.8399999999999999</v>
      </c>
    </row>
    <row r="678" spans="3:20">
      <c r="C678" s="27">
        <v>41618</v>
      </c>
      <c r="D678">
        <v>4.1749999999999998</v>
      </c>
      <c r="G678" s="27">
        <v>44162</v>
      </c>
      <c r="H678">
        <v>109.732</v>
      </c>
      <c r="M678" s="27">
        <v>42780</v>
      </c>
      <c r="N678">
        <v>116.474</v>
      </c>
      <c r="O678" s="27">
        <v>42411</v>
      </c>
      <c r="P678">
        <v>106.021</v>
      </c>
      <c r="S678" s="27">
        <v>43706</v>
      </c>
      <c r="T678">
        <v>1.8517000000000001</v>
      </c>
    </row>
    <row r="679" spans="3:20">
      <c r="C679" s="27">
        <v>41619</v>
      </c>
      <c r="D679">
        <v>4.1002000000000001</v>
      </c>
      <c r="G679" s="27">
        <v>44165</v>
      </c>
      <c r="H679">
        <v>109.623</v>
      </c>
      <c r="M679" s="27">
        <v>42781</v>
      </c>
      <c r="N679">
        <v>116.018</v>
      </c>
      <c r="O679" s="27">
        <v>42412</v>
      </c>
      <c r="P679">
        <v>106.133</v>
      </c>
      <c r="S679" s="27">
        <v>43707</v>
      </c>
      <c r="T679">
        <v>1.8431999999999999</v>
      </c>
    </row>
    <row r="680" spans="3:20">
      <c r="C680" s="27">
        <v>41620</v>
      </c>
      <c r="D680">
        <v>4.0724999999999998</v>
      </c>
      <c r="G680" s="27">
        <v>44166</v>
      </c>
      <c r="H680">
        <v>109.241</v>
      </c>
      <c r="M680" s="27">
        <v>42782</v>
      </c>
      <c r="N680">
        <v>116.142</v>
      </c>
      <c r="O680" s="27">
        <v>42415</v>
      </c>
      <c r="P680">
        <v>105.982</v>
      </c>
      <c r="S680" s="27">
        <v>43710</v>
      </c>
      <c r="T680">
        <v>1.8416999999999999</v>
      </c>
    </row>
    <row r="681" spans="3:20">
      <c r="C681" s="27">
        <v>41621</v>
      </c>
      <c r="D681">
        <v>4.0576999999999996</v>
      </c>
      <c r="G681" s="27">
        <v>44167</v>
      </c>
      <c r="H681">
        <v>109.208</v>
      </c>
      <c r="M681" s="27">
        <v>42783</v>
      </c>
      <c r="N681">
        <v>116.608</v>
      </c>
      <c r="O681" s="27">
        <v>42416</v>
      </c>
      <c r="P681">
        <v>106.074</v>
      </c>
      <c r="S681" s="27">
        <v>43711</v>
      </c>
      <c r="T681">
        <v>1.8728</v>
      </c>
    </row>
    <row r="682" spans="3:20">
      <c r="C682" s="27">
        <v>41624</v>
      </c>
      <c r="D682">
        <v>4.0027999999999997</v>
      </c>
      <c r="G682" s="27">
        <v>44168</v>
      </c>
      <c r="H682">
        <v>109.55500000000001</v>
      </c>
      <c r="M682" s="27">
        <v>42786</v>
      </c>
      <c r="N682">
        <v>116.994</v>
      </c>
      <c r="O682" s="27">
        <v>42417</v>
      </c>
      <c r="P682">
        <v>106.035</v>
      </c>
      <c r="S682" s="27">
        <v>43712</v>
      </c>
      <c r="T682">
        <v>1.8940999999999999</v>
      </c>
    </row>
    <row r="683" spans="3:20">
      <c r="C683" s="27">
        <v>41625</v>
      </c>
      <c r="D683">
        <v>4.0214999999999996</v>
      </c>
      <c r="G683" s="27">
        <v>44169</v>
      </c>
      <c r="H683">
        <v>109.455</v>
      </c>
      <c r="M683" s="27">
        <v>42787</v>
      </c>
      <c r="N683">
        <v>117.011</v>
      </c>
      <c r="O683" s="27">
        <v>42418</v>
      </c>
      <c r="P683">
        <v>106.042</v>
      </c>
      <c r="S683" s="27">
        <v>43713</v>
      </c>
      <c r="T683">
        <v>1.9163000000000001</v>
      </c>
    </row>
    <row r="684" spans="3:20">
      <c r="C684" s="27">
        <v>41626</v>
      </c>
      <c r="D684">
        <v>4.0034000000000001</v>
      </c>
      <c r="G684" s="27">
        <v>44172</v>
      </c>
      <c r="H684">
        <v>109.755</v>
      </c>
      <c r="M684" s="27">
        <v>42788</v>
      </c>
      <c r="N684">
        <v>117.146</v>
      </c>
      <c r="O684" s="27">
        <v>42419</v>
      </c>
      <c r="P684">
        <v>106.11799999999999</v>
      </c>
      <c r="S684" s="27">
        <v>43714</v>
      </c>
      <c r="T684">
        <v>1.9716</v>
      </c>
    </row>
    <row r="685" spans="3:20">
      <c r="C685" s="27">
        <v>41627</v>
      </c>
      <c r="D685">
        <v>4.0430000000000001</v>
      </c>
      <c r="G685" s="27">
        <v>44173</v>
      </c>
      <c r="H685">
        <v>109.92700000000001</v>
      </c>
      <c r="M685" s="27">
        <v>42789</v>
      </c>
      <c r="N685">
        <v>117.3</v>
      </c>
      <c r="O685" s="27">
        <v>42422</v>
      </c>
      <c r="P685">
        <v>106.143</v>
      </c>
      <c r="S685" s="27">
        <v>43717</v>
      </c>
      <c r="T685">
        <v>1.9733000000000001</v>
      </c>
    </row>
    <row r="686" spans="3:20">
      <c r="C686" s="27">
        <v>41628</v>
      </c>
      <c r="D686">
        <v>4.0585000000000004</v>
      </c>
      <c r="G686" s="27">
        <v>44174</v>
      </c>
      <c r="H686">
        <v>109.934</v>
      </c>
      <c r="M686" s="27">
        <v>42790</v>
      </c>
      <c r="N686">
        <v>117.40900000000001</v>
      </c>
      <c r="O686" s="27">
        <v>42423</v>
      </c>
      <c r="P686">
        <v>106.19</v>
      </c>
      <c r="S686" s="27">
        <v>43718</v>
      </c>
      <c r="T686">
        <v>1.9933000000000001</v>
      </c>
    </row>
    <row r="687" spans="3:20">
      <c r="C687" s="27">
        <v>41631</v>
      </c>
      <c r="D687">
        <v>4.0696000000000003</v>
      </c>
      <c r="G687" s="27">
        <v>44175</v>
      </c>
      <c r="H687">
        <v>109.974</v>
      </c>
      <c r="M687" s="27">
        <v>42793</v>
      </c>
      <c r="N687">
        <v>117.643</v>
      </c>
      <c r="O687" s="27">
        <v>42424</v>
      </c>
      <c r="P687">
        <v>106.166</v>
      </c>
      <c r="S687" s="27">
        <v>43719</v>
      </c>
      <c r="T687">
        <v>2.0139</v>
      </c>
    </row>
    <row r="688" spans="3:20">
      <c r="C688" s="27">
        <v>41632</v>
      </c>
      <c r="D688">
        <v>4.0635000000000003</v>
      </c>
      <c r="G688" s="27">
        <v>44176</v>
      </c>
      <c r="H688">
        <v>110.227</v>
      </c>
      <c r="M688" s="27">
        <v>42794</v>
      </c>
      <c r="N688">
        <v>117.337</v>
      </c>
      <c r="O688" s="27">
        <v>42425</v>
      </c>
      <c r="P688">
        <v>106.164</v>
      </c>
      <c r="S688" s="27">
        <v>43720</v>
      </c>
      <c r="T688">
        <v>2.0217999999999998</v>
      </c>
    </row>
    <row r="689" spans="3:20">
      <c r="C689" s="27">
        <v>41633</v>
      </c>
      <c r="D689">
        <v>4.0724999999999998</v>
      </c>
      <c r="G689" s="27">
        <v>44179</v>
      </c>
      <c r="H689">
        <v>110.08199999999999</v>
      </c>
      <c r="M689" s="27">
        <v>42795</v>
      </c>
      <c r="N689">
        <v>116.664</v>
      </c>
      <c r="O689" s="27">
        <v>42426</v>
      </c>
      <c r="P689">
        <v>106.25700000000001</v>
      </c>
      <c r="S689" s="27">
        <v>43721</v>
      </c>
      <c r="T689">
        <v>2.0301999999999998</v>
      </c>
    </row>
    <row r="690" spans="3:20">
      <c r="C690" s="27">
        <v>41634</v>
      </c>
      <c r="D690">
        <v>4.0769000000000002</v>
      </c>
      <c r="G690" s="27">
        <v>44180</v>
      </c>
      <c r="H690">
        <v>110.033</v>
      </c>
      <c r="M690" s="27">
        <v>42796</v>
      </c>
      <c r="N690">
        <v>116.527</v>
      </c>
      <c r="O690" s="27">
        <v>42429</v>
      </c>
      <c r="P690">
        <v>106.29900000000001</v>
      </c>
      <c r="S690" s="27">
        <v>43724</v>
      </c>
      <c r="T690">
        <v>2.0562999999999998</v>
      </c>
    </row>
    <row r="691" spans="3:20">
      <c r="C691" s="27">
        <v>41635</v>
      </c>
      <c r="D691">
        <v>4.1296999999999997</v>
      </c>
      <c r="G691" s="27">
        <v>44181</v>
      </c>
      <c r="H691">
        <v>109.613</v>
      </c>
      <c r="M691" s="27">
        <v>42797</v>
      </c>
      <c r="N691">
        <v>116.545</v>
      </c>
      <c r="O691" s="27">
        <v>42430</v>
      </c>
      <c r="P691">
        <v>106.46899999999999</v>
      </c>
      <c r="S691" s="27">
        <v>43725</v>
      </c>
      <c r="T691">
        <v>2.0125999999999999</v>
      </c>
    </row>
    <row r="692" spans="3:20">
      <c r="C692" s="27">
        <v>41638</v>
      </c>
      <c r="D692">
        <v>4.1279000000000003</v>
      </c>
      <c r="G692" s="27">
        <v>44182</v>
      </c>
      <c r="H692">
        <v>109.69199999999999</v>
      </c>
      <c r="M692" s="27">
        <v>42800</v>
      </c>
      <c r="N692">
        <v>116.726</v>
      </c>
      <c r="O692" s="27">
        <v>42431</v>
      </c>
      <c r="P692">
        <v>106.417</v>
      </c>
      <c r="S692" s="27">
        <v>43726</v>
      </c>
      <c r="T692">
        <v>2.0026000000000002</v>
      </c>
    </row>
    <row r="693" spans="3:20">
      <c r="C693" s="27">
        <v>41639</v>
      </c>
      <c r="D693">
        <v>4.0749000000000004</v>
      </c>
      <c r="G693" s="27">
        <v>44183</v>
      </c>
      <c r="H693">
        <v>109.702</v>
      </c>
      <c r="M693" s="27">
        <v>42801</v>
      </c>
      <c r="N693">
        <v>117.026</v>
      </c>
      <c r="O693" s="27">
        <v>42432</v>
      </c>
      <c r="P693">
        <v>106.374</v>
      </c>
      <c r="S693" s="27">
        <v>43727</v>
      </c>
      <c r="T693">
        <v>1.9285999999999999</v>
      </c>
    </row>
    <row r="694" spans="3:20">
      <c r="C694" s="27">
        <v>41640</v>
      </c>
      <c r="D694">
        <v>4.0740999999999996</v>
      </c>
      <c r="G694" s="27">
        <v>44186</v>
      </c>
      <c r="H694">
        <v>109.72199999999999</v>
      </c>
      <c r="M694" s="27">
        <v>42802</v>
      </c>
      <c r="N694">
        <v>116.66200000000001</v>
      </c>
      <c r="O694" s="27">
        <v>42433</v>
      </c>
      <c r="P694">
        <v>106.574</v>
      </c>
      <c r="S694" s="27">
        <v>43728</v>
      </c>
      <c r="T694">
        <v>1.8915</v>
      </c>
    </row>
    <row r="695" spans="3:20">
      <c r="C695" s="27">
        <v>41641</v>
      </c>
      <c r="D695">
        <v>4.1097000000000001</v>
      </c>
      <c r="G695" s="27">
        <v>44187</v>
      </c>
      <c r="H695">
        <v>109.827</v>
      </c>
      <c r="M695" s="27">
        <v>42803</v>
      </c>
      <c r="N695">
        <v>116.378</v>
      </c>
      <c r="O695" s="27">
        <v>42436</v>
      </c>
      <c r="P695">
        <v>106.434</v>
      </c>
      <c r="S695" s="27">
        <v>43740</v>
      </c>
      <c r="T695">
        <v>1.7783</v>
      </c>
    </row>
    <row r="696" spans="3:20">
      <c r="C696" s="27">
        <v>41642</v>
      </c>
      <c r="D696">
        <v>4.1109999999999998</v>
      </c>
      <c r="G696" s="27">
        <v>44188</v>
      </c>
      <c r="H696">
        <v>109.441</v>
      </c>
      <c r="M696" s="27">
        <v>42804</v>
      </c>
      <c r="N696">
        <v>116.157</v>
      </c>
      <c r="O696" s="27">
        <v>42437</v>
      </c>
      <c r="P696">
        <v>106.764</v>
      </c>
      <c r="S696" s="27">
        <v>43741</v>
      </c>
      <c r="T696">
        <v>1.7614000000000001</v>
      </c>
    </row>
    <row r="697" spans="3:20">
      <c r="C697" s="27">
        <v>41645</v>
      </c>
      <c r="D697">
        <v>4.1218000000000004</v>
      </c>
      <c r="G697" s="27">
        <v>44189</v>
      </c>
      <c r="H697">
        <v>109.482</v>
      </c>
      <c r="M697" s="27">
        <v>42807</v>
      </c>
      <c r="N697">
        <v>115.39100000000001</v>
      </c>
      <c r="O697" s="27">
        <v>42438</v>
      </c>
      <c r="P697">
        <v>106.97799999999999</v>
      </c>
      <c r="S697" s="27">
        <v>43742</v>
      </c>
      <c r="T697">
        <v>1.7455000000000001</v>
      </c>
    </row>
    <row r="698" spans="3:20">
      <c r="C698" s="27">
        <v>41646</v>
      </c>
      <c r="D698">
        <v>4.0841000000000003</v>
      </c>
      <c r="G698" s="27">
        <v>44193</v>
      </c>
      <c r="H698">
        <v>109.542</v>
      </c>
      <c r="M698" s="27">
        <v>42808</v>
      </c>
      <c r="N698">
        <v>116.17400000000001</v>
      </c>
      <c r="O698" s="27">
        <v>42439</v>
      </c>
      <c r="P698">
        <v>106.82</v>
      </c>
      <c r="S698" s="27">
        <v>43746</v>
      </c>
      <c r="T698">
        <v>1.7481</v>
      </c>
    </row>
    <row r="699" spans="3:20">
      <c r="C699" s="27">
        <v>41647</v>
      </c>
      <c r="D699">
        <v>4.0686999999999998</v>
      </c>
      <c r="G699" s="27">
        <v>44194</v>
      </c>
      <c r="H699">
        <v>109.64700000000001</v>
      </c>
      <c r="M699" s="27">
        <v>42809</v>
      </c>
      <c r="N699">
        <v>116.43</v>
      </c>
      <c r="O699" s="27">
        <v>42440</v>
      </c>
      <c r="P699">
        <v>106.428</v>
      </c>
      <c r="S699" s="27">
        <v>43747</v>
      </c>
      <c r="T699">
        <v>1.7452999999999999</v>
      </c>
    </row>
    <row r="700" spans="3:20">
      <c r="C700" s="27">
        <v>41648</v>
      </c>
      <c r="D700">
        <v>4.1093000000000002</v>
      </c>
      <c r="G700" s="27">
        <v>44195</v>
      </c>
      <c r="H700">
        <v>109.633</v>
      </c>
      <c r="M700" s="27">
        <v>42810</v>
      </c>
      <c r="N700">
        <v>116.66200000000001</v>
      </c>
      <c r="O700" s="27">
        <v>42443</v>
      </c>
      <c r="P700">
        <v>106.92700000000001</v>
      </c>
      <c r="S700" s="27">
        <v>43748</v>
      </c>
      <c r="T700">
        <v>1.7399</v>
      </c>
    </row>
    <row r="701" spans="3:20">
      <c r="C701" s="27">
        <v>41649</v>
      </c>
      <c r="D701">
        <v>4.0904999999999996</v>
      </c>
      <c r="G701" s="27">
        <v>44196</v>
      </c>
      <c r="H701">
        <v>109.626</v>
      </c>
      <c r="M701" s="27">
        <v>42811</v>
      </c>
      <c r="N701">
        <v>116.53700000000001</v>
      </c>
      <c r="O701" s="27">
        <v>42444</v>
      </c>
      <c r="P701">
        <v>107.02</v>
      </c>
      <c r="S701" s="27">
        <v>43749</v>
      </c>
      <c r="T701">
        <v>1.7934999999999999</v>
      </c>
    </row>
    <row r="702" spans="3:20">
      <c r="C702" s="27">
        <v>41652</v>
      </c>
      <c r="D702">
        <v>4.0697999999999999</v>
      </c>
      <c r="G702" s="27">
        <v>44200</v>
      </c>
      <c r="H702">
        <v>109.956</v>
      </c>
      <c r="M702" s="27">
        <v>42814</v>
      </c>
      <c r="N702">
        <v>116.517</v>
      </c>
      <c r="O702" s="27">
        <v>42445</v>
      </c>
      <c r="P702">
        <v>106.935</v>
      </c>
      <c r="S702" s="27">
        <v>43752</v>
      </c>
      <c r="T702">
        <v>1.8105</v>
      </c>
    </row>
    <row r="703" spans="3:20">
      <c r="C703" s="27">
        <v>41653</v>
      </c>
      <c r="D703">
        <v>4.0385</v>
      </c>
      <c r="G703" s="27">
        <v>44201</v>
      </c>
      <c r="H703">
        <v>109.792</v>
      </c>
      <c r="M703" s="27">
        <v>42815</v>
      </c>
      <c r="N703">
        <v>116.67700000000001</v>
      </c>
      <c r="O703" s="27">
        <v>42446</v>
      </c>
      <c r="P703">
        <v>107.078</v>
      </c>
      <c r="S703" s="27">
        <v>43753</v>
      </c>
      <c r="T703">
        <v>1.8048999999999999</v>
      </c>
    </row>
    <row r="704" spans="3:20">
      <c r="C704" s="27">
        <v>41654</v>
      </c>
      <c r="D704">
        <v>4.0548000000000002</v>
      </c>
      <c r="G704" s="27">
        <v>44202</v>
      </c>
      <c r="H704">
        <v>109.681</v>
      </c>
      <c r="M704" s="27">
        <v>42816</v>
      </c>
      <c r="N704">
        <v>117.092</v>
      </c>
      <c r="O704" s="27">
        <v>42447</v>
      </c>
      <c r="P704">
        <v>107.178</v>
      </c>
      <c r="S704" s="27">
        <v>43754</v>
      </c>
      <c r="T704">
        <v>1.8334000000000001</v>
      </c>
    </row>
    <row r="705" spans="3:20">
      <c r="C705" s="27">
        <v>41655</v>
      </c>
      <c r="D705">
        <v>3.9668999999999999</v>
      </c>
      <c r="G705" s="27">
        <v>44203</v>
      </c>
      <c r="H705">
        <v>109.80800000000001</v>
      </c>
      <c r="M705" s="27">
        <v>42817</v>
      </c>
      <c r="N705">
        <v>117.188</v>
      </c>
      <c r="O705" s="27">
        <v>42450</v>
      </c>
      <c r="P705">
        <v>107.214</v>
      </c>
      <c r="S705" s="27">
        <v>43755</v>
      </c>
      <c r="T705">
        <v>1.8593999999999999</v>
      </c>
    </row>
    <row r="706" spans="3:20">
      <c r="C706" s="27">
        <v>41656</v>
      </c>
      <c r="D706">
        <v>3.9045999999999998</v>
      </c>
      <c r="G706" s="27">
        <v>44204</v>
      </c>
      <c r="H706">
        <v>109.83</v>
      </c>
      <c r="M706" s="27">
        <v>42818</v>
      </c>
      <c r="N706">
        <v>117.164</v>
      </c>
      <c r="O706" s="27">
        <v>42451</v>
      </c>
      <c r="P706">
        <v>107.399</v>
      </c>
      <c r="S706" s="27">
        <v>43756</v>
      </c>
      <c r="T706">
        <v>1.8814</v>
      </c>
    </row>
    <row r="707" spans="3:20">
      <c r="C707" s="27">
        <v>41659</v>
      </c>
      <c r="D707">
        <v>3.9066999999999998</v>
      </c>
      <c r="G707" s="27">
        <v>44207</v>
      </c>
      <c r="H707">
        <v>109.628</v>
      </c>
      <c r="M707" s="27">
        <v>42821</v>
      </c>
      <c r="N707">
        <v>117.15900000000001</v>
      </c>
      <c r="O707" s="27">
        <v>42452</v>
      </c>
      <c r="P707">
        <v>107.479</v>
      </c>
      <c r="S707" s="27">
        <v>43759</v>
      </c>
      <c r="T707">
        <v>1.897</v>
      </c>
    </row>
    <row r="708" spans="3:20">
      <c r="C708" s="27">
        <v>41660</v>
      </c>
      <c r="D708">
        <v>3.9358</v>
      </c>
      <c r="G708" s="27">
        <v>44208</v>
      </c>
      <c r="H708">
        <v>109.22199999999999</v>
      </c>
      <c r="M708" s="27">
        <v>42822</v>
      </c>
      <c r="N708">
        <v>116.76</v>
      </c>
      <c r="O708" s="27">
        <v>42453</v>
      </c>
      <c r="P708">
        <v>107.527</v>
      </c>
      <c r="S708" s="27">
        <v>43760</v>
      </c>
      <c r="T708">
        <v>1.8925999999999998</v>
      </c>
    </row>
    <row r="709" spans="3:20">
      <c r="C709" s="27">
        <v>41661</v>
      </c>
      <c r="D709">
        <v>4.0583</v>
      </c>
      <c r="G709" s="27">
        <v>44209</v>
      </c>
      <c r="H709">
        <v>109.691</v>
      </c>
      <c r="M709" s="27">
        <v>42823</v>
      </c>
      <c r="N709">
        <v>117.33</v>
      </c>
      <c r="O709" s="27">
        <v>42454</v>
      </c>
      <c r="P709">
        <v>107.584</v>
      </c>
      <c r="S709" s="27">
        <v>43761</v>
      </c>
      <c r="T709">
        <v>1.8672</v>
      </c>
    </row>
    <row r="710" spans="3:20">
      <c r="C710" s="27">
        <v>41662</v>
      </c>
      <c r="D710">
        <v>4.0399000000000003</v>
      </c>
      <c r="G710" s="27">
        <v>44210</v>
      </c>
      <c r="H710">
        <v>109.895</v>
      </c>
      <c r="M710" s="27">
        <v>42824</v>
      </c>
      <c r="N710">
        <v>117.616</v>
      </c>
      <c r="O710" s="27">
        <v>42457</v>
      </c>
      <c r="P710">
        <v>107.586</v>
      </c>
      <c r="S710" s="27">
        <v>43762</v>
      </c>
      <c r="T710">
        <v>1.8544</v>
      </c>
    </row>
    <row r="711" spans="3:20">
      <c r="C711" s="27">
        <v>41663</v>
      </c>
      <c r="D711">
        <v>3.9089</v>
      </c>
      <c r="G711" s="27">
        <v>44211</v>
      </c>
      <c r="H711">
        <v>109.76600000000001</v>
      </c>
      <c r="M711" s="27">
        <v>42825</v>
      </c>
      <c r="N711">
        <v>117.697</v>
      </c>
      <c r="O711" s="27">
        <v>42458</v>
      </c>
      <c r="P711">
        <v>107.58</v>
      </c>
      <c r="S711" s="27">
        <v>43763</v>
      </c>
      <c r="T711">
        <v>1.8464</v>
      </c>
    </row>
    <row r="712" spans="3:20">
      <c r="C712" s="27">
        <v>41666</v>
      </c>
      <c r="D712">
        <v>3.8833000000000002</v>
      </c>
      <c r="G712" s="27">
        <v>44214</v>
      </c>
      <c r="H712">
        <v>109.602</v>
      </c>
      <c r="M712" s="27">
        <v>42828</v>
      </c>
      <c r="N712">
        <v>117.598</v>
      </c>
      <c r="O712" s="27">
        <v>42459</v>
      </c>
      <c r="P712">
        <v>107.714</v>
      </c>
      <c r="S712" s="27">
        <v>43766</v>
      </c>
      <c r="T712">
        <v>1.8599000000000001</v>
      </c>
    </row>
    <row r="713" spans="3:20">
      <c r="C713" s="27">
        <v>41667</v>
      </c>
      <c r="D713">
        <v>3.9285999999999999</v>
      </c>
      <c r="G713" s="27">
        <v>44215</v>
      </c>
      <c r="H713">
        <v>109.59</v>
      </c>
      <c r="M713" s="27">
        <v>42829</v>
      </c>
      <c r="N713">
        <v>117.72199999999999</v>
      </c>
      <c r="O713" s="27">
        <v>42460</v>
      </c>
      <c r="P713">
        <v>107.717</v>
      </c>
      <c r="S713" s="27">
        <v>43767</v>
      </c>
      <c r="T713">
        <v>1.913</v>
      </c>
    </row>
    <row r="714" spans="3:20">
      <c r="C714" s="27">
        <v>41668</v>
      </c>
      <c r="D714">
        <v>3.9984999999999999</v>
      </c>
      <c r="G714" s="27">
        <v>44216</v>
      </c>
      <c r="H714">
        <v>109.642</v>
      </c>
      <c r="M714" s="27">
        <v>42830</v>
      </c>
      <c r="N714">
        <v>117.798</v>
      </c>
      <c r="O714" s="27">
        <v>42461</v>
      </c>
      <c r="P714">
        <v>107.742</v>
      </c>
      <c r="S714" s="27">
        <v>43768</v>
      </c>
      <c r="T714">
        <v>1.9022000000000001</v>
      </c>
    </row>
    <row r="715" spans="3:20">
      <c r="C715" s="27">
        <v>41669</v>
      </c>
      <c r="D715">
        <v>3.9478</v>
      </c>
      <c r="G715" s="27">
        <v>44217</v>
      </c>
      <c r="H715">
        <v>109.339</v>
      </c>
      <c r="M715" s="27">
        <v>42831</v>
      </c>
      <c r="N715">
        <v>117.845</v>
      </c>
      <c r="O715" s="27">
        <v>42464</v>
      </c>
      <c r="P715">
        <v>107.854</v>
      </c>
      <c r="S715" s="27">
        <v>43769</v>
      </c>
      <c r="T715">
        <v>1.921</v>
      </c>
    </row>
    <row r="716" spans="3:20">
      <c r="C716" s="27">
        <v>41670</v>
      </c>
      <c r="D716">
        <v>3.9493</v>
      </c>
      <c r="G716" s="27">
        <v>44218</v>
      </c>
      <c r="H716">
        <v>109.505</v>
      </c>
      <c r="M716" s="27">
        <v>42832</v>
      </c>
      <c r="N716">
        <v>117.837</v>
      </c>
      <c r="O716" s="27">
        <v>42465</v>
      </c>
      <c r="P716">
        <v>108.036</v>
      </c>
      <c r="S716" s="27">
        <v>43770</v>
      </c>
      <c r="T716">
        <v>1.905</v>
      </c>
    </row>
    <row r="717" spans="3:20">
      <c r="C717" s="27">
        <v>41673</v>
      </c>
      <c r="D717">
        <v>3.9630999999999998</v>
      </c>
      <c r="G717" s="27">
        <v>44221</v>
      </c>
      <c r="H717">
        <v>109.687</v>
      </c>
      <c r="M717" s="27">
        <v>42835</v>
      </c>
      <c r="N717">
        <v>117.495</v>
      </c>
      <c r="O717" s="27">
        <v>42466</v>
      </c>
      <c r="P717">
        <v>108.136</v>
      </c>
      <c r="S717" s="27">
        <v>43773</v>
      </c>
      <c r="T717">
        <v>1.9330000000000001</v>
      </c>
    </row>
    <row r="718" spans="3:20">
      <c r="C718" s="27">
        <v>41674</v>
      </c>
      <c r="D718">
        <v>4.0072999999999999</v>
      </c>
      <c r="G718" s="27">
        <v>44222</v>
      </c>
      <c r="H718">
        <v>109.54600000000001</v>
      </c>
      <c r="M718" s="27">
        <v>42836</v>
      </c>
      <c r="N718">
        <v>117.41200000000001</v>
      </c>
      <c r="O718" s="27">
        <v>42467</v>
      </c>
      <c r="P718">
        <v>108.22499999999999</v>
      </c>
      <c r="S718" s="27">
        <v>43774</v>
      </c>
      <c r="T718">
        <v>1.9283000000000001</v>
      </c>
    </row>
    <row r="719" spans="3:20">
      <c r="C719" s="27">
        <v>41675</v>
      </c>
      <c r="D719">
        <v>4.0239000000000003</v>
      </c>
      <c r="G719" s="27">
        <v>44223</v>
      </c>
      <c r="H719">
        <v>109.6</v>
      </c>
      <c r="M719" s="27">
        <v>42837</v>
      </c>
      <c r="N719">
        <v>117.405</v>
      </c>
      <c r="O719" s="27">
        <v>42468</v>
      </c>
      <c r="P719">
        <v>108.383</v>
      </c>
      <c r="S719" s="27">
        <v>43775</v>
      </c>
      <c r="T719">
        <v>1.9725000000000001</v>
      </c>
    </row>
    <row r="720" spans="3:20">
      <c r="C720" s="27">
        <v>41676</v>
      </c>
      <c r="D720">
        <v>4.0716000000000001</v>
      </c>
      <c r="G720" s="27">
        <v>44224</v>
      </c>
      <c r="H720">
        <v>109.43899999999999</v>
      </c>
      <c r="M720" s="27">
        <v>42843</v>
      </c>
      <c r="N720">
        <v>117.69799999999999</v>
      </c>
      <c r="O720" s="27">
        <v>42471</v>
      </c>
      <c r="P720">
        <v>108.374</v>
      </c>
      <c r="S720" s="27">
        <v>43776</v>
      </c>
      <c r="T720">
        <v>1.9510000000000001</v>
      </c>
    </row>
    <row r="721" spans="3:20">
      <c r="C721" s="27">
        <v>41677</v>
      </c>
      <c r="D721">
        <v>4.0961999999999996</v>
      </c>
      <c r="G721" s="27">
        <v>44225</v>
      </c>
      <c r="H721">
        <v>109.245</v>
      </c>
      <c r="M721" s="27">
        <v>42844</v>
      </c>
      <c r="N721">
        <v>118.006</v>
      </c>
      <c r="O721" s="27">
        <v>42472</v>
      </c>
      <c r="P721">
        <v>108.381</v>
      </c>
      <c r="S721" s="27">
        <v>43777</v>
      </c>
      <c r="T721">
        <v>1.9621</v>
      </c>
    </row>
    <row r="722" spans="3:20">
      <c r="C722" s="27">
        <v>41680</v>
      </c>
      <c r="D722">
        <v>4.0757000000000003</v>
      </c>
      <c r="G722" s="27">
        <v>44228</v>
      </c>
      <c r="H722">
        <v>109.26</v>
      </c>
      <c r="M722" s="27">
        <v>42845</v>
      </c>
      <c r="N722">
        <v>117.85299999999999</v>
      </c>
      <c r="O722" s="27">
        <v>42473</v>
      </c>
      <c r="P722">
        <v>108.313</v>
      </c>
      <c r="S722" s="27">
        <v>43780</v>
      </c>
      <c r="T722">
        <v>1.954</v>
      </c>
    </row>
    <row r="723" spans="3:20">
      <c r="C723" s="27">
        <v>41681</v>
      </c>
      <c r="D723">
        <v>4.1090999999999998</v>
      </c>
      <c r="G723" s="27">
        <v>44229</v>
      </c>
      <c r="H723">
        <v>109.14</v>
      </c>
      <c r="M723" s="27">
        <v>42846</v>
      </c>
      <c r="N723">
        <v>118.005</v>
      </c>
      <c r="O723" s="27">
        <v>42474</v>
      </c>
      <c r="P723">
        <v>108.331</v>
      </c>
      <c r="S723" s="27">
        <v>43781</v>
      </c>
      <c r="T723">
        <v>1.9430000000000001</v>
      </c>
    </row>
    <row r="724" spans="3:20">
      <c r="C724" s="27">
        <v>41682</v>
      </c>
      <c r="D724">
        <v>4.1039000000000003</v>
      </c>
      <c r="G724" s="27">
        <v>44230</v>
      </c>
      <c r="H724">
        <v>109.053</v>
      </c>
      <c r="M724" s="27">
        <v>42849</v>
      </c>
      <c r="N724">
        <v>117.13</v>
      </c>
      <c r="O724" s="27">
        <v>42475</v>
      </c>
      <c r="P724">
        <v>108.25700000000001</v>
      </c>
      <c r="S724" s="27">
        <v>43782</v>
      </c>
      <c r="T724">
        <v>1.9351</v>
      </c>
    </row>
    <row r="725" spans="3:20">
      <c r="C725" s="27">
        <v>41683</v>
      </c>
      <c r="D725">
        <v>4.0365000000000002</v>
      </c>
      <c r="G725" s="27">
        <v>44231</v>
      </c>
      <c r="H725">
        <v>108.99</v>
      </c>
      <c r="M725" s="27">
        <v>42850</v>
      </c>
      <c r="N725">
        <v>116.893</v>
      </c>
      <c r="O725" s="27">
        <v>42478</v>
      </c>
      <c r="P725">
        <v>108.345</v>
      </c>
      <c r="S725" s="27">
        <v>43783</v>
      </c>
      <c r="T725">
        <v>1.8822000000000001</v>
      </c>
    </row>
    <row r="726" spans="3:20">
      <c r="C726" s="27">
        <v>41684</v>
      </c>
      <c r="D726">
        <v>4.0136000000000003</v>
      </c>
      <c r="G726" s="27">
        <v>44232</v>
      </c>
      <c r="H726">
        <v>109.06399999999999</v>
      </c>
      <c r="M726" s="27">
        <v>42851</v>
      </c>
      <c r="N726">
        <v>116.776</v>
      </c>
      <c r="O726" s="27">
        <v>42479</v>
      </c>
      <c r="P726">
        <v>108.25</v>
      </c>
      <c r="S726" s="27">
        <v>43784</v>
      </c>
      <c r="T726">
        <v>1.8424</v>
      </c>
    </row>
    <row r="727" spans="3:20">
      <c r="C727" s="27">
        <v>41687</v>
      </c>
      <c r="D727">
        <v>4.0293999999999999</v>
      </c>
      <c r="G727" s="27">
        <v>44235</v>
      </c>
      <c r="H727">
        <v>109.08499999999999</v>
      </c>
      <c r="M727" s="27">
        <v>42852</v>
      </c>
      <c r="N727">
        <v>117.11499999999999</v>
      </c>
      <c r="O727" s="27">
        <v>42480</v>
      </c>
      <c r="P727">
        <v>108.322</v>
      </c>
      <c r="S727" s="27">
        <v>43787</v>
      </c>
      <c r="T727">
        <v>1.8464</v>
      </c>
    </row>
    <row r="728" spans="3:20">
      <c r="C728" s="27">
        <v>41688</v>
      </c>
      <c r="D728">
        <v>4.0502000000000002</v>
      </c>
      <c r="G728" s="27">
        <v>44236</v>
      </c>
      <c r="H728">
        <v>109.069</v>
      </c>
      <c r="M728" s="27">
        <v>42853</v>
      </c>
      <c r="N728">
        <v>117.072</v>
      </c>
      <c r="O728" s="27">
        <v>42481</v>
      </c>
      <c r="P728">
        <v>108.206</v>
      </c>
      <c r="S728" s="27">
        <v>43796</v>
      </c>
      <c r="T728">
        <v>1.7976999999999999</v>
      </c>
    </row>
    <row r="729" spans="3:20">
      <c r="C729" s="27">
        <v>41689</v>
      </c>
      <c r="D729">
        <v>4.0144000000000002</v>
      </c>
      <c r="G729" s="27">
        <v>44237</v>
      </c>
      <c r="H729">
        <v>109.01600000000001</v>
      </c>
      <c r="M729" s="27">
        <v>42857</v>
      </c>
      <c r="N729">
        <v>117.032</v>
      </c>
      <c r="O729" s="27">
        <v>42482</v>
      </c>
      <c r="P729">
        <v>108.143</v>
      </c>
      <c r="S729" s="27">
        <v>43797</v>
      </c>
      <c r="T729">
        <v>1.7789000000000001</v>
      </c>
    </row>
    <row r="730" spans="3:20">
      <c r="C730" s="27">
        <v>41690</v>
      </c>
      <c r="D730">
        <v>4.0053999999999998</v>
      </c>
      <c r="G730" s="27">
        <v>44238</v>
      </c>
      <c r="H730">
        <v>109.253</v>
      </c>
      <c r="M730" s="27">
        <v>42858</v>
      </c>
      <c r="N730">
        <v>117.11799999999999</v>
      </c>
      <c r="O730" s="27">
        <v>42485</v>
      </c>
      <c r="P730">
        <v>108.265</v>
      </c>
      <c r="S730" s="27">
        <v>43801</v>
      </c>
      <c r="T730">
        <v>1.7797000000000001</v>
      </c>
    </row>
    <row r="731" spans="3:20">
      <c r="C731" s="27">
        <v>41691</v>
      </c>
      <c r="D731">
        <v>4.0454999999999997</v>
      </c>
      <c r="G731" s="27">
        <v>44239</v>
      </c>
      <c r="H731">
        <v>109.01</v>
      </c>
      <c r="M731" s="27">
        <v>42859</v>
      </c>
      <c r="N731">
        <v>116.806</v>
      </c>
      <c r="O731" s="27">
        <v>42486</v>
      </c>
      <c r="P731">
        <v>108.223</v>
      </c>
      <c r="S731" s="27">
        <v>43804</v>
      </c>
      <c r="T731">
        <v>1.7976000000000001</v>
      </c>
    </row>
    <row r="732" spans="3:20">
      <c r="C732" s="27">
        <v>41694</v>
      </c>
      <c r="D732">
        <v>3.9980000000000002</v>
      </c>
      <c r="G732" s="27">
        <v>44242</v>
      </c>
      <c r="H732">
        <v>108.648</v>
      </c>
      <c r="M732" s="27">
        <v>42860</v>
      </c>
      <c r="N732">
        <v>116.666</v>
      </c>
      <c r="O732" s="27">
        <v>42487</v>
      </c>
      <c r="P732">
        <v>108.09099999999999</v>
      </c>
      <c r="S732" s="27">
        <v>43815</v>
      </c>
      <c r="T732">
        <v>1.8111000000000002</v>
      </c>
    </row>
    <row r="733" spans="3:20">
      <c r="C733" s="27">
        <v>41695</v>
      </c>
      <c r="D733">
        <v>3.9984999999999999</v>
      </c>
      <c r="G733" s="27">
        <v>44243</v>
      </c>
      <c r="H733">
        <v>108.348</v>
      </c>
      <c r="M733" s="27">
        <v>42863</v>
      </c>
      <c r="N733">
        <v>116.587</v>
      </c>
      <c r="O733" s="27">
        <v>42488</v>
      </c>
      <c r="P733">
        <v>108.233</v>
      </c>
      <c r="S733" s="27">
        <v>43816</v>
      </c>
      <c r="T733">
        <v>1.8136999999999999</v>
      </c>
    </row>
    <row r="734" spans="3:20">
      <c r="C734" s="27">
        <v>41696</v>
      </c>
      <c r="D734">
        <v>3.9836999999999998</v>
      </c>
      <c r="G734" s="27">
        <v>44244</v>
      </c>
      <c r="H734">
        <v>108.572</v>
      </c>
      <c r="M734" s="27">
        <v>42864</v>
      </c>
      <c r="N734">
        <v>116.584</v>
      </c>
      <c r="O734" s="27">
        <v>42489</v>
      </c>
      <c r="P734">
        <v>108.172</v>
      </c>
      <c r="S734" s="27">
        <v>43818</v>
      </c>
      <c r="T734">
        <v>1.8191999999999999</v>
      </c>
    </row>
    <row r="735" spans="3:20">
      <c r="C735" s="27">
        <v>41697</v>
      </c>
      <c r="D735">
        <v>3.9186999999999999</v>
      </c>
      <c r="G735" s="27">
        <v>44245</v>
      </c>
      <c r="H735">
        <v>108.318</v>
      </c>
      <c r="M735" s="27">
        <v>42865</v>
      </c>
      <c r="N735">
        <v>117.015</v>
      </c>
      <c r="O735" s="27">
        <v>42492</v>
      </c>
      <c r="P735">
        <v>108.134</v>
      </c>
      <c r="S735" s="27">
        <v>43823</v>
      </c>
      <c r="T735">
        <v>1.8411999999999999</v>
      </c>
    </row>
    <row r="736" spans="3:20">
      <c r="C736" s="27">
        <v>41698</v>
      </c>
      <c r="D736">
        <v>3.9003999999999999</v>
      </c>
      <c r="G736" s="27">
        <v>44246</v>
      </c>
      <c r="H736">
        <v>108.05200000000001</v>
      </c>
      <c r="M736" s="27">
        <v>42866</v>
      </c>
      <c r="N736">
        <v>116.983</v>
      </c>
      <c r="O736" s="27">
        <v>42493</v>
      </c>
      <c r="P736">
        <v>108.062</v>
      </c>
      <c r="S736" s="27">
        <v>43826</v>
      </c>
      <c r="T736">
        <v>1.8665</v>
      </c>
    </row>
    <row r="737" spans="3:20">
      <c r="C737" s="27">
        <v>41701</v>
      </c>
      <c r="D737">
        <v>3.8708999999999998</v>
      </c>
      <c r="G737" s="27">
        <v>44249</v>
      </c>
      <c r="H737">
        <v>108.343</v>
      </c>
      <c r="M737" s="27">
        <v>42867</v>
      </c>
      <c r="N737">
        <v>117.31</v>
      </c>
      <c r="O737" s="27">
        <v>42494</v>
      </c>
      <c r="P737">
        <v>108.23099999999999</v>
      </c>
      <c r="S737" s="27">
        <v>43830</v>
      </c>
      <c r="T737">
        <v>1.8454000000000002</v>
      </c>
    </row>
    <row r="738" spans="3:20">
      <c r="C738" s="27">
        <v>41702</v>
      </c>
      <c r="D738">
        <v>3.9045999999999998</v>
      </c>
      <c r="G738" s="27">
        <v>44250</v>
      </c>
      <c r="H738">
        <v>108.152</v>
      </c>
      <c r="M738" s="27">
        <v>42870</v>
      </c>
      <c r="N738">
        <v>117.569</v>
      </c>
      <c r="O738" s="27">
        <v>42495</v>
      </c>
      <c r="P738">
        <v>108.227</v>
      </c>
      <c r="S738" s="27">
        <v>43837</v>
      </c>
      <c r="T738">
        <v>1.6880999999999999</v>
      </c>
    </row>
    <row r="739" spans="3:20">
      <c r="C739" s="27">
        <v>41703</v>
      </c>
      <c r="D739">
        <v>3.9477000000000002</v>
      </c>
      <c r="G739" s="27">
        <v>44251</v>
      </c>
      <c r="H739">
        <v>108.063</v>
      </c>
      <c r="M739" s="27">
        <v>42871</v>
      </c>
      <c r="N739">
        <v>117.58799999999999</v>
      </c>
      <c r="O739" s="27">
        <v>42496</v>
      </c>
      <c r="P739">
        <v>108.346</v>
      </c>
      <c r="S739" s="27">
        <v>43838</v>
      </c>
      <c r="T739">
        <v>1.6776</v>
      </c>
    </row>
    <row r="740" spans="3:20">
      <c r="C740" s="27">
        <v>41704</v>
      </c>
      <c r="D740">
        <v>3.9824000000000002</v>
      </c>
      <c r="G740" s="27">
        <v>44252</v>
      </c>
      <c r="H740">
        <v>107.479</v>
      </c>
      <c r="M740" s="27">
        <v>42873</v>
      </c>
      <c r="N740">
        <v>116.179</v>
      </c>
      <c r="O740" s="27">
        <v>42499</v>
      </c>
      <c r="P740">
        <v>108.337</v>
      </c>
      <c r="S740" s="27">
        <v>43839</v>
      </c>
      <c r="T740">
        <v>1.6861000000000002</v>
      </c>
    </row>
    <row r="741" spans="3:20">
      <c r="C741" s="27">
        <v>41705</v>
      </c>
      <c r="D741">
        <v>4.0125000000000002</v>
      </c>
      <c r="G741" s="27">
        <v>44253</v>
      </c>
      <c r="H741">
        <v>107.58799999999999</v>
      </c>
      <c r="M741" s="27">
        <v>42874</v>
      </c>
      <c r="N741">
        <v>116.261</v>
      </c>
      <c r="O741" s="27">
        <v>42500</v>
      </c>
      <c r="P741">
        <v>108.357</v>
      </c>
      <c r="S741" s="27">
        <v>43840</v>
      </c>
      <c r="T741">
        <v>1.7362</v>
      </c>
    </row>
    <row r="742" spans="3:20">
      <c r="C742" s="27">
        <v>41708</v>
      </c>
      <c r="D742">
        <v>4.0058999999999996</v>
      </c>
      <c r="G742" s="27">
        <v>44256</v>
      </c>
      <c r="H742">
        <v>107.971</v>
      </c>
      <c r="M742" s="27">
        <v>42877</v>
      </c>
      <c r="N742">
        <v>115.65</v>
      </c>
      <c r="O742" s="27">
        <v>42501</v>
      </c>
      <c r="P742">
        <v>108.30800000000001</v>
      </c>
      <c r="S742" s="27">
        <v>43844</v>
      </c>
      <c r="T742">
        <v>1.6834</v>
      </c>
    </row>
    <row r="743" spans="3:20">
      <c r="C743" s="27">
        <v>41709</v>
      </c>
      <c r="D743">
        <v>3.9821999999999997</v>
      </c>
      <c r="G743" s="27">
        <v>44257</v>
      </c>
      <c r="H743">
        <v>108.101</v>
      </c>
      <c r="M743" s="27">
        <v>42878</v>
      </c>
      <c r="N743">
        <v>115.571</v>
      </c>
      <c r="O743" s="27">
        <v>42502</v>
      </c>
      <c r="P743">
        <v>108.252</v>
      </c>
      <c r="S743" s="27">
        <v>43845</v>
      </c>
      <c r="T743">
        <v>1.6524999999999999</v>
      </c>
    </row>
    <row r="744" spans="3:20">
      <c r="C744" s="27">
        <v>41710</v>
      </c>
      <c r="D744">
        <v>3.9668000000000001</v>
      </c>
      <c r="G744" s="27">
        <v>44258</v>
      </c>
      <c r="H744">
        <v>107.56699999999999</v>
      </c>
      <c r="M744" s="27">
        <v>42879</v>
      </c>
      <c r="N744">
        <v>115.589</v>
      </c>
      <c r="O744" s="27">
        <v>42503</v>
      </c>
      <c r="P744">
        <v>108.191</v>
      </c>
      <c r="S744" s="27">
        <v>43846</v>
      </c>
      <c r="T744">
        <v>1.6513</v>
      </c>
    </row>
    <row r="745" spans="3:20">
      <c r="C745" s="27">
        <v>41711</v>
      </c>
      <c r="D745">
        <v>4.0201000000000002</v>
      </c>
      <c r="G745" s="27">
        <v>44259</v>
      </c>
      <c r="H745">
        <v>107.759</v>
      </c>
      <c r="M745" s="27">
        <v>42881</v>
      </c>
      <c r="N745">
        <v>115.63800000000001</v>
      </c>
      <c r="O745" s="27">
        <v>42506</v>
      </c>
      <c r="P745">
        <v>108.155</v>
      </c>
      <c r="S745" s="27">
        <v>43847</v>
      </c>
      <c r="T745">
        <v>1.7189999999999999</v>
      </c>
    </row>
    <row r="746" spans="3:20">
      <c r="C746" s="27">
        <v>41712</v>
      </c>
      <c r="D746">
        <v>3.9312</v>
      </c>
      <c r="G746" s="27">
        <v>44260</v>
      </c>
      <c r="H746">
        <v>107.602</v>
      </c>
      <c r="M746" s="27">
        <v>42884</v>
      </c>
      <c r="N746">
        <v>115.627</v>
      </c>
      <c r="O746" s="27">
        <v>42507</v>
      </c>
      <c r="P746">
        <v>108.077</v>
      </c>
      <c r="S746" s="27">
        <v>43851</v>
      </c>
      <c r="T746">
        <v>1.6320000000000001</v>
      </c>
    </row>
    <row r="747" spans="3:20">
      <c r="C747" s="27">
        <v>41715</v>
      </c>
      <c r="D747">
        <v>3.9586000000000001</v>
      </c>
      <c r="G747" s="27">
        <v>44263</v>
      </c>
      <c r="H747">
        <v>107.381</v>
      </c>
      <c r="M747" s="27">
        <v>42885</v>
      </c>
      <c r="N747">
        <v>115.746</v>
      </c>
      <c r="O747" s="27">
        <v>42508</v>
      </c>
      <c r="P747">
        <v>107.992</v>
      </c>
      <c r="S747" s="27">
        <v>43852</v>
      </c>
      <c r="T747">
        <v>1.6091</v>
      </c>
    </row>
    <row r="748" spans="3:20">
      <c r="C748" s="27">
        <v>41716</v>
      </c>
      <c r="D748">
        <v>3.9864999999999999</v>
      </c>
      <c r="G748" s="27">
        <v>44264</v>
      </c>
      <c r="H748">
        <v>107.55500000000001</v>
      </c>
      <c r="M748" s="27">
        <v>42886</v>
      </c>
      <c r="N748">
        <v>115.875</v>
      </c>
      <c r="O748" s="27">
        <v>42509</v>
      </c>
      <c r="P748">
        <v>107.7</v>
      </c>
      <c r="S748" s="27">
        <v>43853</v>
      </c>
      <c r="T748">
        <v>1.6922999999999999</v>
      </c>
    </row>
    <row r="749" spans="3:20">
      <c r="C749" s="27">
        <v>41717</v>
      </c>
      <c r="D749">
        <v>3.9702999999999999</v>
      </c>
      <c r="G749" s="27">
        <v>44265</v>
      </c>
      <c r="H749">
        <v>107.587</v>
      </c>
      <c r="M749" s="27">
        <v>42887</v>
      </c>
      <c r="N749">
        <v>115.935</v>
      </c>
      <c r="O749" s="27">
        <v>42510</v>
      </c>
      <c r="P749">
        <v>107.71899999999999</v>
      </c>
      <c r="S749" s="27">
        <v>43854</v>
      </c>
      <c r="T749">
        <v>1.7286000000000001</v>
      </c>
    </row>
    <row r="750" spans="3:20">
      <c r="C750" s="27">
        <v>41718</v>
      </c>
      <c r="D750">
        <v>3.9962</v>
      </c>
      <c r="G750" s="27">
        <v>44266</v>
      </c>
      <c r="H750">
        <v>107.72</v>
      </c>
      <c r="M750" s="27">
        <v>42888</v>
      </c>
      <c r="N750">
        <v>116.07299999999999</v>
      </c>
      <c r="O750" s="27">
        <v>42513</v>
      </c>
      <c r="P750">
        <v>107.732</v>
      </c>
      <c r="S750" s="27">
        <v>43859</v>
      </c>
      <c r="T750">
        <v>1.6153999999999999</v>
      </c>
    </row>
    <row r="751" spans="3:20">
      <c r="C751" s="27">
        <v>41719</v>
      </c>
      <c r="D751">
        <v>4.0221</v>
      </c>
      <c r="G751" s="27">
        <v>44267</v>
      </c>
      <c r="H751">
        <v>107.43600000000001</v>
      </c>
      <c r="M751" s="27">
        <v>42892</v>
      </c>
      <c r="N751">
        <v>116.226</v>
      </c>
      <c r="O751" s="27">
        <v>42514</v>
      </c>
      <c r="P751">
        <v>107.67400000000001</v>
      </c>
      <c r="S751" s="27">
        <v>43865</v>
      </c>
      <c r="T751">
        <v>1.6186</v>
      </c>
    </row>
    <row r="752" spans="3:20">
      <c r="C752" s="27">
        <v>41722</v>
      </c>
      <c r="D752">
        <v>4.0202999999999998</v>
      </c>
      <c r="G752" s="27">
        <v>44270</v>
      </c>
      <c r="H752">
        <v>107.696</v>
      </c>
      <c r="M752" s="27">
        <v>42893</v>
      </c>
      <c r="N752">
        <v>116.581</v>
      </c>
      <c r="O752" s="27">
        <v>42515</v>
      </c>
      <c r="P752">
        <v>107.66</v>
      </c>
      <c r="S752" s="27">
        <v>43866</v>
      </c>
      <c r="T752">
        <v>1.6526999999999998</v>
      </c>
    </row>
    <row r="753" spans="3:20">
      <c r="C753" s="27">
        <v>41723</v>
      </c>
      <c r="D753">
        <v>3.9952000000000001</v>
      </c>
      <c r="G753" s="27">
        <v>44271</v>
      </c>
      <c r="H753">
        <v>107.65600000000001</v>
      </c>
      <c r="M753" s="27">
        <v>42894</v>
      </c>
      <c r="N753">
        <v>116.682</v>
      </c>
      <c r="O753" s="27">
        <v>42516</v>
      </c>
      <c r="P753">
        <v>107.65300000000001</v>
      </c>
      <c r="S753" s="27">
        <v>43868</v>
      </c>
      <c r="T753">
        <v>1.7856999999999998</v>
      </c>
    </row>
    <row r="754" spans="3:20">
      <c r="C754" s="27">
        <v>41724</v>
      </c>
      <c r="D754">
        <v>4.0235000000000003</v>
      </c>
      <c r="G754" s="27">
        <v>44272</v>
      </c>
      <c r="H754">
        <v>107.28100000000001</v>
      </c>
      <c r="M754" s="27">
        <v>42895</v>
      </c>
      <c r="N754">
        <v>116.636</v>
      </c>
      <c r="O754" s="27">
        <v>42517</v>
      </c>
      <c r="P754">
        <v>107.738</v>
      </c>
      <c r="S754" s="27">
        <v>43872</v>
      </c>
      <c r="T754">
        <v>1.6452</v>
      </c>
    </row>
    <row r="755" spans="3:20">
      <c r="C755" s="27">
        <v>41725</v>
      </c>
      <c r="D755">
        <v>4.0160999999999998</v>
      </c>
      <c r="G755" s="27">
        <v>44273</v>
      </c>
      <c r="H755">
        <v>107.027</v>
      </c>
      <c r="M755" s="27">
        <v>42898</v>
      </c>
      <c r="N755">
        <v>116.542</v>
      </c>
      <c r="O755" s="27">
        <v>42520</v>
      </c>
      <c r="P755">
        <v>107.73099999999999</v>
      </c>
      <c r="S755" s="27">
        <v>43873</v>
      </c>
      <c r="T755">
        <v>1.6423000000000001</v>
      </c>
    </row>
    <row r="756" spans="3:20">
      <c r="C756" s="27">
        <v>41726</v>
      </c>
      <c r="D756">
        <v>4.0049999999999999</v>
      </c>
      <c r="G756" s="27">
        <v>44274</v>
      </c>
      <c r="H756">
        <v>107.24299999999999</v>
      </c>
      <c r="M756" s="27">
        <v>42899</v>
      </c>
      <c r="N756">
        <v>116.102</v>
      </c>
      <c r="O756" s="27">
        <v>42521</v>
      </c>
      <c r="P756">
        <v>107.684</v>
      </c>
      <c r="S756" s="27">
        <v>43874</v>
      </c>
      <c r="T756">
        <v>1.6318999999999999</v>
      </c>
    </row>
    <row r="757" spans="3:20">
      <c r="C757" s="27">
        <v>41729</v>
      </c>
      <c r="D757">
        <v>4.0092999999999996</v>
      </c>
      <c r="G757" s="27">
        <v>44277</v>
      </c>
      <c r="H757">
        <v>107.339</v>
      </c>
      <c r="M757" s="27">
        <v>42900</v>
      </c>
      <c r="N757">
        <v>115.745</v>
      </c>
      <c r="O757" s="27">
        <v>42522</v>
      </c>
      <c r="P757">
        <v>107.758</v>
      </c>
      <c r="S757" s="27">
        <v>43875</v>
      </c>
      <c r="T757">
        <v>1.7012</v>
      </c>
    </row>
    <row r="758" spans="3:20">
      <c r="C758" s="27">
        <v>41730</v>
      </c>
      <c r="D758">
        <v>4.0248999999999997</v>
      </c>
      <c r="G758" s="27">
        <v>44278</v>
      </c>
      <c r="H758">
        <v>107.492</v>
      </c>
      <c r="M758" s="27">
        <v>42901</v>
      </c>
      <c r="N758">
        <v>115.37</v>
      </c>
      <c r="O758" s="27">
        <v>42523</v>
      </c>
      <c r="P758">
        <v>107.741</v>
      </c>
      <c r="S758" s="27">
        <v>43878</v>
      </c>
      <c r="T758">
        <v>1.4722999999999999</v>
      </c>
    </row>
    <row r="759" spans="3:20">
      <c r="C759" s="27">
        <v>41731</v>
      </c>
      <c r="D759">
        <v>4.0308999999999999</v>
      </c>
      <c r="G759" s="27">
        <v>44279</v>
      </c>
      <c r="H759">
        <v>107.559</v>
      </c>
      <c r="M759" s="27">
        <v>42902</v>
      </c>
      <c r="N759">
        <v>115.498</v>
      </c>
      <c r="O759" s="27">
        <v>42524</v>
      </c>
      <c r="P759">
        <v>107.735</v>
      </c>
      <c r="S759" s="27">
        <v>43879</v>
      </c>
      <c r="T759">
        <v>1.5676999999999999</v>
      </c>
    </row>
    <row r="760" spans="3:20">
      <c r="C760" s="27">
        <v>41732</v>
      </c>
      <c r="D760">
        <v>4.0350999999999999</v>
      </c>
      <c r="G760" s="27">
        <v>44280</v>
      </c>
      <c r="H760">
        <v>107.74</v>
      </c>
      <c r="M760" s="27">
        <v>42905</v>
      </c>
      <c r="N760">
        <v>115.587</v>
      </c>
      <c r="O760" s="27">
        <v>42527</v>
      </c>
      <c r="P760">
        <v>107.84399999999999</v>
      </c>
      <c r="S760" s="27">
        <v>43880</v>
      </c>
      <c r="T760">
        <v>1.5739000000000001</v>
      </c>
    </row>
    <row r="761" spans="3:20">
      <c r="C761" s="27">
        <v>41733</v>
      </c>
      <c r="D761">
        <v>4.0247000000000002</v>
      </c>
      <c r="G761" s="27">
        <v>44281</v>
      </c>
      <c r="H761">
        <v>107.58799999999999</v>
      </c>
      <c r="M761" s="27">
        <v>42906</v>
      </c>
      <c r="N761">
        <v>116.283</v>
      </c>
      <c r="O761" s="27">
        <v>42528</v>
      </c>
      <c r="P761">
        <v>107.861</v>
      </c>
      <c r="S761" s="27">
        <v>43881</v>
      </c>
      <c r="T761">
        <v>1.5667</v>
      </c>
    </row>
    <row r="762" spans="3:20">
      <c r="C762" s="27">
        <v>41736</v>
      </c>
      <c r="D762">
        <v>3.9821999999999997</v>
      </c>
      <c r="G762" s="27">
        <v>44284</v>
      </c>
      <c r="H762">
        <v>107.35</v>
      </c>
      <c r="M762" s="27">
        <v>42907</v>
      </c>
      <c r="N762">
        <v>116.438</v>
      </c>
      <c r="O762" s="27">
        <v>42529</v>
      </c>
      <c r="P762">
        <v>107.887</v>
      </c>
      <c r="S762" s="27">
        <v>43882</v>
      </c>
      <c r="T762">
        <v>1.6091</v>
      </c>
    </row>
    <row r="763" spans="3:20">
      <c r="C763" s="27">
        <v>41737</v>
      </c>
      <c r="D763">
        <v>3.9828999999999999</v>
      </c>
      <c r="G763" s="27">
        <v>44285</v>
      </c>
      <c r="H763">
        <v>107.148</v>
      </c>
      <c r="M763" s="27">
        <v>42908</v>
      </c>
      <c r="N763">
        <v>116.271</v>
      </c>
      <c r="O763" s="27">
        <v>42530</v>
      </c>
      <c r="P763">
        <v>107.91</v>
      </c>
      <c r="S763" s="27">
        <v>43886</v>
      </c>
      <c r="T763">
        <v>1.5354000000000001</v>
      </c>
    </row>
    <row r="764" spans="3:20">
      <c r="C764" s="27">
        <v>41738</v>
      </c>
      <c r="D764">
        <v>3.9733999999999998</v>
      </c>
      <c r="G764" s="27">
        <v>44286</v>
      </c>
      <c r="H764">
        <v>107.282</v>
      </c>
      <c r="M764" s="27">
        <v>42909</v>
      </c>
      <c r="N764">
        <v>116.268</v>
      </c>
      <c r="O764" s="27">
        <v>42531</v>
      </c>
      <c r="P764">
        <v>107.95099999999999</v>
      </c>
      <c r="S764" s="27">
        <v>43887</v>
      </c>
      <c r="T764">
        <v>1.5453999999999999</v>
      </c>
    </row>
    <row r="765" spans="3:20">
      <c r="C765" s="27">
        <v>41739</v>
      </c>
      <c r="D765">
        <v>4.0023999999999997</v>
      </c>
      <c r="G765" s="27">
        <v>44287</v>
      </c>
      <c r="H765">
        <v>107.623</v>
      </c>
      <c r="M765" s="27">
        <v>42912</v>
      </c>
      <c r="N765">
        <v>116.126</v>
      </c>
      <c r="O765" s="27">
        <v>42534</v>
      </c>
      <c r="P765">
        <v>107.959</v>
      </c>
      <c r="S765" s="27">
        <v>43888</v>
      </c>
      <c r="T765">
        <v>1.5367999999999999</v>
      </c>
    </row>
    <row r="766" spans="3:20">
      <c r="C766" s="27">
        <v>41740</v>
      </c>
      <c r="D766">
        <v>3.9706999999999999</v>
      </c>
      <c r="G766" s="27">
        <v>44292</v>
      </c>
      <c r="H766">
        <v>107.61199999999999</v>
      </c>
      <c r="M766" s="27">
        <v>42913</v>
      </c>
      <c r="N766">
        <v>116.004</v>
      </c>
      <c r="O766" s="27">
        <v>42535</v>
      </c>
      <c r="P766">
        <v>107.953</v>
      </c>
      <c r="S766" s="27">
        <v>43893</v>
      </c>
      <c r="T766">
        <v>1.5074000000000001</v>
      </c>
    </row>
    <row r="767" spans="3:20">
      <c r="C767" s="27">
        <v>41743</v>
      </c>
      <c r="D767">
        <v>3.9548000000000001</v>
      </c>
      <c r="G767" s="27">
        <v>44293</v>
      </c>
      <c r="H767">
        <v>107.702</v>
      </c>
      <c r="M767" s="27">
        <v>42914</v>
      </c>
      <c r="N767">
        <v>115.89100000000001</v>
      </c>
      <c r="O767" s="27">
        <v>42536</v>
      </c>
      <c r="P767">
        <v>108.07</v>
      </c>
      <c r="S767" s="27">
        <v>43894</v>
      </c>
      <c r="T767">
        <v>1.4431</v>
      </c>
    </row>
    <row r="768" spans="3:20">
      <c r="C768" s="27">
        <v>41744</v>
      </c>
      <c r="D768">
        <v>3.9550000000000001</v>
      </c>
      <c r="G768" s="27">
        <v>44294</v>
      </c>
      <c r="H768">
        <v>107.84</v>
      </c>
      <c r="M768" s="27">
        <v>42915</v>
      </c>
      <c r="N768">
        <v>115.37</v>
      </c>
      <c r="O768" s="27">
        <v>42537</v>
      </c>
      <c r="P768">
        <v>108.146</v>
      </c>
      <c r="S768" s="27">
        <v>43895</v>
      </c>
      <c r="T768">
        <v>1.4186000000000001</v>
      </c>
    </row>
    <row r="769" spans="3:20">
      <c r="C769" s="27">
        <v>41745</v>
      </c>
      <c r="D769">
        <v>3.9572000000000003</v>
      </c>
      <c r="G769" s="27">
        <v>44295</v>
      </c>
      <c r="H769">
        <v>107.563</v>
      </c>
      <c r="M769" s="27">
        <v>42916</v>
      </c>
      <c r="N769">
        <v>111.045</v>
      </c>
      <c r="O769" s="27">
        <v>42538</v>
      </c>
      <c r="P769">
        <v>108.081</v>
      </c>
      <c r="S769" s="27">
        <v>43896</v>
      </c>
      <c r="T769">
        <v>1.5375999999999999</v>
      </c>
    </row>
    <row r="770" spans="3:20">
      <c r="C770" s="27">
        <v>41746</v>
      </c>
      <c r="D770">
        <v>3.9415</v>
      </c>
      <c r="G770" s="27">
        <v>44298</v>
      </c>
      <c r="H770">
        <v>107.535</v>
      </c>
      <c r="M770" s="27">
        <v>42919</v>
      </c>
      <c r="N770">
        <v>111.762</v>
      </c>
      <c r="O770" s="27">
        <v>42541</v>
      </c>
      <c r="P770">
        <v>108.039</v>
      </c>
      <c r="S770" s="27">
        <v>43899</v>
      </c>
      <c r="T770">
        <v>1.3585</v>
      </c>
    </row>
    <row r="771" spans="3:20">
      <c r="C771" s="27">
        <v>41747</v>
      </c>
      <c r="D771">
        <v>3.9794999999999998</v>
      </c>
      <c r="G771" s="27">
        <v>44299</v>
      </c>
      <c r="H771">
        <v>107.512</v>
      </c>
      <c r="M771" s="27">
        <v>42920</v>
      </c>
      <c r="N771">
        <v>112.47799999999999</v>
      </c>
      <c r="O771" s="27">
        <v>42542</v>
      </c>
      <c r="P771">
        <v>107.997</v>
      </c>
      <c r="S771" s="27">
        <v>43900</v>
      </c>
      <c r="T771">
        <v>1.4828999999999999</v>
      </c>
    </row>
    <row r="772" spans="3:20">
      <c r="C772" s="27">
        <v>41750</v>
      </c>
      <c r="D772">
        <v>3.9655</v>
      </c>
      <c r="G772" s="27">
        <v>44300</v>
      </c>
      <c r="H772">
        <v>107.248</v>
      </c>
      <c r="M772" s="27">
        <v>42921</v>
      </c>
      <c r="N772">
        <v>112.239</v>
      </c>
      <c r="O772" s="27">
        <v>42543</v>
      </c>
      <c r="P772">
        <v>107.949</v>
      </c>
    </row>
    <row r="773" spans="3:20">
      <c r="C773" s="27">
        <v>41751</v>
      </c>
      <c r="D773">
        <v>3.9628000000000001</v>
      </c>
      <c r="G773" s="27">
        <v>44301</v>
      </c>
      <c r="H773">
        <v>107.52</v>
      </c>
      <c r="M773" s="27">
        <v>42922</v>
      </c>
      <c r="N773">
        <v>111.956</v>
      </c>
      <c r="O773" s="27">
        <v>42544</v>
      </c>
      <c r="P773">
        <v>107.93899999999999</v>
      </c>
    </row>
    <row r="774" spans="3:20">
      <c r="C774" s="27">
        <v>41752</v>
      </c>
      <c r="D774">
        <v>3.9287999999999998</v>
      </c>
      <c r="G774" s="27">
        <v>44302</v>
      </c>
      <c r="H774">
        <v>107.307</v>
      </c>
      <c r="M774" s="27">
        <v>42923</v>
      </c>
      <c r="N774">
        <v>111.76600000000001</v>
      </c>
      <c r="O774" s="27">
        <v>42545</v>
      </c>
      <c r="P774">
        <v>108.45</v>
      </c>
    </row>
    <row r="775" spans="3:20">
      <c r="C775" s="27">
        <v>41753</v>
      </c>
      <c r="D775">
        <v>3.9111000000000002</v>
      </c>
      <c r="G775" s="27">
        <v>44305</v>
      </c>
      <c r="H775">
        <v>107.122</v>
      </c>
      <c r="M775" s="27">
        <v>42926</v>
      </c>
      <c r="N775">
        <v>111.857</v>
      </c>
      <c r="O775" s="27">
        <v>42548</v>
      </c>
      <c r="P775">
        <v>107.919</v>
      </c>
    </row>
    <row r="776" spans="3:20">
      <c r="C776" s="27">
        <v>41754</v>
      </c>
      <c r="D776">
        <v>3.9036999999999997</v>
      </c>
      <c r="G776" s="27">
        <v>44306</v>
      </c>
      <c r="H776">
        <v>107.358</v>
      </c>
      <c r="M776" s="27">
        <v>42927</v>
      </c>
      <c r="N776">
        <v>111.846</v>
      </c>
      <c r="O776" s="27">
        <v>42549</v>
      </c>
      <c r="P776">
        <v>107.82</v>
      </c>
    </row>
    <row r="777" spans="3:20">
      <c r="C777" s="27">
        <v>41757</v>
      </c>
      <c r="D777">
        <v>3.8923999999999999</v>
      </c>
      <c r="G777" s="27">
        <v>44307</v>
      </c>
      <c r="H777">
        <v>107.345</v>
      </c>
      <c r="M777" s="27">
        <v>42928</v>
      </c>
      <c r="N777">
        <v>111.97499999999999</v>
      </c>
      <c r="O777" s="27">
        <v>42550</v>
      </c>
      <c r="P777">
        <v>107.917</v>
      </c>
    </row>
    <row r="778" spans="3:20">
      <c r="C778" s="27">
        <v>41758</v>
      </c>
      <c r="D778">
        <v>3.8994999999999997</v>
      </c>
      <c r="G778" s="27">
        <v>44308</v>
      </c>
      <c r="H778">
        <v>107.295</v>
      </c>
      <c r="M778" s="27">
        <v>42929</v>
      </c>
      <c r="N778">
        <v>111.919</v>
      </c>
      <c r="O778" s="27">
        <v>42551</v>
      </c>
      <c r="P778">
        <v>108.00700000000001</v>
      </c>
    </row>
    <row r="779" spans="3:20">
      <c r="C779" s="27">
        <v>41759</v>
      </c>
      <c r="D779">
        <v>3.9026000000000001</v>
      </c>
      <c r="G779" s="27">
        <v>44309</v>
      </c>
      <c r="H779">
        <v>107.31100000000001</v>
      </c>
      <c r="M779" s="27">
        <v>42930</v>
      </c>
      <c r="N779">
        <v>112.002</v>
      </c>
      <c r="O779" s="27">
        <v>42552</v>
      </c>
      <c r="P779">
        <v>107.935</v>
      </c>
    </row>
    <row r="780" spans="3:20">
      <c r="C780" s="27">
        <v>41760</v>
      </c>
      <c r="D780">
        <v>3.8928000000000003</v>
      </c>
      <c r="G780" s="27">
        <v>44312</v>
      </c>
      <c r="H780">
        <v>107.265</v>
      </c>
      <c r="M780" s="27">
        <v>42933</v>
      </c>
      <c r="N780">
        <v>112.086</v>
      </c>
      <c r="O780" s="27">
        <v>42555</v>
      </c>
      <c r="P780">
        <v>108.184</v>
      </c>
    </row>
    <row r="781" spans="3:20">
      <c r="C781" s="27">
        <v>41761</v>
      </c>
      <c r="D781">
        <v>3.8868</v>
      </c>
      <c r="G781" s="27">
        <v>44313</v>
      </c>
      <c r="H781">
        <v>107.277</v>
      </c>
      <c r="M781" s="27">
        <v>42934</v>
      </c>
      <c r="N781">
        <v>112.157</v>
      </c>
      <c r="O781" s="27">
        <v>42556</v>
      </c>
      <c r="P781">
        <v>108.35299999999999</v>
      </c>
    </row>
    <row r="782" spans="3:20">
      <c r="C782" s="27">
        <v>41764</v>
      </c>
      <c r="D782">
        <v>3.8660999999999999</v>
      </c>
      <c r="G782" s="27">
        <v>44314</v>
      </c>
      <c r="H782">
        <v>107.11</v>
      </c>
      <c r="M782" s="27">
        <v>42935</v>
      </c>
      <c r="N782">
        <v>112.16</v>
      </c>
      <c r="O782" s="27">
        <v>42557</v>
      </c>
      <c r="P782">
        <v>108.458</v>
      </c>
    </row>
    <row r="783" spans="3:20">
      <c r="C783" s="27">
        <v>41765</v>
      </c>
      <c r="D783">
        <v>3.8561999999999999</v>
      </c>
      <c r="G783" s="27">
        <v>44315</v>
      </c>
      <c r="H783">
        <v>106.84699999999999</v>
      </c>
      <c r="M783" s="27">
        <v>42936</v>
      </c>
      <c r="N783">
        <v>112.16800000000001</v>
      </c>
      <c r="O783" s="27">
        <v>42558</v>
      </c>
      <c r="P783">
        <v>108.479</v>
      </c>
    </row>
    <row r="784" spans="3:20">
      <c r="C784" s="27">
        <v>41766</v>
      </c>
      <c r="D784">
        <v>3.8388999999999998</v>
      </c>
      <c r="G784" s="27">
        <v>44316</v>
      </c>
      <c r="H784">
        <v>106.95</v>
      </c>
      <c r="M784" s="27">
        <v>42937</v>
      </c>
      <c r="N784">
        <v>112.208</v>
      </c>
      <c r="O784" s="27">
        <v>42559</v>
      </c>
      <c r="P784">
        <v>108.598</v>
      </c>
    </row>
    <row r="785" spans="3:16">
      <c r="C785" s="27">
        <v>41767</v>
      </c>
      <c r="D785">
        <v>3.8683000000000001</v>
      </c>
      <c r="G785" s="27">
        <v>44319</v>
      </c>
      <c r="H785">
        <v>106.965</v>
      </c>
      <c r="M785" s="27">
        <v>42940</v>
      </c>
      <c r="N785">
        <v>112.3</v>
      </c>
      <c r="O785" s="27">
        <v>42562</v>
      </c>
      <c r="P785">
        <v>108.69799999999999</v>
      </c>
    </row>
    <row r="786" spans="3:16">
      <c r="C786" s="27">
        <v>41768</v>
      </c>
      <c r="D786">
        <v>3.8496000000000001</v>
      </c>
      <c r="G786" s="27">
        <v>44320</v>
      </c>
      <c r="H786">
        <v>107.248</v>
      </c>
      <c r="M786" s="27">
        <v>42941</v>
      </c>
      <c r="N786">
        <v>112.08499999999999</v>
      </c>
      <c r="O786" s="27">
        <v>42563</v>
      </c>
      <c r="P786">
        <v>108.657</v>
      </c>
    </row>
    <row r="787" spans="3:16">
      <c r="C787" s="27">
        <v>41771</v>
      </c>
      <c r="D787">
        <v>3.8519000000000001</v>
      </c>
      <c r="G787" s="27">
        <v>44321</v>
      </c>
      <c r="H787">
        <v>107.19499999999999</v>
      </c>
      <c r="M787" s="27">
        <v>42942</v>
      </c>
      <c r="N787">
        <v>112.09</v>
      </c>
      <c r="O787" s="27">
        <v>42564</v>
      </c>
      <c r="P787">
        <v>108.64</v>
      </c>
    </row>
    <row r="788" spans="3:16">
      <c r="C788" s="27">
        <v>41772</v>
      </c>
      <c r="D788">
        <v>3.8567999999999998</v>
      </c>
      <c r="G788" s="27">
        <v>44322</v>
      </c>
      <c r="H788">
        <v>107.15600000000001</v>
      </c>
      <c r="M788" s="27">
        <v>42943</v>
      </c>
      <c r="N788">
        <v>112.23</v>
      </c>
      <c r="O788" s="27">
        <v>42565</v>
      </c>
      <c r="P788">
        <v>108.657</v>
      </c>
    </row>
    <row r="789" spans="3:16">
      <c r="C789" s="27">
        <v>41773</v>
      </c>
      <c r="D789">
        <v>3.8422999999999998</v>
      </c>
      <c r="G789" s="27">
        <v>44323</v>
      </c>
      <c r="H789">
        <v>107.08799999999999</v>
      </c>
      <c r="M789" s="27">
        <v>42944</v>
      </c>
      <c r="N789">
        <v>111.92700000000001</v>
      </c>
      <c r="O789" s="27">
        <v>42566</v>
      </c>
      <c r="P789">
        <v>108.73</v>
      </c>
    </row>
    <row r="790" spans="3:16">
      <c r="C790" s="27">
        <v>41774</v>
      </c>
      <c r="D790">
        <v>3.8279999999999998</v>
      </c>
      <c r="G790" s="27">
        <v>44326</v>
      </c>
      <c r="H790">
        <v>107.104</v>
      </c>
      <c r="M790" s="27">
        <v>42947</v>
      </c>
      <c r="N790">
        <v>111.83</v>
      </c>
      <c r="O790" s="27">
        <v>42569</v>
      </c>
      <c r="P790">
        <v>108.738</v>
      </c>
    </row>
    <row r="791" spans="3:16">
      <c r="C791" s="27">
        <v>41775</v>
      </c>
      <c r="D791">
        <v>3.8201999999999998</v>
      </c>
      <c r="G791" s="27">
        <v>44327</v>
      </c>
      <c r="H791">
        <v>106.80200000000001</v>
      </c>
      <c r="M791" s="27">
        <v>42948</v>
      </c>
      <c r="N791">
        <v>111.887</v>
      </c>
      <c r="O791" s="27">
        <v>42570</v>
      </c>
      <c r="P791">
        <v>108.902</v>
      </c>
    </row>
    <row r="792" spans="3:16">
      <c r="C792" s="27">
        <v>41778</v>
      </c>
      <c r="D792">
        <v>3.8068</v>
      </c>
      <c r="G792" s="27">
        <v>44328</v>
      </c>
      <c r="H792">
        <v>106.345</v>
      </c>
      <c r="M792" s="27">
        <v>42949</v>
      </c>
      <c r="N792">
        <v>112.15600000000001</v>
      </c>
      <c r="O792" s="27">
        <v>42571</v>
      </c>
      <c r="P792">
        <v>108.953</v>
      </c>
    </row>
    <row r="793" spans="3:16">
      <c r="C793" s="27">
        <v>41779</v>
      </c>
      <c r="D793">
        <v>3.8223000000000003</v>
      </c>
      <c r="G793" s="27">
        <v>44329</v>
      </c>
      <c r="H793">
        <v>106.298</v>
      </c>
      <c r="M793" s="27">
        <v>42950</v>
      </c>
      <c r="N793">
        <v>112.342</v>
      </c>
      <c r="O793" s="27">
        <v>42572</v>
      </c>
      <c r="P793">
        <v>108.938</v>
      </c>
    </row>
    <row r="794" spans="3:16">
      <c r="C794" s="27">
        <v>41780</v>
      </c>
      <c r="D794">
        <v>3.7640000000000002</v>
      </c>
      <c r="G794" s="27">
        <v>44330</v>
      </c>
      <c r="H794">
        <v>106.358</v>
      </c>
      <c r="M794" s="27">
        <v>42951</v>
      </c>
      <c r="N794">
        <v>112.455</v>
      </c>
      <c r="O794" s="27">
        <v>42573</v>
      </c>
      <c r="P794">
        <v>109.003</v>
      </c>
    </row>
    <row r="795" spans="3:16">
      <c r="C795" s="27">
        <v>41781</v>
      </c>
      <c r="D795">
        <v>3.7995000000000001</v>
      </c>
      <c r="G795" s="27">
        <v>44333</v>
      </c>
      <c r="H795">
        <v>106.324</v>
      </c>
      <c r="M795" s="27">
        <v>42954</v>
      </c>
      <c r="N795">
        <v>112.529</v>
      </c>
      <c r="O795" s="27">
        <v>42576</v>
      </c>
      <c r="P795">
        <v>108.994</v>
      </c>
    </row>
    <row r="796" spans="3:16">
      <c r="C796" s="27">
        <v>41782</v>
      </c>
      <c r="D796">
        <v>3.8105000000000002</v>
      </c>
      <c r="G796" s="27">
        <v>44334</v>
      </c>
      <c r="H796">
        <v>106.19</v>
      </c>
      <c r="M796" s="27">
        <v>42955</v>
      </c>
      <c r="N796">
        <v>112.67100000000001</v>
      </c>
      <c r="O796" s="27">
        <v>42577</v>
      </c>
      <c r="P796">
        <v>109.033</v>
      </c>
    </row>
    <row r="797" spans="3:16">
      <c r="C797" s="27">
        <v>41785</v>
      </c>
      <c r="D797">
        <v>3.7904999999999998</v>
      </c>
      <c r="G797" s="27">
        <v>44335</v>
      </c>
      <c r="H797">
        <v>106.28700000000001</v>
      </c>
      <c r="M797" s="27">
        <v>42956</v>
      </c>
      <c r="N797">
        <v>113.036</v>
      </c>
      <c r="O797" s="27">
        <v>42578</v>
      </c>
      <c r="P797">
        <v>108.955</v>
      </c>
    </row>
    <row r="798" spans="3:16">
      <c r="C798" s="27">
        <v>41786</v>
      </c>
      <c r="D798">
        <v>3.8024</v>
      </c>
      <c r="G798" s="27">
        <v>44336</v>
      </c>
      <c r="H798">
        <v>106.22199999999999</v>
      </c>
      <c r="M798" s="27">
        <v>42957</v>
      </c>
      <c r="N798">
        <v>113.327</v>
      </c>
      <c r="O798" s="27">
        <v>42579</v>
      </c>
      <c r="P798">
        <v>109.081</v>
      </c>
    </row>
    <row r="799" spans="3:16">
      <c r="C799" s="27">
        <v>41787</v>
      </c>
      <c r="D799">
        <v>3.7955999999999999</v>
      </c>
      <c r="G799" s="27">
        <v>44337</v>
      </c>
      <c r="H799">
        <v>106.342</v>
      </c>
      <c r="M799" s="27">
        <v>42958</v>
      </c>
      <c r="N799">
        <v>113.625</v>
      </c>
      <c r="O799" s="27">
        <v>42580</v>
      </c>
      <c r="P799">
        <v>108.94499999999999</v>
      </c>
    </row>
    <row r="800" spans="3:16">
      <c r="C800" s="27">
        <v>41788</v>
      </c>
      <c r="D800">
        <v>3.7694000000000001</v>
      </c>
      <c r="G800" s="27">
        <v>44340</v>
      </c>
      <c r="H800">
        <v>106.428</v>
      </c>
      <c r="M800" s="27">
        <v>42961</v>
      </c>
      <c r="N800">
        <v>113.35599999999999</v>
      </c>
      <c r="O800" s="27">
        <v>42583</v>
      </c>
      <c r="P800">
        <v>109.05800000000001</v>
      </c>
    </row>
    <row r="801" spans="3:16">
      <c r="C801" s="27">
        <v>41789</v>
      </c>
      <c r="D801">
        <v>3.7702</v>
      </c>
      <c r="G801" s="27">
        <v>44341</v>
      </c>
      <c r="H801">
        <v>106.616</v>
      </c>
      <c r="M801" s="27">
        <v>42962</v>
      </c>
      <c r="N801">
        <v>112.84699999999999</v>
      </c>
      <c r="O801" s="27">
        <v>42584</v>
      </c>
      <c r="P801">
        <v>108.97</v>
      </c>
    </row>
    <row r="802" spans="3:16">
      <c r="C802" s="27">
        <v>41792</v>
      </c>
      <c r="D802">
        <v>3.7625999999999999</v>
      </c>
      <c r="G802" s="27">
        <v>44342</v>
      </c>
      <c r="H802">
        <v>106.892</v>
      </c>
      <c r="M802" s="27">
        <v>42963</v>
      </c>
      <c r="N802">
        <v>112.52500000000001</v>
      </c>
      <c r="O802" s="27">
        <v>42585</v>
      </c>
      <c r="P802">
        <v>108.879</v>
      </c>
    </row>
    <row r="803" spans="3:16">
      <c r="C803" s="27">
        <v>41793</v>
      </c>
      <c r="D803">
        <v>3.7763</v>
      </c>
      <c r="G803" s="27">
        <v>44343</v>
      </c>
      <c r="H803">
        <v>106.63500000000001</v>
      </c>
      <c r="M803" s="27">
        <v>42964</v>
      </c>
      <c r="N803">
        <v>112.69799999999999</v>
      </c>
      <c r="O803" s="27">
        <v>42586</v>
      </c>
      <c r="P803">
        <v>108.886</v>
      </c>
    </row>
    <row r="804" spans="3:16">
      <c r="C804" s="27">
        <v>41794</v>
      </c>
      <c r="D804">
        <v>3.8214999999999999</v>
      </c>
      <c r="G804" s="27">
        <v>44344</v>
      </c>
      <c r="H804">
        <v>106.724</v>
      </c>
      <c r="M804" s="27">
        <v>42965</v>
      </c>
      <c r="N804">
        <v>112.982</v>
      </c>
      <c r="O804" s="27">
        <v>42587</v>
      </c>
      <c r="P804">
        <v>109.006</v>
      </c>
    </row>
    <row r="805" spans="3:16">
      <c r="C805" s="27">
        <v>41795</v>
      </c>
      <c r="D805">
        <v>3.8138999999999998</v>
      </c>
      <c r="G805" s="27">
        <v>44347</v>
      </c>
      <c r="H805">
        <v>106.751</v>
      </c>
      <c r="M805" s="27">
        <v>42968</v>
      </c>
      <c r="N805">
        <v>113.10299999999999</v>
      </c>
      <c r="O805" s="27">
        <v>42590</v>
      </c>
      <c r="P805">
        <v>108.929</v>
      </c>
    </row>
    <row r="806" spans="3:16">
      <c r="C806" s="27">
        <v>41796</v>
      </c>
      <c r="D806">
        <v>3.8132999999999999</v>
      </c>
      <c r="G806" s="27">
        <v>44348</v>
      </c>
      <c r="H806">
        <v>106.764</v>
      </c>
      <c r="M806" s="27">
        <v>42969</v>
      </c>
      <c r="N806">
        <v>113.271</v>
      </c>
      <c r="O806" s="27">
        <v>42591</v>
      </c>
      <c r="P806">
        <v>109.05200000000001</v>
      </c>
    </row>
    <row r="807" spans="3:16">
      <c r="C807" s="27">
        <v>41799</v>
      </c>
      <c r="D807">
        <v>3.8300999999999998</v>
      </c>
      <c r="G807" s="27">
        <v>44349</v>
      </c>
      <c r="H807">
        <v>106.871</v>
      </c>
      <c r="M807" s="27">
        <v>42970</v>
      </c>
      <c r="N807">
        <v>113.345</v>
      </c>
      <c r="O807" s="27">
        <v>42592</v>
      </c>
      <c r="P807">
        <v>109.072</v>
      </c>
    </row>
    <row r="808" spans="3:16">
      <c r="C808" s="27">
        <v>41800</v>
      </c>
      <c r="D808">
        <v>3.7964000000000002</v>
      </c>
      <c r="G808" s="27">
        <v>44350</v>
      </c>
      <c r="H808">
        <v>106.774</v>
      </c>
      <c r="M808" s="27">
        <v>42971</v>
      </c>
      <c r="N808">
        <v>113.405</v>
      </c>
      <c r="O808" s="27">
        <v>42593</v>
      </c>
      <c r="P808">
        <v>109.095</v>
      </c>
    </row>
    <row r="809" spans="3:16">
      <c r="C809" s="27">
        <v>41801</v>
      </c>
      <c r="D809">
        <v>3.8237999999999999</v>
      </c>
      <c r="G809" s="27">
        <v>44351</v>
      </c>
      <c r="H809">
        <v>107</v>
      </c>
      <c r="M809" s="27">
        <v>42972</v>
      </c>
      <c r="N809">
        <v>113.33199999999999</v>
      </c>
      <c r="O809" s="27">
        <v>42594</v>
      </c>
      <c r="P809">
        <v>108.985</v>
      </c>
    </row>
    <row r="810" spans="3:16">
      <c r="C810" s="27">
        <v>41802</v>
      </c>
      <c r="D810">
        <v>3.7980999999999998</v>
      </c>
      <c r="G810" s="27">
        <v>44354</v>
      </c>
      <c r="H810">
        <v>106.983</v>
      </c>
      <c r="M810" s="27">
        <v>42975</v>
      </c>
      <c r="N810">
        <v>113.40900000000001</v>
      </c>
      <c r="O810" s="27">
        <v>42597</v>
      </c>
      <c r="P810">
        <v>109.021</v>
      </c>
    </row>
    <row r="811" spans="3:16">
      <c r="C811" s="27">
        <v>41803</v>
      </c>
      <c r="D811">
        <v>3.8079000000000001</v>
      </c>
      <c r="G811" s="27">
        <v>44355</v>
      </c>
      <c r="H811">
        <v>107.11199999999999</v>
      </c>
      <c r="M811" s="27">
        <v>42976</v>
      </c>
      <c r="N811">
        <v>113.673</v>
      </c>
      <c r="O811" s="27">
        <v>42598</v>
      </c>
      <c r="P811">
        <v>108.944</v>
      </c>
    </row>
    <row r="812" spans="3:16">
      <c r="C812" s="27">
        <v>41806</v>
      </c>
      <c r="D812">
        <v>3.8014000000000001</v>
      </c>
      <c r="G812" s="27">
        <v>44356</v>
      </c>
      <c r="H812">
        <v>107.316</v>
      </c>
      <c r="M812" s="27">
        <v>42977</v>
      </c>
      <c r="N812">
        <v>113.595</v>
      </c>
      <c r="O812" s="27">
        <v>42599</v>
      </c>
      <c r="P812">
        <v>108.89100000000001</v>
      </c>
    </row>
    <row r="813" spans="3:16">
      <c r="C813" s="27">
        <v>41807</v>
      </c>
      <c r="D813">
        <v>3.7538</v>
      </c>
      <c r="G813" s="27">
        <v>44357</v>
      </c>
      <c r="H813">
        <v>107.372</v>
      </c>
      <c r="M813" s="27">
        <v>42978</v>
      </c>
      <c r="N813">
        <v>113.628</v>
      </c>
      <c r="O813" s="27">
        <v>42600</v>
      </c>
      <c r="P813">
        <v>108.913</v>
      </c>
    </row>
    <row r="814" spans="3:16">
      <c r="C814" s="27">
        <v>41808</v>
      </c>
      <c r="D814">
        <v>3.7717999999999998</v>
      </c>
      <c r="G814" s="27">
        <v>44358</v>
      </c>
      <c r="H814">
        <v>107.53</v>
      </c>
      <c r="M814" s="27">
        <v>42979</v>
      </c>
      <c r="N814">
        <v>113.512</v>
      </c>
      <c r="O814" s="27">
        <v>42601</v>
      </c>
      <c r="P814">
        <v>108.896</v>
      </c>
    </row>
    <row r="815" spans="3:16">
      <c r="C815" s="27">
        <v>41809</v>
      </c>
      <c r="D815">
        <v>3.7294999999999998</v>
      </c>
      <c r="G815" s="27">
        <v>44361</v>
      </c>
      <c r="H815">
        <v>107.34399999999999</v>
      </c>
      <c r="M815" s="27">
        <v>42982</v>
      </c>
      <c r="N815">
        <v>113.61499999999999</v>
      </c>
      <c r="O815" s="27">
        <v>42604</v>
      </c>
      <c r="P815">
        <v>108.822</v>
      </c>
    </row>
    <row r="816" spans="3:16">
      <c r="C816" s="27">
        <v>41810</v>
      </c>
      <c r="D816">
        <v>3.7397</v>
      </c>
      <c r="G816" s="27">
        <v>44362</v>
      </c>
      <c r="H816">
        <v>107.232</v>
      </c>
      <c r="M816" s="27">
        <v>42983</v>
      </c>
      <c r="N816">
        <v>113.839</v>
      </c>
      <c r="O816" s="27">
        <v>42605</v>
      </c>
      <c r="P816">
        <v>108.901</v>
      </c>
    </row>
    <row r="817" spans="3:16">
      <c r="C817" s="27">
        <v>41813</v>
      </c>
      <c r="D817">
        <v>3.7561</v>
      </c>
      <c r="G817" s="27">
        <v>44363</v>
      </c>
      <c r="H817">
        <v>107.373</v>
      </c>
      <c r="M817" s="27">
        <v>42984</v>
      </c>
      <c r="N817">
        <v>114.04600000000001</v>
      </c>
      <c r="O817" s="27">
        <v>42606</v>
      </c>
      <c r="P817">
        <v>108.892</v>
      </c>
    </row>
    <row r="818" spans="3:16">
      <c r="C818" s="27">
        <v>41814</v>
      </c>
      <c r="D818">
        <v>3.7172000000000001</v>
      </c>
      <c r="G818" s="27">
        <v>44364</v>
      </c>
      <c r="H818">
        <v>107.23699999999999</v>
      </c>
      <c r="M818" s="27">
        <v>42985</v>
      </c>
      <c r="N818">
        <v>113.506</v>
      </c>
      <c r="O818" s="27">
        <v>42607</v>
      </c>
      <c r="P818">
        <v>108.86199999999999</v>
      </c>
    </row>
    <row r="819" spans="3:16">
      <c r="C819" s="27">
        <v>41815</v>
      </c>
      <c r="D819">
        <v>3.6951000000000001</v>
      </c>
      <c r="G819" s="27">
        <v>44365</v>
      </c>
      <c r="H819">
        <v>107.264</v>
      </c>
      <c r="M819" s="27">
        <v>42986</v>
      </c>
      <c r="N819">
        <v>113.319</v>
      </c>
      <c r="O819" s="27">
        <v>42608</v>
      </c>
      <c r="P819">
        <v>108.807</v>
      </c>
    </row>
    <row r="820" spans="3:16">
      <c r="C820" s="27">
        <v>41816</v>
      </c>
      <c r="D820">
        <v>3.7002999999999999</v>
      </c>
      <c r="G820" s="27">
        <v>44368</v>
      </c>
      <c r="H820">
        <v>106.997</v>
      </c>
      <c r="M820" s="27">
        <v>42989</v>
      </c>
      <c r="N820">
        <v>113.354</v>
      </c>
      <c r="O820" s="27">
        <v>42611</v>
      </c>
      <c r="P820">
        <v>108.72499999999999</v>
      </c>
    </row>
    <row r="821" spans="3:16">
      <c r="C821" s="27">
        <v>41817</v>
      </c>
      <c r="D821">
        <v>3.6813000000000002</v>
      </c>
      <c r="G821" s="27">
        <v>44369</v>
      </c>
      <c r="H821">
        <v>106.919</v>
      </c>
      <c r="M821" s="27">
        <v>42990</v>
      </c>
      <c r="N821">
        <v>113.041</v>
      </c>
      <c r="O821" s="27">
        <v>42612</v>
      </c>
      <c r="P821">
        <v>108.86199999999999</v>
      </c>
    </row>
    <row r="822" spans="3:16">
      <c r="C822" s="27">
        <v>41820</v>
      </c>
      <c r="D822">
        <v>3.6814</v>
      </c>
      <c r="G822" s="27">
        <v>44370</v>
      </c>
      <c r="H822">
        <v>107.03100000000001</v>
      </c>
      <c r="M822" s="27">
        <v>42991</v>
      </c>
      <c r="N822">
        <v>112.883</v>
      </c>
      <c r="O822" s="27">
        <v>42613</v>
      </c>
      <c r="P822">
        <v>108.85599999999999</v>
      </c>
    </row>
    <row r="823" spans="3:16">
      <c r="C823" s="27">
        <v>41821</v>
      </c>
      <c r="D823">
        <v>3.7084000000000001</v>
      </c>
      <c r="G823" s="27">
        <v>44371</v>
      </c>
      <c r="H823">
        <v>107.108</v>
      </c>
      <c r="M823" s="27">
        <v>42992</v>
      </c>
      <c r="N823">
        <v>112.852</v>
      </c>
      <c r="O823" s="27">
        <v>42614</v>
      </c>
      <c r="P823">
        <v>108.8</v>
      </c>
    </row>
    <row r="824" spans="3:16">
      <c r="C824" s="27">
        <v>41822</v>
      </c>
      <c r="D824">
        <v>3.6787999999999998</v>
      </c>
      <c r="G824" s="27">
        <v>44372</v>
      </c>
      <c r="H824">
        <v>106.845</v>
      </c>
      <c r="M824" s="27">
        <v>42993</v>
      </c>
      <c r="N824">
        <v>112.654</v>
      </c>
      <c r="O824" s="27">
        <v>42615</v>
      </c>
      <c r="P824">
        <v>108.813</v>
      </c>
    </row>
    <row r="825" spans="3:16">
      <c r="C825" s="27">
        <v>41823</v>
      </c>
      <c r="D825">
        <v>3.6276999999999999</v>
      </c>
      <c r="G825" s="27">
        <v>44375</v>
      </c>
      <c r="H825">
        <v>107.121</v>
      </c>
      <c r="M825" s="27">
        <v>42996</v>
      </c>
      <c r="N825">
        <v>112.4</v>
      </c>
      <c r="O825" s="27">
        <v>42618</v>
      </c>
      <c r="P825">
        <v>108.836</v>
      </c>
    </row>
    <row r="826" spans="3:16">
      <c r="C826" s="27">
        <v>41824</v>
      </c>
      <c r="D826">
        <v>3.6492</v>
      </c>
      <c r="G826" s="27">
        <v>44376</v>
      </c>
      <c r="H826">
        <v>106.94199999999999</v>
      </c>
      <c r="M826" s="27">
        <v>42997</v>
      </c>
      <c r="N826">
        <v>112.42700000000001</v>
      </c>
      <c r="O826" s="27">
        <v>42619</v>
      </c>
      <c r="P826">
        <v>108.842</v>
      </c>
    </row>
    <row r="827" spans="3:16">
      <c r="C827" s="27">
        <v>41827</v>
      </c>
      <c r="D827">
        <v>3.6447000000000003</v>
      </c>
      <c r="G827" s="27">
        <v>44377</v>
      </c>
      <c r="H827">
        <v>107.26300000000001</v>
      </c>
      <c r="M827" s="27">
        <v>42998</v>
      </c>
      <c r="N827">
        <v>112.503</v>
      </c>
      <c r="O827" s="27">
        <v>42620</v>
      </c>
      <c r="P827">
        <v>109.018</v>
      </c>
    </row>
    <row r="828" spans="3:16">
      <c r="C828" s="27">
        <v>41828</v>
      </c>
      <c r="D828">
        <v>3.6587000000000001</v>
      </c>
      <c r="G828" s="27">
        <v>44378</v>
      </c>
      <c r="H828">
        <v>107.211</v>
      </c>
      <c r="M828" s="27">
        <v>42999</v>
      </c>
      <c r="N828">
        <v>112.13200000000001</v>
      </c>
      <c r="O828" s="27">
        <v>42621</v>
      </c>
      <c r="P828">
        <v>109.01300000000001</v>
      </c>
    </row>
    <row r="829" spans="3:16">
      <c r="C829" s="27">
        <v>41829</v>
      </c>
      <c r="D829">
        <v>3.6320999999999999</v>
      </c>
      <c r="G829" s="27">
        <v>44379</v>
      </c>
      <c r="H829">
        <v>107.46599999999999</v>
      </c>
      <c r="M829" s="27">
        <v>43000</v>
      </c>
      <c r="N829">
        <v>112.11499999999999</v>
      </c>
      <c r="O829" s="27">
        <v>42622</v>
      </c>
      <c r="P829">
        <v>108.821</v>
      </c>
    </row>
    <row r="830" spans="3:16">
      <c r="C830" s="27">
        <v>41830</v>
      </c>
      <c r="D830">
        <v>3.5951</v>
      </c>
      <c r="G830" s="27">
        <v>44382</v>
      </c>
      <c r="H830">
        <v>107.26600000000001</v>
      </c>
      <c r="M830" s="27">
        <v>43003</v>
      </c>
      <c r="N830">
        <v>112.33</v>
      </c>
      <c r="O830" s="27">
        <v>42625</v>
      </c>
      <c r="P830">
        <v>108.703</v>
      </c>
    </row>
    <row r="831" spans="3:16">
      <c r="C831" s="27">
        <v>41831</v>
      </c>
      <c r="D831">
        <v>3.5636999999999999</v>
      </c>
      <c r="G831" s="27">
        <v>44383</v>
      </c>
      <c r="H831">
        <v>107.727</v>
      </c>
      <c r="M831" s="27">
        <v>43004</v>
      </c>
      <c r="N831">
        <v>112.6</v>
      </c>
      <c r="O831" s="27">
        <v>42626</v>
      </c>
      <c r="P831">
        <v>108.694</v>
      </c>
    </row>
    <row r="832" spans="3:16">
      <c r="C832" s="27">
        <v>41834</v>
      </c>
      <c r="D832">
        <v>3.5857000000000001</v>
      </c>
      <c r="G832" s="27">
        <v>44384</v>
      </c>
      <c r="H832">
        <v>107.96</v>
      </c>
      <c r="M832" s="27">
        <v>43005</v>
      </c>
      <c r="N832">
        <v>112.33499999999999</v>
      </c>
      <c r="O832" s="27">
        <v>42627</v>
      </c>
      <c r="P832">
        <v>108.624</v>
      </c>
    </row>
    <row r="833" spans="3:16">
      <c r="C833" s="27">
        <v>41835</v>
      </c>
      <c r="D833">
        <v>3.5790999999999999</v>
      </c>
      <c r="G833" s="27">
        <v>44385</v>
      </c>
      <c r="H833">
        <v>107.994</v>
      </c>
      <c r="M833" s="27">
        <v>43006</v>
      </c>
      <c r="N833">
        <v>112.101</v>
      </c>
      <c r="O833" s="27">
        <v>42628</v>
      </c>
      <c r="P833">
        <v>108.68899999999999</v>
      </c>
    </row>
    <row r="834" spans="3:16">
      <c r="C834" s="27">
        <v>41836</v>
      </c>
      <c r="D834">
        <v>3.5688</v>
      </c>
      <c r="G834" s="27">
        <v>44386</v>
      </c>
      <c r="H834">
        <v>107.88</v>
      </c>
      <c r="M834" s="27">
        <v>43007</v>
      </c>
      <c r="N834">
        <v>112.28100000000001</v>
      </c>
      <c r="O834" s="27">
        <v>42629</v>
      </c>
      <c r="P834">
        <v>108.736</v>
      </c>
    </row>
    <row r="835" spans="3:16">
      <c r="C835" s="27">
        <v>41837</v>
      </c>
      <c r="D835">
        <v>3.5752000000000002</v>
      </c>
      <c r="G835" s="27">
        <v>44389</v>
      </c>
      <c r="H835">
        <v>107.92</v>
      </c>
      <c r="M835" s="27">
        <v>43010</v>
      </c>
      <c r="N835">
        <v>112.479</v>
      </c>
      <c r="O835" s="27">
        <v>42632</v>
      </c>
      <c r="P835">
        <v>108.78100000000001</v>
      </c>
    </row>
    <row r="836" spans="3:16">
      <c r="C836" s="27">
        <v>41838</v>
      </c>
      <c r="D836">
        <v>3.5642</v>
      </c>
      <c r="G836" s="27">
        <v>44390</v>
      </c>
      <c r="H836">
        <v>107.937</v>
      </c>
      <c r="M836" s="27">
        <v>43011</v>
      </c>
      <c r="N836">
        <v>112.31699999999999</v>
      </c>
      <c r="O836" s="27">
        <v>42633</v>
      </c>
      <c r="P836">
        <v>108.762</v>
      </c>
    </row>
    <row r="837" spans="3:16">
      <c r="C837" s="27">
        <v>41841</v>
      </c>
      <c r="D837">
        <v>3.5826000000000002</v>
      </c>
      <c r="G837" s="27">
        <v>44391</v>
      </c>
      <c r="H837">
        <v>108.136</v>
      </c>
      <c r="M837" s="27">
        <v>43012</v>
      </c>
      <c r="N837">
        <v>112.51</v>
      </c>
      <c r="O837" s="27">
        <v>42634</v>
      </c>
      <c r="P837">
        <v>108.714</v>
      </c>
    </row>
    <row r="838" spans="3:16">
      <c r="C838" s="27">
        <v>41842</v>
      </c>
      <c r="D838">
        <v>3.6052999999999997</v>
      </c>
      <c r="G838" s="27">
        <v>44392</v>
      </c>
      <c r="H838">
        <v>108.08499999999999</v>
      </c>
      <c r="M838" s="27">
        <v>43013</v>
      </c>
      <c r="N838">
        <v>112.56100000000001</v>
      </c>
      <c r="O838" s="27">
        <v>42635</v>
      </c>
      <c r="P838">
        <v>108.742</v>
      </c>
    </row>
    <row r="839" spans="3:16">
      <c r="C839" s="27">
        <v>41843</v>
      </c>
      <c r="D839">
        <v>3.6387999999999998</v>
      </c>
      <c r="G839" s="27">
        <v>44393</v>
      </c>
      <c r="H839">
        <v>108.23099999999999</v>
      </c>
      <c r="M839" s="27">
        <v>43014</v>
      </c>
      <c r="N839">
        <v>112.14</v>
      </c>
      <c r="O839" s="27">
        <v>42636</v>
      </c>
      <c r="P839">
        <v>108.777</v>
      </c>
    </row>
    <row r="840" spans="3:16">
      <c r="C840" s="27">
        <v>41844</v>
      </c>
      <c r="D840">
        <v>3.6619000000000002</v>
      </c>
      <c r="G840" s="27">
        <v>44396</v>
      </c>
      <c r="H840">
        <v>108.43300000000001</v>
      </c>
      <c r="M840" s="27">
        <v>43017</v>
      </c>
      <c r="N840">
        <v>112.271</v>
      </c>
      <c r="O840" s="27">
        <v>42639</v>
      </c>
      <c r="P840">
        <v>108.813</v>
      </c>
    </row>
    <row r="841" spans="3:16">
      <c r="C841" s="27">
        <v>41845</v>
      </c>
      <c r="D841">
        <v>3.6614</v>
      </c>
      <c r="G841" s="27">
        <v>44397</v>
      </c>
      <c r="H841">
        <v>108.581</v>
      </c>
      <c r="M841" s="27">
        <v>43018</v>
      </c>
      <c r="N841">
        <v>112.352</v>
      </c>
      <c r="O841" s="27">
        <v>42640</v>
      </c>
      <c r="P841">
        <v>108.86799999999999</v>
      </c>
    </row>
    <row r="842" spans="3:16">
      <c r="C842" s="27">
        <v>41848</v>
      </c>
      <c r="D842">
        <v>3.6545999999999998</v>
      </c>
      <c r="G842" s="27">
        <v>44398</v>
      </c>
      <c r="H842">
        <v>108.459</v>
      </c>
      <c r="M842" s="27">
        <v>43019</v>
      </c>
      <c r="N842">
        <v>112.41800000000001</v>
      </c>
      <c r="O842" s="27">
        <v>42641</v>
      </c>
      <c r="P842">
        <v>108.965</v>
      </c>
    </row>
    <row r="843" spans="3:16">
      <c r="C843" s="27">
        <v>41849</v>
      </c>
      <c r="D843">
        <v>3.6724999999999999</v>
      </c>
      <c r="G843" s="27">
        <v>44399</v>
      </c>
      <c r="H843">
        <v>108.715</v>
      </c>
      <c r="M843" s="27">
        <v>43020</v>
      </c>
      <c r="N843">
        <v>112.462</v>
      </c>
      <c r="O843" s="27">
        <v>42642</v>
      </c>
      <c r="P843">
        <v>108.905</v>
      </c>
    </row>
    <row r="844" spans="3:16">
      <c r="C844" s="27">
        <v>41850</v>
      </c>
      <c r="D844">
        <v>3.6513</v>
      </c>
      <c r="G844" s="27">
        <v>44400</v>
      </c>
      <c r="H844">
        <v>108.70699999999999</v>
      </c>
      <c r="M844" s="27">
        <v>43021</v>
      </c>
      <c r="N844">
        <v>112.779</v>
      </c>
      <c r="O844" s="27">
        <v>42643</v>
      </c>
      <c r="P844">
        <v>108.955</v>
      </c>
    </row>
    <row r="845" spans="3:16">
      <c r="C845" s="27">
        <v>41851</v>
      </c>
      <c r="D845">
        <v>3.6667000000000001</v>
      </c>
      <c r="G845" s="27">
        <v>44403</v>
      </c>
      <c r="H845">
        <v>108.693</v>
      </c>
      <c r="M845" s="27">
        <v>43024</v>
      </c>
      <c r="N845">
        <v>112.985</v>
      </c>
      <c r="O845" s="27">
        <v>42646</v>
      </c>
      <c r="P845">
        <v>108.85299999999999</v>
      </c>
    </row>
    <row r="846" spans="3:16">
      <c r="C846" s="27">
        <v>41852</v>
      </c>
      <c r="D846">
        <v>3.6819999999999999</v>
      </c>
      <c r="G846" s="27">
        <v>44404</v>
      </c>
      <c r="H846">
        <v>108.864</v>
      </c>
      <c r="M846" s="27">
        <v>43025</v>
      </c>
      <c r="N846">
        <v>113.15900000000001</v>
      </c>
      <c r="O846" s="27">
        <v>42647</v>
      </c>
      <c r="P846">
        <v>108.873</v>
      </c>
    </row>
    <row r="847" spans="3:16">
      <c r="C847" s="27">
        <v>41855</v>
      </c>
      <c r="D847">
        <v>3.6835</v>
      </c>
      <c r="G847" s="27">
        <v>44405</v>
      </c>
      <c r="H847">
        <v>108.96</v>
      </c>
      <c r="M847" s="27">
        <v>43026</v>
      </c>
      <c r="N847">
        <v>116.622</v>
      </c>
      <c r="O847" s="27">
        <v>42648</v>
      </c>
      <c r="P847">
        <v>108.90900000000001</v>
      </c>
    </row>
    <row r="848" spans="3:16">
      <c r="C848" s="27">
        <v>41856</v>
      </c>
      <c r="D848">
        <v>3.6741999999999999</v>
      </c>
      <c r="G848" s="27">
        <v>44406</v>
      </c>
      <c r="H848">
        <v>108.98</v>
      </c>
      <c r="M848" s="27">
        <v>43027</v>
      </c>
      <c r="N848">
        <v>116.428</v>
      </c>
      <c r="O848" s="27">
        <v>42649</v>
      </c>
      <c r="P848">
        <v>108.789</v>
      </c>
    </row>
    <row r="849" spans="3:16">
      <c r="C849" s="27">
        <v>41857</v>
      </c>
      <c r="D849">
        <v>3.7025999999999999</v>
      </c>
      <c r="G849" s="27">
        <v>44407</v>
      </c>
      <c r="H849">
        <v>109.072</v>
      </c>
      <c r="M849" s="27">
        <v>43028</v>
      </c>
      <c r="N849">
        <v>116.11799999999999</v>
      </c>
      <c r="O849" s="27">
        <v>42650</v>
      </c>
      <c r="P849">
        <v>108.732</v>
      </c>
    </row>
    <row r="850" spans="3:16">
      <c r="C850" s="27">
        <v>41858</v>
      </c>
      <c r="D850">
        <v>3.6154000000000002</v>
      </c>
      <c r="G850" s="27">
        <v>44410</v>
      </c>
      <c r="H850">
        <v>109.307</v>
      </c>
      <c r="M850" s="27">
        <v>43031</v>
      </c>
      <c r="N850">
        <v>116.039</v>
      </c>
      <c r="O850" s="27">
        <v>42653</v>
      </c>
      <c r="P850">
        <v>108.687</v>
      </c>
    </row>
    <row r="851" spans="3:16">
      <c r="C851" s="27">
        <v>41859</v>
      </c>
      <c r="D851">
        <v>3.5503999999999998</v>
      </c>
      <c r="G851" s="27">
        <v>44411</v>
      </c>
      <c r="H851">
        <v>109.26900000000001</v>
      </c>
      <c r="M851" s="27">
        <v>43032</v>
      </c>
      <c r="N851">
        <v>116.81</v>
      </c>
      <c r="O851" s="27">
        <v>42654</v>
      </c>
      <c r="P851">
        <v>108.654</v>
      </c>
    </row>
    <row r="852" spans="3:16">
      <c r="C852" s="27">
        <v>41862</v>
      </c>
      <c r="D852">
        <v>3.6132999999999997</v>
      </c>
      <c r="G852" s="27">
        <v>44412</v>
      </c>
      <c r="H852">
        <v>109.41</v>
      </c>
      <c r="M852" s="27">
        <v>43033</v>
      </c>
      <c r="N852">
        <v>116.60599999999999</v>
      </c>
      <c r="O852" s="27">
        <v>42655</v>
      </c>
      <c r="P852">
        <v>108.711</v>
      </c>
    </row>
    <row r="853" spans="3:16">
      <c r="C853" s="27">
        <v>41863</v>
      </c>
      <c r="D853">
        <v>3.6145</v>
      </c>
      <c r="G853" s="27">
        <v>44413</v>
      </c>
      <c r="H853">
        <v>109.42</v>
      </c>
      <c r="M853" s="27">
        <v>43034</v>
      </c>
      <c r="N853">
        <v>116.292</v>
      </c>
      <c r="O853" s="27">
        <v>42656</v>
      </c>
      <c r="P853">
        <v>108.652</v>
      </c>
    </row>
    <row r="854" spans="3:16">
      <c r="C854" s="27">
        <v>41864</v>
      </c>
      <c r="D854">
        <v>3.6292</v>
      </c>
      <c r="G854" s="27">
        <v>44414</v>
      </c>
      <c r="H854">
        <v>109.06100000000001</v>
      </c>
      <c r="M854" s="27">
        <v>43035</v>
      </c>
      <c r="N854">
        <v>116.252</v>
      </c>
      <c r="O854" s="27">
        <v>42657</v>
      </c>
      <c r="P854">
        <v>108.629</v>
      </c>
    </row>
    <row r="855" spans="3:16">
      <c r="C855" s="27">
        <v>41865</v>
      </c>
      <c r="D855">
        <v>3.5806</v>
      </c>
      <c r="G855" s="27">
        <v>44417</v>
      </c>
      <c r="H855">
        <v>109.09699999999999</v>
      </c>
      <c r="M855" s="27">
        <v>43038</v>
      </c>
      <c r="N855">
        <v>116.38500000000001</v>
      </c>
      <c r="O855" s="27">
        <v>42660</v>
      </c>
      <c r="P855">
        <v>108.628</v>
      </c>
    </row>
    <row r="856" spans="3:16">
      <c r="C856" s="27">
        <v>41866</v>
      </c>
      <c r="D856">
        <v>3.5951</v>
      </c>
      <c r="G856" s="27">
        <v>44418</v>
      </c>
      <c r="H856">
        <v>109.056</v>
      </c>
      <c r="M856" s="27">
        <v>43039</v>
      </c>
      <c r="N856">
        <v>116.583</v>
      </c>
      <c r="O856" s="27">
        <v>42661</v>
      </c>
      <c r="P856">
        <v>108.65900000000001</v>
      </c>
    </row>
    <row r="857" spans="3:16">
      <c r="C857" s="27">
        <v>41869</v>
      </c>
      <c r="D857">
        <v>3.5743</v>
      </c>
      <c r="G857" s="27">
        <v>44419</v>
      </c>
      <c r="H857">
        <v>109.113</v>
      </c>
      <c r="M857" s="27">
        <v>43040</v>
      </c>
      <c r="N857">
        <v>116.676</v>
      </c>
      <c r="O857" s="27">
        <v>42662</v>
      </c>
      <c r="P857">
        <v>108.68</v>
      </c>
    </row>
    <row r="858" spans="3:16">
      <c r="C858" s="27">
        <v>41870</v>
      </c>
      <c r="D858">
        <v>3.5876000000000001</v>
      </c>
      <c r="G858" s="27">
        <v>44420</v>
      </c>
      <c r="H858">
        <v>109.059</v>
      </c>
      <c r="M858" s="27">
        <v>43041</v>
      </c>
      <c r="N858">
        <v>116.85599999999999</v>
      </c>
      <c r="O858" s="27">
        <v>42663</v>
      </c>
      <c r="P858">
        <v>108.697</v>
      </c>
    </row>
    <row r="859" spans="3:16">
      <c r="C859" s="27">
        <v>41871</v>
      </c>
      <c r="D859">
        <v>3.6162999999999998</v>
      </c>
      <c r="G859" s="27">
        <v>44421</v>
      </c>
      <c r="H859">
        <v>109.188</v>
      </c>
      <c r="M859" s="27">
        <v>43042</v>
      </c>
      <c r="N859">
        <v>117.119</v>
      </c>
      <c r="O859" s="27">
        <v>42664</v>
      </c>
      <c r="P859">
        <v>108.672</v>
      </c>
    </row>
    <row r="860" spans="3:16">
      <c r="C860" s="27">
        <v>41872</v>
      </c>
      <c r="D860">
        <v>3.6489000000000003</v>
      </c>
      <c r="G860" s="27">
        <v>44424</v>
      </c>
      <c r="H860">
        <v>109.137</v>
      </c>
      <c r="M860" s="27">
        <v>43045</v>
      </c>
      <c r="N860">
        <v>117.006</v>
      </c>
      <c r="O860" s="27">
        <v>42667</v>
      </c>
      <c r="P860">
        <v>108.642</v>
      </c>
    </row>
    <row r="861" spans="3:16">
      <c r="C861" s="27">
        <v>41873</v>
      </c>
      <c r="D861">
        <v>3.6593</v>
      </c>
      <c r="G861" s="27">
        <v>44425</v>
      </c>
      <c r="H861">
        <v>109.169</v>
      </c>
      <c r="M861" s="27">
        <v>43046</v>
      </c>
      <c r="N861">
        <v>117.276</v>
      </c>
      <c r="O861" s="27">
        <v>42668</v>
      </c>
      <c r="P861">
        <v>108.604</v>
      </c>
    </row>
    <row r="862" spans="3:16">
      <c r="C862" s="27">
        <v>41876</v>
      </c>
      <c r="D862">
        <v>3.6562000000000001</v>
      </c>
      <c r="G862" s="27">
        <v>44426</v>
      </c>
      <c r="H862">
        <v>109.25</v>
      </c>
      <c r="M862" s="27">
        <v>43047</v>
      </c>
      <c r="N862">
        <v>117.52800000000001</v>
      </c>
      <c r="O862" s="27">
        <v>42669</v>
      </c>
      <c r="P862">
        <v>108.571</v>
      </c>
    </row>
    <row r="863" spans="3:16">
      <c r="C863" s="27">
        <v>41877</v>
      </c>
      <c r="D863">
        <v>3.6246999999999998</v>
      </c>
      <c r="G863" s="27">
        <v>44427</v>
      </c>
      <c r="H863">
        <v>109.27200000000001</v>
      </c>
      <c r="M863" s="27">
        <v>43048</v>
      </c>
      <c r="N863">
        <v>117.46</v>
      </c>
      <c r="O863" s="27">
        <v>42670</v>
      </c>
      <c r="P863">
        <v>108.46299999999999</v>
      </c>
    </row>
    <row r="864" spans="3:16">
      <c r="C864" s="27">
        <v>41878</v>
      </c>
      <c r="D864">
        <v>3.6057000000000001</v>
      </c>
      <c r="G864" s="27">
        <v>44428</v>
      </c>
      <c r="H864">
        <v>109.31699999999999</v>
      </c>
      <c r="M864" s="27">
        <v>43049</v>
      </c>
      <c r="N864">
        <v>117.069</v>
      </c>
      <c r="O864" s="27">
        <v>42671</v>
      </c>
      <c r="P864">
        <v>108.298</v>
      </c>
    </row>
    <row r="865" spans="3:16">
      <c r="C865" s="27">
        <v>41879</v>
      </c>
      <c r="D865">
        <v>3.6211000000000002</v>
      </c>
      <c r="G865" s="27">
        <v>44431</v>
      </c>
      <c r="H865">
        <v>109.175</v>
      </c>
      <c r="M865" s="27">
        <v>43052</v>
      </c>
      <c r="N865">
        <v>118.244</v>
      </c>
      <c r="O865" s="27">
        <v>42674</v>
      </c>
      <c r="P865">
        <v>108.25700000000001</v>
      </c>
    </row>
    <row r="866" spans="3:16">
      <c r="C866" s="27">
        <v>41880</v>
      </c>
      <c r="D866">
        <v>3.6107</v>
      </c>
      <c r="G866" s="27">
        <v>44432</v>
      </c>
      <c r="H866">
        <v>108.985</v>
      </c>
      <c r="M866" s="27">
        <v>43053</v>
      </c>
      <c r="N866">
        <v>117.137</v>
      </c>
      <c r="O866" s="27">
        <v>42675</v>
      </c>
      <c r="P866">
        <v>108.26</v>
      </c>
    </row>
    <row r="867" spans="3:16">
      <c r="C867" s="27">
        <v>41883</v>
      </c>
      <c r="D867">
        <v>3.6153</v>
      </c>
      <c r="G867" s="27">
        <v>44433</v>
      </c>
      <c r="H867">
        <v>108.732</v>
      </c>
      <c r="M867" s="27">
        <v>43054</v>
      </c>
      <c r="N867">
        <v>117.04900000000001</v>
      </c>
      <c r="O867" s="27">
        <v>42676</v>
      </c>
      <c r="P867">
        <v>108.244</v>
      </c>
    </row>
    <row r="868" spans="3:16">
      <c r="C868" s="27">
        <v>41884</v>
      </c>
      <c r="D868">
        <v>3.6305000000000001</v>
      </c>
      <c r="G868" s="27">
        <v>44434</v>
      </c>
      <c r="H868">
        <v>108.30500000000001</v>
      </c>
      <c r="M868" s="27">
        <v>43055</v>
      </c>
      <c r="N868">
        <v>117.598</v>
      </c>
      <c r="O868" s="27">
        <v>42677</v>
      </c>
      <c r="P868">
        <v>108.316</v>
      </c>
    </row>
    <row r="869" spans="3:16">
      <c r="C869" s="27">
        <v>41885</v>
      </c>
      <c r="D869">
        <v>3.6587000000000001</v>
      </c>
      <c r="G869" s="27">
        <v>44435</v>
      </c>
      <c r="H869">
        <v>108.446</v>
      </c>
      <c r="M869" s="27">
        <v>43056</v>
      </c>
      <c r="N869">
        <v>117.76</v>
      </c>
      <c r="O869" s="27">
        <v>42678</v>
      </c>
      <c r="P869">
        <v>108.253</v>
      </c>
    </row>
    <row r="870" spans="3:16">
      <c r="C870" s="27">
        <v>41886</v>
      </c>
      <c r="D870">
        <v>3.6531000000000002</v>
      </c>
      <c r="G870" s="27">
        <v>44438</v>
      </c>
      <c r="H870">
        <v>108.54900000000001</v>
      </c>
      <c r="M870" s="27">
        <v>43059</v>
      </c>
      <c r="N870">
        <v>117.572</v>
      </c>
      <c r="O870" s="27">
        <v>42681</v>
      </c>
      <c r="P870">
        <v>108.292</v>
      </c>
    </row>
    <row r="871" spans="3:16">
      <c r="C871" s="27">
        <v>41887</v>
      </c>
      <c r="D871">
        <v>3.6762000000000001</v>
      </c>
      <c r="G871" s="27">
        <v>44439</v>
      </c>
      <c r="H871">
        <v>108.11799999999999</v>
      </c>
      <c r="M871" s="27">
        <v>43060</v>
      </c>
      <c r="N871">
        <v>117.682</v>
      </c>
      <c r="O871" s="27">
        <v>42682</v>
      </c>
      <c r="P871">
        <v>108.264</v>
      </c>
    </row>
    <row r="872" spans="3:16">
      <c r="C872" s="27">
        <v>41890</v>
      </c>
      <c r="D872">
        <v>3.6653000000000002</v>
      </c>
      <c r="G872" s="27">
        <v>44440</v>
      </c>
      <c r="H872">
        <v>108.045</v>
      </c>
      <c r="M872" s="27">
        <v>43061</v>
      </c>
      <c r="N872">
        <v>117.592</v>
      </c>
      <c r="O872" s="27">
        <v>42683</v>
      </c>
      <c r="P872">
        <v>108.268</v>
      </c>
    </row>
    <row r="873" spans="3:16">
      <c r="C873" s="27">
        <v>41891</v>
      </c>
      <c r="D873">
        <v>3.7151000000000001</v>
      </c>
      <c r="G873" s="27">
        <v>44441</v>
      </c>
      <c r="H873">
        <v>108.08799999999999</v>
      </c>
      <c r="M873" s="27">
        <v>43062</v>
      </c>
      <c r="N873">
        <v>118.247</v>
      </c>
      <c r="O873" s="27">
        <v>42684</v>
      </c>
      <c r="P873">
        <v>108.182</v>
      </c>
    </row>
    <row r="874" spans="3:16">
      <c r="C874" s="27">
        <v>41892</v>
      </c>
      <c r="D874">
        <v>3.722</v>
      </c>
      <c r="G874" s="27">
        <v>44442</v>
      </c>
      <c r="H874">
        <v>107.905</v>
      </c>
      <c r="M874" s="27">
        <v>43063</v>
      </c>
      <c r="N874">
        <v>117.845</v>
      </c>
      <c r="O874" s="27">
        <v>42685</v>
      </c>
      <c r="P874">
        <v>108.039</v>
      </c>
    </row>
    <row r="875" spans="3:16">
      <c r="C875" s="27">
        <v>41893</v>
      </c>
      <c r="D875">
        <v>3.7462999999999997</v>
      </c>
      <c r="G875" s="27">
        <v>44445</v>
      </c>
      <c r="H875">
        <v>107.95099999999999</v>
      </c>
      <c r="M875" s="27">
        <v>43066</v>
      </c>
      <c r="N875">
        <v>119.224</v>
      </c>
      <c r="O875" s="27">
        <v>42688</v>
      </c>
      <c r="P875">
        <v>107.928</v>
      </c>
    </row>
    <row r="876" spans="3:16">
      <c r="C876" s="27">
        <v>41894</v>
      </c>
      <c r="D876">
        <v>3.7408999999999999</v>
      </c>
      <c r="G876" s="27">
        <v>44446</v>
      </c>
      <c r="H876">
        <v>107.574</v>
      </c>
      <c r="M876" s="27">
        <v>43067</v>
      </c>
      <c r="N876">
        <v>118.958</v>
      </c>
      <c r="O876" s="27">
        <v>42689</v>
      </c>
      <c r="P876">
        <v>107.867</v>
      </c>
    </row>
    <row r="877" spans="3:16">
      <c r="C877" s="27">
        <v>41897</v>
      </c>
      <c r="D877">
        <v>3.7477999999999998</v>
      </c>
      <c r="G877" s="27">
        <v>44447</v>
      </c>
      <c r="H877">
        <v>107.595</v>
      </c>
      <c r="M877" s="27">
        <v>43068</v>
      </c>
      <c r="N877">
        <v>118.63</v>
      </c>
      <c r="O877" s="27">
        <v>42690</v>
      </c>
      <c r="P877">
        <v>107.85599999999999</v>
      </c>
    </row>
    <row r="878" spans="3:16">
      <c r="C878" s="27">
        <v>41898</v>
      </c>
      <c r="D878">
        <v>3.7334000000000001</v>
      </c>
      <c r="G878" s="27">
        <v>44448</v>
      </c>
      <c r="H878">
        <v>107.88500000000001</v>
      </c>
      <c r="M878" s="27">
        <v>43069</v>
      </c>
      <c r="N878">
        <v>119.512</v>
      </c>
      <c r="O878" s="27">
        <v>42691</v>
      </c>
      <c r="P878">
        <v>107.84399999999999</v>
      </c>
    </row>
    <row r="879" spans="3:16">
      <c r="C879" s="27">
        <v>41899</v>
      </c>
      <c r="D879">
        <v>3.7545999999999999</v>
      </c>
      <c r="G879" s="27">
        <v>44449</v>
      </c>
      <c r="H879">
        <v>107.629</v>
      </c>
      <c r="M879" s="27">
        <v>43070</v>
      </c>
      <c r="N879">
        <v>119.60899999999999</v>
      </c>
      <c r="O879" s="27">
        <v>42692</v>
      </c>
      <c r="P879">
        <v>107.81</v>
      </c>
    </row>
    <row r="880" spans="3:16">
      <c r="C880" s="27">
        <v>41900</v>
      </c>
      <c r="D880">
        <v>3.7896000000000001</v>
      </c>
      <c r="G880" s="27">
        <v>44452</v>
      </c>
      <c r="H880">
        <v>107.658</v>
      </c>
      <c r="M880" s="27">
        <v>43073</v>
      </c>
      <c r="N880">
        <v>119.422</v>
      </c>
      <c r="O880" s="27">
        <v>42695</v>
      </c>
      <c r="P880">
        <v>107.773</v>
      </c>
    </row>
    <row r="881" spans="3:16">
      <c r="C881" s="27">
        <v>41901</v>
      </c>
      <c r="D881">
        <v>3.7997999999999998</v>
      </c>
      <c r="G881" s="27">
        <v>44453</v>
      </c>
      <c r="H881">
        <v>107.724</v>
      </c>
      <c r="M881" s="27">
        <v>43074</v>
      </c>
      <c r="N881">
        <v>119.64100000000001</v>
      </c>
      <c r="O881" s="27">
        <v>42696</v>
      </c>
      <c r="P881">
        <v>107.733</v>
      </c>
    </row>
    <row r="882" spans="3:16">
      <c r="C882" s="27">
        <v>41904</v>
      </c>
      <c r="D882">
        <v>3.7616000000000001</v>
      </c>
      <c r="G882" s="27">
        <v>44454</v>
      </c>
      <c r="H882">
        <v>107.47199999999999</v>
      </c>
      <c r="M882" s="27">
        <v>43075</v>
      </c>
      <c r="N882">
        <v>119.61199999999999</v>
      </c>
      <c r="O882" s="27">
        <v>42697</v>
      </c>
      <c r="P882">
        <v>107.935</v>
      </c>
    </row>
    <row r="883" spans="3:16">
      <c r="C883" s="27">
        <v>41905</v>
      </c>
      <c r="D883">
        <v>3.7107000000000001</v>
      </c>
      <c r="G883" s="27">
        <v>44455</v>
      </c>
      <c r="H883">
        <v>107.526</v>
      </c>
      <c r="M883" s="27">
        <v>43076</v>
      </c>
      <c r="N883">
        <v>119.334</v>
      </c>
      <c r="O883" s="27">
        <v>42698</v>
      </c>
      <c r="P883">
        <v>107.821</v>
      </c>
    </row>
    <row r="884" spans="3:16">
      <c r="C884" s="27">
        <v>41906</v>
      </c>
      <c r="D884">
        <v>3.7553000000000001</v>
      </c>
      <c r="G884" s="27">
        <v>44456</v>
      </c>
      <c r="H884">
        <v>107.367</v>
      </c>
      <c r="M884" s="27">
        <v>43077</v>
      </c>
      <c r="N884">
        <v>119.203</v>
      </c>
      <c r="O884" s="27">
        <v>42699</v>
      </c>
      <c r="P884">
        <v>107.86199999999999</v>
      </c>
    </row>
    <row r="885" spans="3:16">
      <c r="C885" s="27">
        <v>41907</v>
      </c>
      <c r="D885">
        <v>3.74</v>
      </c>
      <c r="G885" s="27">
        <v>44459</v>
      </c>
      <c r="H885">
        <v>107.593</v>
      </c>
      <c r="M885" s="27">
        <v>43080</v>
      </c>
      <c r="N885">
        <v>119.143</v>
      </c>
      <c r="O885" s="27">
        <v>42702</v>
      </c>
      <c r="P885">
        <v>107.837</v>
      </c>
    </row>
    <row r="886" spans="3:16">
      <c r="C886" s="27">
        <v>41908</v>
      </c>
      <c r="D886">
        <v>3.7079</v>
      </c>
      <c r="G886" s="27">
        <v>44460</v>
      </c>
      <c r="H886">
        <v>107.55</v>
      </c>
      <c r="M886" s="27">
        <v>43081</v>
      </c>
      <c r="N886">
        <v>119.1</v>
      </c>
      <c r="O886" s="27">
        <v>42703</v>
      </c>
      <c r="P886">
        <v>107.905</v>
      </c>
    </row>
    <row r="887" spans="3:16">
      <c r="C887" s="27">
        <v>41911</v>
      </c>
      <c r="D887">
        <v>3.7025000000000001</v>
      </c>
      <c r="G887" s="27">
        <v>44461</v>
      </c>
      <c r="H887">
        <v>107.586</v>
      </c>
      <c r="M887" s="27">
        <v>43082</v>
      </c>
      <c r="N887">
        <v>118.952</v>
      </c>
      <c r="O887" s="27">
        <v>42704</v>
      </c>
      <c r="P887">
        <v>107.867</v>
      </c>
    </row>
    <row r="888" spans="3:16">
      <c r="C888" s="27">
        <v>41912</v>
      </c>
      <c r="D888">
        <v>3.6888000000000001</v>
      </c>
      <c r="G888" s="27">
        <v>44462</v>
      </c>
      <c r="H888">
        <v>107.057</v>
      </c>
      <c r="M888" s="27">
        <v>43083</v>
      </c>
      <c r="N888">
        <v>118.60299999999999</v>
      </c>
      <c r="O888" s="27">
        <v>42705</v>
      </c>
      <c r="P888">
        <v>107.744</v>
      </c>
    </row>
    <row r="889" spans="3:16">
      <c r="C889" s="27">
        <v>41913</v>
      </c>
      <c r="D889">
        <v>3.6955</v>
      </c>
      <c r="G889" s="27">
        <v>44463</v>
      </c>
      <c r="H889">
        <v>106.874</v>
      </c>
      <c r="M889" s="27">
        <v>43084</v>
      </c>
      <c r="N889">
        <v>118.773</v>
      </c>
      <c r="O889" s="27">
        <v>42706</v>
      </c>
      <c r="P889">
        <v>107.598</v>
      </c>
    </row>
    <row r="890" spans="3:16">
      <c r="C890" s="27">
        <v>41914</v>
      </c>
      <c r="D890">
        <v>3.6791</v>
      </c>
      <c r="G890" s="27">
        <v>44466</v>
      </c>
      <c r="H890">
        <v>106.83499999999999</v>
      </c>
      <c r="M890" s="27">
        <v>43087</v>
      </c>
      <c r="N890">
        <v>118.95399999999999</v>
      </c>
      <c r="O890" s="27">
        <v>42709</v>
      </c>
      <c r="P890">
        <v>107.715</v>
      </c>
    </row>
    <row r="891" spans="3:16">
      <c r="C891" s="27">
        <v>41915</v>
      </c>
      <c r="D891">
        <v>3.7</v>
      </c>
      <c r="G891" s="27">
        <v>44467</v>
      </c>
      <c r="H891">
        <v>106.68</v>
      </c>
      <c r="M891" s="27">
        <v>43088</v>
      </c>
      <c r="N891">
        <v>118.873</v>
      </c>
      <c r="O891" s="27">
        <v>42710</v>
      </c>
      <c r="P891">
        <v>107.58199999999999</v>
      </c>
    </row>
    <row r="892" spans="3:16">
      <c r="C892" s="27">
        <v>41918</v>
      </c>
      <c r="D892">
        <v>3.6928000000000001</v>
      </c>
      <c r="G892" s="27">
        <v>44468</v>
      </c>
      <c r="H892">
        <v>106.824</v>
      </c>
      <c r="M892" s="27">
        <v>43089</v>
      </c>
      <c r="N892">
        <v>118.559</v>
      </c>
      <c r="O892" s="27">
        <v>42711</v>
      </c>
      <c r="P892">
        <v>107.39100000000001</v>
      </c>
    </row>
    <row r="893" spans="3:16">
      <c r="C893" s="27">
        <v>41919</v>
      </c>
      <c r="D893">
        <v>3.6936999999999998</v>
      </c>
      <c r="G893" s="27">
        <v>44469</v>
      </c>
      <c r="H893">
        <v>106.71899999999999</v>
      </c>
      <c r="M893" s="27">
        <v>43090</v>
      </c>
      <c r="N893">
        <v>118.324</v>
      </c>
      <c r="O893" s="27">
        <v>42712</v>
      </c>
      <c r="P893">
        <v>107.38800000000001</v>
      </c>
    </row>
    <row r="894" spans="3:16">
      <c r="C894" s="27">
        <v>41920</v>
      </c>
      <c r="D894">
        <v>3.6920000000000002</v>
      </c>
      <c r="G894" s="27">
        <v>44470</v>
      </c>
      <c r="H894">
        <v>106.89700000000001</v>
      </c>
      <c r="M894" s="27">
        <v>43091</v>
      </c>
      <c r="N894">
        <v>118.258</v>
      </c>
      <c r="O894" s="27">
        <v>42713</v>
      </c>
      <c r="P894">
        <v>107.504</v>
      </c>
    </row>
    <row r="895" spans="3:16">
      <c r="C895" s="27">
        <v>41921</v>
      </c>
      <c r="D895">
        <v>3.6653000000000002</v>
      </c>
      <c r="G895" s="27">
        <v>44473</v>
      </c>
      <c r="H895">
        <v>106.834</v>
      </c>
      <c r="M895" s="27">
        <v>43096</v>
      </c>
      <c r="N895">
        <v>118.458</v>
      </c>
      <c r="O895" s="27">
        <v>42716</v>
      </c>
      <c r="P895">
        <v>107.58799999999999</v>
      </c>
    </row>
    <row r="896" spans="3:16">
      <c r="C896" s="27">
        <v>41922</v>
      </c>
      <c r="D896">
        <v>3.6470000000000002</v>
      </c>
      <c r="G896" s="27">
        <v>44474</v>
      </c>
      <c r="H896">
        <v>106.63200000000001</v>
      </c>
      <c r="M896" s="27">
        <v>43097</v>
      </c>
      <c r="N896">
        <v>118.6</v>
      </c>
      <c r="O896" s="27">
        <v>42717</v>
      </c>
      <c r="P896">
        <v>107.512</v>
      </c>
    </row>
    <row r="897" spans="3:16">
      <c r="C897" s="27">
        <v>41925</v>
      </c>
      <c r="D897">
        <v>3.6231999999999998</v>
      </c>
      <c r="G897" s="27">
        <v>44475</v>
      </c>
      <c r="H897">
        <v>106.789</v>
      </c>
      <c r="M897" s="27">
        <v>43098</v>
      </c>
      <c r="N897">
        <v>118.43</v>
      </c>
      <c r="O897" s="27">
        <v>42718</v>
      </c>
      <c r="P897">
        <v>107.544</v>
      </c>
    </row>
    <row r="898" spans="3:16">
      <c r="C898" s="27">
        <v>41926</v>
      </c>
      <c r="D898">
        <v>3.6169000000000002</v>
      </c>
      <c r="G898" s="27">
        <v>44476</v>
      </c>
      <c r="H898">
        <v>106.831</v>
      </c>
      <c r="M898" s="27">
        <v>43102</v>
      </c>
      <c r="N898">
        <v>117.94799999999999</v>
      </c>
      <c r="O898" s="27">
        <v>42719</v>
      </c>
      <c r="P898">
        <v>107.581</v>
      </c>
    </row>
    <row r="899" spans="3:16">
      <c r="C899" s="27">
        <v>41927</v>
      </c>
      <c r="D899">
        <v>3.6402999999999999</v>
      </c>
      <c r="G899" s="27">
        <v>44477</v>
      </c>
      <c r="H899">
        <v>106.56399999999999</v>
      </c>
      <c r="M899" s="27">
        <v>43103</v>
      </c>
      <c r="N899">
        <v>118.021</v>
      </c>
      <c r="O899" s="27">
        <v>42720</v>
      </c>
      <c r="P899">
        <v>107.527</v>
      </c>
    </row>
    <row r="900" spans="3:16">
      <c r="C900" s="27">
        <v>41928</v>
      </c>
      <c r="D900">
        <v>3.5777000000000001</v>
      </c>
      <c r="G900" s="27">
        <v>44480</v>
      </c>
      <c r="H900">
        <v>106.337</v>
      </c>
      <c r="M900" s="27">
        <v>43104</v>
      </c>
      <c r="N900">
        <v>118.51300000000001</v>
      </c>
      <c r="O900" s="27">
        <v>42723</v>
      </c>
      <c r="P900">
        <v>107.60299999999999</v>
      </c>
    </row>
    <row r="901" spans="3:16">
      <c r="C901" s="27">
        <v>41929</v>
      </c>
      <c r="D901">
        <v>3.5989</v>
      </c>
      <c r="G901" s="27">
        <v>44481</v>
      </c>
      <c r="H901">
        <v>106.009</v>
      </c>
      <c r="M901" s="27">
        <v>43105</v>
      </c>
      <c r="N901">
        <v>118.64700000000001</v>
      </c>
      <c r="O901" s="27">
        <v>42724</v>
      </c>
      <c r="P901">
        <v>107.73399999999999</v>
      </c>
    </row>
    <row r="902" spans="3:16">
      <c r="C902" s="27">
        <v>41932</v>
      </c>
      <c r="D902">
        <v>3.6246999999999998</v>
      </c>
      <c r="G902" s="27">
        <v>44482</v>
      </c>
      <c r="H902">
        <v>106.26</v>
      </c>
      <c r="M902" s="27">
        <v>43108</v>
      </c>
      <c r="N902">
        <v>118.738</v>
      </c>
      <c r="O902" s="27">
        <v>42725</v>
      </c>
      <c r="P902">
        <v>107.642</v>
      </c>
    </row>
    <row r="903" spans="3:16">
      <c r="C903" s="27">
        <v>41933</v>
      </c>
      <c r="D903">
        <v>3.5868000000000002</v>
      </c>
      <c r="G903" s="27">
        <v>44483</v>
      </c>
      <c r="H903">
        <v>106.74</v>
      </c>
      <c r="M903" s="27">
        <v>43109</v>
      </c>
      <c r="N903">
        <v>118.64</v>
      </c>
      <c r="O903" s="27">
        <v>42726</v>
      </c>
      <c r="P903">
        <v>107.657</v>
      </c>
    </row>
    <row r="904" spans="3:16">
      <c r="C904" s="27">
        <v>41934</v>
      </c>
      <c r="D904">
        <v>3.6124999999999998</v>
      </c>
      <c r="G904" s="27">
        <v>44484</v>
      </c>
      <c r="H904">
        <v>106.527</v>
      </c>
      <c r="M904" s="27">
        <v>43110</v>
      </c>
      <c r="N904">
        <v>118.24299999999999</v>
      </c>
      <c r="O904" s="27">
        <v>42727</v>
      </c>
      <c r="P904">
        <v>107.599</v>
      </c>
    </row>
    <row r="905" spans="3:16">
      <c r="C905" s="27">
        <v>41935</v>
      </c>
      <c r="D905">
        <v>3.6139000000000001</v>
      </c>
      <c r="G905" s="27">
        <v>44487</v>
      </c>
      <c r="H905">
        <v>106.252</v>
      </c>
      <c r="M905" s="27">
        <v>43111</v>
      </c>
      <c r="N905">
        <v>117.923</v>
      </c>
      <c r="O905" s="27">
        <v>42731</v>
      </c>
      <c r="P905">
        <v>107.642</v>
      </c>
    </row>
    <row r="906" spans="3:16">
      <c r="C906" s="27">
        <v>41936</v>
      </c>
      <c r="D906">
        <v>3.6145</v>
      </c>
      <c r="G906" s="27">
        <v>44488</v>
      </c>
      <c r="H906">
        <v>105.959</v>
      </c>
      <c r="M906" s="27">
        <v>43112</v>
      </c>
      <c r="N906">
        <v>117.47</v>
      </c>
      <c r="O906" s="27">
        <v>42732</v>
      </c>
      <c r="P906">
        <v>107.732</v>
      </c>
    </row>
    <row r="907" spans="3:16">
      <c r="C907" s="27">
        <v>41939</v>
      </c>
      <c r="D907">
        <v>3.6286</v>
      </c>
      <c r="G907" s="27">
        <v>44489</v>
      </c>
      <c r="H907">
        <v>106.146</v>
      </c>
      <c r="M907" s="27">
        <v>43115</v>
      </c>
      <c r="N907">
        <v>117.324</v>
      </c>
      <c r="O907" s="27">
        <v>42733</v>
      </c>
      <c r="P907">
        <v>107.774</v>
      </c>
    </row>
    <row r="908" spans="3:16">
      <c r="C908" s="27">
        <v>41940</v>
      </c>
      <c r="D908">
        <v>3.6015000000000001</v>
      </c>
      <c r="G908" s="27">
        <v>44490</v>
      </c>
      <c r="H908">
        <v>105.919</v>
      </c>
      <c r="M908" s="27">
        <v>43116</v>
      </c>
      <c r="N908">
        <v>117.38800000000001</v>
      </c>
      <c r="O908" s="27">
        <v>42734</v>
      </c>
      <c r="P908">
        <v>107.696</v>
      </c>
    </row>
    <row r="909" spans="3:16">
      <c r="C909" s="27">
        <v>41941</v>
      </c>
      <c r="D909">
        <v>3.6372</v>
      </c>
      <c r="G909" s="27">
        <v>44491</v>
      </c>
      <c r="H909">
        <v>105.902</v>
      </c>
      <c r="M909" s="27">
        <v>43117</v>
      </c>
      <c r="N909">
        <v>117.39400000000001</v>
      </c>
      <c r="O909" s="27">
        <v>42737</v>
      </c>
      <c r="P909">
        <v>107.684</v>
      </c>
    </row>
    <row r="910" spans="3:16">
      <c r="C910" s="27">
        <v>41942</v>
      </c>
      <c r="D910">
        <v>3.6452999999999998</v>
      </c>
      <c r="G910" s="27">
        <v>44494</v>
      </c>
      <c r="H910">
        <v>106.081</v>
      </c>
      <c r="M910" s="27">
        <v>43118</v>
      </c>
      <c r="N910">
        <v>117.169</v>
      </c>
      <c r="O910" s="27">
        <v>42738</v>
      </c>
      <c r="P910">
        <v>107.693</v>
      </c>
    </row>
    <row r="911" spans="3:16">
      <c r="C911" s="27">
        <v>41943</v>
      </c>
      <c r="D911">
        <v>3.6227</v>
      </c>
      <c r="G911" s="27">
        <v>44495</v>
      </c>
      <c r="H911">
        <v>106.078</v>
      </c>
      <c r="M911" s="27">
        <v>43119</v>
      </c>
      <c r="N911">
        <v>117.099</v>
      </c>
      <c r="O911" s="27">
        <v>42739</v>
      </c>
      <c r="P911">
        <v>107.6</v>
      </c>
    </row>
    <row r="912" spans="3:16">
      <c r="C912" s="27">
        <v>41946</v>
      </c>
      <c r="D912">
        <v>3.6088</v>
      </c>
      <c r="G912" s="27">
        <v>44496</v>
      </c>
      <c r="H912">
        <v>106.431</v>
      </c>
      <c r="M912" s="27">
        <v>43122</v>
      </c>
      <c r="N912">
        <v>117.33199999999999</v>
      </c>
      <c r="O912" s="27">
        <v>42740</v>
      </c>
      <c r="P912">
        <v>107.611</v>
      </c>
    </row>
    <row r="913" spans="3:16">
      <c r="C913" s="27">
        <v>41947</v>
      </c>
      <c r="D913">
        <v>3.6295999999999999</v>
      </c>
      <c r="G913" s="27">
        <v>44497</v>
      </c>
      <c r="H913">
        <v>106.105</v>
      </c>
      <c r="M913" s="27">
        <v>43123</v>
      </c>
      <c r="N913">
        <v>117.01300000000001</v>
      </c>
      <c r="O913" s="27">
        <v>42741</v>
      </c>
      <c r="P913">
        <v>107.461</v>
      </c>
    </row>
    <row r="914" spans="3:16">
      <c r="C914" s="27">
        <v>41948</v>
      </c>
      <c r="D914">
        <v>3.6131000000000002</v>
      </c>
      <c r="G914" s="27">
        <v>44498</v>
      </c>
      <c r="H914">
        <v>105.822</v>
      </c>
      <c r="M914" s="27">
        <v>43124</v>
      </c>
      <c r="N914">
        <v>116.629</v>
      </c>
      <c r="O914" s="27">
        <v>42744</v>
      </c>
      <c r="P914">
        <v>107.375</v>
      </c>
    </row>
    <row r="915" spans="3:16">
      <c r="C915" s="27">
        <v>41949</v>
      </c>
      <c r="D915">
        <v>3.6271</v>
      </c>
      <c r="G915" s="27">
        <v>44501</v>
      </c>
      <c r="H915">
        <v>105.857</v>
      </c>
      <c r="M915" s="27">
        <v>43125</v>
      </c>
      <c r="N915">
        <v>116.14700000000001</v>
      </c>
      <c r="O915" s="27">
        <v>42745</v>
      </c>
      <c r="P915">
        <v>107.41500000000001</v>
      </c>
    </row>
    <row r="916" spans="3:16">
      <c r="C916" s="27">
        <v>41950</v>
      </c>
      <c r="D916">
        <v>3.6722000000000001</v>
      </c>
      <c r="G916" s="27">
        <v>44502</v>
      </c>
      <c r="H916">
        <v>106.423</v>
      </c>
      <c r="M916" s="27">
        <v>43126</v>
      </c>
      <c r="N916">
        <v>115.878</v>
      </c>
      <c r="O916" s="27">
        <v>42746</v>
      </c>
      <c r="P916">
        <v>107.373</v>
      </c>
    </row>
    <row r="917" spans="3:16">
      <c r="C917" s="27">
        <v>41953</v>
      </c>
      <c r="D917">
        <v>3.6600999999999999</v>
      </c>
      <c r="G917" s="27">
        <v>44503</v>
      </c>
      <c r="H917">
        <v>106.414</v>
      </c>
      <c r="M917" s="27">
        <v>43129</v>
      </c>
      <c r="N917">
        <v>115.497</v>
      </c>
      <c r="O917" s="27">
        <v>42747</v>
      </c>
      <c r="P917">
        <v>107.39</v>
      </c>
    </row>
    <row r="918" spans="3:16">
      <c r="C918" s="27">
        <v>41954</v>
      </c>
      <c r="D918">
        <v>3.6880999999999999</v>
      </c>
      <c r="G918" s="27">
        <v>44504</v>
      </c>
      <c r="H918">
        <v>106.955</v>
      </c>
      <c r="M918" s="27">
        <v>43130</v>
      </c>
      <c r="N918">
        <v>115.383</v>
      </c>
      <c r="O918" s="27">
        <v>42748</v>
      </c>
      <c r="P918">
        <v>107.325</v>
      </c>
    </row>
    <row r="919" spans="3:16">
      <c r="C919" s="27">
        <v>41955</v>
      </c>
      <c r="D919">
        <v>3.7029000000000001</v>
      </c>
      <c r="G919" s="27">
        <v>44505</v>
      </c>
      <c r="H919">
        <v>107.33</v>
      </c>
      <c r="M919" s="27">
        <v>43131</v>
      </c>
      <c r="N919">
        <v>115.607</v>
      </c>
      <c r="O919" s="27">
        <v>42751</v>
      </c>
      <c r="P919">
        <v>107.328</v>
      </c>
    </row>
    <row r="920" spans="3:16">
      <c r="C920" s="27">
        <v>41956</v>
      </c>
      <c r="D920">
        <v>3.714</v>
      </c>
      <c r="G920" s="27">
        <v>44508</v>
      </c>
      <c r="H920">
        <v>107.05</v>
      </c>
      <c r="M920" s="27">
        <v>43132</v>
      </c>
      <c r="N920">
        <v>115.44499999999999</v>
      </c>
      <c r="O920" s="27">
        <v>42752</v>
      </c>
      <c r="P920">
        <v>107.414</v>
      </c>
    </row>
    <row r="921" spans="3:16">
      <c r="C921" s="27">
        <v>41957</v>
      </c>
      <c r="D921">
        <v>3.7050999999999998</v>
      </c>
      <c r="G921" s="27">
        <v>44509</v>
      </c>
      <c r="H921">
        <v>107.428</v>
      </c>
      <c r="M921" s="27">
        <v>43133</v>
      </c>
      <c r="N921">
        <v>115.119</v>
      </c>
      <c r="O921" s="27">
        <v>42753</v>
      </c>
      <c r="P921">
        <v>107.376</v>
      </c>
    </row>
    <row r="922" spans="3:16">
      <c r="C922" s="27">
        <v>41960</v>
      </c>
      <c r="D922">
        <v>3.6871</v>
      </c>
      <c r="G922" s="27">
        <v>44510</v>
      </c>
      <c r="H922">
        <v>107.026</v>
      </c>
      <c r="M922" s="27">
        <v>43136</v>
      </c>
      <c r="N922">
        <v>115.191</v>
      </c>
      <c r="O922" s="27">
        <v>42754</v>
      </c>
      <c r="P922">
        <v>107.264</v>
      </c>
    </row>
    <row r="923" spans="3:16">
      <c r="C923" s="27">
        <v>41961</v>
      </c>
      <c r="D923">
        <v>3.6705000000000001</v>
      </c>
      <c r="G923" s="27">
        <v>44511</v>
      </c>
      <c r="H923">
        <v>106.91200000000001</v>
      </c>
      <c r="M923" s="27">
        <v>43137</v>
      </c>
      <c r="N923">
        <v>115.38800000000001</v>
      </c>
      <c r="O923" s="27">
        <v>42755</v>
      </c>
      <c r="P923">
        <v>107.224</v>
      </c>
    </row>
    <row r="924" spans="3:16">
      <c r="C924" s="27">
        <v>41962</v>
      </c>
      <c r="D924">
        <v>3.6503000000000001</v>
      </c>
      <c r="G924" s="27">
        <v>44512</v>
      </c>
      <c r="H924">
        <v>107.176</v>
      </c>
      <c r="M924" s="27">
        <v>43138</v>
      </c>
      <c r="N924">
        <v>115.45399999999999</v>
      </c>
      <c r="O924" s="27">
        <v>42758</v>
      </c>
      <c r="P924">
        <v>107.126</v>
      </c>
    </row>
    <row r="925" spans="3:16">
      <c r="C925" s="27">
        <v>41963</v>
      </c>
      <c r="D925">
        <v>3.6435</v>
      </c>
      <c r="G925" s="27">
        <v>44515</v>
      </c>
      <c r="H925">
        <v>106.742</v>
      </c>
      <c r="M925" s="27">
        <v>43139</v>
      </c>
      <c r="N925">
        <v>114.97499999999999</v>
      </c>
      <c r="O925" s="27">
        <v>42759</v>
      </c>
      <c r="P925">
        <v>107.196</v>
      </c>
    </row>
    <row r="926" spans="3:16">
      <c r="C926" s="27">
        <v>41964</v>
      </c>
      <c r="D926">
        <v>3.6400999999999999</v>
      </c>
      <c r="G926" s="27">
        <v>44516</v>
      </c>
      <c r="H926">
        <v>106.736</v>
      </c>
      <c r="M926" s="27">
        <v>43140</v>
      </c>
      <c r="N926">
        <v>114.923</v>
      </c>
      <c r="O926" s="27">
        <v>42760</v>
      </c>
      <c r="P926">
        <v>107.122</v>
      </c>
    </row>
    <row r="927" spans="3:16">
      <c r="C927" s="27">
        <v>41967</v>
      </c>
      <c r="D927">
        <v>3.6295000000000002</v>
      </c>
      <c r="G927" s="27">
        <v>44517</v>
      </c>
      <c r="H927">
        <v>106.538</v>
      </c>
      <c r="M927" s="27">
        <v>43143</v>
      </c>
      <c r="N927">
        <v>114.693</v>
      </c>
      <c r="O927" s="27">
        <v>42761</v>
      </c>
      <c r="P927">
        <v>107.047</v>
      </c>
    </row>
    <row r="928" spans="3:16">
      <c r="C928" s="27">
        <v>41968</v>
      </c>
      <c r="D928">
        <v>3.6116000000000001</v>
      </c>
      <c r="G928" s="27">
        <v>44518</v>
      </c>
      <c r="H928">
        <v>106.73</v>
      </c>
      <c r="M928" s="27">
        <v>43144</v>
      </c>
      <c r="N928">
        <v>114.70399999999999</v>
      </c>
      <c r="O928" s="27">
        <v>42762</v>
      </c>
      <c r="P928">
        <v>107.005</v>
      </c>
    </row>
    <row r="929" spans="3:16">
      <c r="C929" s="27">
        <v>41969</v>
      </c>
      <c r="D929">
        <v>3.5760999999999998</v>
      </c>
      <c r="G929" s="27">
        <v>44519</v>
      </c>
      <c r="H929">
        <v>107.223</v>
      </c>
      <c r="M929" s="27">
        <v>43145</v>
      </c>
      <c r="N929">
        <v>114.548</v>
      </c>
      <c r="O929" s="27">
        <v>42765</v>
      </c>
      <c r="P929">
        <v>107.012</v>
      </c>
    </row>
    <row r="930" spans="3:16">
      <c r="C930" s="27">
        <v>41970</v>
      </c>
      <c r="D930">
        <v>3.5948000000000002</v>
      </c>
      <c r="G930" s="27">
        <v>44522</v>
      </c>
      <c r="H930">
        <v>106.878</v>
      </c>
      <c r="M930" s="27">
        <v>43146</v>
      </c>
      <c r="N930">
        <v>114.431</v>
      </c>
      <c r="O930" s="27">
        <v>42766</v>
      </c>
      <c r="P930">
        <v>107.054</v>
      </c>
    </row>
    <row r="931" spans="3:16">
      <c r="C931" s="27">
        <v>41971</v>
      </c>
      <c r="D931">
        <v>3.5630999999999999</v>
      </c>
      <c r="G931" s="27">
        <v>44523</v>
      </c>
      <c r="H931">
        <v>106.321</v>
      </c>
      <c r="M931" s="27">
        <v>43147</v>
      </c>
      <c r="N931">
        <v>114.502</v>
      </c>
      <c r="O931" s="27">
        <v>42767</v>
      </c>
      <c r="P931">
        <v>107.114</v>
      </c>
    </row>
    <row r="932" spans="3:16">
      <c r="C932" s="27">
        <v>41974</v>
      </c>
      <c r="D932">
        <v>3.5350000000000001</v>
      </c>
      <c r="G932" s="27">
        <v>44524</v>
      </c>
      <c r="H932">
        <v>106.21</v>
      </c>
      <c r="M932" s="27">
        <v>43150</v>
      </c>
      <c r="N932">
        <v>114.471</v>
      </c>
      <c r="O932" s="27">
        <v>42768</v>
      </c>
      <c r="P932">
        <v>107.131</v>
      </c>
    </row>
    <row r="933" spans="3:16">
      <c r="C933" s="27">
        <v>41975</v>
      </c>
      <c r="D933">
        <v>3.5722</v>
      </c>
      <c r="G933" s="27">
        <v>44525</v>
      </c>
      <c r="H933">
        <v>106.22</v>
      </c>
      <c r="M933" s="27">
        <v>43151</v>
      </c>
      <c r="N933">
        <v>114.47199999999999</v>
      </c>
      <c r="O933" s="27">
        <v>42769</v>
      </c>
      <c r="P933">
        <v>107.206</v>
      </c>
    </row>
    <row r="934" spans="3:16">
      <c r="C934" s="27">
        <v>41976</v>
      </c>
      <c r="D934">
        <v>3.5070999999999999</v>
      </c>
      <c r="G934" s="27">
        <v>44526</v>
      </c>
      <c r="H934">
        <v>106.43899999999999</v>
      </c>
      <c r="M934" s="27">
        <v>43152</v>
      </c>
      <c r="N934">
        <v>114.497</v>
      </c>
      <c r="O934" s="27">
        <v>42772</v>
      </c>
      <c r="P934">
        <v>107.235</v>
      </c>
    </row>
    <row r="935" spans="3:16">
      <c r="C935" s="27">
        <v>41977</v>
      </c>
      <c r="D935">
        <v>3.4786999999999999</v>
      </c>
      <c r="G935" s="27">
        <v>44529</v>
      </c>
      <c r="H935">
        <v>106.276</v>
      </c>
      <c r="M935" s="27">
        <v>43153</v>
      </c>
      <c r="N935">
        <v>114.571</v>
      </c>
      <c r="O935" s="27">
        <v>42773</v>
      </c>
      <c r="P935">
        <v>107.408</v>
      </c>
    </row>
    <row r="936" spans="3:16">
      <c r="C936" s="27">
        <v>41978</v>
      </c>
      <c r="D936">
        <v>3.431</v>
      </c>
      <c r="G936" s="27">
        <v>44530</v>
      </c>
      <c r="H936">
        <v>106.5</v>
      </c>
      <c r="M936" s="27">
        <v>43154</v>
      </c>
      <c r="N936">
        <v>114.63500000000001</v>
      </c>
      <c r="O936" s="27">
        <v>42774</v>
      </c>
      <c r="P936">
        <v>107.414</v>
      </c>
    </row>
    <row r="937" spans="3:16">
      <c r="C937" s="27">
        <v>41981</v>
      </c>
      <c r="D937">
        <v>3.4510000000000001</v>
      </c>
      <c r="G937" s="27">
        <v>44531</v>
      </c>
      <c r="H937">
        <v>106.696</v>
      </c>
      <c r="M937" s="27">
        <v>43157</v>
      </c>
      <c r="N937">
        <v>114.881</v>
      </c>
      <c r="O937" s="27">
        <v>42775</v>
      </c>
      <c r="P937">
        <v>107.50700000000001</v>
      </c>
    </row>
    <row r="938" spans="3:16">
      <c r="C938" s="27">
        <v>41982</v>
      </c>
      <c r="D938">
        <v>3.4117999999999999</v>
      </c>
      <c r="G938" s="27">
        <v>44532</v>
      </c>
      <c r="H938">
        <v>106.97499999999999</v>
      </c>
      <c r="M938" s="27">
        <v>43158</v>
      </c>
      <c r="N938">
        <v>114.696</v>
      </c>
      <c r="O938" s="27">
        <v>42776</v>
      </c>
      <c r="P938">
        <v>107.414</v>
      </c>
    </row>
    <row r="939" spans="3:16">
      <c r="C939" s="27">
        <v>41983</v>
      </c>
      <c r="D939">
        <v>3.3963999999999999</v>
      </c>
      <c r="G939" s="27">
        <v>44533</v>
      </c>
      <c r="H939">
        <v>107.185</v>
      </c>
      <c r="M939" s="27">
        <v>43159</v>
      </c>
      <c r="N939">
        <v>114.04600000000001</v>
      </c>
      <c r="O939" s="27">
        <v>42779</v>
      </c>
      <c r="P939">
        <v>107.45399999999999</v>
      </c>
    </row>
    <row r="940" spans="3:16">
      <c r="C940" s="27">
        <v>41984</v>
      </c>
      <c r="D940">
        <v>3.3872</v>
      </c>
      <c r="G940" s="27">
        <v>44536</v>
      </c>
      <c r="H940">
        <v>107.25</v>
      </c>
      <c r="M940" s="27">
        <v>43160</v>
      </c>
      <c r="N940">
        <v>114.188</v>
      </c>
      <c r="O940" s="27">
        <v>42780</v>
      </c>
      <c r="P940">
        <v>107.43600000000001</v>
      </c>
    </row>
    <row r="941" spans="3:16">
      <c r="C941" s="27">
        <v>41985</v>
      </c>
      <c r="D941">
        <v>3.4287000000000001</v>
      </c>
      <c r="G941" s="27">
        <v>44537</v>
      </c>
      <c r="H941">
        <v>107.242</v>
      </c>
      <c r="M941" s="27">
        <v>43161</v>
      </c>
      <c r="N941">
        <v>114.176</v>
      </c>
      <c r="O941" s="27">
        <v>42781</v>
      </c>
      <c r="P941">
        <v>107.419</v>
      </c>
    </row>
    <row r="942" spans="3:16">
      <c r="C942" s="27">
        <v>41988</v>
      </c>
      <c r="D942">
        <v>3.4034</v>
      </c>
      <c r="G942" s="27">
        <v>44538</v>
      </c>
      <c r="H942">
        <v>106.836</v>
      </c>
      <c r="M942" s="27">
        <v>43164</v>
      </c>
      <c r="N942">
        <v>114.188</v>
      </c>
      <c r="O942" s="27">
        <v>42782</v>
      </c>
      <c r="P942">
        <v>107.39700000000001</v>
      </c>
    </row>
    <row r="943" spans="3:16">
      <c r="C943" s="27">
        <v>41989</v>
      </c>
      <c r="D943">
        <v>3.4108000000000001</v>
      </c>
      <c r="G943" s="27">
        <v>44539</v>
      </c>
      <c r="H943">
        <v>107.19199999999999</v>
      </c>
      <c r="M943" s="27">
        <v>43165</v>
      </c>
      <c r="N943">
        <v>113.79600000000001</v>
      </c>
      <c r="O943" s="27">
        <v>42783</v>
      </c>
      <c r="P943">
        <v>107.348</v>
      </c>
    </row>
    <row r="944" spans="3:16">
      <c r="C944" s="27">
        <v>41990</v>
      </c>
      <c r="D944">
        <v>3.3862999999999999</v>
      </c>
      <c r="G944" s="27">
        <v>44540</v>
      </c>
      <c r="H944">
        <v>107.143</v>
      </c>
      <c r="M944" s="27">
        <v>43166</v>
      </c>
      <c r="N944">
        <v>113.813</v>
      </c>
      <c r="O944" s="27">
        <v>42786</v>
      </c>
      <c r="P944">
        <v>107.485</v>
      </c>
    </row>
    <row r="945" spans="3:16">
      <c r="C945" s="27">
        <v>41991</v>
      </c>
      <c r="D945">
        <v>3.3900999999999999</v>
      </c>
      <c r="G945" s="27">
        <v>44543</v>
      </c>
      <c r="H945">
        <v>107.43300000000001</v>
      </c>
      <c r="M945" s="27">
        <v>43167</v>
      </c>
      <c r="N945">
        <v>112.502</v>
      </c>
      <c r="O945" s="27">
        <v>42787</v>
      </c>
      <c r="P945">
        <v>107.556</v>
      </c>
    </row>
    <row r="946" spans="3:16">
      <c r="C946" s="27">
        <v>41992</v>
      </c>
      <c r="D946">
        <v>3.4243999999999999</v>
      </c>
      <c r="G946" s="27">
        <v>44544</v>
      </c>
      <c r="H946">
        <v>107.336</v>
      </c>
      <c r="M946" s="27">
        <v>43168</v>
      </c>
      <c r="N946">
        <v>111.729</v>
      </c>
      <c r="O946" s="27">
        <v>42788</v>
      </c>
      <c r="P946">
        <v>107.596</v>
      </c>
    </row>
    <row r="947" spans="3:16">
      <c r="C947" s="27">
        <v>41995</v>
      </c>
      <c r="D947">
        <v>3.3910999999999998</v>
      </c>
      <c r="G947" s="27">
        <v>44545</v>
      </c>
      <c r="H947">
        <v>107.279</v>
      </c>
      <c r="M947" s="27">
        <v>43171</v>
      </c>
      <c r="N947">
        <v>111.55200000000001</v>
      </c>
      <c r="O947" s="27">
        <v>42789</v>
      </c>
      <c r="P947">
        <v>107.699</v>
      </c>
    </row>
    <row r="948" spans="3:16">
      <c r="C948" s="27">
        <v>41996</v>
      </c>
      <c r="D948">
        <v>3.3963999999999999</v>
      </c>
      <c r="G948" s="27">
        <v>44546</v>
      </c>
      <c r="H948">
        <v>107.246</v>
      </c>
      <c r="M948" s="27">
        <v>43172</v>
      </c>
      <c r="N948">
        <v>111.294</v>
      </c>
      <c r="O948" s="27">
        <v>42790</v>
      </c>
      <c r="P948">
        <v>107.791</v>
      </c>
    </row>
    <row r="949" spans="3:16">
      <c r="C949" s="27">
        <v>41997</v>
      </c>
      <c r="D949">
        <v>3.4079000000000002</v>
      </c>
      <c r="G949" s="27">
        <v>44547</v>
      </c>
      <c r="H949">
        <v>107.471</v>
      </c>
      <c r="M949" s="27">
        <v>43173</v>
      </c>
      <c r="N949">
        <v>111.601</v>
      </c>
      <c r="O949" s="27">
        <v>42793</v>
      </c>
      <c r="P949">
        <v>107.901</v>
      </c>
    </row>
    <row r="950" spans="3:16">
      <c r="C950" s="27">
        <v>41998</v>
      </c>
      <c r="D950">
        <v>3.4087999999999998</v>
      </c>
      <c r="G950" s="27">
        <v>44550</v>
      </c>
      <c r="H950">
        <v>107.404</v>
      </c>
      <c r="M950" s="27">
        <v>43174</v>
      </c>
      <c r="N950">
        <v>111.75</v>
      </c>
      <c r="O950" s="27">
        <v>42794</v>
      </c>
      <c r="P950">
        <v>107.81699999999999</v>
      </c>
    </row>
    <row r="951" spans="3:16">
      <c r="C951" s="27">
        <v>41999</v>
      </c>
      <c r="D951">
        <v>3.4348000000000001</v>
      </c>
      <c r="G951" s="27">
        <v>44551</v>
      </c>
      <c r="H951">
        <v>106.941</v>
      </c>
      <c r="M951" s="27">
        <v>43175</v>
      </c>
      <c r="N951">
        <v>112.003</v>
      </c>
      <c r="O951" s="27">
        <v>42795</v>
      </c>
      <c r="P951">
        <v>107.721</v>
      </c>
    </row>
    <row r="952" spans="3:16">
      <c r="C952" s="27">
        <v>42002</v>
      </c>
      <c r="D952">
        <v>3.3980000000000001</v>
      </c>
      <c r="G952" s="27">
        <v>44552</v>
      </c>
      <c r="H952">
        <v>106.846</v>
      </c>
      <c r="M952" s="27">
        <v>43178</v>
      </c>
      <c r="N952">
        <v>112.15</v>
      </c>
      <c r="O952" s="27">
        <v>42796</v>
      </c>
      <c r="P952">
        <v>107.491</v>
      </c>
    </row>
    <row r="953" spans="3:16">
      <c r="C953" s="27">
        <v>42003</v>
      </c>
      <c r="D953">
        <v>3.3544999999999998</v>
      </c>
      <c r="G953" s="27">
        <v>44553</v>
      </c>
      <c r="H953">
        <v>106.566</v>
      </c>
      <c r="M953" s="27">
        <v>43179</v>
      </c>
      <c r="N953">
        <v>112.227</v>
      </c>
      <c r="O953" s="27">
        <v>42797</v>
      </c>
      <c r="P953">
        <v>107.456</v>
      </c>
    </row>
    <row r="954" spans="3:16">
      <c r="C954" s="27">
        <v>42004</v>
      </c>
      <c r="D954">
        <v>3.3403</v>
      </c>
      <c r="G954" s="27">
        <v>44554</v>
      </c>
      <c r="H954">
        <v>106.539</v>
      </c>
      <c r="M954" s="27">
        <v>43180</v>
      </c>
      <c r="N954">
        <v>112.102</v>
      </c>
      <c r="O954" s="27">
        <v>42800</v>
      </c>
      <c r="P954">
        <v>107.31100000000001</v>
      </c>
    </row>
    <row r="955" spans="3:16">
      <c r="C955" s="27">
        <v>42005</v>
      </c>
      <c r="D955">
        <v>3.3416999999999999</v>
      </c>
      <c r="G955" s="27">
        <v>44557</v>
      </c>
      <c r="H955">
        <v>106.494</v>
      </c>
      <c r="M955" s="27">
        <v>43181</v>
      </c>
      <c r="N955">
        <v>112.273</v>
      </c>
      <c r="O955" s="27">
        <v>42801</v>
      </c>
      <c r="P955">
        <v>107.349</v>
      </c>
    </row>
    <row r="956" spans="3:16">
      <c r="C956" s="27">
        <v>42006</v>
      </c>
      <c r="D956">
        <v>3.3744000000000001</v>
      </c>
      <c r="G956" s="27">
        <v>44558</v>
      </c>
      <c r="H956">
        <v>106.43300000000001</v>
      </c>
      <c r="M956" s="27">
        <v>43182</v>
      </c>
      <c r="N956">
        <v>112.36499999999999</v>
      </c>
      <c r="O956" s="27">
        <v>42802</v>
      </c>
      <c r="P956">
        <v>107.482</v>
      </c>
    </row>
    <row r="957" spans="3:16">
      <c r="C957" s="27">
        <v>42009</v>
      </c>
      <c r="D957">
        <v>3.3580000000000001</v>
      </c>
      <c r="G957" s="27">
        <v>44559</v>
      </c>
      <c r="H957">
        <v>106.075</v>
      </c>
      <c r="M957" s="27">
        <v>43185</v>
      </c>
      <c r="N957">
        <v>112.364</v>
      </c>
      <c r="O957" s="27">
        <v>42803</v>
      </c>
      <c r="P957">
        <v>107.358</v>
      </c>
    </row>
    <row r="958" spans="3:16">
      <c r="C958" s="27">
        <v>42010</v>
      </c>
      <c r="D958">
        <v>3.3679999999999999</v>
      </c>
      <c r="G958" s="27">
        <v>44560</v>
      </c>
      <c r="H958">
        <v>106.05200000000001</v>
      </c>
      <c r="M958" s="27">
        <v>43186</v>
      </c>
      <c r="N958">
        <v>110.605</v>
      </c>
      <c r="O958" s="27">
        <v>42804</v>
      </c>
      <c r="P958">
        <v>107.295</v>
      </c>
    </row>
    <row r="959" spans="3:16">
      <c r="C959" s="27">
        <v>42011</v>
      </c>
      <c r="D959">
        <v>3.3382000000000001</v>
      </c>
      <c r="G959" s="27">
        <v>44561</v>
      </c>
      <c r="H959">
        <v>105.985</v>
      </c>
      <c r="M959" s="27">
        <v>43187</v>
      </c>
      <c r="N959">
        <v>110.605</v>
      </c>
      <c r="O959" s="27">
        <v>42807</v>
      </c>
      <c r="P959">
        <v>107.11799999999999</v>
      </c>
    </row>
    <row r="960" spans="3:16">
      <c r="C960" s="27">
        <v>42012</v>
      </c>
      <c r="D960">
        <v>3.3816999999999999</v>
      </c>
      <c r="G960" s="27">
        <v>44564</v>
      </c>
      <c r="H960">
        <v>105.617</v>
      </c>
      <c r="M960" s="27">
        <v>43193</v>
      </c>
      <c r="N960">
        <v>110.505</v>
      </c>
      <c r="O960" s="27">
        <v>42808</v>
      </c>
      <c r="P960">
        <v>107.093</v>
      </c>
    </row>
    <row r="961" spans="3:16">
      <c r="C961" s="27">
        <v>42013</v>
      </c>
      <c r="D961">
        <v>3.3810000000000002</v>
      </c>
      <c r="G961" s="27">
        <v>44565</v>
      </c>
      <c r="H961">
        <v>105.652</v>
      </c>
      <c r="M961" s="27">
        <v>43194</v>
      </c>
      <c r="N961">
        <v>110.696</v>
      </c>
      <c r="O961" s="27">
        <v>42809</v>
      </c>
      <c r="P961">
        <v>107.16</v>
      </c>
    </row>
    <row r="962" spans="3:16">
      <c r="C962" s="27">
        <v>42016</v>
      </c>
      <c r="D962">
        <v>3.3799000000000001</v>
      </c>
      <c r="G962" s="27">
        <v>44566</v>
      </c>
      <c r="H962">
        <v>105.727</v>
      </c>
      <c r="M962" s="27">
        <v>43195</v>
      </c>
      <c r="N962">
        <v>110.608</v>
      </c>
      <c r="O962" s="27">
        <v>42810</v>
      </c>
      <c r="P962">
        <v>107.249</v>
      </c>
    </row>
    <row r="963" spans="3:16">
      <c r="C963" s="27">
        <v>42017</v>
      </c>
      <c r="D963">
        <v>3.3544999999999998</v>
      </c>
      <c r="G963" s="27">
        <v>44567</v>
      </c>
      <c r="H963">
        <v>105.501</v>
      </c>
      <c r="M963" s="27">
        <v>43196</v>
      </c>
      <c r="N963">
        <v>110.80200000000001</v>
      </c>
      <c r="O963" s="27">
        <v>42811</v>
      </c>
      <c r="P963">
        <v>107.066</v>
      </c>
    </row>
    <row r="964" spans="3:16">
      <c r="C964" s="27">
        <v>42018</v>
      </c>
      <c r="D964">
        <v>3.3601999999999999</v>
      </c>
      <c r="G964" s="27">
        <v>44568</v>
      </c>
      <c r="H964">
        <v>105.343</v>
      </c>
      <c r="M964" s="27">
        <v>43199</v>
      </c>
      <c r="N964">
        <v>110.84099999999999</v>
      </c>
      <c r="O964" s="27">
        <v>42814</v>
      </c>
      <c r="P964">
        <v>107.056</v>
      </c>
    </row>
    <row r="965" spans="3:16">
      <c r="C965" s="27">
        <v>42019</v>
      </c>
      <c r="D965">
        <v>3.4197000000000002</v>
      </c>
      <c r="G965" s="27">
        <v>44571</v>
      </c>
      <c r="H965">
        <v>105.23099999999999</v>
      </c>
      <c r="M965" s="27">
        <v>43200</v>
      </c>
      <c r="N965">
        <v>111.095</v>
      </c>
      <c r="O965" s="27">
        <v>42815</v>
      </c>
      <c r="P965">
        <v>107.077</v>
      </c>
    </row>
    <row r="966" spans="3:16">
      <c r="C966" s="27">
        <v>42020</v>
      </c>
      <c r="D966">
        <v>3.3580999999999999</v>
      </c>
      <c r="G966" s="27">
        <v>44572</v>
      </c>
      <c r="H966">
        <v>105.069</v>
      </c>
      <c r="M966" s="27">
        <v>43201</v>
      </c>
      <c r="N966">
        <v>111.054</v>
      </c>
      <c r="O966" s="27">
        <v>42816</v>
      </c>
      <c r="P966">
        <v>106.94199999999999</v>
      </c>
    </row>
    <row r="967" spans="3:16">
      <c r="C967" s="27">
        <v>42023</v>
      </c>
      <c r="D967">
        <v>3.4005999999999998</v>
      </c>
      <c r="G967" s="27">
        <v>44573</v>
      </c>
      <c r="H967">
        <v>105.283</v>
      </c>
      <c r="M967" s="27">
        <v>43202</v>
      </c>
      <c r="N967">
        <v>110.91</v>
      </c>
      <c r="O967" s="27">
        <v>42817</v>
      </c>
      <c r="P967">
        <v>107.05</v>
      </c>
    </row>
    <row r="968" spans="3:16">
      <c r="C968" s="27">
        <v>42024</v>
      </c>
      <c r="D968">
        <v>3.4083999999999999</v>
      </c>
      <c r="G968" s="27">
        <v>44574</v>
      </c>
      <c r="H968">
        <v>105.413</v>
      </c>
      <c r="M968" s="27">
        <v>43203</v>
      </c>
      <c r="N968">
        <v>110.739</v>
      </c>
      <c r="O968" s="27">
        <v>42818</v>
      </c>
      <c r="P968">
        <v>106.905</v>
      </c>
    </row>
    <row r="969" spans="3:16">
      <c r="C969" s="27">
        <v>42025</v>
      </c>
      <c r="D969">
        <v>3.3818000000000001</v>
      </c>
      <c r="G969" s="27">
        <v>44575</v>
      </c>
      <c r="H969">
        <v>104.92100000000001</v>
      </c>
      <c r="M969" s="27">
        <v>43206</v>
      </c>
      <c r="N969">
        <v>110.655</v>
      </c>
      <c r="O969" s="27">
        <v>42821</v>
      </c>
      <c r="P969">
        <v>106.923</v>
      </c>
    </row>
    <row r="970" spans="3:16">
      <c r="C970" s="27">
        <v>42026</v>
      </c>
      <c r="D970">
        <v>3.3304999999999998</v>
      </c>
      <c r="G970" s="27">
        <v>44578</v>
      </c>
      <c r="H970">
        <v>104.73399999999999</v>
      </c>
      <c r="M970" s="27">
        <v>43207</v>
      </c>
      <c r="N970">
        <v>110.57</v>
      </c>
      <c r="O970" s="27">
        <v>42822</v>
      </c>
      <c r="P970">
        <v>106.833</v>
      </c>
    </row>
    <row r="971" spans="3:16">
      <c r="C971" s="27">
        <v>42027</v>
      </c>
      <c r="D971">
        <v>3.3207</v>
      </c>
      <c r="G971" s="27">
        <v>44579</v>
      </c>
      <c r="H971">
        <v>104.63200000000001</v>
      </c>
      <c r="M971" s="27">
        <v>43208</v>
      </c>
      <c r="N971">
        <v>110.545</v>
      </c>
      <c r="O971" s="27">
        <v>42823</v>
      </c>
      <c r="P971">
        <v>106.866</v>
      </c>
    </row>
    <row r="972" spans="3:16">
      <c r="C972" s="27">
        <v>42030</v>
      </c>
      <c r="D972">
        <v>3.2797999999999998</v>
      </c>
      <c r="G972" s="27">
        <v>44580</v>
      </c>
      <c r="H972">
        <v>104.59</v>
      </c>
      <c r="M972" s="27">
        <v>43209</v>
      </c>
      <c r="N972">
        <v>110.084</v>
      </c>
      <c r="O972" s="27">
        <v>42824</v>
      </c>
      <c r="P972">
        <v>107.08</v>
      </c>
    </row>
    <row r="973" spans="3:16">
      <c r="C973" s="27">
        <v>42031</v>
      </c>
      <c r="D973">
        <v>3.3062</v>
      </c>
      <c r="G973" s="27">
        <v>44581</v>
      </c>
      <c r="H973">
        <v>104.699</v>
      </c>
      <c r="M973" s="27">
        <v>43210</v>
      </c>
      <c r="N973">
        <v>110.065</v>
      </c>
      <c r="O973" s="27">
        <v>42825</v>
      </c>
      <c r="P973">
        <v>107.06399999999999</v>
      </c>
    </row>
    <row r="974" spans="3:16">
      <c r="C974" s="27">
        <v>42032</v>
      </c>
      <c r="D974">
        <v>3.3685999999999998</v>
      </c>
      <c r="G974" s="27">
        <v>44582</v>
      </c>
      <c r="H974">
        <v>104.986</v>
      </c>
      <c r="M974" s="27">
        <v>43213</v>
      </c>
      <c r="N974">
        <v>109.892</v>
      </c>
      <c r="O974" s="27">
        <v>42828</v>
      </c>
      <c r="P974">
        <v>107.084</v>
      </c>
    </row>
    <row r="975" spans="3:16">
      <c r="C975" s="27">
        <v>42033</v>
      </c>
      <c r="D975">
        <v>3.2094</v>
      </c>
      <c r="G975" s="27">
        <v>44585</v>
      </c>
      <c r="H975">
        <v>105.226</v>
      </c>
      <c r="M975" s="27">
        <v>43214</v>
      </c>
      <c r="N975">
        <v>109.773</v>
      </c>
      <c r="O975" s="27">
        <v>42829</v>
      </c>
      <c r="P975">
        <v>107.307</v>
      </c>
    </row>
    <row r="976" spans="3:16">
      <c r="C976" s="27">
        <v>42034</v>
      </c>
      <c r="D976">
        <v>3.1764000000000001</v>
      </c>
      <c r="G976" s="27">
        <v>44586</v>
      </c>
      <c r="H976">
        <v>104.941</v>
      </c>
      <c r="M976" s="27">
        <v>43215</v>
      </c>
      <c r="N976">
        <v>109.748</v>
      </c>
      <c r="O976" s="27">
        <v>42830</v>
      </c>
      <c r="P976">
        <v>107.26600000000001</v>
      </c>
    </row>
    <row r="977" spans="3:16">
      <c r="C977" s="27">
        <v>42037</v>
      </c>
      <c r="D977">
        <v>3.1970000000000001</v>
      </c>
      <c r="G977" s="27">
        <v>44587</v>
      </c>
      <c r="H977">
        <v>104.937</v>
      </c>
      <c r="M977" s="27">
        <v>43216</v>
      </c>
      <c r="N977">
        <v>109.89</v>
      </c>
      <c r="O977" s="27">
        <v>42831</v>
      </c>
      <c r="P977">
        <v>107.325</v>
      </c>
    </row>
    <row r="978" spans="3:16">
      <c r="C978" s="27">
        <v>42038</v>
      </c>
      <c r="D978">
        <v>3.0596999999999999</v>
      </c>
      <c r="G978" s="27">
        <v>44588</v>
      </c>
      <c r="H978">
        <v>104.738</v>
      </c>
      <c r="M978" s="27">
        <v>43217</v>
      </c>
      <c r="N978">
        <v>109.94799999999999</v>
      </c>
      <c r="O978" s="27">
        <v>42832</v>
      </c>
      <c r="P978">
        <v>107.286</v>
      </c>
    </row>
    <row r="979" spans="3:16">
      <c r="C979" s="27">
        <v>42039</v>
      </c>
      <c r="D979">
        <v>3.1438999999999999</v>
      </c>
      <c r="G979" s="27">
        <v>44589</v>
      </c>
      <c r="H979">
        <v>104.50700000000001</v>
      </c>
      <c r="M979" s="27">
        <v>43220</v>
      </c>
      <c r="N979">
        <v>110.02</v>
      </c>
      <c r="O979" s="27">
        <v>42835</v>
      </c>
      <c r="P979">
        <v>107.375</v>
      </c>
    </row>
    <row r="980" spans="3:16">
      <c r="C980" s="27">
        <v>42040</v>
      </c>
      <c r="D980">
        <v>3.12</v>
      </c>
      <c r="G980" s="27">
        <v>44592</v>
      </c>
      <c r="H980">
        <v>103.991</v>
      </c>
      <c r="M980" s="27">
        <v>43222</v>
      </c>
      <c r="N980">
        <v>110.02500000000001</v>
      </c>
      <c r="O980" s="27">
        <v>42836</v>
      </c>
      <c r="P980">
        <v>107.456</v>
      </c>
    </row>
    <row r="981" spans="3:16">
      <c r="C981" s="27">
        <v>42041</v>
      </c>
      <c r="D981">
        <v>3.1394000000000002</v>
      </c>
      <c r="G981" s="27">
        <v>44593</v>
      </c>
      <c r="H981">
        <v>103.85899999999999</v>
      </c>
      <c r="M981" s="27">
        <v>43223</v>
      </c>
      <c r="N981">
        <v>110.095</v>
      </c>
      <c r="O981" s="27">
        <v>42837</v>
      </c>
      <c r="P981">
        <v>107.46899999999999</v>
      </c>
    </row>
    <row r="982" spans="3:16">
      <c r="C982" s="27">
        <v>42044</v>
      </c>
      <c r="D982">
        <v>3.1555</v>
      </c>
      <c r="G982" s="27">
        <v>44594</v>
      </c>
      <c r="H982">
        <v>103.833</v>
      </c>
      <c r="M982" s="27">
        <v>43224</v>
      </c>
      <c r="N982">
        <v>110.18899999999999</v>
      </c>
      <c r="O982" s="27">
        <v>42838</v>
      </c>
      <c r="P982">
        <v>107.485</v>
      </c>
    </row>
    <row r="983" spans="3:16">
      <c r="C983" s="27">
        <v>42045</v>
      </c>
      <c r="D983">
        <v>3.1423999999999999</v>
      </c>
      <c r="G983" s="27">
        <v>44595</v>
      </c>
      <c r="H983">
        <v>102.902</v>
      </c>
      <c r="M983" s="27">
        <v>43227</v>
      </c>
      <c r="N983">
        <v>110.209</v>
      </c>
      <c r="O983" s="27">
        <v>42843</v>
      </c>
      <c r="P983">
        <v>107.52800000000001</v>
      </c>
    </row>
    <row r="984" spans="3:16">
      <c r="C984" s="27">
        <v>42046</v>
      </c>
      <c r="D984">
        <v>3.1294</v>
      </c>
      <c r="G984" s="27">
        <v>44596</v>
      </c>
      <c r="H984">
        <v>102.074</v>
      </c>
      <c r="M984" s="27">
        <v>43228</v>
      </c>
      <c r="N984">
        <v>110.172</v>
      </c>
      <c r="O984" s="27">
        <v>42844</v>
      </c>
      <c r="P984">
        <v>107.486</v>
      </c>
    </row>
    <row r="985" spans="3:16">
      <c r="C985" s="27">
        <v>42047</v>
      </c>
      <c r="D985">
        <v>3.0606</v>
      </c>
      <c r="G985" s="27">
        <v>44599</v>
      </c>
      <c r="H985">
        <v>101.57299999999999</v>
      </c>
      <c r="M985" s="27">
        <v>43229</v>
      </c>
      <c r="N985">
        <v>110.164</v>
      </c>
      <c r="O985" s="27">
        <v>42845</v>
      </c>
      <c r="P985">
        <v>107.34399999999999</v>
      </c>
    </row>
    <row r="986" spans="3:16">
      <c r="C986" s="27">
        <v>42048</v>
      </c>
      <c r="D986">
        <v>3.0518999999999998</v>
      </c>
      <c r="G986" s="27">
        <v>44600</v>
      </c>
      <c r="H986">
        <v>101.32899999999999</v>
      </c>
      <c r="M986" s="27">
        <v>43231</v>
      </c>
      <c r="N986">
        <v>110.074</v>
      </c>
      <c r="O986" s="27">
        <v>42846</v>
      </c>
      <c r="P986">
        <v>107.251</v>
      </c>
    </row>
    <row r="987" spans="3:16">
      <c r="C987" s="27">
        <v>42051</v>
      </c>
      <c r="D987">
        <v>3.0596000000000001</v>
      </c>
      <c r="G987" s="27">
        <v>44601</v>
      </c>
      <c r="H987">
        <v>101.822</v>
      </c>
      <c r="M987" s="27">
        <v>43234</v>
      </c>
      <c r="N987">
        <v>109.86</v>
      </c>
      <c r="O987" s="27">
        <v>42849</v>
      </c>
      <c r="P987">
        <v>106.886</v>
      </c>
    </row>
    <row r="988" spans="3:16">
      <c r="C988" s="27">
        <v>42052</v>
      </c>
      <c r="D988">
        <v>3.0550999999999999</v>
      </c>
      <c r="G988" s="27">
        <v>44602</v>
      </c>
      <c r="H988">
        <v>101.24299999999999</v>
      </c>
      <c r="M988" s="27">
        <v>43235</v>
      </c>
      <c r="N988">
        <v>109.568</v>
      </c>
      <c r="O988" s="27">
        <v>42850</v>
      </c>
      <c r="P988">
        <v>106.947</v>
      </c>
    </row>
    <row r="989" spans="3:16">
      <c r="C989" s="27">
        <v>42053</v>
      </c>
      <c r="D989">
        <v>3.0647000000000002</v>
      </c>
      <c r="G989" s="27">
        <v>44603</v>
      </c>
      <c r="H989">
        <v>101.07599999999999</v>
      </c>
      <c r="M989" s="27">
        <v>43236</v>
      </c>
      <c r="N989">
        <v>109.65300000000001</v>
      </c>
      <c r="O989" s="27">
        <v>42851</v>
      </c>
      <c r="P989">
        <v>106.90300000000001</v>
      </c>
    </row>
    <row r="990" spans="3:16">
      <c r="C990" s="27">
        <v>42054</v>
      </c>
      <c r="D990">
        <v>3.0232000000000001</v>
      </c>
      <c r="G990" s="27">
        <v>44606</v>
      </c>
      <c r="H990">
        <v>100.976</v>
      </c>
      <c r="M990" s="27">
        <v>43238</v>
      </c>
      <c r="N990">
        <v>109.66200000000001</v>
      </c>
      <c r="O990" s="27">
        <v>42852</v>
      </c>
      <c r="P990">
        <v>106.928</v>
      </c>
    </row>
    <row r="991" spans="3:16">
      <c r="C991" s="27">
        <v>42055</v>
      </c>
      <c r="D991">
        <v>3.0312999999999999</v>
      </c>
      <c r="G991" s="27">
        <v>44607</v>
      </c>
      <c r="H991">
        <v>100.843</v>
      </c>
      <c r="M991" s="27">
        <v>43242</v>
      </c>
      <c r="N991">
        <v>109.703</v>
      </c>
      <c r="O991" s="27">
        <v>42853</v>
      </c>
      <c r="P991">
        <v>107.131</v>
      </c>
    </row>
    <row r="992" spans="3:16">
      <c r="C992" s="27">
        <v>42058</v>
      </c>
      <c r="D992">
        <v>3.0411999999999999</v>
      </c>
      <c r="G992" s="27">
        <v>44608</v>
      </c>
      <c r="H992">
        <v>100.999</v>
      </c>
      <c r="M992" s="27">
        <v>43243</v>
      </c>
      <c r="N992">
        <v>110.059</v>
      </c>
      <c r="O992" s="27">
        <v>42857</v>
      </c>
      <c r="P992">
        <v>107.151</v>
      </c>
    </row>
    <row r="993" spans="3:16">
      <c r="C993" s="27">
        <v>42059</v>
      </c>
      <c r="D993">
        <v>3.0407999999999999</v>
      </c>
      <c r="G993" s="27">
        <v>44609</v>
      </c>
      <c r="H993">
        <v>101.33199999999999</v>
      </c>
      <c r="M993" s="27">
        <v>43244</v>
      </c>
      <c r="N993">
        <v>110.28700000000001</v>
      </c>
      <c r="O993" s="27">
        <v>42858</v>
      </c>
      <c r="P993">
        <v>107.086</v>
      </c>
    </row>
    <row r="994" spans="3:16">
      <c r="C994" s="27">
        <v>42060</v>
      </c>
      <c r="D994">
        <v>3.0341</v>
      </c>
      <c r="G994" s="27">
        <v>44610</v>
      </c>
      <c r="H994">
        <v>101.54900000000001</v>
      </c>
      <c r="M994" s="27">
        <v>43245</v>
      </c>
      <c r="N994">
        <v>110.663</v>
      </c>
      <c r="O994" s="27">
        <v>42859</v>
      </c>
      <c r="P994">
        <v>107.04300000000001</v>
      </c>
    </row>
    <row r="995" spans="3:16">
      <c r="C995" s="27">
        <v>42061</v>
      </c>
      <c r="D995">
        <v>2.9895</v>
      </c>
      <c r="G995" s="27">
        <v>44613</v>
      </c>
      <c r="H995">
        <v>101.328</v>
      </c>
      <c r="M995" s="27">
        <v>43248</v>
      </c>
      <c r="N995">
        <v>110.654</v>
      </c>
      <c r="O995" s="27">
        <v>42860</v>
      </c>
      <c r="P995">
        <v>106.99299999999999</v>
      </c>
    </row>
    <row r="996" spans="3:16">
      <c r="C996" s="27">
        <v>42062</v>
      </c>
      <c r="D996">
        <v>2.9653999999999998</v>
      </c>
      <c r="G996" s="27">
        <v>44614</v>
      </c>
      <c r="H996">
        <v>100.64400000000001</v>
      </c>
      <c r="M996" s="27">
        <v>43249</v>
      </c>
      <c r="N996">
        <v>111.134</v>
      </c>
      <c r="O996" s="27">
        <v>42863</v>
      </c>
      <c r="P996">
        <v>106.92700000000001</v>
      </c>
    </row>
    <row r="997" spans="3:16">
      <c r="C997" s="27">
        <v>42065</v>
      </c>
      <c r="D997">
        <v>2.9704999999999999</v>
      </c>
      <c r="G997" s="27">
        <v>44615</v>
      </c>
      <c r="H997">
        <v>100.761</v>
      </c>
      <c r="M997" s="27">
        <v>43250</v>
      </c>
      <c r="N997">
        <v>111.084</v>
      </c>
      <c r="O997" s="27">
        <v>42864</v>
      </c>
      <c r="P997">
        <v>106.842</v>
      </c>
    </row>
    <row r="998" spans="3:16">
      <c r="C998" s="27">
        <v>42066</v>
      </c>
      <c r="D998">
        <v>3.0135999999999998</v>
      </c>
      <c r="G998" s="27">
        <v>44616</v>
      </c>
      <c r="H998">
        <v>100.624</v>
      </c>
      <c r="M998" s="27">
        <v>43251</v>
      </c>
      <c r="N998">
        <v>111.078</v>
      </c>
      <c r="O998" s="27">
        <v>42865</v>
      </c>
      <c r="P998">
        <v>106.88500000000001</v>
      </c>
    </row>
    <row r="999" spans="3:16">
      <c r="C999" s="27">
        <v>42067</v>
      </c>
      <c r="D999">
        <v>3.0385</v>
      </c>
      <c r="G999" s="27">
        <v>44617</v>
      </c>
      <c r="H999">
        <v>100.351</v>
      </c>
      <c r="M999" s="27">
        <v>43252</v>
      </c>
      <c r="N999">
        <v>110.887</v>
      </c>
      <c r="O999" s="27">
        <v>42866</v>
      </c>
      <c r="P999">
        <v>106.84</v>
      </c>
    </row>
    <row r="1000" spans="3:16">
      <c r="C1000" s="27">
        <v>42068</v>
      </c>
      <c r="D1000">
        <v>3.0415999999999999</v>
      </c>
      <c r="G1000" s="27">
        <v>44620</v>
      </c>
      <c r="H1000">
        <v>100.997</v>
      </c>
      <c r="M1000" s="27">
        <v>43255</v>
      </c>
      <c r="N1000">
        <v>110.858</v>
      </c>
      <c r="O1000" s="27">
        <v>42867</v>
      </c>
      <c r="P1000">
        <v>106.86199999999999</v>
      </c>
    </row>
    <row r="1001" spans="3:16">
      <c r="C1001" s="27">
        <v>42069</v>
      </c>
      <c r="D1001">
        <v>3.0398999999999998</v>
      </c>
      <c r="G1001" s="27">
        <v>44621</v>
      </c>
      <c r="H1001">
        <v>102.51900000000001</v>
      </c>
      <c r="M1001" s="27">
        <v>43256</v>
      </c>
      <c r="N1001">
        <v>110.99</v>
      </c>
      <c r="O1001" s="27">
        <v>42870</v>
      </c>
      <c r="P1001">
        <v>106.911</v>
      </c>
    </row>
    <row r="1002" spans="3:16">
      <c r="C1002" s="27">
        <v>42072</v>
      </c>
      <c r="D1002">
        <v>3.0861000000000001</v>
      </c>
      <c r="M1002" s="27">
        <v>43257</v>
      </c>
      <c r="N1002">
        <v>110.643</v>
      </c>
      <c r="O1002" s="27">
        <v>42871</v>
      </c>
      <c r="P1002">
        <v>106.884</v>
      </c>
    </row>
    <row r="1003" spans="3:16">
      <c r="C1003" s="27">
        <v>42073</v>
      </c>
      <c r="D1003">
        <v>3.0685000000000002</v>
      </c>
      <c r="M1003" s="27">
        <v>43258</v>
      </c>
      <c r="N1003">
        <v>110.47499999999999</v>
      </c>
      <c r="O1003" s="27">
        <v>42872</v>
      </c>
      <c r="P1003">
        <v>106.878</v>
      </c>
    </row>
    <row r="1004" spans="3:16">
      <c r="C1004" s="27">
        <v>42074</v>
      </c>
      <c r="D1004">
        <v>3.0428000000000002</v>
      </c>
      <c r="M1004" s="27">
        <v>43259</v>
      </c>
      <c r="N1004">
        <v>110.90300000000001</v>
      </c>
      <c r="O1004" s="27">
        <v>42873</v>
      </c>
      <c r="P1004">
        <v>106.91800000000001</v>
      </c>
    </row>
    <row r="1005" spans="3:16">
      <c r="C1005" s="27">
        <v>42075</v>
      </c>
      <c r="D1005">
        <v>3.0225</v>
      </c>
      <c r="M1005" s="27">
        <v>43262</v>
      </c>
      <c r="N1005">
        <v>110.776</v>
      </c>
      <c r="O1005" s="27">
        <v>42874</v>
      </c>
      <c r="P1005">
        <v>106.92</v>
      </c>
    </row>
    <row r="1006" spans="3:16">
      <c r="C1006" s="27">
        <v>42076</v>
      </c>
      <c r="D1006">
        <v>3.0482</v>
      </c>
      <c r="M1006" s="27">
        <v>43263</v>
      </c>
      <c r="N1006">
        <v>110.687</v>
      </c>
      <c r="O1006" s="27">
        <v>42877</v>
      </c>
      <c r="P1006">
        <v>106.89100000000001</v>
      </c>
    </row>
    <row r="1007" spans="3:16">
      <c r="C1007" s="27">
        <v>42079</v>
      </c>
      <c r="D1007">
        <v>3.0070999999999999</v>
      </c>
      <c r="M1007" s="27">
        <v>43264</v>
      </c>
      <c r="N1007">
        <v>110.84699999999999</v>
      </c>
      <c r="O1007" s="27">
        <v>42878</v>
      </c>
      <c r="P1007">
        <v>106.887</v>
      </c>
    </row>
    <row r="1008" spans="3:16">
      <c r="C1008" s="27">
        <v>42080</v>
      </c>
      <c r="D1008">
        <v>3.0371999999999999</v>
      </c>
      <c r="M1008" s="27">
        <v>43265</v>
      </c>
      <c r="N1008">
        <v>111.077</v>
      </c>
      <c r="O1008" s="27">
        <v>42879</v>
      </c>
      <c r="P1008">
        <v>106.774</v>
      </c>
    </row>
    <row r="1009" spans="3:16">
      <c r="C1009" s="27">
        <v>42081</v>
      </c>
      <c r="D1009">
        <v>3.0188999999999999</v>
      </c>
      <c r="M1009" s="27">
        <v>43266</v>
      </c>
      <c r="N1009">
        <v>111.283</v>
      </c>
      <c r="O1009" s="27">
        <v>42880</v>
      </c>
      <c r="P1009">
        <v>106.851</v>
      </c>
    </row>
    <row r="1010" spans="3:16">
      <c r="C1010" s="27">
        <v>42082</v>
      </c>
      <c r="D1010">
        <v>2.9714</v>
      </c>
      <c r="M1010" s="27">
        <v>43269</v>
      </c>
      <c r="N1010">
        <v>111.48399999999999</v>
      </c>
      <c r="O1010" s="27">
        <v>42881</v>
      </c>
      <c r="P1010">
        <v>106.88500000000001</v>
      </c>
    </row>
    <row r="1011" spans="3:16">
      <c r="C1011" s="27">
        <v>42083</v>
      </c>
      <c r="D1011">
        <v>2.9641000000000002</v>
      </c>
      <c r="M1011" s="27">
        <v>43270</v>
      </c>
      <c r="N1011">
        <v>111.798</v>
      </c>
      <c r="O1011" s="27">
        <v>42884</v>
      </c>
      <c r="P1011">
        <v>106.937</v>
      </c>
    </row>
    <row r="1012" spans="3:16">
      <c r="C1012" s="27">
        <v>42086</v>
      </c>
      <c r="D1012">
        <v>2.9584999999999999</v>
      </c>
      <c r="M1012" s="27">
        <v>43271</v>
      </c>
      <c r="N1012">
        <v>111.794</v>
      </c>
      <c r="O1012" s="27">
        <v>42885</v>
      </c>
      <c r="P1012">
        <v>107.08</v>
      </c>
    </row>
    <row r="1013" spans="3:16">
      <c r="C1013" s="27">
        <v>42087</v>
      </c>
      <c r="D1013">
        <v>2.9352999999999998</v>
      </c>
      <c r="M1013" s="27">
        <v>43272</v>
      </c>
      <c r="N1013">
        <v>111.46599999999999</v>
      </c>
      <c r="O1013" s="27">
        <v>42886</v>
      </c>
      <c r="P1013">
        <v>106.998</v>
      </c>
    </row>
    <row r="1014" spans="3:16">
      <c r="C1014" s="27">
        <v>42088</v>
      </c>
      <c r="D1014">
        <v>2.9070999999999998</v>
      </c>
      <c r="M1014" s="27">
        <v>43273</v>
      </c>
      <c r="N1014">
        <v>111.334</v>
      </c>
      <c r="O1014" s="27">
        <v>42887</v>
      </c>
      <c r="P1014">
        <v>107.026</v>
      </c>
    </row>
    <row r="1015" spans="3:16">
      <c r="C1015" s="27">
        <v>42089</v>
      </c>
      <c r="D1015">
        <v>2.8975999999999997</v>
      </c>
      <c r="M1015" s="27">
        <v>43276</v>
      </c>
      <c r="N1015">
        <v>111.238</v>
      </c>
      <c r="O1015" s="27">
        <v>42888</v>
      </c>
      <c r="P1015">
        <v>107.01900000000001</v>
      </c>
    </row>
    <row r="1016" spans="3:16">
      <c r="C1016" s="27">
        <v>42090</v>
      </c>
      <c r="D1016">
        <v>2.9069000000000003</v>
      </c>
      <c r="M1016" s="27">
        <v>43277</v>
      </c>
      <c r="N1016">
        <v>111.23099999999999</v>
      </c>
      <c r="O1016" s="27">
        <v>42891</v>
      </c>
      <c r="P1016">
        <v>107.04600000000001</v>
      </c>
    </row>
    <row r="1017" spans="3:16">
      <c r="C1017" s="27">
        <v>42093</v>
      </c>
      <c r="D1017">
        <v>2.8704999999999998</v>
      </c>
      <c r="M1017" s="27">
        <v>43278</v>
      </c>
      <c r="N1017">
        <v>111.36199999999999</v>
      </c>
      <c r="O1017" s="27">
        <v>42892</v>
      </c>
      <c r="P1017">
        <v>107.035</v>
      </c>
    </row>
    <row r="1018" spans="3:16">
      <c r="C1018" s="27">
        <v>42094</v>
      </c>
      <c r="D1018">
        <v>2.8307000000000002</v>
      </c>
      <c r="M1018" s="27">
        <v>43279</v>
      </c>
      <c r="N1018">
        <v>111.523</v>
      </c>
      <c r="O1018" s="27">
        <v>42893</v>
      </c>
      <c r="P1018">
        <v>107.07899999999999</v>
      </c>
    </row>
    <row r="1019" spans="3:16">
      <c r="C1019" s="27">
        <v>42095</v>
      </c>
      <c r="D1019">
        <v>2.8430999999999997</v>
      </c>
      <c r="M1019" s="27">
        <v>43280</v>
      </c>
      <c r="N1019">
        <v>111.702</v>
      </c>
      <c r="O1019" s="27">
        <v>42894</v>
      </c>
      <c r="P1019">
        <v>107.03400000000001</v>
      </c>
    </row>
    <row r="1020" spans="3:16">
      <c r="C1020" s="27">
        <v>42096</v>
      </c>
      <c r="D1020">
        <v>2.8136000000000001</v>
      </c>
      <c r="M1020" s="27">
        <v>43283</v>
      </c>
      <c r="N1020">
        <v>111.831</v>
      </c>
      <c r="O1020" s="27">
        <v>42895</v>
      </c>
      <c r="P1020">
        <v>107.045</v>
      </c>
    </row>
    <row r="1021" spans="3:16">
      <c r="C1021" s="27">
        <v>42097</v>
      </c>
      <c r="D1021">
        <v>2.8679000000000001</v>
      </c>
      <c r="M1021" s="27">
        <v>43284</v>
      </c>
      <c r="N1021">
        <v>111.681</v>
      </c>
      <c r="O1021" s="27">
        <v>42898</v>
      </c>
      <c r="P1021">
        <v>107.047</v>
      </c>
    </row>
    <row r="1022" spans="3:16">
      <c r="C1022" s="27">
        <v>42100</v>
      </c>
      <c r="D1022">
        <v>2.8300999999999998</v>
      </c>
      <c r="M1022" s="27">
        <v>43285</v>
      </c>
      <c r="N1022">
        <v>111.672</v>
      </c>
      <c r="O1022" s="27">
        <v>42899</v>
      </c>
      <c r="P1022">
        <v>107.047</v>
      </c>
    </row>
    <row r="1023" spans="3:16">
      <c r="C1023" s="27">
        <v>42101</v>
      </c>
      <c r="D1023">
        <v>2.9054000000000002</v>
      </c>
      <c r="M1023" s="27">
        <v>43286</v>
      </c>
      <c r="N1023">
        <v>111.545</v>
      </c>
      <c r="O1023" s="27">
        <v>42900</v>
      </c>
      <c r="P1023">
        <v>106.985</v>
      </c>
    </row>
    <row r="1024" spans="3:16">
      <c r="C1024" s="27">
        <v>42102</v>
      </c>
      <c r="D1024">
        <v>2.9054000000000002</v>
      </c>
      <c r="M1024" s="27">
        <v>43287</v>
      </c>
      <c r="N1024">
        <v>111.755</v>
      </c>
      <c r="O1024" s="27">
        <v>42901</v>
      </c>
      <c r="P1024">
        <v>106.96</v>
      </c>
    </row>
    <row r="1025" spans="3:16">
      <c r="C1025" s="27">
        <v>42103</v>
      </c>
      <c r="D1025">
        <v>2.9138000000000002</v>
      </c>
      <c r="M1025" s="27">
        <v>43290</v>
      </c>
      <c r="N1025">
        <v>111.91800000000001</v>
      </c>
      <c r="O1025" s="27">
        <v>42902</v>
      </c>
      <c r="P1025">
        <v>106.804</v>
      </c>
    </row>
    <row r="1026" spans="3:16">
      <c r="C1026" s="27">
        <v>42104</v>
      </c>
      <c r="D1026">
        <v>2.9382999999999999</v>
      </c>
      <c r="M1026" s="27">
        <v>43291</v>
      </c>
      <c r="N1026">
        <v>111.30200000000001</v>
      </c>
      <c r="O1026" s="27">
        <v>42905</v>
      </c>
      <c r="P1026">
        <v>106.923</v>
      </c>
    </row>
    <row r="1027" spans="3:16">
      <c r="C1027" s="27">
        <v>42107</v>
      </c>
      <c r="D1027">
        <v>2.903</v>
      </c>
      <c r="M1027" s="27">
        <v>43292</v>
      </c>
      <c r="N1027">
        <v>110.762</v>
      </c>
      <c r="O1027" s="27">
        <v>42906</v>
      </c>
      <c r="P1027">
        <v>106.92100000000001</v>
      </c>
    </row>
    <row r="1028" spans="3:16">
      <c r="C1028" s="27">
        <v>42108</v>
      </c>
      <c r="D1028">
        <v>2.8843000000000001</v>
      </c>
      <c r="M1028" s="27">
        <v>43293</v>
      </c>
      <c r="N1028">
        <v>110.711</v>
      </c>
      <c r="O1028" s="27">
        <v>42907</v>
      </c>
      <c r="P1028">
        <v>106.961</v>
      </c>
    </row>
    <row r="1029" spans="3:16">
      <c r="C1029" s="27">
        <v>42109</v>
      </c>
      <c r="D1029">
        <v>2.8727</v>
      </c>
      <c r="M1029" s="27">
        <v>43294</v>
      </c>
      <c r="N1029">
        <v>110.732</v>
      </c>
      <c r="O1029" s="27">
        <v>42908</v>
      </c>
      <c r="P1029">
        <v>106.94499999999999</v>
      </c>
    </row>
    <row r="1030" spans="3:16">
      <c r="C1030" s="27">
        <v>42110</v>
      </c>
      <c r="D1030">
        <v>2.9582999999999999</v>
      </c>
      <c r="M1030" s="27">
        <v>43297</v>
      </c>
      <c r="N1030">
        <v>110.678</v>
      </c>
      <c r="O1030" s="27">
        <v>42909</v>
      </c>
      <c r="P1030">
        <v>106.91500000000001</v>
      </c>
    </row>
    <row r="1031" spans="3:16">
      <c r="C1031" s="27">
        <v>42111</v>
      </c>
      <c r="D1031">
        <v>2.9689999999999999</v>
      </c>
      <c r="M1031" s="27">
        <v>43298</v>
      </c>
      <c r="N1031">
        <v>109.98099999999999</v>
      </c>
      <c r="O1031" s="27">
        <v>42912</v>
      </c>
      <c r="P1031">
        <v>106.947</v>
      </c>
    </row>
    <row r="1032" spans="3:16">
      <c r="C1032" s="27">
        <v>42114</v>
      </c>
      <c r="D1032">
        <v>2.9903</v>
      </c>
      <c r="M1032" s="27">
        <v>43299</v>
      </c>
      <c r="N1032">
        <v>109.955</v>
      </c>
      <c r="O1032" s="27">
        <v>42913</v>
      </c>
      <c r="P1032">
        <v>106.94499999999999</v>
      </c>
    </row>
    <row r="1033" spans="3:16">
      <c r="C1033" s="27">
        <v>42115</v>
      </c>
      <c r="D1033">
        <v>2.9710999999999999</v>
      </c>
      <c r="M1033" s="27">
        <v>43300</v>
      </c>
      <c r="N1033">
        <v>109.985</v>
      </c>
      <c r="O1033" s="27">
        <v>42914</v>
      </c>
      <c r="P1033">
        <v>106.77200000000001</v>
      </c>
    </row>
    <row r="1034" spans="3:16">
      <c r="C1034" s="27">
        <v>42116</v>
      </c>
      <c r="D1034">
        <v>3.0289999999999999</v>
      </c>
      <c r="M1034" s="27">
        <v>43301</v>
      </c>
      <c r="N1034">
        <v>109.929</v>
      </c>
      <c r="O1034" s="27">
        <v>42915</v>
      </c>
      <c r="P1034">
        <v>106.783</v>
      </c>
    </row>
    <row r="1035" spans="3:16">
      <c r="C1035" s="27">
        <v>42117</v>
      </c>
      <c r="D1035">
        <v>3.0476000000000001</v>
      </c>
      <c r="M1035" s="27">
        <v>43304</v>
      </c>
      <c r="N1035">
        <v>109.655</v>
      </c>
      <c r="O1035" s="27">
        <v>42916</v>
      </c>
      <c r="P1035">
        <v>106.75700000000001</v>
      </c>
    </row>
    <row r="1036" spans="3:16">
      <c r="C1036" s="27">
        <v>42118</v>
      </c>
      <c r="D1036">
        <v>3.0421</v>
      </c>
      <c r="M1036" s="27">
        <v>43305</v>
      </c>
      <c r="N1036">
        <v>109.297</v>
      </c>
      <c r="O1036" s="27">
        <v>42919</v>
      </c>
      <c r="P1036">
        <v>106.782</v>
      </c>
    </row>
    <row r="1037" spans="3:16">
      <c r="C1037" s="27">
        <v>42121</v>
      </c>
      <c r="D1037">
        <v>3.0129000000000001</v>
      </c>
      <c r="M1037" s="27">
        <v>43306</v>
      </c>
      <c r="N1037">
        <v>109.264</v>
      </c>
      <c r="O1037" s="27">
        <v>42920</v>
      </c>
      <c r="P1037">
        <v>106.872</v>
      </c>
    </row>
    <row r="1038" spans="3:16">
      <c r="C1038" s="27">
        <v>42122</v>
      </c>
      <c r="D1038">
        <v>3.0434000000000001</v>
      </c>
      <c r="M1038" s="27">
        <v>43307</v>
      </c>
      <c r="N1038">
        <v>109.23399999999999</v>
      </c>
      <c r="O1038" s="27">
        <v>42921</v>
      </c>
      <c r="P1038">
        <v>106.949</v>
      </c>
    </row>
    <row r="1039" spans="3:16">
      <c r="C1039" s="27">
        <v>42123</v>
      </c>
      <c r="D1039">
        <v>3.0287000000000002</v>
      </c>
      <c r="M1039" s="27">
        <v>43308</v>
      </c>
      <c r="N1039">
        <v>109.148</v>
      </c>
      <c r="O1039" s="27">
        <v>42922</v>
      </c>
      <c r="P1039">
        <v>106.913</v>
      </c>
    </row>
    <row r="1040" spans="3:16">
      <c r="C1040" s="27">
        <v>42124</v>
      </c>
      <c r="D1040">
        <v>3.0177</v>
      </c>
      <c r="M1040" s="27">
        <v>43311</v>
      </c>
      <c r="N1040">
        <v>108.85</v>
      </c>
      <c r="O1040" s="27">
        <v>42923</v>
      </c>
      <c r="P1040">
        <v>106.839</v>
      </c>
    </row>
    <row r="1041" spans="3:16">
      <c r="C1041" s="27">
        <v>42125</v>
      </c>
      <c r="D1041">
        <v>2.9908999999999999</v>
      </c>
      <c r="M1041" s="27">
        <v>43312</v>
      </c>
      <c r="N1041">
        <v>108.848</v>
      </c>
      <c r="O1041" s="27">
        <v>42926</v>
      </c>
      <c r="P1041">
        <v>106.86799999999999</v>
      </c>
    </row>
    <row r="1042" spans="3:16">
      <c r="C1042" s="27">
        <v>42128</v>
      </c>
      <c r="D1042">
        <v>2.9689999999999999</v>
      </c>
      <c r="M1042" s="27">
        <v>43313</v>
      </c>
      <c r="N1042">
        <v>108.79</v>
      </c>
      <c r="O1042" s="27">
        <v>42927</v>
      </c>
      <c r="P1042">
        <v>106.90600000000001</v>
      </c>
    </row>
    <row r="1043" spans="3:16">
      <c r="C1043" s="27">
        <v>42129</v>
      </c>
      <c r="D1043">
        <v>3.0194000000000001</v>
      </c>
      <c r="M1043" s="27">
        <v>43314</v>
      </c>
      <c r="N1043">
        <v>108.878</v>
      </c>
      <c r="O1043" s="27">
        <v>42928</v>
      </c>
      <c r="P1043">
        <v>106.90300000000001</v>
      </c>
    </row>
    <row r="1044" spans="3:16">
      <c r="C1044" s="27">
        <v>42130</v>
      </c>
      <c r="D1044">
        <v>3.0680000000000001</v>
      </c>
      <c r="M1044" s="27">
        <v>43315</v>
      </c>
      <c r="N1044">
        <v>108.989</v>
      </c>
      <c r="O1044" s="27">
        <v>42929</v>
      </c>
      <c r="P1044">
        <v>106.935</v>
      </c>
    </row>
    <row r="1045" spans="3:16">
      <c r="C1045" s="27">
        <v>42131</v>
      </c>
      <c r="D1045">
        <v>3.0611999999999999</v>
      </c>
      <c r="M1045" s="27">
        <v>43318</v>
      </c>
      <c r="N1045">
        <v>109.203</v>
      </c>
      <c r="O1045" s="27">
        <v>42930</v>
      </c>
      <c r="P1045">
        <v>106.977</v>
      </c>
    </row>
    <row r="1046" spans="3:16">
      <c r="C1046" s="27">
        <v>42132</v>
      </c>
      <c r="D1046">
        <v>3.0339999999999998</v>
      </c>
      <c r="M1046" s="27">
        <v>43319</v>
      </c>
      <c r="N1046">
        <v>109.182</v>
      </c>
      <c r="O1046" s="27">
        <v>42933</v>
      </c>
      <c r="P1046">
        <v>106.899</v>
      </c>
    </row>
    <row r="1047" spans="3:16">
      <c r="C1047" s="27">
        <v>42135</v>
      </c>
      <c r="D1047">
        <v>3.0402</v>
      </c>
      <c r="M1047" s="27">
        <v>43320</v>
      </c>
      <c r="N1047">
        <v>109.20099999999999</v>
      </c>
      <c r="O1047" s="27">
        <v>42934</v>
      </c>
      <c r="P1047">
        <v>106.946</v>
      </c>
    </row>
    <row r="1048" spans="3:16">
      <c r="C1048" s="27">
        <v>42136</v>
      </c>
      <c r="D1048">
        <v>3.0697999999999999</v>
      </c>
      <c r="M1048" s="27">
        <v>43321</v>
      </c>
      <c r="N1048">
        <v>109.488</v>
      </c>
      <c r="O1048" s="27">
        <v>42935</v>
      </c>
      <c r="P1048">
        <v>106.95099999999999</v>
      </c>
    </row>
    <row r="1049" spans="3:16">
      <c r="C1049" s="27">
        <v>42137</v>
      </c>
      <c r="D1049">
        <v>3.032</v>
      </c>
      <c r="M1049" s="27">
        <v>43322</v>
      </c>
      <c r="N1049">
        <v>109.758</v>
      </c>
      <c r="O1049" s="27">
        <v>42936</v>
      </c>
      <c r="P1049">
        <v>106.946</v>
      </c>
    </row>
    <row r="1050" spans="3:16">
      <c r="C1050" s="27">
        <v>42138</v>
      </c>
      <c r="D1050">
        <v>3.0142000000000002</v>
      </c>
      <c r="M1050" s="27">
        <v>43325</v>
      </c>
      <c r="N1050">
        <v>110.026</v>
      </c>
      <c r="O1050" s="27">
        <v>42937</v>
      </c>
      <c r="P1050">
        <v>106.97</v>
      </c>
    </row>
    <row r="1051" spans="3:16">
      <c r="C1051" s="27">
        <v>42139</v>
      </c>
      <c r="D1051">
        <v>2.9675000000000002</v>
      </c>
      <c r="M1051" s="27">
        <v>43326</v>
      </c>
      <c r="N1051">
        <v>109.98699999999999</v>
      </c>
      <c r="O1051" s="27">
        <v>42940</v>
      </c>
      <c r="P1051">
        <v>106.964</v>
      </c>
    </row>
    <row r="1052" spans="3:16">
      <c r="C1052" s="27">
        <v>42142</v>
      </c>
      <c r="D1052">
        <v>2.9691000000000001</v>
      </c>
      <c r="M1052" s="27">
        <v>43327</v>
      </c>
      <c r="N1052">
        <v>109.979</v>
      </c>
      <c r="O1052" s="27">
        <v>42941</v>
      </c>
      <c r="P1052">
        <v>107.01300000000001</v>
      </c>
    </row>
    <row r="1053" spans="3:16">
      <c r="C1053" s="27">
        <v>42143</v>
      </c>
      <c r="D1053">
        <v>2.9933999999999998</v>
      </c>
      <c r="M1053" s="27">
        <v>43328</v>
      </c>
      <c r="N1053">
        <v>110</v>
      </c>
      <c r="O1053" s="27">
        <v>42942</v>
      </c>
      <c r="P1053">
        <v>106.961</v>
      </c>
    </row>
    <row r="1054" spans="3:16">
      <c r="C1054" s="27">
        <v>42144</v>
      </c>
      <c r="D1054">
        <v>2.9999000000000002</v>
      </c>
      <c r="M1054" s="27">
        <v>43329</v>
      </c>
      <c r="N1054">
        <v>110.22</v>
      </c>
      <c r="O1054" s="27">
        <v>42943</v>
      </c>
      <c r="P1054">
        <v>106.994</v>
      </c>
    </row>
    <row r="1055" spans="3:16">
      <c r="C1055" s="27">
        <v>42145</v>
      </c>
      <c r="D1055">
        <v>2.9821</v>
      </c>
      <c r="M1055" s="27">
        <v>43332</v>
      </c>
      <c r="N1055">
        <v>110.33</v>
      </c>
      <c r="O1055" s="27">
        <v>42944</v>
      </c>
      <c r="P1055">
        <v>107.006</v>
      </c>
    </row>
    <row r="1056" spans="3:16">
      <c r="C1056" s="27">
        <v>42146</v>
      </c>
      <c r="D1056">
        <v>2.9775</v>
      </c>
      <c r="M1056" s="27">
        <v>43333</v>
      </c>
      <c r="N1056">
        <v>110.384</v>
      </c>
      <c r="O1056" s="27">
        <v>42947</v>
      </c>
      <c r="P1056">
        <v>107.018</v>
      </c>
    </row>
    <row r="1057" spans="3:16">
      <c r="C1057" s="27">
        <v>42149</v>
      </c>
      <c r="D1057">
        <v>2.9737</v>
      </c>
      <c r="M1057" s="27">
        <v>43334</v>
      </c>
      <c r="N1057">
        <v>110.34</v>
      </c>
      <c r="O1057" s="27">
        <v>42948</v>
      </c>
      <c r="P1057">
        <v>107.02</v>
      </c>
    </row>
    <row r="1058" spans="3:16">
      <c r="C1058" s="27">
        <v>42150</v>
      </c>
      <c r="D1058">
        <v>2.9857</v>
      </c>
      <c r="M1058" s="27">
        <v>43335</v>
      </c>
      <c r="N1058">
        <v>110.432</v>
      </c>
      <c r="O1058" s="27">
        <v>42949</v>
      </c>
      <c r="P1058">
        <v>107.127</v>
      </c>
    </row>
    <row r="1059" spans="3:16">
      <c r="C1059" s="27">
        <v>42151</v>
      </c>
      <c r="D1059">
        <v>2.9851000000000001</v>
      </c>
      <c r="M1059" s="27">
        <v>43336</v>
      </c>
      <c r="N1059">
        <v>110.43</v>
      </c>
      <c r="O1059" s="27">
        <v>42950</v>
      </c>
      <c r="P1059">
        <v>107.101</v>
      </c>
    </row>
    <row r="1060" spans="3:16">
      <c r="C1060" s="27">
        <v>42152</v>
      </c>
      <c r="D1060">
        <v>2.9483999999999999</v>
      </c>
      <c r="M1060" s="27">
        <v>43339</v>
      </c>
      <c r="N1060">
        <v>110.35</v>
      </c>
      <c r="O1060" s="27">
        <v>42951</v>
      </c>
      <c r="P1060">
        <v>107.09399999999999</v>
      </c>
    </row>
    <row r="1061" spans="3:16">
      <c r="C1061" s="27">
        <v>42153</v>
      </c>
      <c r="D1061">
        <v>2.9119999999999999</v>
      </c>
      <c r="M1061" s="27">
        <v>43340</v>
      </c>
      <c r="N1061">
        <v>110.273</v>
      </c>
      <c r="O1061" s="27">
        <v>42954</v>
      </c>
      <c r="P1061">
        <v>107.071</v>
      </c>
    </row>
    <row r="1062" spans="3:16">
      <c r="C1062" s="27">
        <v>42156</v>
      </c>
      <c r="D1062">
        <v>2.9111000000000002</v>
      </c>
      <c r="M1062" s="27">
        <v>43341</v>
      </c>
      <c r="N1062">
        <v>110.07299999999999</v>
      </c>
      <c r="O1062" s="27">
        <v>42955</v>
      </c>
      <c r="P1062">
        <v>107.06699999999999</v>
      </c>
    </row>
    <row r="1063" spans="3:16">
      <c r="C1063" s="27">
        <v>42157</v>
      </c>
      <c r="D1063">
        <v>2.9670999999999998</v>
      </c>
      <c r="M1063" s="27">
        <v>43342</v>
      </c>
      <c r="N1063">
        <v>110.084</v>
      </c>
      <c r="O1063" s="27">
        <v>42956</v>
      </c>
      <c r="P1063">
        <v>107.042</v>
      </c>
    </row>
    <row r="1064" spans="3:16">
      <c r="C1064" s="27">
        <v>42158</v>
      </c>
      <c r="D1064">
        <v>3.0059</v>
      </c>
      <c r="M1064" s="27">
        <v>43343</v>
      </c>
      <c r="N1064">
        <v>110.346</v>
      </c>
      <c r="O1064" s="27">
        <v>42957</v>
      </c>
      <c r="P1064">
        <v>107.042</v>
      </c>
    </row>
    <row r="1065" spans="3:16">
      <c r="C1065" s="27">
        <v>42159</v>
      </c>
      <c r="D1065">
        <v>3.0066000000000002</v>
      </c>
      <c r="M1065" s="27">
        <v>43346</v>
      </c>
      <c r="N1065">
        <v>110.395</v>
      </c>
      <c r="O1065" s="27">
        <v>42958</v>
      </c>
      <c r="P1065">
        <v>107.05</v>
      </c>
    </row>
    <row r="1066" spans="3:16">
      <c r="C1066" s="27">
        <v>42160</v>
      </c>
      <c r="D1066">
        <v>2.9931000000000001</v>
      </c>
      <c r="M1066" s="27">
        <v>43347</v>
      </c>
      <c r="N1066">
        <v>110.258</v>
      </c>
      <c r="O1066" s="27">
        <v>42961</v>
      </c>
      <c r="P1066">
        <v>107.05</v>
      </c>
    </row>
    <row r="1067" spans="3:16">
      <c r="C1067" s="27">
        <v>42163</v>
      </c>
      <c r="D1067">
        <v>3.0499000000000001</v>
      </c>
      <c r="M1067" s="27">
        <v>43348</v>
      </c>
      <c r="N1067">
        <v>109.83799999999999</v>
      </c>
      <c r="O1067" s="27">
        <v>42962</v>
      </c>
      <c r="P1067">
        <v>107.015</v>
      </c>
    </row>
    <row r="1068" spans="3:16">
      <c r="C1068" s="27">
        <v>42164</v>
      </c>
      <c r="D1068">
        <v>2.9807999999999999</v>
      </c>
      <c r="M1068" s="27">
        <v>43349</v>
      </c>
      <c r="N1068">
        <v>109.97799999999999</v>
      </c>
      <c r="O1068" s="27">
        <v>42963</v>
      </c>
      <c r="P1068">
        <v>106.991</v>
      </c>
    </row>
    <row r="1069" spans="3:16">
      <c r="C1069" s="27">
        <v>42165</v>
      </c>
      <c r="D1069">
        <v>2.9971000000000001</v>
      </c>
      <c r="M1069" s="27">
        <v>43350</v>
      </c>
      <c r="N1069">
        <v>109.998</v>
      </c>
      <c r="O1069" s="27">
        <v>42964</v>
      </c>
      <c r="P1069">
        <v>107.004</v>
      </c>
    </row>
    <row r="1070" spans="3:16">
      <c r="C1070" s="27">
        <v>42166</v>
      </c>
      <c r="D1070">
        <v>3.0348000000000002</v>
      </c>
      <c r="M1070" s="27">
        <v>43353</v>
      </c>
      <c r="N1070">
        <v>109.736</v>
      </c>
      <c r="O1070" s="27">
        <v>42965</v>
      </c>
      <c r="P1070">
        <v>106.994</v>
      </c>
    </row>
    <row r="1071" spans="3:16">
      <c r="C1071" s="27">
        <v>42167</v>
      </c>
      <c r="D1071">
        <v>3.0173999999999999</v>
      </c>
      <c r="M1071" s="27">
        <v>43354</v>
      </c>
      <c r="N1071">
        <v>109.494</v>
      </c>
      <c r="O1071" s="27">
        <v>42968</v>
      </c>
      <c r="P1071">
        <v>106.959</v>
      </c>
    </row>
    <row r="1072" spans="3:16">
      <c r="C1072" s="27">
        <v>42170</v>
      </c>
      <c r="D1072">
        <v>3.0001000000000002</v>
      </c>
      <c r="M1072" s="27">
        <v>43355</v>
      </c>
      <c r="N1072">
        <v>109.502</v>
      </c>
      <c r="O1072" s="27">
        <v>42969</v>
      </c>
      <c r="P1072">
        <v>106.95399999999999</v>
      </c>
    </row>
    <row r="1073" spans="3:16">
      <c r="C1073" s="27">
        <v>42171</v>
      </c>
      <c r="D1073">
        <v>2.9946999999999999</v>
      </c>
      <c r="M1073" s="27">
        <v>43356</v>
      </c>
      <c r="N1073">
        <v>109.408</v>
      </c>
      <c r="O1073" s="27">
        <v>42970</v>
      </c>
      <c r="P1073">
        <v>106.992</v>
      </c>
    </row>
    <row r="1074" spans="3:16">
      <c r="C1074" s="27">
        <v>42172</v>
      </c>
      <c r="D1074">
        <v>3.0026999999999999</v>
      </c>
      <c r="M1074" s="27">
        <v>43357</v>
      </c>
      <c r="N1074">
        <v>109.35</v>
      </c>
      <c r="O1074" s="27">
        <v>42971</v>
      </c>
      <c r="P1074">
        <v>107.026</v>
      </c>
    </row>
    <row r="1075" spans="3:16">
      <c r="C1075" s="27">
        <v>42173</v>
      </c>
      <c r="D1075">
        <v>2.9599000000000002</v>
      </c>
      <c r="M1075" s="27">
        <v>43360</v>
      </c>
      <c r="N1075">
        <v>109.292</v>
      </c>
      <c r="O1075" s="27">
        <v>42972</v>
      </c>
      <c r="P1075">
        <v>107.017</v>
      </c>
    </row>
    <row r="1076" spans="3:16">
      <c r="C1076" s="27">
        <v>42174</v>
      </c>
      <c r="D1076">
        <v>2.9478999999999997</v>
      </c>
      <c r="M1076" s="27">
        <v>43361</v>
      </c>
      <c r="N1076">
        <v>109.16800000000001</v>
      </c>
      <c r="O1076" s="27">
        <v>42975</v>
      </c>
      <c r="P1076">
        <v>107.001</v>
      </c>
    </row>
    <row r="1077" spans="3:16">
      <c r="C1077" s="27">
        <v>42177</v>
      </c>
      <c r="D1077">
        <v>2.9922</v>
      </c>
      <c r="M1077" s="27">
        <v>43362</v>
      </c>
      <c r="N1077">
        <v>108.837</v>
      </c>
      <c r="O1077" s="27">
        <v>42976</v>
      </c>
      <c r="P1077">
        <v>107.08499999999999</v>
      </c>
    </row>
    <row r="1078" spans="3:16">
      <c r="C1078" s="27">
        <v>42178</v>
      </c>
      <c r="D1078">
        <v>3.0379</v>
      </c>
      <c r="M1078" s="27">
        <v>43363</v>
      </c>
      <c r="N1078">
        <v>108.99299999999999</v>
      </c>
      <c r="O1078" s="27">
        <v>42977</v>
      </c>
      <c r="P1078">
        <v>107.02500000000001</v>
      </c>
    </row>
    <row r="1079" spans="3:16">
      <c r="C1079" s="27">
        <v>42179</v>
      </c>
      <c r="D1079">
        <v>3.0329000000000002</v>
      </c>
      <c r="M1079" s="27">
        <v>43364</v>
      </c>
      <c r="N1079">
        <v>109.1</v>
      </c>
      <c r="O1079" s="27">
        <v>42978</v>
      </c>
      <c r="P1079">
        <v>107.014</v>
      </c>
    </row>
    <row r="1080" spans="3:16">
      <c r="C1080" s="27">
        <v>42180</v>
      </c>
      <c r="D1080">
        <v>3.0347</v>
      </c>
      <c r="M1080" s="27">
        <v>43367</v>
      </c>
      <c r="N1080">
        <v>108.94799999999999</v>
      </c>
      <c r="O1080" s="27">
        <v>42979</v>
      </c>
      <c r="P1080">
        <v>107.026</v>
      </c>
    </row>
    <row r="1081" spans="3:16">
      <c r="C1081" s="27">
        <v>42181</v>
      </c>
      <c r="D1081">
        <v>3.0468999999999999</v>
      </c>
      <c r="M1081" s="27">
        <v>43368</v>
      </c>
      <c r="N1081">
        <v>108.875</v>
      </c>
      <c r="O1081" s="27">
        <v>42982</v>
      </c>
      <c r="P1081">
        <v>107.039</v>
      </c>
    </row>
    <row r="1082" spans="3:16">
      <c r="C1082" s="27">
        <v>42184</v>
      </c>
      <c r="D1082">
        <v>3.0091000000000001</v>
      </c>
      <c r="M1082" s="27">
        <v>43369</v>
      </c>
      <c r="N1082">
        <v>108.783</v>
      </c>
      <c r="O1082" s="27">
        <v>42983</v>
      </c>
      <c r="P1082">
        <v>107.021</v>
      </c>
    </row>
    <row r="1083" spans="3:16">
      <c r="C1083" s="27">
        <v>42185</v>
      </c>
      <c r="D1083">
        <v>3.0310999999999999</v>
      </c>
      <c r="M1083" s="27">
        <v>43370</v>
      </c>
      <c r="N1083">
        <v>108.974</v>
      </c>
      <c r="O1083" s="27">
        <v>42984</v>
      </c>
      <c r="P1083">
        <v>107.108</v>
      </c>
    </row>
    <row r="1084" spans="3:16">
      <c r="C1084" s="27">
        <v>42186</v>
      </c>
      <c r="D1084">
        <v>3.0274000000000001</v>
      </c>
      <c r="M1084" s="27">
        <v>43371</v>
      </c>
      <c r="N1084">
        <v>109.033</v>
      </c>
      <c r="O1084" s="27">
        <v>42985</v>
      </c>
      <c r="P1084">
        <v>106.986</v>
      </c>
    </row>
    <row r="1085" spans="3:16">
      <c r="C1085" s="27">
        <v>42187</v>
      </c>
      <c r="D1085">
        <v>3.0392000000000001</v>
      </c>
      <c r="M1085" s="27">
        <v>43374</v>
      </c>
      <c r="N1085">
        <v>108.95099999999999</v>
      </c>
      <c r="O1085" s="27">
        <v>42986</v>
      </c>
      <c r="P1085">
        <v>107.108</v>
      </c>
    </row>
    <row r="1086" spans="3:16">
      <c r="C1086" s="27">
        <v>42188</v>
      </c>
      <c r="D1086">
        <v>3.0141</v>
      </c>
      <c r="M1086" s="27">
        <v>43375</v>
      </c>
      <c r="N1086">
        <v>109.036</v>
      </c>
      <c r="O1086" s="27">
        <v>42989</v>
      </c>
      <c r="P1086">
        <v>107.042</v>
      </c>
    </row>
    <row r="1087" spans="3:16">
      <c r="C1087" s="27">
        <v>42191</v>
      </c>
      <c r="D1087">
        <v>2.9649000000000001</v>
      </c>
      <c r="M1087" s="27">
        <v>43376</v>
      </c>
      <c r="N1087">
        <v>109.196</v>
      </c>
      <c r="O1087" s="27">
        <v>42990</v>
      </c>
      <c r="P1087">
        <v>107.02</v>
      </c>
    </row>
    <row r="1088" spans="3:16">
      <c r="C1088" s="27">
        <v>42192</v>
      </c>
      <c r="D1088">
        <v>2.9675000000000002</v>
      </c>
      <c r="M1088" s="27">
        <v>43377</v>
      </c>
      <c r="N1088">
        <v>108.54</v>
      </c>
      <c r="O1088" s="27">
        <v>42991</v>
      </c>
      <c r="P1088">
        <v>106.944</v>
      </c>
    </row>
    <row r="1089" spans="3:16">
      <c r="C1089" s="27">
        <v>42193</v>
      </c>
      <c r="D1089">
        <v>2.9224000000000001</v>
      </c>
      <c r="M1089" s="27">
        <v>43378</v>
      </c>
      <c r="N1089">
        <v>108.33799999999999</v>
      </c>
      <c r="O1089" s="27">
        <v>42992</v>
      </c>
      <c r="P1089">
        <v>106.901</v>
      </c>
    </row>
    <row r="1090" spans="3:16">
      <c r="C1090" s="27">
        <v>42194</v>
      </c>
      <c r="D1090">
        <v>2.9478</v>
      </c>
      <c r="M1090" s="27">
        <v>43381</v>
      </c>
      <c r="N1090">
        <v>108.52500000000001</v>
      </c>
      <c r="O1090" s="27">
        <v>42993</v>
      </c>
      <c r="P1090">
        <v>106.899</v>
      </c>
    </row>
    <row r="1091" spans="3:16">
      <c r="C1091" s="27">
        <v>42195</v>
      </c>
      <c r="D1091">
        <v>2.9918</v>
      </c>
      <c r="M1091" s="27">
        <v>43382</v>
      </c>
      <c r="N1091">
        <v>108.273</v>
      </c>
      <c r="O1091" s="27">
        <v>42996</v>
      </c>
      <c r="P1091">
        <v>106.792</v>
      </c>
    </row>
    <row r="1092" spans="3:16">
      <c r="C1092" s="27">
        <v>42198</v>
      </c>
      <c r="D1092">
        <v>3.0091999999999999</v>
      </c>
      <c r="M1092" s="27">
        <v>43383</v>
      </c>
      <c r="N1092">
        <v>107.988</v>
      </c>
      <c r="O1092" s="27">
        <v>42997</v>
      </c>
      <c r="P1092">
        <v>106.782</v>
      </c>
    </row>
    <row r="1093" spans="3:16">
      <c r="C1093" s="27">
        <v>42199</v>
      </c>
      <c r="D1093">
        <v>3.0339</v>
      </c>
      <c r="M1093" s="27">
        <v>43384</v>
      </c>
      <c r="N1093">
        <v>108.304</v>
      </c>
      <c r="O1093" s="27">
        <v>42998</v>
      </c>
      <c r="P1093">
        <v>106.77</v>
      </c>
    </row>
    <row r="1094" spans="3:16">
      <c r="C1094" s="27">
        <v>42200</v>
      </c>
      <c r="D1094">
        <v>3.0289999999999999</v>
      </c>
      <c r="M1094" s="27">
        <v>43385</v>
      </c>
      <c r="N1094">
        <v>108.372</v>
      </c>
      <c r="O1094" s="27">
        <v>42999</v>
      </c>
      <c r="P1094">
        <v>106.691</v>
      </c>
    </row>
    <row r="1095" spans="3:16">
      <c r="C1095" s="27">
        <v>42201</v>
      </c>
      <c r="D1095">
        <v>2.9903</v>
      </c>
      <c r="M1095" s="27">
        <v>43388</v>
      </c>
      <c r="N1095">
        <v>108.52</v>
      </c>
      <c r="O1095" s="27">
        <v>43000</v>
      </c>
      <c r="P1095">
        <v>106.732</v>
      </c>
    </row>
    <row r="1096" spans="3:16">
      <c r="C1096" s="27">
        <v>42202</v>
      </c>
      <c r="D1096">
        <v>2.9971999999999999</v>
      </c>
      <c r="M1096" s="27">
        <v>43389</v>
      </c>
      <c r="N1096">
        <v>110.093</v>
      </c>
      <c r="O1096" s="27">
        <v>43003</v>
      </c>
      <c r="P1096">
        <v>106.72</v>
      </c>
    </row>
    <row r="1097" spans="3:16">
      <c r="C1097" s="27">
        <v>42205</v>
      </c>
      <c r="D1097">
        <v>3.0005000000000002</v>
      </c>
      <c r="M1097" s="27">
        <v>43390</v>
      </c>
      <c r="N1097">
        <v>110.21599999999999</v>
      </c>
      <c r="O1097" s="27">
        <v>43004</v>
      </c>
      <c r="P1097">
        <v>106.801</v>
      </c>
    </row>
    <row r="1098" spans="3:16">
      <c r="C1098" s="27">
        <v>42206</v>
      </c>
      <c r="D1098">
        <v>2.9956</v>
      </c>
      <c r="M1098" s="27">
        <v>43391</v>
      </c>
      <c r="N1098">
        <v>110.121</v>
      </c>
      <c r="O1098" s="27">
        <v>43005</v>
      </c>
      <c r="P1098">
        <v>106.78400000000001</v>
      </c>
    </row>
    <row r="1099" spans="3:16">
      <c r="C1099" s="27">
        <v>42207</v>
      </c>
      <c r="D1099">
        <v>2.984</v>
      </c>
      <c r="M1099" s="27">
        <v>43392</v>
      </c>
      <c r="N1099">
        <v>110.23699999999999</v>
      </c>
      <c r="O1099" s="27">
        <v>43006</v>
      </c>
      <c r="P1099">
        <v>106.687</v>
      </c>
    </row>
    <row r="1100" spans="3:16">
      <c r="C1100" s="27">
        <v>42208</v>
      </c>
      <c r="D1100">
        <v>2.9689000000000001</v>
      </c>
      <c r="M1100" s="27">
        <v>43395</v>
      </c>
      <c r="N1100">
        <v>110.102</v>
      </c>
      <c r="O1100" s="27">
        <v>43007</v>
      </c>
      <c r="P1100">
        <v>106.738</v>
      </c>
    </row>
    <row r="1101" spans="3:16">
      <c r="C1101" s="27">
        <v>42209</v>
      </c>
      <c r="D1101">
        <v>2.9384999999999999</v>
      </c>
      <c r="M1101" s="27">
        <v>43396</v>
      </c>
      <c r="N1101">
        <v>110.358</v>
      </c>
      <c r="O1101" s="27">
        <v>43010</v>
      </c>
      <c r="P1101">
        <v>106.714</v>
      </c>
    </row>
    <row r="1102" spans="3:16">
      <c r="C1102" s="27">
        <v>42212</v>
      </c>
      <c r="D1102">
        <v>2.919</v>
      </c>
      <c r="M1102" s="27">
        <v>43397</v>
      </c>
      <c r="N1102">
        <v>110.512</v>
      </c>
      <c r="O1102" s="27">
        <v>43011</v>
      </c>
      <c r="P1102">
        <v>106.751</v>
      </c>
    </row>
    <row r="1103" spans="3:16">
      <c r="C1103" s="27">
        <v>42213</v>
      </c>
      <c r="D1103">
        <v>2.9382999999999999</v>
      </c>
      <c r="M1103" s="27">
        <v>43398</v>
      </c>
      <c r="N1103">
        <v>110.506</v>
      </c>
      <c r="O1103" s="27">
        <v>43012</v>
      </c>
      <c r="P1103">
        <v>106.74</v>
      </c>
    </row>
    <row r="1104" spans="3:16">
      <c r="C1104" s="27">
        <v>42214</v>
      </c>
      <c r="D1104">
        <v>2.9325000000000001</v>
      </c>
      <c r="M1104" s="27">
        <v>43399</v>
      </c>
      <c r="N1104">
        <v>110.91200000000001</v>
      </c>
      <c r="O1104" s="27">
        <v>43013</v>
      </c>
      <c r="P1104">
        <v>106.735</v>
      </c>
    </row>
    <row r="1105" spans="3:16">
      <c r="C1105" s="27">
        <v>42215</v>
      </c>
      <c r="D1105">
        <v>2.9622999999999999</v>
      </c>
      <c r="M1105" s="27">
        <v>43402</v>
      </c>
      <c r="N1105">
        <v>110.992</v>
      </c>
      <c r="O1105" s="27">
        <v>43014</v>
      </c>
      <c r="P1105">
        <v>106.67</v>
      </c>
    </row>
    <row r="1106" spans="3:16">
      <c r="C1106" s="27">
        <v>42216</v>
      </c>
      <c r="D1106">
        <v>2.9419</v>
      </c>
      <c r="M1106" s="27">
        <v>43403</v>
      </c>
      <c r="N1106">
        <v>111.09</v>
      </c>
      <c r="O1106" s="27">
        <v>43017</v>
      </c>
      <c r="P1106">
        <v>106.67100000000001</v>
      </c>
    </row>
    <row r="1107" spans="3:16">
      <c r="C1107" s="27">
        <v>42219</v>
      </c>
      <c r="D1107">
        <v>2.9537</v>
      </c>
      <c r="M1107" s="27">
        <v>43404</v>
      </c>
      <c r="N1107">
        <v>111.004</v>
      </c>
      <c r="O1107" s="27">
        <v>43018</v>
      </c>
      <c r="P1107">
        <v>106.691</v>
      </c>
    </row>
    <row r="1108" spans="3:16">
      <c r="C1108" s="27">
        <v>42220</v>
      </c>
      <c r="D1108">
        <v>2.9687999999999999</v>
      </c>
      <c r="M1108" s="27">
        <v>43405</v>
      </c>
      <c r="N1108">
        <v>110.94199999999999</v>
      </c>
      <c r="O1108" s="27">
        <v>43019</v>
      </c>
      <c r="P1108">
        <v>106.679</v>
      </c>
    </row>
    <row r="1109" spans="3:16">
      <c r="C1109" s="27">
        <v>42221</v>
      </c>
      <c r="D1109">
        <v>3.0024000000000002</v>
      </c>
      <c r="M1109" s="27">
        <v>43406</v>
      </c>
      <c r="N1109">
        <v>110.873</v>
      </c>
      <c r="O1109" s="27">
        <v>43020</v>
      </c>
      <c r="P1109">
        <v>106.65</v>
      </c>
    </row>
    <row r="1110" spans="3:16">
      <c r="C1110" s="27">
        <v>42222</v>
      </c>
      <c r="D1110">
        <v>2.9986999999999999</v>
      </c>
      <c r="M1110" s="27">
        <v>43409</v>
      </c>
      <c r="N1110">
        <v>110.73099999999999</v>
      </c>
      <c r="O1110" s="27">
        <v>43021</v>
      </c>
      <c r="P1110">
        <v>106.68</v>
      </c>
    </row>
    <row r="1111" spans="3:16">
      <c r="C1111" s="27">
        <v>42223</v>
      </c>
      <c r="D1111">
        <v>3.0024999999999999</v>
      </c>
      <c r="M1111" s="27">
        <v>43410</v>
      </c>
      <c r="N1111">
        <v>110.751</v>
      </c>
      <c r="O1111" s="27">
        <v>43024</v>
      </c>
      <c r="P1111">
        <v>106.747</v>
      </c>
    </row>
    <row r="1112" spans="3:16">
      <c r="C1112" s="27">
        <v>42226</v>
      </c>
      <c r="D1112">
        <v>2.9950999999999999</v>
      </c>
      <c r="M1112" s="27">
        <v>43411</v>
      </c>
      <c r="N1112">
        <v>110.658</v>
      </c>
      <c r="O1112" s="27">
        <v>43025</v>
      </c>
      <c r="P1112">
        <v>106.821</v>
      </c>
    </row>
    <row r="1113" spans="3:16">
      <c r="C1113" s="27">
        <v>42227</v>
      </c>
      <c r="D1113">
        <v>2.9862000000000002</v>
      </c>
      <c r="M1113" s="27">
        <v>43412</v>
      </c>
      <c r="N1113">
        <v>110.684</v>
      </c>
      <c r="O1113" s="27">
        <v>43026</v>
      </c>
      <c r="P1113">
        <v>106.812</v>
      </c>
    </row>
    <row r="1114" spans="3:16">
      <c r="C1114" s="27">
        <v>42228</v>
      </c>
      <c r="D1114">
        <v>2.9329000000000001</v>
      </c>
      <c r="M1114" s="27">
        <v>43413</v>
      </c>
      <c r="N1114">
        <v>110.837</v>
      </c>
      <c r="O1114" s="27">
        <v>43027</v>
      </c>
      <c r="P1114">
        <v>106.76600000000001</v>
      </c>
    </row>
    <row r="1115" spans="3:16">
      <c r="C1115" s="27">
        <v>42229</v>
      </c>
      <c r="D1115">
        <v>2.9710999999999999</v>
      </c>
      <c r="M1115" s="27">
        <v>43416</v>
      </c>
      <c r="N1115">
        <v>111.244</v>
      </c>
      <c r="O1115" s="27">
        <v>43028</v>
      </c>
      <c r="P1115">
        <v>106.756</v>
      </c>
    </row>
    <row r="1116" spans="3:16">
      <c r="C1116" s="27">
        <v>42230</v>
      </c>
      <c r="D1116">
        <v>2.9805999999999999</v>
      </c>
      <c r="M1116" s="27">
        <v>43417</v>
      </c>
      <c r="N1116">
        <v>111.053</v>
      </c>
      <c r="O1116" s="27">
        <v>43031</v>
      </c>
      <c r="P1116">
        <v>106.691</v>
      </c>
    </row>
    <row r="1117" spans="3:16">
      <c r="C1117" s="27">
        <v>42233</v>
      </c>
      <c r="D1117">
        <v>2.9778000000000002</v>
      </c>
      <c r="M1117" s="27">
        <v>43418</v>
      </c>
      <c r="N1117">
        <v>111.104</v>
      </c>
      <c r="O1117" s="27">
        <v>43032</v>
      </c>
      <c r="P1117">
        <v>106.712</v>
      </c>
    </row>
    <row r="1118" spans="3:16">
      <c r="C1118" s="27">
        <v>42234</v>
      </c>
      <c r="D1118">
        <v>2.9638</v>
      </c>
      <c r="M1118" s="27">
        <v>43419</v>
      </c>
      <c r="N1118">
        <v>111.389</v>
      </c>
      <c r="O1118" s="27">
        <v>43033</v>
      </c>
      <c r="P1118">
        <v>106.631</v>
      </c>
    </row>
    <row r="1119" spans="3:16">
      <c r="C1119" s="27">
        <v>42235</v>
      </c>
      <c r="D1119">
        <v>2.9552</v>
      </c>
      <c r="M1119" s="27">
        <v>43420</v>
      </c>
      <c r="N1119">
        <v>111.393</v>
      </c>
      <c r="O1119" s="27">
        <v>43034</v>
      </c>
      <c r="P1119">
        <v>106.614</v>
      </c>
    </row>
    <row r="1120" spans="3:16">
      <c r="C1120" s="27">
        <v>42236</v>
      </c>
      <c r="D1120">
        <v>2.9253999999999998</v>
      </c>
      <c r="M1120" s="27">
        <v>43423</v>
      </c>
      <c r="N1120">
        <v>111.375</v>
      </c>
      <c r="O1120" s="27">
        <v>43035</v>
      </c>
      <c r="P1120">
        <v>106.715</v>
      </c>
    </row>
    <row r="1121" spans="3:16">
      <c r="C1121" s="27">
        <v>42237</v>
      </c>
      <c r="D1121">
        <v>2.887</v>
      </c>
      <c r="M1121" s="27">
        <v>43424</v>
      </c>
      <c r="N1121">
        <v>111.657</v>
      </c>
      <c r="O1121" s="27">
        <v>43038</v>
      </c>
      <c r="P1121">
        <v>106.794</v>
      </c>
    </row>
    <row r="1122" spans="3:16">
      <c r="C1122" s="27">
        <v>42240</v>
      </c>
      <c r="D1122">
        <v>2.8111000000000002</v>
      </c>
      <c r="M1122" s="27">
        <v>43425</v>
      </c>
      <c r="N1122">
        <v>111.816</v>
      </c>
      <c r="O1122" s="27">
        <v>43039</v>
      </c>
      <c r="P1122">
        <v>106.76900000000001</v>
      </c>
    </row>
    <row r="1123" spans="3:16">
      <c r="C1123" s="27">
        <v>42241</v>
      </c>
      <c r="D1123">
        <v>2.8332999999999999</v>
      </c>
      <c r="M1123" s="27">
        <v>43426</v>
      </c>
      <c r="N1123">
        <v>111.98699999999999</v>
      </c>
      <c r="O1123" s="27">
        <v>43040</v>
      </c>
      <c r="P1123">
        <v>106.752</v>
      </c>
    </row>
    <row r="1124" spans="3:16">
      <c r="C1124" s="27">
        <v>42242</v>
      </c>
      <c r="D1124">
        <v>2.8559000000000001</v>
      </c>
      <c r="M1124" s="27">
        <v>43427</v>
      </c>
      <c r="N1124">
        <v>112.11199999999999</v>
      </c>
      <c r="O1124" s="27">
        <v>43041</v>
      </c>
      <c r="P1124">
        <v>106.76600000000001</v>
      </c>
    </row>
    <row r="1125" spans="3:16">
      <c r="C1125" s="27">
        <v>42243</v>
      </c>
      <c r="D1125">
        <v>2.8683000000000001</v>
      </c>
      <c r="M1125" s="27">
        <v>43430</v>
      </c>
      <c r="N1125">
        <v>112.03</v>
      </c>
      <c r="O1125" s="27">
        <v>43042</v>
      </c>
      <c r="P1125">
        <v>106.749</v>
      </c>
    </row>
    <row r="1126" spans="3:16">
      <c r="C1126" s="27">
        <v>42244</v>
      </c>
      <c r="D1126">
        <v>2.8816999999999999</v>
      </c>
      <c r="M1126" s="27">
        <v>43431</v>
      </c>
      <c r="N1126">
        <v>112.08199999999999</v>
      </c>
      <c r="O1126" s="27">
        <v>43045</v>
      </c>
      <c r="P1126">
        <v>106.751</v>
      </c>
    </row>
    <row r="1127" spans="3:16">
      <c r="C1127" s="27">
        <v>42247</v>
      </c>
      <c r="D1127">
        <v>2.8593000000000002</v>
      </c>
      <c r="M1127" s="27">
        <v>43432</v>
      </c>
      <c r="N1127">
        <v>111.989</v>
      </c>
      <c r="O1127" s="27">
        <v>43046</v>
      </c>
      <c r="P1127">
        <v>106.783</v>
      </c>
    </row>
    <row r="1128" spans="3:16">
      <c r="C1128" s="27">
        <v>42248</v>
      </c>
      <c r="D1128">
        <v>2.8613</v>
      </c>
      <c r="M1128" s="27">
        <v>43433</v>
      </c>
      <c r="N1128">
        <v>112.24299999999999</v>
      </c>
      <c r="O1128" s="27">
        <v>43047</v>
      </c>
      <c r="P1128">
        <v>106.776</v>
      </c>
    </row>
    <row r="1129" spans="3:16">
      <c r="C1129" s="27">
        <v>42249</v>
      </c>
      <c r="D1129">
        <v>2.8768000000000002</v>
      </c>
      <c r="M1129" s="27">
        <v>43434</v>
      </c>
      <c r="N1129">
        <v>112.4</v>
      </c>
      <c r="O1129" s="27">
        <v>43048</v>
      </c>
      <c r="P1129">
        <v>106.76300000000001</v>
      </c>
    </row>
    <row r="1130" spans="3:16">
      <c r="C1130" s="27">
        <v>42250</v>
      </c>
      <c r="D1130">
        <v>2.8740000000000001</v>
      </c>
      <c r="M1130" s="27">
        <v>43437</v>
      </c>
      <c r="N1130">
        <v>112.205</v>
      </c>
      <c r="O1130" s="27">
        <v>43049</v>
      </c>
      <c r="P1130">
        <v>106.697</v>
      </c>
    </row>
    <row r="1131" spans="3:16">
      <c r="C1131" s="27">
        <v>42251</v>
      </c>
      <c r="D1131">
        <v>2.8410000000000002</v>
      </c>
      <c r="M1131" s="27">
        <v>43438</v>
      </c>
      <c r="N1131">
        <v>112.24299999999999</v>
      </c>
      <c r="O1131" s="27">
        <v>43052</v>
      </c>
      <c r="P1131">
        <v>106.657</v>
      </c>
    </row>
    <row r="1132" spans="3:16">
      <c r="C1132" s="27">
        <v>42254</v>
      </c>
      <c r="D1132">
        <v>2.8879999999999999</v>
      </c>
      <c r="M1132" s="27">
        <v>43439</v>
      </c>
      <c r="N1132">
        <v>110.59</v>
      </c>
      <c r="O1132" s="27">
        <v>43053</v>
      </c>
      <c r="P1132">
        <v>106.631</v>
      </c>
    </row>
    <row r="1133" spans="3:16">
      <c r="C1133" s="27">
        <v>42255</v>
      </c>
      <c r="D1133">
        <v>2.9130000000000003</v>
      </c>
      <c r="M1133" s="27">
        <v>43440</v>
      </c>
      <c r="N1133">
        <v>110.82599999999999</v>
      </c>
      <c r="O1133" s="27">
        <v>43054</v>
      </c>
      <c r="P1133">
        <v>106.627</v>
      </c>
    </row>
    <row r="1134" spans="3:16">
      <c r="C1134" s="27">
        <v>42256</v>
      </c>
      <c r="D1134">
        <v>2.956</v>
      </c>
      <c r="M1134" s="27">
        <v>43441</v>
      </c>
      <c r="N1134">
        <v>110.81699999999999</v>
      </c>
      <c r="O1134" s="27">
        <v>43055</v>
      </c>
      <c r="P1134">
        <v>106.65</v>
      </c>
    </row>
    <row r="1135" spans="3:16">
      <c r="C1135" s="27">
        <v>42257</v>
      </c>
      <c r="D1135">
        <v>2.9569999999999999</v>
      </c>
      <c r="M1135" s="27">
        <v>43444</v>
      </c>
      <c r="N1135">
        <v>110.678</v>
      </c>
      <c r="O1135" s="27">
        <v>43056</v>
      </c>
      <c r="P1135">
        <v>106.616</v>
      </c>
    </row>
    <row r="1136" spans="3:16">
      <c r="C1136" s="27">
        <v>42258</v>
      </c>
      <c r="D1136">
        <v>2.9660000000000002</v>
      </c>
      <c r="M1136" s="27">
        <v>43445</v>
      </c>
      <c r="N1136">
        <v>110.79</v>
      </c>
      <c r="O1136" s="27">
        <v>43059</v>
      </c>
      <c r="P1136">
        <v>106.624</v>
      </c>
    </row>
    <row r="1137" spans="3:16">
      <c r="C1137" s="27">
        <v>42261</v>
      </c>
      <c r="D1137">
        <v>2.96</v>
      </c>
      <c r="M1137" s="27">
        <v>43446</v>
      </c>
      <c r="N1137">
        <v>110.69799999999999</v>
      </c>
      <c r="O1137" s="27">
        <v>43060</v>
      </c>
      <c r="P1137">
        <v>106.60599999999999</v>
      </c>
    </row>
    <row r="1138" spans="3:16">
      <c r="C1138" s="27">
        <v>42262</v>
      </c>
      <c r="D1138">
        <v>2.98</v>
      </c>
      <c r="M1138" s="27">
        <v>43447</v>
      </c>
      <c r="N1138">
        <v>110.755</v>
      </c>
      <c r="O1138" s="27">
        <v>43061</v>
      </c>
      <c r="P1138">
        <v>106.59399999999999</v>
      </c>
    </row>
    <row r="1139" spans="3:16">
      <c r="C1139" s="27">
        <v>42263</v>
      </c>
      <c r="D1139">
        <v>3.0219999999999998</v>
      </c>
      <c r="M1139" s="27">
        <v>43448</v>
      </c>
      <c r="N1139">
        <v>110.941</v>
      </c>
      <c r="O1139" s="27">
        <v>43062</v>
      </c>
      <c r="P1139">
        <v>106.542</v>
      </c>
    </row>
    <row r="1140" spans="3:16">
      <c r="C1140" s="27">
        <v>42264</v>
      </c>
      <c r="D1140">
        <v>3.0350000000000001</v>
      </c>
      <c r="M1140" s="27">
        <v>43451</v>
      </c>
      <c r="N1140">
        <v>111.035</v>
      </c>
      <c r="O1140" s="27">
        <v>43063</v>
      </c>
      <c r="P1140">
        <v>106.485</v>
      </c>
    </row>
    <row r="1141" spans="3:16">
      <c r="C1141" s="27">
        <v>42265</v>
      </c>
      <c r="D1141">
        <v>3.0129999999999999</v>
      </c>
      <c r="M1141" s="27">
        <v>43452</v>
      </c>
      <c r="N1141">
        <v>111.20099999999999</v>
      </c>
      <c r="O1141" s="27">
        <v>43066</v>
      </c>
      <c r="P1141">
        <v>106.482</v>
      </c>
    </row>
    <row r="1142" spans="3:16">
      <c r="C1142" s="27">
        <v>42268</v>
      </c>
      <c r="D1142">
        <v>3.0059999999999998</v>
      </c>
      <c r="M1142" s="27">
        <v>43453</v>
      </c>
      <c r="N1142">
        <v>111.44199999999999</v>
      </c>
      <c r="O1142" s="27">
        <v>43067</v>
      </c>
      <c r="P1142">
        <v>106.509</v>
      </c>
    </row>
    <row r="1143" spans="3:16">
      <c r="C1143" s="27">
        <v>42269</v>
      </c>
      <c r="D1143">
        <v>3.03</v>
      </c>
      <c r="M1143" s="27">
        <v>43454</v>
      </c>
      <c r="N1143">
        <v>111.90300000000001</v>
      </c>
      <c r="O1143" s="27">
        <v>43068</v>
      </c>
      <c r="P1143">
        <v>106.479</v>
      </c>
    </row>
    <row r="1144" spans="3:16">
      <c r="C1144" s="27">
        <v>42270</v>
      </c>
      <c r="D1144">
        <v>2.9870000000000001</v>
      </c>
      <c r="M1144" s="27">
        <v>43455</v>
      </c>
      <c r="N1144">
        <v>112.001</v>
      </c>
      <c r="O1144" s="27">
        <v>43069</v>
      </c>
      <c r="P1144">
        <v>106.41500000000001</v>
      </c>
    </row>
    <row r="1145" spans="3:16">
      <c r="C1145" s="27">
        <v>42271</v>
      </c>
      <c r="D1145">
        <v>2.9980000000000002</v>
      </c>
      <c r="M1145" s="27">
        <v>43461</v>
      </c>
      <c r="N1145">
        <v>111.93300000000001</v>
      </c>
      <c r="O1145" s="27">
        <v>43070</v>
      </c>
      <c r="P1145">
        <v>106.386</v>
      </c>
    </row>
    <row r="1146" spans="3:16">
      <c r="C1146" s="27">
        <v>42272</v>
      </c>
      <c r="D1146">
        <v>2.9849999999999999</v>
      </c>
      <c r="M1146" s="27">
        <v>43462</v>
      </c>
      <c r="N1146">
        <v>112.126</v>
      </c>
      <c r="O1146" s="27">
        <v>43073</v>
      </c>
      <c r="P1146">
        <v>106.447</v>
      </c>
    </row>
    <row r="1147" spans="3:16">
      <c r="C1147" s="27">
        <v>42275</v>
      </c>
      <c r="D1147">
        <v>2.976</v>
      </c>
      <c r="M1147" s="27">
        <v>43465</v>
      </c>
      <c r="N1147">
        <v>112.182</v>
      </c>
      <c r="O1147" s="27">
        <v>43074</v>
      </c>
      <c r="P1147">
        <v>106.43300000000001</v>
      </c>
    </row>
    <row r="1148" spans="3:16">
      <c r="C1148" s="27">
        <v>42276</v>
      </c>
      <c r="D1148">
        <v>2.944</v>
      </c>
      <c r="M1148" s="27">
        <v>43467</v>
      </c>
      <c r="N1148">
        <v>112.324</v>
      </c>
      <c r="O1148" s="27">
        <v>43075</v>
      </c>
      <c r="P1148">
        <v>106.46</v>
      </c>
    </row>
    <row r="1149" spans="3:16">
      <c r="C1149" s="27">
        <v>42277</v>
      </c>
      <c r="D1149">
        <v>2.9340000000000002</v>
      </c>
      <c r="M1149" s="27">
        <v>43468</v>
      </c>
      <c r="N1149">
        <v>112.898</v>
      </c>
      <c r="O1149" s="27">
        <v>43076</v>
      </c>
      <c r="P1149">
        <v>106.496</v>
      </c>
    </row>
    <row r="1150" spans="3:16">
      <c r="C1150" s="27">
        <v>42278</v>
      </c>
      <c r="D1150">
        <v>2.923</v>
      </c>
      <c r="M1150" s="27">
        <v>43469</v>
      </c>
      <c r="N1150">
        <v>112.717</v>
      </c>
      <c r="O1150" s="27">
        <v>43077</v>
      </c>
      <c r="P1150">
        <v>106.499</v>
      </c>
    </row>
    <row r="1151" spans="3:16">
      <c r="C1151" s="27">
        <v>42279</v>
      </c>
      <c r="D1151">
        <v>2.9340000000000002</v>
      </c>
      <c r="M1151" s="27">
        <v>43472</v>
      </c>
      <c r="N1151">
        <v>112.714</v>
      </c>
      <c r="O1151" s="27">
        <v>43080</v>
      </c>
      <c r="P1151">
        <v>106.45</v>
      </c>
    </row>
    <row r="1152" spans="3:16">
      <c r="C1152" s="27">
        <v>42282</v>
      </c>
      <c r="D1152">
        <v>2.952</v>
      </c>
      <c r="M1152" s="27">
        <v>43473</v>
      </c>
      <c r="N1152">
        <v>112.419</v>
      </c>
      <c r="O1152" s="27">
        <v>43081</v>
      </c>
      <c r="P1152">
        <v>106.42700000000001</v>
      </c>
    </row>
    <row r="1153" spans="3:16">
      <c r="C1153" s="27">
        <v>42283</v>
      </c>
      <c r="D1153">
        <v>2.9260000000000002</v>
      </c>
      <c r="M1153" s="27">
        <v>43474</v>
      </c>
      <c r="N1153">
        <v>112.205</v>
      </c>
      <c r="O1153" s="27">
        <v>43082</v>
      </c>
      <c r="P1153">
        <v>106.411</v>
      </c>
    </row>
    <row r="1154" spans="3:16">
      <c r="C1154" s="27">
        <v>42284</v>
      </c>
      <c r="D1154">
        <v>2.9409999999999998</v>
      </c>
      <c r="M1154" s="27">
        <v>43475</v>
      </c>
      <c r="N1154">
        <v>113.527</v>
      </c>
      <c r="O1154" s="27">
        <v>43083</v>
      </c>
      <c r="P1154">
        <v>106.444</v>
      </c>
    </row>
    <row r="1155" spans="3:16">
      <c r="C1155" s="27">
        <v>42285</v>
      </c>
      <c r="D1155">
        <v>2.9180000000000001</v>
      </c>
      <c r="M1155" s="27">
        <v>43476</v>
      </c>
      <c r="N1155">
        <v>114.685</v>
      </c>
      <c r="O1155" s="27">
        <v>43084</v>
      </c>
      <c r="P1155">
        <v>106.39</v>
      </c>
    </row>
    <row r="1156" spans="3:16">
      <c r="C1156" s="27">
        <v>42286</v>
      </c>
      <c r="D1156">
        <v>2.95</v>
      </c>
      <c r="M1156" s="27">
        <v>43479</v>
      </c>
      <c r="N1156">
        <v>115.175</v>
      </c>
      <c r="O1156" s="27">
        <v>43087</v>
      </c>
      <c r="P1156">
        <v>106.34399999999999</v>
      </c>
    </row>
    <row r="1157" spans="3:16">
      <c r="C1157" s="27">
        <v>42289</v>
      </c>
      <c r="D1157">
        <v>2.9550000000000001</v>
      </c>
      <c r="M1157" s="27">
        <v>43480</v>
      </c>
      <c r="N1157">
        <v>115.235</v>
      </c>
      <c r="O1157" s="27">
        <v>43088</v>
      </c>
      <c r="P1157">
        <v>106.309</v>
      </c>
    </row>
    <row r="1158" spans="3:16">
      <c r="C1158" s="27">
        <v>42290</v>
      </c>
      <c r="D1158">
        <v>2.964</v>
      </c>
      <c r="M1158" s="27">
        <v>43481</v>
      </c>
      <c r="N1158">
        <v>115.027</v>
      </c>
      <c r="O1158" s="27">
        <v>43089</v>
      </c>
      <c r="P1158">
        <v>106.23</v>
      </c>
    </row>
    <row r="1159" spans="3:16">
      <c r="C1159" s="27">
        <v>42291</v>
      </c>
      <c r="D1159">
        <v>2.883</v>
      </c>
      <c r="M1159" s="27">
        <v>43482</v>
      </c>
      <c r="N1159">
        <v>115.063</v>
      </c>
      <c r="O1159" s="27">
        <v>43090</v>
      </c>
      <c r="P1159">
        <v>106.188</v>
      </c>
    </row>
    <row r="1160" spans="3:16">
      <c r="C1160" s="27">
        <v>42292</v>
      </c>
      <c r="D1160">
        <v>2.8879999999999999</v>
      </c>
      <c r="M1160" s="27">
        <v>43483</v>
      </c>
      <c r="N1160">
        <v>115.15</v>
      </c>
      <c r="O1160" s="27">
        <v>43091</v>
      </c>
      <c r="P1160">
        <v>106.09</v>
      </c>
    </row>
    <row r="1161" spans="3:16">
      <c r="C1161" s="27">
        <v>42293</v>
      </c>
      <c r="D1161">
        <v>2.867</v>
      </c>
      <c r="M1161" s="27">
        <v>43486</v>
      </c>
      <c r="N1161">
        <v>114.988</v>
      </c>
      <c r="O1161" s="27">
        <v>43096</v>
      </c>
      <c r="P1161">
        <v>106.048</v>
      </c>
    </row>
    <row r="1162" spans="3:16">
      <c r="C1162" s="27">
        <v>42296</v>
      </c>
      <c r="D1162">
        <v>2.8609999999999998</v>
      </c>
      <c r="M1162" s="27">
        <v>43487</v>
      </c>
      <c r="N1162">
        <v>115.18</v>
      </c>
      <c r="O1162" s="27">
        <v>43097</v>
      </c>
      <c r="P1162">
        <v>106.066</v>
      </c>
    </row>
    <row r="1163" spans="3:16">
      <c r="C1163" s="27">
        <v>42297</v>
      </c>
      <c r="D1163">
        <v>2.8879999999999999</v>
      </c>
      <c r="M1163" s="27">
        <v>43488</v>
      </c>
      <c r="N1163">
        <v>115.288</v>
      </c>
      <c r="O1163" s="27">
        <v>43098</v>
      </c>
      <c r="P1163">
        <v>105.964</v>
      </c>
    </row>
    <row r="1164" spans="3:16">
      <c r="C1164" s="27">
        <v>42298</v>
      </c>
      <c r="D1164">
        <v>2.9079999999999999</v>
      </c>
      <c r="M1164" s="27">
        <v>43489</v>
      </c>
      <c r="N1164">
        <v>115.395</v>
      </c>
      <c r="O1164" s="27">
        <v>43102</v>
      </c>
      <c r="P1164">
        <v>105.99299999999999</v>
      </c>
    </row>
    <row r="1165" spans="3:16">
      <c r="C1165" s="27">
        <v>42299</v>
      </c>
      <c r="D1165">
        <v>2.883</v>
      </c>
      <c r="M1165" s="27">
        <v>43490</v>
      </c>
      <c r="N1165">
        <v>115.46899999999999</v>
      </c>
      <c r="O1165" s="27">
        <v>43103</v>
      </c>
      <c r="P1165">
        <v>105.931</v>
      </c>
    </row>
    <row r="1166" spans="3:16">
      <c r="C1166" s="27">
        <v>42300</v>
      </c>
      <c r="D1166">
        <v>2.8769999999999998</v>
      </c>
      <c r="M1166" s="27">
        <v>43493</v>
      </c>
      <c r="N1166">
        <v>115.812</v>
      </c>
      <c r="O1166" s="27">
        <v>43104</v>
      </c>
      <c r="P1166">
        <v>105.934</v>
      </c>
    </row>
    <row r="1167" spans="3:16">
      <c r="C1167" s="27">
        <v>42303</v>
      </c>
      <c r="D1167">
        <v>2.8980000000000001</v>
      </c>
      <c r="M1167" s="27">
        <v>43494</v>
      </c>
      <c r="N1167">
        <v>115.736</v>
      </c>
      <c r="O1167" s="27">
        <v>43105</v>
      </c>
      <c r="P1167">
        <v>105.92400000000001</v>
      </c>
    </row>
    <row r="1168" spans="3:16">
      <c r="C1168" s="27">
        <v>42304</v>
      </c>
      <c r="D1168">
        <v>2.891</v>
      </c>
      <c r="M1168" s="27">
        <v>43495</v>
      </c>
      <c r="N1168">
        <v>115.824</v>
      </c>
      <c r="O1168" s="27">
        <v>43108</v>
      </c>
      <c r="P1168">
        <v>105.92100000000001</v>
      </c>
    </row>
    <row r="1169" spans="3:16">
      <c r="C1169" s="27">
        <v>42305</v>
      </c>
      <c r="D1169">
        <v>2.8279999999999998</v>
      </c>
      <c r="M1169" s="27">
        <v>43496</v>
      </c>
      <c r="N1169">
        <v>116.065</v>
      </c>
      <c r="O1169" s="27">
        <v>43109</v>
      </c>
      <c r="P1169">
        <v>105.944</v>
      </c>
    </row>
    <row r="1170" spans="3:16">
      <c r="C1170" s="27">
        <v>42306</v>
      </c>
      <c r="D1170">
        <v>2.859</v>
      </c>
      <c r="M1170" s="27">
        <v>43497</v>
      </c>
      <c r="N1170">
        <v>116.193</v>
      </c>
      <c r="O1170" s="27">
        <v>43110</v>
      </c>
      <c r="P1170">
        <v>105.932</v>
      </c>
    </row>
    <row r="1171" spans="3:16">
      <c r="C1171" s="27">
        <v>42307</v>
      </c>
      <c r="D1171">
        <v>2.863</v>
      </c>
      <c r="M1171" s="27">
        <v>43500</v>
      </c>
      <c r="N1171">
        <v>116.074</v>
      </c>
      <c r="O1171" s="27">
        <v>43111</v>
      </c>
      <c r="P1171">
        <v>105.92700000000001</v>
      </c>
    </row>
    <row r="1172" spans="3:16">
      <c r="C1172" s="27">
        <v>42310</v>
      </c>
      <c r="D1172">
        <v>2.86</v>
      </c>
      <c r="M1172" s="27">
        <v>43501</v>
      </c>
      <c r="N1172">
        <v>115.986</v>
      </c>
      <c r="O1172" s="27">
        <v>43112</v>
      </c>
      <c r="P1172">
        <v>105.77500000000001</v>
      </c>
    </row>
    <row r="1173" spans="3:16">
      <c r="C1173" s="27">
        <v>42311</v>
      </c>
      <c r="D1173">
        <v>2.931</v>
      </c>
      <c r="M1173" s="27">
        <v>43502</v>
      </c>
      <c r="N1173">
        <v>116.054</v>
      </c>
      <c r="O1173" s="27">
        <v>43115</v>
      </c>
      <c r="P1173">
        <v>105.777</v>
      </c>
    </row>
    <row r="1174" spans="3:16">
      <c r="C1174" s="27">
        <v>42312</v>
      </c>
      <c r="D1174">
        <v>2.9279999999999999</v>
      </c>
      <c r="M1174" s="27">
        <v>43503</v>
      </c>
      <c r="N1174">
        <v>116.336</v>
      </c>
      <c r="O1174" s="27">
        <v>43116</v>
      </c>
      <c r="P1174">
        <v>105.786</v>
      </c>
    </row>
    <row r="1175" spans="3:16">
      <c r="C1175" s="27">
        <v>42313</v>
      </c>
      <c r="D1175">
        <v>2.976</v>
      </c>
      <c r="M1175" s="27">
        <v>43504</v>
      </c>
      <c r="N1175">
        <v>116.65300000000001</v>
      </c>
      <c r="O1175" s="27">
        <v>43117</v>
      </c>
      <c r="P1175">
        <v>105.785</v>
      </c>
    </row>
    <row r="1176" spans="3:16">
      <c r="C1176" s="27">
        <v>42314</v>
      </c>
      <c r="D1176">
        <v>2.9849999999999999</v>
      </c>
      <c r="M1176" s="27">
        <v>43507</v>
      </c>
      <c r="N1176">
        <v>116.557</v>
      </c>
      <c r="O1176" s="27">
        <v>43118</v>
      </c>
      <c r="P1176">
        <v>105.78700000000001</v>
      </c>
    </row>
    <row r="1177" spans="3:16">
      <c r="C1177" s="27">
        <v>42317</v>
      </c>
      <c r="D1177">
        <v>3.0339999999999998</v>
      </c>
      <c r="M1177" s="27">
        <v>43508</v>
      </c>
      <c r="N1177">
        <v>116.40900000000001</v>
      </c>
      <c r="O1177" s="27">
        <v>43119</v>
      </c>
      <c r="P1177">
        <v>105.791</v>
      </c>
    </row>
    <row r="1178" spans="3:16">
      <c r="C1178" s="27">
        <v>42318</v>
      </c>
      <c r="D1178">
        <v>3.0339999999999998</v>
      </c>
      <c r="M1178" s="27">
        <v>43509</v>
      </c>
      <c r="N1178">
        <v>116.301</v>
      </c>
      <c r="O1178" s="27">
        <v>43122</v>
      </c>
      <c r="P1178">
        <v>105.82599999999999</v>
      </c>
    </row>
    <row r="1179" spans="3:16">
      <c r="C1179" s="27">
        <v>42319</v>
      </c>
      <c r="D1179">
        <v>3.0259999999999998</v>
      </c>
      <c r="M1179" s="27">
        <v>43510</v>
      </c>
      <c r="N1179">
        <v>116.55500000000001</v>
      </c>
      <c r="O1179" s="27">
        <v>43123</v>
      </c>
      <c r="P1179">
        <v>105.825</v>
      </c>
    </row>
    <row r="1180" spans="3:16">
      <c r="C1180" s="27">
        <v>42320</v>
      </c>
      <c r="D1180">
        <v>3.1059999999999999</v>
      </c>
      <c r="M1180" s="27">
        <v>43511</v>
      </c>
      <c r="N1180">
        <v>116.495</v>
      </c>
      <c r="O1180" s="27">
        <v>43124</v>
      </c>
      <c r="P1180">
        <v>105.81699999999999</v>
      </c>
    </row>
    <row r="1181" spans="3:16">
      <c r="C1181" s="27">
        <v>42321</v>
      </c>
      <c r="D1181">
        <v>3.097</v>
      </c>
      <c r="M1181" s="27">
        <v>43514</v>
      </c>
      <c r="N1181">
        <v>116.37</v>
      </c>
      <c r="O1181" s="27">
        <v>43125</v>
      </c>
      <c r="P1181">
        <v>105.80500000000001</v>
      </c>
    </row>
    <row r="1182" spans="3:16">
      <c r="C1182" s="27">
        <v>42324</v>
      </c>
      <c r="D1182">
        <v>3.0590000000000002</v>
      </c>
      <c r="M1182" s="27">
        <v>43515</v>
      </c>
      <c r="N1182">
        <v>116.45099999999999</v>
      </c>
      <c r="O1182" s="27">
        <v>43126</v>
      </c>
      <c r="P1182">
        <v>105.733</v>
      </c>
    </row>
    <row r="1183" spans="3:16">
      <c r="C1183" s="27">
        <v>42325</v>
      </c>
      <c r="D1183">
        <v>3.0750000000000002</v>
      </c>
      <c r="M1183" s="27">
        <v>43516</v>
      </c>
      <c r="N1183">
        <v>116.501</v>
      </c>
      <c r="O1183" s="27">
        <v>43129</v>
      </c>
      <c r="P1183">
        <v>105.667</v>
      </c>
    </row>
    <row r="1184" spans="3:16">
      <c r="C1184" s="27">
        <v>42326</v>
      </c>
      <c r="D1184">
        <v>3.0670000000000002</v>
      </c>
      <c r="M1184" s="27">
        <v>43517</v>
      </c>
      <c r="N1184">
        <v>116.345</v>
      </c>
      <c r="O1184" s="27">
        <v>43130</v>
      </c>
      <c r="P1184">
        <v>105.607</v>
      </c>
    </row>
    <row r="1185" spans="3:16">
      <c r="C1185" s="27">
        <v>42327</v>
      </c>
      <c r="D1185">
        <v>3.0880000000000001</v>
      </c>
      <c r="M1185" s="27">
        <v>43518</v>
      </c>
      <c r="N1185">
        <v>116.458</v>
      </c>
      <c r="O1185" s="27">
        <v>43131</v>
      </c>
      <c r="P1185">
        <v>105.624</v>
      </c>
    </row>
    <row r="1186" spans="3:16">
      <c r="C1186" s="27">
        <v>42328</v>
      </c>
      <c r="D1186">
        <v>3.08</v>
      </c>
      <c r="M1186" s="27">
        <v>43521</v>
      </c>
      <c r="N1186">
        <v>116.547</v>
      </c>
      <c r="O1186" s="27">
        <v>43132</v>
      </c>
      <c r="P1186">
        <v>105.602</v>
      </c>
    </row>
    <row r="1187" spans="3:16">
      <c r="C1187" s="27">
        <v>42331</v>
      </c>
      <c r="D1187">
        <v>3.1070000000000002</v>
      </c>
      <c r="M1187" s="27">
        <v>43522</v>
      </c>
      <c r="N1187">
        <v>116.563</v>
      </c>
      <c r="O1187" s="27">
        <v>43133</v>
      </c>
      <c r="P1187">
        <v>105.617</v>
      </c>
    </row>
    <row r="1188" spans="3:16">
      <c r="C1188" s="27">
        <v>42332</v>
      </c>
      <c r="D1188">
        <v>3.097</v>
      </c>
      <c r="M1188" s="27">
        <v>43523</v>
      </c>
      <c r="N1188">
        <v>116.393</v>
      </c>
      <c r="O1188" s="27">
        <v>43136</v>
      </c>
      <c r="P1188">
        <v>105.61499999999999</v>
      </c>
    </row>
    <row r="1189" spans="3:16">
      <c r="C1189" s="27">
        <v>42333</v>
      </c>
      <c r="D1189">
        <v>3.0950000000000002</v>
      </c>
      <c r="M1189" s="27">
        <v>43524</v>
      </c>
      <c r="N1189">
        <v>116.215</v>
      </c>
      <c r="O1189" s="27">
        <v>43137</v>
      </c>
      <c r="P1189">
        <v>105.688</v>
      </c>
    </row>
    <row r="1190" spans="3:16">
      <c r="C1190" s="27">
        <v>42334</v>
      </c>
      <c r="D1190">
        <v>3.0739999999999998</v>
      </c>
      <c r="M1190" s="27">
        <v>43525</v>
      </c>
      <c r="N1190">
        <v>116.005</v>
      </c>
      <c r="O1190" s="27">
        <v>43138</v>
      </c>
      <c r="P1190">
        <v>105.658</v>
      </c>
    </row>
    <row r="1191" spans="3:16">
      <c r="C1191" s="27">
        <v>42335</v>
      </c>
      <c r="D1191">
        <v>3.0859999999999999</v>
      </c>
      <c r="M1191" s="27">
        <v>43528</v>
      </c>
      <c r="N1191">
        <v>116.11199999999999</v>
      </c>
      <c r="O1191" s="27">
        <v>43139</v>
      </c>
      <c r="P1191">
        <v>105.62</v>
      </c>
    </row>
    <row r="1192" spans="3:16">
      <c r="C1192" s="27">
        <v>42338</v>
      </c>
      <c r="D1192">
        <v>3.09</v>
      </c>
      <c r="M1192" s="27">
        <v>43529</v>
      </c>
      <c r="N1192">
        <v>116.179</v>
      </c>
      <c r="O1192" s="27">
        <v>43140</v>
      </c>
      <c r="P1192">
        <v>105.619</v>
      </c>
    </row>
    <row r="1193" spans="3:16">
      <c r="C1193" s="27">
        <v>42339</v>
      </c>
      <c r="D1193">
        <v>3.1</v>
      </c>
      <c r="M1193" s="27">
        <v>43530</v>
      </c>
      <c r="N1193">
        <v>116.321</v>
      </c>
      <c r="O1193" s="27">
        <v>43143</v>
      </c>
      <c r="P1193">
        <v>105.652</v>
      </c>
    </row>
    <row r="1194" spans="3:16">
      <c r="C1194" s="27">
        <v>42340</v>
      </c>
      <c r="D1194">
        <v>3.101</v>
      </c>
      <c r="M1194" s="27">
        <v>43531</v>
      </c>
      <c r="N1194">
        <v>116.79600000000001</v>
      </c>
      <c r="O1194" s="27">
        <v>43144</v>
      </c>
      <c r="P1194">
        <v>105.663</v>
      </c>
    </row>
    <row r="1195" spans="3:16">
      <c r="C1195" s="27">
        <v>42341</v>
      </c>
      <c r="D1195">
        <v>3.1150000000000002</v>
      </c>
      <c r="M1195" s="27">
        <v>43532</v>
      </c>
      <c r="N1195">
        <v>117.124</v>
      </c>
      <c r="O1195" s="27">
        <v>43145</v>
      </c>
      <c r="P1195">
        <v>105.65300000000001</v>
      </c>
    </row>
    <row r="1196" spans="3:16">
      <c r="C1196" s="27">
        <v>42342</v>
      </c>
      <c r="D1196">
        <v>3.141</v>
      </c>
      <c r="M1196" s="27">
        <v>43535</v>
      </c>
      <c r="N1196">
        <v>117.10899999999999</v>
      </c>
      <c r="O1196" s="27">
        <v>43146</v>
      </c>
      <c r="P1196">
        <v>105.61799999999999</v>
      </c>
    </row>
    <row r="1197" spans="3:16">
      <c r="C1197" s="27">
        <v>42345</v>
      </c>
      <c r="D1197">
        <v>3.145</v>
      </c>
      <c r="M1197" s="27">
        <v>43536</v>
      </c>
      <c r="N1197">
        <v>117.036</v>
      </c>
      <c r="O1197" s="27">
        <v>43147</v>
      </c>
      <c r="P1197">
        <v>105.57599999999999</v>
      </c>
    </row>
    <row r="1198" spans="3:16">
      <c r="C1198" s="27">
        <v>42346</v>
      </c>
      <c r="D1198">
        <v>3.1110000000000002</v>
      </c>
      <c r="M1198" s="27">
        <v>43537</v>
      </c>
      <c r="N1198">
        <v>116.983</v>
      </c>
      <c r="O1198" s="27">
        <v>43150</v>
      </c>
      <c r="P1198">
        <v>105.604</v>
      </c>
    </row>
    <row r="1199" spans="3:16">
      <c r="C1199" s="27">
        <v>42347</v>
      </c>
      <c r="D1199">
        <v>3.117</v>
      </c>
      <c r="M1199" s="27">
        <v>43538</v>
      </c>
      <c r="N1199">
        <v>116.792</v>
      </c>
      <c r="O1199" s="27">
        <v>43151</v>
      </c>
      <c r="P1199">
        <v>105.598</v>
      </c>
    </row>
    <row r="1200" spans="3:16">
      <c r="C1200" s="27">
        <v>42348</v>
      </c>
      <c r="D1200">
        <v>3.1749999999999998</v>
      </c>
      <c r="M1200" s="27">
        <v>43539</v>
      </c>
      <c r="N1200">
        <v>116.745</v>
      </c>
      <c r="O1200" s="27">
        <v>43152</v>
      </c>
      <c r="P1200">
        <v>105.595</v>
      </c>
    </row>
    <row r="1201" spans="3:16">
      <c r="C1201" s="27">
        <v>42349</v>
      </c>
      <c r="D1201">
        <v>3.1589999999999998</v>
      </c>
      <c r="M1201" s="27">
        <v>43542</v>
      </c>
      <c r="N1201">
        <v>116.85899999999999</v>
      </c>
      <c r="O1201" s="27">
        <v>43153</v>
      </c>
      <c r="P1201">
        <v>105.593</v>
      </c>
    </row>
    <row r="1202" spans="3:16">
      <c r="C1202" s="27">
        <v>42352</v>
      </c>
      <c r="D1202">
        <v>3.1320000000000001</v>
      </c>
      <c r="M1202" s="27">
        <v>43543</v>
      </c>
      <c r="N1202">
        <v>107.797</v>
      </c>
      <c r="O1202" s="27">
        <v>43154</v>
      </c>
      <c r="P1202">
        <v>105.595</v>
      </c>
    </row>
    <row r="1203" spans="3:16">
      <c r="C1203" s="27">
        <v>42353</v>
      </c>
      <c r="D1203">
        <v>3.1240000000000001</v>
      </c>
      <c r="M1203" s="27">
        <v>43544</v>
      </c>
      <c r="N1203">
        <v>109.72799999999999</v>
      </c>
      <c r="O1203" s="27">
        <v>43157</v>
      </c>
      <c r="P1203">
        <v>105.623</v>
      </c>
    </row>
    <row r="1204" spans="3:16">
      <c r="C1204" s="27">
        <v>42354</v>
      </c>
      <c r="D1204">
        <v>3.1390000000000002</v>
      </c>
      <c r="M1204" s="27">
        <v>43545</v>
      </c>
      <c r="N1204">
        <v>114.70099999999999</v>
      </c>
      <c r="O1204" s="27">
        <v>43158</v>
      </c>
      <c r="P1204">
        <v>105.61799999999999</v>
      </c>
    </row>
    <row r="1205" spans="3:16">
      <c r="C1205" s="27">
        <v>42355</v>
      </c>
      <c r="D1205">
        <v>3.137</v>
      </c>
      <c r="M1205" s="27">
        <v>43546</v>
      </c>
      <c r="N1205">
        <v>116.834</v>
      </c>
      <c r="O1205" s="27">
        <v>43159</v>
      </c>
      <c r="P1205">
        <v>105.584</v>
      </c>
    </row>
    <row r="1206" spans="3:16">
      <c r="C1206" s="27">
        <v>42356</v>
      </c>
      <c r="D1206">
        <v>3.117</v>
      </c>
      <c r="M1206" s="27">
        <v>43549</v>
      </c>
      <c r="N1206">
        <v>116.955</v>
      </c>
      <c r="O1206" s="27">
        <v>43160</v>
      </c>
      <c r="P1206">
        <v>105.622</v>
      </c>
    </row>
    <row r="1207" spans="3:16">
      <c r="C1207" s="27">
        <v>42359</v>
      </c>
      <c r="D1207">
        <v>3.1269999999999998</v>
      </c>
      <c r="M1207" s="27">
        <v>43550</v>
      </c>
      <c r="N1207">
        <v>117.517</v>
      </c>
      <c r="O1207" s="27">
        <v>43161</v>
      </c>
      <c r="P1207">
        <v>105.62</v>
      </c>
    </row>
    <row r="1208" spans="3:16">
      <c r="C1208" s="27">
        <v>42360</v>
      </c>
      <c r="D1208">
        <v>3.1280000000000001</v>
      </c>
      <c r="M1208" s="27">
        <v>43551</v>
      </c>
      <c r="N1208">
        <v>118.145</v>
      </c>
      <c r="O1208" s="27">
        <v>43164</v>
      </c>
      <c r="P1208">
        <v>105.593</v>
      </c>
    </row>
    <row r="1209" spans="3:16">
      <c r="C1209" s="27">
        <v>42361</v>
      </c>
      <c r="D1209">
        <v>3.1419999999999999</v>
      </c>
      <c r="M1209" s="27">
        <v>43552</v>
      </c>
      <c r="N1209">
        <v>118.43300000000001</v>
      </c>
      <c r="O1209" s="27">
        <v>43165</v>
      </c>
      <c r="P1209">
        <v>105.583</v>
      </c>
    </row>
    <row r="1210" spans="3:16">
      <c r="C1210" s="27">
        <v>42362</v>
      </c>
      <c r="D1210">
        <v>3.1459999999999999</v>
      </c>
      <c r="M1210" s="27">
        <v>43553</v>
      </c>
      <c r="N1210">
        <v>118.38</v>
      </c>
      <c r="O1210" s="27">
        <v>43166</v>
      </c>
      <c r="P1210">
        <v>105.557</v>
      </c>
    </row>
    <row r="1211" spans="3:16">
      <c r="C1211" s="27">
        <v>42363</v>
      </c>
      <c r="D1211">
        <v>3.1509999999999998</v>
      </c>
      <c r="M1211" s="27">
        <v>43556</v>
      </c>
      <c r="N1211">
        <v>118.09399999999999</v>
      </c>
      <c r="O1211" s="27">
        <v>43167</v>
      </c>
      <c r="P1211">
        <v>105.55</v>
      </c>
    </row>
    <row r="1212" spans="3:16">
      <c r="C1212" s="27">
        <v>42366</v>
      </c>
      <c r="D1212">
        <v>3.173</v>
      </c>
      <c r="M1212" s="27">
        <v>43557</v>
      </c>
      <c r="N1212">
        <v>117.873</v>
      </c>
      <c r="O1212" s="27">
        <v>43168</v>
      </c>
      <c r="P1212">
        <v>105.556</v>
      </c>
    </row>
    <row r="1213" spans="3:16">
      <c r="C1213" s="27">
        <v>42367</v>
      </c>
      <c r="D1213">
        <v>3.1310000000000002</v>
      </c>
      <c r="M1213" s="27">
        <v>43558</v>
      </c>
      <c r="N1213">
        <v>117.402</v>
      </c>
      <c r="O1213" s="27">
        <v>43171</v>
      </c>
      <c r="P1213">
        <v>105.548</v>
      </c>
    </row>
    <row r="1214" spans="3:16">
      <c r="C1214" s="27">
        <v>42368</v>
      </c>
      <c r="D1214">
        <v>3.1310000000000002</v>
      </c>
      <c r="M1214" s="27">
        <v>43559</v>
      </c>
      <c r="N1214">
        <v>117.41</v>
      </c>
      <c r="O1214" s="27">
        <v>43172</v>
      </c>
      <c r="P1214">
        <v>105.575</v>
      </c>
    </row>
    <row r="1215" spans="3:16">
      <c r="C1215" s="27">
        <v>42369</v>
      </c>
      <c r="D1215">
        <v>3.1150000000000002</v>
      </c>
      <c r="M1215" s="27">
        <v>43560</v>
      </c>
      <c r="N1215">
        <v>117.44799999999999</v>
      </c>
      <c r="O1215" s="27">
        <v>43173</v>
      </c>
      <c r="P1215">
        <v>105.571</v>
      </c>
    </row>
    <row r="1216" spans="3:16">
      <c r="C1216" s="27">
        <v>42370</v>
      </c>
      <c r="D1216">
        <v>3.1189999999999998</v>
      </c>
      <c r="M1216" s="27">
        <v>43563</v>
      </c>
      <c r="N1216">
        <v>117.477</v>
      </c>
      <c r="O1216" s="27">
        <v>43174</v>
      </c>
      <c r="P1216">
        <v>105.56699999999999</v>
      </c>
    </row>
    <row r="1217" spans="3:16">
      <c r="C1217" s="27">
        <v>42373</v>
      </c>
      <c r="D1217">
        <v>3.101</v>
      </c>
      <c r="M1217" s="27">
        <v>43564</v>
      </c>
      <c r="N1217">
        <v>117.59</v>
      </c>
      <c r="O1217" s="27">
        <v>43175</v>
      </c>
      <c r="P1217">
        <v>105.51600000000001</v>
      </c>
    </row>
    <row r="1218" spans="3:16">
      <c r="C1218" s="27">
        <v>42374</v>
      </c>
      <c r="D1218">
        <v>3.101</v>
      </c>
      <c r="M1218" s="27">
        <v>43565</v>
      </c>
      <c r="N1218">
        <v>117.446</v>
      </c>
      <c r="O1218" s="27">
        <v>43178</v>
      </c>
      <c r="P1218">
        <v>105.533</v>
      </c>
    </row>
    <row r="1219" spans="3:16">
      <c r="C1219" s="27">
        <v>42375</v>
      </c>
      <c r="D1219">
        <v>3.105</v>
      </c>
      <c r="M1219" s="27">
        <v>43566</v>
      </c>
      <c r="N1219">
        <v>117.378</v>
      </c>
      <c r="O1219" s="27">
        <v>43179</v>
      </c>
      <c r="P1219">
        <v>105.506</v>
      </c>
    </row>
    <row r="1220" spans="3:16">
      <c r="C1220" s="27">
        <v>42376</v>
      </c>
      <c r="D1220">
        <v>3.0840000000000001</v>
      </c>
      <c r="M1220" s="27">
        <v>43567</v>
      </c>
      <c r="N1220">
        <v>116.95</v>
      </c>
      <c r="O1220" s="27">
        <v>43180</v>
      </c>
      <c r="P1220">
        <v>105.495</v>
      </c>
    </row>
    <row r="1221" spans="3:16">
      <c r="C1221" s="27">
        <v>42377</v>
      </c>
      <c r="D1221">
        <v>3.097</v>
      </c>
      <c r="M1221" s="27">
        <v>43570</v>
      </c>
      <c r="N1221">
        <v>116.726</v>
      </c>
      <c r="O1221" s="27">
        <v>43181</v>
      </c>
      <c r="P1221">
        <v>105.49299999999999</v>
      </c>
    </row>
    <row r="1222" spans="3:16">
      <c r="C1222" s="27">
        <v>42380</v>
      </c>
      <c r="D1222">
        <v>3.105</v>
      </c>
      <c r="M1222" s="27">
        <v>43571</v>
      </c>
      <c r="N1222">
        <v>116.592</v>
      </c>
      <c r="O1222" s="27">
        <v>43182</v>
      </c>
      <c r="P1222">
        <v>105.517</v>
      </c>
    </row>
    <row r="1223" spans="3:16">
      <c r="C1223" s="27">
        <v>42381</v>
      </c>
      <c r="D1223">
        <v>3.1059999999999999</v>
      </c>
      <c r="M1223" s="27">
        <v>43572</v>
      </c>
      <c r="N1223">
        <v>116.404</v>
      </c>
      <c r="O1223" s="27">
        <v>43185</v>
      </c>
      <c r="P1223">
        <v>105.51600000000001</v>
      </c>
    </row>
    <row r="1224" spans="3:16">
      <c r="C1224" s="27">
        <v>42382</v>
      </c>
      <c r="D1224">
        <v>3.101</v>
      </c>
      <c r="M1224" s="27">
        <v>43578</v>
      </c>
      <c r="N1224">
        <v>116.471</v>
      </c>
      <c r="O1224" s="27">
        <v>43186</v>
      </c>
      <c r="P1224">
        <v>105.48099999999999</v>
      </c>
    </row>
    <row r="1225" spans="3:16">
      <c r="C1225" s="27">
        <v>42383</v>
      </c>
      <c r="D1225">
        <v>3.0720000000000001</v>
      </c>
      <c r="M1225" s="27">
        <v>43579</v>
      </c>
      <c r="N1225">
        <v>116.675</v>
      </c>
      <c r="O1225" s="27">
        <v>43187</v>
      </c>
      <c r="P1225">
        <v>105.505</v>
      </c>
    </row>
    <row r="1226" spans="3:16">
      <c r="C1226" s="27">
        <v>42384</v>
      </c>
      <c r="D1226">
        <v>3.0609999999999999</v>
      </c>
      <c r="M1226" s="27">
        <v>43580</v>
      </c>
      <c r="N1226">
        <v>116.947</v>
      </c>
      <c r="O1226" s="27">
        <v>43188</v>
      </c>
      <c r="P1226">
        <v>105.443</v>
      </c>
    </row>
    <row r="1227" spans="3:16">
      <c r="C1227" s="27">
        <v>42387</v>
      </c>
      <c r="D1227">
        <v>3.04</v>
      </c>
      <c r="M1227" s="27">
        <v>43581</v>
      </c>
      <c r="N1227">
        <v>117.15600000000001</v>
      </c>
      <c r="O1227" s="27">
        <v>43193</v>
      </c>
      <c r="P1227">
        <v>105.437</v>
      </c>
    </row>
    <row r="1228" spans="3:16">
      <c r="C1228" s="27">
        <v>42388</v>
      </c>
      <c r="D1228">
        <v>3.0430000000000001</v>
      </c>
      <c r="M1228" s="27">
        <v>43584</v>
      </c>
      <c r="N1228">
        <v>117.223</v>
      </c>
      <c r="O1228" s="27">
        <v>43194</v>
      </c>
      <c r="P1228">
        <v>105.417</v>
      </c>
    </row>
    <row r="1229" spans="3:16">
      <c r="C1229" s="27">
        <v>42389</v>
      </c>
      <c r="D1229">
        <v>3.0150000000000001</v>
      </c>
      <c r="M1229" s="27">
        <v>43585</v>
      </c>
      <c r="N1229">
        <v>117.13</v>
      </c>
      <c r="O1229" s="27">
        <v>43195</v>
      </c>
      <c r="P1229">
        <v>105.38800000000001</v>
      </c>
    </row>
    <row r="1230" spans="3:16">
      <c r="C1230" s="27">
        <v>42390</v>
      </c>
      <c r="D1230">
        <v>3.0459999999999998</v>
      </c>
      <c r="M1230" s="27">
        <v>43587</v>
      </c>
      <c r="N1230">
        <v>117.18600000000001</v>
      </c>
      <c r="O1230" s="27">
        <v>43196</v>
      </c>
      <c r="P1230">
        <v>105.369</v>
      </c>
    </row>
    <row r="1231" spans="3:16">
      <c r="C1231" s="27">
        <v>42391</v>
      </c>
      <c r="D1231">
        <v>3.0510000000000002</v>
      </c>
      <c r="M1231" s="27">
        <v>43588</v>
      </c>
      <c r="N1231">
        <v>117.259</v>
      </c>
      <c r="O1231" s="27">
        <v>43199</v>
      </c>
      <c r="P1231">
        <v>105.369</v>
      </c>
    </row>
    <row r="1232" spans="3:16">
      <c r="C1232" s="27">
        <v>42394</v>
      </c>
      <c r="D1232">
        <v>3.0459999999999998</v>
      </c>
      <c r="M1232" s="27">
        <v>43591</v>
      </c>
      <c r="N1232">
        <v>117.26900000000001</v>
      </c>
      <c r="O1232" s="27">
        <v>43200</v>
      </c>
      <c r="P1232">
        <v>105.348</v>
      </c>
    </row>
    <row r="1233" spans="3:16">
      <c r="C1233" s="27">
        <v>42395</v>
      </c>
      <c r="D1233">
        <v>3.05</v>
      </c>
      <c r="M1233" s="27">
        <v>43592</v>
      </c>
      <c r="N1233">
        <v>117.355</v>
      </c>
      <c r="O1233" s="27">
        <v>43201</v>
      </c>
      <c r="P1233">
        <v>105.318</v>
      </c>
    </row>
    <row r="1234" spans="3:16">
      <c r="C1234" s="27">
        <v>42396</v>
      </c>
      <c r="D1234">
        <v>3.069</v>
      </c>
      <c r="M1234" s="27">
        <v>43593</v>
      </c>
      <c r="N1234">
        <v>117.553</v>
      </c>
      <c r="O1234" s="27">
        <v>43202</v>
      </c>
      <c r="P1234">
        <v>105.30800000000001</v>
      </c>
    </row>
    <row r="1235" spans="3:16">
      <c r="C1235" s="27">
        <v>42397</v>
      </c>
      <c r="D1235">
        <v>3.0880000000000001</v>
      </c>
      <c r="M1235" s="27">
        <v>43594</v>
      </c>
      <c r="N1235">
        <v>117.65300000000001</v>
      </c>
      <c r="O1235" s="27">
        <v>43203</v>
      </c>
      <c r="P1235">
        <v>105.313</v>
      </c>
    </row>
    <row r="1236" spans="3:16">
      <c r="C1236" s="27">
        <v>42398</v>
      </c>
      <c r="D1236">
        <v>3.0640000000000001</v>
      </c>
      <c r="M1236" s="27">
        <v>43595</v>
      </c>
      <c r="N1236">
        <v>117.56</v>
      </c>
      <c r="O1236" s="27">
        <v>43206</v>
      </c>
      <c r="P1236">
        <v>105.307</v>
      </c>
    </row>
    <row r="1237" spans="3:16">
      <c r="C1237" s="27">
        <v>42401</v>
      </c>
      <c r="D1237">
        <v>3.0779999999999998</v>
      </c>
      <c r="M1237" s="27">
        <v>43598</v>
      </c>
      <c r="N1237">
        <v>117.581</v>
      </c>
      <c r="O1237" s="27">
        <v>43207</v>
      </c>
      <c r="P1237">
        <v>105.3</v>
      </c>
    </row>
    <row r="1238" spans="3:16">
      <c r="C1238" s="27">
        <v>42402</v>
      </c>
      <c r="D1238">
        <v>3.09</v>
      </c>
      <c r="M1238" s="27">
        <v>43599</v>
      </c>
      <c r="N1238">
        <v>117.65600000000001</v>
      </c>
      <c r="O1238" s="27">
        <v>43208</v>
      </c>
      <c r="P1238">
        <v>105.307</v>
      </c>
    </row>
    <row r="1239" spans="3:16">
      <c r="C1239" s="27">
        <v>42403</v>
      </c>
      <c r="D1239">
        <v>3.06</v>
      </c>
      <c r="M1239" s="27">
        <v>43600</v>
      </c>
      <c r="N1239">
        <v>117.914</v>
      </c>
      <c r="O1239" s="27">
        <v>43209</v>
      </c>
      <c r="P1239">
        <v>105.247</v>
      </c>
    </row>
    <row r="1240" spans="3:16">
      <c r="C1240" s="27">
        <v>42404</v>
      </c>
      <c r="D1240">
        <v>3.0910000000000002</v>
      </c>
      <c r="M1240" s="27">
        <v>43601</v>
      </c>
      <c r="N1240">
        <v>117.824</v>
      </c>
      <c r="O1240" s="27">
        <v>43210</v>
      </c>
      <c r="P1240">
        <v>105.23399999999999</v>
      </c>
    </row>
    <row r="1241" spans="3:16">
      <c r="C1241" s="27">
        <v>42405</v>
      </c>
      <c r="D1241">
        <v>3.093</v>
      </c>
      <c r="M1241" s="27">
        <v>43605</v>
      </c>
      <c r="N1241">
        <v>117.795</v>
      </c>
      <c r="O1241" s="27">
        <v>43213</v>
      </c>
      <c r="P1241">
        <v>105.21899999999999</v>
      </c>
    </row>
    <row r="1242" spans="3:16">
      <c r="C1242" s="27">
        <v>42408</v>
      </c>
      <c r="D1242">
        <v>3.093</v>
      </c>
      <c r="M1242" s="27">
        <v>43606</v>
      </c>
      <c r="N1242">
        <v>117.65600000000001</v>
      </c>
      <c r="O1242" s="27">
        <v>43214</v>
      </c>
      <c r="P1242">
        <v>105.205</v>
      </c>
    </row>
    <row r="1243" spans="3:16">
      <c r="C1243" s="27">
        <v>42409</v>
      </c>
      <c r="D1243">
        <v>3.048</v>
      </c>
      <c r="M1243" s="27">
        <v>43607</v>
      </c>
      <c r="N1243">
        <v>117.518</v>
      </c>
      <c r="O1243" s="27">
        <v>43215</v>
      </c>
      <c r="P1243">
        <v>105.181</v>
      </c>
    </row>
    <row r="1244" spans="3:16">
      <c r="C1244" s="27">
        <v>42410</v>
      </c>
      <c r="D1244">
        <v>3.0859999999999999</v>
      </c>
      <c r="M1244" s="27">
        <v>43608</v>
      </c>
      <c r="N1244">
        <v>117.61799999999999</v>
      </c>
      <c r="O1244" s="27">
        <v>43216</v>
      </c>
      <c r="P1244">
        <v>105.157</v>
      </c>
    </row>
    <row r="1245" spans="3:16">
      <c r="C1245" s="27">
        <v>42411</v>
      </c>
      <c r="D1245">
        <v>3.0870000000000002</v>
      </c>
      <c r="M1245" s="27">
        <v>43609</v>
      </c>
      <c r="N1245">
        <v>117.693</v>
      </c>
      <c r="O1245" s="27">
        <v>43217</v>
      </c>
      <c r="P1245">
        <v>105.191</v>
      </c>
    </row>
    <row r="1246" spans="3:16">
      <c r="C1246" s="27">
        <v>42412</v>
      </c>
      <c r="D1246">
        <v>3.1070000000000002</v>
      </c>
      <c r="M1246" s="27">
        <v>43612</v>
      </c>
      <c r="N1246">
        <v>117.822</v>
      </c>
      <c r="O1246" s="27">
        <v>43220</v>
      </c>
      <c r="P1246">
        <v>105.197</v>
      </c>
    </row>
    <row r="1247" spans="3:16">
      <c r="C1247" s="27">
        <v>42415</v>
      </c>
      <c r="D1247">
        <v>3.1360000000000001</v>
      </c>
      <c r="M1247" s="27">
        <v>43613</v>
      </c>
      <c r="N1247">
        <v>117.971</v>
      </c>
      <c r="O1247" s="27">
        <v>43222</v>
      </c>
      <c r="P1247">
        <v>105.208</v>
      </c>
    </row>
    <row r="1248" spans="3:16">
      <c r="C1248" s="27">
        <v>42416</v>
      </c>
      <c r="D1248">
        <v>3.137</v>
      </c>
      <c r="M1248" s="27">
        <v>43614</v>
      </c>
      <c r="N1248">
        <v>118.164</v>
      </c>
      <c r="O1248" s="27">
        <v>43223</v>
      </c>
      <c r="P1248">
        <v>105.17700000000001</v>
      </c>
    </row>
    <row r="1249" spans="3:16">
      <c r="C1249" s="27">
        <v>42417</v>
      </c>
      <c r="D1249">
        <v>3.1219999999999999</v>
      </c>
      <c r="M1249" s="27">
        <v>43616</v>
      </c>
      <c r="N1249">
        <v>118.093</v>
      </c>
      <c r="O1249" s="27">
        <v>43224</v>
      </c>
      <c r="P1249">
        <v>105.202</v>
      </c>
    </row>
    <row r="1250" spans="3:16">
      <c r="C1250" s="27">
        <v>42418</v>
      </c>
      <c r="D1250">
        <v>3.113</v>
      </c>
      <c r="M1250" s="27">
        <v>43619</v>
      </c>
      <c r="N1250">
        <v>111.983</v>
      </c>
      <c r="O1250" s="27">
        <v>43227</v>
      </c>
      <c r="P1250">
        <v>105.197</v>
      </c>
    </row>
    <row r="1251" spans="3:16">
      <c r="C1251" s="27">
        <v>42419</v>
      </c>
      <c r="D1251">
        <v>3.077</v>
      </c>
      <c r="M1251" s="27">
        <v>43620</v>
      </c>
      <c r="N1251">
        <v>112.51600000000001</v>
      </c>
      <c r="O1251" s="27">
        <v>43228</v>
      </c>
      <c r="P1251">
        <v>105.175</v>
      </c>
    </row>
    <row r="1252" spans="3:16">
      <c r="C1252" s="27">
        <v>42422</v>
      </c>
      <c r="D1252">
        <v>3.1080000000000001</v>
      </c>
      <c r="M1252" s="27">
        <v>43621</v>
      </c>
      <c r="N1252">
        <v>112.38500000000001</v>
      </c>
      <c r="O1252" s="27">
        <v>43229</v>
      </c>
      <c r="P1252">
        <v>105.155</v>
      </c>
    </row>
    <row r="1253" spans="3:16">
      <c r="C1253" s="27">
        <v>42423</v>
      </c>
      <c r="D1253">
        <v>3.0950000000000002</v>
      </c>
      <c r="M1253" s="27">
        <v>43622</v>
      </c>
      <c r="N1253">
        <v>112.07899999999999</v>
      </c>
      <c r="O1253" s="27">
        <v>43230</v>
      </c>
      <c r="P1253">
        <v>105.148</v>
      </c>
    </row>
    <row r="1254" spans="3:16">
      <c r="C1254" s="27">
        <v>42424</v>
      </c>
      <c r="D1254">
        <v>3.1</v>
      </c>
      <c r="M1254" s="27">
        <v>43623</v>
      </c>
      <c r="N1254">
        <v>112.224</v>
      </c>
      <c r="O1254" s="27">
        <v>43231</v>
      </c>
      <c r="P1254">
        <v>105.163</v>
      </c>
    </row>
    <row r="1255" spans="3:16">
      <c r="C1255" s="27">
        <v>42425</v>
      </c>
      <c r="D1255">
        <v>3.0880000000000001</v>
      </c>
      <c r="M1255" s="27">
        <v>43627</v>
      </c>
      <c r="N1255">
        <v>112.033</v>
      </c>
      <c r="O1255" s="27">
        <v>43234</v>
      </c>
      <c r="P1255">
        <v>105.142</v>
      </c>
    </row>
    <row r="1256" spans="3:16">
      <c r="C1256" s="27">
        <v>42426</v>
      </c>
      <c r="D1256">
        <v>3.0750000000000002</v>
      </c>
      <c r="M1256" s="27">
        <v>43628</v>
      </c>
      <c r="N1256">
        <v>111.93300000000001</v>
      </c>
      <c r="O1256" s="27">
        <v>43235</v>
      </c>
      <c r="P1256">
        <v>105.06</v>
      </c>
    </row>
    <row r="1257" spans="3:16">
      <c r="C1257" s="27">
        <v>42429</v>
      </c>
      <c r="D1257">
        <v>3.0819999999999999</v>
      </c>
      <c r="M1257" s="27">
        <v>43629</v>
      </c>
      <c r="N1257">
        <v>112.108</v>
      </c>
      <c r="O1257" s="27">
        <v>43236</v>
      </c>
      <c r="P1257">
        <v>105.077</v>
      </c>
    </row>
    <row r="1258" spans="3:16">
      <c r="C1258" s="27">
        <v>42430</v>
      </c>
      <c r="D1258">
        <v>3.0760000000000001</v>
      </c>
      <c r="M1258" s="27">
        <v>43630</v>
      </c>
      <c r="N1258">
        <v>112.345</v>
      </c>
      <c r="O1258" s="27">
        <v>43237</v>
      </c>
      <c r="P1258">
        <v>105.057</v>
      </c>
    </row>
    <row r="1259" spans="3:16">
      <c r="C1259" s="27">
        <v>42431</v>
      </c>
      <c r="D1259">
        <v>3.14</v>
      </c>
      <c r="M1259" s="27">
        <v>43633</v>
      </c>
      <c r="N1259">
        <v>112.438</v>
      </c>
      <c r="O1259" s="27">
        <v>43238</v>
      </c>
      <c r="P1259">
        <v>105.045</v>
      </c>
    </row>
    <row r="1260" spans="3:16">
      <c r="C1260" s="27">
        <v>42432</v>
      </c>
      <c r="D1260">
        <v>3.1480000000000001</v>
      </c>
      <c r="M1260" s="27">
        <v>43634</v>
      </c>
      <c r="N1260">
        <v>112.986</v>
      </c>
      <c r="O1260" s="27">
        <v>43241</v>
      </c>
      <c r="P1260">
        <v>105.11499999999999</v>
      </c>
    </row>
    <row r="1261" spans="3:16">
      <c r="C1261" s="27">
        <v>42433</v>
      </c>
      <c r="D1261">
        <v>3.1640000000000001</v>
      </c>
      <c r="M1261" s="27">
        <v>43635</v>
      </c>
      <c r="N1261">
        <v>112.815</v>
      </c>
      <c r="O1261" s="27">
        <v>43242</v>
      </c>
      <c r="P1261">
        <v>105.116</v>
      </c>
    </row>
    <row r="1262" spans="3:16">
      <c r="C1262" s="27">
        <v>42436</v>
      </c>
      <c r="D1262">
        <v>3.1749999999999998</v>
      </c>
      <c r="M1262" s="27">
        <v>43636</v>
      </c>
      <c r="N1262">
        <v>112.696</v>
      </c>
      <c r="O1262" s="27">
        <v>43243</v>
      </c>
      <c r="P1262">
        <v>105.107</v>
      </c>
    </row>
    <row r="1263" spans="3:16">
      <c r="C1263" s="27">
        <v>42437</v>
      </c>
      <c r="D1263">
        <v>3.177</v>
      </c>
      <c r="M1263" s="27">
        <v>43637</v>
      </c>
      <c r="N1263">
        <v>112.47199999999999</v>
      </c>
      <c r="O1263" s="27">
        <v>43244</v>
      </c>
      <c r="P1263">
        <v>105.111</v>
      </c>
    </row>
    <row r="1264" spans="3:16">
      <c r="C1264" s="27">
        <v>42438</v>
      </c>
      <c r="D1264">
        <v>3.18</v>
      </c>
      <c r="M1264" s="27">
        <v>43640</v>
      </c>
      <c r="N1264">
        <v>112.68600000000001</v>
      </c>
      <c r="O1264" s="27">
        <v>43245</v>
      </c>
      <c r="P1264">
        <v>105.143</v>
      </c>
    </row>
    <row r="1265" spans="3:16">
      <c r="C1265" s="27">
        <v>42439</v>
      </c>
      <c r="D1265">
        <v>3.1760000000000002</v>
      </c>
      <c r="M1265" s="27">
        <v>43641</v>
      </c>
      <c r="N1265">
        <v>112.907</v>
      </c>
      <c r="O1265" s="27">
        <v>43248</v>
      </c>
      <c r="P1265">
        <v>105.129</v>
      </c>
    </row>
    <row r="1266" spans="3:16">
      <c r="C1266" s="27">
        <v>42440</v>
      </c>
      <c r="D1266">
        <v>3.2120000000000002</v>
      </c>
      <c r="M1266" s="27">
        <v>43642</v>
      </c>
      <c r="N1266">
        <v>112.729</v>
      </c>
      <c r="O1266" s="27">
        <v>43249</v>
      </c>
      <c r="P1266">
        <v>105.371</v>
      </c>
    </row>
    <row r="1267" spans="3:16">
      <c r="C1267" s="27">
        <v>42443</v>
      </c>
      <c r="D1267">
        <v>3.2109999999999999</v>
      </c>
      <c r="M1267" s="27">
        <v>43643</v>
      </c>
      <c r="N1267">
        <v>112.67700000000001</v>
      </c>
      <c r="O1267" s="27">
        <v>43250</v>
      </c>
      <c r="P1267">
        <v>105.27800000000001</v>
      </c>
    </row>
    <row r="1268" spans="3:16">
      <c r="C1268" s="27">
        <v>42444</v>
      </c>
      <c r="D1268">
        <v>3.1930000000000001</v>
      </c>
      <c r="M1268" s="27">
        <v>43644</v>
      </c>
      <c r="N1268">
        <v>112.64400000000001</v>
      </c>
      <c r="O1268" s="27">
        <v>43251</v>
      </c>
      <c r="P1268">
        <v>105.11199999999999</v>
      </c>
    </row>
    <row r="1269" spans="3:16">
      <c r="C1269" s="27">
        <v>42445</v>
      </c>
      <c r="D1269">
        <v>3.2069999999999999</v>
      </c>
      <c r="M1269" s="27">
        <v>43647</v>
      </c>
      <c r="N1269">
        <v>112.78400000000001</v>
      </c>
      <c r="O1269" s="27">
        <v>43252</v>
      </c>
      <c r="P1269">
        <v>105.03400000000001</v>
      </c>
    </row>
    <row r="1270" spans="3:16">
      <c r="C1270" s="27">
        <v>42446</v>
      </c>
      <c r="D1270">
        <v>3.177</v>
      </c>
      <c r="M1270" s="27">
        <v>43648</v>
      </c>
      <c r="N1270">
        <v>112.636</v>
      </c>
      <c r="O1270" s="27">
        <v>43255</v>
      </c>
      <c r="P1270">
        <v>105.047</v>
      </c>
    </row>
    <row r="1271" spans="3:16">
      <c r="C1271" s="27">
        <v>42447</v>
      </c>
      <c r="D1271">
        <v>3.1629999999999998</v>
      </c>
      <c r="M1271" s="27">
        <v>43649</v>
      </c>
      <c r="N1271">
        <v>112.79900000000001</v>
      </c>
      <c r="O1271" s="27">
        <v>43256</v>
      </c>
      <c r="P1271">
        <v>105.02800000000001</v>
      </c>
    </row>
    <row r="1272" spans="3:16">
      <c r="C1272" s="27">
        <v>42450</v>
      </c>
      <c r="D1272">
        <v>3.16</v>
      </c>
      <c r="M1272" s="27">
        <v>43650</v>
      </c>
      <c r="N1272">
        <v>112.976</v>
      </c>
      <c r="O1272" s="27">
        <v>43257</v>
      </c>
      <c r="P1272">
        <v>105.024</v>
      </c>
    </row>
    <row r="1273" spans="3:16">
      <c r="C1273" s="27">
        <v>42451</v>
      </c>
      <c r="D1273">
        <v>3.1680000000000001</v>
      </c>
      <c r="M1273" s="27">
        <v>43651</v>
      </c>
      <c r="N1273">
        <v>112.917</v>
      </c>
      <c r="O1273" s="27">
        <v>43258</v>
      </c>
      <c r="P1273">
        <v>104.917</v>
      </c>
    </row>
    <row r="1274" spans="3:16">
      <c r="C1274" s="27">
        <v>42452</v>
      </c>
      <c r="D1274">
        <v>3.1920000000000002</v>
      </c>
      <c r="M1274" s="27">
        <v>43654</v>
      </c>
      <c r="N1274">
        <v>113.14</v>
      </c>
      <c r="O1274" s="27">
        <v>43259</v>
      </c>
      <c r="P1274">
        <v>104.96599999999999</v>
      </c>
    </row>
    <row r="1275" spans="3:16">
      <c r="C1275" s="27">
        <v>42453</v>
      </c>
      <c r="D1275">
        <v>3.1749999999999998</v>
      </c>
      <c r="M1275" s="27">
        <v>43655</v>
      </c>
      <c r="N1275">
        <v>112.96</v>
      </c>
      <c r="O1275" s="27">
        <v>43262</v>
      </c>
      <c r="P1275">
        <v>104.96299999999999</v>
      </c>
    </row>
    <row r="1276" spans="3:16">
      <c r="C1276" s="27">
        <v>42454</v>
      </c>
      <c r="D1276">
        <v>3.1760000000000002</v>
      </c>
      <c r="M1276" s="27">
        <v>43656</v>
      </c>
      <c r="N1276">
        <v>112.624</v>
      </c>
      <c r="O1276" s="27">
        <v>43263</v>
      </c>
      <c r="P1276">
        <v>104.911</v>
      </c>
    </row>
    <row r="1277" spans="3:16">
      <c r="C1277" s="27">
        <v>42458</v>
      </c>
      <c r="D1277">
        <v>3.165</v>
      </c>
      <c r="M1277" s="27">
        <v>43657</v>
      </c>
      <c r="N1277">
        <v>112.313</v>
      </c>
      <c r="O1277" s="27">
        <v>43264</v>
      </c>
      <c r="P1277">
        <v>104.905</v>
      </c>
    </row>
    <row r="1278" spans="3:16">
      <c r="C1278" s="27">
        <v>42459</v>
      </c>
      <c r="D1278">
        <v>3.137</v>
      </c>
      <c r="M1278" s="27">
        <v>43658</v>
      </c>
      <c r="N1278">
        <v>112.07899999999999</v>
      </c>
      <c r="O1278" s="27">
        <v>43265</v>
      </c>
      <c r="P1278">
        <v>104.881</v>
      </c>
    </row>
    <row r="1279" spans="3:16">
      <c r="C1279" s="27">
        <v>42460</v>
      </c>
      <c r="D1279">
        <v>3.1379999999999999</v>
      </c>
      <c r="M1279" s="27">
        <v>43661</v>
      </c>
      <c r="N1279">
        <v>112.206</v>
      </c>
      <c r="O1279" s="27">
        <v>43266</v>
      </c>
      <c r="P1279">
        <v>104.955</v>
      </c>
    </row>
    <row r="1280" spans="3:16">
      <c r="C1280" s="27">
        <v>42461</v>
      </c>
      <c r="D1280">
        <v>3.1480000000000001</v>
      </c>
      <c r="M1280" s="27">
        <v>43662</v>
      </c>
      <c r="N1280">
        <v>112.48099999999999</v>
      </c>
      <c r="O1280" s="27">
        <v>43269</v>
      </c>
      <c r="P1280">
        <v>104.952</v>
      </c>
    </row>
    <row r="1281" spans="3:16">
      <c r="C1281" s="27">
        <v>42464</v>
      </c>
      <c r="D1281">
        <v>3.1030000000000002</v>
      </c>
      <c r="M1281" s="27">
        <v>43663</v>
      </c>
      <c r="N1281">
        <v>112.816</v>
      </c>
      <c r="O1281" s="27">
        <v>43270</v>
      </c>
      <c r="P1281">
        <v>104.973</v>
      </c>
    </row>
    <row r="1282" spans="3:16">
      <c r="C1282" s="27">
        <v>42465</v>
      </c>
      <c r="D1282">
        <v>3.1030000000000002</v>
      </c>
      <c r="M1282" s="27">
        <v>43664</v>
      </c>
      <c r="N1282">
        <v>112.925</v>
      </c>
      <c r="O1282" s="27">
        <v>43271</v>
      </c>
      <c r="P1282">
        <v>104.97</v>
      </c>
    </row>
    <row r="1283" spans="3:16">
      <c r="C1283" s="27">
        <v>42466</v>
      </c>
      <c r="D1283">
        <v>3.1040000000000001</v>
      </c>
      <c r="M1283" s="27">
        <v>43665</v>
      </c>
      <c r="N1283">
        <v>113.04</v>
      </c>
      <c r="O1283" s="27">
        <v>43272</v>
      </c>
      <c r="P1283">
        <v>104.967</v>
      </c>
    </row>
    <row r="1284" spans="3:16">
      <c r="C1284" s="27">
        <v>42467</v>
      </c>
      <c r="D1284">
        <v>3.0920000000000001</v>
      </c>
      <c r="M1284" s="27">
        <v>43668</v>
      </c>
      <c r="N1284">
        <v>113.294</v>
      </c>
      <c r="O1284" s="27">
        <v>43273</v>
      </c>
      <c r="P1284">
        <v>105.03100000000001</v>
      </c>
    </row>
    <row r="1285" spans="3:16">
      <c r="C1285" s="27">
        <v>42468</v>
      </c>
      <c r="D1285">
        <v>3.077</v>
      </c>
      <c r="M1285" s="27">
        <v>43669</v>
      </c>
      <c r="N1285">
        <v>113.364</v>
      </c>
      <c r="O1285" s="27">
        <v>43276</v>
      </c>
      <c r="P1285">
        <v>105.02500000000001</v>
      </c>
    </row>
    <row r="1286" spans="3:16">
      <c r="C1286" s="27">
        <v>42471</v>
      </c>
      <c r="D1286">
        <v>3.077</v>
      </c>
      <c r="M1286" s="27">
        <v>43670</v>
      </c>
      <c r="N1286">
        <v>113.682</v>
      </c>
      <c r="O1286" s="27">
        <v>43277</v>
      </c>
      <c r="P1286">
        <v>105.021</v>
      </c>
    </row>
    <row r="1287" spans="3:16">
      <c r="C1287" s="27">
        <v>42472</v>
      </c>
      <c r="D1287">
        <v>3.101</v>
      </c>
      <c r="M1287" s="27">
        <v>43671</v>
      </c>
      <c r="N1287">
        <v>113.697</v>
      </c>
      <c r="O1287" s="27">
        <v>43278</v>
      </c>
      <c r="P1287">
        <v>104.988</v>
      </c>
    </row>
    <row r="1288" spans="3:16">
      <c r="C1288" s="27">
        <v>42473</v>
      </c>
      <c r="D1288">
        <v>3.1080000000000001</v>
      </c>
      <c r="M1288" s="27">
        <v>43672</v>
      </c>
      <c r="N1288">
        <v>113.77500000000001</v>
      </c>
      <c r="O1288" s="27">
        <v>43279</v>
      </c>
      <c r="P1288">
        <v>104.97799999999999</v>
      </c>
    </row>
    <row r="1289" spans="3:16">
      <c r="C1289" s="27">
        <v>42474</v>
      </c>
      <c r="D1289">
        <v>3.1390000000000002</v>
      </c>
      <c r="M1289" s="27">
        <v>43675</v>
      </c>
      <c r="N1289">
        <v>113.979</v>
      </c>
      <c r="O1289" s="27">
        <v>43280</v>
      </c>
      <c r="P1289">
        <v>104.908</v>
      </c>
    </row>
    <row r="1290" spans="3:16">
      <c r="C1290" s="27">
        <v>42475</v>
      </c>
      <c r="D1290">
        <v>3.1379999999999999</v>
      </c>
      <c r="M1290" s="27">
        <v>43676</v>
      </c>
      <c r="N1290">
        <v>114.095</v>
      </c>
      <c r="O1290" s="27">
        <v>43283</v>
      </c>
      <c r="P1290">
        <v>104.931</v>
      </c>
    </row>
    <row r="1291" spans="3:16">
      <c r="C1291" s="27">
        <v>42478</v>
      </c>
      <c r="D1291">
        <v>3.117</v>
      </c>
      <c r="M1291" s="27">
        <v>43677</v>
      </c>
      <c r="N1291">
        <v>114.19799999999999</v>
      </c>
      <c r="O1291" s="27">
        <v>43284</v>
      </c>
      <c r="P1291">
        <v>104.934</v>
      </c>
    </row>
    <row r="1292" spans="3:16">
      <c r="C1292" s="27">
        <v>42479</v>
      </c>
      <c r="D1292">
        <v>3.1310000000000002</v>
      </c>
      <c r="M1292" s="27">
        <v>43678</v>
      </c>
      <c r="N1292">
        <v>114.52800000000001</v>
      </c>
      <c r="O1292" s="27">
        <v>43285</v>
      </c>
      <c r="P1292">
        <v>104.91</v>
      </c>
    </row>
    <row r="1293" spans="3:16">
      <c r="C1293" s="27">
        <v>42480</v>
      </c>
      <c r="D1293">
        <v>3.1059999999999999</v>
      </c>
      <c r="M1293" s="27">
        <v>43679</v>
      </c>
      <c r="N1293">
        <v>115.14700000000001</v>
      </c>
      <c r="O1293" s="27">
        <v>43286</v>
      </c>
      <c r="P1293">
        <v>104.831</v>
      </c>
    </row>
    <row r="1294" spans="3:16">
      <c r="C1294" s="27">
        <v>42481</v>
      </c>
      <c r="D1294">
        <v>3.1240000000000001</v>
      </c>
      <c r="M1294" s="27">
        <v>43682</v>
      </c>
      <c r="N1294">
        <v>116.038</v>
      </c>
      <c r="O1294" s="27">
        <v>43287</v>
      </c>
      <c r="P1294">
        <v>104.846</v>
      </c>
    </row>
    <row r="1295" spans="3:16">
      <c r="C1295" s="27">
        <v>42482</v>
      </c>
      <c r="D1295">
        <v>3.1320000000000001</v>
      </c>
      <c r="M1295" s="27">
        <v>43683</v>
      </c>
      <c r="N1295">
        <v>115.95399999999999</v>
      </c>
      <c r="O1295" s="27">
        <v>43290</v>
      </c>
      <c r="P1295">
        <v>104.861</v>
      </c>
    </row>
    <row r="1296" spans="3:16">
      <c r="C1296" s="27">
        <v>42485</v>
      </c>
      <c r="D1296">
        <v>3.1360000000000001</v>
      </c>
      <c r="M1296" s="27">
        <v>43684</v>
      </c>
      <c r="N1296">
        <v>116.788</v>
      </c>
      <c r="O1296" s="27">
        <v>43291</v>
      </c>
      <c r="P1296">
        <v>104.84</v>
      </c>
    </row>
    <row r="1297" spans="3:16">
      <c r="C1297" s="27">
        <v>42486</v>
      </c>
      <c r="D1297">
        <v>3.1230000000000002</v>
      </c>
      <c r="M1297" s="27">
        <v>43685</v>
      </c>
      <c r="N1297">
        <v>116.283</v>
      </c>
      <c r="O1297" s="27">
        <v>43292</v>
      </c>
      <c r="P1297">
        <v>104.846</v>
      </c>
    </row>
    <row r="1298" spans="3:16">
      <c r="C1298" s="27">
        <v>42487</v>
      </c>
      <c r="D1298">
        <v>3.0209999999999999</v>
      </c>
      <c r="M1298" s="27">
        <v>43686</v>
      </c>
      <c r="N1298">
        <v>116.31699999999999</v>
      </c>
      <c r="O1298" s="27">
        <v>43293</v>
      </c>
      <c r="P1298">
        <v>104.79600000000001</v>
      </c>
    </row>
    <row r="1299" spans="3:16">
      <c r="C1299" s="27">
        <v>42488</v>
      </c>
      <c r="D1299">
        <v>2.9750000000000001</v>
      </c>
      <c r="M1299" s="27">
        <v>43689</v>
      </c>
      <c r="N1299">
        <v>116.354</v>
      </c>
      <c r="O1299" s="27">
        <v>43294</v>
      </c>
      <c r="P1299">
        <v>104.807</v>
      </c>
    </row>
    <row r="1300" spans="3:16">
      <c r="C1300" s="27">
        <v>42489</v>
      </c>
      <c r="D1300">
        <v>2.96</v>
      </c>
      <c r="M1300" s="27">
        <v>43690</v>
      </c>
      <c r="N1300">
        <v>116.71</v>
      </c>
      <c r="O1300" s="27">
        <v>43297</v>
      </c>
      <c r="P1300">
        <v>104.79300000000001</v>
      </c>
    </row>
    <row r="1301" spans="3:16">
      <c r="C1301" s="27">
        <v>42492</v>
      </c>
      <c r="D1301">
        <v>2.9420000000000002</v>
      </c>
      <c r="M1301" s="27">
        <v>43691</v>
      </c>
      <c r="N1301">
        <v>117.214</v>
      </c>
      <c r="O1301" s="27">
        <v>43298</v>
      </c>
      <c r="P1301">
        <v>104.77800000000001</v>
      </c>
    </row>
    <row r="1302" spans="3:16">
      <c r="C1302" s="27">
        <v>42493</v>
      </c>
      <c r="D1302">
        <v>2.8239999999999998</v>
      </c>
      <c r="M1302" s="27">
        <v>43692</v>
      </c>
      <c r="N1302">
        <v>118.009</v>
      </c>
      <c r="O1302" s="27">
        <v>43299</v>
      </c>
      <c r="P1302">
        <v>104.765</v>
      </c>
    </row>
    <row r="1303" spans="3:16">
      <c r="C1303" s="27">
        <v>42494</v>
      </c>
      <c r="D1303">
        <v>2.8129999999999997</v>
      </c>
      <c r="M1303" s="27">
        <v>43693</v>
      </c>
      <c r="N1303">
        <v>117.771</v>
      </c>
      <c r="O1303" s="27">
        <v>43300</v>
      </c>
      <c r="P1303">
        <v>104.75</v>
      </c>
    </row>
    <row r="1304" spans="3:16">
      <c r="C1304" s="27">
        <v>42495</v>
      </c>
      <c r="D1304">
        <v>2.806</v>
      </c>
      <c r="M1304" s="27">
        <v>43696</v>
      </c>
      <c r="N1304">
        <v>117.087</v>
      </c>
      <c r="O1304" s="27">
        <v>43301</v>
      </c>
      <c r="P1304">
        <v>104.74299999999999</v>
      </c>
    </row>
    <row r="1305" spans="3:16">
      <c r="C1305" s="27">
        <v>42496</v>
      </c>
      <c r="D1305">
        <v>2.7560000000000002</v>
      </c>
      <c r="M1305" s="27">
        <v>43697</v>
      </c>
      <c r="N1305">
        <v>117.416</v>
      </c>
      <c r="O1305" s="27">
        <v>43304</v>
      </c>
      <c r="P1305">
        <v>104.709</v>
      </c>
    </row>
    <row r="1306" spans="3:16">
      <c r="C1306" s="27">
        <v>42499</v>
      </c>
      <c r="D1306">
        <v>2.754</v>
      </c>
      <c r="M1306" s="27">
        <v>43698</v>
      </c>
      <c r="N1306">
        <v>116.812</v>
      </c>
      <c r="O1306" s="27">
        <v>43305</v>
      </c>
      <c r="P1306">
        <v>104.685</v>
      </c>
    </row>
    <row r="1307" spans="3:16">
      <c r="C1307" s="27">
        <v>42500</v>
      </c>
      <c r="D1307">
        <v>2.7610000000000001</v>
      </c>
      <c r="M1307" s="27">
        <v>43699</v>
      </c>
      <c r="N1307">
        <v>116.69199999999999</v>
      </c>
      <c r="O1307" s="27">
        <v>43306</v>
      </c>
      <c r="P1307">
        <v>104.706</v>
      </c>
    </row>
    <row r="1308" spans="3:16">
      <c r="C1308" s="27">
        <v>42501</v>
      </c>
      <c r="D1308">
        <v>2.8330000000000002</v>
      </c>
      <c r="M1308" s="27">
        <v>43700</v>
      </c>
      <c r="N1308">
        <v>116.858</v>
      </c>
      <c r="O1308" s="27">
        <v>43307</v>
      </c>
      <c r="P1308">
        <v>104.664</v>
      </c>
    </row>
    <row r="1309" spans="3:16">
      <c r="C1309" s="27">
        <v>42502</v>
      </c>
      <c r="D1309">
        <v>2.7640000000000002</v>
      </c>
      <c r="M1309" s="27">
        <v>43703</v>
      </c>
      <c r="N1309">
        <v>116.896</v>
      </c>
      <c r="O1309" s="27">
        <v>43308</v>
      </c>
      <c r="P1309">
        <v>104.666</v>
      </c>
    </row>
    <row r="1310" spans="3:16">
      <c r="C1310" s="27">
        <v>42503</v>
      </c>
      <c r="D1310">
        <v>2.746</v>
      </c>
      <c r="M1310" s="27">
        <v>43704</v>
      </c>
      <c r="N1310">
        <v>116.992</v>
      </c>
      <c r="O1310" s="27">
        <v>43311</v>
      </c>
      <c r="P1310">
        <v>104.667</v>
      </c>
    </row>
    <row r="1311" spans="3:16">
      <c r="C1311" s="27">
        <v>42506</v>
      </c>
      <c r="D1311">
        <v>2.7570000000000001</v>
      </c>
      <c r="M1311" s="27">
        <v>43705</v>
      </c>
      <c r="N1311">
        <v>117.474</v>
      </c>
      <c r="O1311" s="27">
        <v>43312</v>
      </c>
      <c r="P1311">
        <v>104.63800000000001</v>
      </c>
    </row>
    <row r="1312" spans="3:16">
      <c r="C1312" s="27">
        <v>42507</v>
      </c>
      <c r="D1312">
        <v>2.7919999999999998</v>
      </c>
      <c r="M1312" s="27">
        <v>43706</v>
      </c>
      <c r="N1312">
        <v>117.441</v>
      </c>
      <c r="O1312" s="27">
        <v>43313</v>
      </c>
      <c r="P1312">
        <v>104.592</v>
      </c>
    </row>
    <row r="1313" spans="3:16">
      <c r="C1313" s="27">
        <v>42508</v>
      </c>
      <c r="D1313">
        <v>2.7890000000000001</v>
      </c>
      <c r="M1313" s="27">
        <v>43707</v>
      </c>
      <c r="N1313">
        <v>117.551</v>
      </c>
      <c r="O1313" s="27">
        <v>43314</v>
      </c>
      <c r="P1313">
        <v>104.541</v>
      </c>
    </row>
    <row r="1314" spans="3:16">
      <c r="C1314" s="27">
        <v>42509</v>
      </c>
      <c r="D1314">
        <v>2.7970000000000002</v>
      </c>
      <c r="M1314" s="27">
        <v>43710</v>
      </c>
      <c r="N1314">
        <v>117.38800000000001</v>
      </c>
      <c r="O1314" s="27">
        <v>43315</v>
      </c>
      <c r="P1314">
        <v>104.607</v>
      </c>
    </row>
    <row r="1315" spans="3:16">
      <c r="C1315" s="27">
        <v>42510</v>
      </c>
      <c r="D1315">
        <v>2.778</v>
      </c>
      <c r="M1315" s="27">
        <v>43711</v>
      </c>
      <c r="N1315">
        <v>117.755</v>
      </c>
      <c r="O1315" s="27">
        <v>43318</v>
      </c>
      <c r="P1315">
        <v>104.611</v>
      </c>
    </row>
    <row r="1316" spans="3:16">
      <c r="C1316" s="27">
        <v>42513</v>
      </c>
      <c r="D1316">
        <v>2.79</v>
      </c>
      <c r="M1316" s="27">
        <v>43712</v>
      </c>
      <c r="N1316">
        <v>115.658</v>
      </c>
      <c r="O1316" s="27">
        <v>43319</v>
      </c>
      <c r="P1316">
        <v>104.605</v>
      </c>
    </row>
    <row r="1317" spans="3:16">
      <c r="C1317" s="27">
        <v>42514</v>
      </c>
      <c r="D1317">
        <v>2.7789999999999999</v>
      </c>
      <c r="M1317" s="27">
        <v>43713</v>
      </c>
      <c r="N1317">
        <v>115.19499999999999</v>
      </c>
      <c r="O1317" s="27">
        <v>43320</v>
      </c>
      <c r="P1317">
        <v>104.59</v>
      </c>
    </row>
    <row r="1318" spans="3:16">
      <c r="C1318" s="27">
        <v>42515</v>
      </c>
      <c r="D1318">
        <v>2.7749999999999999</v>
      </c>
      <c r="M1318" s="27">
        <v>43714</v>
      </c>
      <c r="N1318">
        <v>115.07899999999999</v>
      </c>
      <c r="O1318" s="27">
        <v>43321</v>
      </c>
      <c r="P1318">
        <v>104.601</v>
      </c>
    </row>
    <row r="1319" spans="3:16">
      <c r="C1319" s="27">
        <v>42516</v>
      </c>
      <c r="D1319">
        <v>2.742</v>
      </c>
      <c r="M1319" s="27">
        <v>43717</v>
      </c>
      <c r="N1319">
        <v>114.539</v>
      </c>
      <c r="O1319" s="27">
        <v>43322</v>
      </c>
      <c r="P1319">
        <v>104.651</v>
      </c>
    </row>
    <row r="1320" spans="3:16">
      <c r="C1320" s="27">
        <v>42517</v>
      </c>
      <c r="D1320">
        <v>2.7189999999999999</v>
      </c>
      <c r="M1320" s="27">
        <v>43718</v>
      </c>
      <c r="N1320">
        <v>114.623</v>
      </c>
      <c r="O1320" s="27">
        <v>43325</v>
      </c>
      <c r="P1320">
        <v>104.658</v>
      </c>
    </row>
    <row r="1321" spans="3:16">
      <c r="C1321" s="27">
        <v>42520</v>
      </c>
      <c r="D1321">
        <v>2.7199999999999998</v>
      </c>
      <c r="M1321" s="27">
        <v>43719</v>
      </c>
      <c r="N1321">
        <v>114.575</v>
      </c>
      <c r="O1321" s="27">
        <v>43326</v>
      </c>
      <c r="P1321">
        <v>104.649</v>
      </c>
    </row>
    <row r="1322" spans="3:16">
      <c r="C1322" s="27">
        <v>42521</v>
      </c>
      <c r="D1322">
        <v>2.7389999999999999</v>
      </c>
      <c r="M1322" s="27">
        <v>43720</v>
      </c>
      <c r="N1322">
        <v>114.315</v>
      </c>
      <c r="O1322" s="27">
        <v>43327</v>
      </c>
      <c r="P1322">
        <v>104.643</v>
      </c>
    </row>
    <row r="1323" spans="3:16">
      <c r="C1323" s="27">
        <v>42522</v>
      </c>
      <c r="D1323">
        <v>2.7050000000000001</v>
      </c>
      <c r="M1323" s="27">
        <v>43721</v>
      </c>
      <c r="N1323">
        <v>113.52</v>
      </c>
      <c r="O1323" s="27">
        <v>43328</v>
      </c>
      <c r="P1323">
        <v>104.627</v>
      </c>
    </row>
    <row r="1324" spans="3:16">
      <c r="C1324" s="27">
        <v>42523</v>
      </c>
      <c r="D1324">
        <v>2.6850000000000001</v>
      </c>
      <c r="M1324" s="27">
        <v>43724</v>
      </c>
      <c r="N1324">
        <v>113.491</v>
      </c>
      <c r="O1324" s="27">
        <v>43329</v>
      </c>
      <c r="P1324">
        <v>104.62</v>
      </c>
    </row>
    <row r="1325" spans="3:16">
      <c r="C1325" s="27">
        <v>42524</v>
      </c>
      <c r="D1325">
        <v>2.6829999999999998</v>
      </c>
      <c r="M1325" s="27">
        <v>43725</v>
      </c>
      <c r="N1325">
        <v>114.114</v>
      </c>
      <c r="O1325" s="27">
        <v>43332</v>
      </c>
      <c r="P1325">
        <v>104.624</v>
      </c>
    </row>
    <row r="1326" spans="3:16">
      <c r="C1326" s="27">
        <v>42527</v>
      </c>
      <c r="D1326">
        <v>2.6539999999999999</v>
      </c>
      <c r="M1326" s="27">
        <v>43726</v>
      </c>
      <c r="N1326">
        <v>114.617</v>
      </c>
      <c r="O1326" s="27">
        <v>43333</v>
      </c>
      <c r="P1326">
        <v>104.60599999999999</v>
      </c>
    </row>
    <row r="1327" spans="3:16">
      <c r="C1327" s="27">
        <v>42528</v>
      </c>
      <c r="D1327">
        <v>2.6909999999999998</v>
      </c>
      <c r="M1327" s="27">
        <v>43727</v>
      </c>
      <c r="N1327">
        <v>114.956</v>
      </c>
      <c r="O1327" s="27">
        <v>43334</v>
      </c>
      <c r="P1327">
        <v>104.56699999999999</v>
      </c>
    </row>
    <row r="1328" spans="3:16">
      <c r="C1328" s="27">
        <v>42529</v>
      </c>
      <c r="D1328">
        <v>2.7199999999999998</v>
      </c>
      <c r="M1328" s="27">
        <v>43728</v>
      </c>
      <c r="N1328">
        <v>115.07599999999999</v>
      </c>
      <c r="O1328" s="27">
        <v>43335</v>
      </c>
      <c r="P1328">
        <v>104.52200000000001</v>
      </c>
    </row>
    <row r="1329" spans="3:16">
      <c r="C1329" s="27">
        <v>42530</v>
      </c>
      <c r="D1329">
        <v>2.6930000000000001</v>
      </c>
      <c r="M1329" s="27">
        <v>43731</v>
      </c>
      <c r="N1329">
        <v>115.458</v>
      </c>
      <c r="O1329" s="27">
        <v>43336</v>
      </c>
      <c r="P1329">
        <v>104.502</v>
      </c>
    </row>
    <row r="1330" spans="3:16">
      <c r="C1330" s="27">
        <v>42531</v>
      </c>
      <c r="D1330">
        <v>2.6829999999999998</v>
      </c>
      <c r="M1330" s="27">
        <v>43732</v>
      </c>
      <c r="N1330">
        <v>115.68</v>
      </c>
      <c r="O1330" s="27">
        <v>43339</v>
      </c>
      <c r="P1330">
        <v>104.502</v>
      </c>
    </row>
    <row r="1331" spans="3:16">
      <c r="C1331" s="27">
        <v>42534</v>
      </c>
      <c r="D1331">
        <v>2.7250000000000001</v>
      </c>
      <c r="M1331" s="27">
        <v>43733</v>
      </c>
      <c r="N1331">
        <v>115.85899999999999</v>
      </c>
      <c r="O1331" s="27">
        <v>43340</v>
      </c>
      <c r="P1331">
        <v>104.467</v>
      </c>
    </row>
    <row r="1332" spans="3:16">
      <c r="C1332" s="27">
        <v>42535</v>
      </c>
      <c r="D1332">
        <v>2.706</v>
      </c>
      <c r="M1332" s="27">
        <v>43734</v>
      </c>
      <c r="N1332">
        <v>116.187</v>
      </c>
      <c r="O1332" s="27">
        <v>43341</v>
      </c>
      <c r="P1332">
        <v>104.456</v>
      </c>
    </row>
    <row r="1333" spans="3:16">
      <c r="C1333" s="27">
        <v>42536</v>
      </c>
      <c r="D1333">
        <v>2.71</v>
      </c>
      <c r="M1333" s="27">
        <v>43735</v>
      </c>
      <c r="N1333">
        <v>115.86</v>
      </c>
      <c r="O1333" s="27">
        <v>43342</v>
      </c>
      <c r="P1333">
        <v>104.431</v>
      </c>
    </row>
    <row r="1334" spans="3:16">
      <c r="C1334" s="27">
        <v>42537</v>
      </c>
      <c r="D1334">
        <v>2.6859999999999999</v>
      </c>
      <c r="M1334" s="27">
        <v>43738</v>
      </c>
      <c r="N1334">
        <v>115.65300000000001</v>
      </c>
      <c r="O1334" s="27">
        <v>43343</v>
      </c>
      <c r="P1334">
        <v>104.461</v>
      </c>
    </row>
    <row r="1335" spans="3:16">
      <c r="C1335" s="27">
        <v>42538</v>
      </c>
      <c r="D1335">
        <v>2.6749999999999998</v>
      </c>
      <c r="M1335" s="27">
        <v>43739</v>
      </c>
      <c r="N1335">
        <v>115.68300000000001</v>
      </c>
      <c r="O1335" s="27">
        <v>43346</v>
      </c>
      <c r="P1335">
        <v>104.462</v>
      </c>
    </row>
    <row r="1336" spans="3:16">
      <c r="C1336" s="27">
        <v>42541</v>
      </c>
      <c r="D1336">
        <v>2.6829999999999998</v>
      </c>
      <c r="M1336" s="27">
        <v>43740</v>
      </c>
      <c r="N1336">
        <v>115.56100000000001</v>
      </c>
      <c r="O1336" s="27">
        <v>43347</v>
      </c>
      <c r="P1336">
        <v>104.458</v>
      </c>
    </row>
    <row r="1337" spans="3:16">
      <c r="C1337" s="27">
        <v>42542</v>
      </c>
      <c r="D1337">
        <v>2.7090000000000001</v>
      </c>
      <c r="M1337" s="27">
        <v>43741</v>
      </c>
      <c r="N1337">
        <v>115.953</v>
      </c>
      <c r="O1337" s="27">
        <v>43348</v>
      </c>
      <c r="P1337">
        <v>104.434</v>
      </c>
    </row>
    <row r="1338" spans="3:16">
      <c r="C1338" s="27">
        <v>42543</v>
      </c>
      <c r="D1338">
        <v>2.6710000000000003</v>
      </c>
      <c r="M1338" s="27">
        <v>43742</v>
      </c>
      <c r="N1338">
        <v>116.107</v>
      </c>
      <c r="O1338" s="27">
        <v>43349</v>
      </c>
      <c r="P1338">
        <v>104.352</v>
      </c>
    </row>
    <row r="1339" spans="3:16">
      <c r="C1339" s="27">
        <v>42544</v>
      </c>
      <c r="D1339">
        <v>2.6949999999999998</v>
      </c>
      <c r="M1339" s="27">
        <v>43745</v>
      </c>
      <c r="N1339">
        <v>116.114</v>
      </c>
      <c r="O1339" s="27">
        <v>43350</v>
      </c>
      <c r="P1339">
        <v>104.364</v>
      </c>
    </row>
    <row r="1340" spans="3:16">
      <c r="C1340" s="27">
        <v>42545</v>
      </c>
      <c r="D1340">
        <v>2.5709999999999997</v>
      </c>
      <c r="M1340" s="27">
        <v>43746</v>
      </c>
      <c r="N1340">
        <v>116.52200000000001</v>
      </c>
      <c r="O1340" s="27">
        <v>43353</v>
      </c>
      <c r="P1340">
        <v>104.334</v>
      </c>
    </row>
    <row r="1341" spans="3:16">
      <c r="C1341" s="27">
        <v>42548</v>
      </c>
      <c r="D1341">
        <v>2.67</v>
      </c>
      <c r="M1341" s="27">
        <v>43747</v>
      </c>
      <c r="N1341">
        <v>116.602</v>
      </c>
      <c r="O1341" s="27">
        <v>43354</v>
      </c>
      <c r="P1341">
        <v>104.29600000000001</v>
      </c>
    </row>
    <row r="1342" spans="3:16">
      <c r="C1342" s="27">
        <v>42549</v>
      </c>
      <c r="D1342">
        <v>2.6179999999999999</v>
      </c>
      <c r="M1342" s="27">
        <v>43748</v>
      </c>
      <c r="N1342">
        <v>116.465</v>
      </c>
      <c r="O1342" s="27">
        <v>43355</v>
      </c>
      <c r="P1342">
        <v>104.298</v>
      </c>
    </row>
    <row r="1343" spans="3:16">
      <c r="C1343" s="27">
        <v>42550</v>
      </c>
      <c r="D1343">
        <v>2.6560000000000001</v>
      </c>
      <c r="M1343" s="27">
        <v>43749</v>
      </c>
      <c r="N1343">
        <v>115.996</v>
      </c>
      <c r="O1343" s="27">
        <v>43356</v>
      </c>
      <c r="P1343">
        <v>104.289</v>
      </c>
    </row>
    <row r="1344" spans="3:16">
      <c r="C1344" s="27">
        <v>42551</v>
      </c>
      <c r="D1344">
        <v>2.6560000000000001</v>
      </c>
      <c r="M1344" s="27">
        <v>43752</v>
      </c>
      <c r="N1344">
        <v>115.93</v>
      </c>
      <c r="O1344" s="27">
        <v>43357</v>
      </c>
      <c r="P1344">
        <v>104.285</v>
      </c>
    </row>
    <row r="1345" spans="3:16">
      <c r="C1345" s="27">
        <v>42552</v>
      </c>
      <c r="D1345">
        <v>2.5869999999999997</v>
      </c>
      <c r="M1345" s="27">
        <v>43753</v>
      </c>
      <c r="N1345">
        <v>115.86199999999999</v>
      </c>
      <c r="O1345" s="27">
        <v>43360</v>
      </c>
      <c r="P1345">
        <v>104.26300000000001</v>
      </c>
    </row>
    <row r="1346" spans="3:16">
      <c r="C1346" s="27">
        <v>42556</v>
      </c>
      <c r="D1346">
        <v>2.6320000000000001</v>
      </c>
      <c r="M1346" s="27">
        <v>43754</v>
      </c>
      <c r="N1346">
        <v>115.715</v>
      </c>
      <c r="O1346" s="27">
        <v>43361</v>
      </c>
      <c r="P1346">
        <v>104.251</v>
      </c>
    </row>
    <row r="1347" spans="3:16">
      <c r="C1347" s="27">
        <v>42557</v>
      </c>
      <c r="D1347">
        <v>2.64</v>
      </c>
      <c r="M1347" s="27">
        <v>43755</v>
      </c>
      <c r="N1347">
        <v>115.86799999999999</v>
      </c>
      <c r="O1347" s="27">
        <v>43362</v>
      </c>
      <c r="P1347">
        <v>104.23099999999999</v>
      </c>
    </row>
    <row r="1348" spans="3:16">
      <c r="C1348" s="27">
        <v>42558</v>
      </c>
      <c r="D1348">
        <v>2.5910000000000002</v>
      </c>
      <c r="M1348" s="27">
        <v>43756</v>
      </c>
      <c r="N1348">
        <v>115.893</v>
      </c>
      <c r="O1348" s="27">
        <v>43363</v>
      </c>
      <c r="P1348">
        <v>104.22499999999999</v>
      </c>
    </row>
    <row r="1349" spans="3:16">
      <c r="C1349" s="27">
        <v>42559</v>
      </c>
      <c r="D1349">
        <v>2.6390000000000002</v>
      </c>
      <c r="M1349" s="27">
        <v>43759</v>
      </c>
      <c r="N1349">
        <v>115.479</v>
      </c>
      <c r="O1349" s="27">
        <v>43364</v>
      </c>
      <c r="P1349">
        <v>104.227</v>
      </c>
    </row>
    <row r="1350" spans="3:16">
      <c r="C1350" s="27">
        <v>42562</v>
      </c>
      <c r="D1350">
        <v>2.5840000000000001</v>
      </c>
      <c r="M1350" s="27">
        <v>43760</v>
      </c>
      <c r="N1350">
        <v>115.496</v>
      </c>
      <c r="O1350" s="27">
        <v>43367</v>
      </c>
      <c r="P1350">
        <v>104.23699999999999</v>
      </c>
    </row>
    <row r="1351" spans="3:16">
      <c r="C1351" s="27">
        <v>42563</v>
      </c>
      <c r="D1351">
        <v>2.59</v>
      </c>
      <c r="M1351" s="27">
        <v>43761</v>
      </c>
      <c r="N1351">
        <v>115.78</v>
      </c>
      <c r="O1351" s="27">
        <v>43368</v>
      </c>
      <c r="P1351">
        <v>104.188</v>
      </c>
    </row>
    <row r="1352" spans="3:16">
      <c r="C1352" s="27">
        <v>42564</v>
      </c>
      <c r="D1352">
        <v>2.5540000000000003</v>
      </c>
      <c r="M1352" s="27">
        <v>43762</v>
      </c>
      <c r="N1352">
        <v>115.953</v>
      </c>
      <c r="O1352" s="27">
        <v>43369</v>
      </c>
      <c r="P1352">
        <v>104.181</v>
      </c>
    </row>
    <row r="1353" spans="3:16">
      <c r="C1353" s="27">
        <v>42565</v>
      </c>
      <c r="D1353">
        <v>2.58</v>
      </c>
      <c r="M1353" s="27">
        <v>43763</v>
      </c>
      <c r="N1353">
        <v>115.807</v>
      </c>
      <c r="O1353" s="27">
        <v>43370</v>
      </c>
      <c r="P1353">
        <v>104.202</v>
      </c>
    </row>
    <row r="1354" spans="3:16">
      <c r="C1354" s="27">
        <v>42566</v>
      </c>
      <c r="D1354">
        <v>2.5859999999999999</v>
      </c>
      <c r="M1354" s="27">
        <v>43766</v>
      </c>
      <c r="N1354">
        <v>115.613</v>
      </c>
      <c r="O1354" s="27">
        <v>43371</v>
      </c>
      <c r="P1354">
        <v>104.19</v>
      </c>
    </row>
    <row r="1355" spans="3:16">
      <c r="C1355" s="27">
        <v>42570</v>
      </c>
      <c r="D1355">
        <v>2.5419999999999998</v>
      </c>
      <c r="M1355" s="27">
        <v>43767</v>
      </c>
      <c r="N1355">
        <v>115.504</v>
      </c>
      <c r="O1355" s="27">
        <v>43374</v>
      </c>
      <c r="P1355">
        <v>104.20099999999999</v>
      </c>
    </row>
    <row r="1356" spans="3:16">
      <c r="C1356" s="27">
        <v>42571</v>
      </c>
      <c r="D1356">
        <v>2.5140000000000002</v>
      </c>
      <c r="M1356" s="27">
        <v>43768</v>
      </c>
      <c r="N1356">
        <v>115.48399999999999</v>
      </c>
      <c r="O1356" s="27">
        <v>43375</v>
      </c>
      <c r="P1356">
        <v>104.251</v>
      </c>
    </row>
    <row r="1357" spans="3:16">
      <c r="C1357" s="27">
        <v>42572</v>
      </c>
      <c r="D1357">
        <v>2.5339999999999998</v>
      </c>
      <c r="M1357" s="27">
        <v>43769</v>
      </c>
      <c r="N1357">
        <v>115.694</v>
      </c>
      <c r="O1357" s="27">
        <v>43376</v>
      </c>
      <c r="P1357">
        <v>104.214</v>
      </c>
    </row>
    <row r="1358" spans="3:16">
      <c r="C1358" s="27">
        <v>42573</v>
      </c>
      <c r="D1358">
        <v>2.4809999999999999</v>
      </c>
      <c r="M1358" s="27">
        <v>43770</v>
      </c>
      <c r="N1358">
        <v>115.604</v>
      </c>
      <c r="O1358" s="27">
        <v>43377</v>
      </c>
      <c r="P1358">
        <v>104.161</v>
      </c>
    </row>
    <row r="1359" spans="3:16">
      <c r="C1359" s="27">
        <v>42576</v>
      </c>
      <c r="D1359">
        <v>2.5629999999999997</v>
      </c>
      <c r="M1359" s="27">
        <v>43773</v>
      </c>
      <c r="N1359">
        <v>115.51</v>
      </c>
      <c r="O1359" s="27">
        <v>43378</v>
      </c>
      <c r="P1359">
        <v>104.152</v>
      </c>
    </row>
    <row r="1360" spans="3:16">
      <c r="C1360" s="27">
        <v>42577</v>
      </c>
      <c r="D1360">
        <v>2.5659999999999998</v>
      </c>
      <c r="M1360" s="27">
        <v>43774</v>
      </c>
      <c r="N1360">
        <v>115.017</v>
      </c>
      <c r="O1360" s="27">
        <v>43381</v>
      </c>
      <c r="P1360">
        <v>104.15300000000001</v>
      </c>
    </row>
    <row r="1361" spans="3:16">
      <c r="C1361" s="27">
        <v>42580</v>
      </c>
      <c r="D1361">
        <v>2.4300000000000002</v>
      </c>
      <c r="M1361" s="27">
        <v>43775</v>
      </c>
      <c r="N1361">
        <v>114.97799999999999</v>
      </c>
      <c r="O1361" s="27">
        <v>43382</v>
      </c>
      <c r="P1361">
        <v>104.206</v>
      </c>
    </row>
    <row r="1362" spans="3:16">
      <c r="C1362" s="27">
        <v>42584</v>
      </c>
      <c r="D1362">
        <v>2.4569999999999999</v>
      </c>
      <c r="M1362" s="27">
        <v>43776</v>
      </c>
      <c r="N1362">
        <v>114.664</v>
      </c>
      <c r="O1362" s="27">
        <v>43383</v>
      </c>
      <c r="P1362">
        <v>104.164</v>
      </c>
    </row>
    <row r="1363" spans="3:16">
      <c r="C1363" s="27">
        <v>42587</v>
      </c>
      <c r="D1363">
        <v>2.3890000000000002</v>
      </c>
      <c r="M1363" s="27">
        <v>43777</v>
      </c>
      <c r="N1363">
        <v>114.521</v>
      </c>
      <c r="O1363" s="27">
        <v>43384</v>
      </c>
      <c r="P1363">
        <v>104.169</v>
      </c>
    </row>
    <row r="1364" spans="3:16">
      <c r="C1364" s="27">
        <v>42590</v>
      </c>
      <c r="D1364">
        <v>2.4420000000000002</v>
      </c>
      <c r="M1364" s="27">
        <v>43780</v>
      </c>
      <c r="N1364">
        <v>114.52500000000001</v>
      </c>
      <c r="O1364" s="27">
        <v>43385</v>
      </c>
      <c r="P1364">
        <v>104.17100000000001</v>
      </c>
    </row>
    <row r="1365" spans="3:16">
      <c r="C1365" s="27">
        <v>42597</v>
      </c>
      <c r="D1365">
        <v>2.448</v>
      </c>
      <c r="M1365" s="27">
        <v>43781</v>
      </c>
      <c r="N1365">
        <v>114.52800000000001</v>
      </c>
      <c r="O1365" s="27">
        <v>43388</v>
      </c>
      <c r="P1365">
        <v>104.19199999999999</v>
      </c>
    </row>
    <row r="1366" spans="3:16">
      <c r="C1366" s="27">
        <v>42598</v>
      </c>
      <c r="D1366">
        <v>2.4420000000000002</v>
      </c>
      <c r="M1366" s="27">
        <v>43782</v>
      </c>
      <c r="N1366">
        <v>114.755</v>
      </c>
      <c r="O1366" s="27">
        <v>43389</v>
      </c>
      <c r="P1366">
        <v>104.21299999999999</v>
      </c>
    </row>
    <row r="1367" spans="3:16">
      <c r="C1367" s="27">
        <v>42599</v>
      </c>
      <c r="D1367">
        <v>2.4359999999999999</v>
      </c>
      <c r="M1367" s="27">
        <v>43783</v>
      </c>
      <c r="N1367">
        <v>114.831</v>
      </c>
      <c r="O1367" s="27">
        <v>43390</v>
      </c>
      <c r="P1367">
        <v>104.191</v>
      </c>
    </row>
    <row r="1368" spans="3:16">
      <c r="C1368" s="27">
        <v>42600</v>
      </c>
      <c r="D1368">
        <v>2.4300000000000002</v>
      </c>
      <c r="M1368" s="27">
        <v>43784</v>
      </c>
      <c r="N1368">
        <v>115.21</v>
      </c>
      <c r="O1368" s="27">
        <v>43391</v>
      </c>
      <c r="P1368">
        <v>104.215</v>
      </c>
    </row>
    <row r="1369" spans="3:16">
      <c r="C1369" s="27">
        <v>42601</v>
      </c>
      <c r="D1369">
        <v>2.4390000000000001</v>
      </c>
      <c r="M1369" s="27">
        <v>43787</v>
      </c>
      <c r="N1369">
        <v>115.292</v>
      </c>
      <c r="O1369" s="27">
        <v>43392</v>
      </c>
      <c r="P1369">
        <v>104.26300000000001</v>
      </c>
    </row>
    <row r="1370" spans="3:16">
      <c r="C1370" s="27">
        <v>42605</v>
      </c>
      <c r="D1370">
        <v>2.427</v>
      </c>
      <c r="M1370" s="27">
        <v>43788</v>
      </c>
      <c r="N1370">
        <v>115.274</v>
      </c>
      <c r="O1370" s="27">
        <v>43395</v>
      </c>
      <c r="P1370">
        <v>104.199</v>
      </c>
    </row>
    <row r="1371" spans="3:16">
      <c r="C1371" s="27">
        <v>42606</v>
      </c>
      <c r="D1371">
        <v>2.448</v>
      </c>
      <c r="M1371" s="27">
        <v>43789</v>
      </c>
      <c r="N1371">
        <v>115.56399999999999</v>
      </c>
      <c r="O1371" s="27">
        <v>43396</v>
      </c>
      <c r="P1371">
        <v>104.2</v>
      </c>
    </row>
    <row r="1372" spans="3:16">
      <c r="C1372" s="27">
        <v>42607</v>
      </c>
      <c r="D1372">
        <v>2.4020000000000001</v>
      </c>
      <c r="M1372" s="27">
        <v>43790</v>
      </c>
      <c r="N1372">
        <v>115.57599999999999</v>
      </c>
      <c r="O1372" s="27">
        <v>43397</v>
      </c>
      <c r="P1372">
        <v>104.21899999999999</v>
      </c>
    </row>
    <row r="1373" spans="3:16">
      <c r="C1373" s="27">
        <v>42608</v>
      </c>
      <c r="D1373">
        <v>2.3810000000000002</v>
      </c>
      <c r="M1373" s="27">
        <v>43791</v>
      </c>
      <c r="N1373">
        <v>115.70699999999999</v>
      </c>
      <c r="O1373" s="27">
        <v>43398</v>
      </c>
      <c r="P1373">
        <v>104.221</v>
      </c>
    </row>
    <row r="1374" spans="3:16">
      <c r="C1374" s="27">
        <v>42611</v>
      </c>
      <c r="D1374">
        <v>2.3689999999999998</v>
      </c>
      <c r="M1374" s="27">
        <v>43794</v>
      </c>
      <c r="N1374">
        <v>115.789</v>
      </c>
      <c r="O1374" s="27">
        <v>43399</v>
      </c>
      <c r="P1374">
        <v>104.178</v>
      </c>
    </row>
    <row r="1375" spans="3:16">
      <c r="C1375" s="27">
        <v>42612</v>
      </c>
      <c r="D1375">
        <v>2.367</v>
      </c>
      <c r="M1375" s="27">
        <v>43795</v>
      </c>
      <c r="N1375">
        <v>116.033</v>
      </c>
      <c r="O1375" s="27">
        <v>43402</v>
      </c>
      <c r="P1375">
        <v>104.167</v>
      </c>
    </row>
    <row r="1376" spans="3:16">
      <c r="C1376" s="27">
        <v>42613</v>
      </c>
      <c r="D1376">
        <v>2.3639999999999999</v>
      </c>
      <c r="M1376" s="27">
        <v>43796</v>
      </c>
      <c r="N1376">
        <v>116.059</v>
      </c>
      <c r="O1376" s="27">
        <v>43403</v>
      </c>
      <c r="P1376">
        <v>104.173</v>
      </c>
    </row>
    <row r="1377" spans="3:16">
      <c r="C1377" s="27">
        <v>42614</v>
      </c>
      <c r="D1377">
        <v>2.367</v>
      </c>
      <c r="M1377" s="27">
        <v>43797</v>
      </c>
      <c r="N1377">
        <v>115.99</v>
      </c>
      <c r="O1377" s="27">
        <v>43404</v>
      </c>
      <c r="P1377">
        <v>104.16500000000001</v>
      </c>
    </row>
    <row r="1378" spans="3:16">
      <c r="C1378" s="27">
        <v>42615</v>
      </c>
      <c r="D1378">
        <v>2.363</v>
      </c>
      <c r="M1378" s="27">
        <v>43798</v>
      </c>
      <c r="N1378">
        <v>116.22499999999999</v>
      </c>
      <c r="O1378" s="27">
        <v>43405</v>
      </c>
      <c r="P1378">
        <v>104.148</v>
      </c>
    </row>
    <row r="1379" spans="3:16">
      <c r="C1379" s="27">
        <v>42618</v>
      </c>
      <c r="D1379">
        <v>2.3719999999999999</v>
      </c>
      <c r="M1379" s="27">
        <v>43801</v>
      </c>
      <c r="N1379">
        <v>116.015</v>
      </c>
      <c r="O1379" s="27">
        <v>43406</v>
      </c>
      <c r="P1379">
        <v>104.11499999999999</v>
      </c>
    </row>
    <row r="1380" spans="3:16">
      <c r="C1380" s="27">
        <v>42619</v>
      </c>
      <c r="D1380">
        <v>2.3609999999999998</v>
      </c>
      <c r="M1380" s="27">
        <v>43802</v>
      </c>
      <c r="N1380">
        <v>116.06399999999999</v>
      </c>
      <c r="O1380" s="27">
        <v>43409</v>
      </c>
      <c r="P1380">
        <v>104.065</v>
      </c>
    </row>
    <row r="1381" spans="3:16">
      <c r="C1381" s="27">
        <v>42620</v>
      </c>
      <c r="D1381">
        <v>2.347</v>
      </c>
      <c r="M1381" s="27">
        <v>43803</v>
      </c>
      <c r="N1381">
        <v>115.46299999999999</v>
      </c>
      <c r="O1381" s="27">
        <v>43410</v>
      </c>
      <c r="P1381">
        <v>104.09</v>
      </c>
    </row>
    <row r="1382" spans="3:16">
      <c r="C1382" s="27">
        <v>42621</v>
      </c>
      <c r="D1382">
        <v>2.3570000000000002</v>
      </c>
      <c r="M1382" s="27">
        <v>43804</v>
      </c>
      <c r="N1382">
        <v>115.747</v>
      </c>
      <c r="O1382" s="27">
        <v>43411</v>
      </c>
      <c r="P1382">
        <v>104.077</v>
      </c>
    </row>
    <row r="1383" spans="3:16">
      <c r="C1383" s="27">
        <v>42622</v>
      </c>
      <c r="D1383">
        <v>2.3340000000000001</v>
      </c>
      <c r="M1383" s="27">
        <v>43805</v>
      </c>
      <c r="N1383">
        <v>115.628</v>
      </c>
      <c r="O1383" s="27">
        <v>43412</v>
      </c>
      <c r="P1383">
        <v>104.04300000000001</v>
      </c>
    </row>
    <row r="1384" spans="3:16">
      <c r="C1384" s="27">
        <v>42625</v>
      </c>
      <c r="D1384">
        <v>2.35</v>
      </c>
      <c r="M1384" s="27">
        <v>43808</v>
      </c>
      <c r="N1384">
        <v>115.67100000000001</v>
      </c>
      <c r="O1384" s="27">
        <v>43413</v>
      </c>
      <c r="P1384">
        <v>103.996</v>
      </c>
    </row>
    <row r="1385" spans="3:16">
      <c r="C1385" s="27">
        <v>42626</v>
      </c>
      <c r="D1385">
        <v>2.3620000000000001</v>
      </c>
      <c r="M1385" s="27">
        <v>43809</v>
      </c>
      <c r="N1385">
        <v>115.607</v>
      </c>
      <c r="O1385" s="27">
        <v>43416</v>
      </c>
      <c r="P1385">
        <v>104.024</v>
      </c>
    </row>
    <row r="1386" spans="3:16">
      <c r="C1386" s="27">
        <v>42627</v>
      </c>
      <c r="D1386">
        <v>2.3420000000000001</v>
      </c>
      <c r="M1386" s="27">
        <v>43810</v>
      </c>
      <c r="N1386">
        <v>115.619</v>
      </c>
      <c r="O1386" s="27">
        <v>43417</v>
      </c>
      <c r="P1386">
        <v>104.01600000000001</v>
      </c>
    </row>
    <row r="1387" spans="3:16">
      <c r="C1387" s="27">
        <v>42628</v>
      </c>
      <c r="D1387">
        <v>2.3290000000000002</v>
      </c>
      <c r="M1387" s="27">
        <v>43811</v>
      </c>
      <c r="N1387">
        <v>114.965</v>
      </c>
      <c r="O1387" s="27">
        <v>43418</v>
      </c>
      <c r="P1387">
        <v>103.996</v>
      </c>
    </row>
    <row r="1388" spans="3:16">
      <c r="C1388" s="27">
        <v>42629</v>
      </c>
      <c r="D1388">
        <v>2.3180000000000001</v>
      </c>
      <c r="M1388" s="27">
        <v>43812</v>
      </c>
      <c r="N1388">
        <v>115.791</v>
      </c>
      <c r="O1388" s="27">
        <v>43419</v>
      </c>
      <c r="P1388">
        <v>103.991</v>
      </c>
    </row>
    <row r="1389" spans="3:16">
      <c r="C1389" s="27">
        <v>42632</v>
      </c>
      <c r="D1389">
        <v>2.343</v>
      </c>
      <c r="M1389" s="27">
        <v>43815</v>
      </c>
      <c r="N1389">
        <v>115.508</v>
      </c>
      <c r="O1389" s="27">
        <v>43420</v>
      </c>
      <c r="P1389">
        <v>103.992</v>
      </c>
    </row>
    <row r="1390" spans="3:16">
      <c r="C1390" s="27">
        <v>42633</v>
      </c>
      <c r="D1390">
        <v>2.3460000000000001</v>
      </c>
      <c r="M1390" s="27">
        <v>43816</v>
      </c>
      <c r="N1390">
        <v>115.26</v>
      </c>
      <c r="O1390" s="27">
        <v>43423</v>
      </c>
      <c r="P1390">
        <v>103.982</v>
      </c>
    </row>
    <row r="1391" spans="3:16">
      <c r="C1391" s="27">
        <v>42634</v>
      </c>
      <c r="D1391">
        <v>2.36</v>
      </c>
      <c r="M1391" s="27">
        <v>43817</v>
      </c>
      <c r="N1391">
        <v>115.551</v>
      </c>
      <c r="O1391" s="27">
        <v>43424</v>
      </c>
      <c r="P1391">
        <v>103.956</v>
      </c>
    </row>
    <row r="1392" spans="3:16">
      <c r="C1392" s="27">
        <v>42635</v>
      </c>
      <c r="D1392">
        <v>2.3580000000000001</v>
      </c>
      <c r="M1392" s="27">
        <v>43818</v>
      </c>
      <c r="N1392">
        <v>115.627</v>
      </c>
      <c r="O1392" s="27">
        <v>43425</v>
      </c>
      <c r="P1392">
        <v>103.934</v>
      </c>
    </row>
    <row r="1393" spans="3:16">
      <c r="C1393" s="27">
        <v>42636</v>
      </c>
      <c r="D1393">
        <v>2.3730000000000002</v>
      </c>
      <c r="M1393" s="27">
        <v>43819</v>
      </c>
      <c r="N1393">
        <v>115.732</v>
      </c>
      <c r="O1393" s="27">
        <v>43426</v>
      </c>
      <c r="P1393">
        <v>103.922</v>
      </c>
    </row>
    <row r="1394" spans="3:16">
      <c r="C1394" s="27">
        <v>42639</v>
      </c>
      <c r="D1394">
        <v>2.3620000000000001</v>
      </c>
      <c r="M1394" s="27">
        <v>43822</v>
      </c>
      <c r="N1394">
        <v>115.67700000000001</v>
      </c>
      <c r="O1394" s="27">
        <v>43427</v>
      </c>
      <c r="P1394">
        <v>103.892</v>
      </c>
    </row>
    <row r="1395" spans="3:16">
      <c r="C1395" s="27">
        <v>42640</v>
      </c>
      <c r="D1395">
        <v>2.0169999999999999</v>
      </c>
      <c r="M1395" s="27">
        <v>43826</v>
      </c>
      <c r="N1395">
        <v>115.33199999999999</v>
      </c>
      <c r="O1395" s="27">
        <v>43430</v>
      </c>
      <c r="P1395">
        <v>103.876</v>
      </c>
    </row>
    <row r="1396" spans="3:16">
      <c r="C1396" s="27">
        <v>42641</v>
      </c>
      <c r="D1396">
        <v>1.8599999999999999</v>
      </c>
      <c r="M1396" s="27">
        <v>43829</v>
      </c>
      <c r="N1396">
        <v>114.753</v>
      </c>
      <c r="O1396" s="27">
        <v>43431</v>
      </c>
      <c r="P1396">
        <v>103.855</v>
      </c>
    </row>
    <row r="1397" spans="3:16">
      <c r="M1397" s="27">
        <v>43830</v>
      </c>
      <c r="N1397">
        <v>114.637</v>
      </c>
      <c r="O1397" s="27">
        <v>43432</v>
      </c>
      <c r="P1397">
        <v>103.85299999999999</v>
      </c>
    </row>
    <row r="1398" spans="3:16">
      <c r="M1398" s="27">
        <v>43832</v>
      </c>
      <c r="N1398">
        <v>114.874</v>
      </c>
      <c r="O1398" s="27">
        <v>43433</v>
      </c>
      <c r="P1398">
        <v>103.84399999999999</v>
      </c>
    </row>
    <row r="1399" spans="3:16">
      <c r="M1399" s="27">
        <v>43833</v>
      </c>
      <c r="N1399">
        <v>115.45</v>
      </c>
      <c r="O1399" s="27">
        <v>43434</v>
      </c>
      <c r="P1399">
        <v>103.824</v>
      </c>
    </row>
    <row r="1400" spans="3:16">
      <c r="M1400" s="27">
        <v>43836</v>
      </c>
      <c r="N1400">
        <v>115.77500000000001</v>
      </c>
      <c r="O1400" s="27">
        <v>43437</v>
      </c>
      <c r="P1400">
        <v>103.815</v>
      </c>
    </row>
    <row r="1401" spans="3:16">
      <c r="M1401" s="27">
        <v>43837</v>
      </c>
      <c r="N1401">
        <v>115.848</v>
      </c>
      <c r="O1401" s="27">
        <v>43438</v>
      </c>
      <c r="P1401">
        <v>103.8</v>
      </c>
    </row>
    <row r="1402" spans="3:16">
      <c r="M1402" s="27">
        <v>43838</v>
      </c>
      <c r="N1402">
        <v>116.148</v>
      </c>
      <c r="O1402" s="27">
        <v>43439</v>
      </c>
      <c r="P1402">
        <v>103.78</v>
      </c>
    </row>
    <row r="1403" spans="3:16">
      <c r="M1403" s="27">
        <v>43839</v>
      </c>
      <c r="N1403">
        <v>115.92400000000001</v>
      </c>
      <c r="O1403" s="27">
        <v>43440</v>
      </c>
      <c r="P1403">
        <v>103.73699999999999</v>
      </c>
    </row>
    <row r="1404" spans="3:16">
      <c r="M1404" s="27">
        <v>43840</v>
      </c>
      <c r="N1404">
        <v>115.904</v>
      </c>
      <c r="O1404" s="27">
        <v>43441</v>
      </c>
      <c r="P1404">
        <v>103.739</v>
      </c>
    </row>
    <row r="1405" spans="3:16">
      <c r="M1405" s="27">
        <v>43843</v>
      </c>
      <c r="N1405">
        <v>115.733</v>
      </c>
      <c r="O1405" s="27">
        <v>43444</v>
      </c>
      <c r="P1405">
        <v>103.694</v>
      </c>
    </row>
    <row r="1406" spans="3:16">
      <c r="M1406" s="27">
        <v>43844</v>
      </c>
      <c r="N1406">
        <v>115.595</v>
      </c>
      <c r="O1406" s="27">
        <v>43445</v>
      </c>
      <c r="P1406">
        <v>103.68</v>
      </c>
    </row>
    <row r="1407" spans="3:16">
      <c r="M1407" s="27">
        <v>43845</v>
      </c>
      <c r="N1407">
        <v>115.58799999999999</v>
      </c>
      <c r="O1407" s="27">
        <v>43446</v>
      </c>
      <c r="P1407">
        <v>103.681</v>
      </c>
    </row>
    <row r="1408" spans="3:16">
      <c r="M1408" s="27">
        <v>43846</v>
      </c>
      <c r="N1408">
        <v>115.717</v>
      </c>
      <c r="O1408" s="27">
        <v>43447</v>
      </c>
      <c r="P1408">
        <v>103.645</v>
      </c>
    </row>
    <row r="1409" spans="13:16">
      <c r="M1409" s="27">
        <v>43847</v>
      </c>
      <c r="N1409">
        <v>115.99</v>
      </c>
      <c r="O1409" s="27">
        <v>43448</v>
      </c>
      <c r="P1409">
        <v>103.651</v>
      </c>
    </row>
    <row r="1410" spans="13:16">
      <c r="M1410" s="27">
        <v>43850</v>
      </c>
      <c r="N1410">
        <v>116.268</v>
      </c>
      <c r="O1410" s="27">
        <v>43451</v>
      </c>
      <c r="P1410">
        <v>103.664</v>
      </c>
    </row>
    <row r="1411" spans="13:16">
      <c r="M1411" s="27">
        <v>43851</v>
      </c>
      <c r="N1411">
        <v>116.145</v>
      </c>
      <c r="O1411" s="27">
        <v>43452</v>
      </c>
      <c r="P1411">
        <v>103.684</v>
      </c>
    </row>
    <row r="1412" spans="13:16">
      <c r="M1412" s="27">
        <v>43852</v>
      </c>
      <c r="N1412">
        <v>116.55800000000001</v>
      </c>
      <c r="O1412" s="27">
        <v>43453</v>
      </c>
      <c r="P1412">
        <v>103.654</v>
      </c>
    </row>
    <row r="1413" spans="13:16">
      <c r="M1413" s="27">
        <v>43853</v>
      </c>
      <c r="N1413">
        <v>116.74</v>
      </c>
      <c r="O1413" s="27">
        <v>43454</v>
      </c>
      <c r="P1413">
        <v>103.652</v>
      </c>
    </row>
    <row r="1414" spans="13:16">
      <c r="M1414" s="27">
        <v>43854</v>
      </c>
      <c r="N1414">
        <v>116.68899999999999</v>
      </c>
      <c r="O1414" s="27">
        <v>43455</v>
      </c>
      <c r="P1414">
        <v>103.63500000000001</v>
      </c>
    </row>
    <row r="1415" spans="13:16">
      <c r="M1415" s="27">
        <v>43857</v>
      </c>
      <c r="N1415">
        <v>117.252</v>
      </c>
      <c r="O1415" s="27">
        <v>43458</v>
      </c>
      <c r="P1415">
        <v>103.583</v>
      </c>
    </row>
    <row r="1416" spans="13:16">
      <c r="M1416" s="27">
        <v>43858</v>
      </c>
      <c r="N1416">
        <v>117.639</v>
      </c>
      <c r="O1416" s="27">
        <v>43461</v>
      </c>
      <c r="P1416">
        <v>103.633</v>
      </c>
    </row>
    <row r="1417" spans="13:16">
      <c r="M1417" s="27">
        <v>43859</v>
      </c>
      <c r="N1417">
        <v>117.822</v>
      </c>
      <c r="O1417" s="27">
        <v>43462</v>
      </c>
      <c r="P1417">
        <v>103.628</v>
      </c>
    </row>
    <row r="1418" spans="13:16">
      <c r="M1418" s="27">
        <v>43860</v>
      </c>
      <c r="N1418">
        <v>117.98</v>
      </c>
      <c r="O1418" s="27">
        <v>43465</v>
      </c>
      <c r="P1418">
        <v>103.575</v>
      </c>
    </row>
    <row r="1419" spans="13:16">
      <c r="M1419" s="27">
        <v>43861</v>
      </c>
      <c r="N1419">
        <v>117.905</v>
      </c>
      <c r="O1419" s="27">
        <v>43467</v>
      </c>
      <c r="P1419">
        <v>103.571</v>
      </c>
    </row>
    <row r="1420" spans="13:16">
      <c r="M1420" s="27">
        <v>43864</v>
      </c>
      <c r="N1420">
        <v>118.25700000000001</v>
      </c>
      <c r="O1420" s="27">
        <v>43468</v>
      </c>
      <c r="P1420">
        <v>103.55800000000001</v>
      </c>
    </row>
    <row r="1421" spans="13:16">
      <c r="M1421" s="27">
        <v>43865</v>
      </c>
      <c r="N1421">
        <v>118.20099999999999</v>
      </c>
      <c r="O1421" s="27">
        <v>43469</v>
      </c>
      <c r="P1421">
        <v>103.512</v>
      </c>
    </row>
    <row r="1422" spans="13:16">
      <c r="M1422" s="27">
        <v>43866</v>
      </c>
      <c r="N1422">
        <v>117.52500000000001</v>
      </c>
      <c r="O1422" s="27">
        <v>43472</v>
      </c>
      <c r="P1422">
        <v>103.464</v>
      </c>
    </row>
    <row r="1423" spans="13:16">
      <c r="M1423" s="27">
        <v>43867</v>
      </c>
      <c r="N1423">
        <v>117.38200000000001</v>
      </c>
      <c r="O1423" s="27">
        <v>43473</v>
      </c>
      <c r="P1423">
        <v>103.43</v>
      </c>
    </row>
    <row r="1424" spans="13:16">
      <c r="M1424" s="27">
        <v>43868</v>
      </c>
      <c r="N1424">
        <v>117.818</v>
      </c>
      <c r="O1424" s="27">
        <v>43474</v>
      </c>
      <c r="P1424">
        <v>103.41</v>
      </c>
    </row>
    <row r="1425" spans="13:16">
      <c r="M1425" s="27">
        <v>43871</v>
      </c>
      <c r="N1425">
        <v>117.818</v>
      </c>
      <c r="O1425" s="27">
        <v>43475</v>
      </c>
      <c r="P1425">
        <v>103.417</v>
      </c>
    </row>
    <row r="1426" spans="13:16">
      <c r="M1426" s="27">
        <v>43872</v>
      </c>
      <c r="N1426">
        <v>117.77800000000001</v>
      </c>
      <c r="O1426" s="27">
        <v>43476</v>
      </c>
      <c r="P1426">
        <v>103.404</v>
      </c>
    </row>
    <row r="1427" spans="13:16">
      <c r="M1427" s="27">
        <v>43873</v>
      </c>
      <c r="N1427">
        <v>117.477</v>
      </c>
      <c r="O1427" s="27">
        <v>43479</v>
      </c>
      <c r="P1427">
        <v>103.39700000000001</v>
      </c>
    </row>
    <row r="1428" spans="13:16">
      <c r="M1428" s="27">
        <v>43874</v>
      </c>
      <c r="N1428">
        <v>117.464</v>
      </c>
      <c r="O1428" s="27">
        <v>43480</v>
      </c>
      <c r="P1428">
        <v>103.38800000000001</v>
      </c>
    </row>
    <row r="1429" spans="13:16">
      <c r="M1429" s="27">
        <v>43875</v>
      </c>
      <c r="N1429">
        <v>117.506</v>
      </c>
      <c r="O1429" s="27">
        <v>43481</v>
      </c>
      <c r="P1429">
        <v>103.40300000000001</v>
      </c>
    </row>
    <row r="1430" spans="13:16">
      <c r="M1430" s="27">
        <v>43878</v>
      </c>
      <c r="N1430">
        <v>117.511</v>
      </c>
      <c r="O1430" s="27">
        <v>43482</v>
      </c>
      <c r="P1430">
        <v>103.4</v>
      </c>
    </row>
    <row r="1431" spans="13:16">
      <c r="M1431" s="27">
        <v>43879</v>
      </c>
      <c r="N1431">
        <v>117.51900000000001</v>
      </c>
      <c r="O1431" s="27">
        <v>43483</v>
      </c>
      <c r="P1431">
        <v>103.357</v>
      </c>
    </row>
    <row r="1432" spans="13:16">
      <c r="M1432" s="27">
        <v>43880</v>
      </c>
      <c r="N1432">
        <v>117.434</v>
      </c>
      <c r="O1432" s="27">
        <v>43486</v>
      </c>
      <c r="P1432">
        <v>103.351</v>
      </c>
    </row>
    <row r="1433" spans="13:16">
      <c r="M1433" s="27">
        <v>43881</v>
      </c>
      <c r="N1433">
        <v>117.56</v>
      </c>
      <c r="O1433" s="27">
        <v>43487</v>
      </c>
      <c r="P1433">
        <v>103.34399999999999</v>
      </c>
    </row>
    <row r="1434" spans="13:16">
      <c r="M1434" s="27">
        <v>43882</v>
      </c>
      <c r="N1434">
        <v>117.872</v>
      </c>
      <c r="O1434" s="27">
        <v>43488</v>
      </c>
      <c r="P1434">
        <v>103.333</v>
      </c>
    </row>
    <row r="1435" spans="13:16">
      <c r="M1435" s="27">
        <v>43885</v>
      </c>
      <c r="N1435">
        <v>117.893</v>
      </c>
      <c r="O1435" s="27">
        <v>43489</v>
      </c>
      <c r="P1435">
        <v>103.324</v>
      </c>
    </row>
    <row r="1436" spans="13:16">
      <c r="M1436" s="27">
        <v>43886</v>
      </c>
      <c r="N1436">
        <v>118.185</v>
      </c>
      <c r="O1436" s="27">
        <v>43490</v>
      </c>
      <c r="P1436">
        <v>103.286</v>
      </c>
    </row>
    <row r="1437" spans="13:16">
      <c r="M1437" s="27">
        <v>43887</v>
      </c>
      <c r="N1437">
        <v>118.336</v>
      </c>
      <c r="O1437" s="27">
        <v>43493</v>
      </c>
      <c r="P1437">
        <v>103.28700000000001</v>
      </c>
    </row>
    <row r="1438" spans="13:16">
      <c r="M1438" s="27">
        <v>43888</v>
      </c>
      <c r="N1438">
        <v>118.523</v>
      </c>
      <c r="O1438" s="27">
        <v>43494</v>
      </c>
      <c r="P1438">
        <v>103.282</v>
      </c>
    </row>
    <row r="1439" spans="13:16">
      <c r="M1439" s="27">
        <v>43889</v>
      </c>
      <c r="N1439">
        <v>118.59699999999999</v>
      </c>
      <c r="O1439" s="27">
        <v>43495</v>
      </c>
      <c r="P1439">
        <v>103.273</v>
      </c>
    </row>
    <row r="1440" spans="13:16">
      <c r="M1440" s="27">
        <v>43892</v>
      </c>
      <c r="N1440">
        <v>119.095</v>
      </c>
      <c r="O1440" s="27">
        <v>43496</v>
      </c>
      <c r="P1440">
        <v>103.27200000000001</v>
      </c>
    </row>
    <row r="1441" spans="13:16">
      <c r="M1441" s="27">
        <v>43893</v>
      </c>
      <c r="N1441">
        <v>119.134</v>
      </c>
      <c r="O1441" s="27">
        <v>43497</v>
      </c>
      <c r="P1441">
        <v>103.254</v>
      </c>
    </row>
    <row r="1442" spans="13:16">
      <c r="M1442" s="27">
        <v>43894</v>
      </c>
      <c r="N1442">
        <v>120.06</v>
      </c>
      <c r="O1442" s="27">
        <v>43500</v>
      </c>
      <c r="P1442">
        <v>103.274</v>
      </c>
    </row>
    <row r="1443" spans="13:16">
      <c r="M1443" s="27">
        <v>43895</v>
      </c>
      <c r="N1443">
        <v>120.143</v>
      </c>
      <c r="O1443" s="27">
        <v>43501</v>
      </c>
      <c r="P1443">
        <v>103.251</v>
      </c>
    </row>
    <row r="1444" spans="13:16">
      <c r="M1444" s="27">
        <v>43896</v>
      </c>
      <c r="N1444">
        <v>120.372</v>
      </c>
      <c r="O1444" s="27">
        <v>43502</v>
      </c>
      <c r="P1444">
        <v>103.23399999999999</v>
      </c>
    </row>
    <row r="1445" spans="13:16">
      <c r="M1445" s="27">
        <v>43899</v>
      </c>
      <c r="N1445">
        <v>121.63</v>
      </c>
      <c r="O1445" s="27">
        <v>43503</v>
      </c>
      <c r="P1445">
        <v>103.236</v>
      </c>
    </row>
    <row r="1446" spans="13:16">
      <c r="M1446" s="27">
        <v>43900</v>
      </c>
      <c r="N1446">
        <v>120.45099999999999</v>
      </c>
      <c r="O1446" s="27">
        <v>43504</v>
      </c>
      <c r="P1446">
        <v>103.23099999999999</v>
      </c>
    </row>
    <row r="1447" spans="13:16">
      <c r="M1447" s="27">
        <v>43901</v>
      </c>
      <c r="N1447">
        <v>120.325</v>
      </c>
      <c r="O1447" s="27">
        <v>43507</v>
      </c>
      <c r="P1447">
        <v>103.221</v>
      </c>
    </row>
    <row r="1448" spans="13:16">
      <c r="M1448" s="27">
        <v>43902</v>
      </c>
      <c r="N1448">
        <v>120.39</v>
      </c>
      <c r="O1448" s="27">
        <v>43508</v>
      </c>
      <c r="P1448">
        <v>103.19199999999999</v>
      </c>
    </row>
    <row r="1449" spans="13:16">
      <c r="M1449" s="27">
        <v>43903</v>
      </c>
      <c r="N1449">
        <v>120.505</v>
      </c>
      <c r="O1449" s="27">
        <v>43509</v>
      </c>
      <c r="P1449">
        <v>103.179</v>
      </c>
    </row>
    <row r="1450" spans="13:16">
      <c r="M1450" s="27">
        <v>43906</v>
      </c>
      <c r="N1450">
        <v>120.434</v>
      </c>
      <c r="O1450" s="27">
        <v>43510</v>
      </c>
      <c r="P1450">
        <v>103.20099999999999</v>
      </c>
    </row>
    <row r="1451" spans="13:16">
      <c r="M1451" s="27">
        <v>43907</v>
      </c>
      <c r="N1451">
        <v>120.43300000000001</v>
      </c>
      <c r="O1451" s="27">
        <v>43511</v>
      </c>
      <c r="P1451">
        <v>103.19199999999999</v>
      </c>
    </row>
    <row r="1452" spans="13:16">
      <c r="M1452" s="27">
        <v>43908</v>
      </c>
      <c r="N1452">
        <v>119.447</v>
      </c>
      <c r="O1452" s="27">
        <v>43514</v>
      </c>
      <c r="P1452">
        <v>103.194</v>
      </c>
    </row>
    <row r="1453" spans="13:16">
      <c r="M1453" s="27">
        <v>43909</v>
      </c>
      <c r="N1453">
        <v>119.58</v>
      </c>
      <c r="O1453" s="27">
        <v>43515</v>
      </c>
      <c r="P1453">
        <v>103.218</v>
      </c>
    </row>
    <row r="1454" spans="13:16">
      <c r="M1454" s="27">
        <v>43910</v>
      </c>
      <c r="N1454">
        <v>118.113</v>
      </c>
      <c r="O1454" s="27">
        <v>43516</v>
      </c>
      <c r="P1454">
        <v>103.19199999999999</v>
      </c>
    </row>
    <row r="1455" spans="13:16">
      <c r="M1455" s="27">
        <v>43913</v>
      </c>
      <c r="N1455">
        <v>117.76900000000001</v>
      </c>
      <c r="O1455" s="27">
        <v>43517</v>
      </c>
      <c r="P1455">
        <v>103.209</v>
      </c>
    </row>
    <row r="1456" spans="13:16">
      <c r="M1456" s="27">
        <v>43914</v>
      </c>
      <c r="N1456">
        <v>117.401</v>
      </c>
      <c r="O1456" s="27">
        <v>43518</v>
      </c>
      <c r="P1456">
        <v>103.16500000000001</v>
      </c>
    </row>
    <row r="1457" spans="13:16">
      <c r="M1457" s="27">
        <v>43915</v>
      </c>
      <c r="N1457">
        <v>116.777</v>
      </c>
      <c r="O1457" s="27">
        <v>43521</v>
      </c>
      <c r="P1457">
        <v>103.16800000000001</v>
      </c>
    </row>
    <row r="1458" spans="13:16">
      <c r="M1458" s="27">
        <v>43916</v>
      </c>
      <c r="N1458">
        <v>116.8</v>
      </c>
      <c r="O1458" s="27">
        <v>43522</v>
      </c>
      <c r="P1458">
        <v>103.15900000000001</v>
      </c>
    </row>
    <row r="1459" spans="13:16">
      <c r="M1459" s="27">
        <v>43917</v>
      </c>
      <c r="N1459">
        <v>117.66200000000001</v>
      </c>
      <c r="O1459" s="27">
        <v>43523</v>
      </c>
      <c r="P1459">
        <v>103.148</v>
      </c>
    </row>
    <row r="1460" spans="13:16">
      <c r="M1460" s="27">
        <v>43920</v>
      </c>
      <c r="N1460">
        <v>119.069</v>
      </c>
      <c r="O1460" s="27">
        <v>43524</v>
      </c>
      <c r="P1460">
        <v>103.145</v>
      </c>
    </row>
    <row r="1461" spans="13:16">
      <c r="M1461" s="27">
        <v>43921</v>
      </c>
      <c r="N1461">
        <v>109.09</v>
      </c>
      <c r="O1461" s="27">
        <v>43525</v>
      </c>
      <c r="P1461">
        <v>103.10299999999999</v>
      </c>
    </row>
    <row r="1462" spans="13:16">
      <c r="M1462" s="27">
        <v>43922</v>
      </c>
      <c r="N1462">
        <v>108.279</v>
      </c>
      <c r="O1462" s="27">
        <v>43528</v>
      </c>
      <c r="P1462">
        <v>103.096</v>
      </c>
    </row>
    <row r="1463" spans="13:16">
      <c r="M1463" s="27">
        <v>43923</v>
      </c>
      <c r="N1463">
        <v>108.054</v>
      </c>
      <c r="O1463" s="27">
        <v>43529</v>
      </c>
      <c r="P1463">
        <v>103.10599999999999</v>
      </c>
    </row>
    <row r="1464" spans="13:16">
      <c r="M1464" s="27">
        <v>43924</v>
      </c>
      <c r="N1464">
        <v>107.92</v>
      </c>
      <c r="O1464" s="27">
        <v>43530</v>
      </c>
      <c r="P1464">
        <v>103.1</v>
      </c>
    </row>
    <row r="1465" spans="13:16">
      <c r="M1465" s="27">
        <v>43927</v>
      </c>
      <c r="N1465">
        <v>107.9</v>
      </c>
      <c r="O1465" s="27">
        <v>43531</v>
      </c>
      <c r="P1465">
        <v>103.114</v>
      </c>
    </row>
    <row r="1466" spans="13:16">
      <c r="M1466" s="27">
        <v>43928</v>
      </c>
      <c r="N1466">
        <v>109.73099999999999</v>
      </c>
      <c r="O1466" s="27">
        <v>43532</v>
      </c>
      <c r="P1466">
        <v>103.117</v>
      </c>
    </row>
    <row r="1467" spans="13:16">
      <c r="M1467" s="27">
        <v>43929</v>
      </c>
      <c r="N1467">
        <v>110.131</v>
      </c>
      <c r="O1467" s="27">
        <v>43535</v>
      </c>
      <c r="P1467">
        <v>103.1</v>
      </c>
    </row>
    <row r="1468" spans="13:16">
      <c r="M1468" s="27">
        <v>43935</v>
      </c>
      <c r="N1468">
        <v>110.431</v>
      </c>
      <c r="O1468" s="27">
        <v>43536</v>
      </c>
      <c r="P1468">
        <v>103.098</v>
      </c>
    </row>
    <row r="1469" spans="13:16">
      <c r="M1469" s="27">
        <v>43936</v>
      </c>
      <c r="N1469">
        <v>110.697</v>
      </c>
      <c r="O1469" s="27">
        <v>43537</v>
      </c>
      <c r="P1469">
        <v>103.1</v>
      </c>
    </row>
    <row r="1470" spans="13:16">
      <c r="M1470" s="27">
        <v>43937</v>
      </c>
      <c r="N1470">
        <v>110.395</v>
      </c>
      <c r="O1470" s="27">
        <v>43538</v>
      </c>
      <c r="P1470">
        <v>103.128</v>
      </c>
    </row>
    <row r="1471" spans="13:16">
      <c r="M1471" s="27">
        <v>43938</v>
      </c>
      <c r="N1471">
        <v>110.07899999999999</v>
      </c>
      <c r="O1471" s="27">
        <v>43539</v>
      </c>
      <c r="P1471">
        <v>103.08199999999999</v>
      </c>
    </row>
    <row r="1472" spans="13:16">
      <c r="M1472" s="27">
        <v>43941</v>
      </c>
      <c r="N1472">
        <v>109.78</v>
      </c>
      <c r="O1472" s="27">
        <v>43542</v>
      </c>
      <c r="P1472">
        <v>103.084</v>
      </c>
    </row>
    <row r="1473" spans="13:16">
      <c r="M1473" s="27">
        <v>43942</v>
      </c>
      <c r="N1473">
        <v>109.85899999999999</v>
      </c>
      <c r="O1473" s="27">
        <v>43543</v>
      </c>
      <c r="P1473">
        <v>103.077</v>
      </c>
    </row>
    <row r="1474" spans="13:16">
      <c r="M1474" s="27">
        <v>43943</v>
      </c>
      <c r="N1474">
        <v>109.705</v>
      </c>
      <c r="O1474" s="27">
        <v>43544</v>
      </c>
      <c r="P1474">
        <v>103.062</v>
      </c>
    </row>
    <row r="1475" spans="13:16">
      <c r="M1475" s="27">
        <v>43944</v>
      </c>
      <c r="N1475">
        <v>109.693</v>
      </c>
      <c r="O1475" s="27">
        <v>43545</v>
      </c>
      <c r="P1475">
        <v>103.08799999999999</v>
      </c>
    </row>
    <row r="1476" spans="13:16">
      <c r="M1476" s="27">
        <v>43945</v>
      </c>
      <c r="N1476">
        <v>109.86499999999999</v>
      </c>
      <c r="O1476" s="27">
        <v>43546</v>
      </c>
      <c r="P1476">
        <v>103.084</v>
      </c>
    </row>
    <row r="1477" spans="13:16">
      <c r="M1477" s="27">
        <v>43948</v>
      </c>
      <c r="N1477">
        <v>109.982</v>
      </c>
      <c r="O1477" s="27">
        <v>43549</v>
      </c>
      <c r="P1477">
        <v>103.102</v>
      </c>
    </row>
    <row r="1478" spans="13:16">
      <c r="M1478" s="27">
        <v>43949</v>
      </c>
      <c r="N1478">
        <v>110.087</v>
      </c>
      <c r="O1478" s="27">
        <v>43550</v>
      </c>
      <c r="P1478">
        <v>103.08199999999999</v>
      </c>
    </row>
    <row r="1479" spans="13:16">
      <c r="M1479" s="27">
        <v>43950</v>
      </c>
      <c r="N1479">
        <v>110.24299999999999</v>
      </c>
      <c r="O1479" s="27">
        <v>43551</v>
      </c>
      <c r="P1479">
        <v>103.07</v>
      </c>
    </row>
    <row r="1480" spans="13:16">
      <c r="M1480" s="27">
        <v>43951</v>
      </c>
      <c r="N1480">
        <v>110.821</v>
      </c>
      <c r="O1480" s="27">
        <v>43552</v>
      </c>
      <c r="P1480">
        <v>103.108</v>
      </c>
    </row>
    <row r="1481" spans="13:16">
      <c r="M1481" s="27">
        <v>43955</v>
      </c>
      <c r="N1481">
        <v>110.801</v>
      </c>
      <c r="O1481" s="27">
        <v>43553</v>
      </c>
      <c r="P1481">
        <v>103.08</v>
      </c>
    </row>
    <row r="1482" spans="13:16">
      <c r="M1482" s="27">
        <v>43956</v>
      </c>
      <c r="N1482">
        <v>111.286</v>
      </c>
      <c r="O1482" s="27">
        <v>43556</v>
      </c>
      <c r="P1482">
        <v>103.09099999999999</v>
      </c>
    </row>
    <row r="1483" spans="13:16">
      <c r="M1483" s="27">
        <v>43957</v>
      </c>
      <c r="N1483">
        <v>111.226</v>
      </c>
      <c r="O1483" s="27">
        <v>43557</v>
      </c>
      <c r="P1483">
        <v>103.09</v>
      </c>
    </row>
    <row r="1484" spans="13:16">
      <c r="M1484" s="27">
        <v>43958</v>
      </c>
      <c r="N1484">
        <v>111.907</v>
      </c>
      <c r="O1484" s="27">
        <v>43558</v>
      </c>
      <c r="P1484">
        <v>103.081</v>
      </c>
    </row>
    <row r="1485" spans="13:16">
      <c r="M1485" s="27">
        <v>43959</v>
      </c>
      <c r="N1485">
        <v>112.313</v>
      </c>
      <c r="O1485" s="27">
        <v>43559</v>
      </c>
      <c r="P1485">
        <v>103.051</v>
      </c>
    </row>
    <row r="1486" spans="13:16">
      <c r="M1486" s="27">
        <v>43962</v>
      </c>
      <c r="N1486">
        <v>112.197</v>
      </c>
      <c r="O1486" s="27">
        <v>43560</v>
      </c>
      <c r="P1486">
        <v>103.041</v>
      </c>
    </row>
    <row r="1487" spans="13:16">
      <c r="M1487" s="27">
        <v>43963</v>
      </c>
      <c r="N1487">
        <v>112.218</v>
      </c>
      <c r="O1487" s="27">
        <v>43563</v>
      </c>
      <c r="P1487">
        <v>103.03400000000001</v>
      </c>
    </row>
    <row r="1488" spans="13:16">
      <c r="M1488" s="27">
        <v>43964</v>
      </c>
      <c r="N1488">
        <v>112.657</v>
      </c>
      <c r="O1488" s="27">
        <v>43564</v>
      </c>
      <c r="P1488">
        <v>103.014</v>
      </c>
    </row>
    <row r="1489" spans="13:16">
      <c r="M1489" s="27">
        <v>43965</v>
      </c>
      <c r="N1489">
        <v>113.04</v>
      </c>
      <c r="O1489" s="27">
        <v>43565</v>
      </c>
      <c r="P1489">
        <v>103.001</v>
      </c>
    </row>
    <row r="1490" spans="13:16">
      <c r="M1490" s="27">
        <v>43966</v>
      </c>
      <c r="N1490">
        <v>113.316</v>
      </c>
      <c r="O1490" s="27">
        <v>43566</v>
      </c>
      <c r="P1490">
        <v>102.982</v>
      </c>
    </row>
    <row r="1491" spans="13:16">
      <c r="M1491" s="27">
        <v>43969</v>
      </c>
      <c r="N1491">
        <v>112.851</v>
      </c>
      <c r="O1491" s="27">
        <v>43567</v>
      </c>
      <c r="P1491">
        <v>102.986</v>
      </c>
    </row>
    <row r="1492" spans="13:16">
      <c r="M1492" s="27">
        <v>43970</v>
      </c>
      <c r="N1492">
        <v>112.256</v>
      </c>
      <c r="O1492" s="27">
        <v>43570</v>
      </c>
      <c r="P1492">
        <v>102.96899999999999</v>
      </c>
    </row>
    <row r="1493" spans="13:16">
      <c r="M1493" s="27">
        <v>43971</v>
      </c>
      <c r="N1493">
        <v>112.413</v>
      </c>
      <c r="O1493" s="27">
        <v>43571</v>
      </c>
      <c r="P1493">
        <v>102.961</v>
      </c>
    </row>
    <row r="1494" spans="13:16">
      <c r="M1494" s="27">
        <v>43973</v>
      </c>
      <c r="N1494">
        <v>112.65900000000001</v>
      </c>
      <c r="O1494" s="27">
        <v>43572</v>
      </c>
      <c r="P1494">
        <v>102.94</v>
      </c>
    </row>
    <row r="1495" spans="13:16">
      <c r="M1495" s="27">
        <v>43976</v>
      </c>
      <c r="N1495">
        <v>112.745</v>
      </c>
      <c r="O1495" s="27">
        <v>43573</v>
      </c>
      <c r="P1495">
        <v>102.947</v>
      </c>
    </row>
    <row r="1496" spans="13:16">
      <c r="M1496" s="27">
        <v>43977</v>
      </c>
      <c r="N1496">
        <v>112.53400000000001</v>
      </c>
      <c r="O1496" s="27">
        <v>43578</v>
      </c>
      <c r="P1496">
        <v>102.95099999999999</v>
      </c>
    </row>
    <row r="1497" spans="13:16">
      <c r="M1497" s="27">
        <v>43978</v>
      </c>
      <c r="N1497">
        <v>112.215</v>
      </c>
      <c r="O1497" s="27">
        <v>43579</v>
      </c>
      <c r="P1497">
        <v>102.971</v>
      </c>
    </row>
    <row r="1498" spans="13:16">
      <c r="M1498" s="27">
        <v>43979</v>
      </c>
      <c r="N1498">
        <v>112.187</v>
      </c>
      <c r="O1498" s="27">
        <v>43580</v>
      </c>
      <c r="P1498">
        <v>102.99299999999999</v>
      </c>
    </row>
    <row r="1499" spans="13:16">
      <c r="M1499" s="27">
        <v>43980</v>
      </c>
      <c r="N1499">
        <v>112.251</v>
      </c>
      <c r="O1499" s="27">
        <v>43581</v>
      </c>
      <c r="P1499">
        <v>103.003</v>
      </c>
    </row>
    <row r="1500" spans="13:16">
      <c r="M1500" s="27">
        <v>43984</v>
      </c>
      <c r="N1500">
        <v>112.251</v>
      </c>
      <c r="O1500" s="27">
        <v>43584</v>
      </c>
      <c r="P1500">
        <v>102.976</v>
      </c>
    </row>
    <row r="1501" spans="13:16">
      <c r="M1501" s="27">
        <v>43985</v>
      </c>
      <c r="N1501">
        <v>112.02200000000001</v>
      </c>
      <c r="O1501" s="27">
        <v>43585</v>
      </c>
      <c r="P1501">
        <v>102.979</v>
      </c>
    </row>
    <row r="1502" spans="13:16">
      <c r="M1502" s="27">
        <v>43986</v>
      </c>
      <c r="N1502">
        <v>111.97</v>
      </c>
      <c r="O1502" s="27">
        <v>43587</v>
      </c>
      <c r="P1502">
        <v>102.97199999999999</v>
      </c>
    </row>
    <row r="1503" spans="13:16">
      <c r="M1503" s="27">
        <v>43987</v>
      </c>
      <c r="N1503">
        <v>111.423</v>
      </c>
      <c r="O1503" s="27">
        <v>43588</v>
      </c>
      <c r="P1503">
        <v>102.98099999999999</v>
      </c>
    </row>
    <row r="1504" spans="13:16">
      <c r="M1504" s="27">
        <v>43990</v>
      </c>
      <c r="N1504">
        <v>111.221</v>
      </c>
      <c r="O1504" s="27">
        <v>43591</v>
      </c>
      <c r="P1504">
        <v>102.97499999999999</v>
      </c>
    </row>
    <row r="1505" spans="13:16">
      <c r="M1505" s="27">
        <v>43991</v>
      </c>
      <c r="N1505">
        <v>111.378</v>
      </c>
      <c r="O1505" s="27">
        <v>43592</v>
      </c>
      <c r="P1505">
        <v>102.967</v>
      </c>
    </row>
    <row r="1506" spans="13:16">
      <c r="M1506" s="27">
        <v>43992</v>
      </c>
      <c r="N1506">
        <v>111.246</v>
      </c>
      <c r="O1506" s="27">
        <v>43593</v>
      </c>
      <c r="P1506">
        <v>102.958</v>
      </c>
    </row>
    <row r="1507" spans="13:16">
      <c r="M1507" s="27">
        <v>43993</v>
      </c>
      <c r="N1507">
        <v>111.941</v>
      </c>
      <c r="O1507" s="27">
        <v>43594</v>
      </c>
      <c r="P1507">
        <v>102.965</v>
      </c>
    </row>
    <row r="1508" spans="13:16">
      <c r="M1508" s="27">
        <v>43994</v>
      </c>
      <c r="N1508">
        <v>112.246</v>
      </c>
      <c r="O1508" s="27">
        <v>43595</v>
      </c>
      <c r="P1508">
        <v>102.953</v>
      </c>
    </row>
    <row r="1509" spans="13:16">
      <c r="M1509" s="27">
        <v>43997</v>
      </c>
      <c r="N1509">
        <v>112.59</v>
      </c>
      <c r="O1509" s="27">
        <v>43598</v>
      </c>
      <c r="P1509">
        <v>102.928</v>
      </c>
    </row>
    <row r="1510" spans="13:16">
      <c r="M1510" s="27">
        <v>43998</v>
      </c>
      <c r="N1510">
        <v>112.56399999999999</v>
      </c>
      <c r="O1510" s="27">
        <v>43599</v>
      </c>
      <c r="P1510">
        <v>102.938</v>
      </c>
    </row>
    <row r="1511" spans="13:16">
      <c r="M1511" s="27">
        <v>43999</v>
      </c>
      <c r="N1511">
        <v>112.473</v>
      </c>
      <c r="O1511" s="27">
        <v>43600</v>
      </c>
      <c r="P1511">
        <v>102.941</v>
      </c>
    </row>
    <row r="1512" spans="13:16">
      <c r="M1512" s="27">
        <v>44000</v>
      </c>
      <c r="N1512">
        <v>112.24299999999999</v>
      </c>
      <c r="O1512" s="27">
        <v>43601</v>
      </c>
      <c r="P1512">
        <v>102.937</v>
      </c>
    </row>
    <row r="1513" spans="13:16">
      <c r="M1513" s="27">
        <v>44001</v>
      </c>
      <c r="N1513">
        <v>112.089</v>
      </c>
      <c r="O1513" s="27">
        <v>43602</v>
      </c>
      <c r="P1513">
        <v>102.917</v>
      </c>
    </row>
    <row r="1514" spans="13:16">
      <c r="M1514" s="27">
        <v>44004</v>
      </c>
      <c r="N1514">
        <v>112.304</v>
      </c>
      <c r="O1514" s="27">
        <v>43605</v>
      </c>
      <c r="P1514">
        <v>102.893</v>
      </c>
    </row>
    <row r="1515" spans="13:16">
      <c r="M1515" s="27">
        <v>44005</v>
      </c>
      <c r="N1515">
        <v>112.26</v>
      </c>
      <c r="O1515" s="27">
        <v>43606</v>
      </c>
      <c r="P1515">
        <v>102.875</v>
      </c>
    </row>
    <row r="1516" spans="13:16">
      <c r="M1516" s="27">
        <v>44006</v>
      </c>
      <c r="N1516">
        <v>112.16500000000001</v>
      </c>
      <c r="O1516" s="27">
        <v>43607</v>
      </c>
      <c r="P1516">
        <v>102.872</v>
      </c>
    </row>
    <row r="1517" spans="13:16">
      <c r="M1517" s="27">
        <v>44007</v>
      </c>
      <c r="N1517">
        <v>114.91800000000001</v>
      </c>
      <c r="O1517" s="27">
        <v>43608</v>
      </c>
      <c r="P1517">
        <v>102.85</v>
      </c>
    </row>
    <row r="1518" spans="13:16">
      <c r="M1518" s="27">
        <v>44008</v>
      </c>
      <c r="N1518">
        <v>116.05800000000001</v>
      </c>
      <c r="O1518" s="27">
        <v>43609</v>
      </c>
      <c r="P1518">
        <v>102.857</v>
      </c>
    </row>
    <row r="1519" spans="13:16">
      <c r="M1519" s="27">
        <v>44011</v>
      </c>
      <c r="N1519">
        <v>116.14700000000001</v>
      </c>
      <c r="O1519" s="27">
        <v>43612</v>
      </c>
      <c r="P1519">
        <v>102.84099999999999</v>
      </c>
    </row>
    <row r="1520" spans="13:16">
      <c r="M1520" s="27">
        <v>44012</v>
      </c>
      <c r="N1520">
        <v>116.40900000000001</v>
      </c>
      <c r="O1520" s="27">
        <v>43613</v>
      </c>
      <c r="P1520">
        <v>102.852</v>
      </c>
    </row>
    <row r="1521" spans="13:16">
      <c r="M1521" s="27">
        <v>44013</v>
      </c>
      <c r="N1521">
        <v>115.965</v>
      </c>
      <c r="O1521" s="27">
        <v>43614</v>
      </c>
      <c r="P1521">
        <v>102.849</v>
      </c>
    </row>
    <row r="1522" spans="13:16">
      <c r="M1522" s="27">
        <v>44014</v>
      </c>
      <c r="N1522">
        <v>116.19199999999999</v>
      </c>
      <c r="O1522" s="27">
        <v>43615</v>
      </c>
      <c r="P1522">
        <v>102.83</v>
      </c>
    </row>
    <row r="1523" spans="13:16">
      <c r="M1523" s="27">
        <v>44015</v>
      </c>
      <c r="N1523">
        <v>116.29600000000001</v>
      </c>
      <c r="O1523" s="27">
        <v>43616</v>
      </c>
      <c r="P1523">
        <v>102.836</v>
      </c>
    </row>
    <row r="1524" spans="13:16">
      <c r="M1524" s="27">
        <v>44018</v>
      </c>
      <c r="N1524">
        <v>116.309</v>
      </c>
      <c r="O1524" s="27">
        <v>43619</v>
      </c>
      <c r="P1524">
        <v>102.849</v>
      </c>
    </row>
    <row r="1525" spans="13:16">
      <c r="M1525" s="27">
        <v>44019</v>
      </c>
      <c r="N1525">
        <v>116.33799999999999</v>
      </c>
      <c r="O1525" s="27">
        <v>43620</v>
      </c>
      <c r="P1525">
        <v>102.816</v>
      </c>
    </row>
    <row r="1526" spans="13:16">
      <c r="M1526" s="27">
        <v>44020</v>
      </c>
      <c r="N1526">
        <v>116.751</v>
      </c>
      <c r="O1526" s="27">
        <v>43621</v>
      </c>
      <c r="P1526">
        <v>102.812</v>
      </c>
    </row>
    <row r="1527" spans="13:16">
      <c r="M1527" s="27">
        <v>44021</v>
      </c>
      <c r="N1527">
        <v>117.033</v>
      </c>
      <c r="O1527" s="27">
        <v>43622</v>
      </c>
      <c r="P1527">
        <v>102.797</v>
      </c>
    </row>
    <row r="1528" spans="13:16">
      <c r="M1528" s="27">
        <v>44022</v>
      </c>
      <c r="N1528">
        <v>117.345</v>
      </c>
      <c r="O1528" s="27">
        <v>43623</v>
      </c>
      <c r="P1528">
        <v>102.771</v>
      </c>
    </row>
    <row r="1529" spans="13:16">
      <c r="M1529" s="27">
        <v>44025</v>
      </c>
      <c r="N1529">
        <v>117.166</v>
      </c>
      <c r="O1529" s="27">
        <v>43626</v>
      </c>
      <c r="P1529">
        <v>102.786</v>
      </c>
    </row>
    <row r="1530" spans="13:16">
      <c r="M1530" s="27">
        <v>44026</v>
      </c>
      <c r="N1530">
        <v>117.19799999999999</v>
      </c>
      <c r="O1530" s="27">
        <v>43627</v>
      </c>
      <c r="P1530">
        <v>102.783</v>
      </c>
    </row>
    <row r="1531" spans="13:16">
      <c r="M1531" s="27">
        <v>44027</v>
      </c>
      <c r="N1531">
        <v>117.27800000000001</v>
      </c>
      <c r="O1531" s="27">
        <v>43628</v>
      </c>
      <c r="P1531">
        <v>102.798</v>
      </c>
    </row>
    <row r="1532" spans="13:16">
      <c r="M1532" s="27">
        <v>44028</v>
      </c>
      <c r="N1532">
        <v>117.331</v>
      </c>
      <c r="O1532" s="27">
        <v>43629</v>
      </c>
      <c r="P1532">
        <v>102.764</v>
      </c>
    </row>
    <row r="1533" spans="13:16">
      <c r="M1533" s="27">
        <v>44029</v>
      </c>
      <c r="N1533">
        <v>117.29</v>
      </c>
      <c r="O1533" s="27">
        <v>43630</v>
      </c>
      <c r="P1533">
        <v>102.77</v>
      </c>
    </row>
    <row r="1534" spans="13:16">
      <c r="M1534" s="27">
        <v>44032</v>
      </c>
      <c r="N1534">
        <v>116.878</v>
      </c>
      <c r="O1534" s="27">
        <v>43633</v>
      </c>
      <c r="P1534">
        <v>102.77500000000001</v>
      </c>
    </row>
    <row r="1535" spans="13:16">
      <c r="M1535" s="27">
        <v>44033</v>
      </c>
      <c r="N1535">
        <v>117.97799999999999</v>
      </c>
      <c r="O1535" s="27">
        <v>43634</v>
      </c>
      <c r="P1535">
        <v>102.762</v>
      </c>
    </row>
    <row r="1536" spans="13:16">
      <c r="M1536" s="27">
        <v>44034</v>
      </c>
      <c r="N1536">
        <v>118.44199999999999</v>
      </c>
      <c r="O1536" s="27">
        <v>43635</v>
      </c>
      <c r="P1536">
        <v>102.79600000000001</v>
      </c>
    </row>
    <row r="1537" spans="13:16">
      <c r="M1537" s="27">
        <v>44035</v>
      </c>
      <c r="N1537">
        <v>118.497</v>
      </c>
      <c r="O1537" s="27">
        <v>43636</v>
      </c>
      <c r="P1537">
        <v>102.77500000000001</v>
      </c>
    </row>
    <row r="1538" spans="13:16">
      <c r="M1538" s="27">
        <v>44036</v>
      </c>
      <c r="N1538">
        <v>118.3</v>
      </c>
      <c r="O1538" s="27">
        <v>43637</v>
      </c>
      <c r="P1538">
        <v>102.756</v>
      </c>
    </row>
    <row r="1539" spans="13:16">
      <c r="M1539" s="27">
        <v>44039</v>
      </c>
      <c r="N1539">
        <v>121.69199999999999</v>
      </c>
      <c r="O1539" s="27">
        <v>43640</v>
      </c>
      <c r="P1539">
        <v>102.752</v>
      </c>
    </row>
    <row r="1540" spans="13:16">
      <c r="M1540" s="27">
        <v>44040</v>
      </c>
      <c r="N1540">
        <v>121.858</v>
      </c>
      <c r="O1540" s="27">
        <v>43641</v>
      </c>
      <c r="P1540">
        <v>102.75</v>
      </c>
    </row>
    <row r="1541" spans="13:16">
      <c r="M1541" s="27">
        <v>44041</v>
      </c>
      <c r="N1541">
        <v>121.855</v>
      </c>
      <c r="O1541" s="27">
        <v>43642</v>
      </c>
      <c r="P1541">
        <v>102.74</v>
      </c>
    </row>
    <row r="1542" spans="13:16">
      <c r="M1542" s="27">
        <v>44042</v>
      </c>
      <c r="N1542">
        <v>121.934</v>
      </c>
      <c r="O1542" s="27">
        <v>43643</v>
      </c>
      <c r="P1542">
        <v>102.71299999999999</v>
      </c>
    </row>
    <row r="1543" spans="13:16">
      <c r="M1543" s="27">
        <v>44043</v>
      </c>
      <c r="N1543">
        <v>121.86199999999999</v>
      </c>
      <c r="O1543" s="27">
        <v>43644</v>
      </c>
      <c r="P1543">
        <v>102.711</v>
      </c>
    </row>
    <row r="1544" spans="13:16">
      <c r="M1544" s="27">
        <v>44046</v>
      </c>
      <c r="N1544">
        <v>121.749</v>
      </c>
      <c r="O1544" s="27">
        <v>43647</v>
      </c>
      <c r="P1544">
        <v>102.7</v>
      </c>
    </row>
    <row r="1545" spans="13:16">
      <c r="M1545" s="27">
        <v>44047</v>
      </c>
      <c r="N1545">
        <v>122.03100000000001</v>
      </c>
      <c r="O1545" s="27">
        <v>43648</v>
      </c>
      <c r="P1545">
        <v>102.714</v>
      </c>
    </row>
    <row r="1546" spans="13:16">
      <c r="M1546" s="27">
        <v>44048</v>
      </c>
      <c r="N1546">
        <v>121.904</v>
      </c>
      <c r="O1546" s="27">
        <v>43649</v>
      </c>
      <c r="P1546">
        <v>102.717</v>
      </c>
    </row>
    <row r="1547" spans="13:16">
      <c r="M1547" s="27">
        <v>44049</v>
      </c>
      <c r="N1547">
        <v>121.845</v>
      </c>
      <c r="O1547" s="27">
        <v>43650</v>
      </c>
      <c r="P1547">
        <v>102.702</v>
      </c>
    </row>
    <row r="1548" spans="13:16">
      <c r="M1548" s="27">
        <v>44050</v>
      </c>
      <c r="N1548">
        <v>121.851</v>
      </c>
      <c r="O1548" s="27">
        <v>43651</v>
      </c>
      <c r="P1548">
        <v>102.699</v>
      </c>
    </row>
    <row r="1549" spans="13:16">
      <c r="M1549" s="27">
        <v>44053</v>
      </c>
      <c r="N1549">
        <v>121.53400000000001</v>
      </c>
      <c r="O1549" s="27">
        <v>43654</v>
      </c>
      <c r="P1549">
        <v>102.69499999999999</v>
      </c>
    </row>
    <row r="1550" spans="13:16">
      <c r="M1550" s="27">
        <v>44054</v>
      </c>
      <c r="N1550">
        <v>120.82299999999999</v>
      </c>
      <c r="O1550" s="27">
        <v>43655</v>
      </c>
      <c r="P1550">
        <v>102.68</v>
      </c>
    </row>
    <row r="1551" spans="13:16">
      <c r="M1551" s="27">
        <v>44055</v>
      </c>
      <c r="N1551">
        <v>120.485</v>
      </c>
      <c r="O1551" s="27">
        <v>43656</v>
      </c>
      <c r="P1551">
        <v>102.66500000000001</v>
      </c>
    </row>
    <row r="1552" spans="13:16">
      <c r="M1552" s="27">
        <v>44056</v>
      </c>
      <c r="N1552">
        <v>119.95099999999999</v>
      </c>
      <c r="O1552" s="27">
        <v>43657</v>
      </c>
      <c r="P1552">
        <v>102.648</v>
      </c>
    </row>
    <row r="1553" spans="13:16">
      <c r="M1553" s="27">
        <v>44057</v>
      </c>
      <c r="N1553">
        <v>119.83199999999999</v>
      </c>
      <c r="O1553" s="27">
        <v>43658</v>
      </c>
      <c r="P1553">
        <v>102.64100000000001</v>
      </c>
    </row>
    <row r="1554" spans="13:16">
      <c r="M1554" s="27">
        <v>44060</v>
      </c>
      <c r="N1554">
        <v>119.925</v>
      </c>
      <c r="O1554" s="27">
        <v>43661</v>
      </c>
      <c r="P1554">
        <v>102.63500000000001</v>
      </c>
    </row>
    <row r="1555" spans="13:16">
      <c r="M1555" s="27">
        <v>44061</v>
      </c>
      <c r="N1555">
        <v>119.92700000000001</v>
      </c>
      <c r="O1555" s="27">
        <v>43662</v>
      </c>
      <c r="P1555">
        <v>102.633</v>
      </c>
    </row>
    <row r="1556" spans="13:16">
      <c r="M1556" s="27">
        <v>44062</v>
      </c>
      <c r="N1556">
        <v>119.937</v>
      </c>
      <c r="O1556" s="27">
        <v>43663</v>
      </c>
      <c r="P1556">
        <v>102.643</v>
      </c>
    </row>
    <row r="1557" spans="13:16">
      <c r="M1557" s="27">
        <v>44063</v>
      </c>
      <c r="N1557">
        <v>120.23099999999999</v>
      </c>
      <c r="O1557" s="27">
        <v>43664</v>
      </c>
      <c r="P1557">
        <v>102.628</v>
      </c>
    </row>
    <row r="1558" spans="13:16">
      <c r="M1558" s="27">
        <v>44064</v>
      </c>
      <c r="N1558">
        <v>120.211</v>
      </c>
      <c r="O1558" s="27">
        <v>43665</v>
      </c>
      <c r="P1558">
        <v>102.625</v>
      </c>
    </row>
    <row r="1559" spans="13:16">
      <c r="M1559" s="27">
        <v>44067</v>
      </c>
      <c r="N1559">
        <v>120.283</v>
      </c>
      <c r="O1559" s="27">
        <v>43668</v>
      </c>
      <c r="P1559">
        <v>102.626</v>
      </c>
    </row>
    <row r="1560" spans="13:16">
      <c r="M1560" s="27">
        <v>44068</v>
      </c>
      <c r="N1560">
        <v>119.64700000000001</v>
      </c>
      <c r="O1560" s="27">
        <v>43669</v>
      </c>
      <c r="P1560">
        <v>102.60299999999999</v>
      </c>
    </row>
    <row r="1561" spans="13:16">
      <c r="M1561" s="27">
        <v>44069</v>
      </c>
      <c r="N1561">
        <v>119.30800000000001</v>
      </c>
      <c r="O1561" s="27">
        <v>43670</v>
      </c>
      <c r="P1561">
        <v>102.60599999999999</v>
      </c>
    </row>
    <row r="1562" spans="13:16">
      <c r="M1562" s="27">
        <v>44070</v>
      </c>
      <c r="N1562">
        <v>119.21599999999999</v>
      </c>
      <c r="O1562" s="27">
        <v>43671</v>
      </c>
      <c r="P1562">
        <v>102.58799999999999</v>
      </c>
    </row>
    <row r="1563" spans="13:16">
      <c r="M1563" s="27">
        <v>44071</v>
      </c>
      <c r="N1563">
        <v>119.083</v>
      </c>
      <c r="O1563" s="27">
        <v>43672</v>
      </c>
      <c r="P1563">
        <v>102.584</v>
      </c>
    </row>
    <row r="1564" spans="13:16">
      <c r="M1564" s="27">
        <v>44074</v>
      </c>
      <c r="N1564">
        <v>118.874</v>
      </c>
      <c r="O1564" s="27">
        <v>43675</v>
      </c>
      <c r="P1564">
        <v>102.57599999999999</v>
      </c>
    </row>
    <row r="1565" spans="13:16">
      <c r="M1565" s="27">
        <v>44075</v>
      </c>
      <c r="N1565">
        <v>118.922</v>
      </c>
      <c r="O1565" s="27">
        <v>43676</v>
      </c>
      <c r="P1565">
        <v>102.56</v>
      </c>
    </row>
    <row r="1566" spans="13:16">
      <c r="M1566" s="27">
        <v>44076</v>
      </c>
      <c r="N1566">
        <v>119.477</v>
      </c>
      <c r="O1566" s="27">
        <v>43677</v>
      </c>
      <c r="P1566">
        <v>102.553</v>
      </c>
    </row>
    <row r="1567" spans="13:16">
      <c r="M1567" s="27">
        <v>44077</v>
      </c>
      <c r="N1567">
        <v>119.873</v>
      </c>
      <c r="O1567" s="27">
        <v>43678</v>
      </c>
      <c r="P1567">
        <v>102.527</v>
      </c>
    </row>
    <row r="1568" spans="13:16">
      <c r="M1568" s="27">
        <v>44078</v>
      </c>
      <c r="N1568">
        <v>119.95</v>
      </c>
      <c r="O1568" s="27">
        <v>43679</v>
      </c>
      <c r="P1568">
        <v>102.529</v>
      </c>
    </row>
    <row r="1569" spans="13:16">
      <c r="M1569" s="27">
        <v>44081</v>
      </c>
      <c r="N1569">
        <v>120.13</v>
      </c>
      <c r="O1569" s="27">
        <v>43682</v>
      </c>
      <c r="P1569">
        <v>102.53</v>
      </c>
    </row>
    <row r="1570" spans="13:16">
      <c r="M1570" s="27">
        <v>44082</v>
      </c>
      <c r="N1570">
        <v>120.13800000000001</v>
      </c>
      <c r="O1570" s="27">
        <v>43683</v>
      </c>
      <c r="P1570">
        <v>102.532</v>
      </c>
    </row>
    <row r="1571" spans="13:16">
      <c r="M1571" s="27">
        <v>44083</v>
      </c>
      <c r="N1571">
        <v>120.188</v>
      </c>
      <c r="O1571" s="27">
        <v>43684</v>
      </c>
      <c r="P1571">
        <v>102.533</v>
      </c>
    </row>
    <row r="1572" spans="13:16">
      <c r="M1572" s="27">
        <v>44084</v>
      </c>
      <c r="N1572">
        <v>119.919</v>
      </c>
      <c r="O1572" s="27">
        <v>43685</v>
      </c>
      <c r="P1572">
        <v>102.52200000000001</v>
      </c>
    </row>
    <row r="1573" spans="13:16">
      <c r="M1573" s="27">
        <v>44085</v>
      </c>
      <c r="N1573">
        <v>119.73</v>
      </c>
      <c r="O1573" s="27">
        <v>43686</v>
      </c>
      <c r="P1573">
        <v>102.51900000000001</v>
      </c>
    </row>
    <row r="1574" spans="13:16">
      <c r="M1574" s="27">
        <v>44088</v>
      </c>
      <c r="N1574">
        <v>119.545</v>
      </c>
      <c r="O1574" s="27">
        <v>43689</v>
      </c>
      <c r="P1574">
        <v>102.517</v>
      </c>
    </row>
    <row r="1575" spans="13:16">
      <c r="M1575" s="27">
        <v>44089</v>
      </c>
      <c r="N1575">
        <v>119.56399999999999</v>
      </c>
      <c r="O1575" s="27">
        <v>43690</v>
      </c>
      <c r="P1575">
        <v>102.51600000000001</v>
      </c>
    </row>
    <row r="1576" spans="13:16">
      <c r="M1576" s="27">
        <v>44090</v>
      </c>
      <c r="N1576">
        <v>119.6</v>
      </c>
      <c r="O1576" s="27">
        <v>43691</v>
      </c>
      <c r="P1576">
        <v>102.509</v>
      </c>
    </row>
    <row r="1577" spans="13:16">
      <c r="M1577" s="27">
        <v>44091</v>
      </c>
      <c r="N1577">
        <v>119.66500000000001</v>
      </c>
      <c r="O1577" s="27">
        <v>43692</v>
      </c>
      <c r="P1577">
        <v>102.48099999999999</v>
      </c>
    </row>
    <row r="1578" spans="13:16">
      <c r="M1578" s="27">
        <v>44092</v>
      </c>
      <c r="N1578">
        <v>119.642</v>
      </c>
      <c r="O1578" s="27">
        <v>43693</v>
      </c>
      <c r="P1578">
        <v>102.48</v>
      </c>
    </row>
    <row r="1579" spans="13:16">
      <c r="M1579" s="27">
        <v>44095</v>
      </c>
      <c r="N1579">
        <v>119.80200000000001</v>
      </c>
      <c r="O1579" s="27">
        <v>43696</v>
      </c>
      <c r="P1579">
        <v>102.483</v>
      </c>
    </row>
    <row r="1580" spans="13:16">
      <c r="M1580" s="27">
        <v>44096</v>
      </c>
      <c r="N1580">
        <v>119.827</v>
      </c>
      <c r="O1580" s="27">
        <v>43697</v>
      </c>
      <c r="P1580">
        <v>102.473</v>
      </c>
    </row>
    <row r="1581" spans="13:16">
      <c r="M1581" s="27">
        <v>44097</v>
      </c>
      <c r="N1581">
        <v>119.706</v>
      </c>
      <c r="O1581" s="27">
        <v>43698</v>
      </c>
      <c r="P1581">
        <v>102.468</v>
      </c>
    </row>
    <row r="1582" spans="13:16">
      <c r="M1582" s="27">
        <v>44098</v>
      </c>
      <c r="N1582">
        <v>119.964</v>
      </c>
      <c r="O1582" s="27">
        <v>43699</v>
      </c>
      <c r="P1582">
        <v>102.43600000000001</v>
      </c>
    </row>
    <row r="1583" spans="13:16">
      <c r="M1583" s="27">
        <v>44099</v>
      </c>
      <c r="N1583">
        <v>118.703</v>
      </c>
      <c r="O1583" s="27">
        <v>43700</v>
      </c>
      <c r="P1583">
        <v>102.408</v>
      </c>
    </row>
    <row r="1584" spans="13:16">
      <c r="M1584" s="27">
        <v>44102</v>
      </c>
      <c r="N1584">
        <v>118.498</v>
      </c>
      <c r="O1584" s="27">
        <v>43703</v>
      </c>
      <c r="P1584">
        <v>102.41200000000001</v>
      </c>
    </row>
    <row r="1585" spans="13:16">
      <c r="M1585" s="27">
        <v>44103</v>
      </c>
      <c r="N1585">
        <v>118.58199999999999</v>
      </c>
      <c r="O1585" s="27">
        <v>43704</v>
      </c>
      <c r="P1585">
        <v>102.40600000000001</v>
      </c>
    </row>
    <row r="1586" spans="13:16">
      <c r="M1586" s="27">
        <v>44104</v>
      </c>
      <c r="N1586">
        <v>118.51900000000001</v>
      </c>
      <c r="O1586" s="27">
        <v>43705</v>
      </c>
      <c r="P1586">
        <v>102.399</v>
      </c>
    </row>
    <row r="1587" spans="13:16">
      <c r="M1587" s="27">
        <v>44105</v>
      </c>
      <c r="N1587">
        <v>118.40900000000001</v>
      </c>
      <c r="O1587" s="27">
        <v>43706</v>
      </c>
      <c r="P1587">
        <v>102.374</v>
      </c>
    </row>
    <row r="1588" spans="13:16">
      <c r="M1588" s="27">
        <v>44106</v>
      </c>
      <c r="N1588">
        <v>118.39100000000001</v>
      </c>
      <c r="O1588" s="27">
        <v>43707</v>
      </c>
      <c r="P1588">
        <v>102.363</v>
      </c>
    </row>
    <row r="1589" spans="13:16">
      <c r="M1589" s="27">
        <v>44109</v>
      </c>
      <c r="N1589">
        <v>118.18899999999999</v>
      </c>
      <c r="O1589" s="27">
        <v>43710</v>
      </c>
      <c r="P1589">
        <v>102.367</v>
      </c>
    </row>
    <row r="1590" spans="13:16">
      <c r="M1590" s="27">
        <v>44110</v>
      </c>
      <c r="N1590">
        <v>118.01</v>
      </c>
      <c r="O1590" s="27">
        <v>43711</v>
      </c>
      <c r="P1590">
        <v>102.358</v>
      </c>
    </row>
    <row r="1591" spans="13:16">
      <c r="M1591" s="27">
        <v>44111</v>
      </c>
      <c r="N1591">
        <v>117.944</v>
      </c>
      <c r="O1591" s="27">
        <v>43712</v>
      </c>
      <c r="P1591">
        <v>102.34</v>
      </c>
    </row>
    <row r="1592" spans="13:16">
      <c r="M1592" s="27">
        <v>44112</v>
      </c>
      <c r="N1592">
        <v>118.01600000000001</v>
      </c>
      <c r="O1592" s="27">
        <v>43713</v>
      </c>
      <c r="P1592">
        <v>102.319</v>
      </c>
    </row>
    <row r="1593" spans="13:16">
      <c r="M1593" s="27">
        <v>44113</v>
      </c>
      <c r="N1593">
        <v>118.113</v>
      </c>
      <c r="O1593" s="27">
        <v>43714</v>
      </c>
      <c r="P1593">
        <v>102.283</v>
      </c>
    </row>
    <row r="1594" spans="13:16">
      <c r="M1594" s="27">
        <v>44116</v>
      </c>
      <c r="N1594">
        <v>118.04300000000001</v>
      </c>
      <c r="O1594" s="27">
        <v>43717</v>
      </c>
      <c r="P1594">
        <v>102.273</v>
      </c>
    </row>
    <row r="1595" spans="13:16">
      <c r="M1595" s="27">
        <v>44117</v>
      </c>
      <c r="N1595">
        <v>118.066</v>
      </c>
      <c r="O1595" s="27">
        <v>43718</v>
      </c>
      <c r="P1595">
        <v>102.26300000000001</v>
      </c>
    </row>
    <row r="1596" spans="13:16">
      <c r="M1596" s="27">
        <v>44118</v>
      </c>
      <c r="N1596">
        <v>118.262</v>
      </c>
      <c r="O1596" s="27">
        <v>43719</v>
      </c>
      <c r="P1596">
        <v>102.245</v>
      </c>
    </row>
    <row r="1597" spans="13:16">
      <c r="M1597" s="27">
        <v>44119</v>
      </c>
      <c r="N1597">
        <v>118.373</v>
      </c>
      <c r="O1597" s="27">
        <v>43720</v>
      </c>
      <c r="P1597">
        <v>102.227</v>
      </c>
    </row>
    <row r="1598" spans="13:16">
      <c r="M1598" s="27">
        <v>44120</v>
      </c>
      <c r="N1598">
        <v>118.578</v>
      </c>
      <c r="O1598" s="27">
        <v>43721</v>
      </c>
      <c r="P1598">
        <v>102.143</v>
      </c>
    </row>
    <row r="1599" spans="13:16">
      <c r="M1599" s="27">
        <v>44123</v>
      </c>
      <c r="N1599">
        <v>118.489</v>
      </c>
      <c r="O1599" s="27">
        <v>43724</v>
      </c>
      <c r="P1599">
        <v>102.161</v>
      </c>
    </row>
    <row r="1600" spans="13:16">
      <c r="M1600" s="27">
        <v>44124</v>
      </c>
      <c r="N1600">
        <v>118.223</v>
      </c>
      <c r="O1600" s="27">
        <v>43725</v>
      </c>
      <c r="P1600">
        <v>102.149</v>
      </c>
    </row>
    <row r="1601" spans="13:16">
      <c r="M1601" s="27">
        <v>44125</v>
      </c>
      <c r="N1601">
        <v>118.015</v>
      </c>
      <c r="O1601" s="27">
        <v>43726</v>
      </c>
      <c r="P1601">
        <v>102.152</v>
      </c>
    </row>
    <row r="1602" spans="13:16">
      <c r="M1602" s="27">
        <v>44126</v>
      </c>
      <c r="N1602">
        <v>117.801</v>
      </c>
      <c r="O1602" s="27">
        <v>43727</v>
      </c>
      <c r="P1602">
        <v>102.137</v>
      </c>
    </row>
    <row r="1603" spans="13:16">
      <c r="M1603" s="27">
        <v>44127</v>
      </c>
      <c r="N1603">
        <v>117.577</v>
      </c>
      <c r="O1603" s="27">
        <v>43728</v>
      </c>
      <c r="P1603">
        <v>102.13500000000001</v>
      </c>
    </row>
    <row r="1604" spans="13:16">
      <c r="M1604" s="27">
        <v>44130</v>
      </c>
      <c r="N1604">
        <v>117.657</v>
      </c>
      <c r="O1604" s="27">
        <v>43731</v>
      </c>
      <c r="P1604">
        <v>102.129</v>
      </c>
    </row>
    <row r="1605" spans="13:16">
      <c r="M1605" s="27">
        <v>44131</v>
      </c>
      <c r="N1605">
        <v>117.89100000000001</v>
      </c>
      <c r="O1605" s="27">
        <v>43732</v>
      </c>
      <c r="P1605">
        <v>102.134</v>
      </c>
    </row>
    <row r="1606" spans="13:16">
      <c r="M1606" s="27">
        <v>44132</v>
      </c>
      <c r="N1606">
        <v>118.053</v>
      </c>
      <c r="O1606" s="27">
        <v>43733</v>
      </c>
      <c r="P1606">
        <v>102.11799999999999</v>
      </c>
    </row>
    <row r="1607" spans="13:16">
      <c r="M1607" s="27">
        <v>44133</v>
      </c>
      <c r="N1607">
        <v>118.08799999999999</v>
      </c>
      <c r="O1607" s="27">
        <v>43734</v>
      </c>
      <c r="P1607">
        <v>102.104</v>
      </c>
    </row>
    <row r="1608" spans="13:16">
      <c r="M1608" s="27">
        <v>44134</v>
      </c>
      <c r="N1608">
        <v>117.917</v>
      </c>
      <c r="O1608" s="27">
        <v>43735</v>
      </c>
      <c r="P1608">
        <v>102.101</v>
      </c>
    </row>
    <row r="1609" spans="13:16">
      <c r="M1609" s="27">
        <v>44137</v>
      </c>
      <c r="N1609">
        <v>117.833</v>
      </c>
      <c r="O1609" s="27">
        <v>43738</v>
      </c>
      <c r="P1609">
        <v>102.10299999999999</v>
      </c>
    </row>
    <row r="1610" spans="13:16">
      <c r="M1610" s="27">
        <v>44138</v>
      </c>
      <c r="N1610">
        <v>117.61499999999999</v>
      </c>
      <c r="O1610" s="27">
        <v>43739</v>
      </c>
      <c r="P1610">
        <v>102.086</v>
      </c>
    </row>
    <row r="1611" spans="13:16">
      <c r="M1611" s="27">
        <v>44139</v>
      </c>
      <c r="N1611">
        <v>117.723</v>
      </c>
      <c r="O1611" s="27">
        <v>43740</v>
      </c>
      <c r="P1611">
        <v>102.07</v>
      </c>
    </row>
    <row r="1612" spans="13:16">
      <c r="M1612" s="27">
        <v>44140</v>
      </c>
      <c r="N1612">
        <v>117.60899999999999</v>
      </c>
      <c r="O1612" s="27">
        <v>43741</v>
      </c>
      <c r="P1612">
        <v>102.059</v>
      </c>
    </row>
    <row r="1613" spans="13:16">
      <c r="M1613" s="27">
        <v>44141</v>
      </c>
      <c r="N1613">
        <v>117.759</v>
      </c>
      <c r="O1613" s="27">
        <v>43742</v>
      </c>
      <c r="P1613">
        <v>102.053</v>
      </c>
    </row>
    <row r="1614" spans="13:16">
      <c r="M1614" s="27">
        <v>44144</v>
      </c>
      <c r="N1614">
        <v>116.836</v>
      </c>
      <c r="O1614" s="27">
        <v>43745</v>
      </c>
      <c r="P1614">
        <v>102.045</v>
      </c>
    </row>
    <row r="1615" spans="13:16">
      <c r="M1615" s="27">
        <v>44145</v>
      </c>
      <c r="N1615">
        <v>116.765</v>
      </c>
      <c r="O1615" s="27">
        <v>43746</v>
      </c>
      <c r="P1615">
        <v>102.036</v>
      </c>
    </row>
    <row r="1616" spans="13:16">
      <c r="M1616" s="27">
        <v>44146</v>
      </c>
      <c r="N1616">
        <v>116.38200000000001</v>
      </c>
      <c r="O1616" s="27">
        <v>43747</v>
      </c>
      <c r="P1616">
        <v>102.035</v>
      </c>
    </row>
    <row r="1617" spans="13:16">
      <c r="M1617" s="27">
        <v>44147</v>
      </c>
      <c r="N1617">
        <v>116.68899999999999</v>
      </c>
      <c r="O1617" s="27">
        <v>43748</v>
      </c>
      <c r="P1617">
        <v>102.015</v>
      </c>
    </row>
    <row r="1618" spans="13:16">
      <c r="M1618" s="27">
        <v>44148</v>
      </c>
      <c r="N1618">
        <v>117.001</v>
      </c>
      <c r="O1618" s="27">
        <v>43749</v>
      </c>
      <c r="P1618">
        <v>101.976</v>
      </c>
    </row>
    <row r="1619" spans="13:16">
      <c r="M1619" s="27">
        <v>44151</v>
      </c>
      <c r="N1619">
        <v>117.021</v>
      </c>
      <c r="O1619" s="27">
        <v>43752</v>
      </c>
      <c r="P1619">
        <v>101.96899999999999</v>
      </c>
    </row>
    <row r="1620" spans="13:16">
      <c r="M1620" s="27">
        <v>44152</v>
      </c>
      <c r="N1620">
        <v>116.849</v>
      </c>
      <c r="O1620" s="27">
        <v>43753</v>
      </c>
      <c r="P1620">
        <v>101.953</v>
      </c>
    </row>
    <row r="1621" spans="13:16">
      <c r="M1621" s="27">
        <v>44153</v>
      </c>
      <c r="N1621">
        <v>116.95699999999999</v>
      </c>
      <c r="O1621" s="27">
        <v>43754</v>
      </c>
      <c r="P1621">
        <v>101.93300000000001</v>
      </c>
    </row>
    <row r="1622" spans="13:16">
      <c r="M1622" s="27">
        <v>44154</v>
      </c>
      <c r="N1622">
        <v>117.04</v>
      </c>
      <c r="O1622" s="27">
        <v>43755</v>
      </c>
      <c r="P1622">
        <v>101.93899999999999</v>
      </c>
    </row>
    <row r="1623" spans="13:16">
      <c r="M1623" s="27">
        <v>44155</v>
      </c>
      <c r="N1623">
        <v>117.099</v>
      </c>
      <c r="O1623" s="27">
        <v>43756</v>
      </c>
      <c r="P1623">
        <v>101.90900000000001</v>
      </c>
    </row>
    <row r="1624" spans="13:16">
      <c r="M1624" s="27">
        <v>44158</v>
      </c>
      <c r="N1624">
        <v>116.967</v>
      </c>
      <c r="O1624" s="27">
        <v>43759</v>
      </c>
      <c r="P1624">
        <v>101.913</v>
      </c>
    </row>
    <row r="1625" spans="13:16">
      <c r="M1625" s="27">
        <v>44159</v>
      </c>
      <c r="N1625">
        <v>116.76300000000001</v>
      </c>
      <c r="O1625" s="27">
        <v>43760</v>
      </c>
      <c r="P1625">
        <v>101.89700000000001</v>
      </c>
    </row>
    <row r="1626" spans="13:16">
      <c r="M1626" s="27">
        <v>44160</v>
      </c>
      <c r="N1626">
        <v>116.6</v>
      </c>
      <c r="O1626" s="27">
        <v>43761</v>
      </c>
      <c r="P1626">
        <v>101.895</v>
      </c>
    </row>
    <row r="1627" spans="13:16">
      <c r="M1627" s="27">
        <v>44161</v>
      </c>
      <c r="N1627">
        <v>116.85599999999999</v>
      </c>
      <c r="O1627" s="27">
        <v>43762</v>
      </c>
      <c r="P1627">
        <v>101.895</v>
      </c>
    </row>
    <row r="1628" spans="13:16">
      <c r="M1628" s="27">
        <v>44162</v>
      </c>
      <c r="N1628">
        <v>116.869</v>
      </c>
      <c r="O1628" s="27">
        <v>43763</v>
      </c>
      <c r="P1628">
        <v>101.89</v>
      </c>
    </row>
    <row r="1629" spans="13:16">
      <c r="M1629" s="27">
        <v>44165</v>
      </c>
      <c r="N1629">
        <v>116.85299999999999</v>
      </c>
      <c r="O1629" s="27">
        <v>43766</v>
      </c>
      <c r="P1629">
        <v>101.881</v>
      </c>
    </row>
    <row r="1630" spans="13:16">
      <c r="M1630" s="27">
        <v>44166</v>
      </c>
      <c r="N1630">
        <v>116.43600000000001</v>
      </c>
      <c r="O1630" s="27">
        <v>43767</v>
      </c>
      <c r="P1630">
        <v>101.863</v>
      </c>
    </row>
    <row r="1631" spans="13:16">
      <c r="M1631" s="27">
        <v>44167</v>
      </c>
      <c r="N1631">
        <v>116.367</v>
      </c>
      <c r="O1631" s="27">
        <v>43768</v>
      </c>
      <c r="P1631">
        <v>101.874</v>
      </c>
    </row>
    <row r="1632" spans="13:16">
      <c r="M1632" s="27">
        <v>44168</v>
      </c>
      <c r="N1632">
        <v>116.53700000000001</v>
      </c>
      <c r="O1632" s="27">
        <v>43769</v>
      </c>
      <c r="P1632">
        <v>101.869</v>
      </c>
    </row>
    <row r="1633" spans="13:16">
      <c r="M1633" s="27">
        <v>44169</v>
      </c>
      <c r="N1633">
        <v>116.43899999999999</v>
      </c>
      <c r="O1633" s="27">
        <v>43770</v>
      </c>
      <c r="P1633">
        <v>101.86</v>
      </c>
    </row>
    <row r="1634" spans="13:16">
      <c r="M1634" s="27">
        <v>44172</v>
      </c>
      <c r="N1634">
        <v>116.471</v>
      </c>
      <c r="O1634" s="27">
        <v>43773</v>
      </c>
      <c r="P1634">
        <v>101.85</v>
      </c>
    </row>
    <row r="1635" spans="13:16">
      <c r="M1635" s="27">
        <v>44173</v>
      </c>
      <c r="N1635">
        <v>116.35599999999999</v>
      </c>
      <c r="O1635" s="27">
        <v>43774</v>
      </c>
      <c r="P1635">
        <v>101.846</v>
      </c>
    </row>
    <row r="1636" spans="13:16">
      <c r="M1636" s="27">
        <v>44174</v>
      </c>
      <c r="N1636">
        <v>116.267</v>
      </c>
      <c r="O1636" s="27">
        <v>43775</v>
      </c>
      <c r="P1636">
        <v>101.83</v>
      </c>
    </row>
    <row r="1637" spans="13:16">
      <c r="M1637" s="27">
        <v>44175</v>
      </c>
      <c r="N1637">
        <v>116.142</v>
      </c>
      <c r="O1637" s="27">
        <v>43776</v>
      </c>
      <c r="P1637">
        <v>101.833</v>
      </c>
    </row>
    <row r="1638" spans="13:16">
      <c r="M1638" s="27">
        <v>44176</v>
      </c>
      <c r="N1638">
        <v>116.402</v>
      </c>
      <c r="O1638" s="27">
        <v>43777</v>
      </c>
      <c r="P1638">
        <v>101.79600000000001</v>
      </c>
    </row>
    <row r="1639" spans="13:16">
      <c r="M1639" s="27">
        <v>44179</v>
      </c>
      <c r="N1639">
        <v>116.399</v>
      </c>
      <c r="O1639" s="27">
        <v>43780</v>
      </c>
      <c r="P1639">
        <v>101.786</v>
      </c>
    </row>
    <row r="1640" spans="13:16">
      <c r="M1640" s="27">
        <v>44180</v>
      </c>
      <c r="N1640">
        <v>116.563</v>
      </c>
      <c r="O1640" s="27">
        <v>43781</v>
      </c>
      <c r="P1640">
        <v>101.777</v>
      </c>
    </row>
    <row r="1641" spans="13:16">
      <c r="M1641" s="27">
        <v>44181</v>
      </c>
      <c r="N1641">
        <v>116.17100000000001</v>
      </c>
      <c r="O1641" s="27">
        <v>43782</v>
      </c>
      <c r="P1641">
        <v>101.773</v>
      </c>
    </row>
    <row r="1642" spans="13:16">
      <c r="M1642" s="27">
        <v>44182</v>
      </c>
      <c r="N1642">
        <v>115.79</v>
      </c>
      <c r="O1642" s="27">
        <v>43783</v>
      </c>
      <c r="P1642">
        <v>101.78</v>
      </c>
    </row>
    <row r="1643" spans="13:16">
      <c r="M1643" s="27">
        <v>44183</v>
      </c>
      <c r="N1643">
        <v>115.667</v>
      </c>
      <c r="O1643" s="27">
        <v>43784</v>
      </c>
      <c r="P1643">
        <v>101.753</v>
      </c>
    </row>
    <row r="1644" spans="13:16">
      <c r="M1644" s="27">
        <v>44186</v>
      </c>
      <c r="N1644">
        <v>115.762</v>
      </c>
      <c r="O1644" s="27">
        <v>43787</v>
      </c>
      <c r="P1644">
        <v>101.74299999999999</v>
      </c>
    </row>
    <row r="1645" spans="13:16">
      <c r="M1645" s="27">
        <v>44187</v>
      </c>
      <c r="N1645">
        <v>115.587</v>
      </c>
      <c r="O1645" s="27">
        <v>43788</v>
      </c>
      <c r="P1645">
        <v>101.73</v>
      </c>
    </row>
    <row r="1646" spans="13:16">
      <c r="M1646" s="27">
        <v>44188</v>
      </c>
      <c r="N1646">
        <v>115.175</v>
      </c>
      <c r="O1646" s="27">
        <v>43789</v>
      </c>
      <c r="P1646">
        <v>101.723</v>
      </c>
    </row>
    <row r="1647" spans="13:16">
      <c r="M1647" s="27">
        <v>44193</v>
      </c>
      <c r="N1647">
        <v>115.361</v>
      </c>
      <c r="O1647" s="27">
        <v>43790</v>
      </c>
      <c r="P1647">
        <v>101.721</v>
      </c>
    </row>
    <row r="1648" spans="13:16">
      <c r="M1648" s="27">
        <v>44194</v>
      </c>
      <c r="N1648">
        <v>115.27</v>
      </c>
      <c r="O1648" s="27">
        <v>43791</v>
      </c>
      <c r="P1648">
        <v>101.681</v>
      </c>
    </row>
    <row r="1649" spans="13:16">
      <c r="M1649" s="27">
        <v>44195</v>
      </c>
      <c r="N1649">
        <v>115.529</v>
      </c>
      <c r="O1649" s="27">
        <v>43794</v>
      </c>
      <c r="P1649">
        <v>101.681</v>
      </c>
    </row>
    <row r="1650" spans="13:16">
      <c r="M1650" s="27">
        <v>44196</v>
      </c>
      <c r="N1650">
        <v>115.712</v>
      </c>
      <c r="O1650" s="27">
        <v>43795</v>
      </c>
      <c r="P1650">
        <v>101.682</v>
      </c>
    </row>
    <row r="1651" spans="13:16">
      <c r="M1651" s="27">
        <v>44200</v>
      </c>
      <c r="N1651">
        <v>115.59399999999999</v>
      </c>
      <c r="O1651" s="27">
        <v>43796</v>
      </c>
      <c r="P1651">
        <v>101.68</v>
      </c>
    </row>
    <row r="1652" spans="13:16">
      <c r="M1652" s="27">
        <v>44201</v>
      </c>
      <c r="N1652">
        <v>116.114</v>
      </c>
      <c r="O1652" s="27">
        <v>43797</v>
      </c>
      <c r="P1652">
        <v>101.678</v>
      </c>
    </row>
    <row r="1653" spans="13:16">
      <c r="M1653" s="27">
        <v>44202</v>
      </c>
      <c r="N1653">
        <v>115.752</v>
      </c>
      <c r="O1653" s="27">
        <v>43798</v>
      </c>
      <c r="P1653">
        <v>101.649</v>
      </c>
    </row>
    <row r="1654" spans="13:16">
      <c r="M1654" s="27">
        <v>44203</v>
      </c>
      <c r="N1654">
        <v>115.602</v>
      </c>
      <c r="O1654" s="27">
        <v>43801</v>
      </c>
      <c r="P1654">
        <v>101.637</v>
      </c>
    </row>
    <row r="1655" spans="13:16">
      <c r="M1655" s="27">
        <v>44204</v>
      </c>
      <c r="N1655">
        <v>115.342</v>
      </c>
      <c r="O1655" s="27">
        <v>43802</v>
      </c>
      <c r="P1655">
        <v>101.631</v>
      </c>
    </row>
    <row r="1656" spans="13:16">
      <c r="M1656" s="27">
        <v>44207</v>
      </c>
      <c r="N1656">
        <v>115.02</v>
      </c>
      <c r="O1656" s="27">
        <v>43803</v>
      </c>
      <c r="P1656">
        <v>101.639</v>
      </c>
    </row>
    <row r="1657" spans="13:16">
      <c r="M1657" s="27">
        <v>44208</v>
      </c>
      <c r="N1657">
        <v>114.72499999999999</v>
      </c>
      <c r="O1657" s="27">
        <v>43804</v>
      </c>
      <c r="P1657">
        <v>101.637</v>
      </c>
    </row>
    <row r="1658" spans="13:16">
      <c r="M1658" s="27">
        <v>44209</v>
      </c>
      <c r="N1658">
        <v>114.898</v>
      </c>
      <c r="O1658" s="27">
        <v>43805</v>
      </c>
      <c r="P1658">
        <v>101.613</v>
      </c>
    </row>
    <row r="1659" spans="13:16">
      <c r="M1659" s="27">
        <v>44210</v>
      </c>
      <c r="N1659">
        <v>115.047</v>
      </c>
      <c r="O1659" s="27">
        <v>43808</v>
      </c>
      <c r="P1659">
        <v>101.605</v>
      </c>
    </row>
    <row r="1660" spans="13:16">
      <c r="M1660" s="27">
        <v>44211</v>
      </c>
      <c r="N1660">
        <v>115.071</v>
      </c>
      <c r="O1660" s="27">
        <v>43809</v>
      </c>
      <c r="P1660">
        <v>101.604</v>
      </c>
    </row>
    <row r="1661" spans="13:16">
      <c r="M1661" s="27">
        <v>44214</v>
      </c>
      <c r="N1661">
        <v>115.07899999999999</v>
      </c>
      <c r="O1661" s="27">
        <v>43810</v>
      </c>
      <c r="P1661">
        <v>101.60599999999999</v>
      </c>
    </row>
    <row r="1662" spans="13:16">
      <c r="M1662" s="27">
        <v>44215</v>
      </c>
      <c r="N1662">
        <v>114.93</v>
      </c>
      <c r="O1662" s="27">
        <v>43811</v>
      </c>
      <c r="P1662">
        <v>101.608</v>
      </c>
    </row>
    <row r="1663" spans="13:16">
      <c r="M1663" s="27">
        <v>44216</v>
      </c>
      <c r="N1663">
        <v>115.056</v>
      </c>
      <c r="O1663" s="27">
        <v>43812</v>
      </c>
      <c r="P1663">
        <v>101.57899999999999</v>
      </c>
    </row>
    <row r="1664" spans="13:16">
      <c r="M1664" s="27">
        <v>44217</v>
      </c>
      <c r="N1664">
        <v>115.212</v>
      </c>
      <c r="O1664" s="27">
        <v>43815</v>
      </c>
      <c r="P1664">
        <v>101.57299999999999</v>
      </c>
    </row>
    <row r="1665" spans="13:16">
      <c r="M1665" s="27">
        <v>44218</v>
      </c>
      <c r="N1665">
        <v>115.191</v>
      </c>
      <c r="O1665" s="27">
        <v>43816</v>
      </c>
      <c r="P1665">
        <v>101.574</v>
      </c>
    </row>
    <row r="1666" spans="13:16">
      <c r="M1666" s="27">
        <v>44221</v>
      </c>
      <c r="N1666">
        <v>115.318</v>
      </c>
      <c r="O1666" s="27">
        <v>43817</v>
      </c>
      <c r="P1666">
        <v>101.565</v>
      </c>
    </row>
    <row r="1667" spans="13:16">
      <c r="M1667" s="27">
        <v>44222</v>
      </c>
      <c r="N1667">
        <v>115.252</v>
      </c>
      <c r="O1667" s="27">
        <v>43818</v>
      </c>
      <c r="P1667">
        <v>101.601</v>
      </c>
    </row>
    <row r="1668" spans="13:16">
      <c r="M1668" s="27">
        <v>44223</v>
      </c>
      <c r="N1668">
        <v>115.40300000000001</v>
      </c>
      <c r="O1668" s="27">
        <v>43819</v>
      </c>
      <c r="P1668">
        <v>101.586</v>
      </c>
    </row>
    <row r="1669" spans="13:16">
      <c r="M1669" s="27">
        <v>44224</v>
      </c>
      <c r="N1669">
        <v>115.33199999999999</v>
      </c>
      <c r="O1669" s="27">
        <v>43822</v>
      </c>
      <c r="P1669">
        <v>101.584</v>
      </c>
    </row>
    <row r="1670" spans="13:16">
      <c r="M1670" s="27">
        <v>44225</v>
      </c>
      <c r="N1670">
        <v>115.08199999999999</v>
      </c>
      <c r="O1670" s="27">
        <v>43823</v>
      </c>
      <c r="P1670">
        <v>101.527</v>
      </c>
    </row>
    <row r="1671" spans="13:16">
      <c r="M1671" s="27">
        <v>44228</v>
      </c>
      <c r="N1671">
        <v>114.756</v>
      </c>
      <c r="O1671" s="27">
        <v>43826</v>
      </c>
      <c r="P1671">
        <v>101.542</v>
      </c>
    </row>
    <row r="1672" spans="13:16">
      <c r="M1672" s="27">
        <v>44229</v>
      </c>
      <c r="N1672">
        <v>114.624</v>
      </c>
      <c r="O1672" s="27">
        <v>43829</v>
      </c>
      <c r="P1672">
        <v>101.52200000000001</v>
      </c>
    </row>
    <row r="1673" spans="13:16">
      <c r="M1673" s="27">
        <v>44230</v>
      </c>
      <c r="N1673">
        <v>114.428</v>
      </c>
      <c r="O1673" s="27">
        <v>43830</v>
      </c>
      <c r="P1673">
        <v>101.51600000000001</v>
      </c>
    </row>
    <row r="1674" spans="13:16">
      <c r="M1674" s="27">
        <v>44231</v>
      </c>
      <c r="N1674">
        <v>114.31100000000001</v>
      </c>
      <c r="O1674" s="27">
        <v>43832</v>
      </c>
      <c r="P1674">
        <v>101.5</v>
      </c>
    </row>
    <row r="1675" spans="13:16">
      <c r="M1675" s="27">
        <v>44232</v>
      </c>
      <c r="N1675">
        <v>114.134</v>
      </c>
      <c r="O1675" s="27">
        <v>43833</v>
      </c>
      <c r="P1675">
        <v>101.45</v>
      </c>
    </row>
    <row r="1676" spans="13:16">
      <c r="M1676" s="27">
        <v>44235</v>
      </c>
      <c r="N1676">
        <v>113.994</v>
      </c>
      <c r="O1676" s="27">
        <v>43836</v>
      </c>
      <c r="P1676">
        <v>101.43600000000001</v>
      </c>
    </row>
    <row r="1677" spans="13:16">
      <c r="M1677" s="27">
        <v>44236</v>
      </c>
      <c r="N1677">
        <v>114.054</v>
      </c>
      <c r="O1677" s="27">
        <v>43837</v>
      </c>
      <c r="P1677">
        <v>101.435</v>
      </c>
    </row>
    <row r="1678" spans="13:16">
      <c r="M1678" s="27">
        <v>44237</v>
      </c>
      <c r="N1678">
        <v>113.938</v>
      </c>
      <c r="O1678" s="27">
        <v>43838</v>
      </c>
      <c r="P1678">
        <v>101.42100000000001</v>
      </c>
    </row>
    <row r="1679" spans="13:16">
      <c r="M1679" s="27">
        <v>44238</v>
      </c>
      <c r="N1679">
        <v>114.05200000000001</v>
      </c>
      <c r="O1679" s="27">
        <v>43839</v>
      </c>
      <c r="P1679">
        <v>101.414</v>
      </c>
    </row>
    <row r="1680" spans="13:16">
      <c r="M1680" s="27">
        <v>44239</v>
      </c>
      <c r="N1680">
        <v>113.682</v>
      </c>
      <c r="O1680" s="27">
        <v>43840</v>
      </c>
      <c r="P1680">
        <v>101.387</v>
      </c>
    </row>
    <row r="1681" spans="13:16">
      <c r="M1681" s="27">
        <v>44242</v>
      </c>
      <c r="N1681">
        <v>113.405</v>
      </c>
      <c r="O1681" s="27">
        <v>43843</v>
      </c>
      <c r="P1681">
        <v>101.379</v>
      </c>
    </row>
    <row r="1682" spans="13:16">
      <c r="M1682" s="27">
        <v>44243</v>
      </c>
      <c r="N1682">
        <v>113.07899999999999</v>
      </c>
      <c r="O1682" s="27">
        <v>43844</v>
      </c>
      <c r="P1682">
        <v>101.367</v>
      </c>
    </row>
    <row r="1683" spans="13:16">
      <c r="M1683" s="27">
        <v>44244</v>
      </c>
      <c r="N1683">
        <v>113.11199999999999</v>
      </c>
      <c r="O1683" s="27">
        <v>43845</v>
      </c>
      <c r="P1683">
        <v>101.369</v>
      </c>
    </row>
    <row r="1684" spans="13:16">
      <c r="M1684" s="27">
        <v>44245</v>
      </c>
      <c r="N1684">
        <v>113.06</v>
      </c>
      <c r="O1684" s="27">
        <v>43846</v>
      </c>
      <c r="P1684">
        <v>101.36799999999999</v>
      </c>
    </row>
    <row r="1685" spans="13:16">
      <c r="M1685" s="27">
        <v>44246</v>
      </c>
      <c r="N1685">
        <v>113.029</v>
      </c>
      <c r="O1685" s="27">
        <v>43847</v>
      </c>
      <c r="P1685">
        <v>101.345</v>
      </c>
    </row>
    <row r="1686" spans="13:16">
      <c r="M1686" s="27">
        <v>44249</v>
      </c>
      <c r="N1686">
        <v>113.182</v>
      </c>
      <c r="O1686" s="27">
        <v>43850</v>
      </c>
      <c r="P1686">
        <v>101.345</v>
      </c>
    </row>
    <row r="1687" spans="13:16">
      <c r="M1687" s="27">
        <v>44250</v>
      </c>
      <c r="N1687">
        <v>112.61499999999999</v>
      </c>
      <c r="O1687" s="27">
        <v>43851</v>
      </c>
      <c r="P1687">
        <v>101.322</v>
      </c>
    </row>
    <row r="1688" spans="13:16">
      <c r="M1688" s="27">
        <v>44251</v>
      </c>
      <c r="N1688">
        <v>112.071</v>
      </c>
      <c r="O1688" s="27">
        <v>43852</v>
      </c>
      <c r="P1688">
        <v>101.309</v>
      </c>
    </row>
    <row r="1689" spans="13:16">
      <c r="M1689" s="27">
        <v>44252</v>
      </c>
      <c r="N1689">
        <v>111.303</v>
      </c>
      <c r="O1689" s="27">
        <v>43853</v>
      </c>
      <c r="P1689">
        <v>101.315</v>
      </c>
    </row>
    <row r="1690" spans="13:16">
      <c r="M1690" s="27">
        <v>44253</v>
      </c>
      <c r="N1690">
        <v>111.771</v>
      </c>
      <c r="O1690" s="27">
        <v>43854</v>
      </c>
      <c r="P1690">
        <v>101.28</v>
      </c>
    </row>
    <row r="1691" spans="13:16">
      <c r="M1691" s="27">
        <v>44256</v>
      </c>
      <c r="N1691">
        <v>113.101</v>
      </c>
      <c r="O1691" s="27">
        <v>43857</v>
      </c>
      <c r="P1691">
        <v>101.28400000000001</v>
      </c>
    </row>
    <row r="1692" spans="13:16">
      <c r="M1692" s="27">
        <v>44257</v>
      </c>
      <c r="N1692">
        <v>113.05500000000001</v>
      </c>
      <c r="O1692" s="27">
        <v>43858</v>
      </c>
      <c r="P1692">
        <v>101.27</v>
      </c>
    </row>
    <row r="1693" spans="13:16">
      <c r="M1693" s="27">
        <v>44258</v>
      </c>
      <c r="N1693">
        <v>112.892</v>
      </c>
      <c r="O1693" s="27">
        <v>43859</v>
      </c>
      <c r="P1693">
        <v>101.265</v>
      </c>
    </row>
    <row r="1694" spans="13:16">
      <c r="M1694" s="27">
        <v>44259</v>
      </c>
      <c r="N1694">
        <v>111.544</v>
      </c>
      <c r="O1694" s="27">
        <v>43860</v>
      </c>
      <c r="P1694">
        <v>101.265</v>
      </c>
    </row>
    <row r="1695" spans="13:16">
      <c r="M1695" s="27">
        <v>44260</v>
      </c>
      <c r="N1695">
        <v>111.241</v>
      </c>
      <c r="O1695" s="27">
        <v>43861</v>
      </c>
      <c r="P1695">
        <v>101.24</v>
      </c>
    </row>
    <row r="1696" spans="13:16">
      <c r="M1696" s="27">
        <v>44263</v>
      </c>
      <c r="N1696">
        <v>111.11799999999999</v>
      </c>
      <c r="O1696" s="27">
        <v>43864</v>
      </c>
      <c r="P1696">
        <v>101.226</v>
      </c>
    </row>
    <row r="1697" spans="13:16">
      <c r="M1697" s="27">
        <v>44264</v>
      </c>
      <c r="N1697">
        <v>111.73</v>
      </c>
      <c r="O1697" s="27">
        <v>43865</v>
      </c>
      <c r="P1697">
        <v>101.22199999999999</v>
      </c>
    </row>
    <row r="1698" spans="13:16">
      <c r="M1698" s="27">
        <v>44265</v>
      </c>
      <c r="N1698">
        <v>111.499</v>
      </c>
      <c r="O1698" s="27">
        <v>43866</v>
      </c>
      <c r="P1698">
        <v>101.202</v>
      </c>
    </row>
    <row r="1699" spans="13:16">
      <c r="M1699" s="27">
        <v>44266</v>
      </c>
      <c r="N1699">
        <v>111.657</v>
      </c>
      <c r="O1699" s="27">
        <v>43867</v>
      </c>
      <c r="P1699">
        <v>101.22</v>
      </c>
    </row>
    <row r="1700" spans="13:16">
      <c r="M1700" s="27">
        <v>44267</v>
      </c>
      <c r="N1700">
        <v>111.364</v>
      </c>
      <c r="O1700" s="27">
        <v>43868</v>
      </c>
      <c r="P1700">
        <v>101.191</v>
      </c>
    </row>
    <row r="1701" spans="13:16">
      <c r="M1701" s="27">
        <v>44270</v>
      </c>
      <c r="N1701">
        <v>111.47499999999999</v>
      </c>
      <c r="O1701" s="27">
        <v>43871</v>
      </c>
      <c r="P1701">
        <v>101.176</v>
      </c>
    </row>
    <row r="1702" spans="13:16">
      <c r="M1702" s="27">
        <v>44271</v>
      </c>
      <c r="N1702">
        <v>111.86</v>
      </c>
      <c r="O1702" s="27">
        <v>43872</v>
      </c>
      <c r="P1702">
        <v>101.172</v>
      </c>
    </row>
    <row r="1703" spans="13:16">
      <c r="M1703" s="27">
        <v>44272</v>
      </c>
      <c r="N1703">
        <v>111.675</v>
      </c>
      <c r="O1703" s="27">
        <v>43873</v>
      </c>
      <c r="P1703">
        <v>101.167</v>
      </c>
    </row>
    <row r="1704" spans="13:16">
      <c r="M1704" s="27">
        <v>44273</v>
      </c>
      <c r="N1704">
        <v>111.495</v>
      </c>
      <c r="O1704" s="27">
        <v>43874</v>
      </c>
      <c r="P1704">
        <v>101.169</v>
      </c>
    </row>
    <row r="1705" spans="13:16">
      <c r="M1705" s="27">
        <v>44274</v>
      </c>
      <c r="N1705">
        <v>111.605</v>
      </c>
      <c r="O1705" s="27">
        <v>43875</v>
      </c>
      <c r="P1705">
        <v>101.142</v>
      </c>
    </row>
    <row r="1706" spans="13:16">
      <c r="M1706" s="27">
        <v>44277</v>
      </c>
      <c r="N1706">
        <v>111.767</v>
      </c>
      <c r="O1706" s="27">
        <v>43878</v>
      </c>
      <c r="P1706">
        <v>101.13800000000001</v>
      </c>
    </row>
    <row r="1707" spans="13:16">
      <c r="M1707" s="27">
        <v>44278</v>
      </c>
      <c r="N1707">
        <v>111.913</v>
      </c>
      <c r="O1707" s="27">
        <v>43879</v>
      </c>
      <c r="P1707">
        <v>101.13200000000001</v>
      </c>
    </row>
    <row r="1708" spans="13:16">
      <c r="M1708" s="27">
        <v>44279</v>
      </c>
      <c r="N1708">
        <v>111.85</v>
      </c>
      <c r="O1708" s="27">
        <v>43880</v>
      </c>
      <c r="P1708">
        <v>101.119</v>
      </c>
    </row>
    <row r="1709" spans="13:16">
      <c r="M1709" s="27">
        <v>44280</v>
      </c>
      <c r="N1709">
        <v>111.883</v>
      </c>
      <c r="O1709" s="27">
        <v>43881</v>
      </c>
      <c r="P1709">
        <v>101.129</v>
      </c>
    </row>
    <row r="1710" spans="13:16">
      <c r="M1710" s="27">
        <v>44281</v>
      </c>
      <c r="N1710">
        <v>111.623</v>
      </c>
      <c r="O1710" s="27">
        <v>43882</v>
      </c>
      <c r="P1710">
        <v>101.09399999999999</v>
      </c>
    </row>
    <row r="1711" spans="13:16">
      <c r="M1711" s="27">
        <v>44284</v>
      </c>
      <c r="N1711">
        <v>111.627</v>
      </c>
      <c r="O1711" s="27">
        <v>43885</v>
      </c>
      <c r="P1711">
        <v>101.089</v>
      </c>
    </row>
    <row r="1712" spans="13:16">
      <c r="M1712" s="27">
        <v>44285</v>
      </c>
      <c r="N1712">
        <v>111.532</v>
      </c>
      <c r="O1712" s="27">
        <v>43886</v>
      </c>
      <c r="P1712">
        <v>101.092</v>
      </c>
    </row>
    <row r="1713" spans="13:16">
      <c r="M1713" s="27">
        <v>44286</v>
      </c>
      <c r="N1713">
        <v>111.392</v>
      </c>
      <c r="O1713" s="27">
        <v>43887</v>
      </c>
      <c r="P1713">
        <v>101.078</v>
      </c>
    </row>
    <row r="1714" spans="13:16">
      <c r="M1714" s="27">
        <v>44292</v>
      </c>
      <c r="N1714">
        <v>111.42400000000001</v>
      </c>
      <c r="O1714" s="27">
        <v>43888</v>
      </c>
      <c r="P1714">
        <v>101.09</v>
      </c>
    </row>
    <row r="1715" spans="13:16">
      <c r="M1715" s="27">
        <v>44293</v>
      </c>
      <c r="N1715">
        <v>111.547</v>
      </c>
      <c r="O1715" s="27">
        <v>43889</v>
      </c>
      <c r="P1715">
        <v>101.05800000000001</v>
      </c>
    </row>
    <row r="1716" spans="13:16">
      <c r="M1716" s="27">
        <v>44294</v>
      </c>
      <c r="N1716">
        <v>111.851</v>
      </c>
      <c r="O1716" s="27">
        <v>43892</v>
      </c>
      <c r="P1716">
        <v>101.029</v>
      </c>
    </row>
    <row r="1717" spans="13:16">
      <c r="M1717" s="27">
        <v>44295</v>
      </c>
      <c r="N1717">
        <v>111.687</v>
      </c>
      <c r="O1717" s="27">
        <v>43893</v>
      </c>
      <c r="P1717">
        <v>101.027</v>
      </c>
    </row>
    <row r="1718" spans="13:16">
      <c r="M1718" s="27">
        <v>44298</v>
      </c>
      <c r="N1718">
        <v>111.699</v>
      </c>
      <c r="O1718" s="27">
        <v>43894</v>
      </c>
      <c r="P1718">
        <v>101.012</v>
      </c>
    </row>
    <row r="1719" spans="13:16">
      <c r="M1719" s="27">
        <v>44299</v>
      </c>
      <c r="N1719">
        <v>111.804</v>
      </c>
      <c r="O1719" s="27">
        <v>43895</v>
      </c>
      <c r="P1719">
        <v>101.021</v>
      </c>
    </row>
    <row r="1720" spans="13:16">
      <c r="M1720" s="27">
        <v>44300</v>
      </c>
      <c r="N1720">
        <v>112.03</v>
      </c>
      <c r="O1720" s="27">
        <v>43896</v>
      </c>
      <c r="P1720">
        <v>100.988</v>
      </c>
    </row>
    <row r="1721" spans="13:16">
      <c r="M1721" s="27">
        <v>44301</v>
      </c>
      <c r="N1721">
        <v>112.401</v>
      </c>
      <c r="O1721" s="27">
        <v>43899</v>
      </c>
      <c r="P1721">
        <v>100.973</v>
      </c>
    </row>
    <row r="1722" spans="13:16">
      <c r="M1722" s="27">
        <v>44302</v>
      </c>
      <c r="N1722">
        <v>112.41200000000001</v>
      </c>
      <c r="O1722" s="27">
        <v>43900</v>
      </c>
      <c r="P1722">
        <v>100.95099999999999</v>
      </c>
    </row>
    <row r="1723" spans="13:16">
      <c r="M1723" s="27">
        <v>44305</v>
      </c>
      <c r="N1723">
        <v>112.148</v>
      </c>
      <c r="O1723" s="27">
        <v>43901</v>
      </c>
      <c r="P1723">
        <v>100.943</v>
      </c>
    </row>
    <row r="1724" spans="13:16">
      <c r="M1724" s="27">
        <v>44306</v>
      </c>
      <c r="N1724">
        <v>112.136</v>
      </c>
      <c r="O1724" s="27">
        <v>43902</v>
      </c>
      <c r="P1724">
        <v>100.955</v>
      </c>
    </row>
    <row r="1725" spans="13:16">
      <c r="M1725" s="27">
        <v>44307</v>
      </c>
      <c r="N1725">
        <v>112.45399999999999</v>
      </c>
      <c r="O1725" s="27">
        <v>43903</v>
      </c>
      <c r="P1725">
        <v>100.93</v>
      </c>
    </row>
    <row r="1726" spans="13:16">
      <c r="M1726" s="27">
        <v>44308</v>
      </c>
      <c r="N1726">
        <v>112.533</v>
      </c>
      <c r="O1726" s="27">
        <v>43906</v>
      </c>
      <c r="P1726">
        <v>100.911</v>
      </c>
    </row>
    <row r="1727" spans="13:16">
      <c r="M1727" s="27">
        <v>44309</v>
      </c>
      <c r="N1727">
        <v>112.587</v>
      </c>
      <c r="O1727" s="27">
        <v>43907</v>
      </c>
      <c r="P1727">
        <v>100.90600000000001</v>
      </c>
    </row>
    <row r="1728" spans="13:16">
      <c r="M1728" s="27">
        <v>44312</v>
      </c>
      <c r="N1728">
        <v>112.578</v>
      </c>
      <c r="O1728" s="27">
        <v>43908</v>
      </c>
      <c r="P1728">
        <v>100.90300000000001</v>
      </c>
    </row>
    <row r="1729" spans="13:16">
      <c r="M1729" s="27">
        <v>44313</v>
      </c>
      <c r="N1729">
        <v>112.53700000000001</v>
      </c>
      <c r="O1729" s="27">
        <v>43909</v>
      </c>
      <c r="P1729">
        <v>100.873</v>
      </c>
    </row>
    <row r="1730" spans="13:16">
      <c r="M1730" s="27">
        <v>44314</v>
      </c>
      <c r="N1730">
        <v>112.227</v>
      </c>
      <c r="O1730" s="27">
        <v>43910</v>
      </c>
      <c r="P1730">
        <v>100.84099999999999</v>
      </c>
    </row>
    <row r="1731" spans="13:16">
      <c r="M1731" s="27">
        <v>44315</v>
      </c>
      <c r="N1731">
        <v>112.122</v>
      </c>
      <c r="O1731" s="27">
        <v>43913</v>
      </c>
      <c r="P1731">
        <v>100.83199999999999</v>
      </c>
    </row>
    <row r="1732" spans="13:16">
      <c r="M1732" s="27">
        <v>44316</v>
      </c>
      <c r="N1732">
        <v>112.23699999999999</v>
      </c>
      <c r="O1732" s="27">
        <v>43914</v>
      </c>
      <c r="P1732">
        <v>100.828</v>
      </c>
    </row>
    <row r="1733" spans="13:16">
      <c r="M1733" s="27">
        <v>44319</v>
      </c>
      <c r="N1733">
        <v>112.30200000000001</v>
      </c>
      <c r="O1733" s="27">
        <v>43915</v>
      </c>
      <c r="P1733">
        <v>100.81</v>
      </c>
    </row>
    <row r="1734" spans="13:16">
      <c r="M1734" s="27">
        <v>44320</v>
      </c>
      <c r="N1734">
        <v>112.39700000000001</v>
      </c>
      <c r="O1734" s="27">
        <v>43916</v>
      </c>
      <c r="P1734">
        <v>100.80500000000001</v>
      </c>
    </row>
    <row r="1735" spans="13:16">
      <c r="M1735" s="27">
        <v>44321</v>
      </c>
      <c r="N1735">
        <v>112.471</v>
      </c>
      <c r="O1735" s="27">
        <v>43917</v>
      </c>
      <c r="P1735">
        <v>100.774</v>
      </c>
    </row>
    <row r="1736" spans="13:16">
      <c r="M1736" s="27">
        <v>44322</v>
      </c>
      <c r="N1736">
        <v>112.70099999999999</v>
      </c>
      <c r="O1736" s="27">
        <v>43920</v>
      </c>
      <c r="P1736">
        <v>100.77200000000001</v>
      </c>
    </row>
    <row r="1737" spans="13:16">
      <c r="M1737" s="27">
        <v>44323</v>
      </c>
      <c r="N1737">
        <v>112.854</v>
      </c>
      <c r="O1737" s="27">
        <v>43921</v>
      </c>
      <c r="P1737">
        <v>100.765</v>
      </c>
    </row>
    <row r="1738" spans="13:16">
      <c r="M1738" s="27">
        <v>44326</v>
      </c>
      <c r="N1738">
        <v>112.768</v>
      </c>
      <c r="O1738" s="27">
        <v>43922</v>
      </c>
      <c r="P1738">
        <v>100.758</v>
      </c>
    </row>
    <row r="1739" spans="13:16">
      <c r="M1739" s="27">
        <v>44327</v>
      </c>
      <c r="N1739">
        <v>112.526</v>
      </c>
      <c r="O1739" s="27">
        <v>43923</v>
      </c>
      <c r="P1739">
        <v>100.741</v>
      </c>
    </row>
    <row r="1740" spans="13:16">
      <c r="M1740" s="27">
        <v>44328</v>
      </c>
      <c r="N1740">
        <v>112.268</v>
      </c>
      <c r="O1740" s="27">
        <v>43924</v>
      </c>
      <c r="P1740">
        <v>100.714</v>
      </c>
    </row>
    <row r="1741" spans="13:16">
      <c r="M1741" s="27">
        <v>44330</v>
      </c>
      <c r="N1741">
        <v>112.404</v>
      </c>
      <c r="O1741" s="27">
        <v>43927</v>
      </c>
      <c r="P1741">
        <v>100.688</v>
      </c>
    </row>
    <row r="1742" spans="13:16">
      <c r="M1742" s="27">
        <v>44334</v>
      </c>
      <c r="N1742">
        <v>112.307</v>
      </c>
      <c r="O1742" s="27">
        <v>43928</v>
      </c>
      <c r="P1742">
        <v>100.667</v>
      </c>
    </row>
    <row r="1743" spans="13:16">
      <c r="M1743" s="27">
        <v>44335</v>
      </c>
      <c r="N1743">
        <v>112.38</v>
      </c>
      <c r="O1743" s="27">
        <v>43929</v>
      </c>
      <c r="P1743">
        <v>100.634</v>
      </c>
    </row>
    <row r="1744" spans="13:16">
      <c r="M1744" s="27">
        <v>44336</v>
      </c>
      <c r="N1744">
        <v>112.28400000000001</v>
      </c>
      <c r="O1744" s="27">
        <v>43930</v>
      </c>
      <c r="P1744">
        <v>100.631</v>
      </c>
    </row>
    <row r="1745" spans="13:16">
      <c r="M1745" s="27">
        <v>44337</v>
      </c>
      <c r="N1745">
        <v>112.515</v>
      </c>
      <c r="O1745" s="27">
        <v>43935</v>
      </c>
      <c r="P1745">
        <v>100.631</v>
      </c>
    </row>
    <row r="1746" spans="13:16">
      <c r="M1746" s="27">
        <v>44341</v>
      </c>
      <c r="N1746">
        <v>112.694</v>
      </c>
      <c r="O1746" s="27">
        <v>43936</v>
      </c>
      <c r="P1746">
        <v>100.625</v>
      </c>
    </row>
    <row r="1747" spans="13:16">
      <c r="M1747" s="27">
        <v>44342</v>
      </c>
      <c r="N1747">
        <v>112.81100000000001</v>
      </c>
      <c r="O1747" s="27">
        <v>43937</v>
      </c>
      <c r="P1747">
        <v>100.613</v>
      </c>
    </row>
    <row r="1748" spans="13:16">
      <c r="M1748" s="27">
        <v>44343</v>
      </c>
      <c r="N1748">
        <v>112.694</v>
      </c>
      <c r="O1748" s="27">
        <v>43938</v>
      </c>
      <c r="P1748">
        <v>100.60599999999999</v>
      </c>
    </row>
    <row r="1749" spans="13:16">
      <c r="M1749" s="27">
        <v>44344</v>
      </c>
      <c r="N1749">
        <v>112.813</v>
      </c>
      <c r="O1749" s="27">
        <v>43941</v>
      </c>
      <c r="P1749">
        <v>100.599</v>
      </c>
    </row>
    <row r="1750" spans="13:16">
      <c r="M1750" s="27">
        <v>44347</v>
      </c>
      <c r="N1750">
        <v>112.71599999999999</v>
      </c>
      <c r="O1750" s="27">
        <v>43942</v>
      </c>
      <c r="P1750">
        <v>100.593</v>
      </c>
    </row>
    <row r="1751" spans="13:16">
      <c r="M1751" s="27">
        <v>44348</v>
      </c>
      <c r="N1751">
        <v>112.65600000000001</v>
      </c>
      <c r="O1751" s="27">
        <v>43943</v>
      </c>
      <c r="P1751">
        <v>100.581</v>
      </c>
    </row>
    <row r="1752" spans="13:16">
      <c r="M1752" s="27">
        <v>44349</v>
      </c>
      <c r="N1752">
        <v>112.982</v>
      </c>
      <c r="O1752" s="27">
        <v>43944</v>
      </c>
      <c r="P1752">
        <v>100.55</v>
      </c>
    </row>
    <row r="1753" spans="13:16">
      <c r="M1753" s="27">
        <v>44350</v>
      </c>
      <c r="N1753">
        <v>112.953</v>
      </c>
      <c r="O1753" s="27">
        <v>43945</v>
      </c>
      <c r="P1753">
        <v>100.54300000000001</v>
      </c>
    </row>
    <row r="1754" spans="13:16">
      <c r="M1754" s="27">
        <v>44351</v>
      </c>
      <c r="N1754">
        <v>112.858</v>
      </c>
      <c r="O1754" s="27">
        <v>43948</v>
      </c>
      <c r="P1754">
        <v>100.539</v>
      </c>
    </row>
    <row r="1755" spans="13:16">
      <c r="M1755" s="27">
        <v>44354</v>
      </c>
      <c r="N1755">
        <v>112.79600000000001</v>
      </c>
      <c r="O1755" s="27">
        <v>43949</v>
      </c>
      <c r="P1755">
        <v>100.533</v>
      </c>
    </row>
    <row r="1756" spans="13:16">
      <c r="M1756" s="27">
        <v>44355</v>
      </c>
      <c r="N1756">
        <v>112.84</v>
      </c>
      <c r="O1756" s="27">
        <v>43950</v>
      </c>
      <c r="P1756">
        <v>100.515</v>
      </c>
    </row>
    <row r="1757" spans="13:16">
      <c r="M1757" s="27">
        <v>44356</v>
      </c>
      <c r="N1757">
        <v>113.02800000000001</v>
      </c>
      <c r="O1757" s="27">
        <v>43951</v>
      </c>
      <c r="P1757">
        <v>100.51</v>
      </c>
    </row>
    <row r="1758" spans="13:16">
      <c r="M1758" s="27">
        <v>44357</v>
      </c>
      <c r="N1758">
        <v>113.05200000000001</v>
      </c>
      <c r="O1758" s="27">
        <v>43955</v>
      </c>
      <c r="P1758">
        <v>100.504</v>
      </c>
    </row>
    <row r="1759" spans="13:16">
      <c r="M1759" s="27">
        <v>44358</v>
      </c>
      <c r="N1759">
        <v>113.44499999999999</v>
      </c>
      <c r="O1759" s="27">
        <v>43956</v>
      </c>
      <c r="P1759">
        <v>100.498</v>
      </c>
    </row>
    <row r="1760" spans="13:16">
      <c r="M1760" s="27">
        <v>44361</v>
      </c>
      <c r="N1760">
        <v>113.35899999999999</v>
      </c>
      <c r="O1760" s="27">
        <v>43957</v>
      </c>
      <c r="P1760">
        <v>100.488</v>
      </c>
    </row>
    <row r="1761" spans="13:16">
      <c r="M1761" s="27">
        <v>44362</v>
      </c>
      <c r="N1761">
        <v>113.401</v>
      </c>
      <c r="O1761" s="27">
        <v>43958</v>
      </c>
      <c r="P1761">
        <v>100.46899999999999</v>
      </c>
    </row>
    <row r="1762" spans="13:16">
      <c r="M1762" s="27">
        <v>44363</v>
      </c>
      <c r="N1762">
        <v>113.47499999999999</v>
      </c>
      <c r="O1762" s="27">
        <v>43959</v>
      </c>
      <c r="P1762">
        <v>100.46299999999999</v>
      </c>
    </row>
    <row r="1763" spans="13:16">
      <c r="M1763" s="27">
        <v>44364</v>
      </c>
      <c r="N1763">
        <v>112.944</v>
      </c>
      <c r="O1763" s="27">
        <v>43962</v>
      </c>
      <c r="P1763">
        <v>100.453</v>
      </c>
    </row>
    <row r="1764" spans="13:16">
      <c r="M1764" s="27">
        <v>44365</v>
      </c>
      <c r="N1764">
        <v>113.13500000000001</v>
      </c>
      <c r="O1764" s="27">
        <v>43963</v>
      </c>
      <c r="P1764">
        <v>100.443</v>
      </c>
    </row>
    <row r="1765" spans="13:16">
      <c r="M1765" s="27">
        <v>44368</v>
      </c>
      <c r="N1765">
        <v>113.14700000000001</v>
      </c>
      <c r="O1765" s="27">
        <v>43964</v>
      </c>
      <c r="P1765">
        <v>100.435</v>
      </c>
    </row>
    <row r="1766" spans="13:16">
      <c r="M1766" s="27">
        <v>44369</v>
      </c>
      <c r="N1766">
        <v>113.187</v>
      </c>
      <c r="O1766" s="27">
        <v>43965</v>
      </c>
      <c r="P1766">
        <v>100.416</v>
      </c>
    </row>
    <row r="1767" spans="13:16">
      <c r="M1767" s="27">
        <v>44370</v>
      </c>
      <c r="N1767">
        <v>113.221</v>
      </c>
      <c r="O1767" s="27">
        <v>43966</v>
      </c>
      <c r="P1767">
        <v>100.411</v>
      </c>
    </row>
    <row r="1768" spans="13:16">
      <c r="M1768" s="27">
        <v>44371</v>
      </c>
      <c r="N1768">
        <v>113.503</v>
      </c>
      <c r="O1768" s="27">
        <v>43969</v>
      </c>
      <c r="P1768">
        <v>100.40600000000001</v>
      </c>
    </row>
    <row r="1769" spans="13:16">
      <c r="M1769" s="27">
        <v>44372</v>
      </c>
      <c r="N1769">
        <v>113.503</v>
      </c>
      <c r="O1769" s="27">
        <v>43970</v>
      </c>
      <c r="P1769">
        <v>100.399</v>
      </c>
    </row>
    <row r="1770" spans="13:16">
      <c r="M1770" s="27">
        <v>44375</v>
      </c>
      <c r="N1770">
        <v>114.383</v>
      </c>
      <c r="O1770" s="27">
        <v>43971</v>
      </c>
      <c r="P1770">
        <v>100.39400000000001</v>
      </c>
    </row>
    <row r="1771" spans="13:16">
      <c r="M1771" s="27">
        <v>44376</v>
      </c>
      <c r="N1771">
        <v>114.34099999999999</v>
      </c>
      <c r="O1771" s="27">
        <v>43972</v>
      </c>
      <c r="P1771">
        <v>100.379</v>
      </c>
    </row>
    <row r="1772" spans="13:16">
      <c r="M1772" s="27">
        <v>44377</v>
      </c>
      <c r="N1772">
        <v>114.48699999999999</v>
      </c>
      <c r="O1772" s="27">
        <v>43973</v>
      </c>
      <c r="P1772">
        <v>100.369</v>
      </c>
    </row>
    <row r="1773" spans="13:16">
      <c r="M1773" s="27">
        <v>44378</v>
      </c>
      <c r="N1773">
        <v>114.613</v>
      </c>
      <c r="O1773" s="27">
        <v>43976</v>
      </c>
      <c r="P1773">
        <v>100.364</v>
      </c>
    </row>
    <row r="1774" spans="13:16">
      <c r="M1774" s="27">
        <v>44379</v>
      </c>
      <c r="N1774">
        <v>114.74299999999999</v>
      </c>
      <c r="O1774" s="27">
        <v>43977</v>
      </c>
      <c r="P1774">
        <v>100.351</v>
      </c>
    </row>
    <row r="1775" spans="13:16">
      <c r="M1775" s="27">
        <v>44382</v>
      </c>
      <c r="N1775">
        <v>114.645</v>
      </c>
      <c r="O1775" s="27">
        <v>43978</v>
      </c>
      <c r="P1775">
        <v>100.349</v>
      </c>
    </row>
    <row r="1776" spans="13:16">
      <c r="M1776" s="27">
        <v>44383</v>
      </c>
      <c r="N1776">
        <v>114.88200000000001</v>
      </c>
      <c r="O1776" s="27">
        <v>43979</v>
      </c>
      <c r="P1776">
        <v>100.331</v>
      </c>
    </row>
    <row r="1777" spans="13:16">
      <c r="M1777" s="27">
        <v>44384</v>
      </c>
      <c r="N1777">
        <v>114.991</v>
      </c>
      <c r="O1777" s="27">
        <v>43980</v>
      </c>
      <c r="P1777">
        <v>100.32599999999999</v>
      </c>
    </row>
    <row r="1778" spans="13:16">
      <c r="M1778" s="27">
        <v>44385</v>
      </c>
      <c r="N1778">
        <v>115.8</v>
      </c>
      <c r="O1778" s="27">
        <v>43983</v>
      </c>
      <c r="P1778">
        <v>100.321</v>
      </c>
    </row>
    <row r="1779" spans="13:16">
      <c r="M1779" s="27">
        <v>44386</v>
      </c>
      <c r="N1779">
        <v>115.547</v>
      </c>
      <c r="O1779" s="27">
        <v>43984</v>
      </c>
      <c r="P1779">
        <v>100.316</v>
      </c>
    </row>
    <row r="1780" spans="13:16">
      <c r="M1780" s="27">
        <v>44389</v>
      </c>
      <c r="N1780">
        <v>115.554</v>
      </c>
      <c r="O1780" s="27">
        <v>43985</v>
      </c>
      <c r="P1780">
        <v>100.30800000000001</v>
      </c>
    </row>
    <row r="1781" spans="13:16">
      <c r="M1781" s="27">
        <v>44390</v>
      </c>
      <c r="N1781">
        <v>115.50700000000001</v>
      </c>
      <c r="O1781" s="27">
        <v>43986</v>
      </c>
      <c r="P1781">
        <v>100.291</v>
      </c>
    </row>
    <row r="1782" spans="13:16">
      <c r="M1782" s="27">
        <v>44391</v>
      </c>
      <c r="N1782">
        <v>115.27500000000001</v>
      </c>
      <c r="O1782" s="27">
        <v>43987</v>
      </c>
      <c r="P1782">
        <v>100.28</v>
      </c>
    </row>
    <row r="1783" spans="13:16">
      <c r="M1783" s="27">
        <v>44392</v>
      </c>
      <c r="N1783">
        <v>115.517</v>
      </c>
      <c r="O1783" s="27">
        <v>43990</v>
      </c>
      <c r="P1783">
        <v>100.277</v>
      </c>
    </row>
    <row r="1784" spans="13:16">
      <c r="M1784" s="27">
        <v>44393</v>
      </c>
      <c r="N1784">
        <v>115.663</v>
      </c>
      <c r="O1784" s="27">
        <v>43991</v>
      </c>
      <c r="P1784">
        <v>100.277</v>
      </c>
    </row>
    <row r="1785" spans="13:16">
      <c r="M1785" s="27">
        <v>44396</v>
      </c>
      <c r="N1785">
        <v>116.309</v>
      </c>
      <c r="O1785" s="27">
        <v>43992</v>
      </c>
      <c r="P1785">
        <v>100.26600000000001</v>
      </c>
    </row>
    <row r="1786" spans="13:16">
      <c r="M1786" s="27">
        <v>44397</v>
      </c>
      <c r="N1786">
        <v>116.9</v>
      </c>
      <c r="O1786" s="27">
        <v>43993</v>
      </c>
      <c r="P1786">
        <v>100.25</v>
      </c>
    </row>
    <row r="1787" spans="13:16">
      <c r="M1787" s="27">
        <v>44398</v>
      </c>
      <c r="N1787">
        <v>116.637</v>
      </c>
      <c r="O1787" s="27">
        <v>43994</v>
      </c>
      <c r="P1787">
        <v>100.24</v>
      </c>
    </row>
    <row r="1788" spans="13:16">
      <c r="M1788" s="27">
        <v>44399</v>
      </c>
      <c r="N1788">
        <v>116.191</v>
      </c>
      <c r="O1788" s="27">
        <v>43997</v>
      </c>
      <c r="P1788">
        <v>100.23399999999999</v>
      </c>
    </row>
    <row r="1789" spans="13:16">
      <c r="M1789" s="27">
        <v>44400</v>
      </c>
      <c r="N1789">
        <v>116.01900000000001</v>
      </c>
      <c r="O1789" s="27">
        <v>43998</v>
      </c>
      <c r="P1789">
        <v>100.23099999999999</v>
      </c>
    </row>
    <row r="1790" spans="13:16">
      <c r="M1790" s="27">
        <v>44403</v>
      </c>
      <c r="N1790">
        <v>116.04900000000001</v>
      </c>
      <c r="O1790" s="27">
        <v>43999</v>
      </c>
      <c r="P1790">
        <v>100.223</v>
      </c>
    </row>
    <row r="1791" spans="13:16">
      <c r="M1791" s="27">
        <v>44404</v>
      </c>
      <c r="N1791">
        <v>116.184</v>
      </c>
      <c r="O1791" s="27">
        <v>44000</v>
      </c>
      <c r="P1791">
        <v>100.202</v>
      </c>
    </row>
    <row r="1792" spans="13:16">
      <c r="M1792" s="27">
        <v>44405</v>
      </c>
      <c r="N1792">
        <v>116.202</v>
      </c>
      <c r="O1792" s="27">
        <v>44001</v>
      </c>
      <c r="P1792">
        <v>100.193</v>
      </c>
    </row>
    <row r="1793" spans="13:16">
      <c r="M1793" s="27">
        <v>44406</v>
      </c>
      <c r="N1793">
        <v>116.194</v>
      </c>
      <c r="O1793" s="27">
        <v>44004</v>
      </c>
      <c r="P1793">
        <v>100.188</v>
      </c>
    </row>
    <row r="1794" spans="13:16">
      <c r="M1794" s="27">
        <v>44407</v>
      </c>
      <c r="N1794">
        <v>116.054</v>
      </c>
      <c r="O1794" s="27">
        <v>44005</v>
      </c>
      <c r="P1794">
        <v>100.182</v>
      </c>
    </row>
    <row r="1795" spans="13:16">
      <c r="M1795" s="27">
        <v>44410</v>
      </c>
      <c r="N1795">
        <v>115.913</v>
      </c>
      <c r="O1795" s="27">
        <v>44006</v>
      </c>
      <c r="P1795">
        <v>100.173</v>
      </c>
    </row>
    <row r="1796" spans="13:16">
      <c r="M1796" s="27">
        <v>44411</v>
      </c>
      <c r="N1796">
        <v>116.098</v>
      </c>
      <c r="O1796" s="27">
        <v>44007</v>
      </c>
      <c r="P1796">
        <v>100.15600000000001</v>
      </c>
    </row>
    <row r="1797" spans="13:16">
      <c r="M1797" s="27">
        <v>44412</v>
      </c>
      <c r="N1797">
        <v>116.53</v>
      </c>
      <c r="O1797" s="27">
        <v>44008</v>
      </c>
      <c r="P1797">
        <v>100.15</v>
      </c>
    </row>
    <row r="1798" spans="13:16">
      <c r="M1798" s="27">
        <v>44413</v>
      </c>
      <c r="N1798">
        <v>116.4</v>
      </c>
      <c r="O1798" s="27">
        <v>44011</v>
      </c>
      <c r="P1798">
        <v>100.14100000000001</v>
      </c>
    </row>
    <row r="1799" spans="13:16">
      <c r="M1799" s="27">
        <v>44414</v>
      </c>
      <c r="N1799">
        <v>116.01300000000001</v>
      </c>
      <c r="O1799" s="27">
        <v>44012</v>
      </c>
      <c r="P1799">
        <v>100.134</v>
      </c>
    </row>
    <row r="1800" spans="13:16">
      <c r="M1800" s="27">
        <v>44417</v>
      </c>
      <c r="N1800">
        <v>115.901</v>
      </c>
      <c r="O1800" s="27">
        <v>44013</v>
      </c>
      <c r="P1800">
        <v>100.121</v>
      </c>
    </row>
    <row r="1801" spans="13:16">
      <c r="M1801" s="27">
        <v>44418</v>
      </c>
      <c r="N1801">
        <v>115.84099999999999</v>
      </c>
      <c r="O1801" s="27">
        <v>44014</v>
      </c>
      <c r="P1801">
        <v>100.113</v>
      </c>
    </row>
    <row r="1802" spans="13:16">
      <c r="M1802" s="27">
        <v>44419</v>
      </c>
      <c r="N1802">
        <v>115.643</v>
      </c>
      <c r="O1802" s="27">
        <v>44015</v>
      </c>
      <c r="P1802">
        <v>100.114</v>
      </c>
    </row>
    <row r="1803" spans="13:16">
      <c r="M1803" s="27">
        <v>44420</v>
      </c>
      <c r="N1803">
        <v>115.56</v>
      </c>
      <c r="O1803" s="27">
        <v>44018</v>
      </c>
      <c r="P1803">
        <v>100.104</v>
      </c>
    </row>
    <row r="1804" spans="13:16">
      <c r="M1804" s="27">
        <v>44421</v>
      </c>
      <c r="N1804">
        <v>115.22</v>
      </c>
      <c r="O1804" s="27">
        <v>44019</v>
      </c>
      <c r="P1804">
        <v>100.09699999999999</v>
      </c>
    </row>
    <row r="1805" spans="13:16">
      <c r="M1805" s="27">
        <v>44424</v>
      </c>
      <c r="N1805">
        <v>115.36799999999999</v>
      </c>
      <c r="O1805" s="27">
        <v>44020</v>
      </c>
      <c r="P1805">
        <v>100.089</v>
      </c>
    </row>
    <row r="1806" spans="13:16">
      <c r="M1806" s="27">
        <v>44425</v>
      </c>
      <c r="N1806">
        <v>115.56100000000001</v>
      </c>
      <c r="O1806" s="27">
        <v>44021</v>
      </c>
      <c r="P1806">
        <v>100.07</v>
      </c>
    </row>
    <row r="1807" spans="13:16">
      <c r="M1807" s="27">
        <v>44426</v>
      </c>
      <c r="N1807">
        <v>115.59099999999999</v>
      </c>
      <c r="O1807" s="27">
        <v>44022</v>
      </c>
      <c r="P1807">
        <v>100.063</v>
      </c>
    </row>
    <row r="1808" spans="13:16">
      <c r="M1808" s="27">
        <v>44427</v>
      </c>
      <c r="N1808">
        <v>115.767</v>
      </c>
      <c r="O1808" s="27">
        <v>44025</v>
      </c>
      <c r="P1808">
        <v>100.057</v>
      </c>
    </row>
    <row r="1809" spans="13:16">
      <c r="M1809" s="27">
        <v>44428</v>
      </c>
      <c r="N1809">
        <v>116.029</v>
      </c>
      <c r="O1809" s="27">
        <v>44026</v>
      </c>
      <c r="P1809">
        <v>100.05200000000001</v>
      </c>
    </row>
    <row r="1810" spans="13:16">
      <c r="M1810" s="27">
        <v>44431</v>
      </c>
      <c r="N1810">
        <v>115.878</v>
      </c>
      <c r="O1810" s="27">
        <v>44027</v>
      </c>
      <c r="P1810">
        <v>100.045</v>
      </c>
    </row>
    <row r="1811" spans="13:16">
      <c r="M1811" s="27">
        <v>44432</v>
      </c>
      <c r="N1811">
        <v>115.761</v>
      </c>
      <c r="O1811" s="27">
        <v>44028</v>
      </c>
      <c r="P1811">
        <v>100.02500000000001</v>
      </c>
    </row>
    <row r="1812" spans="13:16">
      <c r="M1812" s="27">
        <v>44433</v>
      </c>
      <c r="N1812">
        <v>115.331</v>
      </c>
      <c r="O1812" s="27">
        <v>44029</v>
      </c>
      <c r="P1812">
        <v>100.01900000000001</v>
      </c>
    </row>
    <row r="1813" spans="13:16">
      <c r="M1813" s="27">
        <v>44434</v>
      </c>
      <c r="N1813">
        <v>115.048</v>
      </c>
      <c r="O1813" s="27">
        <v>44032</v>
      </c>
      <c r="P1813">
        <v>100.01300000000001</v>
      </c>
    </row>
    <row r="1814" spans="13:16">
      <c r="M1814" s="27">
        <v>44435</v>
      </c>
      <c r="N1814">
        <v>115.071</v>
      </c>
      <c r="O1814" s="27">
        <v>44033</v>
      </c>
      <c r="P1814">
        <v>100.01</v>
      </c>
    </row>
    <row r="1815" spans="13:16">
      <c r="M1815" s="27">
        <v>44438</v>
      </c>
      <c r="N1815">
        <v>115.23099999999999</v>
      </c>
      <c r="O1815" s="27">
        <v>44034</v>
      </c>
      <c r="P1815">
        <v>100.00700000000001</v>
      </c>
    </row>
    <row r="1816" spans="13:16">
      <c r="M1816" s="27">
        <v>44439</v>
      </c>
      <c r="N1816">
        <v>115.196</v>
      </c>
    </row>
    <row r="1817" spans="13:16">
      <c r="M1817" s="27">
        <v>44440</v>
      </c>
      <c r="N1817">
        <v>115.13200000000001</v>
      </c>
    </row>
    <row r="1818" spans="13:16">
      <c r="M1818" s="27">
        <v>44441</v>
      </c>
      <c r="N1818">
        <v>115.193</v>
      </c>
    </row>
    <row r="1819" spans="13:16">
      <c r="M1819" s="27">
        <v>44442</v>
      </c>
      <c r="N1819">
        <v>115.081</v>
      </c>
    </row>
    <row r="1820" spans="13:16">
      <c r="M1820" s="27">
        <v>44445</v>
      </c>
      <c r="N1820">
        <v>115.078</v>
      </c>
    </row>
    <row r="1821" spans="13:16">
      <c r="M1821" s="27">
        <v>44446</v>
      </c>
      <c r="N1821">
        <v>114.833</v>
      </c>
    </row>
    <row r="1822" spans="13:16">
      <c r="M1822" s="27">
        <v>44447</v>
      </c>
      <c r="N1822">
        <v>114.773</v>
      </c>
    </row>
    <row r="1823" spans="13:16">
      <c r="M1823" s="27">
        <v>44448</v>
      </c>
      <c r="N1823">
        <v>114.81</v>
      </c>
    </row>
    <row r="1824" spans="13:16">
      <c r="M1824" s="27">
        <v>44449</v>
      </c>
      <c r="N1824">
        <v>114.741</v>
      </c>
    </row>
    <row r="1825" spans="13:14">
      <c r="M1825" s="27">
        <v>44452</v>
      </c>
      <c r="N1825">
        <v>114.748</v>
      </c>
    </row>
    <row r="1826" spans="13:14">
      <c r="M1826" s="27">
        <v>44453</v>
      </c>
      <c r="N1826">
        <v>114.494</v>
      </c>
    </row>
    <row r="1827" spans="13:14">
      <c r="M1827" s="27">
        <v>44454</v>
      </c>
      <c r="N1827">
        <v>114.389</v>
      </c>
    </row>
    <row r="1828" spans="13:14">
      <c r="M1828" s="27">
        <v>44455</v>
      </c>
      <c r="N1828">
        <v>114.16800000000001</v>
      </c>
    </row>
    <row r="1829" spans="13:14">
      <c r="M1829" s="27">
        <v>44456</v>
      </c>
      <c r="N1829">
        <v>113.92</v>
      </c>
    </row>
    <row r="1830" spans="13:14">
      <c r="M1830" s="27">
        <v>44459</v>
      </c>
      <c r="N1830">
        <v>114.20099999999999</v>
      </c>
    </row>
    <row r="1831" spans="13:14">
      <c r="M1831" s="27">
        <v>44460</v>
      </c>
      <c r="N1831">
        <v>114.07299999999999</v>
      </c>
    </row>
    <row r="1832" spans="13:14">
      <c r="M1832" s="27">
        <v>44461</v>
      </c>
      <c r="N1832">
        <v>114.14400000000001</v>
      </c>
    </row>
    <row r="1833" spans="13:14">
      <c r="M1833" s="27">
        <v>44462</v>
      </c>
      <c r="N1833">
        <v>113.866</v>
      </c>
    </row>
    <row r="1834" spans="13:14">
      <c r="M1834" s="27">
        <v>44463</v>
      </c>
      <c r="N1834">
        <v>113.792</v>
      </c>
    </row>
    <row r="1835" spans="13:14">
      <c r="M1835" s="27">
        <v>44466</v>
      </c>
      <c r="N1835">
        <v>113.53</v>
      </c>
    </row>
    <row r="1836" spans="13:14">
      <c r="M1836" s="27">
        <v>44467</v>
      </c>
      <c r="N1836">
        <v>113.086</v>
      </c>
    </row>
    <row r="1837" spans="13:14">
      <c r="M1837" s="27">
        <v>44468</v>
      </c>
      <c r="N1837">
        <v>112.922</v>
      </c>
    </row>
    <row r="1838" spans="13:14">
      <c r="M1838" s="27">
        <v>44469</v>
      </c>
      <c r="N1838">
        <v>112.774</v>
      </c>
    </row>
    <row r="1839" spans="13:14">
      <c r="M1839" s="27">
        <v>44470</v>
      </c>
      <c r="N1839">
        <v>112.991</v>
      </c>
    </row>
    <row r="1840" spans="13:14">
      <c r="M1840" s="27">
        <v>44473</v>
      </c>
      <c r="N1840">
        <v>112.797</v>
      </c>
    </row>
    <row r="1841" spans="13:14">
      <c r="M1841" s="27">
        <v>44474</v>
      </c>
      <c r="N1841">
        <v>112.545</v>
      </c>
    </row>
    <row r="1842" spans="13:14">
      <c r="M1842" s="27">
        <v>44475</v>
      </c>
      <c r="N1842">
        <v>112.627</v>
      </c>
    </row>
    <row r="1843" spans="13:14">
      <c r="M1843" s="27">
        <v>44476</v>
      </c>
      <c r="N1843">
        <v>112.735</v>
      </c>
    </row>
    <row r="1844" spans="13:14">
      <c r="M1844" s="27">
        <v>44477</v>
      </c>
      <c r="N1844">
        <v>112.47499999999999</v>
      </c>
    </row>
    <row r="1845" spans="13:14">
      <c r="M1845" s="27">
        <v>44480</v>
      </c>
      <c r="N1845">
        <v>111.95699999999999</v>
      </c>
    </row>
    <row r="1846" spans="13:14">
      <c r="M1846" s="27">
        <v>44481</v>
      </c>
      <c r="N1846">
        <v>112.051</v>
      </c>
    </row>
    <row r="1847" spans="13:14">
      <c r="M1847" s="27">
        <v>44482</v>
      </c>
      <c r="N1847">
        <v>112.40300000000001</v>
      </c>
    </row>
    <row r="1848" spans="13:14">
      <c r="M1848" s="27">
        <v>44483</v>
      </c>
      <c r="N1848">
        <v>112.616</v>
      </c>
    </row>
    <row r="1849" spans="13:14">
      <c r="M1849" s="27">
        <v>44484</v>
      </c>
      <c r="N1849">
        <v>112.44799999999999</v>
      </c>
    </row>
    <row r="1850" spans="13:14">
      <c r="M1850" s="27">
        <v>44487</v>
      </c>
      <c r="N1850">
        <v>112.172</v>
      </c>
    </row>
    <row r="1851" spans="13:14">
      <c r="M1851" s="27">
        <v>44488</v>
      </c>
      <c r="N1851">
        <v>112.191</v>
      </c>
    </row>
    <row r="1852" spans="13:14">
      <c r="M1852" s="27">
        <v>44489</v>
      </c>
      <c r="N1852">
        <v>112.3</v>
      </c>
    </row>
    <row r="1853" spans="13:14">
      <c r="M1853" s="27">
        <v>44490</v>
      </c>
      <c r="N1853">
        <v>112.19499999999999</v>
      </c>
    </row>
    <row r="1854" spans="13:14">
      <c r="M1854" s="27">
        <v>44491</v>
      </c>
      <c r="N1854">
        <v>112.276</v>
      </c>
    </row>
    <row r="1855" spans="13:14">
      <c r="M1855" s="27">
        <v>44494</v>
      </c>
      <c r="N1855">
        <v>112.236</v>
      </c>
    </row>
    <row r="1856" spans="13:14">
      <c r="M1856" s="27">
        <v>44495</v>
      </c>
      <c r="N1856">
        <v>112.27500000000001</v>
      </c>
    </row>
    <row r="1857" spans="13:14">
      <c r="M1857" s="27">
        <v>44496</v>
      </c>
      <c r="N1857">
        <v>112.477</v>
      </c>
    </row>
    <row r="1858" spans="13:14">
      <c r="M1858" s="27">
        <v>44497</v>
      </c>
      <c r="N1858">
        <v>112.505</v>
      </c>
    </row>
    <row r="1859" spans="13:14">
      <c r="M1859" s="27">
        <v>44498</v>
      </c>
      <c r="N1859">
        <v>112.35599999999999</v>
      </c>
    </row>
    <row r="1860" spans="13:14">
      <c r="M1860" s="27">
        <v>44501</v>
      </c>
      <c r="N1860">
        <v>112.455</v>
      </c>
    </row>
    <row r="1861" spans="13:14">
      <c r="M1861" s="27">
        <v>44502</v>
      </c>
      <c r="N1861">
        <v>112.732</v>
      </c>
    </row>
    <row r="1862" spans="13:14">
      <c r="M1862" s="27">
        <v>44503</v>
      </c>
      <c r="N1862">
        <v>111.518</v>
      </c>
    </row>
    <row r="1863" spans="13:14">
      <c r="M1863" s="27">
        <v>44504</v>
      </c>
      <c r="N1863">
        <v>111.87</v>
      </c>
    </row>
    <row r="1864" spans="13:14">
      <c r="M1864" s="27">
        <v>44505</v>
      </c>
      <c r="N1864">
        <v>111.901</v>
      </c>
    </row>
    <row r="1865" spans="13:14">
      <c r="M1865" s="27">
        <v>44508</v>
      </c>
      <c r="N1865">
        <v>111.426</v>
      </c>
    </row>
    <row r="1866" spans="13:14">
      <c r="M1866" s="27">
        <v>44509</v>
      </c>
      <c r="N1866">
        <v>111.53</v>
      </c>
    </row>
    <row r="1867" spans="13:14">
      <c r="M1867" s="27">
        <v>44510</v>
      </c>
      <c r="N1867">
        <v>111.377</v>
      </c>
    </row>
    <row r="1868" spans="13:14">
      <c r="M1868" s="27">
        <v>44511</v>
      </c>
      <c r="N1868">
        <v>111.25700000000001</v>
      </c>
    </row>
    <row r="1869" spans="13:14">
      <c r="M1869" s="27">
        <v>44512</v>
      </c>
      <c r="N1869">
        <v>110.95</v>
      </c>
    </row>
    <row r="1870" spans="13:14">
      <c r="M1870" s="27">
        <v>44515</v>
      </c>
      <c r="N1870">
        <v>110.724</v>
      </c>
    </row>
    <row r="1871" spans="13:14">
      <c r="M1871" s="27">
        <v>44516</v>
      </c>
      <c r="N1871">
        <v>110.78400000000001</v>
      </c>
    </row>
    <row r="1872" spans="13:14">
      <c r="M1872" s="27">
        <v>44517</v>
      </c>
      <c r="N1872">
        <v>110.83</v>
      </c>
    </row>
    <row r="1873" spans="13:14">
      <c r="M1873" s="27">
        <v>44518</v>
      </c>
      <c r="N1873">
        <v>111.14400000000001</v>
      </c>
    </row>
    <row r="1874" spans="13:14">
      <c r="M1874" s="27">
        <v>44519</v>
      </c>
      <c r="N1874">
        <v>111.553</v>
      </c>
    </row>
    <row r="1875" spans="13:14">
      <c r="M1875" s="27">
        <v>44522</v>
      </c>
      <c r="N1875">
        <v>111.345</v>
      </c>
    </row>
    <row r="1876" spans="13:14">
      <c r="M1876" s="27">
        <v>44523</v>
      </c>
      <c r="N1876">
        <v>110.91200000000001</v>
      </c>
    </row>
    <row r="1877" spans="13:14">
      <c r="M1877" s="27">
        <v>44524</v>
      </c>
      <c r="N1877">
        <v>110.807</v>
      </c>
    </row>
    <row r="1878" spans="13:14">
      <c r="M1878" s="27">
        <v>44525</v>
      </c>
      <c r="N1878">
        <v>110.798</v>
      </c>
    </row>
    <row r="1879" spans="13:14">
      <c r="M1879" s="27">
        <v>44526</v>
      </c>
      <c r="N1879">
        <v>111.271</v>
      </c>
    </row>
    <row r="1880" spans="13:14">
      <c r="M1880" s="27">
        <v>44529</v>
      </c>
      <c r="N1880">
        <v>111.45699999999999</v>
      </c>
    </row>
    <row r="1881" spans="13:14">
      <c r="M1881" s="27">
        <v>44530</v>
      </c>
      <c r="N1881">
        <v>112.322</v>
      </c>
    </row>
    <row r="1882" spans="13:14">
      <c r="M1882" s="27">
        <v>44531</v>
      </c>
      <c r="N1882">
        <v>113.36199999999999</v>
      </c>
    </row>
    <row r="1883" spans="13:14">
      <c r="M1883" s="27">
        <v>44532</v>
      </c>
      <c r="N1883">
        <v>112.59</v>
      </c>
    </row>
    <row r="1884" spans="13:14">
      <c r="M1884" s="27">
        <v>44533</v>
      </c>
      <c r="N1884">
        <v>112.136</v>
      </c>
    </row>
    <row r="1885" spans="13:14">
      <c r="M1885" s="27">
        <v>44536</v>
      </c>
      <c r="N1885">
        <v>112.467</v>
      </c>
    </row>
    <row r="1886" spans="13:14">
      <c r="M1886" s="27">
        <v>44537</v>
      </c>
      <c r="N1886">
        <v>112.429</v>
      </c>
    </row>
    <row r="1887" spans="13:14">
      <c r="M1887" s="27">
        <v>44538</v>
      </c>
      <c r="N1887">
        <v>112.02200000000001</v>
      </c>
    </row>
    <row r="1888" spans="13:14">
      <c r="M1888" s="27">
        <v>44539</v>
      </c>
      <c r="N1888">
        <v>112.035</v>
      </c>
    </row>
    <row r="1889" spans="13:14">
      <c r="M1889" s="27">
        <v>44540</v>
      </c>
      <c r="N1889">
        <v>111.922</v>
      </c>
    </row>
    <row r="1890" spans="13:14">
      <c r="M1890" s="27">
        <v>44543</v>
      </c>
      <c r="N1890">
        <v>112.02</v>
      </c>
    </row>
    <row r="1891" spans="13:14">
      <c r="M1891" s="27">
        <v>44544</v>
      </c>
      <c r="N1891">
        <v>111.944</v>
      </c>
    </row>
    <row r="1892" spans="13:14">
      <c r="M1892" s="27">
        <v>44545</v>
      </c>
      <c r="N1892">
        <v>111.816</v>
      </c>
    </row>
    <row r="1893" spans="13:14">
      <c r="M1893" s="27">
        <v>44546</v>
      </c>
      <c r="N1893">
        <v>111.295</v>
      </c>
    </row>
    <row r="1894" spans="13:14">
      <c r="M1894" s="27">
        <v>44547</v>
      </c>
      <c r="N1894">
        <v>111.629</v>
      </c>
    </row>
    <row r="1895" spans="13:14">
      <c r="M1895" s="27">
        <v>44550</v>
      </c>
      <c r="N1895">
        <v>111.676</v>
      </c>
    </row>
    <row r="1896" spans="13:14">
      <c r="M1896" s="27">
        <v>44551</v>
      </c>
      <c r="N1896">
        <v>110.931</v>
      </c>
    </row>
    <row r="1897" spans="13:14">
      <c r="M1897" s="27">
        <v>44552</v>
      </c>
      <c r="N1897">
        <v>110.79600000000001</v>
      </c>
    </row>
    <row r="1898" spans="13:14">
      <c r="M1898" s="27">
        <v>44553</v>
      </c>
      <c r="N1898">
        <v>110.26300000000001</v>
      </c>
    </row>
    <row r="1899" spans="13:14">
      <c r="M1899" s="27">
        <v>44557</v>
      </c>
      <c r="N1899">
        <v>110.178</v>
      </c>
    </row>
    <row r="1900" spans="13:14">
      <c r="M1900" s="27">
        <v>44558</v>
      </c>
      <c r="N1900">
        <v>110.06</v>
      </c>
    </row>
    <row r="1901" spans="13:14">
      <c r="M1901" s="27">
        <v>44559</v>
      </c>
      <c r="N1901">
        <v>109.81399999999999</v>
      </c>
    </row>
    <row r="1902" spans="13:14">
      <c r="M1902" s="27">
        <v>44560</v>
      </c>
      <c r="N1902">
        <v>109.66</v>
      </c>
    </row>
    <row r="1903" spans="13:14">
      <c r="M1903" s="27">
        <v>44561</v>
      </c>
      <c r="N1903">
        <v>109.642</v>
      </c>
    </row>
    <row r="1904" spans="13:14">
      <c r="M1904" s="27">
        <v>44564</v>
      </c>
      <c r="N1904">
        <v>109.331</v>
      </c>
    </row>
    <row r="1905" spans="13:14">
      <c r="M1905" s="27">
        <v>44565</v>
      </c>
      <c r="N1905">
        <v>109.241</v>
      </c>
    </row>
    <row r="1906" spans="13:14">
      <c r="M1906" s="27">
        <v>44566</v>
      </c>
      <c r="N1906">
        <v>109.054</v>
      </c>
    </row>
    <row r="1907" spans="13:14">
      <c r="M1907" s="27">
        <v>44567</v>
      </c>
      <c r="N1907">
        <v>109.578</v>
      </c>
    </row>
    <row r="1908" spans="13:14">
      <c r="M1908" s="27">
        <v>44568</v>
      </c>
      <c r="N1908">
        <v>109.416</v>
      </c>
    </row>
    <row r="1909" spans="13:14">
      <c r="M1909" s="27">
        <v>44571</v>
      </c>
      <c r="N1909">
        <v>109.41500000000001</v>
      </c>
    </row>
    <row r="1910" spans="13:14">
      <c r="M1910" s="27">
        <v>44572</v>
      </c>
      <c r="N1910">
        <v>109.383</v>
      </c>
    </row>
    <row r="1911" spans="13:14">
      <c r="M1911" s="27">
        <v>44573</v>
      </c>
      <c r="N1911">
        <v>109.56699999999999</v>
      </c>
    </row>
    <row r="1912" spans="13:14">
      <c r="M1912" s="27">
        <v>44574</v>
      </c>
      <c r="N1912">
        <v>109.51</v>
      </c>
    </row>
    <row r="1913" spans="13:14">
      <c r="M1913" s="27">
        <v>44575</v>
      </c>
      <c r="N1913">
        <v>109.4</v>
      </c>
    </row>
    <row r="1914" spans="13:14">
      <c r="M1914" s="27">
        <v>44578</v>
      </c>
      <c r="N1914">
        <v>109.01300000000001</v>
      </c>
    </row>
    <row r="1915" spans="13:14">
      <c r="M1915" s="27">
        <v>44579</v>
      </c>
      <c r="N1915">
        <v>108.884</v>
      </c>
    </row>
    <row r="1916" spans="13:14">
      <c r="M1916" s="27">
        <v>44580</v>
      </c>
      <c r="N1916">
        <v>108.71899999999999</v>
      </c>
    </row>
    <row r="1917" spans="13:14">
      <c r="M1917" s="27">
        <v>44581</v>
      </c>
      <c r="N1917">
        <v>108.964</v>
      </c>
    </row>
    <row r="1918" spans="13:14">
      <c r="M1918" s="27">
        <v>44582</v>
      </c>
      <c r="N1918">
        <v>109.223</v>
      </c>
    </row>
    <row r="1919" spans="13:14">
      <c r="M1919" s="27">
        <v>44585</v>
      </c>
      <c r="N1919">
        <v>109.34399999999999</v>
      </c>
    </row>
    <row r="1920" spans="13:14">
      <c r="M1920" s="27">
        <v>44586</v>
      </c>
      <c r="N1920">
        <v>109.348</v>
      </c>
    </row>
    <row r="1921" spans="13:14">
      <c r="M1921" s="27">
        <v>44587</v>
      </c>
      <c r="N1921">
        <v>109.126</v>
      </c>
    </row>
    <row r="1922" spans="13:14">
      <c r="M1922" s="27">
        <v>44588</v>
      </c>
      <c r="N1922">
        <v>108.89</v>
      </c>
    </row>
    <row r="1923" spans="13:14">
      <c r="M1923" s="27">
        <v>44589</v>
      </c>
      <c r="N1923">
        <v>108.649</v>
      </c>
    </row>
    <row r="1924" spans="13:14">
      <c r="M1924" s="27">
        <v>44592</v>
      </c>
      <c r="N1924">
        <v>108.402</v>
      </c>
    </row>
    <row r="1925" spans="13:14">
      <c r="M1925" s="27">
        <v>44593</v>
      </c>
      <c r="N1925">
        <v>108.348</v>
      </c>
    </row>
    <row r="1926" spans="13:14">
      <c r="M1926" s="27">
        <v>44594</v>
      </c>
      <c r="N1926">
        <v>108.301</v>
      </c>
    </row>
    <row r="1927" spans="13:14">
      <c r="M1927" s="27">
        <v>44595</v>
      </c>
      <c r="N1927">
        <v>107.69499999999999</v>
      </c>
    </row>
    <row r="1928" spans="13:14">
      <c r="M1928" s="27">
        <v>44596</v>
      </c>
      <c r="N1928">
        <v>107.539</v>
      </c>
    </row>
    <row r="1929" spans="13:14">
      <c r="M1929" s="27">
        <v>44599</v>
      </c>
      <c r="N1929">
        <v>107.505</v>
      </c>
    </row>
    <row r="1930" spans="13:14">
      <c r="M1930" s="27">
        <v>44600</v>
      </c>
      <c r="N1930">
        <v>107.264</v>
      </c>
    </row>
    <row r="1931" spans="13:14">
      <c r="M1931" s="27">
        <v>44601</v>
      </c>
      <c r="N1931">
        <v>106.414</v>
      </c>
    </row>
    <row r="1932" spans="13:14">
      <c r="M1932" s="27">
        <v>44602</v>
      </c>
      <c r="N1932">
        <v>106.346</v>
      </c>
    </row>
    <row r="1933" spans="13:14">
      <c r="M1933" s="27">
        <v>44603</v>
      </c>
      <c r="N1933">
        <v>106.023</v>
      </c>
    </row>
    <row r="1934" spans="13:14">
      <c r="M1934" s="27">
        <v>44606</v>
      </c>
      <c r="N1934">
        <v>106.167</v>
      </c>
    </row>
    <row r="1935" spans="13:14">
      <c r="M1935" s="27">
        <v>44607</v>
      </c>
      <c r="N1935">
        <v>106.092</v>
      </c>
    </row>
    <row r="1936" spans="13:14">
      <c r="M1936" s="27">
        <v>44608</v>
      </c>
      <c r="N1936">
        <v>106.36499999999999</v>
      </c>
    </row>
    <row r="1937" spans="13:14">
      <c r="M1937" s="27">
        <v>44609</v>
      </c>
      <c r="N1937">
        <v>106.27500000000001</v>
      </c>
    </row>
    <row r="1938" spans="13:14">
      <c r="M1938" s="27">
        <v>44610</v>
      </c>
      <c r="N1938">
        <v>106.395</v>
      </c>
    </row>
    <row r="1939" spans="13:14">
      <c r="M1939" s="27">
        <v>44613</v>
      </c>
      <c r="N1939">
        <v>106.378</v>
      </c>
    </row>
    <row r="1940" spans="13:14">
      <c r="M1940" s="27">
        <v>44614</v>
      </c>
      <c r="N1940">
        <v>106.124</v>
      </c>
    </row>
    <row r="1941" spans="13:14">
      <c r="M1941" s="27">
        <v>44615</v>
      </c>
      <c r="N1941">
        <v>105.974</v>
      </c>
    </row>
    <row r="1942" spans="13:14">
      <c r="M1942" s="27">
        <v>44616</v>
      </c>
      <c r="N1942">
        <v>106.149</v>
      </c>
    </row>
    <row r="1943" spans="13:14">
      <c r="M1943" s="27">
        <v>44617</v>
      </c>
      <c r="N1943">
        <v>105.69</v>
      </c>
    </row>
    <row r="1944" spans="13:14">
      <c r="M1944" s="27">
        <v>44620</v>
      </c>
      <c r="N1944">
        <v>105.94799999999999</v>
      </c>
    </row>
    <row r="1945" spans="13:14">
      <c r="M1945" s="27">
        <v>44621</v>
      </c>
      <c r="N1945">
        <v>106.73</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D2D2E-D957-4B0C-9806-A8DF1A3A10A6}">
  <sheetPr>
    <tabColor theme="3"/>
  </sheetPr>
  <dimension ref="A1"/>
  <sheetViews>
    <sheetView workbookViewId="0">
      <selection activeCell="M32" sqref="M32"/>
    </sheetView>
  </sheetViews>
  <sheetFormatPr defaultRowHeight="14.25"/>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A2BE3-5102-495D-BDA5-EEE1B09E9A7E}">
  <sheetPr>
    <tabColor theme="0" tint="-0.249977111117893"/>
  </sheetPr>
  <dimension ref="C3:T124"/>
  <sheetViews>
    <sheetView workbookViewId="0">
      <pane ySplit="4" topLeftCell="A5" activePane="bottomLeft" state="frozen"/>
      <selection activeCell="I33" sqref="I33"/>
      <selection pane="bottomLeft"/>
    </sheetView>
  </sheetViews>
  <sheetFormatPr defaultRowHeight="14.25"/>
  <cols>
    <col min="6" max="8" width="17.33203125" bestFit="1" customWidth="1"/>
    <col min="9" max="9" width="18.83203125" customWidth="1"/>
    <col min="10" max="13" width="17.33203125" bestFit="1" customWidth="1"/>
    <col min="14" max="14" width="19.58203125" customWidth="1"/>
    <col min="15" max="15" width="17.33203125" bestFit="1" customWidth="1"/>
    <col min="16" max="16" width="18" customWidth="1"/>
    <col min="17" max="17" width="17.33203125" bestFit="1" customWidth="1"/>
  </cols>
  <sheetData>
    <row r="3" spans="3:17">
      <c r="F3" s="127">
        <v>44926</v>
      </c>
      <c r="P3" s="127">
        <v>44742</v>
      </c>
    </row>
    <row r="4" spans="3:17">
      <c r="C4" t="s">
        <v>480</v>
      </c>
      <c r="F4">
        <v>2011</v>
      </c>
      <c r="G4">
        <v>2012</v>
      </c>
      <c r="H4">
        <v>2013</v>
      </c>
      <c r="I4">
        <v>2014</v>
      </c>
      <c r="J4">
        <v>2015</v>
      </c>
      <c r="K4">
        <v>2016</v>
      </c>
      <c r="L4">
        <v>2017</v>
      </c>
      <c r="M4">
        <v>2018</v>
      </c>
      <c r="N4">
        <v>2019</v>
      </c>
      <c r="O4">
        <v>2020</v>
      </c>
      <c r="P4">
        <v>2021</v>
      </c>
    </row>
    <row r="6" spans="3:17">
      <c r="C6" s="5" t="s">
        <v>48</v>
      </c>
      <c r="F6" s="116" t="s">
        <v>481</v>
      </c>
    </row>
    <row r="7" spans="3:17">
      <c r="C7" s="5"/>
      <c r="F7" s="116"/>
    </row>
    <row r="8" spans="3:17">
      <c r="C8" t="s">
        <v>482</v>
      </c>
    </row>
    <row r="9" spans="3:17">
      <c r="C9" t="s">
        <v>483</v>
      </c>
      <c r="F9" s="8"/>
      <c r="G9" s="8"/>
      <c r="H9" s="8">
        <v>836827</v>
      </c>
      <c r="I9" s="8">
        <v>925841</v>
      </c>
      <c r="J9" s="8">
        <v>1061704</v>
      </c>
      <c r="K9" s="8">
        <v>1061724</v>
      </c>
      <c r="L9" s="8">
        <v>1061744</v>
      </c>
      <c r="M9" s="8">
        <v>1061764</v>
      </c>
      <c r="N9" s="8">
        <v>1072647</v>
      </c>
      <c r="O9" s="8">
        <v>1097956</v>
      </c>
      <c r="P9" s="8"/>
      <c r="Q9" s="8"/>
    </row>
    <row r="10" spans="3:17">
      <c r="C10" t="s">
        <v>73</v>
      </c>
      <c r="F10" s="8"/>
      <c r="G10" s="8"/>
      <c r="H10" s="8">
        <v>5385756</v>
      </c>
      <c r="I10" s="8">
        <v>5764568</v>
      </c>
      <c r="J10" s="8">
        <v>5142560</v>
      </c>
      <c r="K10" s="8">
        <v>4991418</v>
      </c>
      <c r="L10" s="8">
        <v>4950784</v>
      </c>
      <c r="M10" s="8">
        <v>5223789</v>
      </c>
      <c r="N10" s="8">
        <v>5650381</v>
      </c>
      <c r="O10" s="8">
        <v>5590282</v>
      </c>
      <c r="P10" s="8">
        <v>5801406</v>
      </c>
      <c r="Q10" s="8"/>
    </row>
    <row r="11" spans="3:17">
      <c r="C11" t="s">
        <v>53</v>
      </c>
      <c r="F11" s="8"/>
      <c r="G11" s="8"/>
      <c r="H11" s="8">
        <v>3388185</v>
      </c>
      <c r="I11" s="8">
        <v>3505803</v>
      </c>
      <c r="J11" s="8">
        <v>3208264</v>
      </c>
      <c r="K11" s="8">
        <v>3438674</v>
      </c>
      <c r="L11" s="8">
        <v>3659212</v>
      </c>
      <c r="M11" s="8">
        <v>3316189</v>
      </c>
      <c r="N11" s="8">
        <v>4511059</v>
      </c>
      <c r="O11" s="8">
        <v>4590776</v>
      </c>
      <c r="P11" s="8">
        <v>4328544</v>
      </c>
      <c r="Q11" s="8"/>
    </row>
    <row r="12" spans="3:17">
      <c r="C12" s="1" t="s">
        <v>43</v>
      </c>
      <c r="F12" s="8"/>
      <c r="G12" s="8"/>
      <c r="H12" s="8"/>
      <c r="I12" s="8"/>
      <c r="J12" s="8"/>
      <c r="K12" s="8"/>
      <c r="L12" s="8"/>
      <c r="M12" s="8"/>
      <c r="N12" s="8"/>
      <c r="O12" s="8"/>
      <c r="P12" s="8"/>
      <c r="Q12" s="8"/>
    </row>
    <row r="13" spans="3:17">
      <c r="C13" t="s">
        <v>484</v>
      </c>
      <c r="F13" s="8"/>
      <c r="G13" s="8"/>
      <c r="H13" s="8"/>
      <c r="I13" s="8"/>
      <c r="J13" s="8">
        <v>5421690</v>
      </c>
      <c r="K13" s="8">
        <v>5552205</v>
      </c>
      <c r="L13" s="8">
        <v>5600364</v>
      </c>
      <c r="M13" s="8">
        <v>5681070</v>
      </c>
      <c r="N13" s="8">
        <v>5963753</v>
      </c>
      <c r="O13" s="8">
        <v>6005752</v>
      </c>
      <c r="P13" s="8">
        <v>5790482</v>
      </c>
      <c r="Q13" s="8"/>
    </row>
    <row r="14" spans="3:17">
      <c r="C14" t="s">
        <v>485</v>
      </c>
      <c r="F14" s="8"/>
      <c r="G14" s="8"/>
      <c r="H14" s="8"/>
      <c r="I14" s="8"/>
      <c r="J14" s="8">
        <v>1629410</v>
      </c>
      <c r="K14" s="8">
        <v>1610624</v>
      </c>
      <c r="L14" s="8">
        <v>1620354</v>
      </c>
      <c r="M14" s="8">
        <v>1650859</v>
      </c>
      <c r="N14" s="8">
        <v>2708255</v>
      </c>
      <c r="O14" s="8">
        <v>2867239</v>
      </c>
      <c r="P14" s="8">
        <v>2817727</v>
      </c>
      <c r="Q14" s="8"/>
    </row>
    <row r="15" spans="3:17">
      <c r="F15" s="8"/>
      <c r="G15" s="8"/>
      <c r="H15" s="8"/>
      <c r="I15" s="8"/>
      <c r="J15" s="8">
        <f t="shared" ref="J15:N15" si="0">J13+J14</f>
        <v>7051100</v>
      </c>
      <c r="K15" s="8">
        <f t="shared" si="0"/>
        <v>7162829</v>
      </c>
      <c r="L15" s="8">
        <f t="shared" si="0"/>
        <v>7220718</v>
      </c>
      <c r="M15" s="8">
        <f t="shared" si="0"/>
        <v>7331929</v>
      </c>
      <c r="N15" s="8">
        <f t="shared" si="0"/>
        <v>8672008</v>
      </c>
      <c r="O15" s="8">
        <f>O13+O14</f>
        <v>8872991</v>
      </c>
      <c r="P15" s="8">
        <f>P13+P14</f>
        <v>8608209</v>
      </c>
      <c r="Q15" s="8"/>
    </row>
    <row r="16" spans="3:17">
      <c r="C16" t="s">
        <v>486</v>
      </c>
      <c r="F16" s="8"/>
      <c r="G16" s="8"/>
      <c r="H16" s="8"/>
      <c r="I16" s="8"/>
      <c r="J16" s="8"/>
      <c r="K16" s="8"/>
      <c r="L16" s="8"/>
      <c r="M16" s="8"/>
      <c r="N16" s="8"/>
      <c r="O16" s="8"/>
      <c r="P16" s="8"/>
      <c r="Q16" s="8"/>
    </row>
    <row r="17" spans="3:20">
      <c r="C17" t="s">
        <v>487</v>
      </c>
      <c r="F17" s="8"/>
      <c r="G17" s="8"/>
      <c r="H17" s="8"/>
      <c r="I17" s="8"/>
      <c r="J17" s="8">
        <v>237444</v>
      </c>
      <c r="K17" s="8">
        <v>237444</v>
      </c>
      <c r="L17" s="8">
        <v>237444</v>
      </c>
      <c r="M17" s="8">
        <v>237444</v>
      </c>
      <c r="N17" s="8">
        <v>237444</v>
      </c>
      <c r="O17" s="8">
        <v>237444</v>
      </c>
      <c r="P17" s="8"/>
      <c r="Q17" s="8"/>
      <c r="T17" s="128" t="s">
        <v>488</v>
      </c>
    </row>
    <row r="18" spans="3:20">
      <c r="C18" t="s">
        <v>489</v>
      </c>
      <c r="F18" s="8"/>
      <c r="G18" s="8"/>
      <c r="H18" s="8">
        <v>745601</v>
      </c>
      <c r="I18" s="8">
        <v>745601</v>
      </c>
      <c r="J18" s="8">
        <v>745601</v>
      </c>
      <c r="K18" s="8">
        <v>680627</v>
      </c>
      <c r="L18" s="8">
        <v>598837</v>
      </c>
      <c r="M18" s="8">
        <v>503372</v>
      </c>
      <c r="N18" s="8">
        <v>460598</v>
      </c>
      <c r="O18" s="8">
        <v>460598</v>
      </c>
      <c r="P18" s="8"/>
      <c r="Q18" s="8"/>
      <c r="T18" t="s">
        <v>490</v>
      </c>
    </row>
    <row r="19" spans="3:20">
      <c r="F19" s="8"/>
      <c r="G19" s="8"/>
      <c r="H19" s="8"/>
      <c r="I19" s="8"/>
      <c r="J19" s="8"/>
      <c r="K19" s="8"/>
      <c r="L19" s="8"/>
      <c r="M19" s="8"/>
      <c r="N19" s="8"/>
      <c r="O19" s="8"/>
      <c r="P19" s="8"/>
      <c r="Q19" s="8"/>
    </row>
    <row r="20" spans="3:20">
      <c r="C20" s="1" t="s">
        <v>491</v>
      </c>
      <c r="F20" s="8"/>
      <c r="G20" s="8"/>
      <c r="H20" s="8"/>
      <c r="I20" s="8"/>
      <c r="J20" s="8"/>
      <c r="K20" s="8"/>
      <c r="L20" s="8"/>
      <c r="M20" s="8"/>
      <c r="N20" s="8"/>
      <c r="O20" s="8"/>
      <c r="P20" s="8"/>
      <c r="Q20" s="8"/>
    </row>
    <row r="21" spans="3:20">
      <c r="C21" t="s">
        <v>483</v>
      </c>
      <c r="F21" s="8"/>
      <c r="G21" s="8"/>
      <c r="H21" s="8"/>
      <c r="I21" s="8"/>
      <c r="J21" s="8"/>
      <c r="K21" s="8"/>
      <c r="L21" s="8"/>
      <c r="M21" s="8"/>
      <c r="N21" s="8"/>
      <c r="O21" s="8"/>
      <c r="P21" s="8"/>
      <c r="Q21" s="8"/>
    </row>
    <row r="22" spans="3:20">
      <c r="C22" t="s">
        <v>73</v>
      </c>
      <c r="F22" s="8">
        <f>627500+121500</f>
        <v>749000</v>
      </c>
      <c r="G22" s="8">
        <f>681800+122700</f>
        <v>804500</v>
      </c>
      <c r="H22" s="8">
        <v>905368</v>
      </c>
      <c r="I22" s="8">
        <v>958830</v>
      </c>
      <c r="J22" s="8">
        <v>1053977</v>
      </c>
      <c r="K22" s="8">
        <v>1008341</v>
      </c>
      <c r="L22" s="8">
        <v>1005825</v>
      </c>
      <c r="M22" s="8">
        <v>1015487</v>
      </c>
      <c r="N22" s="8">
        <v>1062601</v>
      </c>
      <c r="O22" s="8">
        <v>1047854</v>
      </c>
      <c r="P22" s="8">
        <v>462026</v>
      </c>
      <c r="Q22" s="8"/>
    </row>
    <row r="23" spans="3:20">
      <c r="C23" t="s">
        <v>53</v>
      </c>
      <c r="F23" s="8">
        <v>696000</v>
      </c>
      <c r="G23" s="8">
        <v>826200</v>
      </c>
      <c r="H23" s="8">
        <v>854437</v>
      </c>
      <c r="I23" s="8">
        <v>919968</v>
      </c>
      <c r="J23" s="8">
        <v>831531</v>
      </c>
      <c r="K23" s="8">
        <v>739669</v>
      </c>
      <c r="L23" s="8">
        <v>788641</v>
      </c>
      <c r="M23" s="8">
        <v>829877</v>
      </c>
      <c r="N23" s="8">
        <v>849234</v>
      </c>
      <c r="O23" s="8">
        <v>848853</v>
      </c>
      <c r="P23" s="8">
        <v>410373</v>
      </c>
      <c r="Q23" s="8"/>
    </row>
    <row r="24" spans="3:20">
      <c r="C24" t="s">
        <v>484</v>
      </c>
      <c r="F24" s="8"/>
      <c r="G24" s="8"/>
      <c r="H24" s="8"/>
      <c r="I24" s="8"/>
      <c r="J24" s="8"/>
      <c r="K24" s="8"/>
      <c r="L24" s="8"/>
      <c r="M24" s="8"/>
      <c r="N24" s="8"/>
      <c r="O24" s="8"/>
      <c r="P24" s="8"/>
      <c r="Q24" s="8"/>
    </row>
    <row r="25" spans="3:20">
      <c r="C25" t="s">
        <v>485</v>
      </c>
      <c r="F25" s="8"/>
      <c r="G25" s="8"/>
      <c r="H25" s="8"/>
      <c r="I25" s="8"/>
      <c r="J25" s="62"/>
      <c r="K25" s="8">
        <v>796405</v>
      </c>
      <c r="L25" s="8">
        <v>711600</v>
      </c>
      <c r="M25" s="8">
        <v>733700</v>
      </c>
      <c r="N25" s="8">
        <v>709634</v>
      </c>
      <c r="O25" s="8">
        <v>751066</v>
      </c>
      <c r="P25" s="8">
        <v>373978</v>
      </c>
      <c r="Q25" s="8"/>
    </row>
    <row r="26" spans="3:20">
      <c r="F26" s="8"/>
      <c r="G26" s="8"/>
      <c r="H26" s="8"/>
      <c r="I26" s="8"/>
      <c r="J26" s="8"/>
      <c r="K26" s="8"/>
      <c r="L26" s="8"/>
      <c r="M26" s="8"/>
      <c r="N26" s="8"/>
      <c r="O26" s="8"/>
      <c r="P26" s="8"/>
      <c r="Q26" s="8"/>
    </row>
    <row r="27" spans="3:20">
      <c r="C27" s="1" t="s">
        <v>492</v>
      </c>
      <c r="F27" s="8"/>
      <c r="G27" s="8"/>
      <c r="H27" s="8"/>
      <c r="I27" s="8"/>
      <c r="J27" s="8"/>
      <c r="K27" s="8"/>
      <c r="L27" s="8"/>
      <c r="M27" s="8"/>
      <c r="N27" s="8"/>
      <c r="O27" s="8"/>
      <c r="P27" s="8"/>
      <c r="Q27" s="8"/>
    </row>
    <row r="28" spans="3:20">
      <c r="C28" t="s">
        <v>483</v>
      </c>
      <c r="F28" s="8"/>
      <c r="G28" s="8"/>
      <c r="H28" s="8"/>
      <c r="I28" s="8"/>
      <c r="J28" s="8"/>
      <c r="K28" s="8"/>
      <c r="L28" s="8"/>
      <c r="M28" s="8"/>
      <c r="N28" s="8"/>
      <c r="O28" s="8"/>
      <c r="P28" s="8"/>
      <c r="Q28" s="8"/>
    </row>
    <row r="29" spans="3:20">
      <c r="C29" t="s">
        <v>73</v>
      </c>
      <c r="F29" s="8">
        <f>40200+95500+81800</f>
        <v>217500</v>
      </c>
      <c r="G29" s="8">
        <f>44900+93700+61900</f>
        <v>200500</v>
      </c>
      <c r="H29" s="8">
        <f>182902+66196</f>
        <v>249098</v>
      </c>
      <c r="I29" s="8">
        <f>148940+66979</f>
        <v>215919</v>
      </c>
      <c r="J29" s="8">
        <f>136857+117222</f>
        <v>254079</v>
      </c>
      <c r="K29" s="8">
        <f>171887+116799</f>
        <v>288686</v>
      </c>
      <c r="L29" s="8">
        <v>206900</v>
      </c>
      <c r="M29" s="8">
        <v>271810</v>
      </c>
      <c r="N29" s="8">
        <v>347589</v>
      </c>
      <c r="O29" s="8">
        <v>336099</v>
      </c>
      <c r="P29" s="8">
        <v>195564</v>
      </c>
      <c r="Q29" s="8"/>
    </row>
    <row r="30" spans="3:20">
      <c r="C30" t="s">
        <v>53</v>
      </c>
      <c r="F30" s="8">
        <f>47800+139900+132200</f>
        <v>319900</v>
      </c>
      <c r="G30" s="8">
        <f>40300+128300+114400</f>
        <v>283000</v>
      </c>
      <c r="H30" s="8">
        <f>167998+110302</f>
        <v>278300</v>
      </c>
      <c r="I30" s="8">
        <f>186968+80370</f>
        <v>267338</v>
      </c>
      <c r="J30" s="8">
        <f>228627+80587</f>
        <v>309214</v>
      </c>
      <c r="K30" s="8">
        <f>247136+79573</f>
        <v>326709</v>
      </c>
      <c r="L30" s="8">
        <v>258693</v>
      </c>
      <c r="M30" s="8">
        <v>276617</v>
      </c>
      <c r="N30" s="8">
        <v>379407</v>
      </c>
      <c r="O30" s="8">
        <v>389163</v>
      </c>
      <c r="P30" s="8">
        <v>155384</v>
      </c>
      <c r="Q30" s="8"/>
    </row>
    <row r="31" spans="3:20">
      <c r="C31" t="s">
        <v>484</v>
      </c>
      <c r="F31" s="8"/>
      <c r="G31" s="8"/>
      <c r="H31" s="8"/>
      <c r="I31" s="8"/>
      <c r="J31" s="8"/>
      <c r="K31" s="8">
        <v>510563</v>
      </c>
      <c r="L31" s="8">
        <v>519102</v>
      </c>
      <c r="M31" s="8">
        <v>544963</v>
      </c>
      <c r="N31" s="8">
        <v>555760</v>
      </c>
      <c r="O31" s="8">
        <v>557087</v>
      </c>
      <c r="P31" s="8">
        <v>288867</v>
      </c>
      <c r="Q31" s="8"/>
    </row>
    <row r="32" spans="3:20">
      <c r="C32" t="s">
        <v>485</v>
      </c>
      <c r="F32" s="8"/>
      <c r="G32" s="8"/>
      <c r="H32" s="8"/>
      <c r="I32" s="8"/>
      <c r="J32" s="8"/>
      <c r="K32" s="8">
        <v>77220</v>
      </c>
      <c r="L32" s="8">
        <v>90451</v>
      </c>
      <c r="M32" s="8">
        <v>177721</v>
      </c>
      <c r="N32" s="8">
        <v>149252</v>
      </c>
      <c r="O32" s="8">
        <v>152870</v>
      </c>
      <c r="P32" s="8">
        <v>88616</v>
      </c>
      <c r="Q32" s="8"/>
    </row>
    <row r="36" spans="3:16">
      <c r="F36" s="127">
        <v>44651</v>
      </c>
      <c r="P36" s="127">
        <v>44651</v>
      </c>
    </row>
    <row r="37" spans="3:16">
      <c r="C37" s="5" t="s">
        <v>162</v>
      </c>
      <c r="D37" s="116" t="s">
        <v>493</v>
      </c>
    </row>
    <row r="40" spans="3:16">
      <c r="C40" t="s">
        <v>494</v>
      </c>
    </row>
    <row r="41" spans="3:16">
      <c r="C41" t="s">
        <v>219</v>
      </c>
      <c r="F41">
        <f>250+1075+985+1292.1+537.5+520.1+100</f>
        <v>4759.7000000000007</v>
      </c>
      <c r="G41">
        <f>160+1391.5+550+1292.1+537.5+791.8+151.4</f>
        <v>4874.2999999999993</v>
      </c>
      <c r="H41">
        <f>172+980.5+1285+1292.1+537.5+1075+287.7+62.6</f>
        <v>5692.4000000000005</v>
      </c>
      <c r="I41">
        <f>90+553+1185+100+885+537.5+1075+287.7+62.6+1253</f>
        <v>6028.8</v>
      </c>
      <c r="J41">
        <f>95+511+1314.3+100+484.5+537.5+1075+287.7+62.6+2078.3+159.7</f>
        <v>6705.6</v>
      </c>
      <c r="K41">
        <v>6439.8</v>
      </c>
      <c r="L41">
        <v>6682.7</v>
      </c>
      <c r="M41">
        <v>7202.7</v>
      </c>
      <c r="N41">
        <v>7247.4</v>
      </c>
      <c r="O41">
        <v>7711</v>
      </c>
      <c r="P41">
        <v>8985.2000000000007</v>
      </c>
    </row>
    <row r="42" spans="3:16">
      <c r="C42" t="s">
        <v>495</v>
      </c>
      <c r="F42">
        <f>5197.3-131.3-423.4-29.3</f>
        <v>4613.3</v>
      </c>
      <c r="G42">
        <f>5362.6</f>
        <v>5362.6</v>
      </c>
      <c r="H42">
        <f>6203.4-206-462.3-13.4</f>
        <v>5521.7</v>
      </c>
      <c r="I42">
        <v>6069.2</v>
      </c>
      <c r="J42">
        <v>7216.1</v>
      </c>
      <c r="K42">
        <v>6897.7</v>
      </c>
      <c r="L42">
        <v>6665.3</v>
      </c>
      <c r="M42">
        <v>7565.1</v>
      </c>
      <c r="N42">
        <v>7946.4</v>
      </c>
      <c r="O42">
        <v>9280.7000000000007</v>
      </c>
      <c r="P42">
        <v>9187.2000000000007</v>
      </c>
    </row>
    <row r="44" spans="3:16">
      <c r="C44" t="s">
        <v>496</v>
      </c>
      <c r="F44" s="8">
        <f>'AST Bonds'!D93+'AST Bonds'!D94+'AST Bonds'!D95+'AST Bonds'!D96+'AST Bonds'!D97+'AST Bonds'!D98+'AST Bonds'!D99+'AST Bonds'!D101+'AST Bonds'!D102+'AST Bonds'!D106</f>
        <v>2879224472</v>
      </c>
      <c r="G44" s="8">
        <f>'AST Bonds'!D94+'AST Bonds'!D95+'AST Bonds'!D96+'AST Bonds'!D97+'AST Bonds'!D98+'AST Bonds'!D99+'AST Bonds'!D100+'AST Bonds'!D101+'AST Bonds'!D102+'AST Bonds'!D106+'AST Bonds'!D108+'AST Bonds'!D109</f>
        <v>3368803388</v>
      </c>
      <c r="H44" s="8">
        <f>'AST Bonds'!E54+'AST Bonds'!E55+'AST Bonds'!E63+'AST Bonds'!E64+'AST Bonds'!D94+'AST Bonds'!D95+'AST Bonds'!D96+'AST Bonds'!D97+'AST Bonds'!D98+'AST Bonds'!D99+'AST Bonds'!D100+'AST Bonds'!D101+'AST Bonds'!D102+'AST Bonds'!D103+'AST Bonds'!D104+'AST Bonds'!D105+'AST Bonds'!D106+'AST Bonds'!D108+'AST Bonds'!D109</f>
        <v>4701950924</v>
      </c>
      <c r="I44" s="8">
        <f>'AST Bonds'!E54+'AST Bonds'!E55+'AST Bonds'!E56+'AST Bonds'!E64+'AST Bonds'!D94+'AST Bonds'!D95+'AST Bonds'!D96+'AST Bonds'!D97+'AST Bonds'!D98+'AST Bonds'!D99+'AST Bonds'!D100+'AST Bonds'!D101+'AST Bonds'!D102+'AST Bonds'!D103+'AST Bonds'!D104+'AST Bonds'!D105+'AST Bonds'!D106+'AST Bonds'!D107+'AST Bonds'!D108+'AST Bonds'!D109</f>
        <v>5892611993</v>
      </c>
      <c r="J44" s="8">
        <f>'AST Bonds'!E54+'AST Bonds'!E55+'AST Bonds'!E56+'AST Bonds'!E57+'AST Bonds'!E60+'AST Bonds'!E63+'AST Bonds'!E64+'AST Bonds'!E69+'AST Bonds'!D95+'AST Bonds'!D96+'AST Bonds'!D97+'AST Bonds'!D98+'AST Bonds'!D99+'AST Bonds'!D100+'AST Bonds'!D101+'AST Bonds'!D102+'AST Bonds'!D103+'AST Bonds'!D104+'AST Bonds'!D105+'AST Bonds'!D106+'AST Bonds'!D107+'AST Bonds'!D108+'AST Bonds'!D109</f>
        <v>6646628255</v>
      </c>
      <c r="K44" s="8">
        <f>'AST Bonds'!E54+'AST Bonds'!E55+'AST Bonds'!E56+'AST Bonds'!E57+'AST Bonds'!E60+'AST Bonds'!E63+'AST Bonds'!E64+'AST Bonds'!E65+'AST Bonds'!E69+'AST Bonds'!D96+'AST Bonds'!D97+'AST Bonds'!D98+'AST Bonds'!D99+'AST Bonds'!D100+'AST Bonds'!D101+'AST Bonds'!D102+'AST Bonds'!D103+'AST Bonds'!D104+'AST Bonds'!D105+'AST Bonds'!D106+'AST Bonds'!D107+'AST Bonds'!D108+'AST Bonds'!D109+'AST Bonds'!D110+'AST Bonds'!D111</f>
        <v>6803677622</v>
      </c>
      <c r="L44" s="8">
        <f>'AST Bonds'!E54+'AST Bonds'!E55+'AST Bonds'!E56+'AST Bonds'!E57+'AST Bonds'!E58+'AST Bonds'!E59+'AST Bonds'!E60+'AST Bonds'!E61+'AST Bonds'!E62+'AST Bonds'!E63+'AST Bonds'!E64+'AST Bonds'!E65+'AST Bonds'!E69+'AST Bonds'!D101+'AST Bonds'!D102+'AST Bonds'!D103+'AST Bonds'!D104+'AST Bonds'!D105+'AST Bonds'!D106+'AST Bonds'!D107+'AST Bonds'!D108+'AST Bonds'!D109+'AST Bonds'!D110+'AST Bonds'!D111</f>
        <v>6519733782</v>
      </c>
      <c r="M44" s="8">
        <f>'AST Bonds'!E54+'AST Bonds'!E55+'AST Bonds'!E56+'AST Bonds'!E57+'AST Bonds'!E58+'AST Bonds'!E59+'AST Bonds'!E60+'AST Bonds'!E61+'AST Bonds'!E62+'AST Bonds'!E63+'AST Bonds'!E64+'AST Bonds'!E65+'AST Bonds'!E66+'AST Bonds'!E69+'AST Bonds'!E71+'AST Bonds'!E72+'AST Bonds'!E75+'AST Bonds'!E76+'AST Bonds'!D102+'AST Bonds'!D103+'AST Bonds'!D104+'AST Bonds'!D105+'AST Bonds'!D106+'AST Bonds'!D107+'AST Bonds'!D108+'AST Bonds'!D109+'AST Bonds'!D110+'AST Bonds'!D111</f>
        <v>7220271932</v>
      </c>
      <c r="N44" s="8">
        <f>SUM('AST Bonds'!E54:E69)+'AST Bonds'!E71+'AST Bonds'!E72+'AST Bonds'!E75+'AST Bonds'!E76+'AST Bonds'!E80+'AST Bonds'!E81+'AST Bonds'!D103+'AST Bonds'!D104+'AST Bonds'!D105+'AST Bonds'!D106+'AST Bonds'!D107+'AST Bonds'!D108+'AST Bonds'!D109+'AST Bonds'!D110+'AST Bonds'!D111</f>
        <v>7199017280</v>
      </c>
      <c r="O44" s="8">
        <f>SUM('AST Bonds'!E54:E72)+'AST Bonds'!E74+'AST Bonds'!E75+'AST Bonds'!E76+'AST Bonds'!E80+'AST Bonds'!E81+SUM('AST Bonds'!D107:D111)</f>
        <v>7361579096</v>
      </c>
      <c r="P44">
        <f>SUM('AST Bonds'!E54:E83)+SUM('AST Bonds'!D109:D111)</f>
        <v>8408078418</v>
      </c>
    </row>
    <row r="45" spans="3:16">
      <c r="C45" t="s">
        <v>44</v>
      </c>
      <c r="F45" s="64">
        <f t="shared" ref="F45:P45" si="1">F41*1000000-F44</f>
        <v>1880475528.000001</v>
      </c>
      <c r="G45" s="64">
        <f t="shared" si="1"/>
        <v>1505496611.999999</v>
      </c>
      <c r="H45" s="64">
        <f t="shared" si="1"/>
        <v>990449076.00000095</v>
      </c>
      <c r="I45" s="64">
        <f t="shared" si="1"/>
        <v>136188007</v>
      </c>
      <c r="J45" s="64">
        <f t="shared" si="1"/>
        <v>58971745</v>
      </c>
      <c r="K45" s="64">
        <f t="shared" si="1"/>
        <v>-363877622</v>
      </c>
      <c r="L45" s="64">
        <f t="shared" si="1"/>
        <v>162966218</v>
      </c>
      <c r="M45" s="64">
        <f t="shared" si="1"/>
        <v>-17571932</v>
      </c>
      <c r="N45" s="64">
        <f t="shared" si="1"/>
        <v>48382720</v>
      </c>
      <c r="O45" s="64">
        <f t="shared" si="1"/>
        <v>349420904</v>
      </c>
      <c r="P45" s="64">
        <f t="shared" si="1"/>
        <v>577121582</v>
      </c>
    </row>
    <row r="46" spans="3:16">
      <c r="F46" s="64"/>
    </row>
    <row r="47" spans="3:16">
      <c r="C47" t="s">
        <v>497</v>
      </c>
      <c r="N47" s="8">
        <f>O47</f>
        <v>700000000</v>
      </c>
      <c r="O47" s="8">
        <f>'AST Bonds'!C115+'AST Bonds'!C116+'AST Bonds'!C117</f>
        <v>700000000</v>
      </c>
      <c r="P47" s="8">
        <f>O47+'AST Bonds'!C121+'AST Bonds'!C122+'AST Bonds'!C123</f>
        <v>1200000000</v>
      </c>
    </row>
    <row r="49" spans="3:16">
      <c r="F49" s="127">
        <v>44742</v>
      </c>
    </row>
    <row r="50" spans="3:16">
      <c r="F50" s="64">
        <f>0.75*F45+0.25*G45</f>
        <v>1786730799.0000005</v>
      </c>
      <c r="G50" s="64">
        <f t="shared" ref="G50:P50" si="2">0.75*G45+0.25*H45</f>
        <v>1376734727.9999995</v>
      </c>
      <c r="H50" s="64">
        <f t="shared" si="2"/>
        <v>776883808.75000072</v>
      </c>
      <c r="I50" s="64">
        <f t="shared" si="2"/>
        <v>116883941.5</v>
      </c>
      <c r="J50" s="64">
        <f t="shared" si="2"/>
        <v>-46740596.75</v>
      </c>
      <c r="K50" s="64">
        <f t="shared" si="2"/>
        <v>-232166662</v>
      </c>
      <c r="L50" s="64">
        <f t="shared" si="2"/>
        <v>117831680.5</v>
      </c>
      <c r="M50" s="64">
        <f t="shared" si="2"/>
        <v>-1083269</v>
      </c>
      <c r="N50" s="64">
        <f t="shared" si="2"/>
        <v>123642266</v>
      </c>
      <c r="O50" s="64">
        <f t="shared" si="2"/>
        <v>406346073.5</v>
      </c>
      <c r="P50" s="64">
        <f t="shared" si="2"/>
        <v>432841186.5</v>
      </c>
    </row>
    <row r="54" spans="3:16">
      <c r="C54" t="s">
        <v>498</v>
      </c>
    </row>
    <row r="55" spans="3:16">
      <c r="C55" t="s">
        <v>205</v>
      </c>
      <c r="F55">
        <f>18.3+33.4+12.3</f>
        <v>64</v>
      </c>
      <c r="G55">
        <f>31.9+3.2</f>
        <v>35.1</v>
      </c>
      <c r="H55">
        <f>27.2+4.1</f>
        <v>31.299999999999997</v>
      </c>
      <c r="I55">
        <f>25.8+5.4</f>
        <v>31.200000000000003</v>
      </c>
      <c r="J55">
        <f>33.3+7.3</f>
        <v>40.599999999999994</v>
      </c>
      <c r="K55">
        <f>31+3.7</f>
        <v>34.700000000000003</v>
      </c>
      <c r="L55">
        <f>28.8+13.5</f>
        <v>42.3</v>
      </c>
      <c r="M55">
        <f>48.1+10.3</f>
        <v>58.400000000000006</v>
      </c>
      <c r="N55">
        <f>70.2+11.6</f>
        <v>81.8</v>
      </c>
      <c r="O55">
        <f>91.2+18.6</f>
        <v>109.80000000000001</v>
      </c>
      <c r="P55">
        <f>68.5+4.7</f>
        <v>73.2</v>
      </c>
    </row>
    <row r="56" spans="3:16">
      <c r="C56" t="s">
        <v>206</v>
      </c>
      <c r="F56">
        <f>3.3+3.4+0.8</f>
        <v>7.4999999999999991</v>
      </c>
      <c r="G56">
        <f>4.4+0.1</f>
        <v>4.5</v>
      </c>
      <c r="H56">
        <f>4.4+0.3</f>
        <v>4.7</v>
      </c>
      <c r="I56">
        <f>25.6+0.6</f>
        <v>26.200000000000003</v>
      </c>
      <c r="J56">
        <f>12.3+0.9</f>
        <v>13.200000000000001</v>
      </c>
      <c r="K56">
        <f>5+3.6</f>
        <v>8.6</v>
      </c>
      <c r="L56">
        <f>6+2.7</f>
        <v>8.6999999999999993</v>
      </c>
      <c r="M56">
        <f>11+0.6</f>
        <v>11.6</v>
      </c>
      <c r="N56">
        <f>7.4+5.3</f>
        <v>12.7</v>
      </c>
      <c r="O56">
        <f>8.5+1.7</f>
        <v>10.199999999999999</v>
      </c>
      <c r="P56">
        <f>8.9+1.4</f>
        <v>10.3</v>
      </c>
    </row>
    <row r="57" spans="3:16">
      <c r="C57" t="s">
        <v>201</v>
      </c>
      <c r="F57">
        <f>27.7+0.2+15.3</f>
        <v>43.2</v>
      </c>
      <c r="G57">
        <f>0.6+22.3</f>
        <v>22.900000000000002</v>
      </c>
      <c r="H57">
        <f>2.7+28.1</f>
        <v>30.8</v>
      </c>
      <c r="I57">
        <f>11.7+22.9</f>
        <v>34.599999999999994</v>
      </c>
      <c r="J57">
        <f>12.7+23.2</f>
        <v>35.9</v>
      </c>
      <c r="K57">
        <f>3</f>
        <v>3</v>
      </c>
      <c r="L57">
        <f>1.5</f>
        <v>1.5</v>
      </c>
      <c r="M57">
        <f>73.5+4.4</f>
        <v>77.900000000000006</v>
      </c>
      <c r="N57">
        <f>73.5+4.4</f>
        <v>77.900000000000006</v>
      </c>
      <c r="O57">
        <f>29.6+1.5</f>
        <v>31.1</v>
      </c>
      <c r="P57">
        <f>29.6+1.9</f>
        <v>31.5</v>
      </c>
    </row>
    <row r="59" spans="3:16">
      <c r="C59" t="s">
        <v>89</v>
      </c>
      <c r="F59">
        <f>F55+F56+F57</f>
        <v>114.7</v>
      </c>
      <c r="G59">
        <f t="shared" ref="G59:P59" si="3">G55+G56+G57</f>
        <v>62.5</v>
      </c>
      <c r="H59">
        <f t="shared" si="3"/>
        <v>66.8</v>
      </c>
      <c r="I59">
        <f t="shared" si="3"/>
        <v>92</v>
      </c>
      <c r="J59">
        <f t="shared" si="3"/>
        <v>89.699999999999989</v>
      </c>
      <c r="K59">
        <f t="shared" si="3"/>
        <v>46.300000000000004</v>
      </c>
      <c r="L59">
        <f t="shared" si="3"/>
        <v>52.5</v>
      </c>
      <c r="M59">
        <f t="shared" si="3"/>
        <v>147.9</v>
      </c>
      <c r="N59">
        <f t="shared" si="3"/>
        <v>172.4</v>
      </c>
      <c r="O59">
        <f t="shared" si="3"/>
        <v>151.10000000000002</v>
      </c>
      <c r="P59">
        <f t="shared" si="3"/>
        <v>115</v>
      </c>
    </row>
    <row r="65" spans="3:16">
      <c r="C65" s="1" t="s">
        <v>499</v>
      </c>
    </row>
    <row r="66" spans="3:16">
      <c r="C66" t="s">
        <v>41</v>
      </c>
      <c r="F66">
        <v>84</v>
      </c>
      <c r="G66">
        <v>80.5</v>
      </c>
      <c r="H66">
        <v>80.3</v>
      </c>
      <c r="I66">
        <v>79.5</v>
      </c>
      <c r="J66">
        <v>73.8</v>
      </c>
      <c r="K66">
        <v>72.400000000000006</v>
      </c>
      <c r="L66">
        <v>71</v>
      </c>
      <c r="M66">
        <v>71.5</v>
      </c>
      <c r="N66">
        <v>70.900000000000006</v>
      </c>
      <c r="O66">
        <v>72.3</v>
      </c>
      <c r="P66">
        <v>71.900000000000006</v>
      </c>
    </row>
    <row r="67" spans="3:16">
      <c r="C67" t="s">
        <v>42</v>
      </c>
      <c r="F67">
        <v>78.400000000000006</v>
      </c>
      <c r="G67">
        <v>78.599999999999994</v>
      </c>
      <c r="H67">
        <v>76.2</v>
      </c>
      <c r="I67">
        <v>74.2</v>
      </c>
      <c r="J67">
        <v>71.900000000000006</v>
      </c>
      <c r="K67">
        <v>71.400000000000006</v>
      </c>
      <c r="L67">
        <v>73.099999999999994</v>
      </c>
      <c r="M67">
        <v>75</v>
      </c>
      <c r="N67">
        <v>74.5</v>
      </c>
      <c r="O67">
        <v>73.900000000000006</v>
      </c>
      <c r="P67">
        <v>72.7</v>
      </c>
    </row>
    <row r="68" spans="3:16">
      <c r="C68" t="s">
        <v>500</v>
      </c>
      <c r="K68">
        <v>85</v>
      </c>
      <c r="L68">
        <v>81.5</v>
      </c>
      <c r="M68">
        <v>80.7</v>
      </c>
      <c r="N68">
        <v>80.2</v>
      </c>
      <c r="O68">
        <v>80.7</v>
      </c>
      <c r="P68">
        <v>76.900000000000006</v>
      </c>
    </row>
    <row r="70" spans="3:16">
      <c r="C70" s="1" t="s">
        <v>26</v>
      </c>
    </row>
    <row r="71" spans="3:16">
      <c r="C71" t="s">
        <v>41</v>
      </c>
      <c r="F71">
        <v>4051</v>
      </c>
      <c r="G71">
        <v>4572</v>
      </c>
      <c r="H71">
        <v>4932</v>
      </c>
      <c r="I71">
        <v>5167</v>
      </c>
      <c r="J71">
        <v>5547</v>
      </c>
      <c r="K71">
        <v>5734</v>
      </c>
      <c r="L71">
        <v>5897</v>
      </c>
      <c r="M71">
        <v>6109</v>
      </c>
      <c r="N71">
        <v>6339</v>
      </c>
      <c r="O71">
        <v>6635</v>
      </c>
      <c r="P71">
        <v>6858</v>
      </c>
    </row>
    <row r="72" spans="3:16">
      <c r="C72" t="s">
        <v>42</v>
      </c>
      <c r="F72">
        <v>3317</v>
      </c>
      <c r="G72">
        <v>3509</v>
      </c>
      <c r="H72">
        <v>3686</v>
      </c>
      <c r="I72">
        <v>3862</v>
      </c>
      <c r="J72">
        <v>3929</v>
      </c>
      <c r="K72">
        <v>3953</v>
      </c>
      <c r="L72">
        <v>4052</v>
      </c>
      <c r="M72">
        <v>4207</v>
      </c>
      <c r="N72">
        <v>4340</v>
      </c>
      <c r="O72">
        <v>4395</v>
      </c>
      <c r="P72">
        <v>4410</v>
      </c>
    </row>
    <row r="73" spans="3:16">
      <c r="C73" t="s">
        <v>500</v>
      </c>
      <c r="K73">
        <v>6533</v>
      </c>
      <c r="L73">
        <v>6697</v>
      </c>
      <c r="M73">
        <v>6823</v>
      </c>
      <c r="N73">
        <v>7126</v>
      </c>
      <c r="O73">
        <v>7517</v>
      </c>
      <c r="P73">
        <v>8049</v>
      </c>
    </row>
    <row r="75" spans="3:16">
      <c r="C75" t="s">
        <v>501</v>
      </c>
    </row>
    <row r="76" spans="3:16">
      <c r="C76" t="s">
        <v>41</v>
      </c>
      <c r="F76" s="8">
        <f t="shared" ref="F76:G76" si="4">(F66/100)*F71*1000000</f>
        <v>3402839999.9999995</v>
      </c>
      <c r="G76" s="8">
        <f t="shared" si="4"/>
        <v>3680460000</v>
      </c>
      <c r="H76" s="8">
        <f t="shared" ref="H76" si="5">(H66/100)*H71*1000000</f>
        <v>3960395999.9999995</v>
      </c>
      <c r="I76" s="8">
        <f t="shared" ref="I76:J76" si="6">(I66/100)*I71*1000000</f>
        <v>4107765000.0000005</v>
      </c>
      <c r="J76" s="8">
        <f t="shared" si="6"/>
        <v>4093686000</v>
      </c>
      <c r="K76" s="8">
        <f>(K66/100)*K71*1000000</f>
        <v>4151416000</v>
      </c>
      <c r="L76" s="8">
        <f t="shared" ref="L76:O78" si="7">(L66/100)*L71*1000000</f>
        <v>4186870000</v>
      </c>
      <c r="M76" s="8">
        <f t="shared" si="7"/>
        <v>4367934999.999999</v>
      </c>
      <c r="N76" s="8">
        <f t="shared" si="7"/>
        <v>4494351000.000001</v>
      </c>
      <c r="O76" s="8">
        <f t="shared" si="7"/>
        <v>4797105000</v>
      </c>
      <c r="P76" s="8">
        <f t="shared" ref="P76" si="8">(P66/100)*P71*1000000</f>
        <v>4930902000.000001</v>
      </c>
    </row>
    <row r="77" spans="3:16">
      <c r="C77" t="s">
        <v>42</v>
      </c>
      <c r="F77" s="8">
        <f t="shared" ref="F77:G77" si="9">(F67/100)*F72*1000000</f>
        <v>2600528000.0000005</v>
      </c>
      <c r="G77" s="8">
        <f t="shared" si="9"/>
        <v>2758073999.9999995</v>
      </c>
      <c r="H77" s="8">
        <f t="shared" ref="H77" si="10">(H67/100)*H72*1000000</f>
        <v>2808732000</v>
      </c>
      <c r="I77" s="8">
        <f t="shared" ref="I77:J77" si="11">(I67/100)*I72*1000000</f>
        <v>2865604000</v>
      </c>
      <c r="J77" s="8">
        <f t="shared" si="11"/>
        <v>2824951000.0000005</v>
      </c>
      <c r="K77" s="8">
        <f>(K67/100)*K72*1000000</f>
        <v>2822442000.0000005</v>
      </c>
      <c r="L77" s="8">
        <f t="shared" si="7"/>
        <v>2962011999.9999995</v>
      </c>
      <c r="M77" s="8">
        <f t="shared" si="7"/>
        <v>3155250000</v>
      </c>
      <c r="N77" s="8">
        <f t="shared" si="7"/>
        <v>3233300000</v>
      </c>
      <c r="O77" s="8">
        <f t="shared" si="7"/>
        <v>3247905000.0000005</v>
      </c>
      <c r="P77" s="8">
        <f t="shared" ref="P77" si="12">(P67/100)*P72*1000000</f>
        <v>3206069999.9999995</v>
      </c>
    </row>
    <row r="78" spans="3:16">
      <c r="C78" t="s">
        <v>43</v>
      </c>
      <c r="K78" s="8">
        <f>(K68/100)*K73*1000000</f>
        <v>5553050000</v>
      </c>
      <c r="L78" s="8">
        <f t="shared" si="7"/>
        <v>5458054999.999999</v>
      </c>
      <c r="M78" s="8">
        <f t="shared" si="7"/>
        <v>5506161000</v>
      </c>
      <c r="N78" s="8">
        <f t="shared" si="7"/>
        <v>5715052000.000001</v>
      </c>
      <c r="O78" s="8">
        <f t="shared" si="7"/>
        <v>6066219000</v>
      </c>
      <c r="P78" s="8">
        <f t="shared" ref="P78" si="13">(P68/100)*P73*1000000</f>
        <v>6189681000.000001</v>
      </c>
    </row>
    <row r="85" spans="3:11">
      <c r="C85" s="5" t="s">
        <v>83</v>
      </c>
      <c r="D85" s="116" t="s">
        <v>493</v>
      </c>
      <c r="F85" s="127">
        <v>44742</v>
      </c>
      <c r="I85">
        <v>0.14099999999999999</v>
      </c>
      <c r="J85">
        <v>0.124</v>
      </c>
    </row>
    <row r="86" spans="3:11">
      <c r="I86">
        <f>I85*I89</f>
        <v>0.1128</v>
      </c>
      <c r="J86">
        <f>J85*J89</f>
        <v>9.920000000000001E-2</v>
      </c>
    </row>
    <row r="87" spans="3:11">
      <c r="C87" s="1" t="s">
        <v>502</v>
      </c>
      <c r="I87">
        <f>I85*I103</f>
        <v>9.305999999999999E-2</v>
      </c>
      <c r="J87">
        <f>J85*J103</f>
        <v>8.184000000000001E-2</v>
      </c>
    </row>
    <row r="89" spans="3:11">
      <c r="C89" t="s">
        <v>57</v>
      </c>
      <c r="H89">
        <v>0.8</v>
      </c>
      <c r="I89">
        <v>0.8</v>
      </c>
      <c r="J89">
        <v>0.8</v>
      </c>
      <c r="K89">
        <v>1</v>
      </c>
    </row>
    <row r="90" spans="3:11">
      <c r="C90" t="s">
        <v>26</v>
      </c>
      <c r="H90">
        <v>3595</v>
      </c>
      <c r="I90">
        <v>3581</v>
      </c>
      <c r="J90">
        <v>3615</v>
      </c>
    </row>
    <row r="91" spans="3:11">
      <c r="C91" t="s">
        <v>503</v>
      </c>
      <c r="H91">
        <v>418</v>
      </c>
      <c r="I91">
        <v>415</v>
      </c>
      <c r="J91">
        <v>381.1</v>
      </c>
      <c r="K91">
        <v>375.7</v>
      </c>
    </row>
    <row r="92" spans="3:11">
      <c r="C92" t="s">
        <v>504</v>
      </c>
      <c r="H92">
        <v>449</v>
      </c>
      <c r="I92">
        <v>429</v>
      </c>
      <c r="J92">
        <v>396.7</v>
      </c>
      <c r="K92">
        <v>382</v>
      </c>
    </row>
    <row r="94" spans="3:11">
      <c r="C94" s="1" t="s">
        <v>505</v>
      </c>
    </row>
    <row r="96" spans="3:11">
      <c r="C96" t="s">
        <v>57</v>
      </c>
      <c r="H96">
        <v>1</v>
      </c>
      <c r="I96">
        <v>1</v>
      </c>
      <c r="J96">
        <v>1</v>
      </c>
      <c r="K96">
        <v>1</v>
      </c>
    </row>
    <row r="97" spans="3:11">
      <c r="C97" t="s">
        <v>503</v>
      </c>
      <c r="H97">
        <v>0.5</v>
      </c>
      <c r="I97">
        <v>0.7</v>
      </c>
      <c r="J97">
        <v>13</v>
      </c>
      <c r="K97">
        <v>33.6</v>
      </c>
    </row>
    <row r="98" spans="3:11">
      <c r="C98" t="s">
        <v>504</v>
      </c>
      <c r="H98">
        <v>4.4000000000000004</v>
      </c>
      <c r="I98">
        <v>3.2</v>
      </c>
      <c r="J98">
        <v>12.7</v>
      </c>
      <c r="K98">
        <v>36.6</v>
      </c>
    </row>
    <row r="101" spans="3:11">
      <c r="C101" s="1" t="s">
        <v>506</v>
      </c>
    </row>
    <row r="103" spans="3:11">
      <c r="C103" t="s">
        <v>57</v>
      </c>
      <c r="H103">
        <v>0.66</v>
      </c>
      <c r="I103">
        <v>0.66</v>
      </c>
      <c r="J103">
        <v>0.66</v>
      </c>
      <c r="K103">
        <v>0.66</v>
      </c>
    </row>
    <row r="104" spans="3:11">
      <c r="C104" t="s">
        <v>26</v>
      </c>
      <c r="H104">
        <v>1999</v>
      </c>
      <c r="I104">
        <v>2170.5</v>
      </c>
      <c r="J104">
        <v>2255.4</v>
      </c>
      <c r="K104">
        <v>2356.9</v>
      </c>
    </row>
    <row r="105" spans="3:11">
      <c r="C105" t="s">
        <v>507</v>
      </c>
      <c r="H105">
        <v>335</v>
      </c>
      <c r="I105">
        <v>358</v>
      </c>
      <c r="J105">
        <v>381.2</v>
      </c>
      <c r="K105">
        <v>389.8</v>
      </c>
    </row>
    <row r="106" spans="3:11">
      <c r="C106" t="s">
        <v>504</v>
      </c>
      <c r="H106">
        <v>467</v>
      </c>
      <c r="I106">
        <v>480</v>
      </c>
      <c r="J106">
        <v>509.7</v>
      </c>
      <c r="K106">
        <v>534.9</v>
      </c>
    </row>
    <row r="108" spans="3:11">
      <c r="C108" s="1" t="s">
        <v>508</v>
      </c>
    </row>
    <row r="110" spans="3:11">
      <c r="C110" t="s">
        <v>57</v>
      </c>
      <c r="H110">
        <v>1</v>
      </c>
      <c r="I110">
        <v>1</v>
      </c>
      <c r="J110">
        <v>1</v>
      </c>
      <c r="K110">
        <v>1</v>
      </c>
    </row>
    <row r="111" spans="3:11">
      <c r="C111" t="s">
        <v>26</v>
      </c>
      <c r="H111">
        <v>1095.5</v>
      </c>
      <c r="I111">
        <v>1122.8</v>
      </c>
      <c r="J111">
        <v>1141.2</v>
      </c>
      <c r="K111">
        <v>1157.8</v>
      </c>
    </row>
    <row r="112" spans="3:11">
      <c r="C112" t="s">
        <v>507</v>
      </c>
      <c r="H112">
        <v>189</v>
      </c>
      <c r="I112">
        <v>170</v>
      </c>
      <c r="J112">
        <v>175.1</v>
      </c>
      <c r="K112">
        <v>183</v>
      </c>
    </row>
    <row r="113" spans="3:11">
      <c r="C113" t="s">
        <v>504</v>
      </c>
      <c r="H113">
        <v>198</v>
      </c>
      <c r="I113">
        <v>182</v>
      </c>
      <c r="J113">
        <v>184.1</v>
      </c>
      <c r="K113">
        <v>202.5</v>
      </c>
    </row>
    <row r="115" spans="3:11">
      <c r="C115" s="1" t="s">
        <v>454</v>
      </c>
    </row>
    <row r="116" spans="3:11">
      <c r="C116" t="s">
        <v>509</v>
      </c>
    </row>
    <row r="117" spans="3:11">
      <c r="C117" t="s">
        <v>510</v>
      </c>
    </row>
    <row r="118" spans="3:11">
      <c r="C118" t="s">
        <v>511</v>
      </c>
    </row>
    <row r="120" spans="3:11">
      <c r="C120" s="1" t="s">
        <v>512</v>
      </c>
    </row>
    <row r="121" spans="3:11">
      <c r="C121" t="s">
        <v>513</v>
      </c>
      <c r="H121">
        <f>20000+42000+1040000+964923</f>
        <v>2066923</v>
      </c>
      <c r="I121">
        <f>75000+1015072+992423</f>
        <v>2082495</v>
      </c>
      <c r="J121">
        <f>(10000+13500+791000+1154000)</f>
        <v>1968500</v>
      </c>
      <c r="K121">
        <f>(237570+19453+1465425+1414500)</f>
        <v>3136948</v>
      </c>
    </row>
    <row r="122" spans="3:11">
      <c r="C122" t="s">
        <v>514</v>
      </c>
      <c r="H122">
        <f>1465500+1985032</f>
        <v>3450532</v>
      </c>
      <c r="I122">
        <f>573759+1465500+1384410</f>
        <v>3423669</v>
      </c>
      <c r="J122">
        <f>1066315+1025000+1479425</f>
        <v>3570740</v>
      </c>
      <c r="K122">
        <f>275000+267739+875000+1520054</f>
        <v>2937793</v>
      </c>
    </row>
    <row r="123" spans="3:11">
      <c r="C123" t="s">
        <v>515</v>
      </c>
      <c r="H123">
        <f>844-220+178587+19953-44722</f>
        <v>154442</v>
      </c>
      <c r="I123">
        <f>-299+178569+19095-35867</f>
        <v>161498</v>
      </c>
      <c r="J123">
        <f>(911-426+201180+18183+218-28522)</f>
        <v>191544</v>
      </c>
      <c r="K123">
        <f>(950-2457+201180+17233+511-28808)</f>
        <v>188609</v>
      </c>
    </row>
    <row r="124" spans="3:11">
      <c r="H124">
        <f>SUM(H121:H123)</f>
        <v>5671897</v>
      </c>
      <c r="I124">
        <f>SUM(I121:I123)</f>
        <v>5667662</v>
      </c>
      <c r="J124">
        <f>SUM(J121:J123)</f>
        <v>5730784</v>
      </c>
      <c r="K124">
        <f>SUM(K121:K123)</f>
        <v>6263350</v>
      </c>
    </row>
  </sheetData>
  <pageMargins left="0.7" right="0.7" top="0.75" bottom="0.75" header="0.3" footer="0.3"/>
  <pageSetup orientation="portrait" horizontalDpi="200" verticalDpi="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1BDD95-B5BC-45E4-B265-E2757CDEC5E8}">
  <sheetPr codeName="Sheet14">
    <tabColor theme="0" tint="-0.249977111117893"/>
  </sheetPr>
  <dimension ref="A1:AG90"/>
  <sheetViews>
    <sheetView showGridLines="0" workbookViewId="0">
      <selection activeCell="I33" sqref="I33"/>
    </sheetView>
  </sheetViews>
  <sheetFormatPr defaultRowHeight="14.25"/>
  <sheetData>
    <row r="1" spans="1:33">
      <c r="A1" s="9" t="s">
        <v>1402</v>
      </c>
    </row>
    <row r="3" spans="1:33">
      <c r="A3" s="10" t="s">
        <v>72</v>
      </c>
    </row>
    <row r="4" spans="1:33">
      <c r="A4" s="10" t="s">
        <v>1403</v>
      </c>
    </row>
    <row r="5" spans="1:33">
      <c r="A5" s="217" t="s">
        <v>1404</v>
      </c>
      <c r="B5" s="217"/>
      <c r="C5" s="11">
        <v>2021</v>
      </c>
      <c r="D5" s="216">
        <v>2020</v>
      </c>
      <c r="E5" s="216"/>
      <c r="F5" s="216">
        <v>2019</v>
      </c>
      <c r="G5" s="216"/>
      <c r="H5" s="216">
        <v>2018</v>
      </c>
      <c r="I5" s="216"/>
      <c r="J5" s="216">
        <v>2017</v>
      </c>
      <c r="K5" s="216"/>
      <c r="L5" s="216">
        <v>2016</v>
      </c>
      <c r="M5" s="216"/>
      <c r="N5" s="216">
        <v>2015</v>
      </c>
      <c r="O5" s="216"/>
      <c r="P5" s="216">
        <v>2014</v>
      </c>
      <c r="Q5" s="216"/>
      <c r="R5" s="216">
        <v>2013</v>
      </c>
      <c r="S5" s="216"/>
      <c r="T5" s="216">
        <v>2012</v>
      </c>
      <c r="U5" s="216"/>
      <c r="V5" s="216">
        <v>2011</v>
      </c>
      <c r="W5" s="216"/>
      <c r="X5" s="216">
        <v>2010</v>
      </c>
      <c r="Y5" s="216"/>
      <c r="Z5" s="216">
        <v>2009</v>
      </c>
      <c r="AA5" s="216"/>
      <c r="AB5" s="216">
        <v>2008</v>
      </c>
      <c r="AC5" s="216"/>
      <c r="AD5" s="216">
        <v>2007</v>
      </c>
      <c r="AE5" s="216"/>
      <c r="AF5" s="216">
        <v>2006</v>
      </c>
      <c r="AG5" s="216"/>
    </row>
    <row r="6" spans="1:33">
      <c r="A6" s="215"/>
      <c r="B6" s="215"/>
      <c r="C6" s="12" t="s">
        <v>1405</v>
      </c>
      <c r="D6" s="13" t="s">
        <v>1406</v>
      </c>
      <c r="E6" s="13" t="s">
        <v>1407</v>
      </c>
      <c r="F6" s="12" t="s">
        <v>1408</v>
      </c>
      <c r="G6" s="12" t="s">
        <v>1409</v>
      </c>
      <c r="H6" s="13" t="s">
        <v>1410</v>
      </c>
      <c r="I6" s="13" t="s">
        <v>1411</v>
      </c>
      <c r="J6" s="12" t="s">
        <v>1412</v>
      </c>
      <c r="K6" s="12" t="s">
        <v>1413</v>
      </c>
      <c r="L6" s="13" t="s">
        <v>1414</v>
      </c>
      <c r="M6" s="13" t="s">
        <v>1415</v>
      </c>
      <c r="N6" s="12" t="s">
        <v>1416</v>
      </c>
      <c r="O6" s="12" t="s">
        <v>1417</v>
      </c>
      <c r="P6" s="13" t="s">
        <v>1418</v>
      </c>
      <c r="Q6" s="13" t="s">
        <v>1419</v>
      </c>
      <c r="R6" s="12" t="s">
        <v>1420</v>
      </c>
      <c r="S6" s="12" t="s">
        <v>1421</v>
      </c>
      <c r="T6" s="13" t="s">
        <v>1422</v>
      </c>
      <c r="U6" s="13" t="s">
        <v>1423</v>
      </c>
      <c r="V6" s="12" t="s">
        <v>1424</v>
      </c>
      <c r="W6" s="12" t="s">
        <v>1425</v>
      </c>
      <c r="X6" s="13" t="s">
        <v>1426</v>
      </c>
      <c r="Y6" s="13" t="s">
        <v>1427</v>
      </c>
      <c r="Z6" s="12" t="s">
        <v>1428</v>
      </c>
      <c r="AA6" s="12" t="s">
        <v>1429</v>
      </c>
      <c r="AB6" s="13" t="s">
        <v>1430</v>
      </c>
      <c r="AC6" s="13" t="s">
        <v>1431</v>
      </c>
      <c r="AD6" s="12" t="s">
        <v>1432</v>
      </c>
      <c r="AE6" s="12" t="s">
        <v>1433</v>
      </c>
      <c r="AF6" s="13" t="s">
        <v>1434</v>
      </c>
      <c r="AG6" s="13" t="s">
        <v>1435</v>
      </c>
    </row>
    <row r="7" spans="1:33">
      <c r="A7" s="13"/>
      <c r="B7" s="14" t="s">
        <v>579</v>
      </c>
      <c r="C7" s="13" t="s">
        <v>1436</v>
      </c>
      <c r="D7" s="12" t="s">
        <v>1437</v>
      </c>
      <c r="E7" s="12" t="s">
        <v>1438</v>
      </c>
      <c r="F7" s="13" t="s">
        <v>1439</v>
      </c>
      <c r="G7" s="13" t="s">
        <v>1440</v>
      </c>
      <c r="H7" s="12" t="s">
        <v>1441</v>
      </c>
      <c r="I7" s="12" t="s">
        <v>1442</v>
      </c>
      <c r="J7" s="13" t="s">
        <v>1443</v>
      </c>
      <c r="K7" s="13" t="s">
        <v>1444</v>
      </c>
      <c r="L7" s="12" t="s">
        <v>1445</v>
      </c>
      <c r="M7" s="12" t="s">
        <v>1446</v>
      </c>
      <c r="N7" s="13" t="s">
        <v>1447</v>
      </c>
      <c r="O7" s="13" t="s">
        <v>1448</v>
      </c>
      <c r="P7" s="12" t="s">
        <v>1449</v>
      </c>
      <c r="Q7" s="12" t="s">
        <v>1450</v>
      </c>
      <c r="R7" s="13" t="s">
        <v>1451</v>
      </c>
      <c r="S7" s="13" t="s">
        <v>1452</v>
      </c>
      <c r="T7" s="12" t="s">
        <v>1453</v>
      </c>
      <c r="U7" s="12" t="s">
        <v>1454</v>
      </c>
      <c r="V7" s="13" t="s">
        <v>1455</v>
      </c>
      <c r="W7" s="13" t="s">
        <v>1456</v>
      </c>
      <c r="X7" s="12" t="s">
        <v>1457</v>
      </c>
      <c r="Y7" s="12" t="s">
        <v>1458</v>
      </c>
      <c r="Z7" s="13" t="s">
        <v>1459</v>
      </c>
      <c r="AA7" s="13" t="s">
        <v>1460</v>
      </c>
      <c r="AB7" s="12" t="s">
        <v>1461</v>
      </c>
      <c r="AC7" s="12" t="s">
        <v>1462</v>
      </c>
      <c r="AD7" s="13" t="s">
        <v>1463</v>
      </c>
      <c r="AE7" s="13" t="s">
        <v>1464</v>
      </c>
      <c r="AF7" s="12" t="s">
        <v>1465</v>
      </c>
      <c r="AG7" s="12" t="s">
        <v>1466</v>
      </c>
    </row>
    <row r="8" spans="1:33">
      <c r="A8" s="15"/>
      <c r="B8" s="16" t="s">
        <v>1467</v>
      </c>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row>
    <row r="9" spans="1:33">
      <c r="A9" s="17" t="s">
        <v>1468</v>
      </c>
      <c r="B9" s="17" t="s">
        <v>1469</v>
      </c>
      <c r="C9" s="18">
        <v>52.6</v>
      </c>
      <c r="D9" s="19">
        <v>36.9</v>
      </c>
      <c r="E9" s="19">
        <v>135.1</v>
      </c>
      <c r="F9" s="18">
        <v>31.4</v>
      </c>
      <c r="G9" s="18">
        <v>86.6</v>
      </c>
      <c r="H9" s="19">
        <v>134.30000000000001</v>
      </c>
      <c r="I9" s="19">
        <v>119.3</v>
      </c>
      <c r="J9" s="18">
        <v>117.3</v>
      </c>
      <c r="K9" s="18">
        <v>100.6</v>
      </c>
      <c r="L9" s="19">
        <v>101</v>
      </c>
      <c r="M9" s="19">
        <v>47.4</v>
      </c>
      <c r="N9" s="18">
        <v>18.3</v>
      </c>
      <c r="O9" s="18">
        <v>141.30000000000001</v>
      </c>
      <c r="P9" s="19">
        <v>124.4</v>
      </c>
      <c r="Q9" s="19">
        <v>89.5</v>
      </c>
      <c r="R9" s="18">
        <v>33</v>
      </c>
      <c r="S9" s="18">
        <v>25.1</v>
      </c>
      <c r="T9" s="19">
        <v>42</v>
      </c>
      <c r="U9" s="19">
        <v>43.3</v>
      </c>
      <c r="V9" s="18">
        <v>32.9</v>
      </c>
      <c r="W9" s="18">
        <v>15.9</v>
      </c>
      <c r="X9" s="19">
        <v>89.3</v>
      </c>
      <c r="Y9" s="19">
        <v>87.7</v>
      </c>
      <c r="Z9" s="18">
        <v>114.3</v>
      </c>
      <c r="AA9" s="18">
        <v>56.3</v>
      </c>
      <c r="AB9" s="19">
        <v>53.3</v>
      </c>
      <c r="AC9" s="19">
        <v>65.599999999999994</v>
      </c>
      <c r="AD9" s="18">
        <v>61.9</v>
      </c>
      <c r="AE9" s="18">
        <v>57.3</v>
      </c>
      <c r="AF9" s="19">
        <v>49.3</v>
      </c>
      <c r="AG9" s="19">
        <v>46.6</v>
      </c>
    </row>
    <row r="10" spans="1:33">
      <c r="A10" s="17" t="s">
        <v>1470</v>
      </c>
      <c r="B10" s="17" t="s">
        <v>1471</v>
      </c>
      <c r="C10" s="18">
        <v>45</v>
      </c>
      <c r="D10" s="19">
        <v>45</v>
      </c>
      <c r="E10" s="19" t="s">
        <v>429</v>
      </c>
      <c r="F10" s="18" t="s">
        <v>429</v>
      </c>
      <c r="G10" s="18" t="s">
        <v>429</v>
      </c>
      <c r="H10" s="19" t="s">
        <v>429</v>
      </c>
      <c r="I10" s="19" t="s">
        <v>429</v>
      </c>
      <c r="J10" s="18" t="s">
        <v>429</v>
      </c>
      <c r="K10" s="18" t="s">
        <v>429</v>
      </c>
      <c r="L10" s="19" t="s">
        <v>429</v>
      </c>
      <c r="M10" s="19" t="s">
        <v>429</v>
      </c>
      <c r="N10" s="18" t="s">
        <v>429</v>
      </c>
      <c r="O10" s="18" t="s">
        <v>429</v>
      </c>
      <c r="P10" s="19" t="s">
        <v>429</v>
      </c>
      <c r="Q10" s="19" t="s">
        <v>429</v>
      </c>
      <c r="R10" s="18" t="s">
        <v>429</v>
      </c>
      <c r="S10" s="18" t="s">
        <v>429</v>
      </c>
      <c r="T10" s="19" t="s">
        <v>429</v>
      </c>
      <c r="U10" s="19" t="s">
        <v>429</v>
      </c>
      <c r="V10" s="18" t="s">
        <v>429</v>
      </c>
      <c r="W10" s="18" t="s">
        <v>429</v>
      </c>
      <c r="X10" s="19" t="s">
        <v>429</v>
      </c>
      <c r="Y10" s="19" t="s">
        <v>429</v>
      </c>
      <c r="Z10" s="18" t="s">
        <v>429</v>
      </c>
      <c r="AA10" s="18" t="s">
        <v>429</v>
      </c>
      <c r="AB10" s="19" t="s">
        <v>429</v>
      </c>
      <c r="AC10" s="19" t="s">
        <v>429</v>
      </c>
      <c r="AD10" s="18" t="s">
        <v>429</v>
      </c>
      <c r="AE10" s="18" t="s">
        <v>429</v>
      </c>
      <c r="AF10" s="19" t="s">
        <v>429</v>
      </c>
      <c r="AG10" s="19" t="s">
        <v>429</v>
      </c>
    </row>
    <row r="11" spans="1:33">
      <c r="A11" s="17" t="s">
        <v>1470</v>
      </c>
      <c r="B11" s="17" t="s">
        <v>1472</v>
      </c>
      <c r="C11" s="18">
        <v>0</v>
      </c>
      <c r="D11" s="19">
        <v>0.7</v>
      </c>
      <c r="E11" s="19">
        <v>0.2</v>
      </c>
      <c r="F11" s="18">
        <v>8.8000000000000007</v>
      </c>
      <c r="G11" s="18" t="s">
        <v>429</v>
      </c>
      <c r="H11" s="19" t="s">
        <v>429</v>
      </c>
      <c r="I11" s="19" t="s">
        <v>429</v>
      </c>
      <c r="J11" s="18" t="s">
        <v>429</v>
      </c>
      <c r="K11" s="18" t="s">
        <v>429</v>
      </c>
      <c r="L11" s="19" t="s">
        <v>429</v>
      </c>
      <c r="M11" s="19" t="s">
        <v>429</v>
      </c>
      <c r="N11" s="18" t="s">
        <v>429</v>
      </c>
      <c r="O11" s="18" t="s">
        <v>429</v>
      </c>
      <c r="P11" s="19" t="s">
        <v>429</v>
      </c>
      <c r="Q11" s="19" t="s">
        <v>429</v>
      </c>
      <c r="R11" s="18" t="s">
        <v>429</v>
      </c>
      <c r="S11" s="18" t="s">
        <v>429</v>
      </c>
      <c r="T11" s="19" t="s">
        <v>429</v>
      </c>
      <c r="U11" s="19" t="s">
        <v>429</v>
      </c>
      <c r="V11" s="18" t="s">
        <v>429</v>
      </c>
      <c r="W11" s="18" t="s">
        <v>429</v>
      </c>
      <c r="X11" s="19" t="s">
        <v>429</v>
      </c>
      <c r="Y11" s="19" t="s">
        <v>429</v>
      </c>
      <c r="Z11" s="18" t="s">
        <v>429</v>
      </c>
      <c r="AA11" s="18" t="s">
        <v>429</v>
      </c>
      <c r="AB11" s="19" t="s">
        <v>429</v>
      </c>
      <c r="AC11" s="19" t="s">
        <v>429</v>
      </c>
      <c r="AD11" s="18" t="s">
        <v>429</v>
      </c>
      <c r="AE11" s="18" t="s">
        <v>429</v>
      </c>
      <c r="AF11" s="19" t="s">
        <v>429</v>
      </c>
      <c r="AG11" s="19" t="s">
        <v>429</v>
      </c>
    </row>
    <row r="12" spans="1:33">
      <c r="A12" s="17" t="s">
        <v>1470</v>
      </c>
      <c r="B12" s="17" t="s">
        <v>1473</v>
      </c>
      <c r="C12" s="18">
        <v>6.8</v>
      </c>
      <c r="D12" s="19">
        <v>6.8</v>
      </c>
      <c r="E12" s="19">
        <v>7</v>
      </c>
      <c r="F12" s="18">
        <v>7.3</v>
      </c>
      <c r="G12" s="18">
        <v>7.8</v>
      </c>
      <c r="H12" s="19">
        <v>8.4</v>
      </c>
      <c r="I12" s="19">
        <v>8.9</v>
      </c>
      <c r="J12" s="18">
        <v>9.1999999999999993</v>
      </c>
      <c r="K12" s="18">
        <v>10.199999999999999</v>
      </c>
      <c r="L12" s="19">
        <v>8.5</v>
      </c>
      <c r="M12" s="19">
        <v>17.3</v>
      </c>
      <c r="N12" s="18">
        <v>10.6</v>
      </c>
      <c r="O12" s="18">
        <v>10.4</v>
      </c>
      <c r="P12" s="19">
        <v>11.3</v>
      </c>
      <c r="Q12" s="19">
        <v>11.3</v>
      </c>
      <c r="R12" s="18">
        <v>11.6</v>
      </c>
      <c r="S12" s="18">
        <v>11.2</v>
      </c>
      <c r="T12" s="19">
        <v>11.4</v>
      </c>
      <c r="U12" s="19">
        <v>11.2</v>
      </c>
      <c r="V12" s="18">
        <v>11.2</v>
      </c>
      <c r="W12" s="18">
        <v>11.1</v>
      </c>
      <c r="X12" s="19">
        <v>29</v>
      </c>
      <c r="Y12" s="19">
        <v>11.3</v>
      </c>
      <c r="Z12" s="18">
        <v>11.5</v>
      </c>
      <c r="AA12" s="18">
        <v>12.8</v>
      </c>
      <c r="AB12" s="19">
        <v>13.4</v>
      </c>
      <c r="AC12" s="19">
        <v>14.5</v>
      </c>
      <c r="AD12" s="18">
        <v>15.4</v>
      </c>
      <c r="AE12" s="18">
        <v>15.9</v>
      </c>
      <c r="AF12" s="19">
        <v>16.600000000000001</v>
      </c>
      <c r="AG12" s="19">
        <v>16.7</v>
      </c>
    </row>
    <row r="13" spans="1:33">
      <c r="A13" s="17" t="s">
        <v>1474</v>
      </c>
      <c r="B13" s="17" t="s">
        <v>1475</v>
      </c>
      <c r="C13" s="18" t="s">
        <v>429</v>
      </c>
      <c r="D13" s="19" t="s">
        <v>429</v>
      </c>
      <c r="E13" s="19" t="s">
        <v>429</v>
      </c>
      <c r="F13" s="18" t="s">
        <v>429</v>
      </c>
      <c r="G13" s="18" t="s">
        <v>429</v>
      </c>
      <c r="H13" s="19" t="s">
        <v>429</v>
      </c>
      <c r="I13" s="19" t="s">
        <v>429</v>
      </c>
      <c r="J13" s="18" t="s">
        <v>429</v>
      </c>
      <c r="K13" s="18" t="s">
        <v>429</v>
      </c>
      <c r="L13" s="19" t="s">
        <v>429</v>
      </c>
      <c r="M13" s="19" t="s">
        <v>429</v>
      </c>
      <c r="N13" s="18" t="s">
        <v>429</v>
      </c>
      <c r="O13" s="18" t="s">
        <v>429</v>
      </c>
      <c r="P13" s="19" t="s">
        <v>429</v>
      </c>
      <c r="Q13" s="19" t="s">
        <v>429</v>
      </c>
      <c r="R13" s="18" t="s">
        <v>429</v>
      </c>
      <c r="S13" s="18" t="s">
        <v>429</v>
      </c>
      <c r="T13" s="19" t="s">
        <v>429</v>
      </c>
      <c r="U13" s="19" t="s">
        <v>429</v>
      </c>
      <c r="V13" s="18" t="s">
        <v>429</v>
      </c>
      <c r="W13" s="18" t="s">
        <v>429</v>
      </c>
      <c r="X13" s="19" t="s">
        <v>429</v>
      </c>
      <c r="Y13" s="19" t="s">
        <v>429</v>
      </c>
      <c r="Z13" s="18" t="s">
        <v>429</v>
      </c>
      <c r="AA13" s="18" t="s">
        <v>429</v>
      </c>
      <c r="AB13" s="19">
        <v>0</v>
      </c>
      <c r="AC13" s="19">
        <v>10.5</v>
      </c>
      <c r="AD13" s="18">
        <v>23.8</v>
      </c>
      <c r="AE13" s="18">
        <v>33</v>
      </c>
      <c r="AF13" s="19">
        <v>42.3</v>
      </c>
      <c r="AG13" s="19" t="s">
        <v>429</v>
      </c>
    </row>
    <row r="14" spans="1:33">
      <c r="A14" s="17" t="s">
        <v>1476</v>
      </c>
      <c r="B14" s="17" t="s">
        <v>1477</v>
      </c>
      <c r="C14" s="18" t="s">
        <v>429</v>
      </c>
      <c r="D14" s="19" t="s">
        <v>429</v>
      </c>
      <c r="E14" s="19" t="s">
        <v>429</v>
      </c>
      <c r="F14" s="18" t="s">
        <v>429</v>
      </c>
      <c r="G14" s="18">
        <v>1.1000000000000001</v>
      </c>
      <c r="H14" s="19" t="s">
        <v>429</v>
      </c>
      <c r="I14" s="19" t="s">
        <v>429</v>
      </c>
      <c r="J14" s="18" t="s">
        <v>429</v>
      </c>
      <c r="K14" s="18" t="s">
        <v>429</v>
      </c>
      <c r="L14" s="19" t="s">
        <v>429</v>
      </c>
      <c r="M14" s="19" t="s">
        <v>429</v>
      </c>
      <c r="N14" s="18" t="s">
        <v>429</v>
      </c>
      <c r="O14" s="18" t="s">
        <v>429</v>
      </c>
      <c r="P14" s="19" t="s">
        <v>429</v>
      </c>
      <c r="Q14" s="19" t="s">
        <v>429</v>
      </c>
      <c r="R14" s="18" t="s">
        <v>429</v>
      </c>
      <c r="S14" s="18" t="s">
        <v>429</v>
      </c>
      <c r="T14" s="19" t="s">
        <v>429</v>
      </c>
      <c r="U14" s="19" t="s">
        <v>429</v>
      </c>
      <c r="V14" s="18" t="s">
        <v>429</v>
      </c>
      <c r="W14" s="18" t="s">
        <v>429</v>
      </c>
      <c r="X14" s="19" t="s">
        <v>429</v>
      </c>
      <c r="Y14" s="19" t="s">
        <v>429</v>
      </c>
      <c r="Z14" s="18" t="s">
        <v>429</v>
      </c>
      <c r="AA14" s="18" t="s">
        <v>429</v>
      </c>
      <c r="AB14" s="19" t="s">
        <v>429</v>
      </c>
      <c r="AC14" s="19" t="s">
        <v>429</v>
      </c>
      <c r="AD14" s="18" t="s">
        <v>429</v>
      </c>
      <c r="AE14" s="18" t="s">
        <v>429</v>
      </c>
      <c r="AF14" s="19" t="s">
        <v>429</v>
      </c>
      <c r="AG14" s="19" t="s">
        <v>429</v>
      </c>
    </row>
    <row r="15" spans="1:33">
      <c r="A15" s="17" t="s">
        <v>1476</v>
      </c>
      <c r="B15" s="17" t="s">
        <v>1478</v>
      </c>
      <c r="C15" s="18" t="s">
        <v>429</v>
      </c>
      <c r="D15" s="19" t="s">
        <v>429</v>
      </c>
      <c r="E15" s="19" t="s">
        <v>429</v>
      </c>
      <c r="F15" s="18" t="s">
        <v>429</v>
      </c>
      <c r="G15" s="18" t="s">
        <v>429</v>
      </c>
      <c r="H15" s="19" t="s">
        <v>429</v>
      </c>
      <c r="I15" s="19" t="s">
        <v>429</v>
      </c>
      <c r="J15" s="18" t="s">
        <v>429</v>
      </c>
      <c r="K15" s="18" t="s">
        <v>429</v>
      </c>
      <c r="L15" s="19">
        <v>0</v>
      </c>
      <c r="M15" s="19">
        <v>0</v>
      </c>
      <c r="N15" s="18">
        <v>1.7</v>
      </c>
      <c r="O15" s="18">
        <v>13.2</v>
      </c>
      <c r="P15" s="19">
        <v>0</v>
      </c>
      <c r="Q15" s="19">
        <v>0.7</v>
      </c>
      <c r="R15" s="18" t="s">
        <v>429</v>
      </c>
      <c r="S15" s="18" t="s">
        <v>429</v>
      </c>
      <c r="T15" s="19" t="s">
        <v>429</v>
      </c>
      <c r="U15" s="19" t="s">
        <v>429</v>
      </c>
      <c r="V15" s="18" t="s">
        <v>429</v>
      </c>
      <c r="W15" s="18" t="s">
        <v>429</v>
      </c>
      <c r="X15" s="19" t="s">
        <v>429</v>
      </c>
      <c r="Y15" s="19" t="s">
        <v>429</v>
      </c>
      <c r="Z15" s="18" t="s">
        <v>429</v>
      </c>
      <c r="AA15" s="18" t="s">
        <v>429</v>
      </c>
      <c r="AB15" s="19" t="s">
        <v>429</v>
      </c>
      <c r="AC15" s="19" t="s">
        <v>429</v>
      </c>
      <c r="AD15" s="18" t="s">
        <v>429</v>
      </c>
      <c r="AE15" s="18" t="s">
        <v>429</v>
      </c>
      <c r="AF15" s="19" t="s">
        <v>429</v>
      </c>
      <c r="AG15" s="19" t="s">
        <v>429</v>
      </c>
    </row>
    <row r="16" spans="1:33">
      <c r="A16" s="17" t="s">
        <v>1476</v>
      </c>
      <c r="B16" s="17" t="s">
        <v>1479</v>
      </c>
      <c r="C16" s="18" t="s">
        <v>429</v>
      </c>
      <c r="D16" s="19" t="s">
        <v>429</v>
      </c>
      <c r="E16" s="19" t="s">
        <v>429</v>
      </c>
      <c r="F16" s="18" t="s">
        <v>429</v>
      </c>
      <c r="G16" s="18" t="s">
        <v>429</v>
      </c>
      <c r="H16" s="19" t="s">
        <v>429</v>
      </c>
      <c r="I16" s="19" t="s">
        <v>429</v>
      </c>
      <c r="J16" s="18" t="s">
        <v>429</v>
      </c>
      <c r="K16" s="18" t="s">
        <v>429</v>
      </c>
      <c r="L16" s="19" t="s">
        <v>429</v>
      </c>
      <c r="M16" s="19" t="s">
        <v>429</v>
      </c>
      <c r="N16" s="18" t="s">
        <v>429</v>
      </c>
      <c r="O16" s="18" t="s">
        <v>429</v>
      </c>
      <c r="P16" s="19" t="s">
        <v>429</v>
      </c>
      <c r="Q16" s="19" t="s">
        <v>429</v>
      </c>
      <c r="R16" s="18" t="s">
        <v>429</v>
      </c>
      <c r="S16" s="18" t="s">
        <v>429</v>
      </c>
      <c r="T16" s="19" t="s">
        <v>429</v>
      </c>
      <c r="U16" s="19" t="s">
        <v>429</v>
      </c>
      <c r="V16" s="18" t="s">
        <v>429</v>
      </c>
      <c r="W16" s="18" t="s">
        <v>429</v>
      </c>
      <c r="X16" s="19" t="s">
        <v>429</v>
      </c>
      <c r="Y16" s="19" t="s">
        <v>429</v>
      </c>
      <c r="Z16" s="18" t="s">
        <v>429</v>
      </c>
      <c r="AA16" s="18" t="s">
        <v>429</v>
      </c>
      <c r="AB16" s="19">
        <v>0</v>
      </c>
      <c r="AC16" s="19">
        <v>2</v>
      </c>
      <c r="AD16" s="18">
        <v>3</v>
      </c>
      <c r="AE16" s="18" t="s">
        <v>429</v>
      </c>
      <c r="AF16" s="19">
        <v>0</v>
      </c>
      <c r="AG16" s="19" t="s">
        <v>429</v>
      </c>
    </row>
    <row r="17" spans="1:33">
      <c r="A17" s="17" t="s">
        <v>1470</v>
      </c>
      <c r="B17" s="17" t="s">
        <v>1480</v>
      </c>
      <c r="C17" s="18" t="s">
        <v>429</v>
      </c>
      <c r="D17" s="19" t="s">
        <v>429</v>
      </c>
      <c r="E17" s="19" t="s">
        <v>429</v>
      </c>
      <c r="F17" s="18" t="s">
        <v>429</v>
      </c>
      <c r="G17" s="18" t="s">
        <v>429</v>
      </c>
      <c r="H17" s="19" t="s">
        <v>429</v>
      </c>
      <c r="I17" s="19" t="s">
        <v>429</v>
      </c>
      <c r="J17" s="18" t="s">
        <v>429</v>
      </c>
      <c r="K17" s="18" t="s">
        <v>429</v>
      </c>
      <c r="L17" s="19" t="s">
        <v>429</v>
      </c>
      <c r="M17" s="19" t="s">
        <v>429</v>
      </c>
      <c r="N17" s="18" t="s">
        <v>429</v>
      </c>
      <c r="O17" s="18" t="s">
        <v>429</v>
      </c>
      <c r="P17" s="19" t="s">
        <v>429</v>
      </c>
      <c r="Q17" s="19" t="s">
        <v>429</v>
      </c>
      <c r="R17" s="18" t="s">
        <v>429</v>
      </c>
      <c r="S17" s="18">
        <v>0.6</v>
      </c>
      <c r="T17" s="19">
        <v>0.6</v>
      </c>
      <c r="U17" s="19">
        <v>0.9</v>
      </c>
      <c r="V17" s="18">
        <v>0.6</v>
      </c>
      <c r="W17" s="18">
        <v>0.2</v>
      </c>
      <c r="X17" s="19">
        <v>0.6</v>
      </c>
      <c r="Y17" s="19">
        <v>1.2</v>
      </c>
      <c r="Z17" s="18">
        <v>0.7</v>
      </c>
      <c r="AA17" s="18">
        <v>0.4</v>
      </c>
      <c r="AB17" s="19">
        <v>0.8</v>
      </c>
      <c r="AC17" s="19">
        <v>0.7</v>
      </c>
      <c r="AD17" s="18">
        <v>1.3</v>
      </c>
      <c r="AE17" s="18">
        <v>1.7</v>
      </c>
      <c r="AF17" s="19">
        <v>0.5</v>
      </c>
      <c r="AG17" s="19">
        <v>0.1</v>
      </c>
    </row>
    <row r="18" spans="1:33">
      <c r="A18" s="17" t="s">
        <v>1476</v>
      </c>
      <c r="B18" s="17" t="s">
        <v>1480</v>
      </c>
      <c r="C18" s="18">
        <v>2.6</v>
      </c>
      <c r="D18" s="19">
        <v>3.7</v>
      </c>
      <c r="E18" s="19">
        <v>1.7</v>
      </c>
      <c r="F18" s="18">
        <v>1.8</v>
      </c>
      <c r="G18" s="18">
        <v>7.3</v>
      </c>
      <c r="H18" s="19">
        <v>2.1</v>
      </c>
      <c r="I18" s="19">
        <v>2.2000000000000002</v>
      </c>
      <c r="J18" s="18">
        <v>1.9</v>
      </c>
      <c r="K18" s="18">
        <v>2.2000000000000002</v>
      </c>
      <c r="L18" s="19">
        <v>2.2000000000000002</v>
      </c>
      <c r="M18" s="19">
        <v>1.7</v>
      </c>
      <c r="N18" s="18">
        <v>0.8</v>
      </c>
      <c r="O18" s="18">
        <v>1.2</v>
      </c>
      <c r="P18" s="19">
        <v>1</v>
      </c>
      <c r="Q18" s="19">
        <v>0.4</v>
      </c>
      <c r="R18" s="18">
        <v>0.8</v>
      </c>
      <c r="S18" s="18" t="s">
        <v>429</v>
      </c>
      <c r="T18" s="19" t="s">
        <v>429</v>
      </c>
      <c r="U18" s="19" t="s">
        <v>429</v>
      </c>
      <c r="V18" s="18" t="s">
        <v>429</v>
      </c>
      <c r="W18" s="18" t="s">
        <v>429</v>
      </c>
      <c r="X18" s="19" t="s">
        <v>429</v>
      </c>
      <c r="Y18" s="19" t="s">
        <v>429</v>
      </c>
      <c r="Z18" s="18" t="s">
        <v>429</v>
      </c>
      <c r="AA18" s="18" t="s">
        <v>429</v>
      </c>
      <c r="AB18" s="19" t="s">
        <v>429</v>
      </c>
      <c r="AC18" s="19" t="s">
        <v>429</v>
      </c>
      <c r="AD18" s="18" t="s">
        <v>429</v>
      </c>
      <c r="AE18" s="18" t="s">
        <v>429</v>
      </c>
      <c r="AF18" s="19" t="s">
        <v>429</v>
      </c>
      <c r="AG18" s="19" t="s">
        <v>429</v>
      </c>
    </row>
    <row r="19" spans="1:33">
      <c r="A19" s="17" t="s">
        <v>1481</v>
      </c>
      <c r="B19" s="17" t="s">
        <v>1482</v>
      </c>
      <c r="C19" s="18">
        <v>107</v>
      </c>
      <c r="D19" s="19">
        <v>93.1</v>
      </c>
      <c r="E19" s="19">
        <v>144</v>
      </c>
      <c r="F19" s="18">
        <v>49.4</v>
      </c>
      <c r="G19" s="18">
        <v>102.8</v>
      </c>
      <c r="H19" s="19">
        <v>144.80000000000001</v>
      </c>
      <c r="I19" s="19">
        <v>130.4</v>
      </c>
      <c r="J19" s="18">
        <v>128.4</v>
      </c>
      <c r="K19" s="18">
        <v>113</v>
      </c>
      <c r="L19" s="19">
        <v>111.7</v>
      </c>
      <c r="M19" s="19">
        <v>66.3</v>
      </c>
      <c r="N19" s="18">
        <v>31.4</v>
      </c>
      <c r="O19" s="18">
        <v>166</v>
      </c>
      <c r="P19" s="19">
        <v>136.69999999999999</v>
      </c>
      <c r="Q19" s="19">
        <v>102</v>
      </c>
      <c r="R19" s="18">
        <v>45.5</v>
      </c>
      <c r="S19" s="18">
        <v>36.9</v>
      </c>
      <c r="T19" s="19">
        <v>54</v>
      </c>
      <c r="U19" s="19">
        <v>55.4</v>
      </c>
      <c r="V19" s="18">
        <v>44.8</v>
      </c>
      <c r="W19" s="18">
        <v>27.3</v>
      </c>
      <c r="X19" s="19">
        <v>118.9</v>
      </c>
      <c r="Y19" s="19">
        <v>100.2</v>
      </c>
      <c r="Z19" s="18">
        <v>126.6</v>
      </c>
      <c r="AA19" s="18">
        <v>69.5</v>
      </c>
      <c r="AB19" s="19">
        <v>67.5</v>
      </c>
      <c r="AC19" s="19">
        <v>93.3</v>
      </c>
      <c r="AD19" s="18">
        <v>105.3</v>
      </c>
      <c r="AE19" s="18">
        <v>107.9</v>
      </c>
      <c r="AF19" s="19">
        <v>108.7</v>
      </c>
      <c r="AG19" s="19">
        <v>63.4</v>
      </c>
    </row>
    <row r="20" spans="1:33">
      <c r="A20" s="20"/>
      <c r="B20" s="20"/>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20"/>
      <c r="AC20" s="20"/>
      <c r="AD20" s="20"/>
      <c r="AE20" s="20"/>
      <c r="AF20" s="20"/>
      <c r="AG20" s="20"/>
    </row>
    <row r="21" spans="1:33">
      <c r="A21" s="17" t="s">
        <v>1483</v>
      </c>
      <c r="B21" s="17" t="s">
        <v>1484</v>
      </c>
      <c r="C21" s="18">
        <v>2239</v>
      </c>
      <c r="D21" s="19">
        <v>2043.9</v>
      </c>
      <c r="E21" s="19">
        <v>2081.9</v>
      </c>
      <c r="F21" s="18">
        <v>2165.9</v>
      </c>
      <c r="G21" s="18">
        <v>2175.5</v>
      </c>
      <c r="H21" s="19">
        <v>2326.1</v>
      </c>
      <c r="I21" s="19">
        <v>2645.8</v>
      </c>
      <c r="J21" s="18">
        <v>2550.3000000000002</v>
      </c>
      <c r="K21" s="18">
        <v>2522.1999999999998</v>
      </c>
      <c r="L21" s="19">
        <v>2494.6999999999998</v>
      </c>
      <c r="M21" s="19">
        <v>2379.8000000000002</v>
      </c>
      <c r="N21" s="18">
        <v>2495.3000000000002</v>
      </c>
      <c r="O21" s="18">
        <v>1999.7</v>
      </c>
      <c r="P21" s="19">
        <v>1899</v>
      </c>
      <c r="Q21" s="19">
        <v>1892.9</v>
      </c>
      <c r="R21" s="18">
        <v>1855.5</v>
      </c>
      <c r="S21" s="18">
        <v>1762.5</v>
      </c>
      <c r="T21" s="19">
        <v>1638.8</v>
      </c>
      <c r="U21" s="19">
        <v>1549.8</v>
      </c>
      <c r="V21" s="18">
        <v>1525.4</v>
      </c>
      <c r="W21" s="18">
        <v>1612.8</v>
      </c>
      <c r="X21" s="19">
        <v>1612.2</v>
      </c>
      <c r="Y21" s="19">
        <v>1545</v>
      </c>
      <c r="Z21" s="18">
        <v>1470.8</v>
      </c>
      <c r="AA21" s="18">
        <v>1384.8</v>
      </c>
      <c r="AB21" s="19">
        <v>1265.0999999999999</v>
      </c>
      <c r="AC21" s="19">
        <v>1466.2</v>
      </c>
      <c r="AD21" s="18">
        <v>1458.8</v>
      </c>
      <c r="AE21" s="18">
        <v>1400.8</v>
      </c>
      <c r="AF21" s="19">
        <v>1350.3</v>
      </c>
      <c r="AG21" s="19">
        <v>1294.3</v>
      </c>
    </row>
    <row r="22" spans="1:33">
      <c r="A22" s="17" t="s">
        <v>1485</v>
      </c>
      <c r="B22" s="17" t="s">
        <v>1486</v>
      </c>
      <c r="C22" s="18">
        <v>237.4</v>
      </c>
      <c r="D22" s="19">
        <v>237.4</v>
      </c>
      <c r="E22" s="19">
        <v>237.4</v>
      </c>
      <c r="F22" s="18">
        <v>237.4</v>
      </c>
      <c r="G22" s="18">
        <v>237.4</v>
      </c>
      <c r="H22" s="19">
        <v>237.4</v>
      </c>
      <c r="I22" s="19">
        <v>237.4</v>
      </c>
      <c r="J22" s="18">
        <v>237.4</v>
      </c>
      <c r="K22" s="18">
        <v>237.4</v>
      </c>
      <c r="L22" s="19">
        <v>237.4</v>
      </c>
      <c r="M22" s="19">
        <v>237.4</v>
      </c>
      <c r="N22" s="18">
        <v>237.4</v>
      </c>
      <c r="O22" s="18" t="s">
        <v>429</v>
      </c>
      <c r="P22" s="19">
        <v>0</v>
      </c>
      <c r="Q22" s="19" t="s">
        <v>429</v>
      </c>
      <c r="R22" s="18" t="s">
        <v>429</v>
      </c>
      <c r="S22" s="18" t="s">
        <v>429</v>
      </c>
      <c r="T22" s="19" t="s">
        <v>429</v>
      </c>
      <c r="U22" s="19" t="s">
        <v>429</v>
      </c>
      <c r="V22" s="18" t="s">
        <v>429</v>
      </c>
      <c r="W22" s="18" t="s">
        <v>429</v>
      </c>
      <c r="X22" s="19" t="s">
        <v>429</v>
      </c>
      <c r="Y22" s="19" t="s">
        <v>429</v>
      </c>
      <c r="Z22" s="18" t="s">
        <v>429</v>
      </c>
      <c r="AA22" s="18" t="s">
        <v>429</v>
      </c>
      <c r="AB22" s="19" t="s">
        <v>429</v>
      </c>
      <c r="AC22" s="19" t="s">
        <v>429</v>
      </c>
      <c r="AD22" s="18" t="s">
        <v>429</v>
      </c>
      <c r="AE22" s="18" t="s">
        <v>429</v>
      </c>
      <c r="AF22" s="19" t="s">
        <v>429</v>
      </c>
      <c r="AG22" s="19" t="s">
        <v>429</v>
      </c>
    </row>
    <row r="23" spans="1:33">
      <c r="A23" s="17" t="s">
        <v>1485</v>
      </c>
      <c r="B23" s="17" t="s">
        <v>1487</v>
      </c>
      <c r="C23" s="18">
        <v>460.6</v>
      </c>
      <c r="D23" s="19">
        <v>460.6</v>
      </c>
      <c r="E23" s="19">
        <v>460.6</v>
      </c>
      <c r="F23" s="18">
        <v>460.6</v>
      </c>
      <c r="G23" s="18">
        <v>460.6</v>
      </c>
      <c r="H23" s="19">
        <v>503.4</v>
      </c>
      <c r="I23" s="19">
        <v>555.79999999999995</v>
      </c>
      <c r="J23" s="18">
        <v>598.79999999999995</v>
      </c>
      <c r="K23" s="18">
        <v>644.4</v>
      </c>
      <c r="L23" s="19">
        <v>680.6</v>
      </c>
      <c r="M23" s="19">
        <v>716.8</v>
      </c>
      <c r="N23" s="18">
        <v>745.6</v>
      </c>
      <c r="O23" s="18">
        <v>745.6</v>
      </c>
      <c r="P23" s="19">
        <v>745.6</v>
      </c>
      <c r="Q23" s="19">
        <v>745.6</v>
      </c>
      <c r="R23" s="18">
        <v>745.6</v>
      </c>
      <c r="S23" s="18">
        <v>745.6</v>
      </c>
      <c r="T23" s="19">
        <v>745.6</v>
      </c>
      <c r="U23" s="19">
        <v>745.6</v>
      </c>
      <c r="V23" s="18">
        <v>745.6</v>
      </c>
      <c r="W23" s="18">
        <v>745.6</v>
      </c>
      <c r="X23" s="19">
        <v>745.6</v>
      </c>
      <c r="Y23" s="19">
        <v>758.7</v>
      </c>
      <c r="Z23" s="18">
        <v>745.9</v>
      </c>
      <c r="AA23" s="18">
        <v>771.4</v>
      </c>
      <c r="AB23" s="19">
        <v>792.7</v>
      </c>
      <c r="AC23" s="19">
        <v>817.4</v>
      </c>
      <c r="AD23" s="18">
        <v>843</v>
      </c>
      <c r="AE23" s="18">
        <v>861.7</v>
      </c>
      <c r="AF23" s="19">
        <v>881.5</v>
      </c>
      <c r="AG23" s="19">
        <v>887.6</v>
      </c>
    </row>
    <row r="24" spans="1:33">
      <c r="A24" s="17" t="s">
        <v>1488</v>
      </c>
      <c r="B24" s="17" t="s">
        <v>1489</v>
      </c>
      <c r="C24" s="18" t="s">
        <v>429</v>
      </c>
      <c r="D24" s="19" t="s">
        <v>429</v>
      </c>
      <c r="E24" s="19" t="s">
        <v>429</v>
      </c>
      <c r="F24" s="18">
        <v>159.80000000000001</v>
      </c>
      <c r="G24" s="18">
        <v>46.9</v>
      </c>
      <c r="H24" s="19">
        <v>0.6</v>
      </c>
      <c r="I24" s="19">
        <v>0.6</v>
      </c>
      <c r="J24" s="18">
        <v>0.7</v>
      </c>
      <c r="K24" s="18">
        <v>0.1</v>
      </c>
      <c r="L24" s="19">
        <v>0.1</v>
      </c>
      <c r="M24" s="19">
        <v>0.1</v>
      </c>
      <c r="N24" s="18">
        <v>0.1</v>
      </c>
      <c r="O24" s="18">
        <v>0.2</v>
      </c>
      <c r="P24" s="19">
        <v>0.2</v>
      </c>
      <c r="Q24" s="19">
        <v>0.2</v>
      </c>
      <c r="R24" s="18">
        <v>0.2</v>
      </c>
      <c r="S24" s="18">
        <v>0.2</v>
      </c>
      <c r="T24" s="19">
        <v>0.3</v>
      </c>
      <c r="U24" s="19">
        <v>0.3</v>
      </c>
      <c r="V24" s="18">
        <v>0.3</v>
      </c>
      <c r="W24" s="18" t="s">
        <v>429</v>
      </c>
      <c r="X24" s="19">
        <v>0</v>
      </c>
      <c r="Y24" s="19" t="s">
        <v>429</v>
      </c>
      <c r="Z24" s="18" t="s">
        <v>429</v>
      </c>
      <c r="AA24" s="18" t="s">
        <v>429</v>
      </c>
      <c r="AB24" s="19" t="s">
        <v>429</v>
      </c>
      <c r="AC24" s="19" t="s">
        <v>429</v>
      </c>
      <c r="AD24" s="18" t="s">
        <v>429</v>
      </c>
      <c r="AE24" s="18" t="s">
        <v>429</v>
      </c>
      <c r="AF24" s="19" t="s">
        <v>429</v>
      </c>
      <c r="AG24" s="19" t="s">
        <v>429</v>
      </c>
    </row>
    <row r="25" spans="1:33">
      <c r="A25" s="17" t="s">
        <v>1490</v>
      </c>
      <c r="B25" s="17" t="s">
        <v>1491</v>
      </c>
      <c r="C25" s="18" t="s">
        <v>429</v>
      </c>
      <c r="D25" s="19" t="s">
        <v>429</v>
      </c>
      <c r="E25" s="19" t="s">
        <v>429</v>
      </c>
      <c r="F25" s="18" t="s">
        <v>429</v>
      </c>
      <c r="G25" s="18" t="s">
        <v>429</v>
      </c>
      <c r="H25" s="19" t="s">
        <v>429</v>
      </c>
      <c r="I25" s="19" t="s">
        <v>429</v>
      </c>
      <c r="J25" s="18" t="s">
        <v>429</v>
      </c>
      <c r="K25" s="18" t="s">
        <v>429</v>
      </c>
      <c r="L25" s="19" t="s">
        <v>429</v>
      </c>
      <c r="M25" s="19" t="s">
        <v>429</v>
      </c>
      <c r="N25" s="18" t="s">
        <v>429</v>
      </c>
      <c r="O25" s="18" t="s">
        <v>429</v>
      </c>
      <c r="P25" s="19" t="s">
        <v>429</v>
      </c>
      <c r="Q25" s="19" t="s">
        <v>429</v>
      </c>
      <c r="R25" s="18" t="s">
        <v>429</v>
      </c>
      <c r="S25" s="18" t="s">
        <v>429</v>
      </c>
      <c r="T25" s="19" t="s">
        <v>429</v>
      </c>
      <c r="U25" s="19" t="s">
        <v>429</v>
      </c>
      <c r="V25" s="18" t="s">
        <v>429</v>
      </c>
      <c r="W25" s="18" t="s">
        <v>429</v>
      </c>
      <c r="X25" s="19" t="s">
        <v>429</v>
      </c>
      <c r="Y25" s="19" t="s">
        <v>429</v>
      </c>
      <c r="Z25" s="18">
        <v>0</v>
      </c>
      <c r="AA25" s="18">
        <v>0</v>
      </c>
      <c r="AB25" s="19">
        <v>11.3</v>
      </c>
      <c r="AC25" s="19" t="s">
        <v>429</v>
      </c>
      <c r="AD25" s="18">
        <v>0</v>
      </c>
      <c r="AE25" s="18" t="s">
        <v>429</v>
      </c>
      <c r="AF25" s="19">
        <v>0</v>
      </c>
      <c r="AG25" s="19" t="s">
        <v>429</v>
      </c>
    </row>
    <row r="26" spans="1:33">
      <c r="A26" s="17" t="s">
        <v>1485</v>
      </c>
      <c r="B26" s="17" t="s">
        <v>1492</v>
      </c>
      <c r="C26" s="18" t="s">
        <v>429</v>
      </c>
      <c r="D26" s="19" t="s">
        <v>429</v>
      </c>
      <c r="E26" s="19" t="s">
        <v>429</v>
      </c>
      <c r="F26" s="18" t="s">
        <v>429</v>
      </c>
      <c r="G26" s="18" t="s">
        <v>429</v>
      </c>
      <c r="H26" s="19" t="s">
        <v>429</v>
      </c>
      <c r="I26" s="19" t="s">
        <v>429</v>
      </c>
      <c r="J26" s="18" t="s">
        <v>429</v>
      </c>
      <c r="K26" s="18" t="s">
        <v>429</v>
      </c>
      <c r="L26" s="19" t="s">
        <v>429</v>
      </c>
      <c r="M26" s="19" t="s">
        <v>429</v>
      </c>
      <c r="N26" s="18" t="s">
        <v>429</v>
      </c>
      <c r="O26" s="18" t="s">
        <v>429</v>
      </c>
      <c r="P26" s="19" t="s">
        <v>429</v>
      </c>
      <c r="Q26" s="19" t="s">
        <v>429</v>
      </c>
      <c r="R26" s="18" t="s">
        <v>429</v>
      </c>
      <c r="S26" s="18" t="s">
        <v>429</v>
      </c>
      <c r="T26" s="19" t="s">
        <v>429</v>
      </c>
      <c r="U26" s="19" t="s">
        <v>429</v>
      </c>
      <c r="V26" s="18" t="s">
        <v>429</v>
      </c>
      <c r="W26" s="18" t="s">
        <v>429</v>
      </c>
      <c r="X26" s="19" t="s">
        <v>429</v>
      </c>
      <c r="Y26" s="19" t="s">
        <v>429</v>
      </c>
      <c r="Z26" s="18" t="s">
        <v>429</v>
      </c>
      <c r="AA26" s="18" t="s">
        <v>429</v>
      </c>
      <c r="AB26" s="19" t="s">
        <v>429</v>
      </c>
      <c r="AC26" s="19" t="s">
        <v>429</v>
      </c>
      <c r="AD26" s="18" t="s">
        <v>429</v>
      </c>
      <c r="AE26" s="18" t="s">
        <v>429</v>
      </c>
      <c r="AF26" s="19" t="s">
        <v>429</v>
      </c>
      <c r="AG26" s="19">
        <v>46.6</v>
      </c>
    </row>
    <row r="27" spans="1:33">
      <c r="A27" s="17" t="s">
        <v>1493</v>
      </c>
      <c r="B27" s="17" t="s">
        <v>1494</v>
      </c>
      <c r="C27" s="18">
        <v>2</v>
      </c>
      <c r="D27" s="19">
        <v>0</v>
      </c>
      <c r="E27" s="19">
        <v>0</v>
      </c>
      <c r="F27" s="18">
        <v>1.7</v>
      </c>
      <c r="G27" s="18" t="s">
        <v>429</v>
      </c>
      <c r="H27" s="19" t="s">
        <v>429</v>
      </c>
      <c r="I27" s="19" t="s">
        <v>429</v>
      </c>
      <c r="J27" s="18" t="s">
        <v>429</v>
      </c>
      <c r="K27" s="18" t="s">
        <v>429</v>
      </c>
      <c r="L27" s="19" t="s">
        <v>429</v>
      </c>
      <c r="M27" s="19" t="s">
        <v>429</v>
      </c>
      <c r="N27" s="18" t="s">
        <v>429</v>
      </c>
      <c r="O27" s="18" t="s">
        <v>429</v>
      </c>
      <c r="P27" s="19" t="s">
        <v>429</v>
      </c>
      <c r="Q27" s="19" t="s">
        <v>429</v>
      </c>
      <c r="R27" s="18" t="s">
        <v>429</v>
      </c>
      <c r="S27" s="18" t="s">
        <v>429</v>
      </c>
      <c r="T27" s="19" t="s">
        <v>429</v>
      </c>
      <c r="U27" s="19" t="s">
        <v>429</v>
      </c>
      <c r="V27" s="18" t="s">
        <v>429</v>
      </c>
      <c r="W27" s="18" t="s">
        <v>429</v>
      </c>
      <c r="X27" s="19" t="s">
        <v>429</v>
      </c>
      <c r="Y27" s="19" t="s">
        <v>429</v>
      </c>
      <c r="Z27" s="18" t="s">
        <v>429</v>
      </c>
      <c r="AA27" s="18" t="s">
        <v>429</v>
      </c>
      <c r="AB27" s="19" t="s">
        <v>429</v>
      </c>
      <c r="AC27" s="19" t="s">
        <v>429</v>
      </c>
      <c r="AD27" s="18" t="s">
        <v>429</v>
      </c>
      <c r="AE27" s="18" t="s">
        <v>429</v>
      </c>
      <c r="AF27" s="19" t="s">
        <v>429</v>
      </c>
      <c r="AG27" s="19" t="s">
        <v>429</v>
      </c>
    </row>
    <row r="28" spans="1:33">
      <c r="A28" s="17" t="s">
        <v>1493</v>
      </c>
      <c r="B28" s="17" t="s">
        <v>1495</v>
      </c>
      <c r="C28" s="18">
        <v>33.299999999999997</v>
      </c>
      <c r="D28" s="19">
        <v>43.8</v>
      </c>
      <c r="E28" s="19">
        <v>16.3</v>
      </c>
      <c r="F28" s="18">
        <v>8.1999999999999993</v>
      </c>
      <c r="G28" s="18">
        <v>6.7</v>
      </c>
      <c r="H28" s="19" t="s">
        <v>429</v>
      </c>
      <c r="I28" s="19" t="s">
        <v>429</v>
      </c>
      <c r="J28" s="18" t="s">
        <v>429</v>
      </c>
      <c r="K28" s="18" t="s">
        <v>429</v>
      </c>
      <c r="L28" s="19" t="s">
        <v>429</v>
      </c>
      <c r="M28" s="19" t="s">
        <v>429</v>
      </c>
      <c r="N28" s="18" t="s">
        <v>429</v>
      </c>
      <c r="O28" s="18" t="s">
        <v>429</v>
      </c>
      <c r="P28" s="19" t="s">
        <v>429</v>
      </c>
      <c r="Q28" s="19" t="s">
        <v>429</v>
      </c>
      <c r="R28" s="18" t="s">
        <v>429</v>
      </c>
      <c r="S28" s="18" t="s">
        <v>429</v>
      </c>
      <c r="T28" s="19" t="s">
        <v>429</v>
      </c>
      <c r="U28" s="19" t="s">
        <v>429</v>
      </c>
      <c r="V28" s="18" t="s">
        <v>429</v>
      </c>
      <c r="W28" s="18" t="s">
        <v>429</v>
      </c>
      <c r="X28" s="19" t="s">
        <v>429</v>
      </c>
      <c r="Y28" s="19" t="s">
        <v>429</v>
      </c>
      <c r="Z28" s="18" t="s">
        <v>429</v>
      </c>
      <c r="AA28" s="18" t="s">
        <v>429</v>
      </c>
      <c r="AB28" s="19" t="s">
        <v>429</v>
      </c>
      <c r="AC28" s="19" t="s">
        <v>429</v>
      </c>
      <c r="AD28" s="18" t="s">
        <v>429</v>
      </c>
      <c r="AE28" s="18" t="s">
        <v>429</v>
      </c>
      <c r="AF28" s="19" t="s">
        <v>429</v>
      </c>
      <c r="AG28" s="19" t="s">
        <v>429</v>
      </c>
    </row>
    <row r="29" spans="1:33">
      <c r="A29" s="17" t="s">
        <v>1493</v>
      </c>
      <c r="B29" s="17" t="s">
        <v>1479</v>
      </c>
      <c r="C29" s="18" t="s">
        <v>429</v>
      </c>
      <c r="D29" s="19" t="s">
        <v>429</v>
      </c>
      <c r="E29" s="19" t="s">
        <v>429</v>
      </c>
      <c r="F29" s="18" t="s">
        <v>429</v>
      </c>
      <c r="G29" s="18" t="s">
        <v>429</v>
      </c>
      <c r="H29" s="19" t="s">
        <v>429</v>
      </c>
      <c r="I29" s="19" t="s">
        <v>429</v>
      </c>
      <c r="J29" s="18" t="s">
        <v>429</v>
      </c>
      <c r="K29" s="18" t="s">
        <v>429</v>
      </c>
      <c r="L29" s="19">
        <v>0</v>
      </c>
      <c r="M29" s="19">
        <v>0</v>
      </c>
      <c r="N29" s="18">
        <v>214.4</v>
      </c>
      <c r="O29" s="18">
        <v>179.5</v>
      </c>
      <c r="P29" s="19">
        <v>237.8</v>
      </c>
      <c r="Q29" s="19">
        <v>218.6</v>
      </c>
      <c r="R29" s="18" t="s">
        <v>429</v>
      </c>
      <c r="S29" s="18" t="s">
        <v>429</v>
      </c>
      <c r="T29" s="19" t="s">
        <v>429</v>
      </c>
      <c r="U29" s="19" t="s">
        <v>429</v>
      </c>
      <c r="V29" s="18" t="s">
        <v>429</v>
      </c>
      <c r="W29" s="18" t="s">
        <v>429</v>
      </c>
      <c r="X29" s="19" t="s">
        <v>429</v>
      </c>
      <c r="Y29" s="19" t="s">
        <v>429</v>
      </c>
      <c r="Z29" s="18">
        <v>0</v>
      </c>
      <c r="AA29" s="18" t="s">
        <v>429</v>
      </c>
      <c r="AB29" s="19">
        <v>0</v>
      </c>
      <c r="AC29" s="19">
        <v>9.6999999999999993</v>
      </c>
      <c r="AD29" s="18">
        <v>9.5</v>
      </c>
      <c r="AE29" s="18">
        <v>9.1</v>
      </c>
      <c r="AF29" s="19">
        <v>6.6</v>
      </c>
      <c r="AG29" s="19">
        <v>3.7</v>
      </c>
    </row>
    <row r="30" spans="1:33">
      <c r="A30" s="17" t="s">
        <v>1493</v>
      </c>
      <c r="B30" s="17" t="s">
        <v>1496</v>
      </c>
      <c r="C30" s="18" t="s">
        <v>429</v>
      </c>
      <c r="D30" s="19" t="s">
        <v>429</v>
      </c>
      <c r="E30" s="19" t="s">
        <v>429</v>
      </c>
      <c r="F30" s="18" t="s">
        <v>429</v>
      </c>
      <c r="G30" s="18">
        <v>1.4</v>
      </c>
      <c r="H30" s="19" t="s">
        <v>429</v>
      </c>
      <c r="I30" s="19" t="s">
        <v>429</v>
      </c>
      <c r="J30" s="18" t="s">
        <v>429</v>
      </c>
      <c r="K30" s="18" t="s">
        <v>429</v>
      </c>
      <c r="L30" s="19" t="s">
        <v>429</v>
      </c>
      <c r="M30" s="19" t="s">
        <v>429</v>
      </c>
      <c r="N30" s="18" t="s">
        <v>429</v>
      </c>
      <c r="O30" s="18" t="s">
        <v>429</v>
      </c>
      <c r="P30" s="19" t="s">
        <v>429</v>
      </c>
      <c r="Q30" s="19">
        <v>0.9</v>
      </c>
      <c r="R30" s="18" t="s">
        <v>429</v>
      </c>
      <c r="S30" s="18" t="s">
        <v>429</v>
      </c>
      <c r="T30" s="19" t="s">
        <v>429</v>
      </c>
      <c r="U30" s="19" t="s">
        <v>429</v>
      </c>
      <c r="V30" s="18" t="s">
        <v>429</v>
      </c>
      <c r="W30" s="18" t="s">
        <v>429</v>
      </c>
      <c r="X30" s="19" t="s">
        <v>429</v>
      </c>
      <c r="Y30" s="19" t="s">
        <v>429</v>
      </c>
      <c r="Z30" s="18" t="s">
        <v>429</v>
      </c>
      <c r="AA30" s="18" t="s">
        <v>429</v>
      </c>
      <c r="AB30" s="19" t="s">
        <v>429</v>
      </c>
      <c r="AC30" s="19" t="s">
        <v>429</v>
      </c>
      <c r="AD30" s="18" t="s">
        <v>429</v>
      </c>
      <c r="AE30" s="18" t="s">
        <v>429</v>
      </c>
      <c r="AF30" s="19" t="s">
        <v>429</v>
      </c>
      <c r="AG30" s="19" t="s">
        <v>429</v>
      </c>
    </row>
    <row r="31" spans="1:33">
      <c r="A31" s="17" t="s">
        <v>1497</v>
      </c>
      <c r="B31" s="17" t="s">
        <v>1498</v>
      </c>
      <c r="C31" s="18" t="s">
        <v>429</v>
      </c>
      <c r="D31" s="19">
        <v>166.3</v>
      </c>
      <c r="E31" s="19">
        <v>156.69999999999999</v>
      </c>
      <c r="F31" s="18" t="s">
        <v>429</v>
      </c>
      <c r="G31" s="18" t="s">
        <v>429</v>
      </c>
      <c r="H31" s="19" t="s">
        <v>429</v>
      </c>
      <c r="I31" s="19" t="s">
        <v>429</v>
      </c>
      <c r="J31" s="18" t="s">
        <v>429</v>
      </c>
      <c r="K31" s="18" t="s">
        <v>429</v>
      </c>
      <c r="L31" s="19" t="s">
        <v>429</v>
      </c>
      <c r="M31" s="19" t="s">
        <v>429</v>
      </c>
      <c r="N31" s="18" t="s">
        <v>429</v>
      </c>
      <c r="O31" s="18" t="s">
        <v>429</v>
      </c>
      <c r="P31" s="19" t="s">
        <v>429</v>
      </c>
      <c r="Q31" s="19" t="s">
        <v>429</v>
      </c>
      <c r="R31" s="18" t="s">
        <v>429</v>
      </c>
      <c r="S31" s="18" t="s">
        <v>429</v>
      </c>
      <c r="T31" s="19" t="s">
        <v>429</v>
      </c>
      <c r="U31" s="19" t="s">
        <v>429</v>
      </c>
      <c r="V31" s="18" t="s">
        <v>429</v>
      </c>
      <c r="W31" s="18" t="s">
        <v>429</v>
      </c>
      <c r="X31" s="19" t="s">
        <v>429</v>
      </c>
      <c r="Y31" s="19" t="s">
        <v>429</v>
      </c>
      <c r="Z31" s="18" t="s">
        <v>429</v>
      </c>
      <c r="AA31" s="18" t="s">
        <v>429</v>
      </c>
      <c r="AB31" s="19" t="s">
        <v>429</v>
      </c>
      <c r="AC31" s="19" t="s">
        <v>429</v>
      </c>
      <c r="AD31" s="18" t="s">
        <v>429</v>
      </c>
      <c r="AE31" s="18" t="s">
        <v>429</v>
      </c>
      <c r="AF31" s="19" t="s">
        <v>429</v>
      </c>
      <c r="AG31" s="19" t="s">
        <v>429</v>
      </c>
    </row>
    <row r="32" spans="1:33">
      <c r="A32" s="17" t="s">
        <v>1499</v>
      </c>
      <c r="B32" s="17" t="s">
        <v>1500</v>
      </c>
      <c r="C32" s="18">
        <v>167.2</v>
      </c>
      <c r="D32" s="19" t="s">
        <v>429</v>
      </c>
      <c r="E32" s="19" t="s">
        <v>429</v>
      </c>
      <c r="F32" s="18" t="s">
        <v>429</v>
      </c>
      <c r="G32" s="18" t="s">
        <v>429</v>
      </c>
      <c r="H32" s="19" t="s">
        <v>429</v>
      </c>
      <c r="I32" s="19" t="s">
        <v>429</v>
      </c>
      <c r="J32" s="18" t="s">
        <v>429</v>
      </c>
      <c r="K32" s="18" t="s">
        <v>429</v>
      </c>
      <c r="L32" s="19" t="s">
        <v>429</v>
      </c>
      <c r="M32" s="19" t="s">
        <v>429</v>
      </c>
      <c r="N32" s="18" t="s">
        <v>429</v>
      </c>
      <c r="O32" s="18" t="s">
        <v>429</v>
      </c>
      <c r="P32" s="19" t="s">
        <v>429</v>
      </c>
      <c r="Q32" s="19" t="s">
        <v>429</v>
      </c>
      <c r="R32" s="18" t="s">
        <v>429</v>
      </c>
      <c r="S32" s="18" t="s">
        <v>429</v>
      </c>
      <c r="T32" s="19" t="s">
        <v>429</v>
      </c>
      <c r="U32" s="19" t="s">
        <v>429</v>
      </c>
      <c r="V32" s="18" t="s">
        <v>429</v>
      </c>
      <c r="W32" s="18" t="s">
        <v>429</v>
      </c>
      <c r="X32" s="19" t="s">
        <v>429</v>
      </c>
      <c r="Y32" s="19" t="s">
        <v>429</v>
      </c>
      <c r="Z32" s="18" t="s">
        <v>429</v>
      </c>
      <c r="AA32" s="18" t="s">
        <v>429</v>
      </c>
      <c r="AB32" s="19" t="s">
        <v>429</v>
      </c>
      <c r="AC32" s="19" t="s">
        <v>429</v>
      </c>
      <c r="AD32" s="18" t="s">
        <v>429</v>
      </c>
      <c r="AE32" s="18" t="s">
        <v>429</v>
      </c>
      <c r="AF32" s="19" t="s">
        <v>429</v>
      </c>
      <c r="AG32" s="19" t="s">
        <v>429</v>
      </c>
    </row>
    <row r="33" spans="1:33">
      <c r="A33" s="17" t="s">
        <v>1499</v>
      </c>
      <c r="B33" s="17" t="s">
        <v>1501</v>
      </c>
      <c r="C33" s="18">
        <v>0.9</v>
      </c>
      <c r="D33" s="19">
        <v>0.9</v>
      </c>
      <c r="E33" s="19">
        <v>0.9</v>
      </c>
      <c r="F33" s="18" t="s">
        <v>429</v>
      </c>
      <c r="G33" s="18" t="s">
        <v>429</v>
      </c>
      <c r="H33" s="19" t="s">
        <v>429</v>
      </c>
      <c r="I33" s="19" t="s">
        <v>429</v>
      </c>
      <c r="J33" s="18" t="s">
        <v>429</v>
      </c>
      <c r="K33" s="18" t="s">
        <v>429</v>
      </c>
      <c r="L33" s="19" t="s">
        <v>429</v>
      </c>
      <c r="M33" s="19" t="s">
        <v>429</v>
      </c>
      <c r="N33" s="18" t="s">
        <v>429</v>
      </c>
      <c r="O33" s="18" t="s">
        <v>429</v>
      </c>
      <c r="P33" s="19" t="s">
        <v>429</v>
      </c>
      <c r="Q33" s="19" t="s">
        <v>429</v>
      </c>
      <c r="R33" s="18" t="s">
        <v>429</v>
      </c>
      <c r="S33" s="18" t="s">
        <v>429</v>
      </c>
      <c r="T33" s="19" t="s">
        <v>429</v>
      </c>
      <c r="U33" s="19" t="s">
        <v>429</v>
      </c>
      <c r="V33" s="18" t="s">
        <v>429</v>
      </c>
      <c r="W33" s="18" t="s">
        <v>429</v>
      </c>
      <c r="X33" s="19" t="s">
        <v>429</v>
      </c>
      <c r="Y33" s="19" t="s">
        <v>429</v>
      </c>
      <c r="Z33" s="18" t="s">
        <v>429</v>
      </c>
      <c r="AA33" s="18" t="s">
        <v>429</v>
      </c>
      <c r="AB33" s="19" t="s">
        <v>429</v>
      </c>
      <c r="AC33" s="19" t="s">
        <v>429</v>
      </c>
      <c r="AD33" s="18" t="s">
        <v>429</v>
      </c>
      <c r="AE33" s="18" t="s">
        <v>429</v>
      </c>
      <c r="AF33" s="19" t="s">
        <v>429</v>
      </c>
      <c r="AG33" s="19" t="s">
        <v>429</v>
      </c>
    </row>
    <row r="34" spans="1:33">
      <c r="A34" s="17" t="s">
        <v>1499</v>
      </c>
      <c r="B34" s="17" t="s">
        <v>1502</v>
      </c>
      <c r="C34" s="18">
        <v>2.5</v>
      </c>
      <c r="D34" s="19">
        <v>2.5</v>
      </c>
      <c r="E34" s="19">
        <v>2.5</v>
      </c>
      <c r="F34" s="18" t="s">
        <v>429</v>
      </c>
      <c r="G34" s="18" t="s">
        <v>429</v>
      </c>
      <c r="H34" s="19" t="s">
        <v>429</v>
      </c>
      <c r="I34" s="19" t="s">
        <v>429</v>
      </c>
      <c r="J34" s="18" t="s">
        <v>429</v>
      </c>
      <c r="K34" s="18" t="s">
        <v>429</v>
      </c>
      <c r="L34" s="19" t="s">
        <v>429</v>
      </c>
      <c r="M34" s="19" t="s">
        <v>429</v>
      </c>
      <c r="N34" s="18" t="s">
        <v>429</v>
      </c>
      <c r="O34" s="18" t="s">
        <v>429</v>
      </c>
      <c r="P34" s="19" t="s">
        <v>429</v>
      </c>
      <c r="Q34" s="19" t="s">
        <v>429</v>
      </c>
      <c r="R34" s="18" t="s">
        <v>429</v>
      </c>
      <c r="S34" s="18" t="s">
        <v>429</v>
      </c>
      <c r="T34" s="19" t="s">
        <v>429</v>
      </c>
      <c r="U34" s="19" t="s">
        <v>429</v>
      </c>
      <c r="V34" s="18" t="s">
        <v>429</v>
      </c>
      <c r="W34" s="18" t="s">
        <v>429</v>
      </c>
      <c r="X34" s="19" t="s">
        <v>429</v>
      </c>
      <c r="Y34" s="19" t="s">
        <v>429</v>
      </c>
      <c r="Z34" s="18" t="s">
        <v>429</v>
      </c>
      <c r="AA34" s="18" t="s">
        <v>429</v>
      </c>
      <c r="AB34" s="19" t="s">
        <v>429</v>
      </c>
      <c r="AC34" s="19" t="s">
        <v>429</v>
      </c>
      <c r="AD34" s="18" t="s">
        <v>429</v>
      </c>
      <c r="AE34" s="18" t="s">
        <v>429</v>
      </c>
      <c r="AF34" s="19" t="s">
        <v>429</v>
      </c>
      <c r="AG34" s="19" t="s">
        <v>429</v>
      </c>
    </row>
    <row r="35" spans="1:33">
      <c r="A35" s="17" t="s">
        <v>1503</v>
      </c>
      <c r="B35" s="17" t="s">
        <v>1504</v>
      </c>
      <c r="C35" s="18">
        <v>7.8</v>
      </c>
      <c r="D35" s="19">
        <v>7.8</v>
      </c>
      <c r="E35" s="19">
        <v>7.8</v>
      </c>
      <c r="F35" s="18" t="s">
        <v>429</v>
      </c>
      <c r="G35" s="18" t="s">
        <v>429</v>
      </c>
      <c r="H35" s="19" t="s">
        <v>429</v>
      </c>
      <c r="I35" s="19" t="s">
        <v>429</v>
      </c>
      <c r="J35" s="18" t="s">
        <v>429</v>
      </c>
      <c r="K35" s="18" t="s">
        <v>429</v>
      </c>
      <c r="L35" s="19" t="s">
        <v>429</v>
      </c>
      <c r="M35" s="19" t="s">
        <v>429</v>
      </c>
      <c r="N35" s="18" t="s">
        <v>429</v>
      </c>
      <c r="O35" s="18" t="s">
        <v>429</v>
      </c>
      <c r="P35" s="19" t="s">
        <v>429</v>
      </c>
      <c r="Q35" s="19" t="s">
        <v>429</v>
      </c>
      <c r="R35" s="18" t="s">
        <v>429</v>
      </c>
      <c r="S35" s="18" t="s">
        <v>429</v>
      </c>
      <c r="T35" s="19" t="s">
        <v>429</v>
      </c>
      <c r="U35" s="19" t="s">
        <v>429</v>
      </c>
      <c r="V35" s="18" t="s">
        <v>429</v>
      </c>
      <c r="W35" s="18" t="s">
        <v>429</v>
      </c>
      <c r="X35" s="19" t="s">
        <v>429</v>
      </c>
      <c r="Y35" s="19" t="s">
        <v>429</v>
      </c>
      <c r="Z35" s="18" t="s">
        <v>429</v>
      </c>
      <c r="AA35" s="18" t="s">
        <v>429</v>
      </c>
      <c r="AB35" s="19" t="s">
        <v>429</v>
      </c>
      <c r="AC35" s="19" t="s">
        <v>429</v>
      </c>
      <c r="AD35" s="18" t="s">
        <v>429</v>
      </c>
      <c r="AE35" s="18" t="s">
        <v>429</v>
      </c>
      <c r="AF35" s="19" t="s">
        <v>429</v>
      </c>
      <c r="AG35" s="19" t="s">
        <v>429</v>
      </c>
    </row>
    <row r="36" spans="1:33">
      <c r="A36" s="17" t="s">
        <v>1505</v>
      </c>
      <c r="B36" s="17" t="s">
        <v>1506</v>
      </c>
      <c r="C36" s="18">
        <v>-8</v>
      </c>
      <c r="D36" s="19">
        <v>-4.7</v>
      </c>
      <c r="E36" s="19">
        <v>-1.5</v>
      </c>
      <c r="F36" s="18" t="s">
        <v>429</v>
      </c>
      <c r="G36" s="18" t="s">
        <v>429</v>
      </c>
      <c r="H36" s="19" t="s">
        <v>429</v>
      </c>
      <c r="I36" s="19" t="s">
        <v>429</v>
      </c>
      <c r="J36" s="18" t="s">
        <v>429</v>
      </c>
      <c r="K36" s="18" t="s">
        <v>429</v>
      </c>
      <c r="L36" s="19" t="s">
        <v>429</v>
      </c>
      <c r="M36" s="19" t="s">
        <v>429</v>
      </c>
      <c r="N36" s="18" t="s">
        <v>429</v>
      </c>
      <c r="O36" s="18" t="s">
        <v>429</v>
      </c>
      <c r="P36" s="19" t="s">
        <v>429</v>
      </c>
      <c r="Q36" s="19" t="s">
        <v>429</v>
      </c>
      <c r="R36" s="18" t="s">
        <v>429</v>
      </c>
      <c r="S36" s="18" t="s">
        <v>429</v>
      </c>
      <c r="T36" s="19" t="s">
        <v>429</v>
      </c>
      <c r="U36" s="19" t="s">
        <v>429</v>
      </c>
      <c r="V36" s="18" t="s">
        <v>429</v>
      </c>
      <c r="W36" s="18" t="s">
        <v>429</v>
      </c>
      <c r="X36" s="19" t="s">
        <v>429</v>
      </c>
      <c r="Y36" s="19" t="s">
        <v>429</v>
      </c>
      <c r="Z36" s="18" t="s">
        <v>429</v>
      </c>
      <c r="AA36" s="18" t="s">
        <v>429</v>
      </c>
      <c r="AB36" s="19" t="s">
        <v>429</v>
      </c>
      <c r="AC36" s="19" t="s">
        <v>429</v>
      </c>
      <c r="AD36" s="18" t="s">
        <v>429</v>
      </c>
      <c r="AE36" s="18" t="s">
        <v>429</v>
      </c>
      <c r="AF36" s="19" t="s">
        <v>429</v>
      </c>
      <c r="AG36" s="19" t="s">
        <v>429</v>
      </c>
    </row>
    <row r="37" spans="1:33">
      <c r="A37" s="17" t="s">
        <v>1507</v>
      </c>
      <c r="B37" s="17" t="s">
        <v>1508</v>
      </c>
      <c r="C37" s="18">
        <v>3249.6</v>
      </c>
      <c r="D37" s="19">
        <v>3051.5</v>
      </c>
      <c r="E37" s="19">
        <v>3106.5</v>
      </c>
      <c r="F37" s="18">
        <v>3083</v>
      </c>
      <c r="G37" s="18">
        <v>3031.3</v>
      </c>
      <c r="H37" s="19">
        <v>3212.3</v>
      </c>
      <c r="I37" s="19">
        <v>3570</v>
      </c>
      <c r="J37" s="18">
        <v>3515.7</v>
      </c>
      <c r="K37" s="18">
        <v>3517.1</v>
      </c>
      <c r="L37" s="19">
        <v>3524.6</v>
      </c>
      <c r="M37" s="19">
        <v>3400.5</v>
      </c>
      <c r="N37" s="18">
        <v>3724.2</v>
      </c>
      <c r="O37" s="18">
        <v>3091.1</v>
      </c>
      <c r="P37" s="19">
        <v>3019.2</v>
      </c>
      <c r="Q37" s="19">
        <v>2960</v>
      </c>
      <c r="R37" s="18">
        <v>2646.8</v>
      </c>
      <c r="S37" s="18">
        <v>2545.3000000000002</v>
      </c>
      <c r="T37" s="19">
        <v>2438.6</v>
      </c>
      <c r="U37" s="19">
        <v>2351.1999999999998</v>
      </c>
      <c r="V37" s="18">
        <v>2316.1</v>
      </c>
      <c r="W37" s="18">
        <v>2385.8000000000002</v>
      </c>
      <c r="X37" s="19">
        <v>2476.6999999999998</v>
      </c>
      <c r="Y37" s="19">
        <v>2403.9</v>
      </c>
      <c r="Z37" s="18">
        <v>2343.3000000000002</v>
      </c>
      <c r="AA37" s="18">
        <v>2225.6999999999998</v>
      </c>
      <c r="AB37" s="19">
        <v>2136.5</v>
      </c>
      <c r="AC37" s="19">
        <v>2386.6</v>
      </c>
      <c r="AD37" s="18">
        <v>2416.6</v>
      </c>
      <c r="AE37" s="18">
        <v>2379.5</v>
      </c>
      <c r="AF37" s="19">
        <v>2347.1</v>
      </c>
      <c r="AG37" s="19">
        <v>2295.6</v>
      </c>
    </row>
    <row r="38" spans="1:33">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c r="AD38" s="20"/>
      <c r="AE38" s="20"/>
      <c r="AF38" s="20"/>
      <c r="AG38" s="20"/>
    </row>
    <row r="39" spans="1:33">
      <c r="A39" s="15"/>
      <c r="B39" s="16" t="s">
        <v>1509</v>
      </c>
      <c r="C39" s="16"/>
      <c r="D39" s="16"/>
      <c r="E39" s="16"/>
      <c r="F39" s="16"/>
      <c r="G39" s="16"/>
      <c r="H39" s="16"/>
      <c r="I39" s="16"/>
      <c r="J39" s="16"/>
      <c r="K39" s="16"/>
      <c r="L39" s="16"/>
      <c r="M39" s="16"/>
      <c r="N39" s="16"/>
      <c r="O39" s="16"/>
      <c r="P39" s="16"/>
      <c r="Q39" s="16"/>
      <c r="R39" s="16"/>
      <c r="S39" s="16"/>
      <c r="T39" s="16"/>
      <c r="U39" s="16"/>
      <c r="V39" s="16"/>
      <c r="W39" s="16"/>
      <c r="X39" s="16"/>
      <c r="Y39" s="16"/>
      <c r="Z39" s="16"/>
      <c r="AA39" s="16"/>
      <c r="AB39" s="16"/>
      <c r="AC39" s="16"/>
      <c r="AD39" s="16"/>
      <c r="AE39" s="16"/>
      <c r="AF39" s="16"/>
      <c r="AG39" s="16"/>
    </row>
    <row r="40" spans="1:33">
      <c r="A40" s="17" t="s">
        <v>1510</v>
      </c>
      <c r="B40" s="17" t="s">
        <v>1511</v>
      </c>
      <c r="C40" s="18">
        <v>5.7</v>
      </c>
      <c r="D40" s="19">
        <v>5.7</v>
      </c>
      <c r="E40" s="19">
        <v>6.6</v>
      </c>
      <c r="F40" s="18">
        <v>7.8</v>
      </c>
      <c r="G40" s="18">
        <v>16.5</v>
      </c>
      <c r="H40" s="19">
        <v>2.1</v>
      </c>
      <c r="I40" s="19">
        <v>2.9</v>
      </c>
      <c r="J40" s="18">
        <v>3.5</v>
      </c>
      <c r="K40" s="18">
        <v>3.7</v>
      </c>
      <c r="L40" s="19">
        <v>3.4</v>
      </c>
      <c r="M40" s="19">
        <v>4.7</v>
      </c>
      <c r="N40" s="18">
        <v>6.8</v>
      </c>
      <c r="O40" s="18">
        <v>3</v>
      </c>
      <c r="P40" s="19">
        <v>3.4</v>
      </c>
      <c r="Q40" s="19">
        <v>3.6</v>
      </c>
      <c r="R40" s="18">
        <v>2.4</v>
      </c>
      <c r="S40" s="18">
        <v>2.1</v>
      </c>
      <c r="T40" s="19">
        <v>1.9</v>
      </c>
      <c r="U40" s="19">
        <v>3.9</v>
      </c>
      <c r="V40" s="18">
        <v>3.7</v>
      </c>
      <c r="W40" s="18">
        <v>4.0999999999999996</v>
      </c>
      <c r="X40" s="19">
        <v>8.6</v>
      </c>
      <c r="Y40" s="19">
        <v>5.4</v>
      </c>
      <c r="Z40" s="18">
        <v>4.3</v>
      </c>
      <c r="AA40" s="18">
        <v>3.9</v>
      </c>
      <c r="AB40" s="19">
        <v>4.0999999999999996</v>
      </c>
      <c r="AC40" s="19">
        <v>20.8</v>
      </c>
      <c r="AD40" s="18">
        <v>5.4</v>
      </c>
      <c r="AE40" s="18">
        <v>4.5999999999999996</v>
      </c>
      <c r="AF40" s="19">
        <v>4.7</v>
      </c>
      <c r="AG40" s="19">
        <v>4.8</v>
      </c>
    </row>
    <row r="41" spans="1:33">
      <c r="A41" s="17" t="s">
        <v>1512</v>
      </c>
      <c r="B41" s="17" t="s">
        <v>1513</v>
      </c>
      <c r="C41" s="18" t="s">
        <v>429</v>
      </c>
      <c r="D41" s="19" t="s">
        <v>429</v>
      </c>
      <c r="E41" s="19" t="s">
        <v>429</v>
      </c>
      <c r="F41" s="18" t="s">
        <v>429</v>
      </c>
      <c r="G41" s="18" t="s">
        <v>429</v>
      </c>
      <c r="H41" s="19" t="s">
        <v>429</v>
      </c>
      <c r="I41" s="19" t="s">
        <v>429</v>
      </c>
      <c r="J41" s="18" t="s">
        <v>429</v>
      </c>
      <c r="K41" s="18" t="s">
        <v>429</v>
      </c>
      <c r="L41" s="19" t="s">
        <v>429</v>
      </c>
      <c r="M41" s="19" t="s">
        <v>429</v>
      </c>
      <c r="N41" s="18" t="s">
        <v>429</v>
      </c>
      <c r="O41" s="18" t="s">
        <v>429</v>
      </c>
      <c r="P41" s="19" t="s">
        <v>429</v>
      </c>
      <c r="Q41" s="19" t="s">
        <v>429</v>
      </c>
      <c r="R41" s="18" t="s">
        <v>429</v>
      </c>
      <c r="S41" s="18">
        <v>46.4</v>
      </c>
      <c r="T41" s="19">
        <v>47.1</v>
      </c>
      <c r="U41" s="19">
        <v>46.7</v>
      </c>
      <c r="V41" s="18">
        <v>47.1</v>
      </c>
      <c r="W41" s="18">
        <v>46.6</v>
      </c>
      <c r="X41" s="19">
        <v>90.6</v>
      </c>
      <c r="Y41" s="19">
        <v>69.3</v>
      </c>
      <c r="Z41" s="18">
        <v>70.5</v>
      </c>
      <c r="AA41" s="18">
        <v>67.7</v>
      </c>
      <c r="AB41" s="19">
        <v>69</v>
      </c>
      <c r="AC41" s="19">
        <v>68.2</v>
      </c>
      <c r="AD41" s="18">
        <v>69</v>
      </c>
      <c r="AE41" s="18">
        <v>67.900000000000006</v>
      </c>
      <c r="AF41" s="19">
        <v>69</v>
      </c>
      <c r="AG41" s="19">
        <v>68.2</v>
      </c>
    </row>
    <row r="42" spans="1:33">
      <c r="A42" s="17" t="s">
        <v>1514</v>
      </c>
      <c r="B42" s="17" t="s">
        <v>1515</v>
      </c>
      <c r="C42" s="18" t="s">
        <v>429</v>
      </c>
      <c r="D42" s="19" t="s">
        <v>429</v>
      </c>
      <c r="E42" s="19" t="s">
        <v>429</v>
      </c>
      <c r="F42" s="18" t="s">
        <v>429</v>
      </c>
      <c r="G42" s="18" t="s">
        <v>429</v>
      </c>
      <c r="H42" s="19" t="s">
        <v>429</v>
      </c>
      <c r="I42" s="19" t="s">
        <v>429</v>
      </c>
      <c r="J42" s="18" t="s">
        <v>429</v>
      </c>
      <c r="K42" s="18" t="s">
        <v>429</v>
      </c>
      <c r="L42" s="19" t="s">
        <v>429</v>
      </c>
      <c r="M42" s="19" t="s">
        <v>429</v>
      </c>
      <c r="N42" s="18">
        <v>0</v>
      </c>
      <c r="O42" s="18">
        <v>0</v>
      </c>
      <c r="P42" s="19">
        <v>26.7</v>
      </c>
      <c r="Q42" s="19" t="s">
        <v>429</v>
      </c>
      <c r="R42" s="18">
        <v>0</v>
      </c>
      <c r="S42" s="18" t="s">
        <v>429</v>
      </c>
      <c r="T42" s="19" t="s">
        <v>429</v>
      </c>
      <c r="U42" s="19" t="s">
        <v>429</v>
      </c>
      <c r="V42" s="18" t="s">
        <v>429</v>
      </c>
      <c r="W42" s="18" t="s">
        <v>429</v>
      </c>
      <c r="X42" s="19" t="s">
        <v>429</v>
      </c>
      <c r="Y42" s="19" t="s">
        <v>429</v>
      </c>
      <c r="Z42" s="18" t="s">
        <v>429</v>
      </c>
      <c r="AA42" s="18" t="s">
        <v>429</v>
      </c>
      <c r="AB42" s="19" t="s">
        <v>429</v>
      </c>
      <c r="AC42" s="19" t="s">
        <v>429</v>
      </c>
      <c r="AD42" s="18" t="s">
        <v>429</v>
      </c>
      <c r="AE42" s="18" t="s">
        <v>429</v>
      </c>
      <c r="AF42" s="19" t="s">
        <v>429</v>
      </c>
      <c r="AG42" s="19" t="s">
        <v>429</v>
      </c>
    </row>
    <row r="43" spans="1:33">
      <c r="A43" s="17" t="s">
        <v>1516</v>
      </c>
      <c r="B43" s="17" t="s">
        <v>1517</v>
      </c>
      <c r="C43" s="18" t="s">
        <v>429</v>
      </c>
      <c r="D43" s="19" t="s">
        <v>429</v>
      </c>
      <c r="E43" s="19" t="s">
        <v>429</v>
      </c>
      <c r="F43" s="18" t="s">
        <v>429</v>
      </c>
      <c r="G43" s="18" t="s">
        <v>429</v>
      </c>
      <c r="H43" s="19" t="s">
        <v>429</v>
      </c>
      <c r="I43" s="19" t="s">
        <v>429</v>
      </c>
      <c r="J43" s="18" t="s">
        <v>429</v>
      </c>
      <c r="K43" s="18" t="s">
        <v>429</v>
      </c>
      <c r="L43" s="19" t="s">
        <v>429</v>
      </c>
      <c r="M43" s="19" t="s">
        <v>429</v>
      </c>
      <c r="N43" s="18" t="s">
        <v>429</v>
      </c>
      <c r="O43" s="18" t="s">
        <v>429</v>
      </c>
      <c r="P43" s="19" t="s">
        <v>429</v>
      </c>
      <c r="Q43" s="19" t="s">
        <v>429</v>
      </c>
      <c r="R43" s="18" t="s">
        <v>429</v>
      </c>
      <c r="S43" s="18" t="s">
        <v>429</v>
      </c>
      <c r="T43" s="19" t="s">
        <v>429</v>
      </c>
      <c r="U43" s="19" t="s">
        <v>429</v>
      </c>
      <c r="V43" s="18" t="s">
        <v>429</v>
      </c>
      <c r="W43" s="18" t="s">
        <v>429</v>
      </c>
      <c r="X43" s="19">
        <v>0</v>
      </c>
      <c r="Y43" s="19">
        <v>425</v>
      </c>
      <c r="Z43" s="18">
        <v>225</v>
      </c>
      <c r="AA43" s="18" t="s">
        <v>429</v>
      </c>
      <c r="AB43" s="19">
        <v>0</v>
      </c>
      <c r="AC43" s="19">
        <v>0</v>
      </c>
      <c r="AD43" s="18">
        <v>199.8</v>
      </c>
      <c r="AE43" s="18" t="s">
        <v>429</v>
      </c>
      <c r="AF43" s="19">
        <v>0</v>
      </c>
      <c r="AG43" s="19" t="s">
        <v>429</v>
      </c>
    </row>
    <row r="44" spans="1:33">
      <c r="A44" s="17" t="s">
        <v>1516</v>
      </c>
      <c r="B44" s="17" t="s">
        <v>1518</v>
      </c>
      <c r="C44" s="18">
        <v>61.4</v>
      </c>
      <c r="D44" s="19">
        <v>61.7</v>
      </c>
      <c r="E44" s="19">
        <v>60.3</v>
      </c>
      <c r="F44" s="18">
        <v>60.3</v>
      </c>
      <c r="G44" s="18">
        <v>58.9</v>
      </c>
      <c r="H44" s="19">
        <v>59.7</v>
      </c>
      <c r="I44" s="19">
        <v>58.9</v>
      </c>
      <c r="J44" s="18">
        <v>59.7</v>
      </c>
      <c r="K44" s="18">
        <v>58.9</v>
      </c>
      <c r="L44" s="19">
        <v>59.7</v>
      </c>
      <c r="M44" s="19">
        <v>58.9</v>
      </c>
      <c r="N44" s="18">
        <v>59.7</v>
      </c>
      <c r="O44" s="18">
        <v>51.3</v>
      </c>
      <c r="P44" s="19">
        <v>52.1</v>
      </c>
      <c r="Q44" s="19">
        <v>51.3</v>
      </c>
      <c r="R44" s="18">
        <v>47.1</v>
      </c>
      <c r="S44" s="18">
        <v>0.8</v>
      </c>
      <c r="T44" s="19">
        <v>1.6</v>
      </c>
      <c r="U44" s="19">
        <v>2.2999999999999998</v>
      </c>
      <c r="V44" s="18">
        <v>0</v>
      </c>
      <c r="W44" s="18">
        <v>0</v>
      </c>
      <c r="X44" s="19">
        <v>0.1</v>
      </c>
      <c r="Y44" s="19">
        <v>2.1</v>
      </c>
      <c r="Z44" s="18">
        <v>2.9</v>
      </c>
      <c r="AA44" s="18" t="s">
        <v>429</v>
      </c>
      <c r="AB44" s="19">
        <v>0</v>
      </c>
      <c r="AC44" s="19" t="s">
        <v>429</v>
      </c>
      <c r="AD44" s="18" t="s">
        <v>429</v>
      </c>
      <c r="AE44" s="18" t="s">
        <v>429</v>
      </c>
      <c r="AF44" s="19" t="s">
        <v>429</v>
      </c>
      <c r="AG44" s="19" t="s">
        <v>429</v>
      </c>
    </row>
    <row r="45" spans="1:33">
      <c r="A45" s="17" t="s">
        <v>1519</v>
      </c>
      <c r="B45" s="17" t="s">
        <v>1520</v>
      </c>
      <c r="C45" s="18">
        <v>4.8</v>
      </c>
      <c r="D45" s="19">
        <v>39.4</v>
      </c>
      <c r="E45" s="19">
        <v>23.4</v>
      </c>
      <c r="F45" s="18">
        <v>68.8</v>
      </c>
      <c r="G45" s="18">
        <v>68.099999999999994</v>
      </c>
      <c r="H45" s="19" t="s">
        <v>429</v>
      </c>
      <c r="I45" s="19" t="s">
        <v>429</v>
      </c>
      <c r="J45" s="18" t="s">
        <v>429</v>
      </c>
      <c r="K45" s="18" t="s">
        <v>429</v>
      </c>
      <c r="L45" s="19" t="s">
        <v>429</v>
      </c>
      <c r="M45" s="19" t="s">
        <v>429</v>
      </c>
      <c r="N45" s="18" t="s">
        <v>429</v>
      </c>
      <c r="O45" s="18" t="s">
        <v>429</v>
      </c>
      <c r="P45" s="19" t="s">
        <v>429</v>
      </c>
      <c r="Q45" s="19" t="s">
        <v>429</v>
      </c>
      <c r="R45" s="18" t="s">
        <v>429</v>
      </c>
      <c r="S45" s="18" t="s">
        <v>429</v>
      </c>
      <c r="T45" s="19" t="s">
        <v>429</v>
      </c>
      <c r="U45" s="19" t="s">
        <v>429</v>
      </c>
      <c r="V45" s="18" t="s">
        <v>429</v>
      </c>
      <c r="W45" s="18" t="s">
        <v>429</v>
      </c>
      <c r="X45" s="19" t="s">
        <v>429</v>
      </c>
      <c r="Y45" s="19" t="s">
        <v>429</v>
      </c>
      <c r="Z45" s="18" t="s">
        <v>429</v>
      </c>
      <c r="AA45" s="18" t="s">
        <v>429</v>
      </c>
      <c r="AB45" s="19" t="s">
        <v>429</v>
      </c>
      <c r="AC45" s="19" t="s">
        <v>429</v>
      </c>
      <c r="AD45" s="18" t="s">
        <v>429</v>
      </c>
      <c r="AE45" s="18" t="s">
        <v>429</v>
      </c>
      <c r="AF45" s="19" t="s">
        <v>429</v>
      </c>
      <c r="AG45" s="19" t="s">
        <v>429</v>
      </c>
    </row>
    <row r="46" spans="1:33">
      <c r="A46" s="17" t="s">
        <v>1512</v>
      </c>
      <c r="B46" s="17" t="s">
        <v>1521</v>
      </c>
      <c r="C46" s="18">
        <v>0</v>
      </c>
      <c r="D46" s="19">
        <v>39</v>
      </c>
      <c r="E46" s="19">
        <v>0</v>
      </c>
      <c r="F46" s="18">
        <v>39.6</v>
      </c>
      <c r="G46" s="18" t="s">
        <v>429</v>
      </c>
      <c r="H46" s="19" t="s">
        <v>429</v>
      </c>
      <c r="I46" s="19" t="s">
        <v>429</v>
      </c>
      <c r="J46" s="18" t="s">
        <v>429</v>
      </c>
      <c r="K46" s="18" t="s">
        <v>429</v>
      </c>
      <c r="L46" s="19" t="s">
        <v>429</v>
      </c>
      <c r="M46" s="19" t="s">
        <v>429</v>
      </c>
      <c r="N46" s="18" t="s">
        <v>429</v>
      </c>
      <c r="O46" s="18" t="s">
        <v>429</v>
      </c>
      <c r="P46" s="19" t="s">
        <v>429</v>
      </c>
      <c r="Q46" s="19" t="s">
        <v>429</v>
      </c>
      <c r="R46" s="18" t="s">
        <v>429</v>
      </c>
      <c r="S46" s="18" t="s">
        <v>429</v>
      </c>
      <c r="T46" s="19" t="s">
        <v>429</v>
      </c>
      <c r="U46" s="19" t="s">
        <v>429</v>
      </c>
      <c r="V46" s="18" t="s">
        <v>429</v>
      </c>
      <c r="W46" s="18" t="s">
        <v>429</v>
      </c>
      <c r="X46" s="19" t="s">
        <v>429</v>
      </c>
      <c r="Y46" s="19" t="s">
        <v>429</v>
      </c>
      <c r="Z46" s="18" t="s">
        <v>429</v>
      </c>
      <c r="AA46" s="18" t="s">
        <v>429</v>
      </c>
      <c r="AB46" s="19" t="s">
        <v>429</v>
      </c>
      <c r="AC46" s="19" t="s">
        <v>429</v>
      </c>
      <c r="AD46" s="18" t="s">
        <v>429</v>
      </c>
      <c r="AE46" s="18" t="s">
        <v>429</v>
      </c>
      <c r="AF46" s="19" t="s">
        <v>429</v>
      </c>
      <c r="AG46" s="19" t="s">
        <v>429</v>
      </c>
    </row>
    <row r="47" spans="1:33">
      <c r="A47" s="17" t="s">
        <v>1522</v>
      </c>
      <c r="B47" s="17" t="s">
        <v>1523</v>
      </c>
      <c r="C47" s="18">
        <v>0.2</v>
      </c>
      <c r="D47" s="19" t="s">
        <v>429</v>
      </c>
      <c r="E47" s="19" t="s">
        <v>429</v>
      </c>
      <c r="F47" s="18" t="s">
        <v>429</v>
      </c>
      <c r="G47" s="18" t="s">
        <v>429</v>
      </c>
      <c r="H47" s="19" t="s">
        <v>429</v>
      </c>
      <c r="I47" s="19" t="s">
        <v>429</v>
      </c>
      <c r="J47" s="18" t="s">
        <v>429</v>
      </c>
      <c r="K47" s="18" t="s">
        <v>429</v>
      </c>
      <c r="L47" s="19" t="s">
        <v>429</v>
      </c>
      <c r="M47" s="19" t="s">
        <v>429</v>
      </c>
      <c r="N47" s="18" t="s">
        <v>429</v>
      </c>
      <c r="O47" s="18" t="s">
        <v>429</v>
      </c>
      <c r="P47" s="19" t="s">
        <v>429</v>
      </c>
      <c r="Q47" s="19" t="s">
        <v>429</v>
      </c>
      <c r="R47" s="18" t="s">
        <v>429</v>
      </c>
      <c r="S47" s="18" t="s">
        <v>429</v>
      </c>
      <c r="T47" s="19" t="s">
        <v>429</v>
      </c>
      <c r="U47" s="19" t="s">
        <v>429</v>
      </c>
      <c r="V47" s="18" t="s">
        <v>429</v>
      </c>
      <c r="W47" s="18" t="s">
        <v>429</v>
      </c>
      <c r="X47" s="19" t="s">
        <v>429</v>
      </c>
      <c r="Y47" s="19" t="s">
        <v>429</v>
      </c>
      <c r="Z47" s="18" t="s">
        <v>429</v>
      </c>
      <c r="AA47" s="18" t="s">
        <v>429</v>
      </c>
      <c r="AB47" s="19" t="s">
        <v>429</v>
      </c>
      <c r="AC47" s="19" t="s">
        <v>429</v>
      </c>
      <c r="AD47" s="18" t="s">
        <v>429</v>
      </c>
      <c r="AE47" s="18" t="s">
        <v>429</v>
      </c>
      <c r="AF47" s="19" t="s">
        <v>429</v>
      </c>
      <c r="AG47" s="19" t="s">
        <v>429</v>
      </c>
    </row>
    <row r="48" spans="1:33">
      <c r="A48" s="17" t="s">
        <v>1524</v>
      </c>
      <c r="B48" s="17" t="s">
        <v>1525</v>
      </c>
      <c r="C48" s="18">
        <v>72.099999999999994</v>
      </c>
      <c r="D48" s="19">
        <v>145.80000000000001</v>
      </c>
      <c r="E48" s="19">
        <v>90.3</v>
      </c>
      <c r="F48" s="18">
        <v>176.5</v>
      </c>
      <c r="G48" s="18">
        <v>143.5</v>
      </c>
      <c r="H48" s="19">
        <v>61.9</v>
      </c>
      <c r="I48" s="19">
        <v>61.8</v>
      </c>
      <c r="J48" s="18">
        <v>63.2</v>
      </c>
      <c r="K48" s="18">
        <v>62.6</v>
      </c>
      <c r="L48" s="19">
        <v>63.2</v>
      </c>
      <c r="M48" s="19">
        <v>63.5</v>
      </c>
      <c r="N48" s="18">
        <v>66.5</v>
      </c>
      <c r="O48" s="18">
        <v>54.3</v>
      </c>
      <c r="P48" s="19">
        <v>82.2</v>
      </c>
      <c r="Q48" s="19">
        <v>54.9</v>
      </c>
      <c r="R48" s="18">
        <v>49.5</v>
      </c>
      <c r="S48" s="18">
        <v>49.3</v>
      </c>
      <c r="T48" s="19">
        <v>50.6</v>
      </c>
      <c r="U48" s="19">
        <v>52.8</v>
      </c>
      <c r="V48" s="18">
        <v>50.8</v>
      </c>
      <c r="W48" s="18">
        <v>50.6</v>
      </c>
      <c r="X48" s="19">
        <v>99.3</v>
      </c>
      <c r="Y48" s="19">
        <v>501.7</v>
      </c>
      <c r="Z48" s="18">
        <v>302.7</v>
      </c>
      <c r="AA48" s="18">
        <v>71.599999999999994</v>
      </c>
      <c r="AB48" s="19">
        <v>73.099999999999994</v>
      </c>
      <c r="AC48" s="19">
        <v>89</v>
      </c>
      <c r="AD48" s="18">
        <v>274.2</v>
      </c>
      <c r="AE48" s="18">
        <v>72.400000000000006</v>
      </c>
      <c r="AF48" s="19">
        <v>73.7</v>
      </c>
      <c r="AG48" s="19">
        <v>73</v>
      </c>
    </row>
    <row r="49" spans="1:33">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c r="AD49" s="20"/>
      <c r="AE49" s="20"/>
      <c r="AF49" s="20"/>
      <c r="AG49" s="20"/>
    </row>
    <row r="50" spans="1:33">
      <c r="A50" s="17" t="s">
        <v>1526</v>
      </c>
      <c r="B50" s="17" t="s">
        <v>1521</v>
      </c>
      <c r="C50" s="18" t="s">
        <v>429</v>
      </c>
      <c r="D50" s="19" t="s">
        <v>429</v>
      </c>
      <c r="E50" s="19" t="s">
        <v>429</v>
      </c>
      <c r="F50" s="18" t="s">
        <v>429</v>
      </c>
      <c r="G50" s="18" t="s">
        <v>429</v>
      </c>
      <c r="H50" s="19" t="s">
        <v>429</v>
      </c>
      <c r="I50" s="19" t="s">
        <v>429</v>
      </c>
      <c r="J50" s="18" t="s">
        <v>429</v>
      </c>
      <c r="K50" s="18" t="s">
        <v>429</v>
      </c>
      <c r="L50" s="19" t="s">
        <v>429</v>
      </c>
      <c r="M50" s="19" t="s">
        <v>429</v>
      </c>
      <c r="N50" s="18" t="s">
        <v>429</v>
      </c>
      <c r="O50" s="18" t="s">
        <v>429</v>
      </c>
      <c r="P50" s="19">
        <v>-0.6</v>
      </c>
      <c r="Q50" s="19" t="s">
        <v>429</v>
      </c>
      <c r="R50" s="18" t="s">
        <v>429</v>
      </c>
      <c r="S50" s="18" t="s">
        <v>429</v>
      </c>
      <c r="T50" s="19" t="s">
        <v>429</v>
      </c>
      <c r="U50" s="19" t="s">
        <v>429</v>
      </c>
      <c r="V50" s="18" t="s">
        <v>429</v>
      </c>
      <c r="W50" s="18" t="s">
        <v>429</v>
      </c>
      <c r="X50" s="19" t="s">
        <v>429</v>
      </c>
      <c r="Y50" s="19" t="s">
        <v>429</v>
      </c>
      <c r="Z50" s="18" t="s">
        <v>429</v>
      </c>
      <c r="AA50" s="18" t="s">
        <v>429</v>
      </c>
      <c r="AB50" s="19" t="s">
        <v>429</v>
      </c>
      <c r="AC50" s="19" t="s">
        <v>429</v>
      </c>
      <c r="AD50" s="18" t="s">
        <v>429</v>
      </c>
      <c r="AE50" s="18" t="s">
        <v>429</v>
      </c>
      <c r="AF50" s="19" t="s">
        <v>429</v>
      </c>
      <c r="AG50" s="19" t="s">
        <v>429</v>
      </c>
    </row>
    <row r="51" spans="1:33">
      <c r="A51" s="17" t="s">
        <v>1526</v>
      </c>
      <c r="B51" s="17" t="s">
        <v>1517</v>
      </c>
      <c r="C51" s="18">
        <v>99.2</v>
      </c>
      <c r="D51" s="19" t="s">
        <v>429</v>
      </c>
      <c r="E51" s="19">
        <v>178.8</v>
      </c>
      <c r="F51" s="18" t="s">
        <v>429</v>
      </c>
      <c r="G51" s="18" t="s">
        <v>429</v>
      </c>
      <c r="H51" s="19" t="s">
        <v>429</v>
      </c>
      <c r="I51" s="19" t="s">
        <v>429</v>
      </c>
      <c r="J51" s="18" t="s">
        <v>429</v>
      </c>
      <c r="K51" s="18" t="s">
        <v>429</v>
      </c>
      <c r="L51" s="19">
        <v>0</v>
      </c>
      <c r="M51" s="19">
        <v>0</v>
      </c>
      <c r="N51" s="18">
        <v>203.4</v>
      </c>
      <c r="O51" s="18" t="s">
        <v>429</v>
      </c>
      <c r="P51" s="19" t="s">
        <v>429</v>
      </c>
      <c r="Q51" s="19" t="s">
        <v>429</v>
      </c>
      <c r="R51" s="18">
        <v>0</v>
      </c>
      <c r="S51" s="18">
        <v>24.5</v>
      </c>
      <c r="T51" s="19">
        <v>54</v>
      </c>
      <c r="U51" s="19">
        <v>83.4</v>
      </c>
      <c r="V51" s="18">
        <v>82.9</v>
      </c>
      <c r="W51" s="18">
        <v>97.3</v>
      </c>
      <c r="X51" s="19">
        <v>121.8</v>
      </c>
      <c r="Y51" s="19">
        <v>0</v>
      </c>
      <c r="Z51" s="18">
        <v>200</v>
      </c>
      <c r="AA51" s="18">
        <v>423.9</v>
      </c>
      <c r="AB51" s="19">
        <v>423.6</v>
      </c>
      <c r="AC51" s="19">
        <v>423.7</v>
      </c>
      <c r="AD51" s="18">
        <v>224.2</v>
      </c>
      <c r="AE51" s="18">
        <v>423.8</v>
      </c>
      <c r="AF51" s="19">
        <v>423.6</v>
      </c>
      <c r="AG51" s="19">
        <v>423.3</v>
      </c>
    </row>
    <row r="52" spans="1:33">
      <c r="A52" s="17" t="s">
        <v>1526</v>
      </c>
      <c r="B52" s="17" t="s">
        <v>1527</v>
      </c>
      <c r="C52" s="18">
        <v>1111.3</v>
      </c>
      <c r="D52" s="19">
        <v>1098</v>
      </c>
      <c r="E52" s="19">
        <v>1087.4000000000001</v>
      </c>
      <c r="F52" s="18">
        <v>1072.7</v>
      </c>
      <c r="G52" s="18">
        <v>1061.8</v>
      </c>
      <c r="H52" s="19">
        <v>1061.8</v>
      </c>
      <c r="I52" s="19">
        <v>1061.8</v>
      </c>
      <c r="J52" s="18">
        <v>1061.7</v>
      </c>
      <c r="K52" s="18">
        <v>1061.7</v>
      </c>
      <c r="L52" s="19">
        <v>1061.7</v>
      </c>
      <c r="M52" s="19">
        <v>1061.7</v>
      </c>
      <c r="N52" s="18">
        <v>1061.7</v>
      </c>
      <c r="O52" s="18">
        <v>925.9</v>
      </c>
      <c r="P52" s="19">
        <v>925.8</v>
      </c>
      <c r="Q52" s="19">
        <v>925.8</v>
      </c>
      <c r="R52" s="18">
        <v>836.8</v>
      </c>
      <c r="S52" s="18">
        <v>836.8</v>
      </c>
      <c r="T52" s="19">
        <v>836.8</v>
      </c>
      <c r="U52" s="19">
        <v>836.8</v>
      </c>
      <c r="V52" s="18">
        <v>836.8</v>
      </c>
      <c r="W52" s="18">
        <v>836.8</v>
      </c>
      <c r="X52" s="19">
        <v>836.8</v>
      </c>
      <c r="Y52" s="19">
        <v>1256.8</v>
      </c>
      <c r="Z52" s="18">
        <v>1256.8</v>
      </c>
      <c r="AA52" s="18">
        <v>1231.5</v>
      </c>
      <c r="AB52" s="19">
        <v>1231.5</v>
      </c>
      <c r="AC52" s="19">
        <v>1231.5</v>
      </c>
      <c r="AD52" s="18">
        <v>1231.5</v>
      </c>
      <c r="AE52" s="18">
        <v>1231.5</v>
      </c>
      <c r="AF52" s="19">
        <v>1231.5</v>
      </c>
      <c r="AG52" s="19">
        <v>1231.5</v>
      </c>
    </row>
    <row r="53" spans="1:33">
      <c r="A53" s="17" t="s">
        <v>1528</v>
      </c>
      <c r="B53" s="17" t="s">
        <v>1529</v>
      </c>
      <c r="C53" s="18">
        <v>1210.5</v>
      </c>
      <c r="D53" s="19">
        <v>1098</v>
      </c>
      <c r="E53" s="19">
        <v>1266.2</v>
      </c>
      <c r="F53" s="18">
        <v>1072.7</v>
      </c>
      <c r="G53" s="18">
        <v>1061.8</v>
      </c>
      <c r="H53" s="19">
        <v>1061.8</v>
      </c>
      <c r="I53" s="19">
        <v>1061.8</v>
      </c>
      <c r="J53" s="18">
        <v>1061.7</v>
      </c>
      <c r="K53" s="18">
        <v>1061.7</v>
      </c>
      <c r="L53" s="19">
        <v>1061.7</v>
      </c>
      <c r="M53" s="19">
        <v>1061.7</v>
      </c>
      <c r="N53" s="18">
        <v>1265.0999999999999</v>
      </c>
      <c r="O53" s="18">
        <v>925.9</v>
      </c>
      <c r="P53" s="19">
        <v>925.2</v>
      </c>
      <c r="Q53" s="19">
        <v>925.8</v>
      </c>
      <c r="R53" s="18">
        <v>836.8</v>
      </c>
      <c r="S53" s="18">
        <v>861.3</v>
      </c>
      <c r="T53" s="19">
        <v>890.9</v>
      </c>
      <c r="U53" s="19">
        <v>920.2</v>
      </c>
      <c r="V53" s="18">
        <v>919.7</v>
      </c>
      <c r="W53" s="18">
        <v>934.1</v>
      </c>
      <c r="X53" s="19">
        <v>958.6</v>
      </c>
      <c r="Y53" s="19">
        <v>1256.8</v>
      </c>
      <c r="Z53" s="18">
        <v>1456.8</v>
      </c>
      <c r="AA53" s="18">
        <v>1655.4</v>
      </c>
      <c r="AB53" s="19">
        <v>1655.1</v>
      </c>
      <c r="AC53" s="19">
        <v>1655.2</v>
      </c>
      <c r="AD53" s="18">
        <v>1455.7</v>
      </c>
      <c r="AE53" s="18">
        <v>1655.3</v>
      </c>
      <c r="AF53" s="19">
        <v>1655.1</v>
      </c>
      <c r="AG53" s="19">
        <v>1654.8</v>
      </c>
    </row>
    <row r="54" spans="1:33">
      <c r="A54" s="17" t="s">
        <v>1530</v>
      </c>
      <c r="B54" s="17" t="s">
        <v>1531</v>
      </c>
      <c r="C54" s="18">
        <v>245.1</v>
      </c>
      <c r="D54" s="19">
        <v>206.9</v>
      </c>
      <c r="E54" s="19">
        <v>165.4</v>
      </c>
      <c r="F54" s="18">
        <v>194.2</v>
      </c>
      <c r="G54" s="18">
        <v>183</v>
      </c>
      <c r="H54" s="19">
        <v>282.7</v>
      </c>
      <c r="I54" s="19">
        <v>358.5</v>
      </c>
      <c r="J54" s="18">
        <v>313.7</v>
      </c>
      <c r="K54" s="18">
        <v>285.7</v>
      </c>
      <c r="L54" s="19">
        <v>261.2</v>
      </c>
      <c r="M54" s="19">
        <v>213.4</v>
      </c>
      <c r="N54" s="18">
        <v>234.3</v>
      </c>
      <c r="O54" s="18">
        <v>219.7</v>
      </c>
      <c r="P54" s="19">
        <v>164</v>
      </c>
      <c r="Q54" s="19">
        <v>146.19999999999999</v>
      </c>
      <c r="R54" s="18">
        <v>127.1</v>
      </c>
      <c r="S54" s="18">
        <v>63</v>
      </c>
      <c r="T54" s="19">
        <v>20.2</v>
      </c>
      <c r="U54" s="19">
        <v>0.6</v>
      </c>
      <c r="V54" s="18">
        <v>6</v>
      </c>
      <c r="W54" s="18">
        <v>20.6</v>
      </c>
      <c r="X54" s="19">
        <v>20.100000000000001</v>
      </c>
      <c r="Y54" s="19">
        <v>11.5</v>
      </c>
      <c r="Z54" s="18">
        <v>6.6</v>
      </c>
      <c r="AA54" s="18">
        <v>1.7</v>
      </c>
      <c r="AB54" s="19">
        <v>0</v>
      </c>
      <c r="AC54" s="19">
        <v>18.7</v>
      </c>
      <c r="AD54" s="18">
        <v>23.2</v>
      </c>
      <c r="AE54" s="18">
        <v>17.7</v>
      </c>
      <c r="AF54" s="19">
        <v>10.4</v>
      </c>
      <c r="AG54" s="19">
        <v>6.5</v>
      </c>
    </row>
    <row r="55" spans="1:33">
      <c r="A55" s="17" t="s">
        <v>1532</v>
      </c>
      <c r="B55" s="17" t="s">
        <v>1533</v>
      </c>
      <c r="C55" s="18">
        <v>1.4</v>
      </c>
      <c r="D55" s="19">
        <v>4.2</v>
      </c>
      <c r="E55" s="19">
        <v>4.9000000000000004</v>
      </c>
      <c r="F55" s="18" t="s">
        <v>429</v>
      </c>
      <c r="G55" s="18">
        <v>0.8</v>
      </c>
      <c r="H55" s="19" t="s">
        <v>429</v>
      </c>
      <c r="I55" s="19" t="s">
        <v>429</v>
      </c>
      <c r="J55" s="18" t="s">
        <v>429</v>
      </c>
      <c r="K55" s="18" t="s">
        <v>429</v>
      </c>
      <c r="L55" s="19" t="s">
        <v>429</v>
      </c>
      <c r="M55" s="19" t="s">
        <v>429</v>
      </c>
      <c r="N55" s="18" t="s">
        <v>429</v>
      </c>
      <c r="O55" s="18" t="s">
        <v>429</v>
      </c>
      <c r="P55" s="19" t="s">
        <v>429</v>
      </c>
      <c r="Q55" s="19" t="s">
        <v>429</v>
      </c>
      <c r="R55" s="18" t="s">
        <v>429</v>
      </c>
      <c r="S55" s="18" t="s">
        <v>429</v>
      </c>
      <c r="T55" s="19" t="s">
        <v>429</v>
      </c>
      <c r="U55" s="19" t="s">
        <v>429</v>
      </c>
      <c r="V55" s="18" t="s">
        <v>429</v>
      </c>
      <c r="W55" s="18" t="s">
        <v>429</v>
      </c>
      <c r="X55" s="19" t="s">
        <v>429</v>
      </c>
      <c r="Y55" s="19" t="s">
        <v>429</v>
      </c>
      <c r="Z55" s="18" t="s">
        <v>429</v>
      </c>
      <c r="AA55" s="18" t="s">
        <v>429</v>
      </c>
      <c r="AB55" s="19" t="s">
        <v>429</v>
      </c>
      <c r="AC55" s="19" t="s">
        <v>429</v>
      </c>
      <c r="AD55" s="18" t="s">
        <v>429</v>
      </c>
      <c r="AE55" s="18" t="s">
        <v>429</v>
      </c>
      <c r="AF55" s="19" t="s">
        <v>429</v>
      </c>
      <c r="AG55" s="19" t="s">
        <v>429</v>
      </c>
    </row>
    <row r="56" spans="1:33">
      <c r="A56" s="17" t="s">
        <v>1532</v>
      </c>
      <c r="B56" s="17" t="s">
        <v>1511</v>
      </c>
      <c r="C56" s="18">
        <v>0.1</v>
      </c>
      <c r="D56" s="19">
        <v>0.6</v>
      </c>
      <c r="E56" s="19">
        <v>0.9</v>
      </c>
      <c r="F56" s="18">
        <v>1.3</v>
      </c>
      <c r="G56" s="18">
        <v>2</v>
      </c>
      <c r="H56" s="19">
        <v>0.1</v>
      </c>
      <c r="I56" s="19">
        <v>0.4</v>
      </c>
      <c r="J56" s="18">
        <v>0.2</v>
      </c>
      <c r="K56" s="18">
        <v>0.5</v>
      </c>
      <c r="L56" s="19">
        <v>1.2</v>
      </c>
      <c r="M56" s="19">
        <v>1.5</v>
      </c>
      <c r="N56" s="18">
        <v>1.9</v>
      </c>
      <c r="O56" s="18">
        <v>1.8</v>
      </c>
      <c r="P56" s="19">
        <v>2.2999999999999998</v>
      </c>
      <c r="Q56" s="19">
        <v>0.7</v>
      </c>
      <c r="R56" s="18">
        <v>0.5</v>
      </c>
      <c r="S56" s="18">
        <v>0.7</v>
      </c>
      <c r="T56" s="19">
        <v>0.8</v>
      </c>
      <c r="U56" s="19">
        <v>0.5</v>
      </c>
      <c r="V56" s="18">
        <v>0.2</v>
      </c>
      <c r="W56" s="18" t="s">
        <v>429</v>
      </c>
      <c r="X56" s="19">
        <v>0</v>
      </c>
      <c r="Y56" s="19" t="s">
        <v>429</v>
      </c>
      <c r="Z56" s="18" t="s">
        <v>429</v>
      </c>
      <c r="AA56" s="18" t="s">
        <v>429</v>
      </c>
      <c r="AB56" s="19" t="s">
        <v>429</v>
      </c>
      <c r="AC56" s="19" t="s">
        <v>429</v>
      </c>
      <c r="AD56" s="18" t="s">
        <v>429</v>
      </c>
      <c r="AE56" s="18" t="s">
        <v>429</v>
      </c>
      <c r="AF56" s="19" t="s">
        <v>429</v>
      </c>
      <c r="AG56" s="19" t="s">
        <v>429</v>
      </c>
    </row>
    <row r="57" spans="1:33">
      <c r="A57" s="17" t="s">
        <v>1532</v>
      </c>
      <c r="B57" s="17" t="s">
        <v>1534</v>
      </c>
      <c r="C57" s="18" t="s">
        <v>429</v>
      </c>
      <c r="D57" s="19" t="s">
        <v>429</v>
      </c>
      <c r="E57" s="19" t="s">
        <v>429</v>
      </c>
      <c r="F57" s="18" t="s">
        <v>429</v>
      </c>
      <c r="G57" s="18" t="s">
        <v>429</v>
      </c>
      <c r="H57" s="19" t="s">
        <v>429</v>
      </c>
      <c r="I57" s="19" t="s">
        <v>429</v>
      </c>
      <c r="J57" s="18" t="s">
        <v>429</v>
      </c>
      <c r="K57" s="18" t="s">
        <v>429</v>
      </c>
      <c r="L57" s="19" t="s">
        <v>429</v>
      </c>
      <c r="M57" s="19" t="s">
        <v>429</v>
      </c>
      <c r="N57" s="18" t="s">
        <v>429</v>
      </c>
      <c r="O57" s="18" t="s">
        <v>429</v>
      </c>
      <c r="P57" s="19" t="s">
        <v>429</v>
      </c>
      <c r="Q57" s="19" t="s">
        <v>429</v>
      </c>
      <c r="R57" s="18">
        <v>0</v>
      </c>
      <c r="S57" s="18">
        <v>0.9</v>
      </c>
      <c r="T57" s="19">
        <v>2.7</v>
      </c>
      <c r="U57" s="19">
        <v>4.8</v>
      </c>
      <c r="V57" s="18">
        <v>5.7</v>
      </c>
      <c r="W57" s="18">
        <v>2.1</v>
      </c>
      <c r="X57" s="19">
        <v>0.4</v>
      </c>
      <c r="Y57" s="19">
        <v>0</v>
      </c>
      <c r="Z57" s="18">
        <v>1.1000000000000001</v>
      </c>
      <c r="AA57" s="18">
        <v>11.7</v>
      </c>
      <c r="AB57" s="19">
        <v>17.600000000000001</v>
      </c>
      <c r="AC57" s="19" t="s">
        <v>429</v>
      </c>
      <c r="AD57" s="18" t="s">
        <v>429</v>
      </c>
      <c r="AE57" s="18" t="s">
        <v>429</v>
      </c>
      <c r="AF57" s="19" t="s">
        <v>429</v>
      </c>
      <c r="AG57" s="19" t="s">
        <v>429</v>
      </c>
    </row>
    <row r="58" spans="1:33">
      <c r="A58" s="17" t="s">
        <v>1535</v>
      </c>
      <c r="B58" s="17" t="s">
        <v>1536</v>
      </c>
      <c r="C58" s="18">
        <v>1529.2</v>
      </c>
      <c r="D58" s="19">
        <v>1455.5</v>
      </c>
      <c r="E58" s="19">
        <v>1527.6</v>
      </c>
      <c r="F58" s="18">
        <v>1444.6</v>
      </c>
      <c r="G58" s="18">
        <v>1391</v>
      </c>
      <c r="H58" s="19">
        <v>1406.5</v>
      </c>
      <c r="I58" s="19">
        <v>1482.4</v>
      </c>
      <c r="J58" s="18">
        <v>1438.9</v>
      </c>
      <c r="K58" s="18">
        <v>1410.5</v>
      </c>
      <c r="L58" s="19">
        <v>1387.3</v>
      </c>
      <c r="M58" s="19">
        <v>1340.1</v>
      </c>
      <c r="N58" s="18">
        <v>1567.9</v>
      </c>
      <c r="O58" s="18">
        <v>1201.5999999999999</v>
      </c>
      <c r="P58" s="19">
        <v>1173.5999999999999</v>
      </c>
      <c r="Q58" s="19">
        <v>1127.5999999999999</v>
      </c>
      <c r="R58" s="18">
        <v>1013.8</v>
      </c>
      <c r="S58" s="18">
        <v>975.2</v>
      </c>
      <c r="T58" s="19">
        <v>965.2</v>
      </c>
      <c r="U58" s="19">
        <v>978.8</v>
      </c>
      <c r="V58" s="18">
        <v>982.3</v>
      </c>
      <c r="W58" s="18">
        <v>1007.4</v>
      </c>
      <c r="X58" s="19">
        <v>1078.4000000000001</v>
      </c>
      <c r="Y58" s="19">
        <v>1770</v>
      </c>
      <c r="Z58" s="18">
        <v>1767.1</v>
      </c>
      <c r="AA58" s="18">
        <v>1740.4</v>
      </c>
      <c r="AB58" s="19">
        <v>1745.9</v>
      </c>
      <c r="AC58" s="19">
        <v>1762.9</v>
      </c>
      <c r="AD58" s="18">
        <v>1753.1</v>
      </c>
      <c r="AE58" s="18">
        <v>1745.5</v>
      </c>
      <c r="AF58" s="19">
        <v>1739.2</v>
      </c>
      <c r="AG58" s="19">
        <v>1734.3</v>
      </c>
    </row>
    <row r="59" spans="1:33">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c r="AD59" s="20"/>
      <c r="AE59" s="20"/>
      <c r="AF59" s="20"/>
      <c r="AG59" s="20"/>
    </row>
    <row r="60" spans="1:33">
      <c r="A60" s="15"/>
      <c r="B60" s="16" t="s">
        <v>1537</v>
      </c>
      <c r="C60" s="16"/>
      <c r="D60" s="16"/>
      <c r="E60" s="16"/>
      <c r="F60" s="16"/>
      <c r="G60" s="16"/>
      <c r="H60" s="16"/>
      <c r="I60" s="16"/>
      <c r="J60" s="16"/>
      <c r="K60" s="16"/>
      <c r="L60" s="16"/>
      <c r="M60" s="16"/>
      <c r="N60" s="16"/>
      <c r="O60" s="16"/>
      <c r="P60" s="16"/>
      <c r="Q60" s="16"/>
      <c r="R60" s="16"/>
      <c r="S60" s="16"/>
      <c r="T60" s="16"/>
      <c r="U60" s="16"/>
      <c r="V60" s="16"/>
      <c r="W60" s="16"/>
      <c r="X60" s="16"/>
      <c r="Y60" s="16"/>
      <c r="Z60" s="16"/>
      <c r="AA60" s="16"/>
      <c r="AB60" s="16"/>
      <c r="AC60" s="16"/>
      <c r="AD60" s="16"/>
      <c r="AE60" s="16"/>
      <c r="AF60" s="16"/>
      <c r="AG60" s="16"/>
    </row>
    <row r="61" spans="1:33">
      <c r="A61" s="17" t="s">
        <v>1538</v>
      </c>
      <c r="B61" s="17" t="s">
        <v>1539</v>
      </c>
      <c r="C61" s="18">
        <v>702</v>
      </c>
      <c r="D61" s="19">
        <v>732.9</v>
      </c>
      <c r="E61" s="19">
        <v>770</v>
      </c>
      <c r="F61" s="18">
        <v>805.9</v>
      </c>
      <c r="G61" s="18">
        <v>848.4</v>
      </c>
      <c r="H61" s="19">
        <v>923.3</v>
      </c>
      <c r="I61" s="19">
        <v>999</v>
      </c>
      <c r="J61" s="18">
        <v>1067.5</v>
      </c>
      <c r="K61" s="18">
        <v>1136.9000000000001</v>
      </c>
      <c r="L61" s="19">
        <v>1199.0999999999999</v>
      </c>
      <c r="M61" s="19">
        <v>1262.2</v>
      </c>
      <c r="N61" s="18">
        <v>1303.4000000000001</v>
      </c>
      <c r="O61" s="18">
        <v>1083</v>
      </c>
      <c r="P61" s="19">
        <v>1115.3</v>
      </c>
      <c r="Q61" s="19">
        <v>1148.3</v>
      </c>
      <c r="R61" s="18">
        <v>1022.2</v>
      </c>
      <c r="S61" s="18">
        <v>1048.7</v>
      </c>
      <c r="T61" s="19">
        <v>1071.2</v>
      </c>
      <c r="U61" s="19">
        <v>1094.2</v>
      </c>
      <c r="V61" s="18">
        <v>1116.7</v>
      </c>
      <c r="W61" s="18">
        <v>1133.3</v>
      </c>
      <c r="X61" s="19">
        <v>1133.3</v>
      </c>
      <c r="Y61" s="19">
        <v>183</v>
      </c>
      <c r="Z61" s="18">
        <v>183</v>
      </c>
      <c r="AA61" s="18">
        <v>183</v>
      </c>
      <c r="AB61" s="19">
        <v>183</v>
      </c>
      <c r="AC61" s="19">
        <v>183</v>
      </c>
      <c r="AD61" s="18">
        <v>183</v>
      </c>
      <c r="AE61" s="18">
        <v>183</v>
      </c>
      <c r="AF61" s="19">
        <v>183</v>
      </c>
      <c r="AG61" s="19">
        <v>181.6</v>
      </c>
    </row>
    <row r="62" spans="1:33">
      <c r="A62" s="17" t="s">
        <v>1538</v>
      </c>
      <c r="B62" s="17" t="s">
        <v>1540</v>
      </c>
      <c r="C62" s="18" t="s">
        <v>429</v>
      </c>
      <c r="D62" s="19" t="s">
        <v>429</v>
      </c>
      <c r="E62" s="19" t="s">
        <v>429</v>
      </c>
      <c r="F62" s="18" t="s">
        <v>429</v>
      </c>
      <c r="G62" s="18" t="s">
        <v>429</v>
      </c>
      <c r="H62" s="19" t="s">
        <v>429</v>
      </c>
      <c r="I62" s="19" t="s">
        <v>429</v>
      </c>
      <c r="J62" s="18" t="s">
        <v>429</v>
      </c>
      <c r="K62" s="18" t="s">
        <v>429</v>
      </c>
      <c r="L62" s="19" t="s">
        <v>429</v>
      </c>
      <c r="M62" s="19" t="s">
        <v>429</v>
      </c>
      <c r="N62" s="18" t="s">
        <v>429</v>
      </c>
      <c r="O62" s="18" t="s">
        <v>429</v>
      </c>
      <c r="P62" s="19" t="s">
        <v>429</v>
      </c>
      <c r="Q62" s="19" t="s">
        <v>429</v>
      </c>
      <c r="R62" s="18" t="s">
        <v>429</v>
      </c>
      <c r="S62" s="18" t="s">
        <v>429</v>
      </c>
      <c r="T62" s="19" t="s">
        <v>429</v>
      </c>
      <c r="U62" s="19" t="s">
        <v>429</v>
      </c>
      <c r="V62" s="18" t="s">
        <v>429</v>
      </c>
      <c r="W62" s="18" t="s">
        <v>429</v>
      </c>
      <c r="X62" s="19">
        <v>0</v>
      </c>
      <c r="Y62" s="19">
        <v>246.8</v>
      </c>
      <c r="Z62" s="18">
        <v>246.8</v>
      </c>
      <c r="AA62" s="18">
        <v>246.8</v>
      </c>
      <c r="AB62" s="19">
        <v>271.10000000000002</v>
      </c>
      <c r="AC62" s="19">
        <v>296.10000000000002</v>
      </c>
      <c r="AD62" s="18">
        <v>323.2</v>
      </c>
      <c r="AE62" s="18">
        <v>341.2</v>
      </c>
      <c r="AF62" s="19">
        <v>353.9</v>
      </c>
      <c r="AG62" s="19">
        <v>357.4</v>
      </c>
    </row>
    <row r="63" spans="1:33">
      <c r="A63" s="17" t="s">
        <v>1541</v>
      </c>
      <c r="B63" s="17" t="s">
        <v>1542</v>
      </c>
      <c r="C63" s="18">
        <v>-154.9</v>
      </c>
      <c r="D63" s="19">
        <v>-247.7</v>
      </c>
      <c r="E63" s="19">
        <v>-248.6</v>
      </c>
      <c r="F63" s="18">
        <v>-179</v>
      </c>
      <c r="G63" s="18">
        <v>-190.1</v>
      </c>
      <c r="H63" s="19">
        <v>-69.599999999999994</v>
      </c>
      <c r="I63" s="19">
        <v>-33.4</v>
      </c>
      <c r="J63" s="18">
        <v>-40.9</v>
      </c>
      <c r="K63" s="18">
        <v>-42.3</v>
      </c>
      <c r="L63" s="19">
        <v>-18.2</v>
      </c>
      <c r="M63" s="19">
        <v>-94</v>
      </c>
      <c r="N63" s="18">
        <v>-17.399999999999999</v>
      </c>
      <c r="O63" s="18">
        <v>825.5</v>
      </c>
      <c r="P63" s="19">
        <v>-28.6</v>
      </c>
      <c r="Q63" s="19">
        <v>-45.9</v>
      </c>
      <c r="R63" s="18">
        <v>-46.9</v>
      </c>
      <c r="S63" s="18">
        <v>-60.5</v>
      </c>
      <c r="T63" s="19">
        <v>-84.5</v>
      </c>
      <c r="U63" s="19">
        <v>-77</v>
      </c>
      <c r="V63" s="18">
        <v>-48.3</v>
      </c>
      <c r="W63" s="18">
        <v>15.8</v>
      </c>
      <c r="X63" s="19">
        <v>36.200000000000003</v>
      </c>
      <c r="Y63" s="19">
        <v>-6.6</v>
      </c>
      <c r="Z63" s="18">
        <v>-11.2</v>
      </c>
      <c r="AA63" s="18">
        <v>-22.1</v>
      </c>
      <c r="AB63" s="19">
        <v>-35.5</v>
      </c>
      <c r="AC63" s="19">
        <v>46.9</v>
      </c>
      <c r="AD63" s="18">
        <v>46.4</v>
      </c>
      <c r="AE63" s="18">
        <v>34.200000000000003</v>
      </c>
      <c r="AF63" s="19">
        <v>20.5</v>
      </c>
      <c r="AG63" s="19">
        <v>2.6</v>
      </c>
    </row>
    <row r="64" spans="1:33">
      <c r="A64" s="17" t="s">
        <v>1543</v>
      </c>
      <c r="B64" s="17" t="s">
        <v>1544</v>
      </c>
      <c r="C64" s="18" t="s">
        <v>429</v>
      </c>
      <c r="D64" s="19" t="s">
        <v>429</v>
      </c>
      <c r="E64" s="19" t="s">
        <v>429</v>
      </c>
      <c r="F64" s="18" t="s">
        <v>429</v>
      </c>
      <c r="G64" s="18" t="s">
        <v>429</v>
      </c>
      <c r="H64" s="19" t="s">
        <v>429</v>
      </c>
      <c r="I64" s="19" t="s">
        <v>429</v>
      </c>
      <c r="J64" s="18" t="s">
        <v>429</v>
      </c>
      <c r="K64" s="18" t="s">
        <v>429</v>
      </c>
      <c r="L64" s="19" t="s">
        <v>429</v>
      </c>
      <c r="M64" s="19" t="s">
        <v>429</v>
      </c>
      <c r="N64" s="18" t="s">
        <v>429</v>
      </c>
      <c r="O64" s="18" t="s">
        <v>429</v>
      </c>
      <c r="P64" s="19" t="s">
        <v>429</v>
      </c>
      <c r="Q64" s="19" t="s">
        <v>429</v>
      </c>
      <c r="R64" s="18" t="s">
        <v>429</v>
      </c>
      <c r="S64" s="18" t="s">
        <v>429</v>
      </c>
      <c r="T64" s="19" t="s">
        <v>429</v>
      </c>
      <c r="U64" s="19" t="s">
        <v>429</v>
      </c>
      <c r="V64" s="18" t="s">
        <v>429</v>
      </c>
      <c r="W64" s="18" t="s">
        <v>429</v>
      </c>
      <c r="X64" s="19">
        <v>0</v>
      </c>
      <c r="Y64" s="19">
        <v>14.2</v>
      </c>
      <c r="Z64" s="18">
        <v>2.6</v>
      </c>
      <c r="AA64" s="18">
        <v>-25.1</v>
      </c>
      <c r="AB64" s="19">
        <v>-35.4</v>
      </c>
      <c r="AC64" s="19" t="s">
        <v>429</v>
      </c>
      <c r="AD64" s="18" t="s">
        <v>429</v>
      </c>
      <c r="AE64" s="18" t="s">
        <v>429</v>
      </c>
      <c r="AF64" s="19" t="s">
        <v>429</v>
      </c>
      <c r="AG64" s="19" t="s">
        <v>429</v>
      </c>
    </row>
    <row r="65" spans="1:33">
      <c r="A65" s="17" t="s">
        <v>1543</v>
      </c>
      <c r="B65" s="17" t="s">
        <v>1545</v>
      </c>
      <c r="C65" s="18">
        <v>1173.4000000000001</v>
      </c>
      <c r="D65" s="19">
        <v>1110.8</v>
      </c>
      <c r="E65" s="19">
        <v>1057.5</v>
      </c>
      <c r="F65" s="18">
        <v>1011.5</v>
      </c>
      <c r="G65" s="18">
        <v>982</v>
      </c>
      <c r="H65" s="19">
        <v>952.2</v>
      </c>
      <c r="I65" s="19">
        <v>1122</v>
      </c>
      <c r="J65" s="18">
        <v>1050.2</v>
      </c>
      <c r="K65" s="18">
        <v>1012</v>
      </c>
      <c r="L65" s="19">
        <v>956.4</v>
      </c>
      <c r="M65" s="19">
        <v>892.2</v>
      </c>
      <c r="N65" s="18">
        <v>870.4</v>
      </c>
      <c r="O65" s="18">
        <v>-19</v>
      </c>
      <c r="P65" s="19">
        <v>758.9</v>
      </c>
      <c r="Q65" s="19">
        <v>730.1</v>
      </c>
      <c r="R65" s="18">
        <v>657.7</v>
      </c>
      <c r="S65" s="18">
        <v>581.79999999999995</v>
      </c>
      <c r="T65" s="19">
        <v>486.7</v>
      </c>
      <c r="U65" s="19">
        <v>355.1</v>
      </c>
      <c r="V65" s="18">
        <v>265.39999999999998</v>
      </c>
      <c r="W65" s="18">
        <v>229.2</v>
      </c>
      <c r="X65" s="19">
        <v>228.8</v>
      </c>
      <c r="Y65" s="19">
        <v>39.4</v>
      </c>
      <c r="Z65" s="18">
        <v>32.5</v>
      </c>
      <c r="AA65" s="18">
        <v>31.9</v>
      </c>
      <c r="AB65" s="19">
        <v>15.1</v>
      </c>
      <c r="AC65" s="19">
        <v>20.8</v>
      </c>
      <c r="AD65" s="18">
        <v>30.8</v>
      </c>
      <c r="AE65" s="18">
        <v>25.4</v>
      </c>
      <c r="AF65" s="19">
        <v>15</v>
      </c>
      <c r="AG65" s="19">
        <v>19.7</v>
      </c>
    </row>
    <row r="66" spans="1:33">
      <c r="A66" s="17" t="s">
        <v>1543</v>
      </c>
      <c r="B66" s="17" t="s">
        <v>1546</v>
      </c>
      <c r="C66" s="18" t="s">
        <v>429</v>
      </c>
      <c r="D66" s="19" t="s">
        <v>429</v>
      </c>
      <c r="E66" s="19" t="s">
        <v>429</v>
      </c>
      <c r="F66" s="18" t="s">
        <v>429</v>
      </c>
      <c r="G66" s="18" t="s">
        <v>429</v>
      </c>
      <c r="H66" s="19" t="s">
        <v>429</v>
      </c>
      <c r="I66" s="19" t="s">
        <v>429</v>
      </c>
      <c r="J66" s="18" t="s">
        <v>429</v>
      </c>
      <c r="K66" s="18" t="s">
        <v>429</v>
      </c>
      <c r="L66" s="19" t="s">
        <v>429</v>
      </c>
      <c r="M66" s="19" t="s">
        <v>429</v>
      </c>
      <c r="N66" s="18" t="s">
        <v>429</v>
      </c>
      <c r="O66" s="18" t="s">
        <v>429</v>
      </c>
      <c r="P66" s="19" t="s">
        <v>429</v>
      </c>
      <c r="Q66" s="19" t="s">
        <v>429</v>
      </c>
      <c r="R66" s="18" t="s">
        <v>429</v>
      </c>
      <c r="S66" s="18" t="s">
        <v>429</v>
      </c>
      <c r="T66" s="19" t="s">
        <v>429</v>
      </c>
      <c r="U66" s="19" t="s">
        <v>429</v>
      </c>
      <c r="V66" s="18" t="s">
        <v>429</v>
      </c>
      <c r="W66" s="18" t="s">
        <v>429</v>
      </c>
      <c r="X66" s="19">
        <v>0</v>
      </c>
      <c r="Y66" s="19">
        <v>157.1</v>
      </c>
      <c r="Z66" s="18">
        <v>122.5</v>
      </c>
      <c r="AA66" s="18">
        <v>70.8</v>
      </c>
      <c r="AB66" s="19">
        <v>-7.7</v>
      </c>
      <c r="AC66" s="19">
        <v>76.900000000000006</v>
      </c>
      <c r="AD66" s="18">
        <v>80.099999999999994</v>
      </c>
      <c r="AE66" s="18">
        <v>50.1</v>
      </c>
      <c r="AF66" s="19">
        <v>35.5</v>
      </c>
      <c r="AG66" s="19" t="s">
        <v>429</v>
      </c>
    </row>
    <row r="67" spans="1:33">
      <c r="A67" s="17" t="s">
        <v>1547</v>
      </c>
      <c r="B67" s="17" t="s">
        <v>1548</v>
      </c>
      <c r="C67" s="18">
        <v>1720.4</v>
      </c>
      <c r="D67" s="19">
        <v>1596</v>
      </c>
      <c r="E67" s="19">
        <v>1578.9</v>
      </c>
      <c r="F67" s="18">
        <v>1638.4</v>
      </c>
      <c r="G67" s="18">
        <v>1640.3</v>
      </c>
      <c r="H67" s="19">
        <v>1805.8</v>
      </c>
      <c r="I67" s="19">
        <v>2087.6</v>
      </c>
      <c r="J67" s="18">
        <v>2076.8000000000002</v>
      </c>
      <c r="K67" s="18">
        <v>2106.6</v>
      </c>
      <c r="L67" s="19">
        <v>2137.3000000000002</v>
      </c>
      <c r="M67" s="19">
        <v>2060.4</v>
      </c>
      <c r="N67" s="18">
        <v>2156.4</v>
      </c>
      <c r="O67" s="18">
        <v>1889.5</v>
      </c>
      <c r="P67" s="19">
        <v>1845.6</v>
      </c>
      <c r="Q67" s="19">
        <v>1832.4</v>
      </c>
      <c r="R67" s="18">
        <v>1632.9</v>
      </c>
      <c r="S67" s="18">
        <v>1570</v>
      </c>
      <c r="T67" s="19">
        <v>1473.5</v>
      </c>
      <c r="U67" s="19">
        <v>1372.3</v>
      </c>
      <c r="V67" s="18">
        <v>1333.8</v>
      </c>
      <c r="W67" s="18">
        <v>1378.3</v>
      </c>
      <c r="X67" s="19">
        <v>1398.3</v>
      </c>
      <c r="Y67" s="19">
        <v>633.9</v>
      </c>
      <c r="Z67" s="18">
        <v>576.20000000000005</v>
      </c>
      <c r="AA67" s="18">
        <v>485.3</v>
      </c>
      <c r="AB67" s="19">
        <v>390.7</v>
      </c>
      <c r="AC67" s="19">
        <v>623.6</v>
      </c>
      <c r="AD67" s="18">
        <v>663.5</v>
      </c>
      <c r="AE67" s="18">
        <v>634</v>
      </c>
      <c r="AF67" s="19">
        <v>607.9</v>
      </c>
      <c r="AG67" s="19">
        <v>561.20000000000005</v>
      </c>
    </row>
    <row r="68" spans="1:33">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c r="AD68" s="20"/>
      <c r="AE68" s="20"/>
      <c r="AF68" s="20"/>
      <c r="AG68" s="20"/>
    </row>
    <row r="69" spans="1:33">
      <c r="A69" s="17" t="s">
        <v>1549</v>
      </c>
      <c r="B69" s="17" t="s">
        <v>1550</v>
      </c>
      <c r="C69" s="18">
        <v>3249.6</v>
      </c>
      <c r="D69" s="19">
        <v>3051.5</v>
      </c>
      <c r="E69" s="19">
        <v>3106.5</v>
      </c>
      <c r="F69" s="18">
        <v>3083</v>
      </c>
      <c r="G69" s="18">
        <v>3031.3</v>
      </c>
      <c r="H69" s="19">
        <v>3212.3</v>
      </c>
      <c r="I69" s="19">
        <v>3570</v>
      </c>
      <c r="J69" s="18">
        <v>3515.7</v>
      </c>
      <c r="K69" s="18">
        <v>3517.1</v>
      </c>
      <c r="L69" s="19">
        <v>3524.6</v>
      </c>
      <c r="M69" s="19">
        <v>3400.5</v>
      </c>
      <c r="N69" s="18">
        <v>3724.2</v>
      </c>
      <c r="O69" s="18">
        <v>3091.1</v>
      </c>
      <c r="P69" s="19">
        <v>3019.2</v>
      </c>
      <c r="Q69" s="19">
        <v>2960</v>
      </c>
      <c r="R69" s="18">
        <v>2646.8</v>
      </c>
      <c r="S69" s="18">
        <v>2545.3000000000002</v>
      </c>
      <c r="T69" s="19">
        <v>2438.6</v>
      </c>
      <c r="U69" s="19">
        <v>2351.1999999999998</v>
      </c>
      <c r="V69" s="18">
        <v>2316.1</v>
      </c>
      <c r="W69" s="18">
        <v>2385.8000000000002</v>
      </c>
      <c r="X69" s="19">
        <v>2476.6999999999998</v>
      </c>
      <c r="Y69" s="19">
        <v>2403.9</v>
      </c>
      <c r="Z69" s="18">
        <v>2343.3000000000002</v>
      </c>
      <c r="AA69" s="18">
        <v>2225.6999999999998</v>
      </c>
      <c r="AB69" s="19">
        <v>2136.5</v>
      </c>
      <c r="AC69" s="19">
        <v>2386.6</v>
      </c>
      <c r="AD69" s="18">
        <v>2416.6</v>
      </c>
      <c r="AE69" s="18">
        <v>2379.5</v>
      </c>
      <c r="AF69" s="19">
        <v>2347.1</v>
      </c>
      <c r="AG69" s="19">
        <v>2295.6</v>
      </c>
    </row>
    <row r="70" spans="1:33">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c r="AE70" s="20"/>
      <c r="AF70" s="20"/>
      <c r="AG70" s="20"/>
    </row>
    <row r="71" spans="1:33">
      <c r="A71" s="15"/>
      <c r="B71" s="16" t="s">
        <v>1551</v>
      </c>
      <c r="C71" s="16"/>
      <c r="D71" s="16"/>
      <c r="E71" s="16"/>
      <c r="F71" s="16"/>
      <c r="G71" s="16"/>
      <c r="H71" s="16"/>
      <c r="I71" s="16"/>
      <c r="J71" s="16"/>
      <c r="K71" s="16"/>
      <c r="L71" s="16"/>
      <c r="M71" s="16"/>
      <c r="N71" s="16"/>
      <c r="O71" s="16"/>
      <c r="P71" s="16"/>
      <c r="Q71" s="16"/>
      <c r="R71" s="16"/>
      <c r="S71" s="16"/>
      <c r="T71" s="16"/>
      <c r="U71" s="16"/>
      <c r="V71" s="16"/>
      <c r="W71" s="16"/>
      <c r="X71" s="16"/>
      <c r="Y71" s="16"/>
      <c r="Z71" s="16"/>
      <c r="AA71" s="16"/>
      <c r="AB71" s="16"/>
      <c r="AC71" s="16"/>
      <c r="AD71" s="16"/>
      <c r="AE71" s="16"/>
      <c r="AF71" s="16"/>
      <c r="AG71" s="16"/>
    </row>
    <row r="72" spans="1:33">
      <c r="A72" s="17" t="s">
        <v>1552</v>
      </c>
      <c r="B72" s="17" t="s">
        <v>1553</v>
      </c>
      <c r="C72" s="18">
        <v>1720.4</v>
      </c>
      <c r="D72" s="19">
        <v>1596</v>
      </c>
      <c r="E72" s="19">
        <v>1578.9</v>
      </c>
      <c r="F72" s="18">
        <v>1638.4</v>
      </c>
      <c r="G72" s="18">
        <v>1640.3</v>
      </c>
      <c r="H72" s="19">
        <v>1805.8</v>
      </c>
      <c r="I72" s="19">
        <v>2087.6</v>
      </c>
      <c r="J72" s="18">
        <v>2076.8000000000002</v>
      </c>
      <c r="K72" s="18">
        <v>2106.6</v>
      </c>
      <c r="L72" s="19">
        <v>2137.3000000000002</v>
      </c>
      <c r="M72" s="19">
        <v>2060.4</v>
      </c>
      <c r="N72" s="18">
        <v>2156.4</v>
      </c>
      <c r="O72" s="18">
        <v>1889.5</v>
      </c>
      <c r="P72" s="19">
        <v>1845.6</v>
      </c>
      <c r="Q72" s="19">
        <v>1832.4</v>
      </c>
      <c r="R72" s="18">
        <v>1632.9</v>
      </c>
      <c r="S72" s="18">
        <v>1570</v>
      </c>
      <c r="T72" s="19">
        <v>1473.5</v>
      </c>
      <c r="U72" s="19">
        <v>1372.3</v>
      </c>
      <c r="V72" s="18">
        <v>1333.8</v>
      </c>
      <c r="W72" s="18">
        <v>1378.3</v>
      </c>
      <c r="X72" s="19">
        <v>1398.3</v>
      </c>
      <c r="Y72" s="19">
        <v>633.9</v>
      </c>
      <c r="Z72" s="18">
        <v>576.20000000000005</v>
      </c>
      <c r="AA72" s="18">
        <v>485.3</v>
      </c>
      <c r="AB72" s="19">
        <v>390.7</v>
      </c>
      <c r="AC72" s="19">
        <v>623.6</v>
      </c>
      <c r="AD72" s="18">
        <v>663.5</v>
      </c>
      <c r="AE72" s="18">
        <v>634</v>
      </c>
      <c r="AF72" s="19">
        <v>607.9</v>
      </c>
      <c r="AG72" s="19">
        <v>561.20000000000005</v>
      </c>
    </row>
    <row r="73" spans="1:33">
      <c r="A73" s="17" t="s">
        <v>1554</v>
      </c>
      <c r="B73" s="17" t="s">
        <v>1555</v>
      </c>
      <c r="C73" s="18">
        <v>1755</v>
      </c>
      <c r="D73" s="19">
        <v>1738</v>
      </c>
      <c r="E73" s="19">
        <v>1721.7</v>
      </c>
      <c r="F73" s="18">
        <v>1698.8</v>
      </c>
      <c r="G73" s="18">
        <v>1682</v>
      </c>
      <c r="H73" s="19">
        <v>1682</v>
      </c>
      <c r="I73" s="19">
        <v>1682</v>
      </c>
      <c r="J73" s="18">
        <v>1682</v>
      </c>
      <c r="K73" s="18">
        <v>1682</v>
      </c>
      <c r="L73" s="19">
        <v>1682</v>
      </c>
      <c r="M73" s="19">
        <v>1682</v>
      </c>
      <c r="N73" s="18">
        <v>1701.1</v>
      </c>
      <c r="O73" s="18">
        <v>1483</v>
      </c>
      <c r="P73" s="19">
        <v>1483</v>
      </c>
      <c r="Q73" s="19">
        <v>1483</v>
      </c>
      <c r="R73" s="18">
        <v>1341.8</v>
      </c>
      <c r="S73" s="18">
        <v>1341.8</v>
      </c>
      <c r="T73" s="19">
        <v>1341.8</v>
      </c>
      <c r="U73" s="19">
        <v>1341.8</v>
      </c>
      <c r="V73" s="18">
        <v>1341.8</v>
      </c>
      <c r="W73" s="18">
        <v>1341.8</v>
      </c>
      <c r="X73" s="19">
        <v>1341.8</v>
      </c>
      <c r="Y73" s="19">
        <v>1073.8</v>
      </c>
      <c r="Z73" s="18">
        <v>1055.7</v>
      </c>
      <c r="AA73" s="18">
        <v>1049.5999999999999</v>
      </c>
      <c r="AB73" s="19">
        <v>1049.5999999999999</v>
      </c>
      <c r="AC73" s="19">
        <v>1049.5999999999999</v>
      </c>
      <c r="AD73" s="18">
        <v>1049.5999999999999</v>
      </c>
      <c r="AE73" s="18">
        <v>1049.5999999999999</v>
      </c>
      <c r="AF73" s="19">
        <v>1049.5999999999999</v>
      </c>
      <c r="AG73" s="19">
        <v>1049.5999999999999</v>
      </c>
    </row>
    <row r="74" spans="1:33">
      <c r="A74" s="17" t="s">
        <v>1556</v>
      </c>
      <c r="B74" s="17" t="s">
        <v>1557</v>
      </c>
      <c r="C74" s="18">
        <v>1755</v>
      </c>
      <c r="D74" s="19">
        <v>1738</v>
      </c>
      <c r="E74" s="19">
        <v>1721.7</v>
      </c>
      <c r="F74" s="18">
        <v>1698.8</v>
      </c>
      <c r="G74" s="18">
        <v>1682</v>
      </c>
      <c r="H74" s="19">
        <v>1682</v>
      </c>
      <c r="I74" s="19">
        <v>1682</v>
      </c>
      <c r="J74" s="18">
        <v>1682</v>
      </c>
      <c r="K74" s="18">
        <v>1682</v>
      </c>
      <c r="L74" s="19">
        <v>1682</v>
      </c>
      <c r="M74" s="19">
        <v>1682</v>
      </c>
      <c r="N74" s="18">
        <v>1701.1</v>
      </c>
      <c r="O74" s="18">
        <v>1483</v>
      </c>
      <c r="P74" s="19">
        <v>1483</v>
      </c>
      <c r="Q74" s="19">
        <v>1483</v>
      </c>
      <c r="R74" s="18">
        <v>1341.8</v>
      </c>
      <c r="S74" s="18">
        <v>1341.8</v>
      </c>
      <c r="T74" s="19">
        <v>1341.8</v>
      </c>
      <c r="U74" s="19">
        <v>1341.8</v>
      </c>
      <c r="V74" s="18">
        <v>1341.8</v>
      </c>
      <c r="W74" s="18">
        <v>1341.8</v>
      </c>
      <c r="X74" s="19">
        <v>1341.8</v>
      </c>
      <c r="Y74" s="19">
        <v>1073.8</v>
      </c>
      <c r="Z74" s="18">
        <v>1055.7</v>
      </c>
      <c r="AA74" s="18">
        <v>1049.5999999999999</v>
      </c>
      <c r="AB74" s="19">
        <v>1049.5999999999999</v>
      </c>
      <c r="AC74" s="19">
        <v>1049.5999999999999</v>
      </c>
      <c r="AD74" s="18">
        <v>1049.5999999999999</v>
      </c>
      <c r="AE74" s="18">
        <v>1049.5999999999999</v>
      </c>
      <c r="AF74" s="19">
        <v>1049.5999999999999</v>
      </c>
      <c r="AG74" s="19">
        <v>1049.5999999999999</v>
      </c>
    </row>
    <row r="75" spans="1:33">
      <c r="A75" s="17" t="s">
        <v>1558</v>
      </c>
      <c r="B75" s="17" t="s">
        <v>1559</v>
      </c>
      <c r="C75" s="18">
        <v>0</v>
      </c>
      <c r="D75" s="19">
        <v>0</v>
      </c>
      <c r="E75" s="19">
        <v>0</v>
      </c>
      <c r="F75" s="18">
        <v>0</v>
      </c>
      <c r="G75" s="18">
        <v>0</v>
      </c>
      <c r="H75" s="19">
        <v>0</v>
      </c>
      <c r="I75" s="19">
        <v>0</v>
      </c>
      <c r="J75" s="18">
        <v>0</v>
      </c>
      <c r="K75" s="18">
        <v>0</v>
      </c>
      <c r="L75" s="19">
        <v>0</v>
      </c>
      <c r="M75" s="19">
        <v>0</v>
      </c>
      <c r="N75" s="18">
        <v>0</v>
      </c>
      <c r="O75" s="18">
        <v>0</v>
      </c>
      <c r="P75" s="19">
        <v>0</v>
      </c>
      <c r="Q75" s="19">
        <v>0</v>
      </c>
      <c r="R75" s="18">
        <v>0</v>
      </c>
      <c r="S75" s="18" t="s">
        <v>429</v>
      </c>
      <c r="T75" s="19" t="s">
        <v>429</v>
      </c>
      <c r="U75" s="19" t="s">
        <v>429</v>
      </c>
      <c r="V75" s="18" t="s">
        <v>429</v>
      </c>
      <c r="W75" s="18" t="s">
        <v>429</v>
      </c>
      <c r="X75" s="19" t="s">
        <v>429</v>
      </c>
      <c r="Y75" s="19" t="s">
        <v>429</v>
      </c>
      <c r="Z75" s="18" t="s">
        <v>429</v>
      </c>
      <c r="AA75" s="18" t="s">
        <v>429</v>
      </c>
      <c r="AB75" s="19" t="s">
        <v>429</v>
      </c>
      <c r="AC75" s="19" t="s">
        <v>429</v>
      </c>
      <c r="AD75" s="18" t="s">
        <v>429</v>
      </c>
      <c r="AE75" s="18" t="s">
        <v>429</v>
      </c>
      <c r="AF75" s="19" t="s">
        <v>429</v>
      </c>
      <c r="AG75" s="19" t="s">
        <v>429</v>
      </c>
    </row>
    <row r="76" spans="1:33">
      <c r="A76" s="17" t="s">
        <v>1560</v>
      </c>
      <c r="B76" s="17" t="s">
        <v>1561</v>
      </c>
      <c r="C76" s="18" t="s">
        <v>429</v>
      </c>
      <c r="D76" s="19" t="s">
        <v>429</v>
      </c>
      <c r="E76" s="19" t="s">
        <v>429</v>
      </c>
      <c r="F76" s="18" t="s">
        <v>429</v>
      </c>
      <c r="G76" s="18" t="s">
        <v>429</v>
      </c>
      <c r="H76" s="19" t="s">
        <v>429</v>
      </c>
      <c r="I76" s="19" t="s">
        <v>429</v>
      </c>
      <c r="J76" s="18" t="s">
        <v>429</v>
      </c>
      <c r="K76" s="18" t="s">
        <v>429</v>
      </c>
      <c r="L76" s="19" t="s">
        <v>429</v>
      </c>
      <c r="M76" s="19" t="s">
        <v>429</v>
      </c>
      <c r="N76" s="18" t="s">
        <v>429</v>
      </c>
      <c r="O76" s="18" t="s">
        <v>429</v>
      </c>
      <c r="P76" s="19" t="s">
        <v>429</v>
      </c>
      <c r="Q76" s="19" t="s">
        <v>429</v>
      </c>
      <c r="R76" s="18" t="s">
        <v>429</v>
      </c>
      <c r="S76" s="18" t="s">
        <v>429</v>
      </c>
      <c r="T76" s="19" t="s">
        <v>429</v>
      </c>
      <c r="U76" s="19" t="s">
        <v>429</v>
      </c>
      <c r="V76" s="18" t="s">
        <v>429</v>
      </c>
      <c r="W76" s="18" t="s">
        <v>429</v>
      </c>
      <c r="X76" s="19" t="s">
        <v>429</v>
      </c>
      <c r="Y76" s="19" t="s">
        <v>429</v>
      </c>
      <c r="Z76" s="18" t="s">
        <v>429</v>
      </c>
      <c r="AA76" s="18" t="s">
        <v>429</v>
      </c>
      <c r="AB76" s="19" t="s">
        <v>429</v>
      </c>
      <c r="AC76" s="19" t="s">
        <v>429</v>
      </c>
      <c r="AD76" s="18" t="s">
        <v>429</v>
      </c>
      <c r="AE76" s="18" t="s">
        <v>429</v>
      </c>
      <c r="AF76" s="19" t="s">
        <v>429</v>
      </c>
      <c r="AG76" s="19" t="s">
        <v>429</v>
      </c>
    </row>
    <row r="77" spans="1:33">
      <c r="A77" s="17" t="s">
        <v>1562</v>
      </c>
      <c r="B77" s="17" t="s">
        <v>1502</v>
      </c>
      <c r="C77" s="18">
        <v>2.5</v>
      </c>
      <c r="D77" s="19">
        <v>2.5</v>
      </c>
      <c r="E77" s="19">
        <v>2.5</v>
      </c>
      <c r="F77" s="18" t="s">
        <v>429</v>
      </c>
      <c r="G77" s="18" t="s">
        <v>429</v>
      </c>
      <c r="H77" s="19" t="s">
        <v>429</v>
      </c>
      <c r="I77" s="19" t="s">
        <v>429</v>
      </c>
      <c r="J77" s="18" t="s">
        <v>429</v>
      </c>
      <c r="K77" s="18" t="s">
        <v>429</v>
      </c>
      <c r="L77" s="19" t="s">
        <v>429</v>
      </c>
      <c r="M77" s="19" t="s">
        <v>429</v>
      </c>
      <c r="N77" s="18" t="s">
        <v>429</v>
      </c>
      <c r="O77" s="18" t="s">
        <v>429</v>
      </c>
      <c r="P77" s="19" t="s">
        <v>429</v>
      </c>
      <c r="Q77" s="19" t="s">
        <v>429</v>
      </c>
      <c r="R77" s="18" t="s">
        <v>429</v>
      </c>
      <c r="S77" s="18" t="s">
        <v>429</v>
      </c>
      <c r="T77" s="19" t="s">
        <v>429</v>
      </c>
      <c r="U77" s="19" t="s">
        <v>429</v>
      </c>
      <c r="V77" s="18" t="s">
        <v>429</v>
      </c>
      <c r="W77" s="18" t="s">
        <v>429</v>
      </c>
      <c r="X77" s="19" t="s">
        <v>429</v>
      </c>
      <c r="Y77" s="19" t="s">
        <v>429</v>
      </c>
      <c r="Z77" s="18" t="s">
        <v>429</v>
      </c>
      <c r="AA77" s="18" t="s">
        <v>429</v>
      </c>
      <c r="AB77" s="19" t="s">
        <v>429</v>
      </c>
      <c r="AC77" s="19" t="s">
        <v>429</v>
      </c>
      <c r="AD77" s="18" t="s">
        <v>429</v>
      </c>
      <c r="AE77" s="18" t="s">
        <v>429</v>
      </c>
      <c r="AF77" s="19" t="s">
        <v>429</v>
      </c>
      <c r="AG77" s="19" t="s">
        <v>429</v>
      </c>
    </row>
    <row r="78" spans="1:33">
      <c r="A78" s="17" t="s">
        <v>1563</v>
      </c>
      <c r="B78" s="17" t="s">
        <v>1533</v>
      </c>
      <c r="C78" s="18">
        <v>1.4</v>
      </c>
      <c r="D78" s="19">
        <v>4.2</v>
      </c>
      <c r="E78" s="19">
        <v>4.9000000000000004</v>
      </c>
      <c r="F78" s="18" t="s">
        <v>429</v>
      </c>
      <c r="G78" s="18">
        <v>0.8</v>
      </c>
      <c r="H78" s="19" t="s">
        <v>429</v>
      </c>
      <c r="I78" s="19" t="s">
        <v>429</v>
      </c>
      <c r="J78" s="18" t="s">
        <v>429</v>
      </c>
      <c r="K78" s="18" t="s">
        <v>429</v>
      </c>
      <c r="L78" s="19" t="s">
        <v>429</v>
      </c>
      <c r="M78" s="19" t="s">
        <v>429</v>
      </c>
      <c r="N78" s="18" t="s">
        <v>429</v>
      </c>
      <c r="O78" s="18" t="s">
        <v>429</v>
      </c>
      <c r="P78" s="19" t="s">
        <v>429</v>
      </c>
      <c r="Q78" s="19" t="s">
        <v>429</v>
      </c>
      <c r="R78" s="18">
        <v>0</v>
      </c>
      <c r="S78" s="18" t="s">
        <v>429</v>
      </c>
      <c r="T78" s="19" t="s">
        <v>429</v>
      </c>
      <c r="U78" s="19" t="s">
        <v>429</v>
      </c>
      <c r="V78" s="18" t="s">
        <v>429</v>
      </c>
      <c r="W78" s="18" t="s">
        <v>429</v>
      </c>
      <c r="X78" s="19" t="s">
        <v>429</v>
      </c>
      <c r="Y78" s="19" t="s">
        <v>429</v>
      </c>
      <c r="Z78" s="18" t="s">
        <v>429</v>
      </c>
      <c r="AA78" s="18" t="s">
        <v>429</v>
      </c>
      <c r="AB78" s="19" t="s">
        <v>429</v>
      </c>
      <c r="AC78" s="19" t="s">
        <v>429</v>
      </c>
      <c r="AD78" s="18" t="s">
        <v>429</v>
      </c>
      <c r="AE78" s="18" t="s">
        <v>429</v>
      </c>
      <c r="AF78" s="19" t="s">
        <v>429</v>
      </c>
      <c r="AG78" s="19" t="s">
        <v>429</v>
      </c>
    </row>
    <row r="79" spans="1:33">
      <c r="A79" s="17" t="s">
        <v>1564</v>
      </c>
      <c r="B79" s="17" t="s">
        <v>1515</v>
      </c>
      <c r="C79" s="18" t="s">
        <v>429</v>
      </c>
      <c r="D79" s="19" t="s">
        <v>429</v>
      </c>
      <c r="E79" s="19" t="s">
        <v>429</v>
      </c>
      <c r="F79" s="18" t="s">
        <v>429</v>
      </c>
      <c r="G79" s="18" t="s">
        <v>429</v>
      </c>
      <c r="H79" s="19" t="s">
        <v>429</v>
      </c>
      <c r="I79" s="19" t="s">
        <v>429</v>
      </c>
      <c r="J79" s="18" t="s">
        <v>429</v>
      </c>
      <c r="K79" s="18" t="s">
        <v>429</v>
      </c>
      <c r="L79" s="19" t="s">
        <v>429</v>
      </c>
      <c r="M79" s="19" t="s">
        <v>429</v>
      </c>
      <c r="N79" s="18">
        <v>0</v>
      </c>
      <c r="O79" s="18">
        <v>0</v>
      </c>
      <c r="P79" s="19">
        <v>26.7</v>
      </c>
      <c r="Q79" s="19" t="s">
        <v>429</v>
      </c>
      <c r="R79" s="18">
        <v>0</v>
      </c>
      <c r="S79" s="18" t="s">
        <v>429</v>
      </c>
      <c r="T79" s="19" t="s">
        <v>429</v>
      </c>
      <c r="U79" s="19" t="s">
        <v>429</v>
      </c>
      <c r="V79" s="18" t="s">
        <v>429</v>
      </c>
      <c r="W79" s="18" t="s">
        <v>429</v>
      </c>
      <c r="X79" s="19" t="s">
        <v>429</v>
      </c>
      <c r="Y79" s="19" t="s">
        <v>429</v>
      </c>
      <c r="Z79" s="18" t="s">
        <v>429</v>
      </c>
      <c r="AA79" s="18" t="s">
        <v>429</v>
      </c>
      <c r="AB79" s="19" t="s">
        <v>429</v>
      </c>
      <c r="AC79" s="19" t="s">
        <v>429</v>
      </c>
      <c r="AD79" s="18" t="s">
        <v>429</v>
      </c>
      <c r="AE79" s="18" t="s">
        <v>429</v>
      </c>
      <c r="AF79" s="19" t="s">
        <v>429</v>
      </c>
      <c r="AG79" s="19" t="s">
        <v>429</v>
      </c>
    </row>
    <row r="80" spans="1:33">
      <c r="A80" s="17" t="s">
        <v>1565</v>
      </c>
      <c r="B80" s="17" t="s">
        <v>1566</v>
      </c>
      <c r="C80" s="18" t="s">
        <v>429</v>
      </c>
      <c r="D80" s="19" t="s">
        <v>429</v>
      </c>
      <c r="E80" s="19" t="s">
        <v>429</v>
      </c>
      <c r="F80" s="18" t="s">
        <v>429</v>
      </c>
      <c r="G80" s="18" t="s">
        <v>429</v>
      </c>
      <c r="H80" s="19" t="s">
        <v>429</v>
      </c>
      <c r="I80" s="19" t="s">
        <v>429</v>
      </c>
      <c r="J80" s="18" t="s">
        <v>429</v>
      </c>
      <c r="K80" s="18" t="s">
        <v>429</v>
      </c>
      <c r="L80" s="19" t="s">
        <v>429</v>
      </c>
      <c r="M80" s="19" t="s">
        <v>429</v>
      </c>
      <c r="N80" s="18" t="s">
        <v>429</v>
      </c>
      <c r="O80" s="18" t="s">
        <v>429</v>
      </c>
      <c r="P80" s="19" t="s">
        <v>429</v>
      </c>
      <c r="Q80" s="19" t="s">
        <v>429</v>
      </c>
      <c r="R80" s="18" t="s">
        <v>429</v>
      </c>
      <c r="S80" s="18" t="s">
        <v>429</v>
      </c>
      <c r="T80" s="19" t="s">
        <v>429</v>
      </c>
      <c r="U80" s="19" t="s">
        <v>429</v>
      </c>
      <c r="V80" s="18" t="s">
        <v>429</v>
      </c>
      <c r="W80" s="18" t="s">
        <v>429</v>
      </c>
      <c r="X80" s="19" t="s">
        <v>429</v>
      </c>
      <c r="Y80" s="19" t="s">
        <v>429</v>
      </c>
      <c r="Z80" s="18" t="s">
        <v>429</v>
      </c>
      <c r="AA80" s="18" t="s">
        <v>429</v>
      </c>
      <c r="AB80" s="19" t="s">
        <v>429</v>
      </c>
      <c r="AC80" s="19" t="s">
        <v>429</v>
      </c>
      <c r="AD80" s="18" t="s">
        <v>429</v>
      </c>
      <c r="AE80" s="18" t="s">
        <v>429</v>
      </c>
      <c r="AF80" s="19" t="s">
        <v>429</v>
      </c>
      <c r="AG80" s="19" t="s">
        <v>429</v>
      </c>
    </row>
    <row r="81" spans="1:33">
      <c r="A81" s="17" t="s">
        <v>1567</v>
      </c>
      <c r="B81" s="17" t="s">
        <v>1568</v>
      </c>
      <c r="C81" s="18" t="s">
        <v>429</v>
      </c>
      <c r="D81" s="19" t="s">
        <v>429</v>
      </c>
      <c r="E81" s="19" t="s">
        <v>429</v>
      </c>
      <c r="F81" s="18" t="s">
        <v>429</v>
      </c>
      <c r="G81" s="18" t="s">
        <v>429</v>
      </c>
      <c r="H81" s="19" t="s">
        <v>429</v>
      </c>
      <c r="I81" s="19" t="s">
        <v>429</v>
      </c>
      <c r="J81" s="18" t="s">
        <v>429</v>
      </c>
      <c r="K81" s="18" t="s">
        <v>429</v>
      </c>
      <c r="L81" s="19" t="s">
        <v>429</v>
      </c>
      <c r="M81" s="19" t="s">
        <v>429</v>
      </c>
      <c r="N81" s="18" t="s">
        <v>429</v>
      </c>
      <c r="O81" s="18" t="s">
        <v>429</v>
      </c>
      <c r="P81" s="19" t="s">
        <v>429</v>
      </c>
      <c r="Q81" s="19" t="s">
        <v>429</v>
      </c>
      <c r="R81" s="18" t="s">
        <v>429</v>
      </c>
      <c r="S81" s="18" t="s">
        <v>429</v>
      </c>
      <c r="T81" s="19" t="s">
        <v>429</v>
      </c>
      <c r="U81" s="19" t="s">
        <v>429</v>
      </c>
      <c r="V81" s="18" t="s">
        <v>429</v>
      </c>
      <c r="W81" s="18" t="s">
        <v>429</v>
      </c>
      <c r="X81" s="19" t="s">
        <v>429</v>
      </c>
      <c r="Y81" s="19" t="s">
        <v>429</v>
      </c>
      <c r="Z81" s="18" t="s">
        <v>429</v>
      </c>
      <c r="AA81" s="18" t="s">
        <v>429</v>
      </c>
      <c r="AB81" s="19" t="s">
        <v>429</v>
      </c>
      <c r="AC81" s="19" t="s">
        <v>429</v>
      </c>
      <c r="AD81" s="18" t="s">
        <v>429</v>
      </c>
      <c r="AE81" s="18" t="s">
        <v>429</v>
      </c>
      <c r="AF81" s="19" t="s">
        <v>429</v>
      </c>
      <c r="AG81" s="19" t="s">
        <v>429</v>
      </c>
    </row>
    <row r="82" spans="1:33">
      <c r="A82" s="17" t="s">
        <v>1569</v>
      </c>
      <c r="B82" s="17" t="s">
        <v>1570</v>
      </c>
      <c r="C82" s="18" t="s">
        <v>429</v>
      </c>
      <c r="D82" s="19" t="s">
        <v>429</v>
      </c>
      <c r="E82" s="19" t="s">
        <v>429</v>
      </c>
      <c r="F82" s="18">
        <v>159.80000000000001</v>
      </c>
      <c r="G82" s="18">
        <v>46.9</v>
      </c>
      <c r="H82" s="19">
        <v>0.6</v>
      </c>
      <c r="I82" s="19">
        <v>0.6</v>
      </c>
      <c r="J82" s="18">
        <v>0.7</v>
      </c>
      <c r="K82" s="18">
        <v>0.1</v>
      </c>
      <c r="L82" s="19">
        <v>0.1</v>
      </c>
      <c r="M82" s="19">
        <v>0.1</v>
      </c>
      <c r="N82" s="18">
        <v>0.1</v>
      </c>
      <c r="O82" s="18">
        <v>0.2</v>
      </c>
      <c r="P82" s="19">
        <v>0.2</v>
      </c>
      <c r="Q82" s="19">
        <v>0.2</v>
      </c>
      <c r="R82" s="18">
        <v>0.2</v>
      </c>
      <c r="S82" s="18">
        <v>0.2</v>
      </c>
      <c r="T82" s="19">
        <v>0.3</v>
      </c>
      <c r="U82" s="19">
        <v>0.3</v>
      </c>
      <c r="V82" s="18">
        <v>0.3</v>
      </c>
      <c r="W82" s="18" t="s">
        <v>429</v>
      </c>
      <c r="X82" s="19">
        <v>0</v>
      </c>
      <c r="Y82" s="19" t="s">
        <v>429</v>
      </c>
      <c r="Z82" s="18" t="s">
        <v>429</v>
      </c>
      <c r="AA82" s="18" t="s">
        <v>429</v>
      </c>
      <c r="AB82" s="19" t="s">
        <v>429</v>
      </c>
      <c r="AC82" s="19" t="s">
        <v>429</v>
      </c>
      <c r="AD82" s="18" t="s">
        <v>429</v>
      </c>
      <c r="AE82" s="18" t="s">
        <v>429</v>
      </c>
      <c r="AF82" s="19" t="s">
        <v>429</v>
      </c>
      <c r="AG82" s="19" t="s">
        <v>429</v>
      </c>
    </row>
    <row r="83" spans="1:33">
      <c r="A83" s="15"/>
      <c r="B83" s="16" t="s">
        <v>1571</v>
      </c>
      <c r="C83" s="16"/>
      <c r="D83" s="16"/>
      <c r="E83" s="16"/>
      <c r="F83" s="16"/>
      <c r="G83" s="16"/>
      <c r="H83" s="16"/>
      <c r="I83" s="16"/>
      <c r="J83" s="16"/>
      <c r="K83" s="16"/>
      <c r="L83" s="16"/>
      <c r="M83" s="16"/>
      <c r="N83" s="16"/>
      <c r="O83" s="16"/>
      <c r="P83" s="16"/>
      <c r="Q83" s="16"/>
      <c r="R83" s="16"/>
      <c r="S83" s="16"/>
      <c r="T83" s="16"/>
      <c r="U83" s="16"/>
      <c r="V83" s="16"/>
      <c r="W83" s="16"/>
      <c r="X83" s="16"/>
      <c r="Y83" s="16"/>
      <c r="Z83" s="16"/>
      <c r="AA83" s="16"/>
      <c r="AB83" s="16"/>
      <c r="AC83" s="16"/>
      <c r="AD83" s="16"/>
      <c r="AE83" s="16"/>
      <c r="AF83" s="16"/>
      <c r="AG83" s="16"/>
    </row>
    <row r="84" spans="1:33">
      <c r="A84" s="17" t="s">
        <v>1572</v>
      </c>
      <c r="B84" s="17" t="s">
        <v>1573</v>
      </c>
      <c r="C84" s="18" t="s">
        <v>429</v>
      </c>
      <c r="D84" s="19" t="s">
        <v>429</v>
      </c>
      <c r="E84" s="19" t="s">
        <v>429</v>
      </c>
      <c r="F84" s="18" t="s">
        <v>429</v>
      </c>
      <c r="G84" s="18" t="s">
        <v>429</v>
      </c>
      <c r="H84" s="19" t="s">
        <v>429</v>
      </c>
      <c r="I84" s="19" t="s">
        <v>429</v>
      </c>
      <c r="J84" s="18" t="s">
        <v>429</v>
      </c>
      <c r="K84" s="18" t="s">
        <v>429</v>
      </c>
      <c r="L84" s="19" t="s">
        <v>429</v>
      </c>
      <c r="M84" s="19" t="s">
        <v>429</v>
      </c>
      <c r="N84" s="18" t="s">
        <v>429</v>
      </c>
      <c r="O84" s="18" t="s">
        <v>429</v>
      </c>
      <c r="P84" s="19" t="s">
        <v>429</v>
      </c>
      <c r="Q84" s="19" t="s">
        <v>429</v>
      </c>
      <c r="R84" s="18" t="s">
        <v>429</v>
      </c>
      <c r="S84" s="18" t="s">
        <v>429</v>
      </c>
      <c r="T84" s="19" t="s">
        <v>429</v>
      </c>
      <c r="U84" s="19" t="s">
        <v>429</v>
      </c>
      <c r="V84" s="18" t="s">
        <v>429</v>
      </c>
      <c r="W84" s="18" t="s">
        <v>429</v>
      </c>
      <c r="X84" s="19" t="s">
        <v>429</v>
      </c>
      <c r="Y84" s="19" t="s">
        <v>429</v>
      </c>
      <c r="Z84" s="18" t="s">
        <v>429</v>
      </c>
      <c r="AA84" s="18" t="s">
        <v>429</v>
      </c>
      <c r="AB84" s="19" t="s">
        <v>429</v>
      </c>
      <c r="AC84" s="19" t="s">
        <v>429</v>
      </c>
      <c r="AD84" s="18" t="s">
        <v>429</v>
      </c>
      <c r="AE84" s="18" t="s">
        <v>429</v>
      </c>
      <c r="AF84" s="19" t="s">
        <v>429</v>
      </c>
      <c r="AG84" s="19" t="s">
        <v>429</v>
      </c>
    </row>
    <row r="85" spans="1:33">
      <c r="A85" s="17" t="s">
        <v>1574</v>
      </c>
      <c r="B85" s="17" t="s">
        <v>1575</v>
      </c>
      <c r="C85" s="18" t="s">
        <v>429</v>
      </c>
      <c r="D85" s="19" t="s">
        <v>429</v>
      </c>
      <c r="E85" s="19" t="s">
        <v>429</v>
      </c>
      <c r="F85" s="18" t="s">
        <v>429</v>
      </c>
      <c r="G85" s="18" t="s">
        <v>429</v>
      </c>
      <c r="H85" s="19" t="s">
        <v>429</v>
      </c>
      <c r="I85" s="19" t="s">
        <v>429</v>
      </c>
      <c r="J85" s="18" t="s">
        <v>429</v>
      </c>
      <c r="K85" s="18" t="s">
        <v>429</v>
      </c>
      <c r="L85" s="19" t="s">
        <v>429</v>
      </c>
      <c r="M85" s="19" t="s">
        <v>429</v>
      </c>
      <c r="N85" s="18" t="s">
        <v>429</v>
      </c>
      <c r="O85" s="18" t="s">
        <v>429</v>
      </c>
      <c r="P85" s="19" t="s">
        <v>429</v>
      </c>
      <c r="Q85" s="19" t="s">
        <v>429</v>
      </c>
      <c r="R85" s="18" t="s">
        <v>429</v>
      </c>
      <c r="S85" s="18" t="s">
        <v>429</v>
      </c>
      <c r="T85" s="19" t="s">
        <v>429</v>
      </c>
      <c r="U85" s="19" t="s">
        <v>429</v>
      </c>
      <c r="V85" s="18" t="s">
        <v>429</v>
      </c>
      <c r="W85" s="18" t="s">
        <v>429</v>
      </c>
      <c r="X85" s="19" t="s">
        <v>429</v>
      </c>
      <c r="Y85" s="19" t="s">
        <v>429</v>
      </c>
      <c r="Z85" s="18" t="s">
        <v>429</v>
      </c>
      <c r="AA85" s="18" t="s">
        <v>429</v>
      </c>
      <c r="AB85" s="19" t="s">
        <v>429</v>
      </c>
      <c r="AC85" s="19" t="s">
        <v>429</v>
      </c>
      <c r="AD85" s="18" t="s">
        <v>429</v>
      </c>
      <c r="AE85" s="18" t="s">
        <v>429</v>
      </c>
      <c r="AF85" s="19" t="s">
        <v>429</v>
      </c>
      <c r="AG85" s="19" t="s">
        <v>429</v>
      </c>
    </row>
    <row r="86" spans="1:33">
      <c r="A86" s="17" t="s">
        <v>1576</v>
      </c>
      <c r="B86" s="17" t="s">
        <v>1577</v>
      </c>
      <c r="C86" s="18" t="s">
        <v>429</v>
      </c>
      <c r="D86" s="19" t="s">
        <v>429</v>
      </c>
      <c r="E86" s="19" t="s">
        <v>429</v>
      </c>
      <c r="F86" s="18" t="s">
        <v>429</v>
      </c>
      <c r="G86" s="18" t="s">
        <v>429</v>
      </c>
      <c r="H86" s="19" t="s">
        <v>429</v>
      </c>
      <c r="I86" s="19" t="s">
        <v>429</v>
      </c>
      <c r="J86" s="18" t="s">
        <v>429</v>
      </c>
      <c r="K86" s="18" t="s">
        <v>429</v>
      </c>
      <c r="L86" s="19" t="s">
        <v>429</v>
      </c>
      <c r="M86" s="19" t="s">
        <v>429</v>
      </c>
      <c r="N86" s="18" t="s">
        <v>429</v>
      </c>
      <c r="O86" s="18" t="s">
        <v>429</v>
      </c>
      <c r="P86" s="19" t="s">
        <v>429</v>
      </c>
      <c r="Q86" s="19" t="s">
        <v>429</v>
      </c>
      <c r="R86" s="18" t="s">
        <v>429</v>
      </c>
      <c r="S86" s="18" t="s">
        <v>429</v>
      </c>
      <c r="T86" s="19" t="s">
        <v>429</v>
      </c>
      <c r="U86" s="19" t="s">
        <v>429</v>
      </c>
      <c r="V86" s="18" t="s">
        <v>429</v>
      </c>
      <c r="W86" s="18" t="s">
        <v>429</v>
      </c>
      <c r="X86" s="19" t="s">
        <v>429</v>
      </c>
      <c r="Y86" s="19" t="s">
        <v>429</v>
      </c>
      <c r="Z86" s="18" t="s">
        <v>429</v>
      </c>
      <c r="AA86" s="18" t="s">
        <v>429</v>
      </c>
      <c r="AB86" s="19" t="s">
        <v>429</v>
      </c>
      <c r="AC86" s="19" t="s">
        <v>429</v>
      </c>
      <c r="AD86" s="18" t="s">
        <v>429</v>
      </c>
      <c r="AE86" s="18" t="s">
        <v>429</v>
      </c>
      <c r="AF86" s="19" t="s">
        <v>429</v>
      </c>
      <c r="AG86" s="19" t="s">
        <v>429</v>
      </c>
    </row>
    <row r="87" spans="1:33">
      <c r="A87" s="17" t="s">
        <v>1578</v>
      </c>
      <c r="B87" s="17" t="s">
        <v>1579</v>
      </c>
      <c r="C87" s="18" t="s">
        <v>429</v>
      </c>
      <c r="D87" s="19" t="s">
        <v>429</v>
      </c>
      <c r="E87" s="19" t="s">
        <v>429</v>
      </c>
      <c r="F87" s="18" t="s">
        <v>429</v>
      </c>
      <c r="G87" s="18" t="s">
        <v>429</v>
      </c>
      <c r="H87" s="19" t="s">
        <v>429</v>
      </c>
      <c r="I87" s="19" t="s">
        <v>429</v>
      </c>
      <c r="J87" s="18" t="s">
        <v>429</v>
      </c>
      <c r="K87" s="18" t="s">
        <v>429</v>
      </c>
      <c r="L87" s="19" t="s">
        <v>429</v>
      </c>
      <c r="M87" s="19" t="s">
        <v>429</v>
      </c>
      <c r="N87" s="18" t="s">
        <v>429</v>
      </c>
      <c r="O87" s="18" t="s">
        <v>429</v>
      </c>
      <c r="P87" s="19" t="s">
        <v>429</v>
      </c>
      <c r="Q87" s="19" t="s">
        <v>429</v>
      </c>
      <c r="R87" s="18" t="s">
        <v>429</v>
      </c>
      <c r="S87" s="18" t="s">
        <v>429</v>
      </c>
      <c r="T87" s="19" t="s">
        <v>429</v>
      </c>
      <c r="U87" s="19" t="s">
        <v>429</v>
      </c>
      <c r="V87" s="18" t="s">
        <v>429</v>
      </c>
      <c r="W87" s="18" t="s">
        <v>429</v>
      </c>
      <c r="X87" s="19" t="s">
        <v>429</v>
      </c>
      <c r="Y87" s="19" t="s">
        <v>429</v>
      </c>
      <c r="Z87" s="18" t="s">
        <v>429</v>
      </c>
      <c r="AA87" s="18" t="s">
        <v>429</v>
      </c>
      <c r="AB87" s="19" t="s">
        <v>429</v>
      </c>
      <c r="AC87" s="19" t="s">
        <v>429</v>
      </c>
      <c r="AD87" s="18" t="s">
        <v>429</v>
      </c>
      <c r="AE87" s="18" t="s">
        <v>429</v>
      </c>
      <c r="AF87" s="19" t="s">
        <v>429</v>
      </c>
      <c r="AG87" s="19" t="s">
        <v>429</v>
      </c>
    </row>
    <row r="88" spans="1:33">
      <c r="A88" s="17" t="s">
        <v>1580</v>
      </c>
      <c r="B88" s="17" t="s">
        <v>1581</v>
      </c>
      <c r="C88" s="18" t="s">
        <v>429</v>
      </c>
      <c r="D88" s="19" t="s">
        <v>429</v>
      </c>
      <c r="E88" s="19" t="s">
        <v>429</v>
      </c>
      <c r="F88" s="18" t="s">
        <v>429</v>
      </c>
      <c r="G88" s="18" t="s">
        <v>429</v>
      </c>
      <c r="H88" s="19" t="s">
        <v>429</v>
      </c>
      <c r="I88" s="19" t="s">
        <v>429</v>
      </c>
      <c r="J88" s="18" t="s">
        <v>429</v>
      </c>
      <c r="K88" s="18" t="s">
        <v>429</v>
      </c>
      <c r="L88" s="19" t="s">
        <v>429</v>
      </c>
      <c r="M88" s="19" t="s">
        <v>429</v>
      </c>
      <c r="N88" s="18" t="s">
        <v>429</v>
      </c>
      <c r="O88" s="18" t="s">
        <v>429</v>
      </c>
      <c r="P88" s="19" t="s">
        <v>429</v>
      </c>
      <c r="Q88" s="19" t="s">
        <v>429</v>
      </c>
      <c r="R88" s="18" t="s">
        <v>429</v>
      </c>
      <c r="S88" s="18" t="s">
        <v>429</v>
      </c>
      <c r="T88" s="19" t="s">
        <v>429</v>
      </c>
      <c r="U88" s="19" t="s">
        <v>429</v>
      </c>
      <c r="V88" s="18" t="s">
        <v>429</v>
      </c>
      <c r="W88" s="18" t="s">
        <v>429</v>
      </c>
      <c r="X88" s="19" t="s">
        <v>429</v>
      </c>
      <c r="Y88" s="19" t="s">
        <v>429</v>
      </c>
      <c r="Z88" s="18" t="s">
        <v>429</v>
      </c>
      <c r="AA88" s="18" t="s">
        <v>429</v>
      </c>
      <c r="AB88" s="19" t="s">
        <v>429</v>
      </c>
      <c r="AC88" s="19" t="s">
        <v>429</v>
      </c>
      <c r="AD88" s="18" t="s">
        <v>429</v>
      </c>
      <c r="AE88" s="18" t="s">
        <v>429</v>
      </c>
      <c r="AF88" s="19" t="s">
        <v>429</v>
      </c>
      <c r="AG88" s="19" t="s">
        <v>429</v>
      </c>
    </row>
    <row r="89" spans="1:33">
      <c r="A89" s="17" t="s">
        <v>1582</v>
      </c>
      <c r="B89" s="17" t="s">
        <v>1583</v>
      </c>
      <c r="C89" s="18" t="s">
        <v>429</v>
      </c>
      <c r="D89" s="19" t="s">
        <v>429</v>
      </c>
      <c r="E89" s="19" t="s">
        <v>429</v>
      </c>
      <c r="F89" s="18" t="s">
        <v>429</v>
      </c>
      <c r="G89" s="18" t="s">
        <v>429</v>
      </c>
      <c r="H89" s="19" t="s">
        <v>429</v>
      </c>
      <c r="I89" s="19" t="s">
        <v>429</v>
      </c>
      <c r="J89" s="18" t="s">
        <v>429</v>
      </c>
      <c r="K89" s="18" t="s">
        <v>429</v>
      </c>
      <c r="L89" s="19" t="s">
        <v>429</v>
      </c>
      <c r="M89" s="19" t="s">
        <v>429</v>
      </c>
      <c r="N89" s="18" t="s">
        <v>429</v>
      </c>
      <c r="O89" s="18" t="s">
        <v>429</v>
      </c>
      <c r="P89" s="19" t="s">
        <v>429</v>
      </c>
      <c r="Q89" s="19" t="s">
        <v>429</v>
      </c>
      <c r="R89" s="18" t="s">
        <v>429</v>
      </c>
      <c r="S89" s="18" t="s">
        <v>429</v>
      </c>
      <c r="T89" s="19" t="s">
        <v>429</v>
      </c>
      <c r="U89" s="19" t="s">
        <v>429</v>
      </c>
      <c r="V89" s="18" t="s">
        <v>429</v>
      </c>
      <c r="W89" s="18" t="s">
        <v>429</v>
      </c>
      <c r="X89" s="19" t="s">
        <v>429</v>
      </c>
      <c r="Y89" s="19" t="s">
        <v>429</v>
      </c>
      <c r="Z89" s="18" t="s">
        <v>429</v>
      </c>
      <c r="AA89" s="18" t="s">
        <v>429</v>
      </c>
      <c r="AB89" s="19" t="s">
        <v>429</v>
      </c>
      <c r="AC89" s="19" t="s">
        <v>429</v>
      </c>
      <c r="AD89" s="18" t="s">
        <v>429</v>
      </c>
      <c r="AE89" s="18" t="s">
        <v>429</v>
      </c>
      <c r="AF89" s="19" t="s">
        <v>429</v>
      </c>
      <c r="AG89" s="19" t="s">
        <v>429</v>
      </c>
    </row>
    <row r="90" spans="1:33">
      <c r="A90" s="17" t="s">
        <v>1584</v>
      </c>
      <c r="B90" s="17" t="s">
        <v>1585</v>
      </c>
      <c r="C90" s="18" t="s">
        <v>429</v>
      </c>
      <c r="D90" s="19" t="s">
        <v>429</v>
      </c>
      <c r="E90" s="19" t="s">
        <v>429</v>
      </c>
      <c r="F90" s="18" t="s">
        <v>429</v>
      </c>
      <c r="G90" s="18" t="s">
        <v>429</v>
      </c>
      <c r="H90" s="19" t="s">
        <v>429</v>
      </c>
      <c r="I90" s="19" t="s">
        <v>429</v>
      </c>
      <c r="J90" s="18" t="s">
        <v>429</v>
      </c>
      <c r="K90" s="18" t="s">
        <v>429</v>
      </c>
      <c r="L90" s="19" t="s">
        <v>429</v>
      </c>
      <c r="M90" s="19" t="s">
        <v>429</v>
      </c>
      <c r="N90" s="18" t="s">
        <v>429</v>
      </c>
      <c r="O90" s="18" t="s">
        <v>429</v>
      </c>
      <c r="P90" s="19" t="s">
        <v>429</v>
      </c>
      <c r="Q90" s="19" t="s">
        <v>429</v>
      </c>
      <c r="R90" s="18" t="s">
        <v>429</v>
      </c>
      <c r="S90" s="18" t="s">
        <v>429</v>
      </c>
      <c r="T90" s="19" t="s">
        <v>429</v>
      </c>
      <c r="U90" s="19" t="s">
        <v>429</v>
      </c>
      <c r="V90" s="18" t="s">
        <v>429</v>
      </c>
      <c r="W90" s="18" t="s">
        <v>429</v>
      </c>
      <c r="X90" s="19" t="s">
        <v>429</v>
      </c>
      <c r="Y90" s="19" t="s">
        <v>429</v>
      </c>
      <c r="Z90" s="18" t="s">
        <v>429</v>
      </c>
      <c r="AA90" s="18" t="s">
        <v>429</v>
      </c>
      <c r="AB90" s="19" t="s">
        <v>429</v>
      </c>
      <c r="AC90" s="19" t="s">
        <v>429</v>
      </c>
      <c r="AD90" s="18" t="s">
        <v>429</v>
      </c>
      <c r="AE90" s="18" t="s">
        <v>429</v>
      </c>
      <c r="AF90" s="19" t="s">
        <v>429</v>
      </c>
      <c r="AG90" s="19" t="s">
        <v>429</v>
      </c>
    </row>
  </sheetData>
  <mergeCells count="17">
    <mergeCell ref="Z5:AA5"/>
    <mergeCell ref="AB5:AC5"/>
    <mergeCell ref="AD5:AE5"/>
    <mergeCell ref="AF5:AG5"/>
    <mergeCell ref="V5:W5"/>
    <mergeCell ref="X5:Y5"/>
    <mergeCell ref="A6:B6"/>
    <mergeCell ref="N5:O5"/>
    <mergeCell ref="P5:Q5"/>
    <mergeCell ref="R5:S5"/>
    <mergeCell ref="T5:U5"/>
    <mergeCell ref="A5:B5"/>
    <mergeCell ref="D5:E5"/>
    <mergeCell ref="F5:G5"/>
    <mergeCell ref="H5:I5"/>
    <mergeCell ref="J5:K5"/>
    <mergeCell ref="L5:M5"/>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02673-C5E6-4BCE-96B3-B178FCF2C46A}">
  <sheetPr codeName="Sheet18">
    <tabColor theme="0" tint="-0.249977111117893"/>
  </sheetPr>
  <dimension ref="A1:AI164"/>
  <sheetViews>
    <sheetView showGridLines="0" topLeftCell="A4" workbookViewId="0">
      <selection activeCell="I33" sqref="I33"/>
    </sheetView>
  </sheetViews>
  <sheetFormatPr defaultRowHeight="14.25"/>
  <cols>
    <col min="2" max="2" width="32.58203125" bestFit="1" customWidth="1"/>
  </cols>
  <sheetData>
    <row r="1" spans="1:35">
      <c r="A1" s="9" t="s">
        <v>1786</v>
      </c>
    </row>
    <row r="3" spans="1:35">
      <c r="A3" s="10" t="s">
        <v>1787</v>
      </c>
    </row>
    <row r="4" spans="1:35">
      <c r="A4" s="10" t="s">
        <v>1403</v>
      </c>
    </row>
    <row r="5" spans="1:35">
      <c r="A5" s="217" t="s">
        <v>1404</v>
      </c>
      <c r="B5" s="217"/>
      <c r="C5" s="11">
        <v>2022</v>
      </c>
      <c r="D5" s="216">
        <v>2021</v>
      </c>
      <c r="E5" s="216"/>
      <c r="F5" s="216">
        <v>2020</v>
      </c>
      <c r="G5" s="216"/>
      <c r="H5" s="216">
        <v>2019</v>
      </c>
      <c r="I5" s="216"/>
      <c r="J5" s="216">
        <v>2018</v>
      </c>
      <c r="K5" s="216"/>
      <c r="L5" s="216">
        <v>2017</v>
      </c>
      <c r="M5" s="216"/>
      <c r="N5" s="216">
        <v>2016</v>
      </c>
      <c r="O5" s="216"/>
      <c r="P5" s="216">
        <v>2015</v>
      </c>
      <c r="Q5" s="216"/>
      <c r="R5" s="216">
        <v>2014</v>
      </c>
      <c r="S5" s="216"/>
      <c r="T5" s="216">
        <v>2013</v>
      </c>
      <c r="U5" s="216"/>
      <c r="V5" s="216">
        <v>2012</v>
      </c>
      <c r="W5" s="216"/>
      <c r="X5" s="216">
        <v>2011</v>
      </c>
      <c r="Y5" s="216"/>
      <c r="Z5" s="216">
        <v>2010</v>
      </c>
      <c r="AA5" s="216"/>
      <c r="AB5" s="216">
        <v>2009</v>
      </c>
      <c r="AC5" s="216"/>
      <c r="AD5" s="216">
        <v>2008</v>
      </c>
      <c r="AE5" s="216"/>
      <c r="AF5" s="216">
        <v>2007</v>
      </c>
      <c r="AG5" s="216"/>
      <c r="AH5" s="216">
        <v>2006</v>
      </c>
      <c r="AI5" s="216"/>
    </row>
    <row r="6" spans="1:35">
      <c r="A6" s="215"/>
      <c r="B6" s="215"/>
      <c r="C6" s="12" t="s">
        <v>1617</v>
      </c>
      <c r="D6" s="13" t="s">
        <v>1618</v>
      </c>
      <c r="E6" s="13" t="s">
        <v>1619</v>
      </c>
      <c r="F6" s="12" t="s">
        <v>1620</v>
      </c>
      <c r="G6" s="12" t="s">
        <v>1621</v>
      </c>
      <c r="H6" s="13" t="s">
        <v>1622</v>
      </c>
      <c r="I6" s="13" t="s">
        <v>1623</v>
      </c>
      <c r="J6" s="12" t="s">
        <v>1624</v>
      </c>
      <c r="K6" s="12" t="s">
        <v>1625</v>
      </c>
      <c r="L6" s="13" t="s">
        <v>1626</v>
      </c>
      <c r="M6" s="13" t="s">
        <v>1627</v>
      </c>
      <c r="N6" s="12" t="s">
        <v>1628</v>
      </c>
      <c r="O6" s="12" t="s">
        <v>1629</v>
      </c>
      <c r="P6" s="13" t="s">
        <v>1630</v>
      </c>
      <c r="Q6" s="13" t="s">
        <v>1631</v>
      </c>
      <c r="R6" s="12" t="s">
        <v>1632</v>
      </c>
      <c r="S6" s="12" t="s">
        <v>1633</v>
      </c>
      <c r="T6" s="13" t="s">
        <v>1634</v>
      </c>
      <c r="U6" s="13" t="s">
        <v>1635</v>
      </c>
      <c r="V6" s="12" t="s">
        <v>1636</v>
      </c>
      <c r="W6" s="12" t="s">
        <v>1637</v>
      </c>
      <c r="X6" s="13" t="s">
        <v>1638</v>
      </c>
      <c r="Y6" s="13" t="s">
        <v>1639</v>
      </c>
      <c r="Z6" s="12" t="s">
        <v>1640</v>
      </c>
      <c r="AA6" s="12" t="s">
        <v>1641</v>
      </c>
      <c r="AB6" s="13" t="s">
        <v>1642</v>
      </c>
      <c r="AC6" s="13" t="s">
        <v>1643</v>
      </c>
      <c r="AD6" s="12" t="s">
        <v>1644</v>
      </c>
      <c r="AE6" s="12" t="s">
        <v>1645</v>
      </c>
      <c r="AF6" s="13" t="s">
        <v>1646</v>
      </c>
      <c r="AG6" s="13" t="s">
        <v>1647</v>
      </c>
      <c r="AH6" s="12" t="s">
        <v>1788</v>
      </c>
      <c r="AI6" s="12" t="s">
        <v>1789</v>
      </c>
    </row>
    <row r="7" spans="1:35">
      <c r="A7" s="21"/>
      <c r="B7" s="21" t="s">
        <v>1648</v>
      </c>
      <c r="C7" s="22" t="s">
        <v>1649</v>
      </c>
      <c r="D7" s="22" t="s">
        <v>1650</v>
      </c>
      <c r="E7" s="22" t="s">
        <v>1651</v>
      </c>
      <c r="F7" s="22" t="s">
        <v>1652</v>
      </c>
      <c r="G7" s="22" t="s">
        <v>1649</v>
      </c>
      <c r="H7" s="23" t="s">
        <v>1653</v>
      </c>
      <c r="I7" s="23" t="s">
        <v>1654</v>
      </c>
      <c r="J7" s="22" t="s">
        <v>1655</v>
      </c>
      <c r="K7" s="22" t="s">
        <v>1656</v>
      </c>
      <c r="L7" s="22" t="s">
        <v>1657</v>
      </c>
      <c r="M7" s="22" t="s">
        <v>1652</v>
      </c>
      <c r="N7" s="22" t="s">
        <v>1658</v>
      </c>
      <c r="O7" s="22" t="s">
        <v>1659</v>
      </c>
      <c r="P7" s="22" t="s">
        <v>1660</v>
      </c>
      <c r="Q7" s="22" t="s">
        <v>1649</v>
      </c>
      <c r="R7" s="23" t="s">
        <v>1661</v>
      </c>
      <c r="S7" s="23" t="s">
        <v>1661</v>
      </c>
      <c r="T7" s="22" t="s">
        <v>1662</v>
      </c>
      <c r="U7" s="22" t="s">
        <v>1663</v>
      </c>
      <c r="V7" s="22" t="s">
        <v>1664</v>
      </c>
      <c r="W7" s="22" t="s">
        <v>1656</v>
      </c>
      <c r="X7" s="22" t="s">
        <v>1660</v>
      </c>
      <c r="Y7" s="22" t="s">
        <v>1650</v>
      </c>
      <c r="Z7" s="22" t="s">
        <v>1665</v>
      </c>
      <c r="AA7" s="22" t="s">
        <v>1666</v>
      </c>
      <c r="AB7" s="24" t="s">
        <v>1667</v>
      </c>
      <c r="AC7" s="24" t="s">
        <v>1667</v>
      </c>
      <c r="AD7" s="24" t="s">
        <v>1667</v>
      </c>
      <c r="AE7" s="24" t="s">
        <v>1667</v>
      </c>
      <c r="AF7" s="24" t="s">
        <v>1667</v>
      </c>
      <c r="AG7" s="24" t="s">
        <v>1667</v>
      </c>
      <c r="AH7" s="24" t="s">
        <v>1667</v>
      </c>
      <c r="AI7" s="24" t="s">
        <v>1667</v>
      </c>
    </row>
    <row r="8" spans="1:35">
      <c r="A8" s="13"/>
      <c r="B8" s="14" t="s">
        <v>579</v>
      </c>
      <c r="C8" s="13" t="s">
        <v>580</v>
      </c>
      <c r="D8" s="12" t="s">
        <v>581</v>
      </c>
      <c r="E8" s="12" t="s">
        <v>582</v>
      </c>
      <c r="F8" s="13" t="s">
        <v>583</v>
      </c>
      <c r="G8" s="13" t="s">
        <v>584</v>
      </c>
      <c r="H8" s="12" t="s">
        <v>585</v>
      </c>
      <c r="I8" s="12" t="s">
        <v>586</v>
      </c>
      <c r="J8" s="13" t="s">
        <v>587</v>
      </c>
      <c r="K8" s="13" t="s">
        <v>588</v>
      </c>
      <c r="L8" s="12" t="s">
        <v>589</v>
      </c>
      <c r="M8" s="12" t="s">
        <v>590</v>
      </c>
      <c r="N8" s="13" t="s">
        <v>591</v>
      </c>
      <c r="O8" s="13" t="s">
        <v>592</v>
      </c>
      <c r="P8" s="12" t="s">
        <v>593</v>
      </c>
      <c r="Q8" s="12" t="s">
        <v>594</v>
      </c>
      <c r="R8" s="13" t="s">
        <v>595</v>
      </c>
      <c r="S8" s="13" t="s">
        <v>596</v>
      </c>
      <c r="T8" s="12" t="s">
        <v>597</v>
      </c>
      <c r="U8" s="12" t="s">
        <v>598</v>
      </c>
      <c r="V8" s="13" t="s">
        <v>599</v>
      </c>
      <c r="W8" s="13" t="s">
        <v>600</v>
      </c>
      <c r="X8" s="12" t="s">
        <v>601</v>
      </c>
      <c r="Y8" s="12" t="s">
        <v>602</v>
      </c>
      <c r="Z8" s="13" t="s">
        <v>603</v>
      </c>
      <c r="AA8" s="13" t="s">
        <v>604</v>
      </c>
      <c r="AB8" s="12" t="s">
        <v>605</v>
      </c>
      <c r="AC8" s="12" t="s">
        <v>606</v>
      </c>
      <c r="AD8" s="13" t="s">
        <v>607</v>
      </c>
      <c r="AE8" s="13" t="s">
        <v>608</v>
      </c>
      <c r="AF8" s="12" t="s">
        <v>609</v>
      </c>
      <c r="AG8" s="12" t="s">
        <v>610</v>
      </c>
      <c r="AH8" s="13" t="s">
        <v>611</v>
      </c>
      <c r="AI8" s="13" t="s">
        <v>612</v>
      </c>
    </row>
    <row r="9" spans="1:35">
      <c r="A9" s="17" t="s">
        <v>1790</v>
      </c>
      <c r="B9" s="17" t="s">
        <v>1791</v>
      </c>
      <c r="C9" s="18">
        <v>39.9</v>
      </c>
      <c r="D9" s="19">
        <v>36.299999999999997</v>
      </c>
      <c r="E9" s="19">
        <v>39.299999999999997</v>
      </c>
      <c r="F9" s="18">
        <v>38.1</v>
      </c>
      <c r="G9" s="18">
        <v>39.9</v>
      </c>
      <c r="H9" s="19">
        <v>47.2</v>
      </c>
      <c r="I9" s="19">
        <v>55.9</v>
      </c>
      <c r="J9" s="18">
        <v>50</v>
      </c>
      <c r="K9" s="18">
        <v>82</v>
      </c>
      <c r="L9" s="19">
        <v>73</v>
      </c>
      <c r="M9" s="19">
        <v>77.2</v>
      </c>
      <c r="N9" s="18" t="s">
        <v>429</v>
      </c>
      <c r="O9" s="18" t="s">
        <v>429</v>
      </c>
      <c r="P9" s="19" t="s">
        <v>429</v>
      </c>
      <c r="Q9" s="19" t="s">
        <v>429</v>
      </c>
      <c r="R9" s="18" t="s">
        <v>429</v>
      </c>
      <c r="S9" s="18" t="s">
        <v>429</v>
      </c>
      <c r="T9" s="19" t="s">
        <v>429</v>
      </c>
      <c r="U9" s="19" t="s">
        <v>429</v>
      </c>
      <c r="V9" s="18" t="s">
        <v>429</v>
      </c>
      <c r="W9" s="18" t="s">
        <v>429</v>
      </c>
      <c r="X9" s="19" t="s">
        <v>429</v>
      </c>
      <c r="Y9" s="19" t="s">
        <v>429</v>
      </c>
      <c r="Z9" s="18" t="s">
        <v>429</v>
      </c>
      <c r="AA9" s="18" t="s">
        <v>429</v>
      </c>
      <c r="AB9" s="19" t="s">
        <v>429</v>
      </c>
      <c r="AC9" s="19" t="s">
        <v>429</v>
      </c>
      <c r="AD9" s="18" t="s">
        <v>429</v>
      </c>
      <c r="AE9" s="18" t="s">
        <v>429</v>
      </c>
      <c r="AF9" s="19" t="s">
        <v>429</v>
      </c>
      <c r="AG9" s="19" t="s">
        <v>429</v>
      </c>
      <c r="AH9" s="18" t="s">
        <v>429</v>
      </c>
      <c r="AI9" s="18" t="s">
        <v>429</v>
      </c>
    </row>
    <row r="10" spans="1:35">
      <c r="A10" s="17" t="s">
        <v>1790</v>
      </c>
      <c r="B10" s="17" t="s">
        <v>1792</v>
      </c>
      <c r="C10" s="18">
        <v>33</v>
      </c>
      <c r="D10" s="19">
        <v>33.200000000000003</v>
      </c>
      <c r="E10" s="19">
        <v>33.5</v>
      </c>
      <c r="F10" s="18">
        <v>21.3</v>
      </c>
      <c r="G10" s="18">
        <v>30.6</v>
      </c>
      <c r="H10" s="19">
        <v>34.200000000000003</v>
      </c>
      <c r="I10" s="19">
        <v>39.1</v>
      </c>
      <c r="J10" s="18">
        <v>28.7</v>
      </c>
      <c r="K10" s="18">
        <v>25</v>
      </c>
      <c r="L10" s="19">
        <v>28.9</v>
      </c>
      <c r="M10" s="19">
        <v>18.600000000000001</v>
      </c>
      <c r="N10" s="18" t="s">
        <v>429</v>
      </c>
      <c r="O10" s="18" t="s">
        <v>429</v>
      </c>
      <c r="P10" s="19" t="s">
        <v>429</v>
      </c>
      <c r="Q10" s="19" t="s">
        <v>429</v>
      </c>
      <c r="R10" s="18" t="s">
        <v>429</v>
      </c>
      <c r="S10" s="18" t="s">
        <v>429</v>
      </c>
      <c r="T10" s="19" t="s">
        <v>429</v>
      </c>
      <c r="U10" s="19" t="s">
        <v>429</v>
      </c>
      <c r="V10" s="18" t="s">
        <v>429</v>
      </c>
      <c r="W10" s="18" t="s">
        <v>429</v>
      </c>
      <c r="X10" s="19" t="s">
        <v>429</v>
      </c>
      <c r="Y10" s="19" t="s">
        <v>429</v>
      </c>
      <c r="Z10" s="18" t="s">
        <v>429</v>
      </c>
      <c r="AA10" s="18" t="s">
        <v>429</v>
      </c>
      <c r="AB10" s="19" t="s">
        <v>429</v>
      </c>
      <c r="AC10" s="19" t="s">
        <v>429</v>
      </c>
      <c r="AD10" s="18" t="s">
        <v>429</v>
      </c>
      <c r="AE10" s="18" t="s">
        <v>429</v>
      </c>
      <c r="AF10" s="19" t="s">
        <v>429</v>
      </c>
      <c r="AG10" s="19" t="s">
        <v>429</v>
      </c>
      <c r="AH10" s="18" t="s">
        <v>429</v>
      </c>
      <c r="AI10" s="18" t="s">
        <v>429</v>
      </c>
    </row>
    <row r="11" spans="1:35">
      <c r="A11" s="17" t="s">
        <v>1790</v>
      </c>
      <c r="B11" s="17" t="s">
        <v>1793</v>
      </c>
      <c r="C11" s="18">
        <v>28.4</v>
      </c>
      <c r="D11" s="19">
        <v>27.2</v>
      </c>
      <c r="E11" s="19">
        <v>29</v>
      </c>
      <c r="F11" s="18">
        <v>59</v>
      </c>
      <c r="G11" s="18">
        <v>25.5</v>
      </c>
      <c r="H11" s="19">
        <v>28.5</v>
      </c>
      <c r="I11" s="19">
        <v>26.1</v>
      </c>
      <c r="J11" s="18">
        <v>23.6</v>
      </c>
      <c r="K11" s="18">
        <v>25.7</v>
      </c>
      <c r="L11" s="19">
        <v>23.8</v>
      </c>
      <c r="M11" s="19">
        <v>21.7</v>
      </c>
      <c r="N11" s="18" t="s">
        <v>429</v>
      </c>
      <c r="O11" s="18" t="s">
        <v>429</v>
      </c>
      <c r="P11" s="19" t="s">
        <v>429</v>
      </c>
      <c r="Q11" s="19" t="s">
        <v>429</v>
      </c>
      <c r="R11" s="18" t="s">
        <v>429</v>
      </c>
      <c r="S11" s="18" t="s">
        <v>429</v>
      </c>
      <c r="T11" s="19" t="s">
        <v>429</v>
      </c>
      <c r="U11" s="19" t="s">
        <v>429</v>
      </c>
      <c r="V11" s="18" t="s">
        <v>429</v>
      </c>
      <c r="W11" s="18" t="s">
        <v>429</v>
      </c>
      <c r="X11" s="19" t="s">
        <v>429</v>
      </c>
      <c r="Y11" s="19" t="s">
        <v>429</v>
      </c>
      <c r="Z11" s="18" t="s">
        <v>429</v>
      </c>
      <c r="AA11" s="18" t="s">
        <v>429</v>
      </c>
      <c r="AB11" s="19" t="s">
        <v>429</v>
      </c>
      <c r="AC11" s="19" t="s">
        <v>429</v>
      </c>
      <c r="AD11" s="18" t="s">
        <v>429</v>
      </c>
      <c r="AE11" s="18" t="s">
        <v>429</v>
      </c>
      <c r="AF11" s="19" t="s">
        <v>429</v>
      </c>
      <c r="AG11" s="19" t="s">
        <v>429</v>
      </c>
      <c r="AH11" s="18" t="s">
        <v>429</v>
      </c>
      <c r="AI11" s="18" t="s">
        <v>429</v>
      </c>
    </row>
    <row r="12" spans="1:35">
      <c r="A12" s="17" t="s">
        <v>1790</v>
      </c>
      <c r="B12" s="17" t="s">
        <v>166</v>
      </c>
      <c r="C12" s="18" t="s">
        <v>429</v>
      </c>
      <c r="D12" s="19" t="s">
        <v>429</v>
      </c>
      <c r="E12" s="19" t="s">
        <v>429</v>
      </c>
      <c r="F12" s="18" t="s">
        <v>429</v>
      </c>
      <c r="G12" s="18" t="s">
        <v>429</v>
      </c>
      <c r="H12" s="19" t="s">
        <v>429</v>
      </c>
      <c r="I12" s="19" t="s">
        <v>429</v>
      </c>
      <c r="J12" s="18" t="s">
        <v>429</v>
      </c>
      <c r="K12" s="18" t="s">
        <v>429</v>
      </c>
      <c r="L12" s="19" t="s">
        <v>429</v>
      </c>
      <c r="M12" s="19" t="s">
        <v>429</v>
      </c>
      <c r="N12" s="18">
        <v>850.1</v>
      </c>
      <c r="O12" s="18">
        <v>1068.9000000000001</v>
      </c>
      <c r="P12" s="19">
        <v>862.6</v>
      </c>
      <c r="Q12" s="19">
        <v>971.3</v>
      </c>
      <c r="R12" s="18">
        <v>838.2</v>
      </c>
      <c r="S12" s="18">
        <v>961.2</v>
      </c>
      <c r="T12" s="19">
        <v>755</v>
      </c>
      <c r="U12" s="19">
        <v>884.5</v>
      </c>
      <c r="V12" s="18">
        <v>704.9</v>
      </c>
      <c r="W12" s="18">
        <v>830.5</v>
      </c>
      <c r="X12" s="19">
        <v>682.2</v>
      </c>
      <c r="Y12" s="19">
        <v>785.8</v>
      </c>
      <c r="Z12" s="18">
        <v>619.9</v>
      </c>
      <c r="AA12" s="18">
        <v>713.7</v>
      </c>
      <c r="AB12" s="19">
        <v>533.9</v>
      </c>
      <c r="AC12" s="19">
        <v>635.5</v>
      </c>
      <c r="AD12" s="18">
        <v>471.8</v>
      </c>
      <c r="AE12" s="18">
        <v>583.29999999999995</v>
      </c>
      <c r="AF12" s="19">
        <v>377.3</v>
      </c>
      <c r="AG12" s="19">
        <v>201.8</v>
      </c>
      <c r="AH12" s="18">
        <v>640.4</v>
      </c>
      <c r="AI12" s="18">
        <v>0</v>
      </c>
    </row>
    <row r="13" spans="1:35">
      <c r="A13" s="17" t="s">
        <v>1794</v>
      </c>
      <c r="B13" s="17" t="s">
        <v>1795</v>
      </c>
      <c r="C13" s="18">
        <v>883.7</v>
      </c>
      <c r="D13" s="19">
        <v>730.9</v>
      </c>
      <c r="E13" s="19">
        <v>893.7</v>
      </c>
      <c r="F13" s="18">
        <v>753.5</v>
      </c>
      <c r="G13" s="18">
        <v>856.7</v>
      </c>
      <c r="H13" s="19">
        <v>700.4</v>
      </c>
      <c r="I13" s="19">
        <v>817</v>
      </c>
      <c r="J13" s="18">
        <v>673.8</v>
      </c>
      <c r="K13" s="18">
        <v>905.1</v>
      </c>
      <c r="L13" s="19">
        <v>695.5</v>
      </c>
      <c r="M13" s="19">
        <v>872</v>
      </c>
      <c r="N13" s="18" t="s">
        <v>429</v>
      </c>
      <c r="O13" s="18" t="s">
        <v>429</v>
      </c>
      <c r="P13" s="19" t="s">
        <v>429</v>
      </c>
      <c r="Q13" s="19" t="s">
        <v>429</v>
      </c>
      <c r="R13" s="18" t="s">
        <v>429</v>
      </c>
      <c r="S13" s="18" t="s">
        <v>429</v>
      </c>
      <c r="T13" s="19" t="s">
        <v>429</v>
      </c>
      <c r="U13" s="19" t="s">
        <v>429</v>
      </c>
      <c r="V13" s="18" t="s">
        <v>429</v>
      </c>
      <c r="W13" s="18" t="s">
        <v>429</v>
      </c>
      <c r="X13" s="19" t="s">
        <v>429</v>
      </c>
      <c r="Y13" s="19" t="s">
        <v>429</v>
      </c>
      <c r="Z13" s="18" t="s">
        <v>429</v>
      </c>
      <c r="AA13" s="18" t="s">
        <v>429</v>
      </c>
      <c r="AB13" s="19" t="s">
        <v>429</v>
      </c>
      <c r="AC13" s="19" t="s">
        <v>429</v>
      </c>
      <c r="AD13" s="18" t="s">
        <v>429</v>
      </c>
      <c r="AE13" s="18" t="s">
        <v>429</v>
      </c>
      <c r="AF13" s="19" t="s">
        <v>429</v>
      </c>
      <c r="AG13" s="19" t="s">
        <v>429</v>
      </c>
      <c r="AH13" s="18" t="s">
        <v>429</v>
      </c>
      <c r="AI13" s="18" t="s">
        <v>429</v>
      </c>
    </row>
    <row r="14" spans="1:35">
      <c r="A14" s="17" t="s">
        <v>1794</v>
      </c>
      <c r="B14" s="17" t="s">
        <v>1796</v>
      </c>
      <c r="C14" s="18" t="s">
        <v>429</v>
      </c>
      <c r="D14" s="19" t="s">
        <v>429</v>
      </c>
      <c r="E14" s="19" t="s">
        <v>429</v>
      </c>
      <c r="F14" s="18" t="s">
        <v>429</v>
      </c>
      <c r="G14" s="18" t="s">
        <v>429</v>
      </c>
      <c r="H14" s="19" t="s">
        <v>429</v>
      </c>
      <c r="I14" s="19" t="s">
        <v>429</v>
      </c>
      <c r="J14" s="18" t="s">
        <v>429</v>
      </c>
      <c r="K14" s="18" t="s">
        <v>429</v>
      </c>
      <c r="L14" s="19" t="s">
        <v>429</v>
      </c>
      <c r="M14" s="19" t="s">
        <v>429</v>
      </c>
      <c r="N14" s="18" t="s">
        <v>429</v>
      </c>
      <c r="O14" s="18" t="s">
        <v>429</v>
      </c>
      <c r="P14" s="19" t="s">
        <v>429</v>
      </c>
      <c r="Q14" s="19" t="s">
        <v>429</v>
      </c>
      <c r="R14" s="18" t="s">
        <v>429</v>
      </c>
      <c r="S14" s="18" t="s">
        <v>429</v>
      </c>
      <c r="T14" s="19" t="s">
        <v>429</v>
      </c>
      <c r="U14" s="19" t="s">
        <v>429</v>
      </c>
      <c r="V14" s="18" t="s">
        <v>429</v>
      </c>
      <c r="W14" s="18" t="s">
        <v>429</v>
      </c>
      <c r="X14" s="19" t="s">
        <v>429</v>
      </c>
      <c r="Y14" s="19" t="s">
        <v>429</v>
      </c>
      <c r="Z14" s="18" t="s">
        <v>429</v>
      </c>
      <c r="AA14" s="18" t="s">
        <v>429</v>
      </c>
      <c r="AB14" s="19" t="s">
        <v>429</v>
      </c>
      <c r="AC14" s="19" t="s">
        <v>429</v>
      </c>
      <c r="AD14" s="18" t="s">
        <v>429</v>
      </c>
      <c r="AE14" s="18" t="s">
        <v>429</v>
      </c>
      <c r="AF14" s="19" t="s">
        <v>429</v>
      </c>
      <c r="AG14" s="19">
        <v>188.7</v>
      </c>
      <c r="AH14" s="18">
        <v>-195.2</v>
      </c>
      <c r="AI14" s="18">
        <v>195.2</v>
      </c>
    </row>
    <row r="15" spans="1:35">
      <c r="A15" s="17" t="s">
        <v>1797</v>
      </c>
      <c r="B15" s="17" t="s">
        <v>1798</v>
      </c>
      <c r="C15" s="18" t="s">
        <v>429</v>
      </c>
      <c r="D15" s="19" t="s">
        <v>429</v>
      </c>
      <c r="E15" s="19" t="s">
        <v>429</v>
      </c>
      <c r="F15" s="18" t="s">
        <v>429</v>
      </c>
      <c r="G15" s="18" t="s">
        <v>429</v>
      </c>
      <c r="H15" s="19" t="s">
        <v>429</v>
      </c>
      <c r="I15" s="19" t="s">
        <v>429</v>
      </c>
      <c r="J15" s="18" t="s">
        <v>429</v>
      </c>
      <c r="K15" s="18" t="s">
        <v>429</v>
      </c>
      <c r="L15" s="19" t="s">
        <v>429</v>
      </c>
      <c r="M15" s="19" t="s">
        <v>429</v>
      </c>
      <c r="N15" s="18" t="s">
        <v>429</v>
      </c>
      <c r="O15" s="18" t="s">
        <v>429</v>
      </c>
      <c r="P15" s="19" t="s">
        <v>429</v>
      </c>
      <c r="Q15" s="19" t="s">
        <v>429</v>
      </c>
      <c r="R15" s="18" t="s">
        <v>429</v>
      </c>
      <c r="S15" s="18" t="s">
        <v>429</v>
      </c>
      <c r="T15" s="19" t="s">
        <v>429</v>
      </c>
      <c r="U15" s="19" t="s">
        <v>429</v>
      </c>
      <c r="V15" s="18" t="s">
        <v>429</v>
      </c>
      <c r="W15" s="18" t="s">
        <v>429</v>
      </c>
      <c r="X15" s="19" t="s">
        <v>429</v>
      </c>
      <c r="Y15" s="19" t="s">
        <v>429</v>
      </c>
      <c r="Z15" s="18" t="s">
        <v>429</v>
      </c>
      <c r="AA15" s="18" t="s">
        <v>429</v>
      </c>
      <c r="AB15" s="19" t="s">
        <v>429</v>
      </c>
      <c r="AC15" s="19" t="s">
        <v>429</v>
      </c>
      <c r="AD15" s="18" t="s">
        <v>429</v>
      </c>
      <c r="AE15" s="18" t="s">
        <v>429</v>
      </c>
      <c r="AF15" s="19" t="s">
        <v>429</v>
      </c>
      <c r="AG15" s="19">
        <v>104</v>
      </c>
      <c r="AH15" s="18">
        <v>-90.6</v>
      </c>
      <c r="AI15" s="18">
        <v>90.6</v>
      </c>
    </row>
    <row r="16" spans="1:35">
      <c r="A16" s="17" t="s">
        <v>1790</v>
      </c>
      <c r="B16" s="17" t="s">
        <v>1799</v>
      </c>
      <c r="C16" s="18" t="s">
        <v>429</v>
      </c>
      <c r="D16" s="19" t="s">
        <v>429</v>
      </c>
      <c r="E16" s="19" t="s">
        <v>429</v>
      </c>
      <c r="F16" s="18" t="s">
        <v>429</v>
      </c>
      <c r="G16" s="18" t="s">
        <v>429</v>
      </c>
      <c r="H16" s="19" t="s">
        <v>429</v>
      </c>
      <c r="I16" s="19" t="s">
        <v>429</v>
      </c>
      <c r="J16" s="18" t="s">
        <v>429</v>
      </c>
      <c r="K16" s="18" t="s">
        <v>429</v>
      </c>
      <c r="L16" s="19" t="s">
        <v>429</v>
      </c>
      <c r="M16" s="19" t="s">
        <v>429</v>
      </c>
      <c r="N16" s="18" t="s">
        <v>429</v>
      </c>
      <c r="O16" s="18" t="s">
        <v>429</v>
      </c>
      <c r="P16" s="19" t="s">
        <v>429</v>
      </c>
      <c r="Q16" s="19" t="s">
        <v>429</v>
      </c>
      <c r="R16" s="18" t="s">
        <v>429</v>
      </c>
      <c r="S16" s="18" t="s">
        <v>429</v>
      </c>
      <c r="T16" s="19" t="s">
        <v>429</v>
      </c>
      <c r="U16" s="19" t="s">
        <v>429</v>
      </c>
      <c r="V16" s="18" t="s">
        <v>429</v>
      </c>
      <c r="W16" s="18" t="s">
        <v>429</v>
      </c>
      <c r="X16" s="19" t="s">
        <v>429</v>
      </c>
      <c r="Y16" s="19" t="s">
        <v>429</v>
      </c>
      <c r="Z16" s="18" t="s">
        <v>429</v>
      </c>
      <c r="AA16" s="18" t="s">
        <v>429</v>
      </c>
      <c r="AB16" s="19" t="s">
        <v>429</v>
      </c>
      <c r="AC16" s="19" t="s">
        <v>429</v>
      </c>
      <c r="AD16" s="18" t="s">
        <v>429</v>
      </c>
      <c r="AE16" s="18" t="s">
        <v>429</v>
      </c>
      <c r="AF16" s="19" t="s">
        <v>429</v>
      </c>
      <c r="AG16" s="19">
        <v>13.8</v>
      </c>
      <c r="AH16" s="18">
        <v>0</v>
      </c>
      <c r="AI16" s="18">
        <v>0</v>
      </c>
    </row>
    <row r="17" spans="1:35">
      <c r="A17" s="17" t="s">
        <v>1800</v>
      </c>
      <c r="B17" s="17" t="s">
        <v>1801</v>
      </c>
      <c r="C17" s="18" t="s">
        <v>429</v>
      </c>
      <c r="D17" s="19" t="s">
        <v>429</v>
      </c>
      <c r="E17" s="19" t="s">
        <v>429</v>
      </c>
      <c r="F17" s="18" t="s">
        <v>429</v>
      </c>
      <c r="G17" s="18" t="s">
        <v>429</v>
      </c>
      <c r="H17" s="19" t="s">
        <v>429</v>
      </c>
      <c r="I17" s="19" t="s">
        <v>429</v>
      </c>
      <c r="J17" s="18" t="s">
        <v>429</v>
      </c>
      <c r="K17" s="18" t="s">
        <v>429</v>
      </c>
      <c r="L17" s="19" t="s">
        <v>429</v>
      </c>
      <c r="M17" s="19" t="s">
        <v>429</v>
      </c>
      <c r="N17" s="18" t="s">
        <v>429</v>
      </c>
      <c r="O17" s="18" t="s">
        <v>429</v>
      </c>
      <c r="P17" s="19" t="s">
        <v>429</v>
      </c>
      <c r="Q17" s="19" t="s">
        <v>429</v>
      </c>
      <c r="R17" s="18" t="s">
        <v>429</v>
      </c>
      <c r="S17" s="18" t="s">
        <v>429</v>
      </c>
      <c r="T17" s="19" t="s">
        <v>429</v>
      </c>
      <c r="U17" s="19" t="s">
        <v>429</v>
      </c>
      <c r="V17" s="18" t="s">
        <v>429</v>
      </c>
      <c r="W17" s="18" t="s">
        <v>429</v>
      </c>
      <c r="X17" s="19" t="s">
        <v>429</v>
      </c>
      <c r="Y17" s="19" t="s">
        <v>429</v>
      </c>
      <c r="Z17" s="18" t="s">
        <v>429</v>
      </c>
      <c r="AA17" s="18" t="s">
        <v>429</v>
      </c>
      <c r="AB17" s="19" t="s">
        <v>429</v>
      </c>
      <c r="AC17" s="19" t="s">
        <v>429</v>
      </c>
      <c r="AD17" s="18" t="s">
        <v>429</v>
      </c>
      <c r="AE17" s="18" t="s">
        <v>429</v>
      </c>
      <c r="AF17" s="19">
        <v>59.8</v>
      </c>
      <c r="AG17" s="19">
        <v>14.9</v>
      </c>
      <c r="AH17" s="18">
        <v>31.1</v>
      </c>
      <c r="AI17" s="18">
        <v>12.6</v>
      </c>
    </row>
    <row r="18" spans="1:35">
      <c r="A18" s="17" t="s">
        <v>1800</v>
      </c>
      <c r="B18" s="17" t="s">
        <v>1802</v>
      </c>
      <c r="C18" s="18" t="s">
        <v>429</v>
      </c>
      <c r="D18" s="19" t="s">
        <v>429</v>
      </c>
      <c r="E18" s="19" t="s">
        <v>429</v>
      </c>
      <c r="F18" s="18" t="s">
        <v>429</v>
      </c>
      <c r="G18" s="18" t="s">
        <v>429</v>
      </c>
      <c r="H18" s="19" t="s">
        <v>429</v>
      </c>
      <c r="I18" s="19" t="s">
        <v>429</v>
      </c>
      <c r="J18" s="18" t="s">
        <v>429</v>
      </c>
      <c r="K18" s="18" t="s">
        <v>429</v>
      </c>
      <c r="L18" s="19" t="s">
        <v>429</v>
      </c>
      <c r="M18" s="19" t="s">
        <v>429</v>
      </c>
      <c r="N18" s="18" t="s">
        <v>429</v>
      </c>
      <c r="O18" s="18" t="s">
        <v>429</v>
      </c>
      <c r="P18" s="19" t="s">
        <v>429</v>
      </c>
      <c r="Q18" s="19" t="s">
        <v>429</v>
      </c>
      <c r="R18" s="18" t="s">
        <v>429</v>
      </c>
      <c r="S18" s="18" t="s">
        <v>429</v>
      </c>
      <c r="T18" s="19" t="s">
        <v>429</v>
      </c>
      <c r="U18" s="19" t="s">
        <v>429</v>
      </c>
      <c r="V18" s="18" t="s">
        <v>429</v>
      </c>
      <c r="W18" s="18" t="s">
        <v>429</v>
      </c>
      <c r="X18" s="19" t="s">
        <v>429</v>
      </c>
      <c r="Y18" s="19" t="s">
        <v>429</v>
      </c>
      <c r="Z18" s="18" t="s">
        <v>429</v>
      </c>
      <c r="AA18" s="18" t="s">
        <v>429</v>
      </c>
      <c r="AB18" s="19" t="s">
        <v>429</v>
      </c>
      <c r="AC18" s="19" t="s">
        <v>429</v>
      </c>
      <c r="AD18" s="18" t="s">
        <v>429</v>
      </c>
      <c r="AE18" s="18" t="s">
        <v>429</v>
      </c>
      <c r="AF18" s="19">
        <v>-8.6999999999999993</v>
      </c>
      <c r="AG18" s="19">
        <v>8.6999999999999993</v>
      </c>
      <c r="AH18" s="18">
        <v>-7.6</v>
      </c>
      <c r="AI18" s="18">
        <v>7.6</v>
      </c>
    </row>
    <row r="19" spans="1:35">
      <c r="A19" s="17" t="s">
        <v>1790</v>
      </c>
      <c r="B19" s="17" t="s">
        <v>1803</v>
      </c>
      <c r="C19" s="18" t="s">
        <v>429</v>
      </c>
      <c r="D19" s="19" t="s">
        <v>429</v>
      </c>
      <c r="E19" s="19" t="s">
        <v>429</v>
      </c>
      <c r="F19" s="18" t="s">
        <v>429</v>
      </c>
      <c r="G19" s="18" t="s">
        <v>429</v>
      </c>
      <c r="H19" s="19" t="s">
        <v>429</v>
      </c>
      <c r="I19" s="19" t="s">
        <v>429</v>
      </c>
      <c r="J19" s="18" t="s">
        <v>429</v>
      </c>
      <c r="K19" s="18" t="s">
        <v>429</v>
      </c>
      <c r="L19" s="19" t="s">
        <v>429</v>
      </c>
      <c r="M19" s="19" t="s">
        <v>429</v>
      </c>
      <c r="N19" s="18" t="s">
        <v>429</v>
      </c>
      <c r="O19" s="18" t="s">
        <v>429</v>
      </c>
      <c r="P19" s="19" t="s">
        <v>429</v>
      </c>
      <c r="Q19" s="19" t="s">
        <v>429</v>
      </c>
      <c r="R19" s="18" t="s">
        <v>429</v>
      </c>
      <c r="S19" s="18" t="s">
        <v>429</v>
      </c>
      <c r="T19" s="19" t="s">
        <v>429</v>
      </c>
      <c r="U19" s="19" t="s">
        <v>429</v>
      </c>
      <c r="V19" s="18" t="s">
        <v>429</v>
      </c>
      <c r="W19" s="18" t="s">
        <v>429</v>
      </c>
      <c r="X19" s="19" t="s">
        <v>429</v>
      </c>
      <c r="Y19" s="19" t="s">
        <v>429</v>
      </c>
      <c r="Z19" s="18" t="s">
        <v>429</v>
      </c>
      <c r="AA19" s="18" t="s">
        <v>429</v>
      </c>
      <c r="AB19" s="19" t="s">
        <v>429</v>
      </c>
      <c r="AC19" s="19" t="s">
        <v>429</v>
      </c>
      <c r="AD19" s="18" t="s">
        <v>429</v>
      </c>
      <c r="AE19" s="18" t="s">
        <v>429</v>
      </c>
      <c r="AF19" s="19" t="s">
        <v>429</v>
      </c>
      <c r="AG19" s="19" t="s">
        <v>429</v>
      </c>
      <c r="AH19" s="18" t="s">
        <v>429</v>
      </c>
      <c r="AI19" s="18" t="s">
        <v>429</v>
      </c>
    </row>
    <row r="20" spans="1:35">
      <c r="A20" s="17" t="s">
        <v>1790</v>
      </c>
      <c r="B20" s="17" t="s">
        <v>1804</v>
      </c>
      <c r="C20" s="18" t="s">
        <v>429</v>
      </c>
      <c r="D20" s="19" t="s">
        <v>429</v>
      </c>
      <c r="E20" s="19" t="s">
        <v>429</v>
      </c>
      <c r="F20" s="18" t="s">
        <v>429</v>
      </c>
      <c r="G20" s="18" t="s">
        <v>429</v>
      </c>
      <c r="H20" s="19" t="s">
        <v>429</v>
      </c>
      <c r="I20" s="19" t="s">
        <v>429</v>
      </c>
      <c r="J20" s="18" t="s">
        <v>429</v>
      </c>
      <c r="K20" s="18" t="s">
        <v>429</v>
      </c>
      <c r="L20" s="19" t="s">
        <v>429</v>
      </c>
      <c r="M20" s="19" t="s">
        <v>429</v>
      </c>
      <c r="N20" s="18" t="s">
        <v>429</v>
      </c>
      <c r="O20" s="18" t="s">
        <v>429</v>
      </c>
      <c r="P20" s="19" t="s">
        <v>429</v>
      </c>
      <c r="Q20" s="19" t="s">
        <v>429</v>
      </c>
      <c r="R20" s="18" t="s">
        <v>429</v>
      </c>
      <c r="S20" s="18" t="s">
        <v>429</v>
      </c>
      <c r="T20" s="19" t="s">
        <v>429</v>
      </c>
      <c r="U20" s="19" t="s">
        <v>429</v>
      </c>
      <c r="V20" s="18" t="s">
        <v>429</v>
      </c>
      <c r="W20" s="18" t="s">
        <v>429</v>
      </c>
      <c r="X20" s="19" t="s">
        <v>429</v>
      </c>
      <c r="Y20" s="19" t="s">
        <v>429</v>
      </c>
      <c r="Z20" s="18" t="s">
        <v>429</v>
      </c>
      <c r="AA20" s="18" t="s">
        <v>429</v>
      </c>
      <c r="AB20" s="19" t="s">
        <v>429</v>
      </c>
      <c r="AC20" s="19" t="s">
        <v>429</v>
      </c>
      <c r="AD20" s="18" t="s">
        <v>429</v>
      </c>
      <c r="AE20" s="18" t="s">
        <v>429</v>
      </c>
      <c r="AF20" s="19" t="s">
        <v>429</v>
      </c>
      <c r="AG20" s="19" t="s">
        <v>429</v>
      </c>
      <c r="AH20" s="18" t="s">
        <v>429</v>
      </c>
      <c r="AI20" s="18" t="s">
        <v>429</v>
      </c>
    </row>
    <row r="21" spans="1:35">
      <c r="A21" s="17" t="s">
        <v>1790</v>
      </c>
      <c r="B21" s="17" t="s">
        <v>1805</v>
      </c>
      <c r="C21" s="18">
        <v>40.1</v>
      </c>
      <c r="D21" s="19">
        <v>47.2</v>
      </c>
      <c r="E21" s="19">
        <v>34.9</v>
      </c>
      <c r="F21" s="18">
        <v>60.2</v>
      </c>
      <c r="G21" s="18">
        <v>41.2</v>
      </c>
      <c r="H21" s="19">
        <v>40.799999999999997</v>
      </c>
      <c r="I21" s="19">
        <v>37.299999999999997</v>
      </c>
      <c r="J21" s="18">
        <v>33.700000000000003</v>
      </c>
      <c r="K21" s="18">
        <v>25.4</v>
      </c>
      <c r="L21" s="19">
        <v>22.2</v>
      </c>
      <c r="M21" s="19">
        <v>12.6</v>
      </c>
      <c r="N21" s="18" t="s">
        <v>429</v>
      </c>
      <c r="O21" s="18" t="s">
        <v>429</v>
      </c>
      <c r="P21" s="19" t="s">
        <v>429</v>
      </c>
      <c r="Q21" s="19" t="s">
        <v>429</v>
      </c>
      <c r="R21" s="18" t="s">
        <v>429</v>
      </c>
      <c r="S21" s="18" t="s">
        <v>429</v>
      </c>
      <c r="T21" s="19" t="s">
        <v>429</v>
      </c>
      <c r="U21" s="19" t="s">
        <v>429</v>
      </c>
      <c r="V21" s="18" t="s">
        <v>429</v>
      </c>
      <c r="W21" s="18" t="s">
        <v>429</v>
      </c>
      <c r="X21" s="19" t="s">
        <v>429</v>
      </c>
      <c r="Y21" s="19" t="s">
        <v>429</v>
      </c>
      <c r="Z21" s="18" t="s">
        <v>429</v>
      </c>
      <c r="AA21" s="18" t="s">
        <v>429</v>
      </c>
      <c r="AB21" s="19" t="s">
        <v>429</v>
      </c>
      <c r="AC21" s="19" t="s">
        <v>429</v>
      </c>
      <c r="AD21" s="18" t="s">
        <v>429</v>
      </c>
      <c r="AE21" s="18" t="s">
        <v>429</v>
      </c>
      <c r="AF21" s="19">
        <v>20.399999999999999</v>
      </c>
      <c r="AG21" s="19">
        <v>14.3</v>
      </c>
      <c r="AH21" s="18">
        <v>23.5</v>
      </c>
      <c r="AI21" s="18">
        <v>16.7</v>
      </c>
    </row>
    <row r="22" spans="1:35">
      <c r="A22" s="17" t="s">
        <v>1800</v>
      </c>
      <c r="B22" s="17" t="s">
        <v>1806</v>
      </c>
      <c r="C22" s="18" t="s">
        <v>429</v>
      </c>
      <c r="D22" s="19" t="s">
        <v>429</v>
      </c>
      <c r="E22" s="19" t="s">
        <v>429</v>
      </c>
      <c r="F22" s="18" t="s">
        <v>429</v>
      </c>
      <c r="G22" s="18" t="s">
        <v>429</v>
      </c>
      <c r="H22" s="19" t="s">
        <v>429</v>
      </c>
      <c r="I22" s="19" t="s">
        <v>429</v>
      </c>
      <c r="J22" s="18" t="s">
        <v>429</v>
      </c>
      <c r="K22" s="18" t="s">
        <v>429</v>
      </c>
      <c r="L22" s="19" t="s">
        <v>429</v>
      </c>
      <c r="M22" s="19" t="s">
        <v>429</v>
      </c>
      <c r="N22" s="18" t="s">
        <v>429</v>
      </c>
      <c r="O22" s="18" t="s">
        <v>429</v>
      </c>
      <c r="P22" s="19" t="s">
        <v>429</v>
      </c>
      <c r="Q22" s="19" t="s">
        <v>429</v>
      </c>
      <c r="R22" s="18" t="s">
        <v>429</v>
      </c>
      <c r="S22" s="18" t="s">
        <v>429</v>
      </c>
      <c r="T22" s="19" t="s">
        <v>429</v>
      </c>
      <c r="U22" s="19" t="s">
        <v>429</v>
      </c>
      <c r="V22" s="18" t="s">
        <v>429</v>
      </c>
      <c r="W22" s="18" t="s">
        <v>429</v>
      </c>
      <c r="X22" s="19" t="s">
        <v>429</v>
      </c>
      <c r="Y22" s="19" t="s">
        <v>429</v>
      </c>
      <c r="Z22" s="18" t="s">
        <v>429</v>
      </c>
      <c r="AA22" s="18" t="s">
        <v>429</v>
      </c>
      <c r="AB22" s="19" t="s">
        <v>429</v>
      </c>
      <c r="AC22" s="19" t="s">
        <v>429</v>
      </c>
      <c r="AD22" s="18" t="s">
        <v>429</v>
      </c>
      <c r="AE22" s="18" t="s">
        <v>429</v>
      </c>
      <c r="AF22" s="19" t="s">
        <v>429</v>
      </c>
      <c r="AG22" s="19">
        <v>4.7</v>
      </c>
      <c r="AH22" s="18">
        <v>0</v>
      </c>
      <c r="AI22" s="18">
        <v>0</v>
      </c>
    </row>
    <row r="23" spans="1:35">
      <c r="A23" s="17" t="s">
        <v>1790</v>
      </c>
      <c r="B23" s="17" t="s">
        <v>1807</v>
      </c>
      <c r="C23" s="18">
        <v>6.7</v>
      </c>
      <c r="D23" s="19">
        <v>10.3</v>
      </c>
      <c r="E23" s="19">
        <v>9</v>
      </c>
      <c r="F23" s="18">
        <v>24.8</v>
      </c>
      <c r="G23" s="18">
        <v>26.8</v>
      </c>
      <c r="H23" s="19">
        <v>14.6</v>
      </c>
      <c r="I23" s="19">
        <v>20.399999999999999</v>
      </c>
      <c r="J23" s="18">
        <v>31.3</v>
      </c>
      <c r="K23" s="18">
        <v>5.5</v>
      </c>
      <c r="L23" s="19">
        <v>17.7</v>
      </c>
      <c r="M23" s="19">
        <v>18.3</v>
      </c>
      <c r="N23" s="18" t="s">
        <v>429</v>
      </c>
      <c r="O23" s="18" t="s">
        <v>429</v>
      </c>
      <c r="P23" s="19" t="s">
        <v>429</v>
      </c>
      <c r="Q23" s="19" t="s">
        <v>429</v>
      </c>
      <c r="R23" s="18" t="s">
        <v>429</v>
      </c>
      <c r="S23" s="18" t="s">
        <v>429</v>
      </c>
      <c r="T23" s="19" t="s">
        <v>429</v>
      </c>
      <c r="U23" s="19" t="s">
        <v>429</v>
      </c>
      <c r="V23" s="18" t="s">
        <v>429</v>
      </c>
      <c r="W23" s="18" t="s">
        <v>429</v>
      </c>
      <c r="X23" s="19" t="s">
        <v>429</v>
      </c>
      <c r="Y23" s="19" t="s">
        <v>429</v>
      </c>
      <c r="Z23" s="18" t="s">
        <v>429</v>
      </c>
      <c r="AA23" s="18" t="s">
        <v>429</v>
      </c>
      <c r="AB23" s="19" t="s">
        <v>429</v>
      </c>
      <c r="AC23" s="19" t="s">
        <v>429</v>
      </c>
      <c r="AD23" s="18" t="s">
        <v>429</v>
      </c>
      <c r="AE23" s="18" t="s">
        <v>429</v>
      </c>
      <c r="AF23" s="19">
        <v>15.2</v>
      </c>
      <c r="AG23" s="19">
        <v>4.5</v>
      </c>
      <c r="AH23" s="18">
        <v>8.6</v>
      </c>
      <c r="AI23" s="18">
        <v>4.5</v>
      </c>
    </row>
    <row r="24" spans="1:35">
      <c r="A24" s="17" t="s">
        <v>1808</v>
      </c>
      <c r="B24" s="17" t="s">
        <v>615</v>
      </c>
      <c r="C24" s="18">
        <v>1031.8</v>
      </c>
      <c r="D24" s="19">
        <v>885.1</v>
      </c>
      <c r="E24" s="19">
        <v>1039.4000000000001</v>
      </c>
      <c r="F24" s="18">
        <v>956.9</v>
      </c>
      <c r="G24" s="18">
        <v>1020.7</v>
      </c>
      <c r="H24" s="19">
        <v>865.7</v>
      </c>
      <c r="I24" s="19">
        <v>995.8</v>
      </c>
      <c r="J24" s="18">
        <v>841.1</v>
      </c>
      <c r="K24" s="18">
        <v>1068.7</v>
      </c>
      <c r="L24" s="19">
        <v>861.1</v>
      </c>
      <c r="M24" s="19">
        <v>1020.4</v>
      </c>
      <c r="N24" s="18">
        <v>850.1</v>
      </c>
      <c r="O24" s="18">
        <v>1068.9000000000001</v>
      </c>
      <c r="P24" s="19">
        <v>862.6</v>
      </c>
      <c r="Q24" s="19">
        <v>971.3</v>
      </c>
      <c r="R24" s="18">
        <v>838.2</v>
      </c>
      <c r="S24" s="18">
        <v>961.2</v>
      </c>
      <c r="T24" s="19">
        <v>755</v>
      </c>
      <c r="U24" s="19">
        <v>884.5</v>
      </c>
      <c r="V24" s="18">
        <v>704.9</v>
      </c>
      <c r="W24" s="18">
        <v>830.5</v>
      </c>
      <c r="X24" s="19">
        <v>682.2</v>
      </c>
      <c r="Y24" s="19">
        <v>785.8</v>
      </c>
      <c r="Z24" s="18">
        <v>619.9</v>
      </c>
      <c r="AA24" s="18">
        <v>713.7</v>
      </c>
      <c r="AB24" s="19">
        <v>533.9</v>
      </c>
      <c r="AC24" s="19">
        <v>635.5</v>
      </c>
      <c r="AD24" s="18">
        <v>471.8</v>
      </c>
      <c r="AE24" s="18">
        <v>583.29999999999995</v>
      </c>
      <c r="AF24" s="19">
        <v>464</v>
      </c>
      <c r="AG24" s="19">
        <v>555.4</v>
      </c>
      <c r="AH24" s="18">
        <v>410.2</v>
      </c>
      <c r="AI24" s="18">
        <v>327.2</v>
      </c>
    </row>
    <row r="25" spans="1:35">
      <c r="A25" s="20"/>
      <c r="B25" s="20"/>
      <c r="C25" s="20"/>
      <c r="D25" s="20"/>
      <c r="E25" s="20"/>
      <c r="F25" s="20"/>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row>
    <row r="26" spans="1:35">
      <c r="A26" s="17" t="s">
        <v>1809</v>
      </c>
      <c r="B26" s="17" t="s">
        <v>1810</v>
      </c>
      <c r="C26" s="18" t="s">
        <v>429</v>
      </c>
      <c r="D26" s="19" t="s">
        <v>429</v>
      </c>
      <c r="E26" s="19" t="s">
        <v>429</v>
      </c>
      <c r="F26" s="18" t="s">
        <v>429</v>
      </c>
      <c r="G26" s="18" t="s">
        <v>429</v>
      </c>
      <c r="H26" s="19" t="s">
        <v>429</v>
      </c>
      <c r="I26" s="19" t="s">
        <v>429</v>
      </c>
      <c r="J26" s="18" t="s">
        <v>429</v>
      </c>
      <c r="K26" s="18" t="s">
        <v>429</v>
      </c>
      <c r="L26" s="19" t="s">
        <v>429</v>
      </c>
      <c r="M26" s="19" t="s">
        <v>429</v>
      </c>
      <c r="N26" s="18" t="s">
        <v>429</v>
      </c>
      <c r="O26" s="18" t="s">
        <v>429</v>
      </c>
      <c r="P26" s="19">
        <v>0</v>
      </c>
      <c r="Q26" s="19" t="s">
        <v>429</v>
      </c>
      <c r="R26" s="18">
        <v>57.7</v>
      </c>
      <c r="S26" s="18" t="s">
        <v>429</v>
      </c>
      <c r="T26" s="19">
        <v>0</v>
      </c>
      <c r="U26" s="19" t="s">
        <v>429</v>
      </c>
      <c r="V26" s="18" t="s">
        <v>429</v>
      </c>
      <c r="W26" s="18" t="s">
        <v>429</v>
      </c>
      <c r="X26" s="19" t="s">
        <v>429</v>
      </c>
      <c r="Y26" s="19" t="s">
        <v>429</v>
      </c>
      <c r="Z26" s="18" t="s">
        <v>429</v>
      </c>
      <c r="AA26" s="18" t="s">
        <v>429</v>
      </c>
      <c r="AB26" s="19" t="s">
        <v>429</v>
      </c>
      <c r="AC26" s="19" t="s">
        <v>429</v>
      </c>
      <c r="AD26" s="18" t="s">
        <v>429</v>
      </c>
      <c r="AE26" s="18" t="s">
        <v>429</v>
      </c>
      <c r="AF26" s="19" t="s">
        <v>429</v>
      </c>
      <c r="AG26" s="19" t="s">
        <v>429</v>
      </c>
      <c r="AH26" s="18" t="s">
        <v>429</v>
      </c>
      <c r="AI26" s="18" t="s">
        <v>429</v>
      </c>
    </row>
    <row r="27" spans="1:35">
      <c r="A27" s="17" t="s">
        <v>1811</v>
      </c>
      <c r="B27" s="17" t="s">
        <v>1812</v>
      </c>
      <c r="C27" s="18" t="s">
        <v>429</v>
      </c>
      <c r="D27" s="19" t="s">
        <v>429</v>
      </c>
      <c r="E27" s="19" t="s">
        <v>429</v>
      </c>
      <c r="F27" s="18" t="s">
        <v>429</v>
      </c>
      <c r="G27" s="18" t="s">
        <v>429</v>
      </c>
      <c r="H27" s="19" t="s">
        <v>429</v>
      </c>
      <c r="I27" s="19" t="s">
        <v>429</v>
      </c>
      <c r="J27" s="18" t="s">
        <v>429</v>
      </c>
      <c r="K27" s="18" t="s">
        <v>429</v>
      </c>
      <c r="L27" s="19" t="s">
        <v>429</v>
      </c>
      <c r="M27" s="19" t="s">
        <v>429</v>
      </c>
      <c r="N27" s="18" t="s">
        <v>429</v>
      </c>
      <c r="O27" s="18" t="s">
        <v>429</v>
      </c>
      <c r="P27" s="19" t="s">
        <v>429</v>
      </c>
      <c r="Q27" s="19" t="s">
        <v>429</v>
      </c>
      <c r="R27" s="18" t="s">
        <v>429</v>
      </c>
      <c r="S27" s="18" t="s">
        <v>429</v>
      </c>
      <c r="T27" s="19" t="s">
        <v>429</v>
      </c>
      <c r="U27" s="19" t="s">
        <v>429</v>
      </c>
      <c r="V27" s="18" t="s">
        <v>429</v>
      </c>
      <c r="W27" s="18" t="s">
        <v>429</v>
      </c>
      <c r="X27" s="19" t="s">
        <v>429</v>
      </c>
      <c r="Y27" s="19" t="s">
        <v>429</v>
      </c>
      <c r="Z27" s="18" t="s">
        <v>429</v>
      </c>
      <c r="AA27" s="18" t="s">
        <v>429</v>
      </c>
      <c r="AB27" s="19" t="s">
        <v>429</v>
      </c>
      <c r="AC27" s="19" t="s">
        <v>429</v>
      </c>
      <c r="AD27" s="18" t="s">
        <v>429</v>
      </c>
      <c r="AE27" s="18" t="s">
        <v>429</v>
      </c>
      <c r="AF27" s="19">
        <v>-28.7</v>
      </c>
      <c r="AG27" s="19">
        <v>28.7</v>
      </c>
      <c r="AH27" s="18">
        <v>-37.200000000000003</v>
      </c>
      <c r="AI27" s="18">
        <v>37.200000000000003</v>
      </c>
    </row>
    <row r="28" spans="1:35">
      <c r="A28" s="17" t="s">
        <v>1813</v>
      </c>
      <c r="B28" s="17" t="s">
        <v>1814</v>
      </c>
      <c r="C28" s="18" t="s">
        <v>429</v>
      </c>
      <c r="D28" s="19" t="s">
        <v>429</v>
      </c>
      <c r="E28" s="19" t="s">
        <v>429</v>
      </c>
      <c r="F28" s="18" t="s">
        <v>429</v>
      </c>
      <c r="G28" s="18" t="s">
        <v>429</v>
      </c>
      <c r="H28" s="19" t="s">
        <v>429</v>
      </c>
      <c r="I28" s="19" t="s">
        <v>429</v>
      </c>
      <c r="J28" s="18">
        <v>-3.8</v>
      </c>
      <c r="K28" s="18" t="s">
        <v>429</v>
      </c>
      <c r="L28" s="19" t="s">
        <v>429</v>
      </c>
      <c r="M28" s="19" t="s">
        <v>429</v>
      </c>
      <c r="N28" s="18" t="s">
        <v>429</v>
      </c>
      <c r="O28" s="18" t="s">
        <v>429</v>
      </c>
      <c r="P28" s="19" t="s">
        <v>429</v>
      </c>
      <c r="Q28" s="19" t="s">
        <v>429</v>
      </c>
      <c r="R28" s="18" t="s">
        <v>429</v>
      </c>
      <c r="S28" s="18" t="s">
        <v>429</v>
      </c>
      <c r="T28" s="19" t="s">
        <v>429</v>
      </c>
      <c r="U28" s="19" t="s">
        <v>429</v>
      </c>
      <c r="V28" s="18" t="s">
        <v>429</v>
      </c>
      <c r="W28" s="18" t="s">
        <v>429</v>
      </c>
      <c r="X28" s="19" t="s">
        <v>429</v>
      </c>
      <c r="Y28" s="19" t="s">
        <v>429</v>
      </c>
      <c r="Z28" s="18" t="s">
        <v>429</v>
      </c>
      <c r="AA28" s="18" t="s">
        <v>429</v>
      </c>
      <c r="AB28" s="19" t="s">
        <v>429</v>
      </c>
      <c r="AC28" s="19" t="s">
        <v>429</v>
      </c>
      <c r="AD28" s="18" t="s">
        <v>429</v>
      </c>
      <c r="AE28" s="18" t="s">
        <v>429</v>
      </c>
      <c r="AF28" s="19" t="s">
        <v>429</v>
      </c>
      <c r="AG28" s="19" t="s">
        <v>429</v>
      </c>
      <c r="AH28" s="18" t="s">
        <v>429</v>
      </c>
      <c r="AI28" s="18" t="s">
        <v>429</v>
      </c>
    </row>
    <row r="29" spans="1:35">
      <c r="A29" s="17" t="s">
        <v>1813</v>
      </c>
      <c r="B29" s="17" t="s">
        <v>1815</v>
      </c>
      <c r="C29" s="18">
        <v>13.3</v>
      </c>
      <c r="D29" s="19">
        <v>15.5</v>
      </c>
      <c r="E29" s="19">
        <v>14.5</v>
      </c>
      <c r="F29" s="18">
        <v>6.2</v>
      </c>
      <c r="G29" s="18">
        <v>21.6</v>
      </c>
      <c r="H29" s="19">
        <v>13.8</v>
      </c>
      <c r="I29" s="19">
        <v>19.8</v>
      </c>
      <c r="J29" s="18" t="s">
        <v>429</v>
      </c>
      <c r="K29" s="18">
        <v>40.1</v>
      </c>
      <c r="L29" s="19">
        <v>18.8</v>
      </c>
      <c r="M29" s="19">
        <v>45.8</v>
      </c>
      <c r="N29" s="18" t="s">
        <v>429</v>
      </c>
      <c r="O29" s="18">
        <v>31.9</v>
      </c>
      <c r="P29" s="19" t="s">
        <v>429</v>
      </c>
      <c r="Q29" s="19" t="s">
        <v>429</v>
      </c>
      <c r="R29" s="18" t="s">
        <v>429</v>
      </c>
      <c r="S29" s="18" t="s">
        <v>429</v>
      </c>
      <c r="T29" s="19" t="s">
        <v>429</v>
      </c>
      <c r="U29" s="19" t="s">
        <v>429</v>
      </c>
      <c r="V29" s="18" t="s">
        <v>429</v>
      </c>
      <c r="W29" s="18" t="s">
        <v>429</v>
      </c>
      <c r="X29" s="19" t="s">
        <v>429</v>
      </c>
      <c r="Y29" s="19" t="s">
        <v>429</v>
      </c>
      <c r="Z29" s="18" t="s">
        <v>429</v>
      </c>
      <c r="AA29" s="18" t="s">
        <v>429</v>
      </c>
      <c r="AB29" s="19" t="s">
        <v>429</v>
      </c>
      <c r="AC29" s="19" t="s">
        <v>429</v>
      </c>
      <c r="AD29" s="18" t="s">
        <v>429</v>
      </c>
      <c r="AE29" s="18" t="s">
        <v>429</v>
      </c>
      <c r="AF29" s="19" t="s">
        <v>429</v>
      </c>
      <c r="AG29" s="19" t="s">
        <v>429</v>
      </c>
      <c r="AH29" s="18" t="s">
        <v>429</v>
      </c>
      <c r="AI29" s="18" t="s">
        <v>429</v>
      </c>
    </row>
    <row r="30" spans="1:35">
      <c r="A30" s="17" t="s">
        <v>1813</v>
      </c>
      <c r="B30" s="17" t="s">
        <v>1816</v>
      </c>
      <c r="C30" s="18" t="s">
        <v>429</v>
      </c>
      <c r="D30" s="19" t="s">
        <v>429</v>
      </c>
      <c r="E30" s="19" t="s">
        <v>429</v>
      </c>
      <c r="F30" s="18" t="s">
        <v>429</v>
      </c>
      <c r="G30" s="18" t="s">
        <v>429</v>
      </c>
      <c r="H30" s="19" t="s">
        <v>429</v>
      </c>
      <c r="I30" s="19" t="s">
        <v>429</v>
      </c>
      <c r="J30" s="18" t="s">
        <v>429</v>
      </c>
      <c r="K30" s="18" t="s">
        <v>429</v>
      </c>
      <c r="L30" s="19" t="s">
        <v>429</v>
      </c>
      <c r="M30" s="19" t="s">
        <v>429</v>
      </c>
      <c r="N30" s="18">
        <v>555</v>
      </c>
      <c r="O30" s="18" t="s">
        <v>429</v>
      </c>
      <c r="P30" s="19">
        <v>534.9</v>
      </c>
      <c r="Q30" s="19">
        <v>631</v>
      </c>
      <c r="R30" s="18">
        <v>535.29999999999995</v>
      </c>
      <c r="S30" s="18">
        <v>558.70000000000005</v>
      </c>
      <c r="T30" s="19">
        <v>472.5</v>
      </c>
      <c r="U30" s="19">
        <v>515.79999999999995</v>
      </c>
      <c r="V30" s="18">
        <v>441.9</v>
      </c>
      <c r="W30" s="18">
        <v>480.2</v>
      </c>
      <c r="X30" s="19">
        <v>414.7</v>
      </c>
      <c r="Y30" s="19">
        <v>448.1</v>
      </c>
      <c r="Z30" s="18">
        <v>391.6</v>
      </c>
      <c r="AA30" s="18">
        <v>398.2</v>
      </c>
      <c r="AB30" s="19">
        <v>336.7</v>
      </c>
      <c r="AC30" s="19">
        <v>375.5</v>
      </c>
      <c r="AD30" s="18">
        <v>315.60000000000002</v>
      </c>
      <c r="AE30" s="18">
        <v>316.8</v>
      </c>
      <c r="AF30" s="19" t="s">
        <v>429</v>
      </c>
      <c r="AG30" s="19" t="s">
        <v>429</v>
      </c>
      <c r="AH30" s="18" t="s">
        <v>429</v>
      </c>
      <c r="AI30" s="18" t="s">
        <v>429</v>
      </c>
    </row>
    <row r="31" spans="1:35">
      <c r="A31" s="17" t="s">
        <v>1811</v>
      </c>
      <c r="B31" s="17" t="s">
        <v>1817</v>
      </c>
      <c r="C31" s="18">
        <v>7.5</v>
      </c>
      <c r="D31" s="19">
        <v>5.5</v>
      </c>
      <c r="E31" s="19">
        <v>8.8000000000000007</v>
      </c>
      <c r="F31" s="18">
        <v>18.8</v>
      </c>
      <c r="G31" s="18">
        <v>24.1</v>
      </c>
      <c r="H31" s="19">
        <v>12.1</v>
      </c>
      <c r="I31" s="19">
        <v>14.4</v>
      </c>
      <c r="J31" s="18">
        <v>20.8</v>
      </c>
      <c r="K31" s="18">
        <v>18.100000000000001</v>
      </c>
      <c r="L31" s="19">
        <v>21.8</v>
      </c>
      <c r="M31" s="19">
        <v>20.2</v>
      </c>
      <c r="N31" s="18" t="s">
        <v>429</v>
      </c>
      <c r="O31" s="18">
        <v>20</v>
      </c>
      <c r="P31" s="19" t="s">
        <v>429</v>
      </c>
      <c r="Q31" s="19" t="s">
        <v>429</v>
      </c>
      <c r="R31" s="18" t="s">
        <v>429</v>
      </c>
      <c r="S31" s="18" t="s">
        <v>429</v>
      </c>
      <c r="T31" s="19" t="s">
        <v>429</v>
      </c>
      <c r="U31" s="19" t="s">
        <v>429</v>
      </c>
      <c r="V31" s="18" t="s">
        <v>429</v>
      </c>
      <c r="W31" s="18" t="s">
        <v>429</v>
      </c>
      <c r="X31" s="19" t="s">
        <v>429</v>
      </c>
      <c r="Y31" s="19" t="s">
        <v>429</v>
      </c>
      <c r="Z31" s="18" t="s">
        <v>429</v>
      </c>
      <c r="AA31" s="18" t="s">
        <v>429</v>
      </c>
      <c r="AB31" s="19" t="s">
        <v>429</v>
      </c>
      <c r="AC31" s="19" t="s">
        <v>429</v>
      </c>
      <c r="AD31" s="18" t="s">
        <v>429</v>
      </c>
      <c r="AE31" s="18" t="s">
        <v>429</v>
      </c>
      <c r="AF31" s="19">
        <v>1.5</v>
      </c>
      <c r="AG31" s="19">
        <v>1</v>
      </c>
      <c r="AH31" s="18">
        <v>0.7</v>
      </c>
      <c r="AI31" s="18">
        <v>0.1</v>
      </c>
    </row>
    <row r="32" spans="1:35">
      <c r="A32" s="17" t="s">
        <v>1818</v>
      </c>
      <c r="B32" s="17" t="s">
        <v>1819</v>
      </c>
      <c r="C32" s="18">
        <v>73.900000000000006</v>
      </c>
      <c r="D32" s="19">
        <v>68.400000000000006</v>
      </c>
      <c r="E32" s="19">
        <v>63.3</v>
      </c>
      <c r="F32" s="18">
        <v>72.5</v>
      </c>
      <c r="G32" s="18">
        <v>66.900000000000006</v>
      </c>
      <c r="H32" s="19">
        <v>62.7</v>
      </c>
      <c r="I32" s="19">
        <v>59.2</v>
      </c>
      <c r="J32" s="18">
        <v>82.6</v>
      </c>
      <c r="K32" s="18">
        <v>54.5</v>
      </c>
      <c r="L32" s="19">
        <v>47</v>
      </c>
      <c r="M32" s="19">
        <v>50.8</v>
      </c>
      <c r="N32" s="18" t="s">
        <v>429</v>
      </c>
      <c r="O32" s="18">
        <v>54.5</v>
      </c>
      <c r="P32" s="19" t="s">
        <v>429</v>
      </c>
      <c r="Q32" s="19" t="s">
        <v>429</v>
      </c>
      <c r="R32" s="18" t="s">
        <v>429</v>
      </c>
      <c r="S32" s="18" t="s">
        <v>429</v>
      </c>
      <c r="T32" s="19" t="s">
        <v>429</v>
      </c>
      <c r="U32" s="19" t="s">
        <v>429</v>
      </c>
      <c r="V32" s="18" t="s">
        <v>429</v>
      </c>
      <c r="W32" s="18" t="s">
        <v>429</v>
      </c>
      <c r="X32" s="19" t="s">
        <v>429</v>
      </c>
      <c r="Y32" s="19" t="s">
        <v>429</v>
      </c>
      <c r="Z32" s="18" t="s">
        <v>429</v>
      </c>
      <c r="AA32" s="18" t="s">
        <v>429</v>
      </c>
      <c r="AB32" s="19" t="s">
        <v>429</v>
      </c>
      <c r="AC32" s="19" t="s">
        <v>429</v>
      </c>
      <c r="AD32" s="18" t="s">
        <v>429</v>
      </c>
      <c r="AE32" s="18" t="s">
        <v>429</v>
      </c>
      <c r="AF32" s="19" t="s">
        <v>429</v>
      </c>
      <c r="AG32" s="19" t="s">
        <v>429</v>
      </c>
      <c r="AH32" s="18" t="s">
        <v>429</v>
      </c>
      <c r="AI32" s="18" t="s">
        <v>429</v>
      </c>
    </row>
    <row r="33" spans="1:35">
      <c r="A33" s="17" t="s">
        <v>1818</v>
      </c>
      <c r="B33" s="17" t="s">
        <v>1820</v>
      </c>
      <c r="C33" s="18" t="s">
        <v>429</v>
      </c>
      <c r="D33" s="19" t="s">
        <v>429</v>
      </c>
      <c r="E33" s="19" t="s">
        <v>429</v>
      </c>
      <c r="F33" s="18" t="s">
        <v>429</v>
      </c>
      <c r="G33" s="18" t="s">
        <v>429</v>
      </c>
      <c r="H33" s="19" t="s">
        <v>429</v>
      </c>
      <c r="I33" s="19" t="s">
        <v>429</v>
      </c>
      <c r="J33" s="18" t="s">
        <v>429</v>
      </c>
      <c r="K33" s="18" t="s">
        <v>429</v>
      </c>
      <c r="L33" s="19" t="s">
        <v>429</v>
      </c>
      <c r="M33" s="19" t="s">
        <v>429</v>
      </c>
      <c r="N33" s="18" t="s">
        <v>429</v>
      </c>
      <c r="O33" s="18" t="s">
        <v>429</v>
      </c>
      <c r="P33" s="19" t="s">
        <v>429</v>
      </c>
      <c r="Q33" s="19" t="s">
        <v>429</v>
      </c>
      <c r="R33" s="18" t="s">
        <v>429</v>
      </c>
      <c r="S33" s="18" t="s">
        <v>429</v>
      </c>
      <c r="T33" s="19" t="s">
        <v>429</v>
      </c>
      <c r="U33" s="19" t="s">
        <v>429</v>
      </c>
      <c r="V33" s="18" t="s">
        <v>429</v>
      </c>
      <c r="W33" s="18" t="s">
        <v>429</v>
      </c>
      <c r="X33" s="19" t="s">
        <v>429</v>
      </c>
      <c r="Y33" s="19" t="s">
        <v>429</v>
      </c>
      <c r="Z33" s="18" t="s">
        <v>429</v>
      </c>
      <c r="AA33" s="18" t="s">
        <v>429</v>
      </c>
      <c r="AB33" s="19" t="s">
        <v>429</v>
      </c>
      <c r="AC33" s="19" t="s">
        <v>429</v>
      </c>
      <c r="AD33" s="18" t="s">
        <v>429</v>
      </c>
      <c r="AE33" s="18" t="s">
        <v>429</v>
      </c>
      <c r="AF33" s="19">
        <v>34.9</v>
      </c>
      <c r="AG33" s="19">
        <v>37.299999999999997</v>
      </c>
      <c r="AH33" s="18">
        <v>22.6</v>
      </c>
      <c r="AI33" s="18">
        <v>30.7</v>
      </c>
    </row>
    <row r="34" spans="1:35">
      <c r="A34" s="17" t="s">
        <v>1821</v>
      </c>
      <c r="B34" s="17" t="s">
        <v>1822</v>
      </c>
      <c r="C34" s="18">
        <v>27.6</v>
      </c>
      <c r="D34" s="19">
        <v>25</v>
      </c>
      <c r="E34" s="19">
        <v>22.9</v>
      </c>
      <c r="F34" s="18">
        <v>26.2</v>
      </c>
      <c r="G34" s="18">
        <v>22.8</v>
      </c>
      <c r="H34" s="19">
        <v>26.4</v>
      </c>
      <c r="I34" s="19">
        <v>24.7</v>
      </c>
      <c r="J34" s="18">
        <v>25.1</v>
      </c>
      <c r="K34" s="18">
        <v>29</v>
      </c>
      <c r="L34" s="19">
        <v>31.4</v>
      </c>
      <c r="M34" s="19">
        <v>23.5</v>
      </c>
      <c r="N34" s="18" t="s">
        <v>429</v>
      </c>
      <c r="O34" s="18">
        <v>23.5</v>
      </c>
      <c r="P34" s="19" t="s">
        <v>429</v>
      </c>
      <c r="Q34" s="19" t="s">
        <v>429</v>
      </c>
      <c r="R34" s="18" t="s">
        <v>429</v>
      </c>
      <c r="S34" s="18" t="s">
        <v>429</v>
      </c>
      <c r="T34" s="19" t="s">
        <v>429</v>
      </c>
      <c r="U34" s="19" t="s">
        <v>429</v>
      </c>
      <c r="V34" s="18" t="s">
        <v>429</v>
      </c>
      <c r="W34" s="18" t="s">
        <v>429</v>
      </c>
      <c r="X34" s="19" t="s">
        <v>429</v>
      </c>
      <c r="Y34" s="19" t="s">
        <v>429</v>
      </c>
      <c r="Z34" s="18" t="s">
        <v>429</v>
      </c>
      <c r="AA34" s="18" t="s">
        <v>429</v>
      </c>
      <c r="AB34" s="19" t="s">
        <v>429</v>
      </c>
      <c r="AC34" s="19" t="s">
        <v>429</v>
      </c>
      <c r="AD34" s="18" t="s">
        <v>429</v>
      </c>
      <c r="AE34" s="18" t="s">
        <v>429</v>
      </c>
      <c r="AF34" s="19">
        <v>6.4</v>
      </c>
      <c r="AG34" s="19">
        <v>6.4</v>
      </c>
      <c r="AH34" s="18">
        <v>5.0999999999999996</v>
      </c>
      <c r="AI34" s="18">
        <v>2.1</v>
      </c>
    </row>
    <row r="35" spans="1:35">
      <c r="A35" s="17" t="s">
        <v>1823</v>
      </c>
      <c r="B35" s="17" t="s">
        <v>1824</v>
      </c>
      <c r="C35" s="18">
        <v>91.7</v>
      </c>
      <c r="D35" s="19">
        <v>84.7</v>
      </c>
      <c r="E35" s="19">
        <v>83.6</v>
      </c>
      <c r="F35" s="18">
        <v>88.6</v>
      </c>
      <c r="G35" s="18">
        <v>88.2</v>
      </c>
      <c r="H35" s="19">
        <v>71.5</v>
      </c>
      <c r="I35" s="19">
        <v>71</v>
      </c>
      <c r="J35" s="18">
        <v>43.9</v>
      </c>
      <c r="K35" s="18">
        <v>98.3</v>
      </c>
      <c r="L35" s="19">
        <v>35.799999999999997</v>
      </c>
      <c r="M35" s="19">
        <v>80.099999999999994</v>
      </c>
      <c r="N35" s="18" t="s">
        <v>429</v>
      </c>
      <c r="O35" s="18">
        <v>80.2</v>
      </c>
      <c r="P35" s="19" t="s">
        <v>429</v>
      </c>
      <c r="Q35" s="19" t="s">
        <v>429</v>
      </c>
      <c r="R35" s="18" t="s">
        <v>429</v>
      </c>
      <c r="S35" s="18" t="s">
        <v>429</v>
      </c>
      <c r="T35" s="19" t="s">
        <v>429</v>
      </c>
      <c r="U35" s="19" t="s">
        <v>429</v>
      </c>
      <c r="V35" s="18" t="s">
        <v>429</v>
      </c>
      <c r="W35" s="18" t="s">
        <v>429</v>
      </c>
      <c r="X35" s="19" t="s">
        <v>429</v>
      </c>
      <c r="Y35" s="19" t="s">
        <v>429</v>
      </c>
      <c r="Z35" s="18" t="s">
        <v>429</v>
      </c>
      <c r="AA35" s="18" t="s">
        <v>429</v>
      </c>
      <c r="AB35" s="19" t="s">
        <v>429</v>
      </c>
      <c r="AC35" s="19" t="s">
        <v>429</v>
      </c>
      <c r="AD35" s="18" t="s">
        <v>429</v>
      </c>
      <c r="AE35" s="18" t="s">
        <v>429</v>
      </c>
      <c r="AF35" s="19">
        <v>1.3</v>
      </c>
      <c r="AG35" s="19">
        <v>1.6</v>
      </c>
      <c r="AH35" s="18">
        <v>0.8</v>
      </c>
      <c r="AI35" s="18">
        <v>0.9</v>
      </c>
    </row>
    <row r="36" spans="1:35">
      <c r="A36" s="17" t="s">
        <v>1821</v>
      </c>
      <c r="B36" s="17" t="s">
        <v>1825</v>
      </c>
      <c r="C36" s="18" t="s">
        <v>429</v>
      </c>
      <c r="D36" s="19" t="s">
        <v>429</v>
      </c>
      <c r="E36" s="19" t="s">
        <v>429</v>
      </c>
      <c r="F36" s="18" t="s">
        <v>429</v>
      </c>
      <c r="G36" s="18" t="s">
        <v>429</v>
      </c>
      <c r="H36" s="19" t="s">
        <v>429</v>
      </c>
      <c r="I36" s="19" t="s">
        <v>429</v>
      </c>
      <c r="J36" s="18" t="s">
        <v>429</v>
      </c>
      <c r="K36" s="18" t="s">
        <v>429</v>
      </c>
      <c r="L36" s="19" t="s">
        <v>429</v>
      </c>
      <c r="M36" s="19" t="s">
        <v>429</v>
      </c>
      <c r="N36" s="18" t="s">
        <v>429</v>
      </c>
      <c r="O36" s="18" t="s">
        <v>429</v>
      </c>
      <c r="P36" s="19" t="s">
        <v>429</v>
      </c>
      <c r="Q36" s="19" t="s">
        <v>429</v>
      </c>
      <c r="R36" s="18" t="s">
        <v>429</v>
      </c>
      <c r="S36" s="18" t="s">
        <v>429</v>
      </c>
      <c r="T36" s="19" t="s">
        <v>429</v>
      </c>
      <c r="U36" s="19" t="s">
        <v>429</v>
      </c>
      <c r="V36" s="18" t="s">
        <v>429</v>
      </c>
      <c r="W36" s="18" t="s">
        <v>429</v>
      </c>
      <c r="X36" s="19" t="s">
        <v>429</v>
      </c>
      <c r="Y36" s="19" t="s">
        <v>429</v>
      </c>
      <c r="Z36" s="18" t="s">
        <v>429</v>
      </c>
      <c r="AA36" s="18" t="s">
        <v>429</v>
      </c>
      <c r="AB36" s="19" t="s">
        <v>429</v>
      </c>
      <c r="AC36" s="19" t="s">
        <v>429</v>
      </c>
      <c r="AD36" s="18" t="s">
        <v>429</v>
      </c>
      <c r="AE36" s="18" t="s">
        <v>429</v>
      </c>
      <c r="AF36" s="19">
        <v>7.3</v>
      </c>
      <c r="AG36" s="19">
        <v>4.0999999999999996</v>
      </c>
      <c r="AH36" s="18">
        <v>6</v>
      </c>
      <c r="AI36" s="18">
        <v>3.9</v>
      </c>
    </row>
    <row r="37" spans="1:35">
      <c r="A37" s="17" t="s">
        <v>1821</v>
      </c>
      <c r="B37" s="17" t="s">
        <v>1826</v>
      </c>
      <c r="C37" s="18" t="s">
        <v>429</v>
      </c>
      <c r="D37" s="19" t="s">
        <v>429</v>
      </c>
      <c r="E37" s="19" t="s">
        <v>429</v>
      </c>
      <c r="F37" s="18" t="s">
        <v>429</v>
      </c>
      <c r="G37" s="18" t="s">
        <v>429</v>
      </c>
      <c r="H37" s="19" t="s">
        <v>429</v>
      </c>
      <c r="I37" s="19" t="s">
        <v>429</v>
      </c>
      <c r="J37" s="18" t="s">
        <v>429</v>
      </c>
      <c r="K37" s="18" t="s">
        <v>429</v>
      </c>
      <c r="L37" s="19" t="s">
        <v>429</v>
      </c>
      <c r="M37" s="19" t="s">
        <v>429</v>
      </c>
      <c r="N37" s="18" t="s">
        <v>429</v>
      </c>
      <c r="O37" s="18" t="s">
        <v>429</v>
      </c>
      <c r="P37" s="19" t="s">
        <v>429</v>
      </c>
      <c r="Q37" s="19" t="s">
        <v>429</v>
      </c>
      <c r="R37" s="18" t="s">
        <v>429</v>
      </c>
      <c r="S37" s="18" t="s">
        <v>429</v>
      </c>
      <c r="T37" s="19" t="s">
        <v>429</v>
      </c>
      <c r="U37" s="19" t="s">
        <v>429</v>
      </c>
      <c r="V37" s="18" t="s">
        <v>429</v>
      </c>
      <c r="W37" s="18" t="s">
        <v>429</v>
      </c>
      <c r="X37" s="19" t="s">
        <v>429</v>
      </c>
      <c r="Y37" s="19" t="s">
        <v>429</v>
      </c>
      <c r="Z37" s="18" t="s">
        <v>429</v>
      </c>
      <c r="AA37" s="18" t="s">
        <v>429</v>
      </c>
      <c r="AB37" s="19" t="s">
        <v>429</v>
      </c>
      <c r="AC37" s="19" t="s">
        <v>429</v>
      </c>
      <c r="AD37" s="18" t="s">
        <v>429</v>
      </c>
      <c r="AE37" s="18" t="s">
        <v>429</v>
      </c>
      <c r="AF37" s="19">
        <v>2.4</v>
      </c>
      <c r="AG37" s="19">
        <v>2.4</v>
      </c>
      <c r="AH37" s="18">
        <v>2.4</v>
      </c>
      <c r="AI37" s="18">
        <v>-0.8</v>
      </c>
    </row>
    <row r="38" spans="1:35">
      <c r="A38" s="17" t="s">
        <v>1823</v>
      </c>
      <c r="B38" s="17" t="s">
        <v>1827</v>
      </c>
      <c r="C38" s="18" t="s">
        <v>429</v>
      </c>
      <c r="D38" s="19" t="s">
        <v>429</v>
      </c>
      <c r="E38" s="19" t="s">
        <v>429</v>
      </c>
      <c r="F38" s="18" t="s">
        <v>429</v>
      </c>
      <c r="G38" s="18" t="s">
        <v>429</v>
      </c>
      <c r="H38" s="19" t="s">
        <v>429</v>
      </c>
      <c r="I38" s="19" t="s">
        <v>429</v>
      </c>
      <c r="J38" s="18" t="s">
        <v>429</v>
      </c>
      <c r="K38" s="18" t="s">
        <v>429</v>
      </c>
      <c r="L38" s="19" t="s">
        <v>429</v>
      </c>
      <c r="M38" s="19" t="s">
        <v>429</v>
      </c>
      <c r="N38" s="18" t="s">
        <v>429</v>
      </c>
      <c r="O38" s="18" t="s">
        <v>429</v>
      </c>
      <c r="P38" s="19" t="s">
        <v>429</v>
      </c>
      <c r="Q38" s="19" t="s">
        <v>429</v>
      </c>
      <c r="R38" s="18" t="s">
        <v>429</v>
      </c>
      <c r="S38" s="18" t="s">
        <v>429</v>
      </c>
      <c r="T38" s="19" t="s">
        <v>429</v>
      </c>
      <c r="U38" s="19" t="s">
        <v>429</v>
      </c>
      <c r="V38" s="18" t="s">
        <v>429</v>
      </c>
      <c r="W38" s="18" t="s">
        <v>429</v>
      </c>
      <c r="X38" s="19" t="s">
        <v>429</v>
      </c>
      <c r="Y38" s="19" t="s">
        <v>429</v>
      </c>
      <c r="Z38" s="18" t="s">
        <v>429</v>
      </c>
      <c r="AA38" s="18" t="s">
        <v>429</v>
      </c>
      <c r="AB38" s="19" t="s">
        <v>429</v>
      </c>
      <c r="AC38" s="19" t="s">
        <v>429</v>
      </c>
      <c r="AD38" s="18" t="s">
        <v>429</v>
      </c>
      <c r="AE38" s="18" t="s">
        <v>429</v>
      </c>
      <c r="AF38" s="19">
        <v>25</v>
      </c>
      <c r="AG38" s="19">
        <v>58.1</v>
      </c>
      <c r="AH38" s="18">
        <v>21.7</v>
      </c>
      <c r="AI38" s="18">
        <v>0.4</v>
      </c>
    </row>
    <row r="39" spans="1:35">
      <c r="A39" s="17" t="s">
        <v>1821</v>
      </c>
      <c r="B39" s="17" t="s">
        <v>1828</v>
      </c>
      <c r="C39" s="18">
        <v>61.5</v>
      </c>
      <c r="D39" s="19">
        <v>52.4</v>
      </c>
      <c r="E39" s="19">
        <v>57.1</v>
      </c>
      <c r="F39" s="18">
        <v>56.9</v>
      </c>
      <c r="G39" s="18">
        <v>53.2</v>
      </c>
      <c r="H39" s="19">
        <v>42.3</v>
      </c>
      <c r="I39" s="19">
        <v>47.6</v>
      </c>
      <c r="J39" s="18">
        <v>44.5</v>
      </c>
      <c r="K39" s="18">
        <v>49.1</v>
      </c>
      <c r="L39" s="19">
        <v>46.9</v>
      </c>
      <c r="M39" s="19">
        <v>52.4</v>
      </c>
      <c r="N39" s="18" t="s">
        <v>429</v>
      </c>
      <c r="O39" s="18">
        <v>51.9</v>
      </c>
      <c r="P39" s="19" t="s">
        <v>429</v>
      </c>
      <c r="Q39" s="19" t="s">
        <v>429</v>
      </c>
      <c r="R39" s="18" t="s">
        <v>429</v>
      </c>
      <c r="S39" s="18" t="s">
        <v>429</v>
      </c>
      <c r="T39" s="19" t="s">
        <v>429</v>
      </c>
      <c r="U39" s="19" t="s">
        <v>429</v>
      </c>
      <c r="V39" s="18" t="s">
        <v>429</v>
      </c>
      <c r="W39" s="18" t="s">
        <v>429</v>
      </c>
      <c r="X39" s="19" t="s">
        <v>429</v>
      </c>
      <c r="Y39" s="19" t="s">
        <v>429</v>
      </c>
      <c r="Z39" s="18" t="s">
        <v>429</v>
      </c>
      <c r="AA39" s="18" t="s">
        <v>429</v>
      </c>
      <c r="AB39" s="19" t="s">
        <v>429</v>
      </c>
      <c r="AC39" s="19" t="s">
        <v>429</v>
      </c>
      <c r="AD39" s="18" t="s">
        <v>429</v>
      </c>
      <c r="AE39" s="18" t="s">
        <v>429</v>
      </c>
      <c r="AF39" s="19">
        <v>55.3</v>
      </c>
      <c r="AG39" s="19" t="s">
        <v>429</v>
      </c>
      <c r="AH39" s="18">
        <v>50.5</v>
      </c>
      <c r="AI39" s="18" t="s">
        <v>429</v>
      </c>
    </row>
    <row r="40" spans="1:35">
      <c r="A40" s="17" t="s">
        <v>1821</v>
      </c>
      <c r="B40" s="17" t="s">
        <v>1829</v>
      </c>
      <c r="C40" s="18">
        <v>19.8</v>
      </c>
      <c r="D40" s="19">
        <v>17.7</v>
      </c>
      <c r="E40" s="19">
        <v>16.600000000000001</v>
      </c>
      <c r="F40" s="18">
        <v>19.899999999999999</v>
      </c>
      <c r="G40" s="18">
        <v>19.8</v>
      </c>
      <c r="H40" s="19">
        <v>16.100000000000001</v>
      </c>
      <c r="I40" s="19">
        <v>16.399999999999999</v>
      </c>
      <c r="J40" s="18">
        <v>16.3</v>
      </c>
      <c r="K40" s="18">
        <v>16.100000000000001</v>
      </c>
      <c r="L40" s="19">
        <v>24.6</v>
      </c>
      <c r="M40" s="19">
        <v>17.7</v>
      </c>
      <c r="N40" s="18" t="s">
        <v>429</v>
      </c>
      <c r="O40" s="18">
        <v>33.700000000000003</v>
      </c>
      <c r="P40" s="19" t="s">
        <v>429</v>
      </c>
      <c r="Q40" s="19" t="s">
        <v>429</v>
      </c>
      <c r="R40" s="18" t="s">
        <v>429</v>
      </c>
      <c r="S40" s="18" t="s">
        <v>429</v>
      </c>
      <c r="T40" s="19" t="s">
        <v>429</v>
      </c>
      <c r="U40" s="19" t="s">
        <v>429</v>
      </c>
      <c r="V40" s="18" t="s">
        <v>429</v>
      </c>
      <c r="W40" s="18" t="s">
        <v>429</v>
      </c>
      <c r="X40" s="19" t="s">
        <v>429</v>
      </c>
      <c r="Y40" s="19" t="s">
        <v>429</v>
      </c>
      <c r="Z40" s="18" t="s">
        <v>429</v>
      </c>
      <c r="AA40" s="18" t="s">
        <v>429</v>
      </c>
      <c r="AB40" s="19" t="s">
        <v>429</v>
      </c>
      <c r="AC40" s="19" t="s">
        <v>429</v>
      </c>
      <c r="AD40" s="18" t="s">
        <v>429</v>
      </c>
      <c r="AE40" s="18" t="s">
        <v>429</v>
      </c>
      <c r="AF40" s="19">
        <v>7.9</v>
      </c>
      <c r="AG40" s="19">
        <v>5.0999999999999996</v>
      </c>
      <c r="AH40" s="18">
        <v>3.9</v>
      </c>
      <c r="AI40" s="18">
        <v>2.8</v>
      </c>
    </row>
    <row r="41" spans="1:35">
      <c r="A41" s="17" t="s">
        <v>1821</v>
      </c>
      <c r="B41" s="17" t="s">
        <v>1830</v>
      </c>
      <c r="C41" s="18" t="s">
        <v>429</v>
      </c>
      <c r="D41" s="19" t="s">
        <v>429</v>
      </c>
      <c r="E41" s="19" t="s">
        <v>429</v>
      </c>
      <c r="F41" s="18" t="s">
        <v>429</v>
      </c>
      <c r="G41" s="18" t="s">
        <v>429</v>
      </c>
      <c r="H41" s="19" t="s">
        <v>429</v>
      </c>
      <c r="I41" s="19" t="s">
        <v>429</v>
      </c>
      <c r="J41" s="18" t="s">
        <v>429</v>
      </c>
      <c r="K41" s="18" t="s">
        <v>429</v>
      </c>
      <c r="L41" s="19" t="s">
        <v>429</v>
      </c>
      <c r="M41" s="19" t="s">
        <v>429</v>
      </c>
      <c r="N41" s="18" t="s">
        <v>429</v>
      </c>
      <c r="O41" s="18" t="s">
        <v>429</v>
      </c>
      <c r="P41" s="19" t="s">
        <v>429</v>
      </c>
      <c r="Q41" s="19" t="s">
        <v>429</v>
      </c>
      <c r="R41" s="18" t="s">
        <v>429</v>
      </c>
      <c r="S41" s="18" t="s">
        <v>429</v>
      </c>
      <c r="T41" s="19" t="s">
        <v>429</v>
      </c>
      <c r="U41" s="19" t="s">
        <v>429</v>
      </c>
      <c r="V41" s="18" t="s">
        <v>429</v>
      </c>
      <c r="W41" s="18" t="s">
        <v>429</v>
      </c>
      <c r="X41" s="19" t="s">
        <v>429</v>
      </c>
      <c r="Y41" s="19" t="s">
        <v>429</v>
      </c>
      <c r="Z41" s="18" t="s">
        <v>429</v>
      </c>
      <c r="AA41" s="18" t="s">
        <v>429</v>
      </c>
      <c r="AB41" s="19" t="s">
        <v>429</v>
      </c>
      <c r="AC41" s="19" t="s">
        <v>429</v>
      </c>
      <c r="AD41" s="18" t="s">
        <v>429</v>
      </c>
      <c r="AE41" s="18" t="s">
        <v>429</v>
      </c>
      <c r="AF41" s="19">
        <v>0</v>
      </c>
      <c r="AG41" s="19" t="s">
        <v>429</v>
      </c>
      <c r="AH41" s="18">
        <v>4.8</v>
      </c>
      <c r="AI41" s="18" t="s">
        <v>429</v>
      </c>
    </row>
    <row r="42" spans="1:35">
      <c r="A42" s="17" t="s">
        <v>1821</v>
      </c>
      <c r="B42" s="17" t="s">
        <v>1831</v>
      </c>
      <c r="C42" s="18" t="s">
        <v>429</v>
      </c>
      <c r="D42" s="19" t="s">
        <v>429</v>
      </c>
      <c r="E42" s="19" t="s">
        <v>429</v>
      </c>
      <c r="F42" s="18" t="s">
        <v>429</v>
      </c>
      <c r="G42" s="18" t="s">
        <v>429</v>
      </c>
      <c r="H42" s="19" t="s">
        <v>429</v>
      </c>
      <c r="I42" s="19" t="s">
        <v>429</v>
      </c>
      <c r="J42" s="18" t="s">
        <v>429</v>
      </c>
      <c r="K42" s="18" t="s">
        <v>429</v>
      </c>
      <c r="L42" s="19" t="s">
        <v>429</v>
      </c>
      <c r="M42" s="19" t="s">
        <v>429</v>
      </c>
      <c r="N42" s="18" t="s">
        <v>429</v>
      </c>
      <c r="O42" s="18" t="s">
        <v>429</v>
      </c>
      <c r="P42" s="19" t="s">
        <v>429</v>
      </c>
      <c r="Q42" s="19" t="s">
        <v>429</v>
      </c>
      <c r="R42" s="18" t="s">
        <v>429</v>
      </c>
      <c r="S42" s="18" t="s">
        <v>429</v>
      </c>
      <c r="T42" s="19" t="s">
        <v>429</v>
      </c>
      <c r="U42" s="19" t="s">
        <v>429</v>
      </c>
      <c r="V42" s="18" t="s">
        <v>429</v>
      </c>
      <c r="W42" s="18" t="s">
        <v>429</v>
      </c>
      <c r="X42" s="19" t="s">
        <v>429</v>
      </c>
      <c r="Y42" s="19" t="s">
        <v>429</v>
      </c>
      <c r="Z42" s="18" t="s">
        <v>429</v>
      </c>
      <c r="AA42" s="18" t="s">
        <v>429</v>
      </c>
      <c r="AB42" s="19" t="s">
        <v>429</v>
      </c>
      <c r="AC42" s="19" t="s">
        <v>429</v>
      </c>
      <c r="AD42" s="18" t="s">
        <v>429</v>
      </c>
      <c r="AE42" s="18" t="s">
        <v>429</v>
      </c>
      <c r="AF42" s="19">
        <v>4.3</v>
      </c>
      <c r="AG42" s="19">
        <v>17.100000000000001</v>
      </c>
      <c r="AH42" s="18">
        <v>2.6</v>
      </c>
      <c r="AI42" s="18">
        <v>6.4</v>
      </c>
    </row>
    <row r="43" spans="1:35">
      <c r="A43" s="17" t="s">
        <v>1821</v>
      </c>
      <c r="B43" s="17" t="s">
        <v>1832</v>
      </c>
      <c r="C43" s="18" t="s">
        <v>429</v>
      </c>
      <c r="D43" s="19" t="s">
        <v>429</v>
      </c>
      <c r="E43" s="19" t="s">
        <v>429</v>
      </c>
      <c r="F43" s="18" t="s">
        <v>429</v>
      </c>
      <c r="G43" s="18" t="s">
        <v>429</v>
      </c>
      <c r="H43" s="19" t="s">
        <v>429</v>
      </c>
      <c r="I43" s="19" t="s">
        <v>429</v>
      </c>
      <c r="J43" s="18" t="s">
        <v>429</v>
      </c>
      <c r="K43" s="18" t="s">
        <v>429</v>
      </c>
      <c r="L43" s="19" t="s">
        <v>429</v>
      </c>
      <c r="M43" s="19" t="s">
        <v>429</v>
      </c>
      <c r="N43" s="18" t="s">
        <v>429</v>
      </c>
      <c r="O43" s="18" t="s">
        <v>429</v>
      </c>
      <c r="P43" s="19" t="s">
        <v>429</v>
      </c>
      <c r="Q43" s="19" t="s">
        <v>429</v>
      </c>
      <c r="R43" s="18" t="s">
        <v>429</v>
      </c>
      <c r="S43" s="18" t="s">
        <v>429</v>
      </c>
      <c r="T43" s="19" t="s">
        <v>429</v>
      </c>
      <c r="U43" s="19" t="s">
        <v>429</v>
      </c>
      <c r="V43" s="18" t="s">
        <v>429</v>
      </c>
      <c r="W43" s="18" t="s">
        <v>429</v>
      </c>
      <c r="X43" s="19" t="s">
        <v>429</v>
      </c>
      <c r="Y43" s="19" t="s">
        <v>429</v>
      </c>
      <c r="Z43" s="18" t="s">
        <v>429</v>
      </c>
      <c r="AA43" s="18" t="s">
        <v>429</v>
      </c>
      <c r="AB43" s="19" t="s">
        <v>429</v>
      </c>
      <c r="AC43" s="19" t="s">
        <v>429</v>
      </c>
      <c r="AD43" s="18" t="s">
        <v>429</v>
      </c>
      <c r="AE43" s="18" t="s">
        <v>429</v>
      </c>
      <c r="AF43" s="19">
        <v>12.9</v>
      </c>
      <c r="AG43" s="19" t="s">
        <v>429</v>
      </c>
      <c r="AH43" s="18">
        <v>3</v>
      </c>
      <c r="AI43" s="18" t="s">
        <v>429</v>
      </c>
    </row>
    <row r="44" spans="1:35">
      <c r="A44" s="17" t="s">
        <v>1821</v>
      </c>
      <c r="B44" s="17" t="s">
        <v>1833</v>
      </c>
      <c r="C44" s="18" t="s">
        <v>429</v>
      </c>
      <c r="D44" s="19" t="s">
        <v>429</v>
      </c>
      <c r="E44" s="19" t="s">
        <v>429</v>
      </c>
      <c r="F44" s="18" t="s">
        <v>429</v>
      </c>
      <c r="G44" s="18" t="s">
        <v>429</v>
      </c>
      <c r="H44" s="19" t="s">
        <v>429</v>
      </c>
      <c r="I44" s="19" t="s">
        <v>429</v>
      </c>
      <c r="J44" s="18" t="s">
        <v>429</v>
      </c>
      <c r="K44" s="18" t="s">
        <v>429</v>
      </c>
      <c r="L44" s="19" t="s">
        <v>429</v>
      </c>
      <c r="M44" s="19" t="s">
        <v>429</v>
      </c>
      <c r="N44" s="18" t="s">
        <v>429</v>
      </c>
      <c r="O44" s="18" t="s">
        <v>429</v>
      </c>
      <c r="P44" s="19" t="s">
        <v>429</v>
      </c>
      <c r="Q44" s="19" t="s">
        <v>429</v>
      </c>
      <c r="R44" s="18" t="s">
        <v>429</v>
      </c>
      <c r="S44" s="18" t="s">
        <v>429</v>
      </c>
      <c r="T44" s="19" t="s">
        <v>429</v>
      </c>
      <c r="U44" s="19" t="s">
        <v>429</v>
      </c>
      <c r="V44" s="18" t="s">
        <v>429</v>
      </c>
      <c r="W44" s="18" t="s">
        <v>429</v>
      </c>
      <c r="X44" s="19" t="s">
        <v>429</v>
      </c>
      <c r="Y44" s="19" t="s">
        <v>429</v>
      </c>
      <c r="Z44" s="18" t="s">
        <v>429</v>
      </c>
      <c r="AA44" s="18" t="s">
        <v>429</v>
      </c>
      <c r="AB44" s="19" t="s">
        <v>429</v>
      </c>
      <c r="AC44" s="19" t="s">
        <v>429</v>
      </c>
      <c r="AD44" s="18" t="s">
        <v>429</v>
      </c>
      <c r="AE44" s="18" t="s">
        <v>429</v>
      </c>
      <c r="AF44" s="19">
        <v>1</v>
      </c>
      <c r="AG44" s="19" t="s">
        <v>429</v>
      </c>
      <c r="AH44" s="18">
        <v>0.4</v>
      </c>
      <c r="AI44" s="18" t="s">
        <v>429</v>
      </c>
    </row>
    <row r="45" spans="1:35">
      <c r="A45" s="17" t="s">
        <v>1821</v>
      </c>
      <c r="B45" s="17" t="s">
        <v>1834</v>
      </c>
      <c r="C45" s="18" t="s">
        <v>429</v>
      </c>
      <c r="D45" s="19" t="s">
        <v>429</v>
      </c>
      <c r="E45" s="19" t="s">
        <v>429</v>
      </c>
      <c r="F45" s="18" t="s">
        <v>429</v>
      </c>
      <c r="G45" s="18" t="s">
        <v>429</v>
      </c>
      <c r="H45" s="19" t="s">
        <v>429</v>
      </c>
      <c r="I45" s="19" t="s">
        <v>429</v>
      </c>
      <c r="J45" s="18" t="s">
        <v>429</v>
      </c>
      <c r="K45" s="18" t="s">
        <v>429</v>
      </c>
      <c r="L45" s="19" t="s">
        <v>429</v>
      </c>
      <c r="M45" s="19" t="s">
        <v>429</v>
      </c>
      <c r="N45" s="18" t="s">
        <v>429</v>
      </c>
      <c r="O45" s="18" t="s">
        <v>429</v>
      </c>
      <c r="P45" s="19" t="s">
        <v>429</v>
      </c>
      <c r="Q45" s="19" t="s">
        <v>429</v>
      </c>
      <c r="R45" s="18" t="s">
        <v>429</v>
      </c>
      <c r="S45" s="18" t="s">
        <v>429</v>
      </c>
      <c r="T45" s="19" t="s">
        <v>429</v>
      </c>
      <c r="U45" s="19" t="s">
        <v>429</v>
      </c>
      <c r="V45" s="18" t="s">
        <v>429</v>
      </c>
      <c r="W45" s="18" t="s">
        <v>429</v>
      </c>
      <c r="X45" s="19" t="s">
        <v>429</v>
      </c>
      <c r="Y45" s="19" t="s">
        <v>429</v>
      </c>
      <c r="Z45" s="18" t="s">
        <v>429</v>
      </c>
      <c r="AA45" s="18" t="s">
        <v>429</v>
      </c>
      <c r="AB45" s="19" t="s">
        <v>429</v>
      </c>
      <c r="AC45" s="19" t="s">
        <v>429</v>
      </c>
      <c r="AD45" s="18" t="s">
        <v>429</v>
      </c>
      <c r="AE45" s="18" t="s">
        <v>429</v>
      </c>
      <c r="AF45" s="19">
        <v>2.9</v>
      </c>
      <c r="AG45" s="19" t="s">
        <v>429</v>
      </c>
      <c r="AH45" s="18">
        <v>1.7</v>
      </c>
      <c r="AI45" s="18" t="s">
        <v>429</v>
      </c>
    </row>
    <row r="46" spans="1:35">
      <c r="A46" s="17" t="s">
        <v>1821</v>
      </c>
      <c r="B46" s="17" t="s">
        <v>1835</v>
      </c>
      <c r="C46" s="18" t="s">
        <v>429</v>
      </c>
      <c r="D46" s="19" t="s">
        <v>429</v>
      </c>
      <c r="E46" s="19" t="s">
        <v>429</v>
      </c>
      <c r="F46" s="18" t="s">
        <v>429</v>
      </c>
      <c r="G46" s="18" t="s">
        <v>429</v>
      </c>
      <c r="H46" s="19" t="s">
        <v>429</v>
      </c>
      <c r="I46" s="19" t="s">
        <v>429</v>
      </c>
      <c r="J46" s="18" t="s">
        <v>429</v>
      </c>
      <c r="K46" s="18" t="s">
        <v>429</v>
      </c>
      <c r="L46" s="19" t="s">
        <v>429</v>
      </c>
      <c r="M46" s="19" t="s">
        <v>429</v>
      </c>
      <c r="N46" s="18" t="s">
        <v>429</v>
      </c>
      <c r="O46" s="18" t="s">
        <v>429</v>
      </c>
      <c r="P46" s="19" t="s">
        <v>429</v>
      </c>
      <c r="Q46" s="19" t="s">
        <v>429</v>
      </c>
      <c r="R46" s="18" t="s">
        <v>429</v>
      </c>
      <c r="S46" s="18" t="s">
        <v>429</v>
      </c>
      <c r="T46" s="19" t="s">
        <v>429</v>
      </c>
      <c r="U46" s="19" t="s">
        <v>429</v>
      </c>
      <c r="V46" s="18" t="s">
        <v>429</v>
      </c>
      <c r="W46" s="18" t="s">
        <v>429</v>
      </c>
      <c r="X46" s="19" t="s">
        <v>429</v>
      </c>
      <c r="Y46" s="19" t="s">
        <v>429</v>
      </c>
      <c r="Z46" s="18" t="s">
        <v>429</v>
      </c>
      <c r="AA46" s="18" t="s">
        <v>429</v>
      </c>
      <c r="AB46" s="19" t="s">
        <v>429</v>
      </c>
      <c r="AC46" s="19" t="s">
        <v>429</v>
      </c>
      <c r="AD46" s="18" t="s">
        <v>429</v>
      </c>
      <c r="AE46" s="18" t="s">
        <v>429</v>
      </c>
      <c r="AF46" s="19">
        <v>1.2</v>
      </c>
      <c r="AG46" s="19">
        <v>1.3</v>
      </c>
      <c r="AH46" s="18">
        <v>1.1000000000000001</v>
      </c>
      <c r="AI46" s="18">
        <v>0.4</v>
      </c>
    </row>
    <row r="47" spans="1:35">
      <c r="A47" s="17" t="s">
        <v>1836</v>
      </c>
      <c r="B47" s="17" t="s">
        <v>1837</v>
      </c>
      <c r="C47" s="18" t="s">
        <v>429</v>
      </c>
      <c r="D47" s="19" t="s">
        <v>429</v>
      </c>
      <c r="E47" s="19" t="s">
        <v>429</v>
      </c>
      <c r="F47" s="18" t="s">
        <v>429</v>
      </c>
      <c r="G47" s="18" t="s">
        <v>429</v>
      </c>
      <c r="H47" s="19" t="s">
        <v>429</v>
      </c>
      <c r="I47" s="19" t="s">
        <v>429</v>
      </c>
      <c r="J47" s="18" t="s">
        <v>429</v>
      </c>
      <c r="K47" s="18" t="s">
        <v>429</v>
      </c>
      <c r="L47" s="19" t="s">
        <v>429</v>
      </c>
      <c r="M47" s="19" t="s">
        <v>429</v>
      </c>
      <c r="N47" s="18" t="s">
        <v>429</v>
      </c>
      <c r="O47" s="18" t="s">
        <v>429</v>
      </c>
      <c r="P47" s="19" t="s">
        <v>429</v>
      </c>
      <c r="Q47" s="19" t="s">
        <v>429</v>
      </c>
      <c r="R47" s="18" t="s">
        <v>429</v>
      </c>
      <c r="S47" s="18" t="s">
        <v>429</v>
      </c>
      <c r="T47" s="19" t="s">
        <v>429</v>
      </c>
      <c r="U47" s="19" t="s">
        <v>429</v>
      </c>
      <c r="V47" s="18" t="s">
        <v>429</v>
      </c>
      <c r="W47" s="18" t="s">
        <v>429</v>
      </c>
      <c r="X47" s="19" t="s">
        <v>429</v>
      </c>
      <c r="Y47" s="19" t="s">
        <v>429</v>
      </c>
      <c r="Z47" s="18" t="s">
        <v>429</v>
      </c>
      <c r="AA47" s="18" t="s">
        <v>429</v>
      </c>
      <c r="AB47" s="19" t="s">
        <v>429</v>
      </c>
      <c r="AC47" s="19" t="s">
        <v>429</v>
      </c>
      <c r="AD47" s="18" t="s">
        <v>429</v>
      </c>
      <c r="AE47" s="18" t="s">
        <v>429</v>
      </c>
      <c r="AF47" s="19">
        <v>0</v>
      </c>
      <c r="AG47" s="19">
        <v>10.7</v>
      </c>
      <c r="AH47" s="18">
        <v>0</v>
      </c>
      <c r="AI47" s="18">
        <v>0</v>
      </c>
    </row>
    <row r="48" spans="1:35">
      <c r="A48" s="17" t="s">
        <v>1821</v>
      </c>
      <c r="B48" s="17" t="s">
        <v>1838</v>
      </c>
      <c r="C48" s="18" t="s">
        <v>429</v>
      </c>
      <c r="D48" s="19" t="s">
        <v>429</v>
      </c>
      <c r="E48" s="19" t="s">
        <v>429</v>
      </c>
      <c r="F48" s="18" t="s">
        <v>429</v>
      </c>
      <c r="G48" s="18" t="s">
        <v>429</v>
      </c>
      <c r="H48" s="19" t="s">
        <v>429</v>
      </c>
      <c r="I48" s="19" t="s">
        <v>429</v>
      </c>
      <c r="J48" s="18" t="s">
        <v>429</v>
      </c>
      <c r="K48" s="18" t="s">
        <v>429</v>
      </c>
      <c r="L48" s="19" t="s">
        <v>429</v>
      </c>
      <c r="M48" s="19" t="s">
        <v>429</v>
      </c>
      <c r="N48" s="18" t="s">
        <v>429</v>
      </c>
      <c r="O48" s="18" t="s">
        <v>429</v>
      </c>
      <c r="P48" s="19" t="s">
        <v>429</v>
      </c>
      <c r="Q48" s="19" t="s">
        <v>429</v>
      </c>
      <c r="R48" s="18" t="s">
        <v>429</v>
      </c>
      <c r="S48" s="18" t="s">
        <v>429</v>
      </c>
      <c r="T48" s="19" t="s">
        <v>429</v>
      </c>
      <c r="U48" s="19" t="s">
        <v>429</v>
      </c>
      <c r="V48" s="18" t="s">
        <v>429</v>
      </c>
      <c r="W48" s="18" t="s">
        <v>429</v>
      </c>
      <c r="X48" s="19" t="s">
        <v>429</v>
      </c>
      <c r="Y48" s="19" t="s">
        <v>429</v>
      </c>
      <c r="Z48" s="18" t="s">
        <v>429</v>
      </c>
      <c r="AA48" s="18" t="s">
        <v>429</v>
      </c>
      <c r="AB48" s="19" t="s">
        <v>429</v>
      </c>
      <c r="AC48" s="19" t="s">
        <v>429</v>
      </c>
      <c r="AD48" s="18" t="s">
        <v>429</v>
      </c>
      <c r="AE48" s="18" t="s">
        <v>429</v>
      </c>
      <c r="AF48" s="19" t="s">
        <v>429</v>
      </c>
      <c r="AG48" s="19" t="s">
        <v>429</v>
      </c>
      <c r="AH48" s="18" t="s">
        <v>429</v>
      </c>
      <c r="AI48" s="18" t="s">
        <v>429</v>
      </c>
    </row>
    <row r="49" spans="1:35">
      <c r="A49" s="17" t="s">
        <v>1821</v>
      </c>
      <c r="B49" s="17" t="s">
        <v>1839</v>
      </c>
      <c r="C49" s="18" t="s">
        <v>429</v>
      </c>
      <c r="D49" s="19" t="s">
        <v>429</v>
      </c>
      <c r="E49" s="19" t="s">
        <v>429</v>
      </c>
      <c r="F49" s="18" t="s">
        <v>429</v>
      </c>
      <c r="G49" s="18" t="s">
        <v>429</v>
      </c>
      <c r="H49" s="19" t="s">
        <v>429</v>
      </c>
      <c r="I49" s="19" t="s">
        <v>429</v>
      </c>
      <c r="J49" s="18" t="s">
        <v>429</v>
      </c>
      <c r="K49" s="18" t="s">
        <v>429</v>
      </c>
      <c r="L49" s="19" t="s">
        <v>429</v>
      </c>
      <c r="M49" s="19" t="s">
        <v>429</v>
      </c>
      <c r="N49" s="18" t="s">
        <v>429</v>
      </c>
      <c r="O49" s="18" t="s">
        <v>429</v>
      </c>
      <c r="P49" s="19" t="s">
        <v>429</v>
      </c>
      <c r="Q49" s="19" t="s">
        <v>429</v>
      </c>
      <c r="R49" s="18" t="s">
        <v>429</v>
      </c>
      <c r="S49" s="18" t="s">
        <v>429</v>
      </c>
      <c r="T49" s="19" t="s">
        <v>429</v>
      </c>
      <c r="U49" s="19" t="s">
        <v>429</v>
      </c>
      <c r="V49" s="18" t="s">
        <v>429</v>
      </c>
      <c r="W49" s="18" t="s">
        <v>429</v>
      </c>
      <c r="X49" s="19" t="s">
        <v>429</v>
      </c>
      <c r="Y49" s="19" t="s">
        <v>429</v>
      </c>
      <c r="Z49" s="18" t="s">
        <v>429</v>
      </c>
      <c r="AA49" s="18" t="s">
        <v>429</v>
      </c>
      <c r="AB49" s="19" t="s">
        <v>429</v>
      </c>
      <c r="AC49" s="19" t="s">
        <v>429</v>
      </c>
      <c r="AD49" s="18" t="s">
        <v>429</v>
      </c>
      <c r="AE49" s="18" t="s">
        <v>429</v>
      </c>
      <c r="AF49" s="19">
        <v>0.9</v>
      </c>
      <c r="AG49" s="19">
        <v>1.9</v>
      </c>
      <c r="AH49" s="18">
        <v>2</v>
      </c>
      <c r="AI49" s="18">
        <v>0.4</v>
      </c>
    </row>
    <row r="50" spans="1:35">
      <c r="A50" s="17" t="s">
        <v>1840</v>
      </c>
      <c r="B50" s="17" t="s">
        <v>1841</v>
      </c>
      <c r="C50" s="18">
        <v>234.4</v>
      </c>
      <c r="D50" s="19">
        <v>232</v>
      </c>
      <c r="E50" s="19">
        <v>231.9</v>
      </c>
      <c r="F50" s="18">
        <v>236.2</v>
      </c>
      <c r="G50" s="18">
        <v>228.3</v>
      </c>
      <c r="H50" s="19">
        <v>233.8</v>
      </c>
      <c r="I50" s="19">
        <v>222.6</v>
      </c>
      <c r="J50" s="18">
        <v>222.1</v>
      </c>
      <c r="K50" s="18">
        <v>220.3</v>
      </c>
      <c r="L50" s="19">
        <v>219.5</v>
      </c>
      <c r="M50" s="19">
        <v>206.4</v>
      </c>
      <c r="N50" s="18" t="s">
        <v>429</v>
      </c>
      <c r="O50" s="18">
        <v>195.3</v>
      </c>
      <c r="P50" s="19" t="s">
        <v>429</v>
      </c>
      <c r="Q50" s="19" t="s">
        <v>429</v>
      </c>
      <c r="R50" s="18" t="s">
        <v>429</v>
      </c>
      <c r="S50" s="18" t="s">
        <v>429</v>
      </c>
      <c r="T50" s="19" t="s">
        <v>429</v>
      </c>
      <c r="U50" s="19" t="s">
        <v>429</v>
      </c>
      <c r="V50" s="18" t="s">
        <v>429</v>
      </c>
      <c r="W50" s="18" t="s">
        <v>429</v>
      </c>
      <c r="X50" s="19" t="s">
        <v>429</v>
      </c>
      <c r="Y50" s="19" t="s">
        <v>429</v>
      </c>
      <c r="Z50" s="18" t="s">
        <v>429</v>
      </c>
      <c r="AA50" s="18" t="s">
        <v>429</v>
      </c>
      <c r="AB50" s="19" t="s">
        <v>429</v>
      </c>
      <c r="AC50" s="19" t="s">
        <v>429</v>
      </c>
      <c r="AD50" s="18" t="s">
        <v>429</v>
      </c>
      <c r="AE50" s="18" t="s">
        <v>429</v>
      </c>
      <c r="AF50" s="19">
        <v>100.7</v>
      </c>
      <c r="AG50" s="19">
        <v>99.3</v>
      </c>
      <c r="AH50" s="18">
        <v>86.1</v>
      </c>
      <c r="AI50" s="18">
        <v>62.5</v>
      </c>
    </row>
    <row r="51" spans="1:35">
      <c r="A51" s="17" t="s">
        <v>1842</v>
      </c>
      <c r="B51" s="17" t="s">
        <v>1843</v>
      </c>
      <c r="C51" s="18" t="s">
        <v>429</v>
      </c>
      <c r="D51" s="19">
        <v>30.7</v>
      </c>
      <c r="E51" s="19" t="s">
        <v>429</v>
      </c>
      <c r="F51" s="18" t="s">
        <v>429</v>
      </c>
      <c r="G51" s="18" t="s">
        <v>429</v>
      </c>
      <c r="H51" s="19" t="s">
        <v>429</v>
      </c>
      <c r="I51" s="19" t="s">
        <v>429</v>
      </c>
      <c r="J51" s="18" t="s">
        <v>429</v>
      </c>
      <c r="K51" s="18" t="s">
        <v>429</v>
      </c>
      <c r="L51" s="19" t="s">
        <v>429</v>
      </c>
      <c r="M51" s="19" t="s">
        <v>429</v>
      </c>
      <c r="N51" s="18" t="s">
        <v>429</v>
      </c>
      <c r="O51" s="18" t="s">
        <v>429</v>
      </c>
      <c r="P51" s="19" t="s">
        <v>429</v>
      </c>
      <c r="Q51" s="19" t="s">
        <v>429</v>
      </c>
      <c r="R51" s="18" t="s">
        <v>429</v>
      </c>
      <c r="S51" s="18" t="s">
        <v>429</v>
      </c>
      <c r="T51" s="19" t="s">
        <v>429</v>
      </c>
      <c r="U51" s="19" t="s">
        <v>429</v>
      </c>
      <c r="V51" s="18" t="s">
        <v>429</v>
      </c>
      <c r="W51" s="18" t="s">
        <v>429</v>
      </c>
      <c r="X51" s="19" t="s">
        <v>429</v>
      </c>
      <c r="Y51" s="19" t="s">
        <v>429</v>
      </c>
      <c r="Z51" s="18" t="s">
        <v>429</v>
      </c>
      <c r="AA51" s="18" t="s">
        <v>429</v>
      </c>
      <c r="AB51" s="19" t="s">
        <v>429</v>
      </c>
      <c r="AC51" s="19" t="s">
        <v>429</v>
      </c>
      <c r="AD51" s="18" t="s">
        <v>429</v>
      </c>
      <c r="AE51" s="18" t="s">
        <v>429</v>
      </c>
      <c r="AF51" s="19" t="s">
        <v>429</v>
      </c>
      <c r="AG51" s="19" t="s">
        <v>429</v>
      </c>
      <c r="AH51" s="18" t="s">
        <v>429</v>
      </c>
      <c r="AI51" s="18" t="s">
        <v>429</v>
      </c>
    </row>
    <row r="52" spans="1:35">
      <c r="A52" s="17" t="s">
        <v>1842</v>
      </c>
      <c r="B52" s="17" t="s">
        <v>1844</v>
      </c>
      <c r="C52" s="18" t="s">
        <v>429</v>
      </c>
      <c r="D52" s="19" t="s">
        <v>429</v>
      </c>
      <c r="E52" s="19" t="s">
        <v>429</v>
      </c>
      <c r="F52" s="18" t="s">
        <v>429</v>
      </c>
      <c r="G52" s="18" t="s">
        <v>429</v>
      </c>
      <c r="H52" s="19" t="s">
        <v>429</v>
      </c>
      <c r="I52" s="19" t="s">
        <v>429</v>
      </c>
      <c r="J52" s="18" t="s">
        <v>429</v>
      </c>
      <c r="K52" s="18" t="s">
        <v>429</v>
      </c>
      <c r="L52" s="19" t="s">
        <v>429</v>
      </c>
      <c r="M52" s="19" t="s">
        <v>429</v>
      </c>
      <c r="N52" s="18" t="s">
        <v>429</v>
      </c>
      <c r="O52" s="18" t="s">
        <v>429</v>
      </c>
      <c r="P52" s="19" t="s">
        <v>429</v>
      </c>
      <c r="Q52" s="19" t="s">
        <v>429</v>
      </c>
      <c r="R52" s="18" t="s">
        <v>429</v>
      </c>
      <c r="S52" s="18" t="s">
        <v>429</v>
      </c>
      <c r="T52" s="19" t="s">
        <v>429</v>
      </c>
      <c r="U52" s="19" t="s">
        <v>429</v>
      </c>
      <c r="V52" s="18" t="s">
        <v>429</v>
      </c>
      <c r="W52" s="18" t="s">
        <v>429</v>
      </c>
      <c r="X52" s="19" t="s">
        <v>429</v>
      </c>
      <c r="Y52" s="19" t="s">
        <v>429</v>
      </c>
      <c r="Z52" s="18" t="s">
        <v>429</v>
      </c>
      <c r="AA52" s="18" t="s">
        <v>429</v>
      </c>
      <c r="AB52" s="19" t="s">
        <v>429</v>
      </c>
      <c r="AC52" s="19" t="s">
        <v>429</v>
      </c>
      <c r="AD52" s="18" t="s">
        <v>429</v>
      </c>
      <c r="AE52" s="18" t="s">
        <v>429</v>
      </c>
      <c r="AF52" s="19">
        <v>0</v>
      </c>
      <c r="AG52" s="19">
        <v>0</v>
      </c>
      <c r="AH52" s="18">
        <v>0</v>
      </c>
      <c r="AI52" s="18">
        <v>-1.9</v>
      </c>
    </row>
    <row r="53" spans="1:35">
      <c r="A53" s="17" t="s">
        <v>1836</v>
      </c>
      <c r="B53" s="17" t="s">
        <v>1845</v>
      </c>
      <c r="C53" s="18">
        <v>6.7</v>
      </c>
      <c r="D53" s="19">
        <v>7.8</v>
      </c>
      <c r="E53" s="19">
        <v>5.7</v>
      </c>
      <c r="F53" s="18">
        <v>4.0999999999999996</v>
      </c>
      <c r="G53" s="18">
        <v>11.4</v>
      </c>
      <c r="H53" s="19">
        <v>10</v>
      </c>
      <c r="I53" s="19">
        <v>11.5</v>
      </c>
      <c r="J53" s="18">
        <v>9.9</v>
      </c>
      <c r="K53" s="18">
        <v>5.0999999999999996</v>
      </c>
      <c r="L53" s="19">
        <v>5.5</v>
      </c>
      <c r="M53" s="19">
        <v>0.6</v>
      </c>
      <c r="N53" s="18" t="s">
        <v>429</v>
      </c>
      <c r="O53" s="18">
        <v>1.8</v>
      </c>
      <c r="P53" s="19" t="s">
        <v>429</v>
      </c>
      <c r="Q53" s="19" t="s">
        <v>429</v>
      </c>
      <c r="R53" s="18" t="s">
        <v>429</v>
      </c>
      <c r="S53" s="18" t="s">
        <v>429</v>
      </c>
      <c r="T53" s="19" t="s">
        <v>429</v>
      </c>
      <c r="U53" s="19" t="s">
        <v>429</v>
      </c>
      <c r="V53" s="18" t="s">
        <v>429</v>
      </c>
      <c r="W53" s="18" t="s">
        <v>429</v>
      </c>
      <c r="X53" s="19" t="s">
        <v>429</v>
      </c>
      <c r="Y53" s="19" t="s">
        <v>429</v>
      </c>
      <c r="Z53" s="18" t="s">
        <v>429</v>
      </c>
      <c r="AA53" s="18" t="s">
        <v>429</v>
      </c>
      <c r="AB53" s="19" t="s">
        <v>429</v>
      </c>
      <c r="AC53" s="19" t="s">
        <v>429</v>
      </c>
      <c r="AD53" s="18" t="s">
        <v>429</v>
      </c>
      <c r="AE53" s="18" t="s">
        <v>429</v>
      </c>
      <c r="AF53" s="19">
        <v>3.1</v>
      </c>
      <c r="AG53" s="19">
        <v>0.3</v>
      </c>
      <c r="AH53" s="18">
        <v>0.3</v>
      </c>
      <c r="AI53" s="18">
        <v>0.4</v>
      </c>
    </row>
    <row r="54" spans="1:35">
      <c r="A54" s="17" t="s">
        <v>1821</v>
      </c>
      <c r="B54" s="17" t="s">
        <v>1846</v>
      </c>
      <c r="C54" s="18" t="s">
        <v>429</v>
      </c>
      <c r="D54" s="19" t="s">
        <v>429</v>
      </c>
      <c r="E54" s="19" t="s">
        <v>429</v>
      </c>
      <c r="F54" s="18">
        <v>2.1</v>
      </c>
      <c r="G54" s="18">
        <v>0.9</v>
      </c>
      <c r="H54" s="19">
        <v>6.1</v>
      </c>
      <c r="I54" s="19">
        <v>5.2</v>
      </c>
      <c r="J54" s="18">
        <v>5.8</v>
      </c>
      <c r="K54" s="18">
        <v>7</v>
      </c>
      <c r="L54" s="19">
        <v>8.1999999999999993</v>
      </c>
      <c r="M54" s="19">
        <v>5.6</v>
      </c>
      <c r="N54" s="18" t="s">
        <v>429</v>
      </c>
      <c r="O54" s="18">
        <v>7.3</v>
      </c>
      <c r="P54" s="19" t="s">
        <v>429</v>
      </c>
      <c r="Q54" s="19" t="s">
        <v>429</v>
      </c>
      <c r="R54" s="18" t="s">
        <v>429</v>
      </c>
      <c r="S54" s="18" t="s">
        <v>429</v>
      </c>
      <c r="T54" s="19" t="s">
        <v>429</v>
      </c>
      <c r="U54" s="19" t="s">
        <v>429</v>
      </c>
      <c r="V54" s="18" t="s">
        <v>429</v>
      </c>
      <c r="W54" s="18" t="s">
        <v>429</v>
      </c>
      <c r="X54" s="19" t="s">
        <v>429</v>
      </c>
      <c r="Y54" s="19" t="s">
        <v>429</v>
      </c>
      <c r="Z54" s="18" t="s">
        <v>429</v>
      </c>
      <c r="AA54" s="18" t="s">
        <v>429</v>
      </c>
      <c r="AB54" s="19" t="s">
        <v>429</v>
      </c>
      <c r="AC54" s="19" t="s">
        <v>429</v>
      </c>
      <c r="AD54" s="18" t="s">
        <v>429</v>
      </c>
      <c r="AE54" s="18" t="s">
        <v>429</v>
      </c>
      <c r="AF54" s="19">
        <v>3.1</v>
      </c>
      <c r="AG54" s="19">
        <v>2.8</v>
      </c>
      <c r="AH54" s="18">
        <v>5</v>
      </c>
      <c r="AI54" s="18">
        <v>3.8</v>
      </c>
    </row>
    <row r="55" spans="1:35">
      <c r="A55" s="17" t="s">
        <v>1836</v>
      </c>
      <c r="B55" s="17" t="s">
        <v>1847</v>
      </c>
      <c r="C55" s="18" t="s">
        <v>429</v>
      </c>
      <c r="D55" s="19" t="s">
        <v>429</v>
      </c>
      <c r="E55" s="19" t="s">
        <v>429</v>
      </c>
      <c r="F55" s="18" t="s">
        <v>429</v>
      </c>
      <c r="G55" s="18" t="s">
        <v>429</v>
      </c>
      <c r="H55" s="19" t="s">
        <v>429</v>
      </c>
      <c r="I55" s="19" t="s">
        <v>429</v>
      </c>
      <c r="J55" s="18" t="s">
        <v>429</v>
      </c>
      <c r="K55" s="18" t="s">
        <v>429</v>
      </c>
      <c r="L55" s="19" t="s">
        <v>429</v>
      </c>
      <c r="M55" s="19" t="s">
        <v>429</v>
      </c>
      <c r="N55" s="18" t="s">
        <v>429</v>
      </c>
      <c r="O55" s="18" t="s">
        <v>429</v>
      </c>
      <c r="P55" s="19" t="s">
        <v>429</v>
      </c>
      <c r="Q55" s="19" t="s">
        <v>429</v>
      </c>
      <c r="R55" s="18" t="s">
        <v>429</v>
      </c>
      <c r="S55" s="18" t="s">
        <v>429</v>
      </c>
      <c r="T55" s="19" t="s">
        <v>429</v>
      </c>
      <c r="U55" s="19" t="s">
        <v>429</v>
      </c>
      <c r="V55" s="18" t="s">
        <v>429</v>
      </c>
      <c r="W55" s="18" t="s">
        <v>429</v>
      </c>
      <c r="X55" s="19" t="s">
        <v>429</v>
      </c>
      <c r="Y55" s="19" t="s">
        <v>429</v>
      </c>
      <c r="Z55" s="18" t="s">
        <v>429</v>
      </c>
      <c r="AA55" s="18" t="s">
        <v>429</v>
      </c>
      <c r="AB55" s="19" t="s">
        <v>429</v>
      </c>
      <c r="AC55" s="19" t="s">
        <v>429</v>
      </c>
      <c r="AD55" s="18" t="s">
        <v>429</v>
      </c>
      <c r="AE55" s="18" t="s">
        <v>429</v>
      </c>
      <c r="AF55" s="19">
        <v>1.7</v>
      </c>
      <c r="AG55" s="19">
        <v>-1.7</v>
      </c>
      <c r="AH55" s="18">
        <v>-0.2</v>
      </c>
      <c r="AI55" s="18">
        <v>0.2</v>
      </c>
    </row>
    <row r="56" spans="1:35">
      <c r="A56" s="17" t="s">
        <v>1848</v>
      </c>
      <c r="B56" s="17" t="s">
        <v>1849</v>
      </c>
      <c r="C56" s="18">
        <v>3.1</v>
      </c>
      <c r="D56" s="19">
        <v>-1.3</v>
      </c>
      <c r="E56" s="19">
        <v>12.6</v>
      </c>
      <c r="F56" s="18">
        <v>13.5</v>
      </c>
      <c r="G56" s="18" t="s">
        <v>429</v>
      </c>
      <c r="H56" s="19">
        <v>8.5</v>
      </c>
      <c r="I56" s="19" t="s">
        <v>429</v>
      </c>
      <c r="J56" s="18">
        <v>5.5</v>
      </c>
      <c r="K56" s="18" t="s">
        <v>429</v>
      </c>
      <c r="L56" s="19">
        <v>19.100000000000001</v>
      </c>
      <c r="M56" s="19" t="s">
        <v>429</v>
      </c>
      <c r="N56" s="18" t="s">
        <v>429</v>
      </c>
      <c r="O56" s="18" t="s">
        <v>429</v>
      </c>
      <c r="P56" s="19" t="s">
        <v>429</v>
      </c>
      <c r="Q56" s="19" t="s">
        <v>429</v>
      </c>
      <c r="R56" s="18" t="s">
        <v>429</v>
      </c>
      <c r="S56" s="18" t="s">
        <v>429</v>
      </c>
      <c r="T56" s="19" t="s">
        <v>429</v>
      </c>
      <c r="U56" s="19" t="s">
        <v>429</v>
      </c>
      <c r="V56" s="18" t="s">
        <v>429</v>
      </c>
      <c r="W56" s="18" t="s">
        <v>429</v>
      </c>
      <c r="X56" s="19" t="s">
        <v>429</v>
      </c>
      <c r="Y56" s="19" t="s">
        <v>429</v>
      </c>
      <c r="Z56" s="18" t="s">
        <v>429</v>
      </c>
      <c r="AA56" s="18" t="s">
        <v>429</v>
      </c>
      <c r="AB56" s="19" t="s">
        <v>429</v>
      </c>
      <c r="AC56" s="19" t="s">
        <v>429</v>
      </c>
      <c r="AD56" s="18" t="s">
        <v>429</v>
      </c>
      <c r="AE56" s="18" t="s">
        <v>429</v>
      </c>
      <c r="AF56" s="19" t="s">
        <v>429</v>
      </c>
      <c r="AG56" s="19" t="s">
        <v>429</v>
      </c>
      <c r="AH56" s="18" t="s">
        <v>429</v>
      </c>
      <c r="AI56" s="18" t="s">
        <v>429</v>
      </c>
    </row>
    <row r="57" spans="1:35">
      <c r="A57" s="17" t="s">
        <v>1848</v>
      </c>
      <c r="B57" s="17" t="s">
        <v>1850</v>
      </c>
      <c r="C57" s="18">
        <v>90.3</v>
      </c>
      <c r="D57" s="19">
        <v>85.7</v>
      </c>
      <c r="E57" s="19">
        <v>92.7</v>
      </c>
      <c r="F57" s="18">
        <v>77.3</v>
      </c>
      <c r="G57" s="18">
        <v>86</v>
      </c>
      <c r="H57" s="19">
        <v>93.6</v>
      </c>
      <c r="I57" s="19">
        <v>94.4</v>
      </c>
      <c r="J57" s="18">
        <v>95</v>
      </c>
      <c r="K57" s="18">
        <v>104</v>
      </c>
      <c r="L57" s="19">
        <v>124</v>
      </c>
      <c r="M57" s="19">
        <v>128.4</v>
      </c>
      <c r="N57" s="18" t="s">
        <v>429</v>
      </c>
      <c r="O57" s="18">
        <v>113.7</v>
      </c>
      <c r="P57" s="19" t="s">
        <v>429</v>
      </c>
      <c r="Q57" s="19" t="s">
        <v>429</v>
      </c>
      <c r="R57" s="18" t="s">
        <v>429</v>
      </c>
      <c r="S57" s="18" t="s">
        <v>429</v>
      </c>
      <c r="T57" s="19" t="s">
        <v>429</v>
      </c>
      <c r="U57" s="19" t="s">
        <v>429</v>
      </c>
      <c r="V57" s="18" t="s">
        <v>429</v>
      </c>
      <c r="W57" s="18" t="s">
        <v>429</v>
      </c>
      <c r="X57" s="19" t="s">
        <v>429</v>
      </c>
      <c r="Y57" s="19" t="s">
        <v>429</v>
      </c>
      <c r="Z57" s="18" t="s">
        <v>429</v>
      </c>
      <c r="AA57" s="18" t="s">
        <v>429</v>
      </c>
      <c r="AB57" s="19" t="s">
        <v>429</v>
      </c>
      <c r="AC57" s="19" t="s">
        <v>429</v>
      </c>
      <c r="AD57" s="18" t="s">
        <v>429</v>
      </c>
      <c r="AE57" s="18" t="s">
        <v>429</v>
      </c>
      <c r="AF57" s="19" t="s">
        <v>429</v>
      </c>
      <c r="AG57" s="19" t="s">
        <v>429</v>
      </c>
      <c r="AH57" s="18" t="s">
        <v>429</v>
      </c>
      <c r="AI57" s="18" t="s">
        <v>429</v>
      </c>
    </row>
    <row r="58" spans="1:35">
      <c r="A58" s="17" t="s">
        <v>1848</v>
      </c>
      <c r="B58" s="17" t="s">
        <v>1851</v>
      </c>
      <c r="C58" s="18" t="s">
        <v>429</v>
      </c>
      <c r="D58" s="19" t="s">
        <v>429</v>
      </c>
      <c r="E58" s="19" t="s">
        <v>429</v>
      </c>
      <c r="F58" s="18" t="s">
        <v>429</v>
      </c>
      <c r="G58" s="18" t="s">
        <v>429</v>
      </c>
      <c r="H58" s="19" t="s">
        <v>429</v>
      </c>
      <c r="I58" s="19" t="s">
        <v>429</v>
      </c>
      <c r="J58" s="18" t="s">
        <v>429</v>
      </c>
      <c r="K58" s="18" t="s">
        <v>429</v>
      </c>
      <c r="L58" s="19" t="s">
        <v>429</v>
      </c>
      <c r="M58" s="19" t="s">
        <v>429</v>
      </c>
      <c r="N58" s="18" t="s">
        <v>429</v>
      </c>
      <c r="O58" s="18" t="s">
        <v>429</v>
      </c>
      <c r="P58" s="19" t="s">
        <v>429</v>
      </c>
      <c r="Q58" s="19" t="s">
        <v>429</v>
      </c>
      <c r="R58" s="18" t="s">
        <v>429</v>
      </c>
      <c r="S58" s="18" t="s">
        <v>429</v>
      </c>
      <c r="T58" s="19" t="s">
        <v>429</v>
      </c>
      <c r="U58" s="19" t="s">
        <v>429</v>
      </c>
      <c r="V58" s="18" t="s">
        <v>429</v>
      </c>
      <c r="W58" s="18" t="s">
        <v>429</v>
      </c>
      <c r="X58" s="19" t="s">
        <v>429</v>
      </c>
      <c r="Y58" s="19" t="s">
        <v>429</v>
      </c>
      <c r="Z58" s="18" t="s">
        <v>429</v>
      </c>
      <c r="AA58" s="18" t="s">
        <v>429</v>
      </c>
      <c r="AB58" s="19" t="s">
        <v>429</v>
      </c>
      <c r="AC58" s="19" t="s">
        <v>429</v>
      </c>
      <c r="AD58" s="18" t="s">
        <v>429</v>
      </c>
      <c r="AE58" s="18" t="s">
        <v>429</v>
      </c>
      <c r="AF58" s="19">
        <v>6.6</v>
      </c>
      <c r="AG58" s="19">
        <v>1.4</v>
      </c>
      <c r="AH58" s="18">
        <v>4.4000000000000004</v>
      </c>
      <c r="AI58" s="18">
        <v>0.4</v>
      </c>
    </row>
    <row r="59" spans="1:35">
      <c r="A59" s="17" t="s">
        <v>1836</v>
      </c>
      <c r="B59" s="17" t="s">
        <v>1852</v>
      </c>
      <c r="C59" s="18" t="s">
        <v>429</v>
      </c>
      <c r="D59" s="19" t="s">
        <v>429</v>
      </c>
      <c r="E59" s="19" t="s">
        <v>429</v>
      </c>
      <c r="F59" s="18" t="s">
        <v>429</v>
      </c>
      <c r="G59" s="18" t="s">
        <v>429</v>
      </c>
      <c r="H59" s="19" t="s">
        <v>429</v>
      </c>
      <c r="I59" s="19" t="s">
        <v>429</v>
      </c>
      <c r="J59" s="18" t="s">
        <v>429</v>
      </c>
      <c r="K59" s="18" t="s">
        <v>429</v>
      </c>
      <c r="L59" s="19" t="s">
        <v>429</v>
      </c>
      <c r="M59" s="19" t="s">
        <v>429</v>
      </c>
      <c r="N59" s="18" t="s">
        <v>429</v>
      </c>
      <c r="O59" s="18" t="s">
        <v>429</v>
      </c>
      <c r="P59" s="19" t="s">
        <v>429</v>
      </c>
      <c r="Q59" s="19" t="s">
        <v>429</v>
      </c>
      <c r="R59" s="18" t="s">
        <v>429</v>
      </c>
      <c r="S59" s="18" t="s">
        <v>429</v>
      </c>
      <c r="T59" s="19" t="s">
        <v>429</v>
      </c>
      <c r="U59" s="19" t="s">
        <v>429</v>
      </c>
      <c r="V59" s="18" t="s">
        <v>429</v>
      </c>
      <c r="W59" s="18" t="s">
        <v>429</v>
      </c>
      <c r="X59" s="19" t="s">
        <v>429</v>
      </c>
      <c r="Y59" s="19" t="s">
        <v>429</v>
      </c>
      <c r="Z59" s="18" t="s">
        <v>429</v>
      </c>
      <c r="AA59" s="18" t="s">
        <v>429</v>
      </c>
      <c r="AB59" s="19" t="s">
        <v>429</v>
      </c>
      <c r="AC59" s="19" t="s">
        <v>429</v>
      </c>
      <c r="AD59" s="18" t="s">
        <v>429</v>
      </c>
      <c r="AE59" s="18" t="s">
        <v>429</v>
      </c>
      <c r="AF59" s="19">
        <v>0.8</v>
      </c>
      <c r="AG59" s="19" t="s">
        <v>429</v>
      </c>
      <c r="AH59" s="18">
        <v>0</v>
      </c>
      <c r="AI59" s="18" t="s">
        <v>429</v>
      </c>
    </row>
    <row r="60" spans="1:35">
      <c r="A60" s="17" t="s">
        <v>1848</v>
      </c>
      <c r="B60" s="17" t="s">
        <v>1853</v>
      </c>
      <c r="C60" s="18" t="s">
        <v>429</v>
      </c>
      <c r="D60" s="19" t="s">
        <v>429</v>
      </c>
      <c r="E60" s="19" t="s">
        <v>429</v>
      </c>
      <c r="F60" s="18" t="s">
        <v>429</v>
      </c>
      <c r="G60" s="18" t="s">
        <v>429</v>
      </c>
      <c r="H60" s="19" t="s">
        <v>429</v>
      </c>
      <c r="I60" s="19" t="s">
        <v>429</v>
      </c>
      <c r="J60" s="18" t="s">
        <v>429</v>
      </c>
      <c r="K60" s="18" t="s">
        <v>429</v>
      </c>
      <c r="L60" s="19" t="s">
        <v>429</v>
      </c>
      <c r="M60" s="19" t="s">
        <v>429</v>
      </c>
      <c r="N60" s="18" t="s">
        <v>429</v>
      </c>
      <c r="O60" s="18" t="s">
        <v>429</v>
      </c>
      <c r="P60" s="19" t="s">
        <v>429</v>
      </c>
      <c r="Q60" s="19" t="s">
        <v>429</v>
      </c>
      <c r="R60" s="18" t="s">
        <v>429</v>
      </c>
      <c r="S60" s="18" t="s">
        <v>429</v>
      </c>
      <c r="T60" s="19" t="s">
        <v>429</v>
      </c>
      <c r="U60" s="19" t="s">
        <v>429</v>
      </c>
      <c r="V60" s="18" t="s">
        <v>429</v>
      </c>
      <c r="W60" s="18" t="s">
        <v>429</v>
      </c>
      <c r="X60" s="19" t="s">
        <v>429</v>
      </c>
      <c r="Y60" s="19" t="s">
        <v>429</v>
      </c>
      <c r="Z60" s="18" t="s">
        <v>429</v>
      </c>
      <c r="AA60" s="18" t="s">
        <v>429</v>
      </c>
      <c r="AB60" s="19" t="s">
        <v>429</v>
      </c>
      <c r="AC60" s="19" t="s">
        <v>429</v>
      </c>
      <c r="AD60" s="18" t="s">
        <v>429</v>
      </c>
      <c r="AE60" s="18" t="s">
        <v>429</v>
      </c>
      <c r="AF60" s="19">
        <v>26.2</v>
      </c>
      <c r="AG60" s="19">
        <v>37.200000000000003</v>
      </c>
      <c r="AH60" s="18">
        <v>32.6</v>
      </c>
      <c r="AI60" s="18">
        <v>24.4</v>
      </c>
    </row>
    <row r="61" spans="1:35">
      <c r="A61" s="17" t="s">
        <v>1821</v>
      </c>
      <c r="B61" s="17" t="s">
        <v>1854</v>
      </c>
      <c r="C61" s="18" t="s">
        <v>429</v>
      </c>
      <c r="D61" s="19" t="s">
        <v>429</v>
      </c>
      <c r="E61" s="19" t="s">
        <v>429</v>
      </c>
      <c r="F61" s="18" t="s">
        <v>429</v>
      </c>
      <c r="G61" s="18" t="s">
        <v>429</v>
      </c>
      <c r="H61" s="19" t="s">
        <v>429</v>
      </c>
      <c r="I61" s="19" t="s">
        <v>429</v>
      </c>
      <c r="J61" s="18" t="s">
        <v>429</v>
      </c>
      <c r="K61" s="18" t="s">
        <v>429</v>
      </c>
      <c r="L61" s="19" t="s">
        <v>429</v>
      </c>
      <c r="M61" s="19" t="s">
        <v>429</v>
      </c>
      <c r="N61" s="18" t="s">
        <v>429</v>
      </c>
      <c r="O61" s="18" t="s">
        <v>429</v>
      </c>
      <c r="P61" s="19" t="s">
        <v>429</v>
      </c>
      <c r="Q61" s="19" t="s">
        <v>429</v>
      </c>
      <c r="R61" s="18" t="s">
        <v>429</v>
      </c>
      <c r="S61" s="18" t="s">
        <v>429</v>
      </c>
      <c r="T61" s="19" t="s">
        <v>429</v>
      </c>
      <c r="U61" s="19" t="s">
        <v>429</v>
      </c>
      <c r="V61" s="18" t="s">
        <v>429</v>
      </c>
      <c r="W61" s="18" t="s">
        <v>429</v>
      </c>
      <c r="X61" s="19" t="s">
        <v>429</v>
      </c>
      <c r="Y61" s="19" t="s">
        <v>429</v>
      </c>
      <c r="Z61" s="18" t="s">
        <v>429</v>
      </c>
      <c r="AA61" s="18" t="s">
        <v>429</v>
      </c>
      <c r="AB61" s="19" t="s">
        <v>429</v>
      </c>
      <c r="AC61" s="19" t="s">
        <v>429</v>
      </c>
      <c r="AD61" s="18" t="s">
        <v>429</v>
      </c>
      <c r="AE61" s="18" t="s">
        <v>429</v>
      </c>
      <c r="AF61" s="19">
        <v>0.9</v>
      </c>
      <c r="AG61" s="19">
        <v>0.2</v>
      </c>
      <c r="AH61" s="18">
        <v>0.1</v>
      </c>
      <c r="AI61" s="18">
        <v>0.2</v>
      </c>
    </row>
    <row r="62" spans="1:35">
      <c r="A62" s="17" t="s">
        <v>1813</v>
      </c>
      <c r="B62" s="17" t="s">
        <v>1855</v>
      </c>
      <c r="C62" s="18" t="s">
        <v>429</v>
      </c>
      <c r="D62" s="19" t="s">
        <v>429</v>
      </c>
      <c r="E62" s="19" t="s">
        <v>429</v>
      </c>
      <c r="F62" s="18" t="s">
        <v>429</v>
      </c>
      <c r="G62" s="18" t="s">
        <v>429</v>
      </c>
      <c r="H62" s="19" t="s">
        <v>429</v>
      </c>
      <c r="I62" s="19" t="s">
        <v>429</v>
      </c>
      <c r="J62" s="18" t="s">
        <v>429</v>
      </c>
      <c r="K62" s="18" t="s">
        <v>429</v>
      </c>
      <c r="L62" s="19" t="s">
        <v>429</v>
      </c>
      <c r="M62" s="19" t="s">
        <v>429</v>
      </c>
      <c r="N62" s="18" t="s">
        <v>429</v>
      </c>
      <c r="O62" s="18" t="s">
        <v>429</v>
      </c>
      <c r="P62" s="19" t="s">
        <v>429</v>
      </c>
      <c r="Q62" s="19" t="s">
        <v>429</v>
      </c>
      <c r="R62" s="18" t="s">
        <v>429</v>
      </c>
      <c r="S62" s="18" t="s">
        <v>429</v>
      </c>
      <c r="T62" s="19" t="s">
        <v>429</v>
      </c>
      <c r="U62" s="19" t="s">
        <v>429</v>
      </c>
      <c r="V62" s="18" t="s">
        <v>429</v>
      </c>
      <c r="W62" s="18" t="s">
        <v>429</v>
      </c>
      <c r="X62" s="19" t="s">
        <v>429</v>
      </c>
      <c r="Y62" s="19" t="s">
        <v>429</v>
      </c>
      <c r="Z62" s="18" t="s">
        <v>429</v>
      </c>
      <c r="AA62" s="18" t="s">
        <v>429</v>
      </c>
      <c r="AB62" s="19" t="s">
        <v>429</v>
      </c>
      <c r="AC62" s="19" t="s">
        <v>429</v>
      </c>
      <c r="AD62" s="18" t="s">
        <v>429</v>
      </c>
      <c r="AE62" s="18" t="s">
        <v>429</v>
      </c>
      <c r="AF62" s="19" t="s">
        <v>429</v>
      </c>
      <c r="AG62" s="19" t="s">
        <v>429</v>
      </c>
      <c r="AH62" s="18" t="s">
        <v>429</v>
      </c>
      <c r="AI62" s="18" t="s">
        <v>429</v>
      </c>
    </row>
    <row r="63" spans="1:35">
      <c r="A63" s="17" t="s">
        <v>1856</v>
      </c>
      <c r="B63" s="17" t="s">
        <v>1857</v>
      </c>
      <c r="C63" s="18" t="s">
        <v>429</v>
      </c>
      <c r="D63" s="19" t="s">
        <v>429</v>
      </c>
      <c r="E63" s="19" t="s">
        <v>429</v>
      </c>
      <c r="F63" s="18" t="s">
        <v>429</v>
      </c>
      <c r="G63" s="18" t="s">
        <v>429</v>
      </c>
      <c r="H63" s="19" t="s">
        <v>429</v>
      </c>
      <c r="I63" s="19" t="s">
        <v>429</v>
      </c>
      <c r="J63" s="18" t="s">
        <v>429</v>
      </c>
      <c r="K63" s="18" t="s">
        <v>429</v>
      </c>
      <c r="L63" s="19" t="s">
        <v>429</v>
      </c>
      <c r="M63" s="19" t="s">
        <v>429</v>
      </c>
      <c r="N63" s="18" t="s">
        <v>429</v>
      </c>
      <c r="O63" s="18" t="s">
        <v>429</v>
      </c>
      <c r="P63" s="19" t="s">
        <v>429</v>
      </c>
      <c r="Q63" s="19" t="s">
        <v>429</v>
      </c>
      <c r="R63" s="18" t="s">
        <v>429</v>
      </c>
      <c r="S63" s="18" t="s">
        <v>429</v>
      </c>
      <c r="T63" s="19" t="s">
        <v>429</v>
      </c>
      <c r="U63" s="19" t="s">
        <v>429</v>
      </c>
      <c r="V63" s="18" t="s">
        <v>429</v>
      </c>
      <c r="W63" s="18" t="s">
        <v>429</v>
      </c>
      <c r="X63" s="19">
        <v>-0.1</v>
      </c>
      <c r="Y63" s="19">
        <v>-0.2</v>
      </c>
      <c r="Z63" s="18" t="s">
        <v>429</v>
      </c>
      <c r="AA63" s="18" t="s">
        <v>429</v>
      </c>
      <c r="AB63" s="19" t="s">
        <v>429</v>
      </c>
      <c r="AC63" s="19" t="s">
        <v>429</v>
      </c>
      <c r="AD63" s="18" t="s">
        <v>429</v>
      </c>
      <c r="AE63" s="18" t="s">
        <v>429</v>
      </c>
      <c r="AF63" s="19" t="s">
        <v>429</v>
      </c>
      <c r="AG63" s="19" t="s">
        <v>429</v>
      </c>
      <c r="AH63" s="18" t="s">
        <v>429</v>
      </c>
      <c r="AI63" s="18" t="s">
        <v>429</v>
      </c>
    </row>
    <row r="64" spans="1:35">
      <c r="A64" s="17" t="s">
        <v>1858</v>
      </c>
      <c r="B64" s="17" t="s">
        <v>1859</v>
      </c>
      <c r="C64" s="18" t="s">
        <v>429</v>
      </c>
      <c r="D64" s="19" t="s">
        <v>429</v>
      </c>
      <c r="E64" s="19" t="s">
        <v>429</v>
      </c>
      <c r="F64" s="18" t="s">
        <v>429</v>
      </c>
      <c r="G64" s="18" t="s">
        <v>429</v>
      </c>
      <c r="H64" s="19" t="s">
        <v>429</v>
      </c>
      <c r="I64" s="19" t="s">
        <v>429</v>
      </c>
      <c r="J64" s="18" t="s">
        <v>429</v>
      </c>
      <c r="K64" s="18" t="s">
        <v>429</v>
      </c>
      <c r="L64" s="19" t="s">
        <v>429</v>
      </c>
      <c r="M64" s="19" t="s">
        <v>429</v>
      </c>
      <c r="N64" s="18" t="s">
        <v>429</v>
      </c>
      <c r="O64" s="18" t="s">
        <v>429</v>
      </c>
      <c r="P64" s="19" t="s">
        <v>429</v>
      </c>
      <c r="Q64" s="19" t="s">
        <v>429</v>
      </c>
      <c r="R64" s="18" t="s">
        <v>429</v>
      </c>
      <c r="S64" s="18" t="s">
        <v>429</v>
      </c>
      <c r="T64" s="19" t="s">
        <v>429</v>
      </c>
      <c r="U64" s="19" t="s">
        <v>429</v>
      </c>
      <c r="V64" s="18" t="s">
        <v>429</v>
      </c>
      <c r="W64" s="18" t="s">
        <v>429</v>
      </c>
      <c r="X64" s="19">
        <v>-3.8</v>
      </c>
      <c r="Y64" s="19">
        <v>-12.6</v>
      </c>
      <c r="Z64" s="18" t="s">
        <v>429</v>
      </c>
      <c r="AA64" s="18" t="s">
        <v>429</v>
      </c>
      <c r="AB64" s="19" t="s">
        <v>429</v>
      </c>
      <c r="AC64" s="19" t="s">
        <v>429</v>
      </c>
      <c r="AD64" s="18" t="s">
        <v>429</v>
      </c>
      <c r="AE64" s="18" t="s">
        <v>429</v>
      </c>
      <c r="AF64" s="19" t="s">
        <v>429</v>
      </c>
      <c r="AG64" s="19" t="s">
        <v>429</v>
      </c>
      <c r="AH64" s="18" t="s">
        <v>429</v>
      </c>
      <c r="AI64" s="18" t="s">
        <v>429</v>
      </c>
    </row>
    <row r="65" spans="1:35">
      <c r="A65" s="17" t="s">
        <v>1813</v>
      </c>
      <c r="B65" s="17" t="s">
        <v>1860</v>
      </c>
      <c r="C65" s="18" t="s">
        <v>429</v>
      </c>
      <c r="D65" s="19" t="s">
        <v>429</v>
      </c>
      <c r="E65" s="19" t="s">
        <v>429</v>
      </c>
      <c r="F65" s="18" t="s">
        <v>429</v>
      </c>
      <c r="G65" s="18" t="s">
        <v>429</v>
      </c>
      <c r="H65" s="19" t="s">
        <v>429</v>
      </c>
      <c r="I65" s="19" t="s">
        <v>429</v>
      </c>
      <c r="J65" s="18" t="s">
        <v>429</v>
      </c>
      <c r="K65" s="18" t="s">
        <v>429</v>
      </c>
      <c r="L65" s="19" t="s">
        <v>429</v>
      </c>
      <c r="M65" s="19" t="s">
        <v>429</v>
      </c>
      <c r="N65" s="18" t="s">
        <v>429</v>
      </c>
      <c r="O65" s="18" t="s">
        <v>429</v>
      </c>
      <c r="P65" s="19" t="s">
        <v>429</v>
      </c>
      <c r="Q65" s="19" t="s">
        <v>429</v>
      </c>
      <c r="R65" s="18" t="s">
        <v>429</v>
      </c>
      <c r="S65" s="18" t="s">
        <v>429</v>
      </c>
      <c r="T65" s="19" t="s">
        <v>429</v>
      </c>
      <c r="U65" s="19" t="s">
        <v>429</v>
      </c>
      <c r="V65" s="18" t="s">
        <v>429</v>
      </c>
      <c r="W65" s="18" t="s">
        <v>429</v>
      </c>
      <c r="X65" s="19">
        <v>-6.5</v>
      </c>
      <c r="Y65" s="19">
        <v>-6.6</v>
      </c>
      <c r="Z65" s="18" t="s">
        <v>429</v>
      </c>
      <c r="AA65" s="18" t="s">
        <v>429</v>
      </c>
      <c r="AB65" s="19" t="s">
        <v>429</v>
      </c>
      <c r="AC65" s="19" t="s">
        <v>429</v>
      </c>
      <c r="AD65" s="18" t="s">
        <v>429</v>
      </c>
      <c r="AE65" s="18" t="s">
        <v>429</v>
      </c>
      <c r="AF65" s="19" t="s">
        <v>429</v>
      </c>
      <c r="AG65" s="19" t="s">
        <v>429</v>
      </c>
      <c r="AH65" s="18" t="s">
        <v>429</v>
      </c>
      <c r="AI65" s="18" t="s">
        <v>429</v>
      </c>
    </row>
    <row r="66" spans="1:35">
      <c r="A66" s="17" t="s">
        <v>1856</v>
      </c>
      <c r="B66" s="17" t="s">
        <v>1861</v>
      </c>
      <c r="C66" s="18" t="s">
        <v>429</v>
      </c>
      <c r="D66" s="19" t="s">
        <v>429</v>
      </c>
      <c r="E66" s="19" t="s">
        <v>429</v>
      </c>
      <c r="F66" s="18" t="s">
        <v>429</v>
      </c>
      <c r="G66" s="18" t="s">
        <v>429</v>
      </c>
      <c r="H66" s="19" t="s">
        <v>429</v>
      </c>
      <c r="I66" s="19" t="s">
        <v>429</v>
      </c>
      <c r="J66" s="18" t="s">
        <v>429</v>
      </c>
      <c r="K66" s="18" t="s">
        <v>429</v>
      </c>
      <c r="L66" s="19" t="s">
        <v>429</v>
      </c>
      <c r="M66" s="19" t="s">
        <v>429</v>
      </c>
      <c r="N66" s="18" t="s">
        <v>429</v>
      </c>
      <c r="O66" s="18" t="s">
        <v>429</v>
      </c>
      <c r="P66" s="19" t="s">
        <v>429</v>
      </c>
      <c r="Q66" s="19" t="s">
        <v>429</v>
      </c>
      <c r="R66" s="18" t="s">
        <v>429</v>
      </c>
      <c r="S66" s="18" t="s">
        <v>429</v>
      </c>
      <c r="T66" s="19" t="s">
        <v>429</v>
      </c>
      <c r="U66" s="19" t="s">
        <v>429</v>
      </c>
      <c r="V66" s="18" t="s">
        <v>429</v>
      </c>
      <c r="W66" s="18" t="s">
        <v>429</v>
      </c>
      <c r="X66" s="19" t="s">
        <v>429</v>
      </c>
      <c r="Y66" s="19" t="s">
        <v>429</v>
      </c>
      <c r="Z66" s="18">
        <v>-7.8</v>
      </c>
      <c r="AA66" s="18">
        <v>-6</v>
      </c>
      <c r="AB66" s="19">
        <v>-6.9</v>
      </c>
      <c r="AC66" s="19">
        <v>-7.3</v>
      </c>
      <c r="AD66" s="18">
        <v>-8.4</v>
      </c>
      <c r="AE66" s="18">
        <v>-7.2</v>
      </c>
      <c r="AF66" s="19">
        <v>-9.6999999999999993</v>
      </c>
      <c r="AG66" s="19">
        <v>-7.4</v>
      </c>
      <c r="AH66" s="18">
        <v>-4.4000000000000004</v>
      </c>
      <c r="AI66" s="18">
        <v>-23.3</v>
      </c>
    </row>
    <row r="67" spans="1:35">
      <c r="A67" s="17" t="s">
        <v>1862</v>
      </c>
      <c r="B67" s="17" t="s">
        <v>1863</v>
      </c>
      <c r="C67" s="18" t="s">
        <v>429</v>
      </c>
      <c r="D67" s="19" t="s">
        <v>429</v>
      </c>
      <c r="E67" s="19" t="s">
        <v>429</v>
      </c>
      <c r="F67" s="18" t="s">
        <v>429</v>
      </c>
      <c r="G67" s="18" t="s">
        <v>429</v>
      </c>
      <c r="H67" s="19" t="s">
        <v>429</v>
      </c>
      <c r="I67" s="19" t="s">
        <v>429</v>
      </c>
      <c r="J67" s="18" t="s">
        <v>429</v>
      </c>
      <c r="K67" s="18" t="s">
        <v>429</v>
      </c>
      <c r="L67" s="19" t="s">
        <v>429</v>
      </c>
      <c r="M67" s="19" t="s">
        <v>429</v>
      </c>
      <c r="N67" s="18" t="s">
        <v>429</v>
      </c>
      <c r="O67" s="18" t="s">
        <v>429</v>
      </c>
      <c r="P67" s="19" t="s">
        <v>429</v>
      </c>
      <c r="Q67" s="19" t="s">
        <v>429</v>
      </c>
      <c r="R67" s="18" t="s">
        <v>429</v>
      </c>
      <c r="S67" s="18" t="s">
        <v>429</v>
      </c>
      <c r="T67" s="19" t="s">
        <v>429</v>
      </c>
      <c r="U67" s="19" t="s">
        <v>429</v>
      </c>
      <c r="V67" s="18" t="s">
        <v>429</v>
      </c>
      <c r="W67" s="18" t="s">
        <v>429</v>
      </c>
      <c r="X67" s="19">
        <v>196.1</v>
      </c>
      <c r="Y67" s="19">
        <v>195.5</v>
      </c>
      <c r="Z67" s="18">
        <v>165.8</v>
      </c>
      <c r="AA67" s="18">
        <v>160.1</v>
      </c>
      <c r="AB67" s="19">
        <v>150.9</v>
      </c>
      <c r="AC67" s="19">
        <v>152.19999999999999</v>
      </c>
      <c r="AD67" s="18" t="s">
        <v>429</v>
      </c>
      <c r="AE67" s="18" t="s">
        <v>429</v>
      </c>
      <c r="AF67" s="19" t="s">
        <v>429</v>
      </c>
      <c r="AG67" s="19" t="s">
        <v>429</v>
      </c>
      <c r="AH67" s="18" t="s">
        <v>429</v>
      </c>
      <c r="AI67" s="18" t="s">
        <v>429</v>
      </c>
    </row>
    <row r="68" spans="1:35">
      <c r="A68" s="17" t="s">
        <v>1864</v>
      </c>
      <c r="B68" s="17" t="s">
        <v>1863</v>
      </c>
      <c r="C68" s="18" t="s">
        <v>429</v>
      </c>
      <c r="D68" s="19" t="s">
        <v>429</v>
      </c>
      <c r="E68" s="19" t="s">
        <v>429</v>
      </c>
      <c r="F68" s="18" t="s">
        <v>429</v>
      </c>
      <c r="G68" s="18" t="s">
        <v>429</v>
      </c>
      <c r="H68" s="19" t="s">
        <v>429</v>
      </c>
      <c r="I68" s="19" t="s">
        <v>429</v>
      </c>
      <c r="J68" s="18" t="s">
        <v>429</v>
      </c>
      <c r="K68" s="18" t="s">
        <v>429</v>
      </c>
      <c r="L68" s="19" t="s">
        <v>429</v>
      </c>
      <c r="M68" s="19" t="s">
        <v>429</v>
      </c>
      <c r="N68" s="18" t="s">
        <v>429</v>
      </c>
      <c r="O68" s="18" t="s">
        <v>429</v>
      </c>
      <c r="P68" s="19" t="s">
        <v>429</v>
      </c>
      <c r="Q68" s="19" t="s">
        <v>429</v>
      </c>
      <c r="R68" s="18" t="s">
        <v>429</v>
      </c>
      <c r="S68" s="18" t="s">
        <v>429</v>
      </c>
      <c r="T68" s="19" t="s">
        <v>429</v>
      </c>
      <c r="U68" s="19" t="s">
        <v>429</v>
      </c>
      <c r="V68" s="18" t="s">
        <v>429</v>
      </c>
      <c r="W68" s="18" t="s">
        <v>429</v>
      </c>
      <c r="X68" s="19" t="s">
        <v>429</v>
      </c>
      <c r="Y68" s="19" t="s">
        <v>429</v>
      </c>
      <c r="Z68" s="18" t="s">
        <v>429</v>
      </c>
      <c r="AA68" s="18" t="s">
        <v>429</v>
      </c>
      <c r="AB68" s="19" t="s">
        <v>429</v>
      </c>
      <c r="AC68" s="19" t="s">
        <v>429</v>
      </c>
      <c r="AD68" s="18">
        <v>136</v>
      </c>
      <c r="AE68" s="18">
        <v>118.6</v>
      </c>
      <c r="AF68" s="19" t="s">
        <v>429</v>
      </c>
      <c r="AG68" s="19" t="s">
        <v>429</v>
      </c>
      <c r="AH68" s="18" t="s">
        <v>429</v>
      </c>
      <c r="AI68" s="18" t="s">
        <v>429</v>
      </c>
    </row>
    <row r="69" spans="1:35">
      <c r="A69" s="17" t="s">
        <v>1864</v>
      </c>
      <c r="B69" s="17" t="s">
        <v>623</v>
      </c>
      <c r="C69" s="18" t="s">
        <v>429</v>
      </c>
      <c r="D69" s="19" t="s">
        <v>429</v>
      </c>
      <c r="E69" s="19" t="s">
        <v>429</v>
      </c>
      <c r="F69" s="18" t="s">
        <v>429</v>
      </c>
      <c r="G69" s="18" t="s">
        <v>429</v>
      </c>
      <c r="H69" s="19" t="s">
        <v>429</v>
      </c>
      <c r="I69" s="19" t="s">
        <v>429</v>
      </c>
      <c r="J69" s="18" t="s">
        <v>429</v>
      </c>
      <c r="K69" s="18" t="s">
        <v>429</v>
      </c>
      <c r="L69" s="19" t="s">
        <v>429</v>
      </c>
      <c r="M69" s="19" t="s">
        <v>429</v>
      </c>
      <c r="N69" s="18" t="s">
        <v>429</v>
      </c>
      <c r="O69" s="18" t="s">
        <v>429</v>
      </c>
      <c r="P69" s="19" t="s">
        <v>429</v>
      </c>
      <c r="Q69" s="19" t="s">
        <v>429</v>
      </c>
      <c r="R69" s="18" t="s">
        <v>429</v>
      </c>
      <c r="S69" s="18" t="s">
        <v>429</v>
      </c>
      <c r="T69" s="19" t="s">
        <v>429</v>
      </c>
      <c r="U69" s="19" t="s">
        <v>429</v>
      </c>
      <c r="V69" s="18" t="s">
        <v>429</v>
      </c>
      <c r="W69" s="18" t="s">
        <v>429</v>
      </c>
      <c r="X69" s="19" t="s">
        <v>429</v>
      </c>
      <c r="Y69" s="19" t="s">
        <v>429</v>
      </c>
      <c r="Z69" s="18" t="s">
        <v>429</v>
      </c>
      <c r="AA69" s="18" t="s">
        <v>429</v>
      </c>
      <c r="AB69" s="19" t="s">
        <v>429</v>
      </c>
      <c r="AC69" s="19" t="s">
        <v>429</v>
      </c>
      <c r="AD69" s="18" t="s">
        <v>429</v>
      </c>
      <c r="AE69" s="18" t="s">
        <v>429</v>
      </c>
      <c r="AF69" s="19">
        <v>117</v>
      </c>
      <c r="AG69" s="19">
        <v>112.5</v>
      </c>
      <c r="AH69" s="18">
        <v>95.6</v>
      </c>
      <c r="AI69" s="18">
        <v>83.2</v>
      </c>
    </row>
    <row r="70" spans="1:35">
      <c r="A70" s="17" t="s">
        <v>1864</v>
      </c>
      <c r="B70" s="17" t="s">
        <v>1865</v>
      </c>
      <c r="C70" s="18" t="s">
        <v>429</v>
      </c>
      <c r="D70" s="19" t="s">
        <v>429</v>
      </c>
      <c r="E70" s="19" t="s">
        <v>429</v>
      </c>
      <c r="F70" s="18" t="s">
        <v>429</v>
      </c>
      <c r="G70" s="18" t="s">
        <v>429</v>
      </c>
      <c r="H70" s="19" t="s">
        <v>429</v>
      </c>
      <c r="I70" s="19" t="s">
        <v>429</v>
      </c>
      <c r="J70" s="18" t="s">
        <v>429</v>
      </c>
      <c r="K70" s="18" t="s">
        <v>429</v>
      </c>
      <c r="L70" s="19" t="s">
        <v>429</v>
      </c>
      <c r="M70" s="19" t="s">
        <v>429</v>
      </c>
      <c r="N70" s="18" t="s">
        <v>429</v>
      </c>
      <c r="O70" s="18" t="s">
        <v>429</v>
      </c>
      <c r="P70" s="19" t="s">
        <v>429</v>
      </c>
      <c r="Q70" s="19" t="s">
        <v>429</v>
      </c>
      <c r="R70" s="18" t="s">
        <v>429</v>
      </c>
      <c r="S70" s="18" t="s">
        <v>429</v>
      </c>
      <c r="T70" s="19" t="s">
        <v>429</v>
      </c>
      <c r="U70" s="19" t="s">
        <v>429</v>
      </c>
      <c r="V70" s="18" t="s">
        <v>429</v>
      </c>
      <c r="W70" s="18" t="s">
        <v>429</v>
      </c>
      <c r="X70" s="19" t="s">
        <v>429</v>
      </c>
      <c r="Y70" s="19" t="s">
        <v>429</v>
      </c>
      <c r="Z70" s="18" t="s">
        <v>429</v>
      </c>
      <c r="AA70" s="18" t="s">
        <v>429</v>
      </c>
      <c r="AB70" s="19" t="s">
        <v>429</v>
      </c>
      <c r="AC70" s="19" t="s">
        <v>429</v>
      </c>
      <c r="AD70" s="18" t="s">
        <v>429</v>
      </c>
      <c r="AE70" s="18" t="s">
        <v>429</v>
      </c>
      <c r="AF70" s="19">
        <v>3.8</v>
      </c>
      <c r="AG70" s="19">
        <v>11.6</v>
      </c>
      <c r="AH70" s="18">
        <v>9.4</v>
      </c>
      <c r="AI70" s="18">
        <v>9</v>
      </c>
    </row>
    <row r="71" spans="1:35">
      <c r="A71" s="17" t="s">
        <v>1866</v>
      </c>
      <c r="B71" s="17" t="s">
        <v>1867</v>
      </c>
      <c r="C71" s="18" t="s">
        <v>429</v>
      </c>
      <c r="D71" s="19" t="s">
        <v>429</v>
      </c>
      <c r="E71" s="19" t="s">
        <v>429</v>
      </c>
      <c r="F71" s="18" t="s">
        <v>429</v>
      </c>
      <c r="G71" s="18" t="s">
        <v>429</v>
      </c>
      <c r="H71" s="19" t="s">
        <v>429</v>
      </c>
      <c r="I71" s="19" t="s">
        <v>429</v>
      </c>
      <c r="J71" s="18" t="s">
        <v>429</v>
      </c>
      <c r="K71" s="18" t="s">
        <v>429</v>
      </c>
      <c r="L71" s="19" t="s">
        <v>429</v>
      </c>
      <c r="M71" s="19" t="s">
        <v>429</v>
      </c>
      <c r="N71" s="18" t="s">
        <v>429</v>
      </c>
      <c r="O71" s="18" t="s">
        <v>429</v>
      </c>
      <c r="P71" s="19" t="s">
        <v>429</v>
      </c>
      <c r="Q71" s="19" t="s">
        <v>429</v>
      </c>
      <c r="R71" s="18" t="s">
        <v>429</v>
      </c>
      <c r="S71" s="18" t="s">
        <v>429</v>
      </c>
      <c r="T71" s="19" t="s">
        <v>429</v>
      </c>
      <c r="U71" s="19" t="s">
        <v>429</v>
      </c>
      <c r="V71" s="18" t="s">
        <v>429</v>
      </c>
      <c r="W71" s="18" t="s">
        <v>429</v>
      </c>
      <c r="X71" s="19">
        <v>-11.2</v>
      </c>
      <c r="Y71" s="19">
        <v>-10.3</v>
      </c>
      <c r="Z71" s="18">
        <v>-9.4</v>
      </c>
      <c r="AA71" s="18">
        <v>-8</v>
      </c>
      <c r="AB71" s="19" t="s">
        <v>429</v>
      </c>
      <c r="AC71" s="19" t="s">
        <v>429</v>
      </c>
      <c r="AD71" s="18" t="s">
        <v>429</v>
      </c>
      <c r="AE71" s="18" t="s">
        <v>429</v>
      </c>
      <c r="AF71" s="19">
        <v>-5</v>
      </c>
      <c r="AG71" s="19">
        <v>-3.4</v>
      </c>
      <c r="AH71" s="18">
        <v>-3.3</v>
      </c>
      <c r="AI71" s="18">
        <v>-1.1000000000000001</v>
      </c>
    </row>
    <row r="72" spans="1:35">
      <c r="A72" s="17" t="s">
        <v>1868</v>
      </c>
      <c r="B72" s="17" t="s">
        <v>1869</v>
      </c>
      <c r="C72" s="18">
        <v>629.79999999999995</v>
      </c>
      <c r="D72" s="19">
        <v>624.1</v>
      </c>
      <c r="E72" s="19">
        <v>609.70000000000005</v>
      </c>
      <c r="F72" s="18">
        <v>622.29999999999995</v>
      </c>
      <c r="G72" s="18">
        <v>623.20000000000005</v>
      </c>
      <c r="H72" s="19">
        <v>596.9</v>
      </c>
      <c r="I72" s="19">
        <v>586.79999999999995</v>
      </c>
      <c r="J72" s="18">
        <v>567.70000000000005</v>
      </c>
      <c r="K72" s="18">
        <v>641.6</v>
      </c>
      <c r="L72" s="19">
        <v>602.6</v>
      </c>
      <c r="M72" s="19">
        <v>631.5</v>
      </c>
      <c r="N72" s="18">
        <v>555</v>
      </c>
      <c r="O72" s="18">
        <v>613.79999999999995</v>
      </c>
      <c r="P72" s="19">
        <v>534.9</v>
      </c>
      <c r="Q72" s="19">
        <v>631</v>
      </c>
      <c r="R72" s="18">
        <v>593</v>
      </c>
      <c r="S72" s="18">
        <v>558.70000000000005</v>
      </c>
      <c r="T72" s="19">
        <v>472.5</v>
      </c>
      <c r="U72" s="19">
        <v>515.79999999999995</v>
      </c>
      <c r="V72" s="18">
        <v>441.9</v>
      </c>
      <c r="W72" s="18">
        <v>480.2</v>
      </c>
      <c r="X72" s="19">
        <v>589.20000000000005</v>
      </c>
      <c r="Y72" s="19">
        <v>613.9</v>
      </c>
      <c r="Z72" s="18">
        <v>540.20000000000005</v>
      </c>
      <c r="AA72" s="18">
        <v>544.29999999999995</v>
      </c>
      <c r="AB72" s="19">
        <v>480.7</v>
      </c>
      <c r="AC72" s="19">
        <v>520.4</v>
      </c>
      <c r="AD72" s="18">
        <v>443.2</v>
      </c>
      <c r="AE72" s="18">
        <v>428.2</v>
      </c>
      <c r="AF72" s="19">
        <v>385.8</v>
      </c>
      <c r="AG72" s="19">
        <v>428.5</v>
      </c>
      <c r="AH72" s="18">
        <v>317.8</v>
      </c>
      <c r="AI72" s="18">
        <v>242.2</v>
      </c>
    </row>
    <row r="73" spans="1:35">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c r="AD73" s="20"/>
      <c r="AE73" s="20"/>
      <c r="AF73" s="20"/>
      <c r="AG73" s="20"/>
      <c r="AH73" s="20"/>
      <c r="AI73" s="20"/>
    </row>
    <row r="74" spans="1:35">
      <c r="A74" s="17" t="s">
        <v>1870</v>
      </c>
      <c r="B74" s="17" t="s">
        <v>1857</v>
      </c>
      <c r="C74" s="18">
        <v>1.8</v>
      </c>
      <c r="D74" s="19">
        <v>1.6</v>
      </c>
      <c r="E74" s="19">
        <v>4.0999999999999996</v>
      </c>
      <c r="F74" s="18">
        <v>1.3</v>
      </c>
      <c r="G74" s="18">
        <v>1.1000000000000001</v>
      </c>
      <c r="H74" s="19">
        <v>1.3</v>
      </c>
      <c r="I74" s="19">
        <v>5.3</v>
      </c>
      <c r="J74" s="18">
        <v>1.8</v>
      </c>
      <c r="K74" s="18">
        <v>1.9</v>
      </c>
      <c r="L74" s="19">
        <v>5.4</v>
      </c>
      <c r="M74" s="19">
        <v>0</v>
      </c>
      <c r="N74" s="18">
        <v>9.6</v>
      </c>
      <c r="O74" s="18">
        <v>0.1</v>
      </c>
      <c r="P74" s="19" t="s">
        <v>429</v>
      </c>
      <c r="Q74" s="19">
        <v>0.1</v>
      </c>
      <c r="R74" s="18">
        <v>0.1</v>
      </c>
      <c r="S74" s="18">
        <v>0.1</v>
      </c>
      <c r="T74" s="19">
        <v>0.1</v>
      </c>
      <c r="U74" s="19">
        <v>0.1</v>
      </c>
      <c r="V74" s="18">
        <v>0</v>
      </c>
      <c r="W74" s="18">
        <v>0.2</v>
      </c>
      <c r="X74" s="19" t="s">
        <v>429</v>
      </c>
      <c r="Y74" s="19" t="s">
        <v>429</v>
      </c>
      <c r="Z74" s="18" t="s">
        <v>429</v>
      </c>
      <c r="AA74" s="18" t="s">
        <v>429</v>
      </c>
      <c r="AB74" s="19" t="s">
        <v>429</v>
      </c>
      <c r="AC74" s="19" t="s">
        <v>429</v>
      </c>
      <c r="AD74" s="18" t="s">
        <v>429</v>
      </c>
      <c r="AE74" s="18" t="s">
        <v>429</v>
      </c>
      <c r="AF74" s="19" t="s">
        <v>429</v>
      </c>
      <c r="AG74" s="19" t="s">
        <v>429</v>
      </c>
      <c r="AH74" s="18" t="s">
        <v>429</v>
      </c>
      <c r="AI74" s="18" t="s">
        <v>429</v>
      </c>
    </row>
    <row r="75" spans="1:35">
      <c r="A75" s="17" t="s">
        <v>1871</v>
      </c>
      <c r="B75" s="17" t="s">
        <v>1872</v>
      </c>
      <c r="C75" s="18" t="s">
        <v>429</v>
      </c>
      <c r="D75" s="19" t="s">
        <v>429</v>
      </c>
      <c r="E75" s="19" t="s">
        <v>429</v>
      </c>
      <c r="F75" s="18" t="s">
        <v>429</v>
      </c>
      <c r="G75" s="18" t="s">
        <v>429</v>
      </c>
      <c r="H75" s="19" t="s">
        <v>429</v>
      </c>
      <c r="I75" s="19" t="s">
        <v>429</v>
      </c>
      <c r="J75" s="18">
        <v>13.4</v>
      </c>
      <c r="K75" s="18" t="s">
        <v>429</v>
      </c>
      <c r="L75" s="19" t="s">
        <v>429</v>
      </c>
      <c r="M75" s="19" t="s">
        <v>429</v>
      </c>
      <c r="N75" s="18" t="s">
        <v>429</v>
      </c>
      <c r="O75" s="18" t="s">
        <v>429</v>
      </c>
      <c r="P75" s="19" t="s">
        <v>429</v>
      </c>
      <c r="Q75" s="19" t="s">
        <v>429</v>
      </c>
      <c r="R75" s="18" t="s">
        <v>429</v>
      </c>
      <c r="S75" s="18" t="s">
        <v>429</v>
      </c>
      <c r="T75" s="19" t="s">
        <v>429</v>
      </c>
      <c r="U75" s="19" t="s">
        <v>429</v>
      </c>
      <c r="V75" s="18" t="s">
        <v>429</v>
      </c>
      <c r="W75" s="18" t="s">
        <v>429</v>
      </c>
      <c r="X75" s="19" t="s">
        <v>429</v>
      </c>
      <c r="Y75" s="19" t="s">
        <v>429</v>
      </c>
      <c r="Z75" s="18" t="s">
        <v>429</v>
      </c>
      <c r="AA75" s="18" t="s">
        <v>429</v>
      </c>
      <c r="AB75" s="19" t="s">
        <v>429</v>
      </c>
      <c r="AC75" s="19" t="s">
        <v>429</v>
      </c>
      <c r="AD75" s="18" t="s">
        <v>429</v>
      </c>
      <c r="AE75" s="18" t="s">
        <v>429</v>
      </c>
      <c r="AF75" s="19" t="s">
        <v>429</v>
      </c>
      <c r="AG75" s="19" t="s">
        <v>429</v>
      </c>
      <c r="AH75" s="18" t="s">
        <v>429</v>
      </c>
      <c r="AI75" s="18" t="s">
        <v>429</v>
      </c>
    </row>
    <row r="76" spans="1:35">
      <c r="A76" s="17" t="s">
        <v>1871</v>
      </c>
      <c r="B76" s="17" t="s">
        <v>1873</v>
      </c>
      <c r="C76" s="18" t="s">
        <v>429</v>
      </c>
      <c r="D76" s="19">
        <v>-7.2</v>
      </c>
      <c r="E76" s="19" t="s">
        <v>429</v>
      </c>
      <c r="F76" s="18">
        <v>-12.3</v>
      </c>
      <c r="G76" s="18" t="s">
        <v>429</v>
      </c>
      <c r="H76" s="19">
        <v>-9.5</v>
      </c>
      <c r="I76" s="19" t="s">
        <v>429</v>
      </c>
      <c r="J76" s="18">
        <v>-15.4</v>
      </c>
      <c r="K76" s="18" t="s">
        <v>429</v>
      </c>
      <c r="L76" s="19">
        <v>7</v>
      </c>
      <c r="M76" s="19" t="s">
        <v>429</v>
      </c>
      <c r="N76" s="18">
        <v>-3.8</v>
      </c>
      <c r="O76" s="18" t="s">
        <v>429</v>
      </c>
      <c r="P76" s="19" t="s">
        <v>429</v>
      </c>
      <c r="Q76" s="19" t="s">
        <v>429</v>
      </c>
      <c r="R76" s="18" t="s">
        <v>429</v>
      </c>
      <c r="S76" s="18" t="s">
        <v>429</v>
      </c>
      <c r="T76" s="19" t="s">
        <v>429</v>
      </c>
      <c r="U76" s="19" t="s">
        <v>429</v>
      </c>
      <c r="V76" s="18" t="s">
        <v>429</v>
      </c>
      <c r="W76" s="18" t="s">
        <v>429</v>
      </c>
      <c r="X76" s="19" t="s">
        <v>429</v>
      </c>
      <c r="Y76" s="19" t="s">
        <v>429</v>
      </c>
      <c r="Z76" s="18" t="s">
        <v>429</v>
      </c>
      <c r="AA76" s="18" t="s">
        <v>429</v>
      </c>
      <c r="AB76" s="19" t="s">
        <v>429</v>
      </c>
      <c r="AC76" s="19" t="s">
        <v>429</v>
      </c>
      <c r="AD76" s="18" t="s">
        <v>429</v>
      </c>
      <c r="AE76" s="18" t="s">
        <v>429</v>
      </c>
      <c r="AF76" s="19" t="s">
        <v>429</v>
      </c>
      <c r="AG76" s="19" t="s">
        <v>429</v>
      </c>
      <c r="AH76" s="18" t="s">
        <v>429</v>
      </c>
      <c r="AI76" s="18" t="s">
        <v>429</v>
      </c>
    </row>
    <row r="77" spans="1:35">
      <c r="A77" s="17" t="s">
        <v>1871</v>
      </c>
      <c r="B77" s="17" t="s">
        <v>1874</v>
      </c>
      <c r="C77" s="18" t="s">
        <v>429</v>
      </c>
      <c r="D77" s="19" t="s">
        <v>429</v>
      </c>
      <c r="E77" s="19" t="s">
        <v>429</v>
      </c>
      <c r="F77" s="18" t="s">
        <v>429</v>
      </c>
      <c r="G77" s="18" t="s">
        <v>429</v>
      </c>
      <c r="H77" s="19" t="s">
        <v>429</v>
      </c>
      <c r="I77" s="19" t="s">
        <v>429</v>
      </c>
      <c r="J77" s="18" t="s">
        <v>429</v>
      </c>
      <c r="K77" s="18" t="s">
        <v>429</v>
      </c>
      <c r="L77" s="19" t="s">
        <v>429</v>
      </c>
      <c r="M77" s="19" t="s">
        <v>429</v>
      </c>
      <c r="N77" s="18">
        <v>18.100000000000001</v>
      </c>
      <c r="O77" s="18" t="s">
        <v>429</v>
      </c>
      <c r="P77" s="19" t="s">
        <v>429</v>
      </c>
      <c r="Q77" s="19" t="s">
        <v>429</v>
      </c>
      <c r="R77" s="18" t="s">
        <v>429</v>
      </c>
      <c r="S77" s="18" t="s">
        <v>429</v>
      </c>
      <c r="T77" s="19" t="s">
        <v>429</v>
      </c>
      <c r="U77" s="19" t="s">
        <v>429</v>
      </c>
      <c r="V77" s="18" t="s">
        <v>429</v>
      </c>
      <c r="W77" s="18" t="s">
        <v>429</v>
      </c>
      <c r="X77" s="19" t="s">
        <v>429</v>
      </c>
      <c r="Y77" s="19" t="s">
        <v>429</v>
      </c>
      <c r="Z77" s="18" t="s">
        <v>429</v>
      </c>
      <c r="AA77" s="18" t="s">
        <v>429</v>
      </c>
      <c r="AB77" s="19" t="s">
        <v>429</v>
      </c>
      <c r="AC77" s="19" t="s">
        <v>429</v>
      </c>
      <c r="AD77" s="18" t="s">
        <v>429</v>
      </c>
      <c r="AE77" s="18" t="s">
        <v>429</v>
      </c>
      <c r="AF77" s="19" t="s">
        <v>429</v>
      </c>
      <c r="AG77" s="19" t="s">
        <v>429</v>
      </c>
      <c r="AH77" s="18" t="s">
        <v>429</v>
      </c>
      <c r="AI77" s="18" t="s">
        <v>429</v>
      </c>
    </row>
    <row r="78" spans="1:35">
      <c r="A78" s="17" t="s">
        <v>1871</v>
      </c>
      <c r="B78" s="17" t="s">
        <v>1859</v>
      </c>
      <c r="C78" s="18" t="s">
        <v>429</v>
      </c>
      <c r="D78" s="19" t="s">
        <v>429</v>
      </c>
      <c r="E78" s="19" t="s">
        <v>429</v>
      </c>
      <c r="F78" s="18" t="s">
        <v>429</v>
      </c>
      <c r="G78" s="18" t="s">
        <v>429</v>
      </c>
      <c r="H78" s="19" t="s">
        <v>429</v>
      </c>
      <c r="I78" s="19" t="s">
        <v>429</v>
      </c>
      <c r="J78" s="18" t="s">
        <v>429</v>
      </c>
      <c r="K78" s="18" t="s">
        <v>429</v>
      </c>
      <c r="L78" s="19">
        <v>-4.3</v>
      </c>
      <c r="M78" s="19">
        <v>4.3</v>
      </c>
      <c r="N78" s="18">
        <v>-8.6999999999999993</v>
      </c>
      <c r="O78" s="18">
        <v>8.6999999999999993</v>
      </c>
      <c r="P78" s="19">
        <v>4.8</v>
      </c>
      <c r="Q78" s="19">
        <v>8</v>
      </c>
      <c r="R78" s="18">
        <v>2.4</v>
      </c>
      <c r="S78" s="18">
        <v>7.7</v>
      </c>
      <c r="T78" s="19">
        <v>8.8000000000000007</v>
      </c>
      <c r="U78" s="19">
        <v>4.8</v>
      </c>
      <c r="V78" s="18">
        <v>0.2</v>
      </c>
      <c r="W78" s="18">
        <v>0.4</v>
      </c>
      <c r="X78" s="19" t="s">
        <v>429</v>
      </c>
      <c r="Y78" s="19" t="s">
        <v>429</v>
      </c>
      <c r="Z78" s="18" t="s">
        <v>429</v>
      </c>
      <c r="AA78" s="18" t="s">
        <v>429</v>
      </c>
      <c r="AB78" s="19" t="s">
        <v>429</v>
      </c>
      <c r="AC78" s="19" t="s">
        <v>429</v>
      </c>
      <c r="AD78" s="18" t="s">
        <v>429</v>
      </c>
      <c r="AE78" s="18" t="s">
        <v>429</v>
      </c>
      <c r="AF78" s="19" t="s">
        <v>429</v>
      </c>
      <c r="AG78" s="19" t="s">
        <v>429</v>
      </c>
      <c r="AH78" s="18" t="s">
        <v>429</v>
      </c>
      <c r="AI78" s="18" t="s">
        <v>429</v>
      </c>
    </row>
    <row r="79" spans="1:35">
      <c r="A79" s="17" t="s">
        <v>1875</v>
      </c>
      <c r="B79" s="17" t="s">
        <v>1876</v>
      </c>
      <c r="C79" s="18" t="s">
        <v>429</v>
      </c>
      <c r="D79" s="19" t="s">
        <v>429</v>
      </c>
      <c r="E79" s="19" t="s">
        <v>429</v>
      </c>
      <c r="F79" s="18" t="s">
        <v>429</v>
      </c>
      <c r="G79" s="18" t="s">
        <v>429</v>
      </c>
      <c r="H79" s="19" t="s">
        <v>429</v>
      </c>
      <c r="I79" s="19" t="s">
        <v>429</v>
      </c>
      <c r="J79" s="18" t="s">
        <v>429</v>
      </c>
      <c r="K79" s="18" t="s">
        <v>429</v>
      </c>
      <c r="L79" s="19" t="s">
        <v>429</v>
      </c>
      <c r="M79" s="19" t="s">
        <v>429</v>
      </c>
      <c r="N79" s="18">
        <v>-1.1000000000000001</v>
      </c>
      <c r="O79" s="18" t="s">
        <v>429</v>
      </c>
      <c r="P79" s="19" t="s">
        <v>429</v>
      </c>
      <c r="Q79" s="19" t="s">
        <v>429</v>
      </c>
      <c r="R79" s="18" t="s">
        <v>429</v>
      </c>
      <c r="S79" s="18" t="s">
        <v>429</v>
      </c>
      <c r="T79" s="19" t="s">
        <v>429</v>
      </c>
      <c r="U79" s="19" t="s">
        <v>429</v>
      </c>
      <c r="V79" s="18" t="s">
        <v>429</v>
      </c>
      <c r="W79" s="18" t="s">
        <v>429</v>
      </c>
      <c r="X79" s="19" t="s">
        <v>429</v>
      </c>
      <c r="Y79" s="19" t="s">
        <v>429</v>
      </c>
      <c r="Z79" s="18" t="s">
        <v>429</v>
      </c>
      <c r="AA79" s="18" t="s">
        <v>429</v>
      </c>
      <c r="AB79" s="19" t="s">
        <v>429</v>
      </c>
      <c r="AC79" s="19" t="s">
        <v>429</v>
      </c>
      <c r="AD79" s="18" t="s">
        <v>429</v>
      </c>
      <c r="AE79" s="18" t="s">
        <v>429</v>
      </c>
      <c r="AF79" s="19" t="s">
        <v>429</v>
      </c>
      <c r="AG79" s="19" t="s">
        <v>429</v>
      </c>
      <c r="AH79" s="18" t="s">
        <v>429</v>
      </c>
      <c r="AI79" s="18" t="s">
        <v>429</v>
      </c>
    </row>
    <row r="80" spans="1:35">
      <c r="A80" s="17" t="s">
        <v>1875</v>
      </c>
      <c r="B80" s="17" t="s">
        <v>1877</v>
      </c>
      <c r="C80" s="18">
        <v>17.3</v>
      </c>
      <c r="D80" s="19">
        <v>16.399999999999999</v>
      </c>
      <c r="E80" s="19">
        <v>17.899999999999999</v>
      </c>
      <c r="F80" s="18">
        <v>13.3</v>
      </c>
      <c r="G80" s="18">
        <v>11.4</v>
      </c>
      <c r="H80" s="19">
        <v>5.8</v>
      </c>
      <c r="I80" s="19">
        <v>5.9</v>
      </c>
      <c r="J80" s="18">
        <v>6</v>
      </c>
      <c r="K80" s="18">
        <v>6.2</v>
      </c>
      <c r="L80" s="19">
        <v>6.3</v>
      </c>
      <c r="M80" s="19">
        <v>6.5</v>
      </c>
      <c r="N80" s="18">
        <v>6.8</v>
      </c>
      <c r="O80" s="18">
        <v>6.5</v>
      </c>
      <c r="P80" s="19">
        <v>6.9</v>
      </c>
      <c r="Q80" s="19">
        <v>7</v>
      </c>
      <c r="R80" s="18">
        <v>7.1</v>
      </c>
      <c r="S80" s="18">
        <v>7.3</v>
      </c>
      <c r="T80" s="19">
        <v>4.3</v>
      </c>
      <c r="U80" s="19">
        <v>0</v>
      </c>
      <c r="V80" s="18" t="s">
        <v>429</v>
      </c>
      <c r="W80" s="18" t="s">
        <v>429</v>
      </c>
      <c r="X80" s="19" t="s">
        <v>429</v>
      </c>
      <c r="Y80" s="19" t="s">
        <v>429</v>
      </c>
      <c r="Z80" s="18" t="s">
        <v>429</v>
      </c>
      <c r="AA80" s="18" t="s">
        <v>429</v>
      </c>
      <c r="AB80" s="19" t="s">
        <v>429</v>
      </c>
      <c r="AC80" s="19" t="s">
        <v>429</v>
      </c>
      <c r="AD80" s="18" t="s">
        <v>429</v>
      </c>
      <c r="AE80" s="18" t="s">
        <v>429</v>
      </c>
      <c r="AF80" s="19" t="s">
        <v>429</v>
      </c>
      <c r="AG80" s="19" t="s">
        <v>429</v>
      </c>
      <c r="AH80" s="18" t="s">
        <v>429</v>
      </c>
      <c r="AI80" s="18" t="s">
        <v>429</v>
      </c>
    </row>
    <row r="81" spans="1:35">
      <c r="A81" s="17" t="s">
        <v>1875</v>
      </c>
      <c r="B81" s="17" t="s">
        <v>1878</v>
      </c>
      <c r="C81" s="18">
        <v>-1.5</v>
      </c>
      <c r="D81" s="19">
        <v>-2.5</v>
      </c>
      <c r="E81" s="19">
        <v>-2.2999999999999998</v>
      </c>
      <c r="F81" s="18">
        <v>-1.6</v>
      </c>
      <c r="G81" s="18">
        <v>-1.7</v>
      </c>
      <c r="H81" s="19">
        <v>-1.8</v>
      </c>
      <c r="I81" s="19">
        <v>-1.6</v>
      </c>
      <c r="J81" s="18">
        <v>-1.9</v>
      </c>
      <c r="K81" s="18">
        <v>-1.5</v>
      </c>
      <c r="L81" s="19">
        <v>-1.6</v>
      </c>
      <c r="M81" s="19">
        <v>-1.6</v>
      </c>
      <c r="N81" s="18">
        <v>-1.6</v>
      </c>
      <c r="O81" s="18">
        <v>-1.5</v>
      </c>
      <c r="P81" s="19">
        <v>-1.4</v>
      </c>
      <c r="Q81" s="19">
        <v>-1.7</v>
      </c>
      <c r="R81" s="18">
        <v>-1.3</v>
      </c>
      <c r="S81" s="18">
        <v>-1.8</v>
      </c>
      <c r="T81" s="19">
        <v>-2.9</v>
      </c>
      <c r="U81" s="19">
        <v>-1.6</v>
      </c>
      <c r="V81" s="18" t="s">
        <v>429</v>
      </c>
      <c r="W81" s="18" t="s">
        <v>429</v>
      </c>
      <c r="X81" s="19" t="s">
        <v>429</v>
      </c>
      <c r="Y81" s="19" t="s">
        <v>429</v>
      </c>
      <c r="Z81" s="18" t="s">
        <v>429</v>
      </c>
      <c r="AA81" s="18" t="s">
        <v>429</v>
      </c>
      <c r="AB81" s="19" t="s">
        <v>429</v>
      </c>
      <c r="AC81" s="19" t="s">
        <v>429</v>
      </c>
      <c r="AD81" s="18" t="s">
        <v>429</v>
      </c>
      <c r="AE81" s="18" t="s">
        <v>429</v>
      </c>
      <c r="AF81" s="19" t="s">
        <v>429</v>
      </c>
      <c r="AG81" s="19" t="s">
        <v>429</v>
      </c>
      <c r="AH81" s="18" t="s">
        <v>429</v>
      </c>
      <c r="AI81" s="18" t="s">
        <v>429</v>
      </c>
    </row>
    <row r="82" spans="1:35">
      <c r="A82" s="17" t="s">
        <v>1875</v>
      </c>
      <c r="B82" s="17" t="s">
        <v>1879</v>
      </c>
      <c r="C82" s="18">
        <v>-3.6</v>
      </c>
      <c r="D82" s="19">
        <v>-3.5</v>
      </c>
      <c r="E82" s="19">
        <v>-2.4</v>
      </c>
      <c r="F82" s="18">
        <v>-2.2999999999999998</v>
      </c>
      <c r="G82" s="18">
        <v>-2.5</v>
      </c>
      <c r="H82" s="19">
        <v>-2.4</v>
      </c>
      <c r="I82" s="19">
        <v>-2.7</v>
      </c>
      <c r="J82" s="18">
        <v>-2.4</v>
      </c>
      <c r="K82" s="18">
        <v>-1.2</v>
      </c>
      <c r="L82" s="19">
        <v>-3.7</v>
      </c>
      <c r="M82" s="19">
        <v>-2.7</v>
      </c>
      <c r="N82" s="18">
        <v>-2.8</v>
      </c>
      <c r="O82" s="18">
        <v>-2.5</v>
      </c>
      <c r="P82" s="19">
        <v>-2.6</v>
      </c>
      <c r="Q82" s="19">
        <v>-2.6</v>
      </c>
      <c r="R82" s="18">
        <v>-2.7</v>
      </c>
      <c r="S82" s="18">
        <v>-2.7</v>
      </c>
      <c r="T82" s="19">
        <v>-3.3</v>
      </c>
      <c r="U82" s="19">
        <v>-2.4</v>
      </c>
      <c r="V82" s="18" t="s">
        <v>429</v>
      </c>
      <c r="W82" s="18" t="s">
        <v>429</v>
      </c>
      <c r="X82" s="19" t="s">
        <v>429</v>
      </c>
      <c r="Y82" s="19" t="s">
        <v>429</v>
      </c>
      <c r="Z82" s="18" t="s">
        <v>429</v>
      </c>
      <c r="AA82" s="18" t="s">
        <v>429</v>
      </c>
      <c r="AB82" s="19" t="s">
        <v>429</v>
      </c>
      <c r="AC82" s="19" t="s">
        <v>429</v>
      </c>
      <c r="AD82" s="18" t="s">
        <v>429</v>
      </c>
      <c r="AE82" s="18" t="s">
        <v>429</v>
      </c>
      <c r="AF82" s="19" t="s">
        <v>429</v>
      </c>
      <c r="AG82" s="19" t="s">
        <v>429</v>
      </c>
      <c r="AH82" s="18" t="s">
        <v>429</v>
      </c>
      <c r="AI82" s="18" t="s">
        <v>429</v>
      </c>
    </row>
    <row r="83" spans="1:35">
      <c r="A83" s="17" t="s">
        <v>1875</v>
      </c>
      <c r="B83" s="17" t="s">
        <v>1880</v>
      </c>
      <c r="C83" s="18">
        <v>-1.1000000000000001</v>
      </c>
      <c r="D83" s="19">
        <v>-2.1</v>
      </c>
      <c r="E83" s="19">
        <v>-0.1</v>
      </c>
      <c r="F83" s="18">
        <v>-1.1000000000000001</v>
      </c>
      <c r="G83" s="18">
        <v>-2.2999999999999998</v>
      </c>
      <c r="H83" s="19">
        <v>-4.7</v>
      </c>
      <c r="I83" s="19">
        <v>-2.2999999999999998</v>
      </c>
      <c r="J83" s="18">
        <v>1</v>
      </c>
      <c r="K83" s="18">
        <v>-1.2</v>
      </c>
      <c r="L83" s="19">
        <v>0.1</v>
      </c>
      <c r="M83" s="19">
        <v>-2.7</v>
      </c>
      <c r="N83" s="18">
        <v>-1.2</v>
      </c>
      <c r="O83" s="18">
        <v>-1.1000000000000001</v>
      </c>
      <c r="P83" s="19">
        <v>-1.2</v>
      </c>
      <c r="Q83" s="19">
        <v>-1.2</v>
      </c>
      <c r="R83" s="18">
        <v>-0.3</v>
      </c>
      <c r="S83" s="18">
        <v>-0.2</v>
      </c>
      <c r="T83" s="19">
        <v>-0.3</v>
      </c>
      <c r="U83" s="19">
        <v>-0.6</v>
      </c>
      <c r="V83" s="18" t="s">
        <v>429</v>
      </c>
      <c r="W83" s="18" t="s">
        <v>429</v>
      </c>
      <c r="X83" s="19" t="s">
        <v>429</v>
      </c>
      <c r="Y83" s="19" t="s">
        <v>429</v>
      </c>
      <c r="Z83" s="18" t="s">
        <v>429</v>
      </c>
      <c r="AA83" s="18" t="s">
        <v>429</v>
      </c>
      <c r="AB83" s="19" t="s">
        <v>429</v>
      </c>
      <c r="AC83" s="19" t="s">
        <v>429</v>
      </c>
      <c r="AD83" s="18" t="s">
        <v>429</v>
      </c>
      <c r="AE83" s="18" t="s">
        <v>429</v>
      </c>
      <c r="AF83" s="19" t="s">
        <v>429</v>
      </c>
      <c r="AG83" s="19" t="s">
        <v>429</v>
      </c>
      <c r="AH83" s="18" t="s">
        <v>429</v>
      </c>
      <c r="AI83" s="18" t="s">
        <v>429</v>
      </c>
    </row>
    <row r="84" spans="1:35">
      <c r="A84" s="17" t="s">
        <v>1875</v>
      </c>
      <c r="B84" s="17" t="s">
        <v>1881</v>
      </c>
      <c r="C84" s="18">
        <v>0.6</v>
      </c>
      <c r="D84" s="19">
        <v>0.6</v>
      </c>
      <c r="E84" s="19">
        <v>0.6</v>
      </c>
      <c r="F84" s="18">
        <v>0.6</v>
      </c>
      <c r="G84" s="18">
        <v>0.6</v>
      </c>
      <c r="H84" s="19">
        <v>0.9</v>
      </c>
      <c r="I84" s="19">
        <v>0.8</v>
      </c>
      <c r="J84" s="18">
        <v>0.6</v>
      </c>
      <c r="K84" s="18">
        <v>0.6</v>
      </c>
      <c r="L84" s="19">
        <v>-0.2</v>
      </c>
      <c r="M84" s="19" t="s">
        <v>429</v>
      </c>
      <c r="N84" s="18">
        <v>-0.9</v>
      </c>
      <c r="O84" s="18" t="s">
        <v>429</v>
      </c>
      <c r="P84" s="19">
        <v>0</v>
      </c>
      <c r="Q84" s="19">
        <v>0</v>
      </c>
      <c r="R84" s="18">
        <v>-0.5</v>
      </c>
      <c r="S84" s="18">
        <v>-0.5</v>
      </c>
      <c r="T84" s="19">
        <v>-0.6</v>
      </c>
      <c r="U84" s="19">
        <v>-0.6</v>
      </c>
      <c r="V84" s="18" t="s">
        <v>429</v>
      </c>
      <c r="W84" s="18" t="s">
        <v>429</v>
      </c>
      <c r="X84" s="19" t="s">
        <v>429</v>
      </c>
      <c r="Y84" s="19" t="s">
        <v>429</v>
      </c>
      <c r="Z84" s="18" t="s">
        <v>429</v>
      </c>
      <c r="AA84" s="18" t="s">
        <v>429</v>
      </c>
      <c r="AB84" s="19" t="s">
        <v>429</v>
      </c>
      <c r="AC84" s="19" t="s">
        <v>429</v>
      </c>
      <c r="AD84" s="18" t="s">
        <v>429</v>
      </c>
      <c r="AE84" s="18" t="s">
        <v>429</v>
      </c>
      <c r="AF84" s="19" t="s">
        <v>429</v>
      </c>
      <c r="AG84" s="19" t="s">
        <v>429</v>
      </c>
      <c r="AH84" s="18" t="s">
        <v>429</v>
      </c>
      <c r="AI84" s="18" t="s">
        <v>429</v>
      </c>
    </row>
    <row r="85" spans="1:35">
      <c r="A85" s="17" t="s">
        <v>1875</v>
      </c>
      <c r="B85" s="17" t="s">
        <v>1860</v>
      </c>
      <c r="C85" s="18" t="s">
        <v>429</v>
      </c>
      <c r="D85" s="19" t="s">
        <v>429</v>
      </c>
      <c r="E85" s="19" t="s">
        <v>429</v>
      </c>
      <c r="F85" s="18" t="s">
        <v>429</v>
      </c>
      <c r="G85" s="18" t="s">
        <v>429</v>
      </c>
      <c r="H85" s="19" t="s">
        <v>429</v>
      </c>
      <c r="I85" s="19" t="s">
        <v>429</v>
      </c>
      <c r="J85" s="18" t="s">
        <v>429</v>
      </c>
      <c r="K85" s="18" t="s">
        <v>429</v>
      </c>
      <c r="L85" s="19" t="s">
        <v>429</v>
      </c>
      <c r="M85" s="19" t="s">
        <v>429</v>
      </c>
      <c r="N85" s="18" t="s">
        <v>429</v>
      </c>
      <c r="O85" s="18" t="s">
        <v>429</v>
      </c>
      <c r="P85" s="19" t="s">
        <v>429</v>
      </c>
      <c r="Q85" s="19" t="s">
        <v>429</v>
      </c>
      <c r="R85" s="18" t="s">
        <v>429</v>
      </c>
      <c r="S85" s="18" t="s">
        <v>429</v>
      </c>
      <c r="T85" s="19" t="s">
        <v>429</v>
      </c>
      <c r="U85" s="19" t="s">
        <v>429</v>
      </c>
      <c r="V85" s="18">
        <v>6.8</v>
      </c>
      <c r="W85" s="18">
        <v>6.7</v>
      </c>
      <c r="X85" s="19" t="s">
        <v>429</v>
      </c>
      <c r="Y85" s="19" t="s">
        <v>429</v>
      </c>
      <c r="Z85" s="18" t="s">
        <v>429</v>
      </c>
      <c r="AA85" s="18" t="s">
        <v>429</v>
      </c>
      <c r="AB85" s="19" t="s">
        <v>429</v>
      </c>
      <c r="AC85" s="19" t="s">
        <v>429</v>
      </c>
      <c r="AD85" s="18" t="s">
        <v>429</v>
      </c>
      <c r="AE85" s="18" t="s">
        <v>429</v>
      </c>
      <c r="AF85" s="19" t="s">
        <v>429</v>
      </c>
      <c r="AG85" s="19" t="s">
        <v>429</v>
      </c>
      <c r="AH85" s="18" t="s">
        <v>429</v>
      </c>
      <c r="AI85" s="18" t="s">
        <v>429</v>
      </c>
    </row>
    <row r="86" spans="1:35">
      <c r="A86" s="17" t="s">
        <v>1871</v>
      </c>
      <c r="B86" s="17" t="s">
        <v>1882</v>
      </c>
      <c r="C86" s="18" t="s">
        <v>429</v>
      </c>
      <c r="D86" s="19" t="s">
        <v>429</v>
      </c>
      <c r="E86" s="19" t="s">
        <v>429</v>
      </c>
      <c r="F86" s="18" t="s">
        <v>429</v>
      </c>
      <c r="G86" s="18" t="s">
        <v>429</v>
      </c>
      <c r="H86" s="19" t="s">
        <v>429</v>
      </c>
      <c r="I86" s="19" t="s">
        <v>429</v>
      </c>
      <c r="J86" s="18" t="s">
        <v>429</v>
      </c>
      <c r="K86" s="18" t="s">
        <v>429</v>
      </c>
      <c r="L86" s="19" t="s">
        <v>429</v>
      </c>
      <c r="M86" s="19" t="s">
        <v>429</v>
      </c>
      <c r="N86" s="18" t="s">
        <v>429</v>
      </c>
      <c r="O86" s="18" t="s">
        <v>429</v>
      </c>
      <c r="P86" s="19" t="s">
        <v>429</v>
      </c>
      <c r="Q86" s="19" t="s">
        <v>429</v>
      </c>
      <c r="R86" s="18" t="s">
        <v>429</v>
      </c>
      <c r="S86" s="18" t="s">
        <v>429</v>
      </c>
      <c r="T86" s="19" t="s">
        <v>429</v>
      </c>
      <c r="U86" s="19" t="s">
        <v>429</v>
      </c>
      <c r="V86" s="18">
        <v>4.8</v>
      </c>
      <c r="W86" s="18">
        <v>-4.8</v>
      </c>
      <c r="X86" s="19" t="s">
        <v>429</v>
      </c>
      <c r="Y86" s="19" t="s">
        <v>429</v>
      </c>
      <c r="Z86" s="18" t="s">
        <v>429</v>
      </c>
      <c r="AA86" s="18" t="s">
        <v>429</v>
      </c>
      <c r="AB86" s="19" t="s">
        <v>429</v>
      </c>
      <c r="AC86" s="19" t="s">
        <v>429</v>
      </c>
      <c r="AD86" s="18" t="s">
        <v>429</v>
      </c>
      <c r="AE86" s="18" t="s">
        <v>429</v>
      </c>
      <c r="AF86" s="19" t="s">
        <v>429</v>
      </c>
      <c r="AG86" s="19" t="s">
        <v>429</v>
      </c>
      <c r="AH86" s="18" t="s">
        <v>429</v>
      </c>
      <c r="AI86" s="18" t="s">
        <v>429</v>
      </c>
    </row>
    <row r="87" spans="1:35">
      <c r="A87" s="17" t="s">
        <v>1871</v>
      </c>
      <c r="B87" s="17" t="s">
        <v>1883</v>
      </c>
      <c r="C87" s="18">
        <v>-3.7</v>
      </c>
      <c r="D87" s="19">
        <v>-15.9</v>
      </c>
      <c r="E87" s="19">
        <v>16.100000000000001</v>
      </c>
      <c r="F87" s="18">
        <v>6.5</v>
      </c>
      <c r="G87" s="18">
        <v>-6.5</v>
      </c>
      <c r="H87" s="19">
        <v>2.8</v>
      </c>
      <c r="I87" s="19">
        <v>-3.5</v>
      </c>
      <c r="J87" s="18">
        <v>-5.7</v>
      </c>
      <c r="K87" s="18">
        <v>5.6</v>
      </c>
      <c r="L87" s="19" t="s">
        <v>429</v>
      </c>
      <c r="M87" s="19">
        <v>12.8</v>
      </c>
      <c r="N87" s="18">
        <v>-7.7</v>
      </c>
      <c r="O87" s="18">
        <v>7.7</v>
      </c>
      <c r="P87" s="19">
        <v>-9.1999999999999993</v>
      </c>
      <c r="Q87" s="19">
        <v>4.7</v>
      </c>
      <c r="R87" s="18">
        <v>2.6</v>
      </c>
      <c r="S87" s="18">
        <v>-6.3</v>
      </c>
      <c r="T87" s="19">
        <v>-0.3</v>
      </c>
      <c r="U87" s="19">
        <v>7.4</v>
      </c>
      <c r="V87" s="18">
        <v>4.3</v>
      </c>
      <c r="W87" s="18">
        <v>2.8</v>
      </c>
      <c r="X87" s="19" t="s">
        <v>429</v>
      </c>
      <c r="Y87" s="19" t="s">
        <v>429</v>
      </c>
      <c r="Z87" s="18" t="s">
        <v>429</v>
      </c>
      <c r="AA87" s="18" t="s">
        <v>429</v>
      </c>
      <c r="AB87" s="19" t="s">
        <v>429</v>
      </c>
      <c r="AC87" s="19" t="s">
        <v>429</v>
      </c>
      <c r="AD87" s="18" t="s">
        <v>429</v>
      </c>
      <c r="AE87" s="18" t="s">
        <v>429</v>
      </c>
      <c r="AF87" s="19" t="s">
        <v>429</v>
      </c>
      <c r="AG87" s="19" t="s">
        <v>429</v>
      </c>
      <c r="AH87" s="18" t="s">
        <v>429</v>
      </c>
      <c r="AI87" s="18" t="s">
        <v>429</v>
      </c>
    </row>
    <row r="88" spans="1:35">
      <c r="A88" s="17" t="s">
        <v>1871</v>
      </c>
      <c r="B88" s="17" t="s">
        <v>1884</v>
      </c>
      <c r="C88" s="18" t="s">
        <v>429</v>
      </c>
      <c r="D88" s="19">
        <v>32.1</v>
      </c>
      <c r="E88" s="19" t="s">
        <v>429</v>
      </c>
      <c r="F88" s="18">
        <v>-9.9</v>
      </c>
      <c r="G88" s="18" t="s">
        <v>429</v>
      </c>
      <c r="H88" s="19">
        <v>-3.4</v>
      </c>
      <c r="I88" s="19" t="s">
        <v>429</v>
      </c>
      <c r="J88" s="18" t="s">
        <v>429</v>
      </c>
      <c r="K88" s="18" t="s">
        <v>429</v>
      </c>
      <c r="L88" s="19">
        <v>-2.7</v>
      </c>
      <c r="M88" s="19" t="s">
        <v>429</v>
      </c>
      <c r="N88" s="18" t="s">
        <v>429</v>
      </c>
      <c r="O88" s="18" t="s">
        <v>429</v>
      </c>
      <c r="P88" s="19" t="s">
        <v>429</v>
      </c>
      <c r="Q88" s="19" t="s">
        <v>429</v>
      </c>
      <c r="R88" s="18" t="s">
        <v>429</v>
      </c>
      <c r="S88" s="18" t="s">
        <v>429</v>
      </c>
      <c r="T88" s="19" t="s">
        <v>429</v>
      </c>
      <c r="U88" s="19" t="s">
        <v>429</v>
      </c>
      <c r="V88" s="18" t="s">
        <v>429</v>
      </c>
      <c r="W88" s="18" t="s">
        <v>429</v>
      </c>
      <c r="X88" s="19" t="s">
        <v>429</v>
      </c>
      <c r="Y88" s="19" t="s">
        <v>429</v>
      </c>
      <c r="Z88" s="18" t="s">
        <v>429</v>
      </c>
      <c r="AA88" s="18" t="s">
        <v>429</v>
      </c>
      <c r="AB88" s="19" t="s">
        <v>429</v>
      </c>
      <c r="AC88" s="19" t="s">
        <v>429</v>
      </c>
      <c r="AD88" s="18" t="s">
        <v>429</v>
      </c>
      <c r="AE88" s="18" t="s">
        <v>429</v>
      </c>
      <c r="AF88" s="19" t="s">
        <v>429</v>
      </c>
      <c r="AG88" s="19" t="s">
        <v>429</v>
      </c>
      <c r="AH88" s="18" t="s">
        <v>429</v>
      </c>
      <c r="AI88" s="18" t="s">
        <v>429</v>
      </c>
    </row>
    <row r="89" spans="1:35">
      <c r="A89" s="17" t="s">
        <v>1871</v>
      </c>
      <c r="B89" s="17" t="s">
        <v>1885</v>
      </c>
      <c r="C89" s="18" t="s">
        <v>429</v>
      </c>
      <c r="D89" s="19" t="s">
        <v>429</v>
      </c>
      <c r="E89" s="19" t="s">
        <v>429</v>
      </c>
      <c r="F89" s="18" t="s">
        <v>429</v>
      </c>
      <c r="G89" s="18" t="s">
        <v>429</v>
      </c>
      <c r="H89" s="19" t="s">
        <v>429</v>
      </c>
      <c r="I89" s="19" t="s">
        <v>429</v>
      </c>
      <c r="J89" s="18" t="s">
        <v>429</v>
      </c>
      <c r="K89" s="18" t="s">
        <v>429</v>
      </c>
      <c r="L89" s="19" t="s">
        <v>429</v>
      </c>
      <c r="M89" s="19" t="s">
        <v>429</v>
      </c>
      <c r="N89" s="18" t="s">
        <v>429</v>
      </c>
      <c r="O89" s="18" t="s">
        <v>429</v>
      </c>
      <c r="P89" s="19" t="s">
        <v>429</v>
      </c>
      <c r="Q89" s="19" t="s">
        <v>429</v>
      </c>
      <c r="R89" s="18" t="s">
        <v>429</v>
      </c>
      <c r="S89" s="18" t="s">
        <v>429</v>
      </c>
      <c r="T89" s="19" t="s">
        <v>429</v>
      </c>
      <c r="U89" s="19" t="s">
        <v>429</v>
      </c>
      <c r="V89" s="18" t="s">
        <v>429</v>
      </c>
      <c r="W89" s="18" t="s">
        <v>429</v>
      </c>
      <c r="X89" s="19" t="s">
        <v>429</v>
      </c>
      <c r="Y89" s="19" t="s">
        <v>429</v>
      </c>
      <c r="Z89" s="18" t="s">
        <v>429</v>
      </c>
      <c r="AA89" s="18" t="s">
        <v>429</v>
      </c>
      <c r="AB89" s="19" t="s">
        <v>429</v>
      </c>
      <c r="AC89" s="19" t="s">
        <v>429</v>
      </c>
      <c r="AD89" s="18" t="s">
        <v>429</v>
      </c>
      <c r="AE89" s="18" t="s">
        <v>429</v>
      </c>
      <c r="AF89" s="19" t="s">
        <v>429</v>
      </c>
      <c r="AG89" s="19" t="s">
        <v>429</v>
      </c>
      <c r="AH89" s="18" t="s">
        <v>429</v>
      </c>
      <c r="AI89" s="18" t="s">
        <v>429</v>
      </c>
    </row>
    <row r="90" spans="1:35">
      <c r="A90" s="17" t="s">
        <v>1886</v>
      </c>
      <c r="B90" s="17" t="s">
        <v>1857</v>
      </c>
      <c r="C90" s="18" t="s">
        <v>429</v>
      </c>
      <c r="D90" s="19" t="s">
        <v>429</v>
      </c>
      <c r="E90" s="19" t="s">
        <v>429</v>
      </c>
      <c r="F90" s="18" t="s">
        <v>429</v>
      </c>
      <c r="G90" s="18" t="s">
        <v>429</v>
      </c>
      <c r="H90" s="19" t="s">
        <v>429</v>
      </c>
      <c r="I90" s="19" t="s">
        <v>429</v>
      </c>
      <c r="J90" s="18" t="s">
        <v>429</v>
      </c>
      <c r="K90" s="18" t="s">
        <v>429</v>
      </c>
      <c r="L90" s="19" t="s">
        <v>429</v>
      </c>
      <c r="M90" s="19" t="s">
        <v>429</v>
      </c>
      <c r="N90" s="18" t="s">
        <v>429</v>
      </c>
      <c r="O90" s="18" t="s">
        <v>429</v>
      </c>
      <c r="P90" s="19">
        <v>-0.1</v>
      </c>
      <c r="Q90" s="19" t="s">
        <v>429</v>
      </c>
      <c r="R90" s="18" t="s">
        <v>429</v>
      </c>
      <c r="S90" s="18" t="s">
        <v>429</v>
      </c>
      <c r="T90" s="19" t="s">
        <v>429</v>
      </c>
      <c r="U90" s="19" t="s">
        <v>429</v>
      </c>
      <c r="V90" s="18" t="s">
        <v>429</v>
      </c>
      <c r="W90" s="18" t="s">
        <v>429</v>
      </c>
      <c r="X90" s="19" t="s">
        <v>429</v>
      </c>
      <c r="Y90" s="19" t="s">
        <v>429</v>
      </c>
      <c r="Z90" s="18" t="s">
        <v>429</v>
      </c>
      <c r="AA90" s="18" t="s">
        <v>429</v>
      </c>
      <c r="AB90" s="19" t="s">
        <v>429</v>
      </c>
      <c r="AC90" s="19" t="s">
        <v>429</v>
      </c>
      <c r="AD90" s="18" t="s">
        <v>429</v>
      </c>
      <c r="AE90" s="18" t="s">
        <v>429</v>
      </c>
      <c r="AF90" s="19" t="s">
        <v>429</v>
      </c>
      <c r="AG90" s="19" t="s">
        <v>429</v>
      </c>
      <c r="AH90" s="18" t="s">
        <v>429</v>
      </c>
      <c r="AI90" s="18" t="s">
        <v>429</v>
      </c>
    </row>
    <row r="91" spans="1:35">
      <c r="A91" s="17" t="s">
        <v>1886</v>
      </c>
      <c r="B91" s="17" t="s">
        <v>1863</v>
      </c>
      <c r="C91" s="18" t="s">
        <v>429</v>
      </c>
      <c r="D91" s="19" t="s">
        <v>429</v>
      </c>
      <c r="E91" s="19" t="s">
        <v>429</v>
      </c>
      <c r="F91" s="18" t="s">
        <v>429</v>
      </c>
      <c r="G91" s="18" t="s">
        <v>429</v>
      </c>
      <c r="H91" s="19" t="s">
        <v>429</v>
      </c>
      <c r="I91" s="19" t="s">
        <v>429</v>
      </c>
      <c r="J91" s="18" t="s">
        <v>429</v>
      </c>
      <c r="K91" s="18" t="s">
        <v>429</v>
      </c>
      <c r="L91" s="19" t="s">
        <v>429</v>
      </c>
      <c r="M91" s="19" t="s">
        <v>429</v>
      </c>
      <c r="N91" s="18" t="s">
        <v>429</v>
      </c>
      <c r="O91" s="18" t="s">
        <v>429</v>
      </c>
      <c r="P91" s="19" t="s">
        <v>429</v>
      </c>
      <c r="Q91" s="19" t="s">
        <v>429</v>
      </c>
      <c r="R91" s="18" t="s">
        <v>429</v>
      </c>
      <c r="S91" s="18" t="s">
        <v>429</v>
      </c>
      <c r="T91" s="19" t="s">
        <v>429</v>
      </c>
      <c r="U91" s="19" t="s">
        <v>429</v>
      </c>
      <c r="V91" s="18" t="s">
        <v>429</v>
      </c>
      <c r="W91" s="18" t="s">
        <v>429</v>
      </c>
      <c r="X91" s="19" t="s">
        <v>429</v>
      </c>
      <c r="Y91" s="19" t="s">
        <v>429</v>
      </c>
      <c r="Z91" s="18" t="s">
        <v>429</v>
      </c>
      <c r="AA91" s="18" t="s">
        <v>429</v>
      </c>
      <c r="AB91" s="19" t="s">
        <v>429</v>
      </c>
      <c r="AC91" s="19" t="s">
        <v>429</v>
      </c>
      <c r="AD91" s="18" t="s">
        <v>429</v>
      </c>
      <c r="AE91" s="18" t="s">
        <v>429</v>
      </c>
      <c r="AF91" s="19" t="s">
        <v>429</v>
      </c>
      <c r="AG91" s="19" t="s">
        <v>429</v>
      </c>
      <c r="AH91" s="18" t="s">
        <v>429</v>
      </c>
      <c r="AI91" s="18" t="s">
        <v>429</v>
      </c>
    </row>
    <row r="92" spans="1:35">
      <c r="A92" s="17" t="s">
        <v>1875</v>
      </c>
      <c r="B92" s="17" t="s">
        <v>1865</v>
      </c>
      <c r="C92" s="18" t="s">
        <v>429</v>
      </c>
      <c r="D92" s="19" t="s">
        <v>429</v>
      </c>
      <c r="E92" s="19" t="s">
        <v>429</v>
      </c>
      <c r="F92" s="18" t="s">
        <v>429</v>
      </c>
      <c r="G92" s="18" t="s">
        <v>429</v>
      </c>
      <c r="H92" s="19" t="s">
        <v>429</v>
      </c>
      <c r="I92" s="19" t="s">
        <v>429</v>
      </c>
      <c r="J92" s="18" t="s">
        <v>429</v>
      </c>
      <c r="K92" s="18" t="s">
        <v>429</v>
      </c>
      <c r="L92" s="19" t="s">
        <v>429</v>
      </c>
      <c r="M92" s="19" t="s">
        <v>429</v>
      </c>
      <c r="N92" s="18" t="s">
        <v>429</v>
      </c>
      <c r="O92" s="18" t="s">
        <v>429</v>
      </c>
      <c r="P92" s="19" t="s">
        <v>429</v>
      </c>
      <c r="Q92" s="19" t="s">
        <v>429</v>
      </c>
      <c r="R92" s="18" t="s">
        <v>429</v>
      </c>
      <c r="S92" s="18" t="s">
        <v>429</v>
      </c>
      <c r="T92" s="19" t="s">
        <v>429</v>
      </c>
      <c r="U92" s="19" t="s">
        <v>429</v>
      </c>
      <c r="V92" s="18">
        <v>-9.6999999999999993</v>
      </c>
      <c r="W92" s="18">
        <v>-11</v>
      </c>
      <c r="X92" s="19" t="s">
        <v>429</v>
      </c>
      <c r="Y92" s="19" t="s">
        <v>429</v>
      </c>
      <c r="Z92" s="18" t="s">
        <v>429</v>
      </c>
      <c r="AA92" s="18" t="s">
        <v>429</v>
      </c>
      <c r="AB92" s="19" t="s">
        <v>429</v>
      </c>
      <c r="AC92" s="19" t="s">
        <v>429</v>
      </c>
      <c r="AD92" s="18" t="s">
        <v>429</v>
      </c>
      <c r="AE92" s="18" t="s">
        <v>429</v>
      </c>
      <c r="AF92" s="19" t="s">
        <v>429</v>
      </c>
      <c r="AG92" s="19" t="s">
        <v>429</v>
      </c>
      <c r="AH92" s="18" t="s">
        <v>429</v>
      </c>
      <c r="AI92" s="18" t="s">
        <v>429</v>
      </c>
    </row>
    <row r="93" spans="1:35">
      <c r="A93" s="17" t="s">
        <v>1887</v>
      </c>
      <c r="B93" s="17" t="s">
        <v>1888</v>
      </c>
      <c r="C93" s="18">
        <v>10</v>
      </c>
      <c r="D93" s="19">
        <v>9.9</v>
      </c>
      <c r="E93" s="19">
        <v>10.1</v>
      </c>
      <c r="F93" s="18">
        <v>11.3</v>
      </c>
      <c r="G93" s="18">
        <v>13.8</v>
      </c>
      <c r="H93" s="19">
        <v>14.5</v>
      </c>
      <c r="I93" s="19">
        <v>11.9</v>
      </c>
      <c r="J93" s="18">
        <v>9</v>
      </c>
      <c r="K93" s="18">
        <v>7.9</v>
      </c>
      <c r="L93" s="19">
        <v>8.5</v>
      </c>
      <c r="M93" s="19">
        <v>13.3</v>
      </c>
      <c r="N93" s="18">
        <v>11.9</v>
      </c>
      <c r="O93" s="18">
        <v>12.3</v>
      </c>
      <c r="P93" s="19">
        <v>12.9</v>
      </c>
      <c r="Q93" s="19">
        <v>11.6</v>
      </c>
      <c r="R93" s="18">
        <v>14.4</v>
      </c>
      <c r="S93" s="18">
        <v>14.8</v>
      </c>
      <c r="T93" s="19">
        <v>15.3</v>
      </c>
      <c r="U93" s="19">
        <v>10.7</v>
      </c>
      <c r="V93" s="18">
        <v>10.8</v>
      </c>
      <c r="W93" s="18">
        <v>9.8000000000000007</v>
      </c>
      <c r="X93" s="19" t="s">
        <v>429</v>
      </c>
      <c r="Y93" s="19" t="s">
        <v>429</v>
      </c>
      <c r="Z93" s="18" t="s">
        <v>429</v>
      </c>
      <c r="AA93" s="18" t="s">
        <v>429</v>
      </c>
      <c r="AB93" s="19" t="s">
        <v>429</v>
      </c>
      <c r="AC93" s="19" t="s">
        <v>429</v>
      </c>
      <c r="AD93" s="18" t="s">
        <v>429</v>
      </c>
      <c r="AE93" s="18" t="s">
        <v>429</v>
      </c>
      <c r="AF93" s="19" t="s">
        <v>429</v>
      </c>
      <c r="AG93" s="19" t="s">
        <v>429</v>
      </c>
      <c r="AH93" s="18" t="s">
        <v>429</v>
      </c>
      <c r="AI93" s="18" t="s">
        <v>429</v>
      </c>
    </row>
    <row r="94" spans="1:35">
      <c r="A94" s="17" t="s">
        <v>1889</v>
      </c>
      <c r="B94" s="17" t="s">
        <v>1890</v>
      </c>
      <c r="C94" s="18">
        <v>-2.4</v>
      </c>
      <c r="D94" s="19">
        <v>-2.2000000000000002</v>
      </c>
      <c r="E94" s="19">
        <v>-1.9</v>
      </c>
      <c r="F94" s="18">
        <v>-2.6</v>
      </c>
      <c r="G94" s="18">
        <v>-3.4</v>
      </c>
      <c r="H94" s="19" t="s">
        <v>429</v>
      </c>
      <c r="I94" s="19" t="s">
        <v>429</v>
      </c>
      <c r="J94" s="18" t="s">
        <v>429</v>
      </c>
      <c r="K94" s="18" t="s">
        <v>429</v>
      </c>
      <c r="L94" s="19" t="s">
        <v>429</v>
      </c>
      <c r="M94" s="19" t="s">
        <v>429</v>
      </c>
      <c r="N94" s="18" t="s">
        <v>429</v>
      </c>
      <c r="O94" s="18" t="s">
        <v>429</v>
      </c>
      <c r="P94" s="19" t="s">
        <v>429</v>
      </c>
      <c r="Q94" s="19" t="s">
        <v>429</v>
      </c>
      <c r="R94" s="18" t="s">
        <v>429</v>
      </c>
      <c r="S94" s="18" t="s">
        <v>429</v>
      </c>
      <c r="T94" s="19" t="s">
        <v>429</v>
      </c>
      <c r="U94" s="19" t="s">
        <v>429</v>
      </c>
      <c r="V94" s="18" t="s">
        <v>429</v>
      </c>
      <c r="W94" s="18" t="s">
        <v>429</v>
      </c>
      <c r="X94" s="19" t="s">
        <v>429</v>
      </c>
      <c r="Y94" s="19" t="s">
        <v>429</v>
      </c>
      <c r="Z94" s="18" t="s">
        <v>429</v>
      </c>
      <c r="AA94" s="18" t="s">
        <v>429</v>
      </c>
      <c r="AB94" s="19" t="s">
        <v>429</v>
      </c>
      <c r="AC94" s="19" t="s">
        <v>429</v>
      </c>
      <c r="AD94" s="18" t="s">
        <v>429</v>
      </c>
      <c r="AE94" s="18" t="s">
        <v>429</v>
      </c>
      <c r="AF94" s="19" t="s">
        <v>429</v>
      </c>
      <c r="AG94" s="19" t="s">
        <v>429</v>
      </c>
      <c r="AH94" s="18" t="s">
        <v>429</v>
      </c>
      <c r="AI94" s="18" t="s">
        <v>429</v>
      </c>
    </row>
    <row r="95" spans="1:35">
      <c r="A95" s="17" t="s">
        <v>1889</v>
      </c>
      <c r="B95" s="17" t="s">
        <v>1891</v>
      </c>
      <c r="C95" s="18">
        <v>-175.3</v>
      </c>
      <c r="D95" s="19">
        <v>-167.7</v>
      </c>
      <c r="E95" s="19">
        <v>-168.2</v>
      </c>
      <c r="F95" s="18">
        <v>-167.9</v>
      </c>
      <c r="G95" s="18">
        <v>-162.5</v>
      </c>
      <c r="H95" s="19">
        <v>-160</v>
      </c>
      <c r="I95" s="19">
        <v>-163.19999999999999</v>
      </c>
      <c r="J95" s="18">
        <v>-154.69999999999999</v>
      </c>
      <c r="K95" s="18">
        <v>-153.9</v>
      </c>
      <c r="L95" s="19">
        <v>-164.2</v>
      </c>
      <c r="M95" s="19">
        <v>-164.6</v>
      </c>
      <c r="N95" s="18">
        <v>-156.19999999999999</v>
      </c>
      <c r="O95" s="18">
        <v>-184.9</v>
      </c>
      <c r="P95" s="19">
        <v>-176.8</v>
      </c>
      <c r="Q95" s="19">
        <v>-172.8</v>
      </c>
      <c r="R95" s="18">
        <v>-187.8</v>
      </c>
      <c r="S95" s="18">
        <v>-194.7</v>
      </c>
      <c r="T95" s="19">
        <v>-188.8</v>
      </c>
      <c r="U95" s="19">
        <v>-186</v>
      </c>
      <c r="V95" s="18">
        <v>-180.3</v>
      </c>
      <c r="W95" s="18">
        <v>-174</v>
      </c>
      <c r="X95" s="19" t="s">
        <v>429</v>
      </c>
      <c r="Y95" s="19" t="s">
        <v>429</v>
      </c>
      <c r="Z95" s="18" t="s">
        <v>429</v>
      </c>
      <c r="AA95" s="18" t="s">
        <v>429</v>
      </c>
      <c r="AB95" s="19" t="s">
        <v>429</v>
      </c>
      <c r="AC95" s="19" t="s">
        <v>429</v>
      </c>
      <c r="AD95" s="18" t="s">
        <v>429</v>
      </c>
      <c r="AE95" s="18" t="s">
        <v>429</v>
      </c>
      <c r="AF95" s="19" t="s">
        <v>429</v>
      </c>
      <c r="AG95" s="19" t="s">
        <v>429</v>
      </c>
      <c r="AH95" s="18" t="s">
        <v>429</v>
      </c>
      <c r="AI95" s="18" t="s">
        <v>429</v>
      </c>
    </row>
    <row r="96" spans="1:35">
      <c r="A96" s="17" t="s">
        <v>1892</v>
      </c>
      <c r="B96" s="17" t="s">
        <v>1893</v>
      </c>
      <c r="C96" s="18">
        <v>244.1</v>
      </c>
      <c r="D96" s="19">
        <v>120.5</v>
      </c>
      <c r="E96" s="19">
        <v>303.60000000000002</v>
      </c>
      <c r="F96" s="18">
        <v>169.9</v>
      </c>
      <c r="G96" s="18">
        <v>245.5</v>
      </c>
      <c r="H96" s="19">
        <v>112.3</v>
      </c>
      <c r="I96" s="19">
        <v>259.60000000000002</v>
      </c>
      <c r="J96" s="18">
        <v>125.1</v>
      </c>
      <c r="K96" s="18">
        <v>291.5</v>
      </c>
      <c r="L96" s="19">
        <v>109.1</v>
      </c>
      <c r="M96" s="19">
        <v>254.2</v>
      </c>
      <c r="N96" s="18">
        <v>157.5</v>
      </c>
      <c r="O96" s="18">
        <v>300.39999999999998</v>
      </c>
      <c r="P96" s="19">
        <v>161</v>
      </c>
      <c r="Q96" s="19">
        <v>193.4</v>
      </c>
      <c r="R96" s="18">
        <v>79.2</v>
      </c>
      <c r="S96" s="18">
        <v>226.2</v>
      </c>
      <c r="T96" s="19">
        <v>114.8</v>
      </c>
      <c r="U96" s="19">
        <v>200.5</v>
      </c>
      <c r="V96" s="18">
        <v>99.9</v>
      </c>
      <c r="W96" s="18">
        <v>180.4</v>
      </c>
      <c r="X96" s="19">
        <v>93</v>
      </c>
      <c r="Y96" s="19">
        <v>171.9</v>
      </c>
      <c r="Z96" s="18">
        <v>79.7</v>
      </c>
      <c r="AA96" s="18">
        <v>169.4</v>
      </c>
      <c r="AB96" s="19">
        <v>53.2</v>
      </c>
      <c r="AC96" s="19">
        <v>115.1</v>
      </c>
      <c r="AD96" s="18">
        <v>28.6</v>
      </c>
      <c r="AE96" s="18">
        <v>155.1</v>
      </c>
      <c r="AF96" s="19">
        <v>78.2</v>
      </c>
      <c r="AG96" s="19">
        <v>127</v>
      </c>
      <c r="AH96" s="18">
        <v>92.5</v>
      </c>
      <c r="AI96" s="18">
        <v>85</v>
      </c>
    </row>
    <row r="97" spans="1:35">
      <c r="A97" s="17" t="s">
        <v>1894</v>
      </c>
      <c r="B97" s="17" t="s">
        <v>1895</v>
      </c>
      <c r="C97" s="18">
        <v>66.599999999999994</v>
      </c>
      <c r="D97" s="19">
        <v>44.1</v>
      </c>
      <c r="E97" s="19">
        <v>77.900000000000006</v>
      </c>
      <c r="F97" s="18">
        <v>51</v>
      </c>
      <c r="G97" s="18">
        <v>73.7</v>
      </c>
      <c r="H97" s="19">
        <v>39.9</v>
      </c>
      <c r="I97" s="19">
        <v>78.099999999999994</v>
      </c>
      <c r="J97" s="18">
        <v>37.4</v>
      </c>
      <c r="K97" s="18">
        <v>87.8</v>
      </c>
      <c r="L97" s="19">
        <v>32.6</v>
      </c>
      <c r="M97" s="19">
        <v>75.599999999999994</v>
      </c>
      <c r="N97" s="18">
        <v>42.7</v>
      </c>
      <c r="O97" s="18">
        <v>-74.099999999999994</v>
      </c>
      <c r="P97" s="19">
        <v>133.5</v>
      </c>
      <c r="Q97" s="19">
        <v>198.3</v>
      </c>
      <c r="R97" s="18">
        <v>-1.4</v>
      </c>
      <c r="S97" s="18">
        <v>128.5</v>
      </c>
      <c r="T97" s="19">
        <v>7.5</v>
      </c>
      <c r="U97" s="19">
        <v>34.299999999999997</v>
      </c>
      <c r="V97" s="18">
        <v>-8.9</v>
      </c>
      <c r="W97" s="18">
        <v>34.200000000000003</v>
      </c>
      <c r="X97" s="19">
        <v>6.1</v>
      </c>
      <c r="Y97" s="19">
        <v>5.9</v>
      </c>
      <c r="Z97" s="18">
        <v>6.1</v>
      </c>
      <c r="AA97" s="18">
        <v>34</v>
      </c>
      <c r="AB97" s="19">
        <v>-1.5</v>
      </c>
      <c r="AC97" s="19">
        <v>22.9</v>
      </c>
      <c r="AD97" s="18">
        <v>-2.8</v>
      </c>
      <c r="AE97" s="18">
        <v>35.5</v>
      </c>
      <c r="AF97" s="19">
        <v>14.5</v>
      </c>
      <c r="AG97" s="19">
        <v>29.4</v>
      </c>
      <c r="AH97" s="18">
        <v>22.8</v>
      </c>
      <c r="AI97" s="18">
        <v>17.8</v>
      </c>
    </row>
    <row r="98" spans="1:35">
      <c r="A98" s="17" t="s">
        <v>1896</v>
      </c>
      <c r="B98" s="17" t="s">
        <v>1897</v>
      </c>
      <c r="C98" s="18">
        <v>177.5</v>
      </c>
      <c r="D98" s="19">
        <v>76.400000000000006</v>
      </c>
      <c r="E98" s="19">
        <v>225.7</v>
      </c>
      <c r="F98" s="18">
        <v>118.9</v>
      </c>
      <c r="G98" s="18">
        <v>171.8</v>
      </c>
      <c r="H98" s="19">
        <v>72.400000000000006</v>
      </c>
      <c r="I98" s="19">
        <v>181.5</v>
      </c>
      <c r="J98" s="18">
        <v>87.7</v>
      </c>
      <c r="K98" s="18">
        <v>203.7</v>
      </c>
      <c r="L98" s="19">
        <v>76.5</v>
      </c>
      <c r="M98" s="19">
        <v>178.6</v>
      </c>
      <c r="N98" s="18">
        <v>114.8</v>
      </c>
      <c r="O98" s="18">
        <v>374.5</v>
      </c>
      <c r="P98" s="19">
        <v>27.5</v>
      </c>
      <c r="Q98" s="19">
        <v>-4.9000000000000004</v>
      </c>
      <c r="R98" s="18">
        <v>80.599999999999994</v>
      </c>
      <c r="S98" s="18">
        <v>97.7</v>
      </c>
      <c r="T98" s="19">
        <v>107.3</v>
      </c>
      <c r="U98" s="19">
        <v>166.2</v>
      </c>
      <c r="V98" s="18">
        <v>108.8</v>
      </c>
      <c r="W98" s="18">
        <v>146.19999999999999</v>
      </c>
      <c r="X98" s="19">
        <v>86.9</v>
      </c>
      <c r="Y98" s="19">
        <v>166</v>
      </c>
      <c r="Z98" s="18">
        <v>73.599999999999994</v>
      </c>
      <c r="AA98" s="18">
        <v>135.4</v>
      </c>
      <c r="AB98" s="19">
        <v>54.7</v>
      </c>
      <c r="AC98" s="19">
        <v>92.2</v>
      </c>
      <c r="AD98" s="18">
        <v>31.4</v>
      </c>
      <c r="AE98" s="18">
        <v>119.6</v>
      </c>
      <c r="AF98" s="19">
        <v>63.7</v>
      </c>
      <c r="AG98" s="19">
        <v>97.6</v>
      </c>
      <c r="AH98" s="18">
        <v>69.7</v>
      </c>
      <c r="AI98" s="18">
        <v>67.2</v>
      </c>
    </row>
    <row r="99" spans="1:35">
      <c r="A99" s="17" t="s">
        <v>1898</v>
      </c>
      <c r="B99" s="17" t="s">
        <v>1899</v>
      </c>
      <c r="C99" s="18">
        <v>177.5</v>
      </c>
      <c r="D99" s="19">
        <v>76.400000000000006</v>
      </c>
      <c r="E99" s="19">
        <v>225.7</v>
      </c>
      <c r="F99" s="18">
        <v>118.9</v>
      </c>
      <c r="G99" s="18">
        <v>171.8</v>
      </c>
      <c r="H99" s="19">
        <v>72.400000000000006</v>
      </c>
      <c r="I99" s="19">
        <v>181.5</v>
      </c>
      <c r="J99" s="18">
        <v>87.7</v>
      </c>
      <c r="K99" s="18">
        <v>203.7</v>
      </c>
      <c r="L99" s="19">
        <v>76.5</v>
      </c>
      <c r="M99" s="19">
        <v>178.6</v>
      </c>
      <c r="N99" s="18">
        <v>114.8</v>
      </c>
      <c r="O99" s="18">
        <v>374.5</v>
      </c>
      <c r="P99" s="19">
        <v>27.5</v>
      </c>
      <c r="Q99" s="19">
        <v>-4.9000000000000004</v>
      </c>
      <c r="R99" s="18">
        <v>80.599999999999994</v>
      </c>
      <c r="S99" s="18">
        <v>97.7</v>
      </c>
      <c r="T99" s="19">
        <v>107.3</v>
      </c>
      <c r="U99" s="19">
        <v>166.2</v>
      </c>
      <c r="V99" s="18">
        <v>108.8</v>
      </c>
      <c r="W99" s="18">
        <v>146.19999999999999</v>
      </c>
      <c r="X99" s="19">
        <v>86.9</v>
      </c>
      <c r="Y99" s="19">
        <v>166</v>
      </c>
      <c r="Z99" s="18">
        <v>73.599999999999994</v>
      </c>
      <c r="AA99" s="18">
        <v>135.4</v>
      </c>
      <c r="AB99" s="19">
        <v>54.7</v>
      </c>
      <c r="AC99" s="19">
        <v>92.2</v>
      </c>
      <c r="AD99" s="18">
        <v>31.4</v>
      </c>
      <c r="AE99" s="18">
        <v>119.6</v>
      </c>
      <c r="AF99" s="19">
        <v>63.7</v>
      </c>
      <c r="AG99" s="19">
        <v>97.6</v>
      </c>
      <c r="AH99" s="18">
        <v>69.7</v>
      </c>
      <c r="AI99" s="18">
        <v>67.2</v>
      </c>
    </row>
    <row r="100" spans="1:35">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row>
    <row r="101" spans="1:35">
      <c r="A101" s="17" t="s">
        <v>1900</v>
      </c>
      <c r="B101" s="17" t="s">
        <v>1901</v>
      </c>
      <c r="C101" s="18" t="s">
        <v>429</v>
      </c>
      <c r="D101" s="19" t="s">
        <v>429</v>
      </c>
      <c r="E101" s="19" t="s">
        <v>429</v>
      </c>
      <c r="F101" s="18" t="s">
        <v>429</v>
      </c>
      <c r="G101" s="18" t="s">
        <v>429</v>
      </c>
      <c r="H101" s="19" t="s">
        <v>429</v>
      </c>
      <c r="I101" s="19" t="s">
        <v>429</v>
      </c>
      <c r="J101" s="18" t="s">
        <v>429</v>
      </c>
      <c r="K101" s="18" t="s">
        <v>429</v>
      </c>
      <c r="L101" s="19" t="s">
        <v>429</v>
      </c>
      <c r="M101" s="19" t="s">
        <v>429</v>
      </c>
      <c r="N101" s="18" t="s">
        <v>429</v>
      </c>
      <c r="O101" s="18" t="s">
        <v>429</v>
      </c>
      <c r="P101" s="19" t="s">
        <v>429</v>
      </c>
      <c r="Q101" s="19" t="s">
        <v>429</v>
      </c>
      <c r="R101" s="18" t="s">
        <v>429</v>
      </c>
      <c r="S101" s="18" t="s">
        <v>429</v>
      </c>
      <c r="T101" s="19" t="s">
        <v>429</v>
      </c>
      <c r="U101" s="19" t="s">
        <v>429</v>
      </c>
      <c r="V101" s="18" t="s">
        <v>429</v>
      </c>
      <c r="W101" s="18" t="s">
        <v>429</v>
      </c>
      <c r="X101" s="19" t="s">
        <v>429</v>
      </c>
      <c r="Y101" s="19" t="s">
        <v>429</v>
      </c>
      <c r="Z101" s="18" t="s">
        <v>429</v>
      </c>
      <c r="AA101" s="18" t="s">
        <v>429</v>
      </c>
      <c r="AB101" s="19">
        <v>0</v>
      </c>
      <c r="AC101" s="19" t="s">
        <v>429</v>
      </c>
      <c r="AD101" s="18">
        <v>6.4</v>
      </c>
      <c r="AE101" s="18" t="s">
        <v>429</v>
      </c>
      <c r="AF101" s="19">
        <v>0</v>
      </c>
      <c r="AG101" s="19">
        <v>17.100000000000001</v>
      </c>
      <c r="AH101" s="18">
        <v>0</v>
      </c>
      <c r="AI101" s="18">
        <v>230.7</v>
      </c>
    </row>
    <row r="102" spans="1:35">
      <c r="A102" s="17" t="s">
        <v>1902</v>
      </c>
      <c r="B102" s="17" t="s">
        <v>1903</v>
      </c>
      <c r="C102" s="18">
        <v>177.5</v>
      </c>
      <c r="D102" s="19">
        <v>76.400000000000006</v>
      </c>
      <c r="E102" s="19">
        <v>225.7</v>
      </c>
      <c r="F102" s="18">
        <v>118.9</v>
      </c>
      <c r="G102" s="18">
        <v>171.8</v>
      </c>
      <c r="H102" s="19">
        <v>72.400000000000006</v>
      </c>
      <c r="I102" s="19">
        <v>181.5</v>
      </c>
      <c r="J102" s="18">
        <v>87.7</v>
      </c>
      <c r="K102" s="18">
        <v>203.7</v>
      </c>
      <c r="L102" s="19">
        <v>76.5</v>
      </c>
      <c r="M102" s="19">
        <v>178.6</v>
      </c>
      <c r="N102" s="18">
        <v>114.8</v>
      </c>
      <c r="O102" s="18">
        <v>374.5</v>
      </c>
      <c r="P102" s="19">
        <v>27.5</v>
      </c>
      <c r="Q102" s="19">
        <v>-4.9000000000000004</v>
      </c>
      <c r="R102" s="18">
        <v>80.599999999999994</v>
      </c>
      <c r="S102" s="18">
        <v>97.7</v>
      </c>
      <c r="T102" s="19">
        <v>107.3</v>
      </c>
      <c r="U102" s="19">
        <v>166.2</v>
      </c>
      <c r="V102" s="18">
        <v>108.8</v>
      </c>
      <c r="W102" s="18">
        <v>146.19999999999999</v>
      </c>
      <c r="X102" s="19">
        <v>86.9</v>
      </c>
      <c r="Y102" s="19">
        <v>166</v>
      </c>
      <c r="Z102" s="18">
        <v>73.599999999999994</v>
      </c>
      <c r="AA102" s="18">
        <v>135.4</v>
      </c>
      <c r="AB102" s="19">
        <v>54.7</v>
      </c>
      <c r="AC102" s="19">
        <v>92.2</v>
      </c>
      <c r="AD102" s="18">
        <v>37.799999999999997</v>
      </c>
      <c r="AE102" s="18">
        <v>119.6</v>
      </c>
      <c r="AF102" s="19">
        <v>63.7</v>
      </c>
      <c r="AG102" s="19">
        <v>114.6</v>
      </c>
      <c r="AH102" s="18">
        <v>69.7</v>
      </c>
      <c r="AI102" s="18">
        <v>297.89999999999998</v>
      </c>
    </row>
    <row r="103" spans="1:35">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row>
    <row r="104" spans="1:35">
      <c r="A104" s="17" t="s">
        <v>1904</v>
      </c>
      <c r="B104" s="17" t="s">
        <v>1905</v>
      </c>
      <c r="C104" s="18">
        <v>177.5</v>
      </c>
      <c r="D104" s="19">
        <v>76.400000000000006</v>
      </c>
      <c r="E104" s="19">
        <v>225.7</v>
      </c>
      <c r="F104" s="18">
        <v>118.9</v>
      </c>
      <c r="G104" s="18">
        <v>171.8</v>
      </c>
      <c r="H104" s="19">
        <v>72.400000000000006</v>
      </c>
      <c r="I104" s="19">
        <v>181.5</v>
      </c>
      <c r="J104" s="18">
        <v>87.7</v>
      </c>
      <c r="K104" s="18">
        <v>203.7</v>
      </c>
      <c r="L104" s="19">
        <v>76.5</v>
      </c>
      <c r="M104" s="19">
        <v>178.6</v>
      </c>
      <c r="N104" s="18">
        <v>114.8</v>
      </c>
      <c r="O104" s="18">
        <v>374.5</v>
      </c>
      <c r="P104" s="19">
        <v>27.5</v>
      </c>
      <c r="Q104" s="19">
        <v>-4.9000000000000004</v>
      </c>
      <c r="R104" s="18">
        <v>80.599999999999994</v>
      </c>
      <c r="S104" s="18">
        <v>97.7</v>
      </c>
      <c r="T104" s="19">
        <v>107.3</v>
      </c>
      <c r="U104" s="19">
        <v>166.2</v>
      </c>
      <c r="V104" s="18">
        <v>108.8</v>
      </c>
      <c r="W104" s="18">
        <v>146.19999999999999</v>
      </c>
      <c r="X104" s="19">
        <v>86.9</v>
      </c>
      <c r="Y104" s="19">
        <v>166</v>
      </c>
      <c r="Z104" s="18">
        <v>73.599999999999994</v>
      </c>
      <c r="AA104" s="18">
        <v>135.4</v>
      </c>
      <c r="AB104" s="19">
        <v>54.7</v>
      </c>
      <c r="AC104" s="19">
        <v>92.2</v>
      </c>
      <c r="AD104" s="18">
        <v>31.4</v>
      </c>
      <c r="AE104" s="18">
        <v>119.6</v>
      </c>
      <c r="AF104" s="19">
        <v>63.7</v>
      </c>
      <c r="AG104" s="19">
        <v>97.6</v>
      </c>
      <c r="AH104" s="18">
        <v>69.7</v>
      </c>
      <c r="AI104" s="18">
        <v>67.2</v>
      </c>
    </row>
    <row r="105" spans="1:35">
      <c r="A105" s="17" t="s">
        <v>1906</v>
      </c>
      <c r="B105" s="17" t="s">
        <v>1907</v>
      </c>
      <c r="C105" s="18">
        <v>177.5</v>
      </c>
      <c r="D105" s="19">
        <v>76.400000000000006</v>
      </c>
      <c r="E105" s="19">
        <v>225.7</v>
      </c>
      <c r="F105" s="18">
        <v>118.9</v>
      </c>
      <c r="G105" s="18">
        <v>171.8</v>
      </c>
      <c r="H105" s="19">
        <v>72.400000000000006</v>
      </c>
      <c r="I105" s="19">
        <v>181.5</v>
      </c>
      <c r="J105" s="18">
        <v>87.7</v>
      </c>
      <c r="K105" s="18">
        <v>203.7</v>
      </c>
      <c r="L105" s="19">
        <v>76.5</v>
      </c>
      <c r="M105" s="19">
        <v>178.6</v>
      </c>
      <c r="N105" s="18">
        <v>114.8</v>
      </c>
      <c r="O105" s="18">
        <v>374.5</v>
      </c>
      <c r="P105" s="19">
        <v>27.5</v>
      </c>
      <c r="Q105" s="19">
        <v>-4.9000000000000004</v>
      </c>
      <c r="R105" s="18">
        <v>80.599999999999994</v>
      </c>
      <c r="S105" s="18">
        <v>97.7</v>
      </c>
      <c r="T105" s="19">
        <v>107.3</v>
      </c>
      <c r="U105" s="19">
        <v>166.2</v>
      </c>
      <c r="V105" s="18">
        <v>108.8</v>
      </c>
      <c r="W105" s="18">
        <v>146.19999999999999</v>
      </c>
      <c r="X105" s="19">
        <v>86.9</v>
      </c>
      <c r="Y105" s="19">
        <v>166</v>
      </c>
      <c r="Z105" s="18">
        <v>73.599999999999994</v>
      </c>
      <c r="AA105" s="18">
        <v>135.4</v>
      </c>
      <c r="AB105" s="19">
        <v>54.7</v>
      </c>
      <c r="AC105" s="19">
        <v>92.2</v>
      </c>
      <c r="AD105" s="18">
        <v>37.799999999999997</v>
      </c>
      <c r="AE105" s="18">
        <v>119.6</v>
      </c>
      <c r="AF105" s="19">
        <v>63.7</v>
      </c>
      <c r="AG105" s="19">
        <v>114.6</v>
      </c>
      <c r="AH105" s="18">
        <v>69.7</v>
      </c>
      <c r="AI105" s="18">
        <v>297.89999999999998</v>
      </c>
    </row>
    <row r="106" spans="1:35">
      <c r="A106" s="17" t="s">
        <v>1908</v>
      </c>
      <c r="B106" s="17" t="s">
        <v>1909</v>
      </c>
      <c r="C106" s="18">
        <v>3813</v>
      </c>
      <c r="D106" s="19">
        <v>3778</v>
      </c>
      <c r="E106" s="19">
        <v>3738</v>
      </c>
      <c r="F106" s="18">
        <v>3707</v>
      </c>
      <c r="G106" s="18">
        <v>3667</v>
      </c>
      <c r="H106" s="19">
        <v>3631</v>
      </c>
      <c r="I106" s="19">
        <v>3609</v>
      </c>
      <c r="J106" s="18">
        <v>3606.3</v>
      </c>
      <c r="K106" s="18">
        <v>3603.7</v>
      </c>
      <c r="L106" s="19">
        <v>3587.2</v>
      </c>
      <c r="M106" s="19">
        <v>3552.8</v>
      </c>
      <c r="N106" s="18">
        <v>3524.9</v>
      </c>
      <c r="O106" s="18">
        <v>3489.1</v>
      </c>
      <c r="P106" s="19">
        <v>3447.1</v>
      </c>
      <c r="Q106" s="19">
        <v>3406.9</v>
      </c>
      <c r="R106" s="18">
        <v>3381.9</v>
      </c>
      <c r="S106" s="18">
        <v>3372.1</v>
      </c>
      <c r="T106" s="19">
        <v>3354.6</v>
      </c>
      <c r="U106" s="19">
        <v>3181.4</v>
      </c>
      <c r="V106" s="18">
        <v>2915.5</v>
      </c>
      <c r="W106" s="18">
        <v>2862.4</v>
      </c>
      <c r="X106" s="19">
        <v>2811.8</v>
      </c>
      <c r="Y106" s="19">
        <v>2764.6</v>
      </c>
      <c r="Z106" s="18">
        <v>2724.3</v>
      </c>
      <c r="AA106" s="18">
        <v>2514.1999999999998</v>
      </c>
      <c r="AB106" s="19">
        <v>2196</v>
      </c>
      <c r="AC106" s="19">
        <v>2121.3000000000002</v>
      </c>
      <c r="AD106" s="18">
        <v>2179.5</v>
      </c>
      <c r="AE106" s="18">
        <v>2179.5</v>
      </c>
      <c r="AF106" s="19">
        <v>2179.5</v>
      </c>
      <c r="AG106" s="19">
        <v>2179.5</v>
      </c>
      <c r="AH106" s="18">
        <v>2179.5</v>
      </c>
      <c r="AI106" s="18">
        <v>2179.5</v>
      </c>
    </row>
    <row r="107" spans="1:35">
      <c r="A107" s="17" t="s">
        <v>1910</v>
      </c>
      <c r="B107" s="17" t="s">
        <v>1911</v>
      </c>
      <c r="C107" s="36">
        <v>0.05</v>
      </c>
      <c r="D107" s="37">
        <v>0.02</v>
      </c>
      <c r="E107" s="37">
        <v>0.06</v>
      </c>
      <c r="F107" s="36">
        <v>0.03</v>
      </c>
      <c r="G107" s="36">
        <v>0.05</v>
      </c>
      <c r="H107" s="37">
        <v>0.02</v>
      </c>
      <c r="I107" s="37">
        <v>0.05</v>
      </c>
      <c r="J107" s="36">
        <v>0.02</v>
      </c>
      <c r="K107" s="36">
        <v>0.06</v>
      </c>
      <c r="L107" s="37">
        <v>0.02</v>
      </c>
      <c r="M107" s="37">
        <v>0.05</v>
      </c>
      <c r="N107" s="36">
        <v>0.03</v>
      </c>
      <c r="O107" s="36">
        <v>0.11</v>
      </c>
      <c r="P107" s="37">
        <v>0.01</v>
      </c>
      <c r="Q107" s="37">
        <v>0</v>
      </c>
      <c r="R107" s="36">
        <v>0.02</v>
      </c>
      <c r="S107" s="36">
        <v>0.03</v>
      </c>
      <c r="T107" s="37">
        <v>0.03</v>
      </c>
      <c r="U107" s="37">
        <v>0.05</v>
      </c>
      <c r="V107" s="36">
        <v>0.04</v>
      </c>
      <c r="W107" s="36">
        <v>0.05</v>
      </c>
      <c r="X107" s="37">
        <v>0.03</v>
      </c>
      <c r="Y107" s="37">
        <v>0.06</v>
      </c>
      <c r="Z107" s="36">
        <v>0.03</v>
      </c>
      <c r="AA107" s="36">
        <v>0.05</v>
      </c>
      <c r="AB107" s="37">
        <v>0.02</v>
      </c>
      <c r="AC107" s="37">
        <v>0.04</v>
      </c>
      <c r="AD107" s="36">
        <v>0.01</v>
      </c>
      <c r="AE107" s="36">
        <v>0.05</v>
      </c>
      <c r="AF107" s="37">
        <v>0.03</v>
      </c>
      <c r="AG107" s="37">
        <v>0.04</v>
      </c>
      <c r="AH107" s="36">
        <v>0.03</v>
      </c>
      <c r="AI107" s="36">
        <v>0.03</v>
      </c>
    </row>
    <row r="108" spans="1:35">
      <c r="A108" s="17" t="s">
        <v>1912</v>
      </c>
      <c r="B108" s="17" t="s">
        <v>1913</v>
      </c>
      <c r="C108" s="36">
        <v>0.05</v>
      </c>
      <c r="D108" s="37">
        <v>0.02</v>
      </c>
      <c r="E108" s="37">
        <v>0.06</v>
      </c>
      <c r="F108" s="36">
        <v>0.03</v>
      </c>
      <c r="G108" s="36">
        <v>0.05</v>
      </c>
      <c r="H108" s="37">
        <v>0.02</v>
      </c>
      <c r="I108" s="37">
        <v>0.05</v>
      </c>
      <c r="J108" s="36">
        <v>0.02</v>
      </c>
      <c r="K108" s="36">
        <v>0.06</v>
      </c>
      <c r="L108" s="37">
        <v>0.02</v>
      </c>
      <c r="M108" s="37">
        <v>0.05</v>
      </c>
      <c r="N108" s="36">
        <v>0.03</v>
      </c>
      <c r="O108" s="36">
        <v>0.11</v>
      </c>
      <c r="P108" s="37">
        <v>0.01</v>
      </c>
      <c r="Q108" s="37">
        <v>0</v>
      </c>
      <c r="R108" s="36">
        <v>0.02</v>
      </c>
      <c r="S108" s="36">
        <v>0.03</v>
      </c>
      <c r="T108" s="37">
        <v>0.03</v>
      </c>
      <c r="U108" s="37">
        <v>0.05</v>
      </c>
      <c r="V108" s="36">
        <v>0.04</v>
      </c>
      <c r="W108" s="36">
        <v>0.05</v>
      </c>
      <c r="X108" s="37">
        <v>0.03</v>
      </c>
      <c r="Y108" s="37">
        <v>0.06</v>
      </c>
      <c r="Z108" s="36">
        <v>0.03</v>
      </c>
      <c r="AA108" s="36">
        <v>0.05</v>
      </c>
      <c r="AB108" s="37">
        <v>0.02</v>
      </c>
      <c r="AC108" s="37">
        <v>0.04</v>
      </c>
      <c r="AD108" s="36">
        <v>0.02</v>
      </c>
      <c r="AE108" s="36">
        <v>0.05</v>
      </c>
      <c r="AF108" s="37">
        <v>0.03</v>
      </c>
      <c r="AG108" s="37">
        <v>0.05</v>
      </c>
      <c r="AH108" s="36">
        <v>0.03</v>
      </c>
      <c r="AI108" s="36">
        <v>0.14000000000000001</v>
      </c>
    </row>
    <row r="109" spans="1:35">
      <c r="A109" s="17" t="s">
        <v>1914</v>
      </c>
      <c r="B109" s="17" t="s">
        <v>1915</v>
      </c>
      <c r="C109" s="18" t="s">
        <v>429</v>
      </c>
      <c r="D109" s="19" t="s">
        <v>429</v>
      </c>
      <c r="E109" s="19" t="s">
        <v>429</v>
      </c>
      <c r="F109" s="18" t="s">
        <v>429</v>
      </c>
      <c r="G109" s="18" t="s">
        <v>429</v>
      </c>
      <c r="H109" s="19" t="s">
        <v>429</v>
      </c>
      <c r="I109" s="19" t="s">
        <v>429</v>
      </c>
      <c r="J109" s="18" t="s">
        <v>429</v>
      </c>
      <c r="K109" s="18" t="s">
        <v>429</v>
      </c>
      <c r="L109" s="19" t="s">
        <v>429</v>
      </c>
      <c r="M109" s="19" t="s">
        <v>429</v>
      </c>
      <c r="N109" s="18" t="s">
        <v>429</v>
      </c>
      <c r="O109" s="18" t="s">
        <v>429</v>
      </c>
      <c r="P109" s="19" t="s">
        <v>429</v>
      </c>
      <c r="Q109" s="19" t="s">
        <v>429</v>
      </c>
      <c r="R109" s="18" t="s">
        <v>429</v>
      </c>
      <c r="S109" s="18" t="s">
        <v>429</v>
      </c>
      <c r="T109" s="19" t="s">
        <v>429</v>
      </c>
      <c r="U109" s="19" t="s">
        <v>429</v>
      </c>
      <c r="V109" s="18">
        <v>0</v>
      </c>
      <c r="W109" s="18">
        <v>0</v>
      </c>
      <c r="X109" s="19">
        <v>0</v>
      </c>
      <c r="Y109" s="19">
        <v>0</v>
      </c>
      <c r="Z109" s="18">
        <v>0</v>
      </c>
      <c r="AA109" s="18">
        <v>0</v>
      </c>
      <c r="AB109" s="19">
        <v>0</v>
      </c>
      <c r="AC109" s="19" t="s">
        <v>429</v>
      </c>
      <c r="AD109" s="18" t="s">
        <v>429</v>
      </c>
      <c r="AE109" s="18" t="s">
        <v>429</v>
      </c>
      <c r="AF109" s="19" t="s">
        <v>429</v>
      </c>
      <c r="AG109" s="19" t="s">
        <v>429</v>
      </c>
      <c r="AH109" s="18" t="s">
        <v>429</v>
      </c>
      <c r="AI109" s="18" t="s">
        <v>429</v>
      </c>
    </row>
    <row r="110" spans="1:35">
      <c r="A110" s="17" t="s">
        <v>1916</v>
      </c>
      <c r="B110" s="17" t="s">
        <v>1917</v>
      </c>
      <c r="C110" s="18">
        <v>177.5</v>
      </c>
      <c r="D110" s="19">
        <v>76.400000000000006</v>
      </c>
      <c r="E110" s="19">
        <v>225.7</v>
      </c>
      <c r="F110" s="18">
        <v>118.9</v>
      </c>
      <c r="G110" s="18">
        <v>171.8</v>
      </c>
      <c r="H110" s="19">
        <v>72.400000000000006</v>
      </c>
      <c r="I110" s="19">
        <v>181.5</v>
      </c>
      <c r="J110" s="18">
        <v>87.7</v>
      </c>
      <c r="K110" s="18">
        <v>203.7</v>
      </c>
      <c r="L110" s="19">
        <v>76.5</v>
      </c>
      <c r="M110" s="19">
        <v>178.6</v>
      </c>
      <c r="N110" s="18">
        <v>114.8</v>
      </c>
      <c r="O110" s="18">
        <v>374.5</v>
      </c>
      <c r="P110" s="19">
        <v>27.5</v>
      </c>
      <c r="Q110" s="19">
        <v>-4.9000000000000004</v>
      </c>
      <c r="R110" s="18">
        <v>80.599999999999994</v>
      </c>
      <c r="S110" s="18">
        <v>97.7</v>
      </c>
      <c r="T110" s="19">
        <v>107.3</v>
      </c>
      <c r="U110" s="19">
        <v>166.2</v>
      </c>
      <c r="V110" s="18">
        <v>108.8</v>
      </c>
      <c r="W110" s="18">
        <v>146.19999999999999</v>
      </c>
      <c r="X110" s="19">
        <v>86.9</v>
      </c>
      <c r="Y110" s="19">
        <v>166</v>
      </c>
      <c r="Z110" s="18">
        <v>73.599999999999994</v>
      </c>
      <c r="AA110" s="18">
        <v>135.4</v>
      </c>
      <c r="AB110" s="19">
        <v>54.7</v>
      </c>
      <c r="AC110" s="19">
        <v>92.2</v>
      </c>
      <c r="AD110" s="18">
        <v>37.799999999999997</v>
      </c>
      <c r="AE110" s="18">
        <v>119.6</v>
      </c>
      <c r="AF110" s="19">
        <v>63.7</v>
      </c>
      <c r="AG110" s="19">
        <v>114.6</v>
      </c>
      <c r="AH110" s="18">
        <v>69.7</v>
      </c>
      <c r="AI110" s="18">
        <v>297.89999999999998</v>
      </c>
    </row>
    <row r="111" spans="1:35">
      <c r="A111" s="17" t="s">
        <v>1918</v>
      </c>
      <c r="B111" s="17" t="s">
        <v>1919</v>
      </c>
      <c r="C111" s="18">
        <v>3813</v>
      </c>
      <c r="D111" s="19">
        <v>3778</v>
      </c>
      <c r="E111" s="19">
        <v>3738</v>
      </c>
      <c r="F111" s="18">
        <v>3707</v>
      </c>
      <c r="G111" s="18">
        <v>3667</v>
      </c>
      <c r="H111" s="19">
        <v>3631</v>
      </c>
      <c r="I111" s="19">
        <v>3609</v>
      </c>
      <c r="J111" s="18">
        <v>3606.3</v>
      </c>
      <c r="K111" s="18">
        <v>3603.7</v>
      </c>
      <c r="L111" s="19">
        <v>3587.2</v>
      </c>
      <c r="M111" s="19">
        <v>3552.8</v>
      </c>
      <c r="N111" s="18">
        <v>3524.9</v>
      </c>
      <c r="O111" s="18">
        <v>3489.1</v>
      </c>
      <c r="P111" s="19">
        <v>3447.1</v>
      </c>
      <c r="Q111" s="19">
        <v>3406.9</v>
      </c>
      <c r="R111" s="18">
        <v>3381.9</v>
      </c>
      <c r="S111" s="18">
        <v>3372.1</v>
      </c>
      <c r="T111" s="19">
        <v>3354.6</v>
      </c>
      <c r="U111" s="19">
        <v>3181.4</v>
      </c>
      <c r="V111" s="18">
        <v>2915.5</v>
      </c>
      <c r="W111" s="18">
        <v>2862.4</v>
      </c>
      <c r="X111" s="19">
        <v>2811.8</v>
      </c>
      <c r="Y111" s="19">
        <v>2764.6</v>
      </c>
      <c r="Z111" s="18">
        <v>2724.3</v>
      </c>
      <c r="AA111" s="18">
        <v>2514.1999999999998</v>
      </c>
      <c r="AB111" s="19">
        <v>2196</v>
      </c>
      <c r="AC111" s="19">
        <v>2121.3000000000002</v>
      </c>
      <c r="AD111" s="18">
        <v>2179.5</v>
      </c>
      <c r="AE111" s="18">
        <v>2179.5</v>
      </c>
      <c r="AF111" s="19">
        <v>2179.5</v>
      </c>
      <c r="AG111" s="19">
        <v>2179.5</v>
      </c>
      <c r="AH111" s="18">
        <v>2179.5</v>
      </c>
      <c r="AI111" s="18">
        <v>2179.5</v>
      </c>
    </row>
    <row r="112" spans="1:35">
      <c r="A112" s="17" t="s">
        <v>1920</v>
      </c>
      <c r="B112" s="17" t="s">
        <v>1921</v>
      </c>
      <c r="C112" s="36">
        <v>0.05</v>
      </c>
      <c r="D112" s="37">
        <v>0.02</v>
      </c>
      <c r="E112" s="37">
        <v>0.06</v>
      </c>
      <c r="F112" s="36">
        <v>0.03</v>
      </c>
      <c r="G112" s="36">
        <v>0.05</v>
      </c>
      <c r="H112" s="37">
        <v>0.02</v>
      </c>
      <c r="I112" s="37">
        <v>0.05</v>
      </c>
      <c r="J112" s="36">
        <v>0.02</v>
      </c>
      <c r="K112" s="36">
        <v>0.06</v>
      </c>
      <c r="L112" s="37">
        <v>0.02</v>
      </c>
      <c r="M112" s="37">
        <v>0.05</v>
      </c>
      <c r="N112" s="36">
        <v>0.03</v>
      </c>
      <c r="O112" s="36">
        <v>0.11</v>
      </c>
      <c r="P112" s="37">
        <v>0.01</v>
      </c>
      <c r="Q112" s="37">
        <v>0</v>
      </c>
      <c r="R112" s="36">
        <v>0.02</v>
      </c>
      <c r="S112" s="36">
        <v>0.03</v>
      </c>
      <c r="T112" s="37">
        <v>0.03</v>
      </c>
      <c r="U112" s="37">
        <v>0.05</v>
      </c>
      <c r="V112" s="36">
        <v>0.04</v>
      </c>
      <c r="W112" s="36">
        <v>0.05</v>
      </c>
      <c r="X112" s="37">
        <v>0.03</v>
      </c>
      <c r="Y112" s="37">
        <v>0.06</v>
      </c>
      <c r="Z112" s="36">
        <v>0.03</v>
      </c>
      <c r="AA112" s="36">
        <v>0.05</v>
      </c>
      <c r="AB112" s="37">
        <v>0.02</v>
      </c>
      <c r="AC112" s="37">
        <v>0.04</v>
      </c>
      <c r="AD112" s="36">
        <v>0.01</v>
      </c>
      <c r="AE112" s="36">
        <v>0.05</v>
      </c>
      <c r="AF112" s="37">
        <v>0.03</v>
      </c>
      <c r="AG112" s="37">
        <v>0.04</v>
      </c>
      <c r="AH112" s="36">
        <v>0.03</v>
      </c>
      <c r="AI112" s="36">
        <v>0.03</v>
      </c>
    </row>
    <row r="113" spans="1:35">
      <c r="A113" s="17" t="s">
        <v>1922</v>
      </c>
      <c r="B113" s="17" t="s">
        <v>1923</v>
      </c>
      <c r="C113" s="36">
        <v>0.05</v>
      </c>
      <c r="D113" s="37">
        <v>0.02</v>
      </c>
      <c r="E113" s="37">
        <v>0.06</v>
      </c>
      <c r="F113" s="36">
        <v>0.03</v>
      </c>
      <c r="G113" s="36">
        <v>0.05</v>
      </c>
      <c r="H113" s="37">
        <v>0.02</v>
      </c>
      <c r="I113" s="37">
        <v>0.05</v>
      </c>
      <c r="J113" s="36">
        <v>0.02</v>
      </c>
      <c r="K113" s="36">
        <v>0.06</v>
      </c>
      <c r="L113" s="37">
        <v>0.02</v>
      </c>
      <c r="M113" s="37">
        <v>0.05</v>
      </c>
      <c r="N113" s="36">
        <v>0.03</v>
      </c>
      <c r="O113" s="36">
        <v>0.11</v>
      </c>
      <c r="P113" s="37">
        <v>0.01</v>
      </c>
      <c r="Q113" s="37">
        <v>0</v>
      </c>
      <c r="R113" s="36">
        <v>0.02</v>
      </c>
      <c r="S113" s="36">
        <v>0.03</v>
      </c>
      <c r="T113" s="37">
        <v>0.03</v>
      </c>
      <c r="U113" s="37">
        <v>0.05</v>
      </c>
      <c r="V113" s="36">
        <v>0.04</v>
      </c>
      <c r="W113" s="36">
        <v>0.05</v>
      </c>
      <c r="X113" s="37">
        <v>0.03</v>
      </c>
      <c r="Y113" s="37">
        <v>0.06</v>
      </c>
      <c r="Z113" s="36">
        <v>0.03</v>
      </c>
      <c r="AA113" s="36">
        <v>0.05</v>
      </c>
      <c r="AB113" s="37">
        <v>0.02</v>
      </c>
      <c r="AC113" s="37">
        <v>0.04</v>
      </c>
      <c r="AD113" s="36">
        <v>0.02</v>
      </c>
      <c r="AE113" s="36">
        <v>0.05</v>
      </c>
      <c r="AF113" s="37">
        <v>0.03</v>
      </c>
      <c r="AG113" s="37">
        <v>0.05</v>
      </c>
      <c r="AH113" s="36">
        <v>0.03</v>
      </c>
      <c r="AI113" s="36">
        <v>0.14000000000000001</v>
      </c>
    </row>
    <row r="114" spans="1:35">
      <c r="A114" s="15"/>
      <c r="B114" s="16" t="s">
        <v>1551</v>
      </c>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row>
    <row r="115" spans="1:35">
      <c r="A115" s="17" t="s">
        <v>1924</v>
      </c>
      <c r="B115" s="17" t="s">
        <v>1925</v>
      </c>
      <c r="C115" s="36" t="s">
        <v>429</v>
      </c>
      <c r="D115" s="37" t="s">
        <v>429</v>
      </c>
      <c r="E115" s="37" t="s">
        <v>429</v>
      </c>
      <c r="F115" s="36" t="s">
        <v>429</v>
      </c>
      <c r="G115" s="36" t="s">
        <v>429</v>
      </c>
      <c r="H115" s="37" t="s">
        <v>429</v>
      </c>
      <c r="I115" s="37" t="s">
        <v>429</v>
      </c>
      <c r="J115" s="36">
        <v>0.01</v>
      </c>
      <c r="K115" s="36" t="s">
        <v>429</v>
      </c>
      <c r="L115" s="37" t="s">
        <v>429</v>
      </c>
      <c r="M115" s="37" t="s">
        <v>429</v>
      </c>
      <c r="N115" s="36" t="s">
        <v>429</v>
      </c>
      <c r="O115" s="36" t="s">
        <v>429</v>
      </c>
      <c r="P115" s="37" t="s">
        <v>429</v>
      </c>
      <c r="Q115" s="37" t="s">
        <v>429</v>
      </c>
      <c r="R115" s="36" t="s">
        <v>429</v>
      </c>
      <c r="S115" s="36" t="s">
        <v>429</v>
      </c>
      <c r="T115" s="37" t="s">
        <v>429</v>
      </c>
      <c r="U115" s="37" t="s">
        <v>429</v>
      </c>
      <c r="V115" s="36" t="s">
        <v>429</v>
      </c>
      <c r="W115" s="36" t="s">
        <v>429</v>
      </c>
      <c r="X115" s="37" t="s">
        <v>429</v>
      </c>
      <c r="Y115" s="37" t="s">
        <v>429</v>
      </c>
      <c r="Z115" s="36" t="s">
        <v>429</v>
      </c>
      <c r="AA115" s="36" t="s">
        <v>429</v>
      </c>
      <c r="AB115" s="37" t="s">
        <v>429</v>
      </c>
      <c r="AC115" s="37" t="s">
        <v>429</v>
      </c>
      <c r="AD115" s="36" t="s">
        <v>429</v>
      </c>
      <c r="AE115" s="36" t="s">
        <v>429</v>
      </c>
      <c r="AF115" s="37" t="s">
        <v>429</v>
      </c>
      <c r="AG115" s="37" t="s">
        <v>429</v>
      </c>
      <c r="AH115" s="36" t="s">
        <v>429</v>
      </c>
      <c r="AI115" s="36" t="s">
        <v>429</v>
      </c>
    </row>
    <row r="116" spans="1:35">
      <c r="A116" s="17" t="s">
        <v>1926</v>
      </c>
      <c r="B116" s="17" t="s">
        <v>1927</v>
      </c>
      <c r="C116" s="36">
        <v>0.05</v>
      </c>
      <c r="D116" s="37">
        <v>0.05</v>
      </c>
      <c r="E116" s="37">
        <v>0.05</v>
      </c>
      <c r="F116" s="36">
        <v>0.05</v>
      </c>
      <c r="G116" s="36">
        <v>0.05</v>
      </c>
      <c r="H116" s="37">
        <v>0.05</v>
      </c>
      <c r="I116" s="37">
        <v>0.05</v>
      </c>
      <c r="J116" s="36">
        <v>0.05</v>
      </c>
      <c r="K116" s="36">
        <v>0.05</v>
      </c>
      <c r="L116" s="37">
        <v>0.04</v>
      </c>
      <c r="M116" s="37">
        <v>0.04</v>
      </c>
      <c r="N116" s="36">
        <v>0.04</v>
      </c>
      <c r="O116" s="36">
        <v>0.04</v>
      </c>
      <c r="P116" s="37">
        <v>0.04</v>
      </c>
      <c r="Q116" s="37">
        <v>0.04</v>
      </c>
      <c r="R116" s="36">
        <v>0.04</v>
      </c>
      <c r="S116" s="36">
        <v>0.04</v>
      </c>
      <c r="T116" s="37">
        <v>0.04</v>
      </c>
      <c r="U116" s="37">
        <v>0.04</v>
      </c>
      <c r="V116" s="36">
        <v>0.04</v>
      </c>
      <c r="W116" s="36">
        <v>0.04</v>
      </c>
      <c r="X116" s="37">
        <v>0.04</v>
      </c>
      <c r="Y116" s="37">
        <v>0.04</v>
      </c>
      <c r="Z116" s="36">
        <v>0.04</v>
      </c>
      <c r="AA116" s="36">
        <v>0.04</v>
      </c>
      <c r="AB116" s="37">
        <v>0.06</v>
      </c>
      <c r="AC116" s="37">
        <v>0.06</v>
      </c>
      <c r="AD116" s="36">
        <v>0.06</v>
      </c>
      <c r="AE116" s="36">
        <v>0.06</v>
      </c>
      <c r="AF116" s="37">
        <v>0.05</v>
      </c>
      <c r="AG116" s="37">
        <v>0</v>
      </c>
      <c r="AH116" s="36">
        <v>0.03</v>
      </c>
      <c r="AI116" s="36">
        <v>0</v>
      </c>
    </row>
    <row r="117" spans="1:35">
      <c r="A117" s="17" t="s">
        <v>1928</v>
      </c>
      <c r="B117" s="17" t="s">
        <v>1929</v>
      </c>
      <c r="C117" s="18">
        <v>181.9</v>
      </c>
      <c r="D117" s="19">
        <v>180.6</v>
      </c>
      <c r="E117" s="19">
        <v>178.3</v>
      </c>
      <c r="F117" s="18">
        <v>190.1</v>
      </c>
      <c r="G117" s="18">
        <v>188.2</v>
      </c>
      <c r="H117" s="19">
        <v>177.5</v>
      </c>
      <c r="I117" s="19">
        <v>175.8</v>
      </c>
      <c r="J117" s="18">
        <v>166.8</v>
      </c>
      <c r="K117" s="18">
        <v>167.2</v>
      </c>
      <c r="L117" s="19">
        <v>194.5</v>
      </c>
      <c r="M117" s="19">
        <v>156.9</v>
      </c>
      <c r="N117" s="18">
        <v>150.9</v>
      </c>
      <c r="O117" s="18">
        <v>149.6</v>
      </c>
      <c r="P117" s="19">
        <v>144.9</v>
      </c>
      <c r="Q117" s="19">
        <v>143.1</v>
      </c>
      <c r="R117" s="18">
        <v>141.6</v>
      </c>
      <c r="S117" s="18">
        <v>141.1</v>
      </c>
      <c r="T117" s="19">
        <v>138</v>
      </c>
      <c r="U117" s="19">
        <v>136.9</v>
      </c>
      <c r="V117" s="18">
        <v>115.8</v>
      </c>
      <c r="W117" s="18">
        <v>114</v>
      </c>
      <c r="X117" s="19">
        <v>111.8</v>
      </c>
      <c r="Y117" s="19">
        <v>109.9</v>
      </c>
      <c r="Z117" s="18">
        <v>108.2</v>
      </c>
      <c r="AA117" s="18">
        <v>106.5</v>
      </c>
      <c r="AB117" s="19">
        <v>125.7</v>
      </c>
      <c r="AC117" s="19">
        <v>125.7</v>
      </c>
      <c r="AD117" s="18">
        <v>121.1</v>
      </c>
      <c r="AE117" s="18">
        <v>120.9</v>
      </c>
      <c r="AF117" s="19">
        <v>117.9</v>
      </c>
      <c r="AG117" s="19">
        <v>0</v>
      </c>
      <c r="AH117" s="18">
        <v>68</v>
      </c>
      <c r="AI117" s="18">
        <v>0</v>
      </c>
    </row>
    <row r="118" spans="1:35">
      <c r="A118" s="17" t="s">
        <v>1930</v>
      </c>
      <c r="B118" s="17" t="s">
        <v>1931</v>
      </c>
      <c r="C118" s="18">
        <v>250.8</v>
      </c>
      <c r="D118" s="19">
        <v>159</v>
      </c>
      <c r="E118" s="19">
        <v>309.3</v>
      </c>
      <c r="F118" s="18">
        <v>174</v>
      </c>
      <c r="G118" s="18">
        <v>256.89999999999998</v>
      </c>
      <c r="H118" s="19">
        <v>122.3</v>
      </c>
      <c r="I118" s="19">
        <v>271.10000000000002</v>
      </c>
      <c r="J118" s="18">
        <v>135</v>
      </c>
      <c r="K118" s="18">
        <v>296.60000000000002</v>
      </c>
      <c r="L118" s="19">
        <v>114.6</v>
      </c>
      <c r="M118" s="19">
        <v>254.8</v>
      </c>
      <c r="N118" s="18">
        <v>157.5</v>
      </c>
      <c r="O118" s="18">
        <v>302.2</v>
      </c>
      <c r="P118" s="19">
        <v>174.1</v>
      </c>
      <c r="Q118" s="19">
        <v>208.4</v>
      </c>
      <c r="R118" s="18">
        <v>136.9</v>
      </c>
      <c r="S118" s="18">
        <v>226.2</v>
      </c>
      <c r="T118" s="19">
        <v>114.8</v>
      </c>
      <c r="U118" s="19">
        <v>200.5</v>
      </c>
      <c r="V118" s="18">
        <v>99.9</v>
      </c>
      <c r="W118" s="18">
        <v>180.4</v>
      </c>
      <c r="X118" s="19">
        <v>93</v>
      </c>
      <c r="Y118" s="19">
        <v>171.9</v>
      </c>
      <c r="Z118" s="18">
        <v>79.7</v>
      </c>
      <c r="AA118" s="18">
        <v>169.4</v>
      </c>
      <c r="AB118" s="19">
        <v>53.2</v>
      </c>
      <c r="AC118" s="19">
        <v>115.1</v>
      </c>
      <c r="AD118" s="18">
        <v>28.6</v>
      </c>
      <c r="AE118" s="18">
        <v>155.1</v>
      </c>
      <c r="AF118" s="19">
        <v>83.8</v>
      </c>
      <c r="AG118" s="19">
        <v>136.30000000000001</v>
      </c>
      <c r="AH118" s="18">
        <v>92.6</v>
      </c>
      <c r="AI118" s="18">
        <v>83.8</v>
      </c>
    </row>
    <row r="119" spans="1:35">
      <c r="A119" s="17" t="s">
        <v>1932</v>
      </c>
      <c r="B119" s="17" t="s">
        <v>1933</v>
      </c>
      <c r="C119" s="18" t="s">
        <v>429</v>
      </c>
      <c r="D119" s="19" t="s">
        <v>429</v>
      </c>
      <c r="E119" s="19" t="s">
        <v>429</v>
      </c>
      <c r="F119" s="18" t="s">
        <v>429</v>
      </c>
      <c r="G119" s="18" t="s">
        <v>429</v>
      </c>
      <c r="H119" s="19" t="s">
        <v>429</v>
      </c>
      <c r="I119" s="19" t="s">
        <v>429</v>
      </c>
      <c r="J119" s="18" t="s">
        <v>429</v>
      </c>
      <c r="K119" s="18" t="s">
        <v>429</v>
      </c>
      <c r="L119" s="19">
        <v>0</v>
      </c>
      <c r="M119" s="19">
        <v>0</v>
      </c>
      <c r="N119" s="18">
        <v>0</v>
      </c>
      <c r="O119" s="18">
        <v>131.5</v>
      </c>
      <c r="P119" s="19" t="s">
        <v>429</v>
      </c>
      <c r="Q119" s="19" t="s">
        <v>429</v>
      </c>
      <c r="R119" s="18" t="s">
        <v>429</v>
      </c>
      <c r="S119" s="18" t="s">
        <v>429</v>
      </c>
      <c r="T119" s="19" t="s">
        <v>429</v>
      </c>
      <c r="U119" s="19" t="s">
        <v>429</v>
      </c>
      <c r="V119" s="18" t="s">
        <v>429</v>
      </c>
      <c r="W119" s="18" t="s">
        <v>429</v>
      </c>
      <c r="X119" s="19" t="s">
        <v>429</v>
      </c>
      <c r="Y119" s="19" t="s">
        <v>429</v>
      </c>
      <c r="Z119" s="18" t="s">
        <v>429</v>
      </c>
      <c r="AA119" s="18" t="s">
        <v>429</v>
      </c>
      <c r="AB119" s="19" t="s">
        <v>429</v>
      </c>
      <c r="AC119" s="19" t="s">
        <v>429</v>
      </c>
      <c r="AD119" s="18" t="s">
        <v>429</v>
      </c>
      <c r="AE119" s="18" t="s">
        <v>429</v>
      </c>
      <c r="AF119" s="19" t="s">
        <v>429</v>
      </c>
      <c r="AG119" s="19" t="s">
        <v>429</v>
      </c>
      <c r="AH119" s="18" t="s">
        <v>429</v>
      </c>
      <c r="AI119" s="18" t="s">
        <v>429</v>
      </c>
    </row>
    <row r="120" spans="1:35">
      <c r="A120" s="17" t="s">
        <v>1932</v>
      </c>
      <c r="B120" s="17" t="s">
        <v>1934</v>
      </c>
      <c r="C120" s="18" t="s">
        <v>429</v>
      </c>
      <c r="D120" s="19" t="s">
        <v>429</v>
      </c>
      <c r="E120" s="19" t="s">
        <v>429</v>
      </c>
      <c r="F120" s="18" t="s">
        <v>429</v>
      </c>
      <c r="G120" s="18" t="s">
        <v>429</v>
      </c>
      <c r="H120" s="19" t="s">
        <v>429</v>
      </c>
      <c r="I120" s="19" t="s">
        <v>429</v>
      </c>
      <c r="J120" s="18" t="s">
        <v>429</v>
      </c>
      <c r="K120" s="18" t="s">
        <v>429</v>
      </c>
      <c r="L120" s="19">
        <v>0</v>
      </c>
      <c r="M120" s="19">
        <v>0</v>
      </c>
      <c r="N120" s="18">
        <v>0</v>
      </c>
      <c r="O120" s="18">
        <v>28.1</v>
      </c>
      <c r="P120" s="19" t="s">
        <v>429</v>
      </c>
      <c r="Q120" s="19" t="s">
        <v>429</v>
      </c>
      <c r="R120" s="18" t="s">
        <v>429</v>
      </c>
      <c r="S120" s="18" t="s">
        <v>429</v>
      </c>
      <c r="T120" s="19" t="s">
        <v>429</v>
      </c>
      <c r="U120" s="19" t="s">
        <v>429</v>
      </c>
      <c r="V120" s="18" t="s">
        <v>429</v>
      </c>
      <c r="W120" s="18" t="s">
        <v>429</v>
      </c>
      <c r="X120" s="19" t="s">
        <v>429</v>
      </c>
      <c r="Y120" s="19" t="s">
        <v>429</v>
      </c>
      <c r="Z120" s="18" t="s">
        <v>429</v>
      </c>
      <c r="AA120" s="18" t="s">
        <v>429</v>
      </c>
      <c r="AB120" s="19" t="s">
        <v>429</v>
      </c>
      <c r="AC120" s="19" t="s">
        <v>429</v>
      </c>
      <c r="AD120" s="18" t="s">
        <v>429</v>
      </c>
      <c r="AE120" s="18" t="s">
        <v>429</v>
      </c>
      <c r="AF120" s="19" t="s">
        <v>429</v>
      </c>
      <c r="AG120" s="19" t="s">
        <v>429</v>
      </c>
      <c r="AH120" s="18" t="s">
        <v>429</v>
      </c>
      <c r="AI120" s="18" t="s">
        <v>429</v>
      </c>
    </row>
    <row r="121" spans="1:35">
      <c r="A121" s="17" t="s">
        <v>1935</v>
      </c>
      <c r="B121" s="17" t="s">
        <v>1936</v>
      </c>
      <c r="C121" s="18" t="s">
        <v>429</v>
      </c>
      <c r="D121" s="19" t="s">
        <v>429</v>
      </c>
      <c r="E121" s="19" t="s">
        <v>429</v>
      </c>
      <c r="F121" s="18" t="s">
        <v>429</v>
      </c>
      <c r="G121" s="18" t="s">
        <v>429</v>
      </c>
      <c r="H121" s="19" t="s">
        <v>429</v>
      </c>
      <c r="I121" s="19" t="s">
        <v>429</v>
      </c>
      <c r="J121" s="18" t="s">
        <v>429</v>
      </c>
      <c r="K121" s="18" t="s">
        <v>429</v>
      </c>
      <c r="L121" s="19" t="s">
        <v>429</v>
      </c>
      <c r="M121" s="19" t="s">
        <v>429</v>
      </c>
      <c r="N121" s="18" t="s">
        <v>429</v>
      </c>
      <c r="O121" s="18" t="s">
        <v>429</v>
      </c>
      <c r="P121" s="19">
        <v>13.1</v>
      </c>
      <c r="Q121" s="19">
        <v>15</v>
      </c>
      <c r="R121" s="18" t="s">
        <v>429</v>
      </c>
      <c r="S121" s="18" t="s">
        <v>429</v>
      </c>
      <c r="T121" s="19" t="s">
        <v>429</v>
      </c>
      <c r="U121" s="19" t="s">
        <v>429</v>
      </c>
      <c r="V121" s="18" t="s">
        <v>429</v>
      </c>
      <c r="W121" s="18" t="s">
        <v>429</v>
      </c>
      <c r="X121" s="19" t="s">
        <v>429</v>
      </c>
      <c r="Y121" s="19" t="s">
        <v>429</v>
      </c>
      <c r="Z121" s="18" t="s">
        <v>429</v>
      </c>
      <c r="AA121" s="18" t="s">
        <v>429</v>
      </c>
      <c r="AB121" s="19" t="s">
        <v>429</v>
      </c>
      <c r="AC121" s="19" t="s">
        <v>429</v>
      </c>
      <c r="AD121" s="18" t="s">
        <v>429</v>
      </c>
      <c r="AE121" s="18" t="s">
        <v>429</v>
      </c>
      <c r="AF121" s="19" t="s">
        <v>429</v>
      </c>
      <c r="AG121" s="19" t="s">
        <v>429</v>
      </c>
      <c r="AH121" s="18" t="s">
        <v>429</v>
      </c>
      <c r="AI121" s="18" t="s">
        <v>429</v>
      </c>
    </row>
    <row r="122" spans="1:35">
      <c r="A122" s="17" t="s">
        <v>1937</v>
      </c>
      <c r="B122" s="17" t="s">
        <v>1938</v>
      </c>
      <c r="C122" s="18">
        <v>68.400000000000006</v>
      </c>
      <c r="D122" s="19">
        <v>58.2</v>
      </c>
      <c r="E122" s="19">
        <v>79.400000000000006</v>
      </c>
      <c r="F122" s="18">
        <v>52.2</v>
      </c>
      <c r="G122" s="18">
        <v>77.099999999999994</v>
      </c>
      <c r="H122" s="19">
        <v>43.5</v>
      </c>
      <c r="I122" s="19">
        <v>81.599999999999994</v>
      </c>
      <c r="J122" s="18">
        <v>40.4</v>
      </c>
      <c r="K122" s="18">
        <v>89.3</v>
      </c>
      <c r="L122" s="19">
        <v>32.6</v>
      </c>
      <c r="M122" s="19">
        <v>75.599999999999994</v>
      </c>
      <c r="N122" s="18">
        <v>42.7</v>
      </c>
      <c r="O122" s="18">
        <v>85.5</v>
      </c>
      <c r="P122" s="19">
        <v>138.1</v>
      </c>
      <c r="Q122" s="19">
        <v>203.6</v>
      </c>
      <c r="R122" s="18">
        <v>18.8</v>
      </c>
      <c r="S122" s="18">
        <v>128.5</v>
      </c>
      <c r="T122" s="19">
        <v>7.5</v>
      </c>
      <c r="U122" s="19">
        <v>34.299999999999997</v>
      </c>
      <c r="V122" s="18">
        <v>-8.9</v>
      </c>
      <c r="W122" s="18">
        <v>34.200000000000003</v>
      </c>
      <c r="X122" s="19">
        <v>6.1</v>
      </c>
      <c r="Y122" s="19">
        <v>5.9</v>
      </c>
      <c r="Z122" s="18">
        <v>6.1</v>
      </c>
      <c r="AA122" s="18">
        <v>34</v>
      </c>
      <c r="AB122" s="19">
        <v>-1.5</v>
      </c>
      <c r="AC122" s="19">
        <v>22.9</v>
      </c>
      <c r="AD122" s="18">
        <v>-2.8</v>
      </c>
      <c r="AE122" s="18">
        <v>35.5</v>
      </c>
      <c r="AF122" s="19">
        <v>15.6</v>
      </c>
      <c r="AG122" s="19">
        <v>31.6</v>
      </c>
      <c r="AH122" s="18">
        <v>22.8</v>
      </c>
      <c r="AI122" s="18">
        <v>17.600000000000001</v>
      </c>
    </row>
    <row r="123" spans="1:35">
      <c r="A123" s="17" t="s">
        <v>1939</v>
      </c>
      <c r="B123" s="17" t="s">
        <v>1940</v>
      </c>
      <c r="C123" s="18">
        <v>182.4</v>
      </c>
      <c r="D123" s="19">
        <v>100.8</v>
      </c>
      <c r="E123" s="19">
        <v>229.9</v>
      </c>
      <c r="F123" s="18">
        <v>121.8</v>
      </c>
      <c r="G123" s="18">
        <v>179.8</v>
      </c>
      <c r="H123" s="19">
        <v>78.8</v>
      </c>
      <c r="I123" s="19">
        <v>189.5</v>
      </c>
      <c r="J123" s="18">
        <v>94.6</v>
      </c>
      <c r="K123" s="18">
        <v>207.3</v>
      </c>
      <c r="L123" s="19">
        <v>82</v>
      </c>
      <c r="M123" s="19">
        <v>179.2</v>
      </c>
      <c r="N123" s="18">
        <v>114.8</v>
      </c>
      <c r="O123" s="18">
        <v>216.7</v>
      </c>
      <c r="P123" s="19">
        <v>36</v>
      </c>
      <c r="Q123" s="19">
        <v>4.9000000000000004</v>
      </c>
      <c r="R123" s="18">
        <v>118.1</v>
      </c>
      <c r="S123" s="18">
        <v>97.7</v>
      </c>
      <c r="T123" s="19">
        <v>107.3</v>
      </c>
      <c r="U123" s="19">
        <v>166.2</v>
      </c>
      <c r="V123" s="18">
        <v>108.8</v>
      </c>
      <c r="W123" s="18">
        <v>146.19999999999999</v>
      </c>
      <c r="X123" s="19">
        <v>86.9</v>
      </c>
      <c r="Y123" s="19">
        <v>166</v>
      </c>
      <c r="Z123" s="18">
        <v>73.599999999999994</v>
      </c>
      <c r="AA123" s="18">
        <v>135.4</v>
      </c>
      <c r="AB123" s="19">
        <v>54.7</v>
      </c>
      <c r="AC123" s="19">
        <v>92.2</v>
      </c>
      <c r="AD123" s="18">
        <v>31.4</v>
      </c>
      <c r="AE123" s="18">
        <v>119.6</v>
      </c>
      <c r="AF123" s="19">
        <v>68.2</v>
      </c>
      <c r="AG123" s="19">
        <v>104.7</v>
      </c>
      <c r="AH123" s="18">
        <v>69.8</v>
      </c>
      <c r="AI123" s="18">
        <v>66.2</v>
      </c>
    </row>
    <row r="124" spans="1:35">
      <c r="A124" s="17" t="s">
        <v>1941</v>
      </c>
      <c r="B124" s="17" t="s">
        <v>1942</v>
      </c>
      <c r="C124" s="18">
        <v>182.4</v>
      </c>
      <c r="D124" s="19">
        <v>100.8</v>
      </c>
      <c r="E124" s="19">
        <v>229.9</v>
      </c>
      <c r="F124" s="18">
        <v>121.8</v>
      </c>
      <c r="G124" s="18">
        <v>179.8</v>
      </c>
      <c r="H124" s="19">
        <v>78.8</v>
      </c>
      <c r="I124" s="19">
        <v>189.5</v>
      </c>
      <c r="J124" s="18">
        <v>94.6</v>
      </c>
      <c r="K124" s="18">
        <v>207.3</v>
      </c>
      <c r="L124" s="19">
        <v>82</v>
      </c>
      <c r="M124" s="19">
        <v>179.2</v>
      </c>
      <c r="N124" s="18">
        <v>114.8</v>
      </c>
      <c r="O124" s="18">
        <v>216.7</v>
      </c>
      <c r="P124" s="19">
        <v>36</v>
      </c>
      <c r="Q124" s="19">
        <v>4.9000000000000004</v>
      </c>
      <c r="R124" s="18">
        <v>118.1</v>
      </c>
      <c r="S124" s="18">
        <v>97.7</v>
      </c>
      <c r="T124" s="19">
        <v>107.3</v>
      </c>
      <c r="U124" s="19">
        <v>166.2</v>
      </c>
      <c r="V124" s="18">
        <v>108.8</v>
      </c>
      <c r="W124" s="18">
        <v>146.19999999999999</v>
      </c>
      <c r="X124" s="19">
        <v>86.9</v>
      </c>
      <c r="Y124" s="19">
        <v>166</v>
      </c>
      <c r="Z124" s="18">
        <v>73.599999999999994</v>
      </c>
      <c r="AA124" s="18">
        <v>135.4</v>
      </c>
      <c r="AB124" s="19">
        <v>54.7</v>
      </c>
      <c r="AC124" s="19">
        <v>92.2</v>
      </c>
      <c r="AD124" s="18">
        <v>31.4</v>
      </c>
      <c r="AE124" s="18">
        <v>119.6</v>
      </c>
      <c r="AF124" s="19">
        <v>68.2</v>
      </c>
      <c r="AG124" s="19">
        <v>104.7</v>
      </c>
      <c r="AH124" s="18">
        <v>69.8</v>
      </c>
      <c r="AI124" s="18">
        <v>66.2</v>
      </c>
    </row>
    <row r="125" spans="1:35">
      <c r="A125" s="17" t="s">
        <v>1943</v>
      </c>
      <c r="B125" s="17" t="s">
        <v>1944</v>
      </c>
      <c r="C125" s="36">
        <v>0.05</v>
      </c>
      <c r="D125" s="37">
        <v>0.03</v>
      </c>
      <c r="E125" s="37">
        <v>0.06</v>
      </c>
      <c r="F125" s="36">
        <v>0.03</v>
      </c>
      <c r="G125" s="36">
        <v>0.05</v>
      </c>
      <c r="H125" s="37">
        <v>0.02</v>
      </c>
      <c r="I125" s="37">
        <v>0.05</v>
      </c>
      <c r="J125" s="36">
        <v>0.03</v>
      </c>
      <c r="K125" s="36">
        <v>0.06</v>
      </c>
      <c r="L125" s="37">
        <v>0.02</v>
      </c>
      <c r="M125" s="37">
        <v>0.05</v>
      </c>
      <c r="N125" s="36">
        <v>0.03</v>
      </c>
      <c r="O125" s="36">
        <v>0.06</v>
      </c>
      <c r="P125" s="37">
        <v>0.01</v>
      </c>
      <c r="Q125" s="37">
        <v>0</v>
      </c>
      <c r="R125" s="36">
        <v>0.03</v>
      </c>
      <c r="S125" s="36">
        <v>0.03</v>
      </c>
      <c r="T125" s="37">
        <v>0.03</v>
      </c>
      <c r="U125" s="37">
        <v>0.05</v>
      </c>
      <c r="V125" s="36">
        <v>0.04</v>
      </c>
      <c r="W125" s="36">
        <v>0.05</v>
      </c>
      <c r="X125" s="37">
        <v>0.03</v>
      </c>
      <c r="Y125" s="37">
        <v>0.06</v>
      </c>
      <c r="Z125" s="36">
        <v>0.03</v>
      </c>
      <c r="AA125" s="36">
        <v>0.05</v>
      </c>
      <c r="AB125" s="37">
        <v>0.02</v>
      </c>
      <c r="AC125" s="37">
        <v>0.04</v>
      </c>
      <c r="AD125" s="36">
        <v>0.01</v>
      </c>
      <c r="AE125" s="36">
        <v>0.05</v>
      </c>
      <c r="AF125" s="37">
        <v>0.03</v>
      </c>
      <c r="AG125" s="37">
        <v>0.05</v>
      </c>
      <c r="AH125" s="36">
        <v>0.03</v>
      </c>
      <c r="AI125" s="36">
        <v>0.03</v>
      </c>
    </row>
    <row r="126" spans="1:35">
      <c r="A126" s="17" t="s">
        <v>1945</v>
      </c>
      <c r="B126" s="17" t="s">
        <v>1946</v>
      </c>
      <c r="C126" s="36">
        <v>0.05</v>
      </c>
      <c r="D126" s="37">
        <v>0.03</v>
      </c>
      <c r="E126" s="37">
        <v>0.06</v>
      </c>
      <c r="F126" s="36">
        <v>0.03</v>
      </c>
      <c r="G126" s="36">
        <v>0.05</v>
      </c>
      <c r="H126" s="37">
        <v>0.02</v>
      </c>
      <c r="I126" s="37">
        <v>0.05</v>
      </c>
      <c r="J126" s="36">
        <v>0.03</v>
      </c>
      <c r="K126" s="36">
        <v>0.06</v>
      </c>
      <c r="L126" s="37">
        <v>0.02</v>
      </c>
      <c r="M126" s="37">
        <v>0.05</v>
      </c>
      <c r="N126" s="36">
        <v>0.03</v>
      </c>
      <c r="O126" s="36">
        <v>0.06</v>
      </c>
      <c r="P126" s="37">
        <v>0.01</v>
      </c>
      <c r="Q126" s="37">
        <v>0</v>
      </c>
      <c r="R126" s="36">
        <v>0.03</v>
      </c>
      <c r="S126" s="36">
        <v>0.03</v>
      </c>
      <c r="T126" s="37">
        <v>0.03</v>
      </c>
      <c r="U126" s="37">
        <v>0.05</v>
      </c>
      <c r="V126" s="36">
        <v>0.04</v>
      </c>
      <c r="W126" s="36">
        <v>0.05</v>
      </c>
      <c r="X126" s="37">
        <v>0.03</v>
      </c>
      <c r="Y126" s="37">
        <v>0.06</v>
      </c>
      <c r="Z126" s="36">
        <v>0.03</v>
      </c>
      <c r="AA126" s="36">
        <v>0.05</v>
      </c>
      <c r="AB126" s="37">
        <v>0.02</v>
      </c>
      <c r="AC126" s="37">
        <v>0.04</v>
      </c>
      <c r="AD126" s="36">
        <v>0.01</v>
      </c>
      <c r="AE126" s="36">
        <v>0.05</v>
      </c>
      <c r="AF126" s="37">
        <v>0.03</v>
      </c>
      <c r="AG126" s="37">
        <v>0.05</v>
      </c>
      <c r="AH126" s="36">
        <v>0.03</v>
      </c>
      <c r="AI126" s="36">
        <v>0.03</v>
      </c>
    </row>
    <row r="127" spans="1:35">
      <c r="A127" s="17" t="s">
        <v>1947</v>
      </c>
      <c r="B127" s="17" t="s">
        <v>1890</v>
      </c>
      <c r="C127" s="18">
        <v>2.4</v>
      </c>
      <c r="D127" s="19">
        <v>2.2000000000000002</v>
      </c>
      <c r="E127" s="19">
        <v>1.9</v>
      </c>
      <c r="F127" s="18">
        <v>2.6</v>
      </c>
      <c r="G127" s="18">
        <v>3.4</v>
      </c>
      <c r="H127" s="19" t="s">
        <v>429</v>
      </c>
      <c r="I127" s="19" t="s">
        <v>429</v>
      </c>
      <c r="J127" s="18" t="s">
        <v>429</v>
      </c>
      <c r="K127" s="18" t="s">
        <v>429</v>
      </c>
      <c r="L127" s="19" t="s">
        <v>429</v>
      </c>
      <c r="M127" s="19" t="s">
        <v>429</v>
      </c>
      <c r="N127" s="18" t="s">
        <v>429</v>
      </c>
      <c r="O127" s="18" t="s">
        <v>429</v>
      </c>
      <c r="P127" s="19" t="s">
        <v>429</v>
      </c>
      <c r="Q127" s="19" t="s">
        <v>429</v>
      </c>
      <c r="R127" s="18" t="s">
        <v>429</v>
      </c>
      <c r="S127" s="18" t="s">
        <v>429</v>
      </c>
      <c r="T127" s="19" t="s">
        <v>429</v>
      </c>
      <c r="U127" s="19" t="s">
        <v>429</v>
      </c>
      <c r="V127" s="18" t="s">
        <v>429</v>
      </c>
      <c r="W127" s="18" t="s">
        <v>429</v>
      </c>
      <c r="X127" s="19" t="s">
        <v>429</v>
      </c>
      <c r="Y127" s="19" t="s">
        <v>429</v>
      </c>
      <c r="Z127" s="18" t="s">
        <v>429</v>
      </c>
      <c r="AA127" s="18" t="s">
        <v>429</v>
      </c>
      <c r="AB127" s="19" t="s">
        <v>429</v>
      </c>
      <c r="AC127" s="19" t="s">
        <v>429</v>
      </c>
      <c r="AD127" s="18" t="s">
        <v>429</v>
      </c>
      <c r="AE127" s="18" t="s">
        <v>429</v>
      </c>
      <c r="AF127" s="19" t="s">
        <v>429</v>
      </c>
      <c r="AG127" s="19" t="s">
        <v>429</v>
      </c>
      <c r="AH127" s="18" t="s">
        <v>429</v>
      </c>
      <c r="AI127" s="18" t="s">
        <v>429</v>
      </c>
    </row>
    <row r="128" spans="1:35">
      <c r="A128" s="17" t="s">
        <v>1948</v>
      </c>
      <c r="B128" s="17" t="s">
        <v>1849</v>
      </c>
      <c r="C128" s="18">
        <v>3.1</v>
      </c>
      <c r="D128" s="19">
        <v>-1.3</v>
      </c>
      <c r="E128" s="19">
        <v>12.6</v>
      </c>
      <c r="F128" s="18">
        <v>13.5</v>
      </c>
      <c r="G128" s="18" t="s">
        <v>429</v>
      </c>
      <c r="H128" s="19">
        <v>8.5</v>
      </c>
      <c r="I128" s="19" t="s">
        <v>429</v>
      </c>
      <c r="J128" s="18">
        <v>5.5</v>
      </c>
      <c r="K128" s="18" t="s">
        <v>429</v>
      </c>
      <c r="L128" s="19">
        <v>19.100000000000001</v>
      </c>
      <c r="M128" s="19" t="s">
        <v>429</v>
      </c>
      <c r="N128" s="18" t="s">
        <v>429</v>
      </c>
      <c r="O128" s="18" t="s">
        <v>429</v>
      </c>
      <c r="P128" s="19" t="s">
        <v>429</v>
      </c>
      <c r="Q128" s="19" t="s">
        <v>429</v>
      </c>
      <c r="R128" s="18" t="s">
        <v>429</v>
      </c>
      <c r="S128" s="18" t="s">
        <v>429</v>
      </c>
      <c r="T128" s="19" t="s">
        <v>429</v>
      </c>
      <c r="U128" s="19" t="s">
        <v>429</v>
      </c>
      <c r="V128" s="18" t="s">
        <v>429</v>
      </c>
      <c r="W128" s="18" t="s">
        <v>429</v>
      </c>
      <c r="X128" s="19" t="s">
        <v>429</v>
      </c>
      <c r="Y128" s="19" t="s">
        <v>429</v>
      </c>
      <c r="Z128" s="18" t="s">
        <v>429</v>
      </c>
      <c r="AA128" s="18" t="s">
        <v>429</v>
      </c>
      <c r="AB128" s="19" t="s">
        <v>429</v>
      </c>
      <c r="AC128" s="19" t="s">
        <v>429</v>
      </c>
      <c r="AD128" s="18" t="s">
        <v>429</v>
      </c>
      <c r="AE128" s="18" t="s">
        <v>429</v>
      </c>
      <c r="AF128" s="19" t="s">
        <v>429</v>
      </c>
      <c r="AG128" s="19" t="s">
        <v>429</v>
      </c>
      <c r="AH128" s="18" t="s">
        <v>429</v>
      </c>
      <c r="AI128" s="18" t="s">
        <v>429</v>
      </c>
    </row>
    <row r="129" spans="1:35">
      <c r="A129" s="17" t="s">
        <v>1948</v>
      </c>
      <c r="B129" s="17" t="s">
        <v>1850</v>
      </c>
      <c r="C129" s="18">
        <v>90.3</v>
      </c>
      <c r="D129" s="19">
        <v>85.7</v>
      </c>
      <c r="E129" s="19">
        <v>92.7</v>
      </c>
      <c r="F129" s="18">
        <v>77.3</v>
      </c>
      <c r="G129" s="18">
        <v>86</v>
      </c>
      <c r="H129" s="19">
        <v>93.6</v>
      </c>
      <c r="I129" s="19">
        <v>94.4</v>
      </c>
      <c r="J129" s="18">
        <v>95</v>
      </c>
      <c r="K129" s="18">
        <v>104</v>
      </c>
      <c r="L129" s="19">
        <v>124</v>
      </c>
      <c r="M129" s="19">
        <v>128.4</v>
      </c>
      <c r="N129" s="18" t="s">
        <v>429</v>
      </c>
      <c r="O129" s="18">
        <v>113.7</v>
      </c>
      <c r="P129" s="19" t="s">
        <v>429</v>
      </c>
      <c r="Q129" s="19" t="s">
        <v>429</v>
      </c>
      <c r="R129" s="18" t="s">
        <v>429</v>
      </c>
      <c r="S129" s="18" t="s">
        <v>429</v>
      </c>
      <c r="T129" s="19" t="s">
        <v>429</v>
      </c>
      <c r="U129" s="19" t="s">
        <v>429</v>
      </c>
      <c r="V129" s="18" t="s">
        <v>429</v>
      </c>
      <c r="W129" s="18" t="s">
        <v>429</v>
      </c>
      <c r="X129" s="19" t="s">
        <v>429</v>
      </c>
      <c r="Y129" s="19" t="s">
        <v>429</v>
      </c>
      <c r="Z129" s="18" t="s">
        <v>429</v>
      </c>
      <c r="AA129" s="18" t="s">
        <v>429</v>
      </c>
      <c r="AB129" s="19" t="s">
        <v>429</v>
      </c>
      <c r="AC129" s="19" t="s">
        <v>429</v>
      </c>
      <c r="AD129" s="18" t="s">
        <v>429</v>
      </c>
      <c r="AE129" s="18" t="s">
        <v>429</v>
      </c>
      <c r="AF129" s="19" t="s">
        <v>429</v>
      </c>
      <c r="AG129" s="19" t="s">
        <v>429</v>
      </c>
      <c r="AH129" s="18" t="s">
        <v>429</v>
      </c>
      <c r="AI129" s="18" t="s">
        <v>429</v>
      </c>
    </row>
    <row r="130" spans="1:35">
      <c r="A130" s="17" t="s">
        <v>1949</v>
      </c>
      <c r="B130" s="17" t="s">
        <v>1888</v>
      </c>
      <c r="C130" s="18">
        <v>-10</v>
      </c>
      <c r="D130" s="19">
        <v>-9.9</v>
      </c>
      <c r="E130" s="19">
        <v>-10.1</v>
      </c>
      <c r="F130" s="18">
        <v>-11.3</v>
      </c>
      <c r="G130" s="18">
        <v>-13.8</v>
      </c>
      <c r="H130" s="19">
        <v>-14.5</v>
      </c>
      <c r="I130" s="19">
        <v>-11.9</v>
      </c>
      <c r="J130" s="18">
        <v>-9</v>
      </c>
      <c r="K130" s="18">
        <v>-7.9</v>
      </c>
      <c r="L130" s="19">
        <v>-8.5</v>
      </c>
      <c r="M130" s="19">
        <v>-13.3</v>
      </c>
      <c r="N130" s="18">
        <v>-11.9</v>
      </c>
      <c r="O130" s="18">
        <v>-12.3</v>
      </c>
      <c r="P130" s="19">
        <v>-12.9</v>
      </c>
      <c r="Q130" s="19">
        <v>-11.6</v>
      </c>
      <c r="R130" s="18">
        <v>-14.4</v>
      </c>
      <c r="S130" s="18" t="s">
        <v>429</v>
      </c>
      <c r="T130" s="19">
        <v>-15.3</v>
      </c>
      <c r="U130" s="19" t="s">
        <v>429</v>
      </c>
      <c r="V130" s="18" t="s">
        <v>429</v>
      </c>
      <c r="W130" s="18" t="s">
        <v>429</v>
      </c>
      <c r="X130" s="19" t="s">
        <v>429</v>
      </c>
      <c r="Y130" s="19" t="s">
        <v>429</v>
      </c>
      <c r="Z130" s="18" t="s">
        <v>429</v>
      </c>
      <c r="AA130" s="18" t="s">
        <v>429</v>
      </c>
      <c r="AB130" s="19" t="s">
        <v>429</v>
      </c>
      <c r="AC130" s="19" t="s">
        <v>429</v>
      </c>
      <c r="AD130" s="18" t="s">
        <v>429</v>
      </c>
      <c r="AE130" s="18" t="s">
        <v>429</v>
      </c>
      <c r="AF130" s="19" t="s">
        <v>429</v>
      </c>
      <c r="AG130" s="19" t="s">
        <v>429</v>
      </c>
      <c r="AH130" s="18" t="s">
        <v>429</v>
      </c>
      <c r="AI130" s="18" t="s">
        <v>429</v>
      </c>
    </row>
    <row r="131" spans="1:35">
      <c r="A131" s="17" t="s">
        <v>1949</v>
      </c>
      <c r="B131" s="17" t="s">
        <v>1888</v>
      </c>
      <c r="C131" s="18" t="s">
        <v>429</v>
      </c>
      <c r="D131" s="19" t="s">
        <v>429</v>
      </c>
      <c r="E131" s="19" t="s">
        <v>429</v>
      </c>
      <c r="F131" s="18" t="s">
        <v>429</v>
      </c>
      <c r="G131" s="18" t="s">
        <v>429</v>
      </c>
      <c r="H131" s="19" t="s">
        <v>429</v>
      </c>
      <c r="I131" s="19" t="s">
        <v>429</v>
      </c>
      <c r="J131" s="18" t="s">
        <v>429</v>
      </c>
      <c r="K131" s="18" t="s">
        <v>429</v>
      </c>
      <c r="L131" s="19" t="s">
        <v>429</v>
      </c>
      <c r="M131" s="19" t="s">
        <v>429</v>
      </c>
      <c r="N131" s="18" t="s">
        <v>429</v>
      </c>
      <c r="O131" s="18" t="s">
        <v>429</v>
      </c>
      <c r="P131" s="19" t="s">
        <v>429</v>
      </c>
      <c r="Q131" s="19" t="s">
        <v>429</v>
      </c>
      <c r="R131" s="18" t="s">
        <v>429</v>
      </c>
      <c r="S131" s="18">
        <v>-14.8</v>
      </c>
      <c r="T131" s="19" t="s">
        <v>429</v>
      </c>
      <c r="U131" s="19">
        <v>-10.7</v>
      </c>
      <c r="V131" s="18" t="s">
        <v>429</v>
      </c>
      <c r="W131" s="18" t="s">
        <v>429</v>
      </c>
      <c r="X131" s="19" t="s">
        <v>429</v>
      </c>
      <c r="Y131" s="19" t="s">
        <v>429</v>
      </c>
      <c r="Z131" s="18" t="s">
        <v>429</v>
      </c>
      <c r="AA131" s="18" t="s">
        <v>429</v>
      </c>
      <c r="AB131" s="19" t="s">
        <v>429</v>
      </c>
      <c r="AC131" s="19" t="s">
        <v>429</v>
      </c>
      <c r="AD131" s="18" t="s">
        <v>429</v>
      </c>
      <c r="AE131" s="18" t="s">
        <v>429</v>
      </c>
      <c r="AF131" s="19" t="s">
        <v>429</v>
      </c>
      <c r="AG131" s="19" t="s">
        <v>429</v>
      </c>
      <c r="AH131" s="18" t="s">
        <v>429</v>
      </c>
      <c r="AI131" s="18" t="s">
        <v>429</v>
      </c>
    </row>
    <row r="132" spans="1:35">
      <c r="A132" s="17" t="s">
        <v>1949</v>
      </c>
      <c r="B132" s="17" t="s">
        <v>1950</v>
      </c>
      <c r="C132" s="18" t="s">
        <v>429</v>
      </c>
      <c r="D132" s="19" t="s">
        <v>429</v>
      </c>
      <c r="E132" s="19" t="s">
        <v>429</v>
      </c>
      <c r="F132" s="18" t="s">
        <v>429</v>
      </c>
      <c r="G132" s="18" t="s">
        <v>429</v>
      </c>
      <c r="H132" s="19" t="s">
        <v>429</v>
      </c>
      <c r="I132" s="19" t="s">
        <v>429</v>
      </c>
      <c r="J132" s="18" t="s">
        <v>429</v>
      </c>
      <c r="K132" s="18" t="s">
        <v>429</v>
      </c>
      <c r="L132" s="19" t="s">
        <v>429</v>
      </c>
      <c r="M132" s="19" t="s">
        <v>429</v>
      </c>
      <c r="N132" s="18" t="s">
        <v>429</v>
      </c>
      <c r="O132" s="18" t="s">
        <v>429</v>
      </c>
      <c r="P132" s="19" t="s">
        <v>429</v>
      </c>
      <c r="Q132" s="19" t="s">
        <v>429</v>
      </c>
      <c r="R132" s="18" t="s">
        <v>429</v>
      </c>
      <c r="S132" s="18" t="s">
        <v>429</v>
      </c>
      <c r="T132" s="19" t="s">
        <v>429</v>
      </c>
      <c r="U132" s="19" t="s">
        <v>429</v>
      </c>
      <c r="V132" s="18">
        <v>-10.8</v>
      </c>
      <c r="W132" s="18">
        <v>-9.8000000000000007</v>
      </c>
      <c r="X132" s="19">
        <v>-11.2</v>
      </c>
      <c r="Y132" s="19">
        <v>-10.3</v>
      </c>
      <c r="Z132" s="18">
        <v>-9.4</v>
      </c>
      <c r="AA132" s="18">
        <v>-8</v>
      </c>
      <c r="AB132" s="19" t="s">
        <v>429</v>
      </c>
      <c r="AC132" s="19" t="s">
        <v>429</v>
      </c>
      <c r="AD132" s="18" t="s">
        <v>429</v>
      </c>
      <c r="AE132" s="18" t="s">
        <v>429</v>
      </c>
      <c r="AF132" s="19">
        <v>-11.9</v>
      </c>
      <c r="AG132" s="19">
        <v>-3.4</v>
      </c>
      <c r="AH132" s="18">
        <v>-5.4</v>
      </c>
      <c r="AI132" s="18">
        <v>-1.1000000000000001</v>
      </c>
    </row>
    <row r="133" spans="1:35">
      <c r="A133" s="17" t="s">
        <v>1951</v>
      </c>
      <c r="B133" s="17" t="s">
        <v>1952</v>
      </c>
      <c r="C133" s="18">
        <v>234.4</v>
      </c>
      <c r="D133" s="19">
        <v>232</v>
      </c>
      <c r="E133" s="19">
        <v>231.9</v>
      </c>
      <c r="F133" s="18">
        <v>236.2</v>
      </c>
      <c r="G133" s="18">
        <v>228.3</v>
      </c>
      <c r="H133" s="19">
        <v>233.8</v>
      </c>
      <c r="I133" s="19">
        <v>222.6</v>
      </c>
      <c r="J133" s="18">
        <v>222.1</v>
      </c>
      <c r="K133" s="18">
        <v>220.3</v>
      </c>
      <c r="L133" s="19">
        <v>219.5</v>
      </c>
      <c r="M133" s="19">
        <v>206.4</v>
      </c>
      <c r="N133" s="18">
        <v>197</v>
      </c>
      <c r="O133" s="18">
        <v>195.3</v>
      </c>
      <c r="P133" s="19">
        <v>190.1</v>
      </c>
      <c r="Q133" s="19">
        <v>189.1</v>
      </c>
      <c r="R133" s="18">
        <v>190.4</v>
      </c>
      <c r="S133" s="18" t="s">
        <v>429</v>
      </c>
      <c r="T133" s="19" t="s">
        <v>429</v>
      </c>
      <c r="U133" s="19" t="s">
        <v>429</v>
      </c>
      <c r="V133" s="18" t="s">
        <v>429</v>
      </c>
      <c r="W133" s="18" t="s">
        <v>429</v>
      </c>
      <c r="X133" s="19" t="s">
        <v>429</v>
      </c>
      <c r="Y133" s="19" t="s">
        <v>429</v>
      </c>
      <c r="Z133" s="18" t="s">
        <v>429</v>
      </c>
      <c r="AA133" s="18" t="s">
        <v>429</v>
      </c>
      <c r="AB133" s="19" t="s">
        <v>429</v>
      </c>
      <c r="AC133" s="19" t="s">
        <v>429</v>
      </c>
      <c r="AD133" s="18" t="s">
        <v>429</v>
      </c>
      <c r="AE133" s="18" t="s">
        <v>429</v>
      </c>
      <c r="AF133" s="19" t="s">
        <v>429</v>
      </c>
      <c r="AG133" s="19" t="s">
        <v>429</v>
      </c>
      <c r="AH133" s="18" t="s">
        <v>429</v>
      </c>
      <c r="AI133" s="18" t="s">
        <v>429</v>
      </c>
    </row>
    <row r="134" spans="1:35">
      <c r="A134" s="17" t="s">
        <v>1951</v>
      </c>
      <c r="B134" s="17" t="s">
        <v>1953</v>
      </c>
      <c r="C134" s="18" t="s">
        <v>429</v>
      </c>
      <c r="D134" s="19" t="s">
        <v>429</v>
      </c>
      <c r="E134" s="19" t="s">
        <v>429</v>
      </c>
      <c r="F134" s="18" t="s">
        <v>429</v>
      </c>
      <c r="G134" s="18" t="s">
        <v>429</v>
      </c>
      <c r="H134" s="19" t="s">
        <v>429</v>
      </c>
      <c r="I134" s="19" t="s">
        <v>429</v>
      </c>
      <c r="J134" s="18" t="s">
        <v>429</v>
      </c>
      <c r="K134" s="18" t="s">
        <v>429</v>
      </c>
      <c r="L134" s="19" t="s">
        <v>429</v>
      </c>
      <c r="M134" s="19" t="s">
        <v>429</v>
      </c>
      <c r="N134" s="18" t="s">
        <v>429</v>
      </c>
      <c r="O134" s="18" t="s">
        <v>429</v>
      </c>
      <c r="P134" s="19" t="s">
        <v>429</v>
      </c>
      <c r="Q134" s="19" t="s">
        <v>429</v>
      </c>
      <c r="R134" s="18" t="s">
        <v>429</v>
      </c>
      <c r="S134" s="18">
        <v>179.3</v>
      </c>
      <c r="T134" s="19">
        <v>167.2</v>
      </c>
      <c r="U134" s="19">
        <v>155.6</v>
      </c>
      <c r="V134" s="18" t="s">
        <v>429</v>
      </c>
      <c r="W134" s="18" t="s">
        <v>429</v>
      </c>
      <c r="X134" s="19" t="s">
        <v>429</v>
      </c>
      <c r="Y134" s="19" t="s">
        <v>429</v>
      </c>
      <c r="Z134" s="18" t="s">
        <v>429</v>
      </c>
      <c r="AA134" s="18" t="s">
        <v>429</v>
      </c>
      <c r="AB134" s="19" t="s">
        <v>429</v>
      </c>
      <c r="AC134" s="19" t="s">
        <v>429</v>
      </c>
      <c r="AD134" s="18" t="s">
        <v>429</v>
      </c>
      <c r="AE134" s="18" t="s">
        <v>429</v>
      </c>
      <c r="AF134" s="19" t="s">
        <v>429</v>
      </c>
      <c r="AG134" s="19" t="s">
        <v>429</v>
      </c>
      <c r="AH134" s="18" t="s">
        <v>429</v>
      </c>
      <c r="AI134" s="18" t="s">
        <v>429</v>
      </c>
    </row>
    <row r="135" spans="1:35">
      <c r="A135" s="17" t="s">
        <v>1951</v>
      </c>
      <c r="B135" s="17" t="s">
        <v>1954</v>
      </c>
      <c r="C135" s="18" t="s">
        <v>429</v>
      </c>
      <c r="D135" s="19" t="s">
        <v>429</v>
      </c>
      <c r="E135" s="19" t="s">
        <v>429</v>
      </c>
      <c r="F135" s="18" t="s">
        <v>429</v>
      </c>
      <c r="G135" s="18" t="s">
        <v>429</v>
      </c>
      <c r="H135" s="19" t="s">
        <v>429</v>
      </c>
      <c r="I135" s="19" t="s">
        <v>429</v>
      </c>
      <c r="J135" s="18" t="s">
        <v>429</v>
      </c>
      <c r="K135" s="18" t="s">
        <v>429</v>
      </c>
      <c r="L135" s="19" t="s">
        <v>429</v>
      </c>
      <c r="M135" s="19" t="s">
        <v>429</v>
      </c>
      <c r="N135" s="18" t="s">
        <v>429</v>
      </c>
      <c r="O135" s="18" t="s">
        <v>429</v>
      </c>
      <c r="P135" s="19" t="s">
        <v>429</v>
      </c>
      <c r="Q135" s="19" t="s">
        <v>429</v>
      </c>
      <c r="R135" s="18" t="s">
        <v>429</v>
      </c>
      <c r="S135" s="18" t="s">
        <v>429</v>
      </c>
      <c r="T135" s="19" t="s">
        <v>429</v>
      </c>
      <c r="U135" s="19" t="s">
        <v>429</v>
      </c>
      <c r="V135" s="18" t="s">
        <v>429</v>
      </c>
      <c r="W135" s="18" t="s">
        <v>429</v>
      </c>
      <c r="X135" s="19" t="s">
        <v>429</v>
      </c>
      <c r="Y135" s="19" t="s">
        <v>429</v>
      </c>
      <c r="Z135" s="18" t="s">
        <v>429</v>
      </c>
      <c r="AA135" s="18" t="s">
        <v>429</v>
      </c>
      <c r="AB135" s="19" t="s">
        <v>429</v>
      </c>
      <c r="AC135" s="19" t="s">
        <v>429</v>
      </c>
      <c r="AD135" s="18" t="s">
        <v>429</v>
      </c>
      <c r="AE135" s="18" t="s">
        <v>429</v>
      </c>
      <c r="AF135" s="19">
        <v>100.7</v>
      </c>
      <c r="AG135" s="19">
        <v>99.3</v>
      </c>
      <c r="AH135" s="18">
        <v>86.1</v>
      </c>
      <c r="AI135" s="18">
        <v>62.5</v>
      </c>
    </row>
    <row r="136" spans="1:35">
      <c r="A136" s="17" t="s">
        <v>1955</v>
      </c>
      <c r="B136" s="17" t="s">
        <v>1846</v>
      </c>
      <c r="C136" s="18" t="s">
        <v>429</v>
      </c>
      <c r="D136" s="19" t="s">
        <v>429</v>
      </c>
      <c r="E136" s="19" t="s">
        <v>429</v>
      </c>
      <c r="F136" s="18">
        <v>2.1</v>
      </c>
      <c r="G136" s="18">
        <v>0.9</v>
      </c>
      <c r="H136" s="19">
        <v>6.1</v>
      </c>
      <c r="I136" s="19">
        <v>5.2</v>
      </c>
      <c r="J136" s="18">
        <v>5.8</v>
      </c>
      <c r="K136" s="18">
        <v>7</v>
      </c>
      <c r="L136" s="19">
        <v>8.1999999999999993</v>
      </c>
      <c r="M136" s="19">
        <v>5.6</v>
      </c>
      <c r="N136" s="18" t="s">
        <v>429</v>
      </c>
      <c r="O136" s="18">
        <v>7.3</v>
      </c>
      <c r="P136" s="19" t="s">
        <v>429</v>
      </c>
      <c r="Q136" s="19" t="s">
        <v>429</v>
      </c>
      <c r="R136" s="18" t="s">
        <v>429</v>
      </c>
      <c r="S136" s="18" t="s">
        <v>429</v>
      </c>
      <c r="T136" s="19" t="s">
        <v>429</v>
      </c>
      <c r="U136" s="19" t="s">
        <v>429</v>
      </c>
      <c r="V136" s="18" t="s">
        <v>429</v>
      </c>
      <c r="W136" s="18" t="s">
        <v>429</v>
      </c>
      <c r="X136" s="19" t="s">
        <v>429</v>
      </c>
      <c r="Y136" s="19" t="s">
        <v>429</v>
      </c>
      <c r="Z136" s="18" t="s">
        <v>429</v>
      </c>
      <c r="AA136" s="18" t="s">
        <v>429</v>
      </c>
      <c r="AB136" s="19" t="s">
        <v>429</v>
      </c>
      <c r="AC136" s="19" t="s">
        <v>429</v>
      </c>
      <c r="AD136" s="18" t="s">
        <v>429</v>
      </c>
      <c r="AE136" s="18" t="s">
        <v>429</v>
      </c>
      <c r="AF136" s="19">
        <v>3.1</v>
      </c>
      <c r="AG136" s="19">
        <v>2.8</v>
      </c>
      <c r="AH136" s="18">
        <v>5</v>
      </c>
      <c r="AI136" s="18">
        <v>3.8</v>
      </c>
    </row>
    <row r="137" spans="1:35">
      <c r="A137" s="17" t="s">
        <v>1956</v>
      </c>
      <c r="B137" s="17" t="s">
        <v>1890</v>
      </c>
      <c r="C137" s="18">
        <v>167.7</v>
      </c>
      <c r="D137" s="19">
        <v>160</v>
      </c>
      <c r="E137" s="19">
        <v>160</v>
      </c>
      <c r="F137" s="18">
        <v>159.19999999999999</v>
      </c>
      <c r="G137" s="18">
        <v>152.1</v>
      </c>
      <c r="H137" s="19">
        <v>145.5</v>
      </c>
      <c r="I137" s="19">
        <v>151.30000000000001</v>
      </c>
      <c r="J137" s="18">
        <v>145.69999999999999</v>
      </c>
      <c r="K137" s="18">
        <v>146</v>
      </c>
      <c r="L137" s="19">
        <v>155.69999999999999</v>
      </c>
      <c r="M137" s="19">
        <v>151.30000000000001</v>
      </c>
      <c r="N137" s="18">
        <v>144.30000000000001</v>
      </c>
      <c r="O137" s="18">
        <v>172.6</v>
      </c>
      <c r="P137" s="19">
        <v>163.9</v>
      </c>
      <c r="Q137" s="19">
        <v>161.19999999999999</v>
      </c>
      <c r="R137" s="18">
        <v>173.4</v>
      </c>
      <c r="S137" s="18">
        <v>179.9</v>
      </c>
      <c r="T137" s="19">
        <v>173.5</v>
      </c>
      <c r="U137" s="19">
        <v>175.3</v>
      </c>
      <c r="V137" s="18" t="s">
        <v>429</v>
      </c>
      <c r="W137" s="18" t="s">
        <v>429</v>
      </c>
      <c r="X137" s="19" t="s">
        <v>429</v>
      </c>
      <c r="Y137" s="19" t="s">
        <v>429</v>
      </c>
      <c r="Z137" s="18" t="s">
        <v>429</v>
      </c>
      <c r="AA137" s="18" t="s">
        <v>429</v>
      </c>
      <c r="AB137" s="19" t="s">
        <v>429</v>
      </c>
      <c r="AC137" s="19" t="s">
        <v>429</v>
      </c>
      <c r="AD137" s="18" t="s">
        <v>429</v>
      </c>
      <c r="AE137" s="18" t="s">
        <v>429</v>
      </c>
      <c r="AF137" s="19" t="s">
        <v>429</v>
      </c>
      <c r="AG137" s="19" t="s">
        <v>429</v>
      </c>
      <c r="AH137" s="18" t="s">
        <v>429</v>
      </c>
      <c r="AI137" s="18" t="s">
        <v>429</v>
      </c>
    </row>
    <row r="138" spans="1:35">
      <c r="A138" s="17" t="s">
        <v>1956</v>
      </c>
      <c r="B138" s="17" t="s">
        <v>623</v>
      </c>
      <c r="C138" s="18" t="s">
        <v>429</v>
      </c>
      <c r="D138" s="19" t="s">
        <v>429</v>
      </c>
      <c r="E138" s="19" t="s">
        <v>429</v>
      </c>
      <c r="F138" s="18" t="s">
        <v>429</v>
      </c>
      <c r="G138" s="18" t="s">
        <v>429</v>
      </c>
      <c r="H138" s="19" t="s">
        <v>429</v>
      </c>
      <c r="I138" s="19" t="s">
        <v>429</v>
      </c>
      <c r="J138" s="18" t="s">
        <v>429</v>
      </c>
      <c r="K138" s="18" t="s">
        <v>429</v>
      </c>
      <c r="L138" s="19" t="s">
        <v>429</v>
      </c>
      <c r="M138" s="19" t="s">
        <v>429</v>
      </c>
      <c r="N138" s="18" t="s">
        <v>429</v>
      </c>
      <c r="O138" s="18" t="s">
        <v>429</v>
      </c>
      <c r="P138" s="19" t="s">
        <v>429</v>
      </c>
      <c r="Q138" s="19" t="s">
        <v>429</v>
      </c>
      <c r="R138" s="18" t="s">
        <v>429</v>
      </c>
      <c r="S138" s="18" t="s">
        <v>429</v>
      </c>
      <c r="T138" s="19" t="s">
        <v>429</v>
      </c>
      <c r="U138" s="19" t="s">
        <v>429</v>
      </c>
      <c r="V138" s="18">
        <v>169.5</v>
      </c>
      <c r="W138" s="18">
        <v>164.2</v>
      </c>
      <c r="X138" s="19">
        <v>175</v>
      </c>
      <c r="Y138" s="19">
        <v>175</v>
      </c>
      <c r="Z138" s="18">
        <v>155.5</v>
      </c>
      <c r="AA138" s="18">
        <v>152.1</v>
      </c>
      <c r="AB138" s="19" t="s">
        <v>429</v>
      </c>
      <c r="AC138" s="19" t="s">
        <v>429</v>
      </c>
      <c r="AD138" s="18">
        <v>136</v>
      </c>
      <c r="AE138" s="18">
        <v>118.6</v>
      </c>
      <c r="AF138" s="19">
        <v>112.4</v>
      </c>
      <c r="AG138" s="19">
        <v>124.2</v>
      </c>
      <c r="AH138" s="18">
        <v>100.7</v>
      </c>
      <c r="AI138" s="18">
        <v>92.2</v>
      </c>
    </row>
    <row r="139" spans="1:35">
      <c r="A139" s="15"/>
      <c r="B139" s="16" t="s">
        <v>1957</v>
      </c>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c r="AA139" s="16"/>
      <c r="AB139" s="16"/>
      <c r="AC139" s="16"/>
      <c r="AD139" s="16"/>
      <c r="AE139" s="16"/>
      <c r="AF139" s="16"/>
      <c r="AG139" s="16"/>
      <c r="AH139" s="16"/>
      <c r="AI139" s="16"/>
    </row>
    <row r="140" spans="1:35">
      <c r="A140" s="17" t="s">
        <v>1958</v>
      </c>
      <c r="B140" s="17" t="s">
        <v>1959</v>
      </c>
      <c r="C140" s="18" t="s">
        <v>429</v>
      </c>
      <c r="D140" s="19" t="s">
        <v>429</v>
      </c>
      <c r="E140" s="19" t="s">
        <v>429</v>
      </c>
      <c r="F140" s="18" t="s">
        <v>429</v>
      </c>
      <c r="G140" s="18" t="s">
        <v>429</v>
      </c>
      <c r="H140" s="19" t="s">
        <v>429</v>
      </c>
      <c r="I140" s="19" t="s">
        <v>429</v>
      </c>
      <c r="J140" s="18" t="s">
        <v>429</v>
      </c>
      <c r="K140" s="18" t="s">
        <v>429</v>
      </c>
      <c r="L140" s="19" t="s">
        <v>429</v>
      </c>
      <c r="M140" s="19" t="s">
        <v>429</v>
      </c>
      <c r="N140" s="18" t="s">
        <v>429</v>
      </c>
      <c r="O140" s="18" t="s">
        <v>429</v>
      </c>
      <c r="P140" s="19" t="s">
        <v>429</v>
      </c>
      <c r="Q140" s="19" t="s">
        <v>429</v>
      </c>
      <c r="R140" s="18" t="s">
        <v>429</v>
      </c>
      <c r="S140" s="18" t="s">
        <v>429</v>
      </c>
      <c r="T140" s="19" t="s">
        <v>429</v>
      </c>
      <c r="U140" s="19" t="s">
        <v>429</v>
      </c>
      <c r="V140" s="18" t="s">
        <v>429</v>
      </c>
      <c r="W140" s="18" t="s">
        <v>429</v>
      </c>
      <c r="X140" s="19" t="s">
        <v>429</v>
      </c>
      <c r="Y140" s="19" t="s">
        <v>429</v>
      </c>
      <c r="Z140" s="18" t="s">
        <v>429</v>
      </c>
      <c r="AA140" s="18" t="s">
        <v>429</v>
      </c>
      <c r="AB140" s="19" t="s">
        <v>429</v>
      </c>
      <c r="AC140" s="19" t="s">
        <v>429</v>
      </c>
      <c r="AD140" s="18" t="s">
        <v>429</v>
      </c>
      <c r="AE140" s="18" t="s">
        <v>429</v>
      </c>
      <c r="AF140" s="19" t="s">
        <v>429</v>
      </c>
      <c r="AG140" s="19" t="s">
        <v>429</v>
      </c>
      <c r="AH140" s="18" t="s">
        <v>429</v>
      </c>
      <c r="AI140" s="18" t="s">
        <v>429</v>
      </c>
    </row>
    <row r="141" spans="1:35">
      <c r="A141" s="17" t="s">
        <v>1960</v>
      </c>
      <c r="B141" s="17" t="s">
        <v>1961</v>
      </c>
      <c r="C141" s="18" t="s">
        <v>429</v>
      </c>
      <c r="D141" s="19" t="s">
        <v>429</v>
      </c>
      <c r="E141" s="19" t="s">
        <v>429</v>
      </c>
      <c r="F141" s="18" t="s">
        <v>429</v>
      </c>
      <c r="G141" s="18" t="s">
        <v>429</v>
      </c>
      <c r="H141" s="19" t="s">
        <v>429</v>
      </c>
      <c r="I141" s="19" t="s">
        <v>429</v>
      </c>
      <c r="J141" s="18" t="s">
        <v>429</v>
      </c>
      <c r="K141" s="18" t="s">
        <v>429</v>
      </c>
      <c r="L141" s="19" t="s">
        <v>429</v>
      </c>
      <c r="M141" s="19" t="s">
        <v>429</v>
      </c>
      <c r="N141" s="18" t="s">
        <v>429</v>
      </c>
      <c r="O141" s="18" t="s">
        <v>429</v>
      </c>
      <c r="P141" s="19" t="s">
        <v>429</v>
      </c>
      <c r="Q141" s="19" t="s">
        <v>429</v>
      </c>
      <c r="R141" s="18" t="s">
        <v>429</v>
      </c>
      <c r="S141" s="18" t="s">
        <v>429</v>
      </c>
      <c r="T141" s="19" t="s">
        <v>429</v>
      </c>
      <c r="U141" s="19" t="s">
        <v>429</v>
      </c>
      <c r="V141" s="18" t="s">
        <v>429</v>
      </c>
      <c r="W141" s="18" t="s">
        <v>429</v>
      </c>
      <c r="X141" s="19" t="s">
        <v>429</v>
      </c>
      <c r="Y141" s="19" t="s">
        <v>429</v>
      </c>
      <c r="Z141" s="18" t="s">
        <v>429</v>
      </c>
      <c r="AA141" s="18" t="s">
        <v>429</v>
      </c>
      <c r="AB141" s="19" t="s">
        <v>429</v>
      </c>
      <c r="AC141" s="19" t="s">
        <v>429</v>
      </c>
      <c r="AD141" s="18" t="s">
        <v>429</v>
      </c>
      <c r="AE141" s="18" t="s">
        <v>429</v>
      </c>
      <c r="AF141" s="19" t="s">
        <v>429</v>
      </c>
      <c r="AG141" s="19" t="s">
        <v>429</v>
      </c>
      <c r="AH141" s="18" t="s">
        <v>429</v>
      </c>
      <c r="AI141" s="18" t="s">
        <v>429</v>
      </c>
    </row>
    <row r="142" spans="1:35">
      <c r="A142" s="17" t="s">
        <v>1962</v>
      </c>
      <c r="B142" s="17" t="s">
        <v>1963</v>
      </c>
      <c r="C142" s="18" t="s">
        <v>429</v>
      </c>
      <c r="D142" s="19" t="s">
        <v>429</v>
      </c>
      <c r="E142" s="19" t="s">
        <v>429</v>
      </c>
      <c r="F142" s="18" t="s">
        <v>429</v>
      </c>
      <c r="G142" s="18" t="s">
        <v>429</v>
      </c>
      <c r="H142" s="19" t="s">
        <v>429</v>
      </c>
      <c r="I142" s="19" t="s">
        <v>429</v>
      </c>
      <c r="J142" s="18" t="s">
        <v>429</v>
      </c>
      <c r="K142" s="18" t="s">
        <v>429</v>
      </c>
      <c r="L142" s="19" t="s">
        <v>429</v>
      </c>
      <c r="M142" s="19" t="s">
        <v>429</v>
      </c>
      <c r="N142" s="18" t="s">
        <v>429</v>
      </c>
      <c r="O142" s="18" t="s">
        <v>429</v>
      </c>
      <c r="P142" s="19" t="s">
        <v>429</v>
      </c>
      <c r="Q142" s="19" t="s">
        <v>429</v>
      </c>
      <c r="R142" s="18" t="s">
        <v>429</v>
      </c>
      <c r="S142" s="18" t="s">
        <v>429</v>
      </c>
      <c r="T142" s="19" t="s">
        <v>429</v>
      </c>
      <c r="U142" s="19" t="s">
        <v>429</v>
      </c>
      <c r="V142" s="18" t="s">
        <v>429</v>
      </c>
      <c r="W142" s="18" t="s">
        <v>429</v>
      </c>
      <c r="X142" s="19" t="s">
        <v>429</v>
      </c>
      <c r="Y142" s="19" t="s">
        <v>429</v>
      </c>
      <c r="Z142" s="18" t="s">
        <v>429</v>
      </c>
      <c r="AA142" s="18" t="s">
        <v>429</v>
      </c>
      <c r="AB142" s="19" t="s">
        <v>429</v>
      </c>
      <c r="AC142" s="19" t="s">
        <v>429</v>
      </c>
      <c r="AD142" s="18" t="s">
        <v>429</v>
      </c>
      <c r="AE142" s="18" t="s">
        <v>429</v>
      </c>
      <c r="AF142" s="19" t="s">
        <v>429</v>
      </c>
      <c r="AG142" s="19" t="s">
        <v>429</v>
      </c>
      <c r="AH142" s="18" t="s">
        <v>429</v>
      </c>
      <c r="AI142" s="18" t="s">
        <v>429</v>
      </c>
    </row>
    <row r="143" spans="1:35">
      <c r="A143" s="17" t="s">
        <v>1964</v>
      </c>
      <c r="B143" s="17" t="s">
        <v>1965</v>
      </c>
      <c r="C143" s="18" t="s">
        <v>429</v>
      </c>
      <c r="D143" s="19" t="s">
        <v>429</v>
      </c>
      <c r="E143" s="19" t="s">
        <v>429</v>
      </c>
      <c r="F143" s="18" t="s">
        <v>429</v>
      </c>
      <c r="G143" s="18" t="s">
        <v>429</v>
      </c>
      <c r="H143" s="19" t="s">
        <v>429</v>
      </c>
      <c r="I143" s="19" t="s">
        <v>429</v>
      </c>
      <c r="J143" s="18" t="s">
        <v>429</v>
      </c>
      <c r="K143" s="18" t="s">
        <v>429</v>
      </c>
      <c r="L143" s="19" t="s">
        <v>429</v>
      </c>
      <c r="M143" s="19" t="s">
        <v>429</v>
      </c>
      <c r="N143" s="18" t="s">
        <v>429</v>
      </c>
      <c r="O143" s="18" t="s">
        <v>429</v>
      </c>
      <c r="P143" s="19" t="s">
        <v>429</v>
      </c>
      <c r="Q143" s="19" t="s">
        <v>429</v>
      </c>
      <c r="R143" s="18" t="s">
        <v>429</v>
      </c>
      <c r="S143" s="18" t="s">
        <v>429</v>
      </c>
      <c r="T143" s="19" t="s">
        <v>429</v>
      </c>
      <c r="U143" s="19" t="s">
        <v>429</v>
      </c>
      <c r="V143" s="18" t="s">
        <v>429</v>
      </c>
      <c r="W143" s="18" t="s">
        <v>429</v>
      </c>
      <c r="X143" s="19" t="s">
        <v>429</v>
      </c>
      <c r="Y143" s="19" t="s">
        <v>429</v>
      </c>
      <c r="Z143" s="18" t="s">
        <v>429</v>
      </c>
      <c r="AA143" s="18" t="s">
        <v>429</v>
      </c>
      <c r="AB143" s="19" t="s">
        <v>429</v>
      </c>
      <c r="AC143" s="19" t="s">
        <v>429</v>
      </c>
      <c r="AD143" s="18" t="s">
        <v>429</v>
      </c>
      <c r="AE143" s="18" t="s">
        <v>429</v>
      </c>
      <c r="AF143" s="19" t="s">
        <v>429</v>
      </c>
      <c r="AG143" s="19" t="s">
        <v>429</v>
      </c>
      <c r="AH143" s="18" t="s">
        <v>429</v>
      </c>
      <c r="AI143" s="18" t="s">
        <v>429</v>
      </c>
    </row>
    <row r="144" spans="1:35">
      <c r="A144" s="17" t="s">
        <v>1966</v>
      </c>
      <c r="B144" s="17" t="s">
        <v>1967</v>
      </c>
      <c r="C144" s="18" t="s">
        <v>429</v>
      </c>
      <c r="D144" s="19" t="s">
        <v>429</v>
      </c>
      <c r="E144" s="19" t="s">
        <v>429</v>
      </c>
      <c r="F144" s="18" t="s">
        <v>429</v>
      </c>
      <c r="G144" s="18" t="s">
        <v>429</v>
      </c>
      <c r="H144" s="19" t="s">
        <v>429</v>
      </c>
      <c r="I144" s="19" t="s">
        <v>429</v>
      </c>
      <c r="J144" s="18" t="s">
        <v>429</v>
      </c>
      <c r="K144" s="18" t="s">
        <v>429</v>
      </c>
      <c r="L144" s="19" t="s">
        <v>429</v>
      </c>
      <c r="M144" s="19" t="s">
        <v>429</v>
      </c>
      <c r="N144" s="18" t="s">
        <v>429</v>
      </c>
      <c r="O144" s="18" t="s">
        <v>429</v>
      </c>
      <c r="P144" s="19" t="s">
        <v>429</v>
      </c>
      <c r="Q144" s="19" t="s">
        <v>429</v>
      </c>
      <c r="R144" s="18" t="s">
        <v>429</v>
      </c>
      <c r="S144" s="18" t="s">
        <v>429</v>
      </c>
      <c r="T144" s="19" t="s">
        <v>429</v>
      </c>
      <c r="U144" s="19" t="s">
        <v>429</v>
      </c>
      <c r="V144" s="18" t="s">
        <v>429</v>
      </c>
      <c r="W144" s="18" t="s">
        <v>429</v>
      </c>
      <c r="X144" s="19" t="s">
        <v>429</v>
      </c>
      <c r="Y144" s="19" t="s">
        <v>429</v>
      </c>
      <c r="Z144" s="18" t="s">
        <v>429</v>
      </c>
      <c r="AA144" s="18" t="s">
        <v>429</v>
      </c>
      <c r="AB144" s="19" t="s">
        <v>429</v>
      </c>
      <c r="AC144" s="19" t="s">
        <v>429</v>
      </c>
      <c r="AD144" s="18" t="s">
        <v>429</v>
      </c>
      <c r="AE144" s="18" t="s">
        <v>429</v>
      </c>
      <c r="AF144" s="19" t="s">
        <v>429</v>
      </c>
      <c r="AG144" s="19" t="s">
        <v>429</v>
      </c>
      <c r="AH144" s="18" t="s">
        <v>429</v>
      </c>
      <c r="AI144" s="18" t="s">
        <v>429</v>
      </c>
    </row>
    <row r="145" spans="1:35">
      <c r="A145" s="17" t="s">
        <v>1968</v>
      </c>
      <c r="B145" s="17" t="s">
        <v>1969</v>
      </c>
      <c r="C145" s="18" t="s">
        <v>429</v>
      </c>
      <c r="D145" s="19" t="s">
        <v>429</v>
      </c>
      <c r="E145" s="19" t="s">
        <v>429</v>
      </c>
      <c r="F145" s="18" t="s">
        <v>429</v>
      </c>
      <c r="G145" s="18" t="s">
        <v>429</v>
      </c>
      <c r="H145" s="19" t="s">
        <v>429</v>
      </c>
      <c r="I145" s="19" t="s">
        <v>429</v>
      </c>
      <c r="J145" s="18" t="s">
        <v>429</v>
      </c>
      <c r="K145" s="18" t="s">
        <v>429</v>
      </c>
      <c r="L145" s="19" t="s">
        <v>429</v>
      </c>
      <c r="M145" s="19" t="s">
        <v>429</v>
      </c>
      <c r="N145" s="18" t="s">
        <v>429</v>
      </c>
      <c r="O145" s="18" t="s">
        <v>429</v>
      </c>
      <c r="P145" s="19" t="s">
        <v>429</v>
      </c>
      <c r="Q145" s="19" t="s">
        <v>429</v>
      </c>
      <c r="R145" s="18" t="s">
        <v>429</v>
      </c>
      <c r="S145" s="18" t="s">
        <v>429</v>
      </c>
      <c r="T145" s="19" t="s">
        <v>429</v>
      </c>
      <c r="U145" s="19" t="s">
        <v>429</v>
      </c>
      <c r="V145" s="18" t="s">
        <v>429</v>
      </c>
      <c r="W145" s="18" t="s">
        <v>429</v>
      </c>
      <c r="X145" s="19" t="s">
        <v>429</v>
      </c>
      <c r="Y145" s="19" t="s">
        <v>429</v>
      </c>
      <c r="Z145" s="18" t="s">
        <v>429</v>
      </c>
      <c r="AA145" s="18" t="s">
        <v>429</v>
      </c>
      <c r="AB145" s="19" t="s">
        <v>429</v>
      </c>
      <c r="AC145" s="19" t="s">
        <v>429</v>
      </c>
      <c r="AD145" s="18" t="s">
        <v>429</v>
      </c>
      <c r="AE145" s="18" t="s">
        <v>429</v>
      </c>
      <c r="AF145" s="19" t="s">
        <v>429</v>
      </c>
      <c r="AG145" s="19" t="s">
        <v>429</v>
      </c>
      <c r="AH145" s="18" t="s">
        <v>429</v>
      </c>
      <c r="AI145" s="18" t="s">
        <v>429</v>
      </c>
    </row>
    <row r="146" spans="1:35">
      <c r="A146" s="17" t="s">
        <v>1970</v>
      </c>
      <c r="B146" s="17" t="s">
        <v>1971</v>
      </c>
      <c r="C146" s="18" t="s">
        <v>429</v>
      </c>
      <c r="D146" s="19" t="s">
        <v>429</v>
      </c>
      <c r="E146" s="19" t="s">
        <v>429</v>
      </c>
      <c r="F146" s="18" t="s">
        <v>429</v>
      </c>
      <c r="G146" s="18" t="s">
        <v>429</v>
      </c>
      <c r="H146" s="19" t="s">
        <v>429</v>
      </c>
      <c r="I146" s="19" t="s">
        <v>429</v>
      </c>
      <c r="J146" s="18" t="s">
        <v>429</v>
      </c>
      <c r="K146" s="18" t="s">
        <v>429</v>
      </c>
      <c r="L146" s="19" t="s">
        <v>429</v>
      </c>
      <c r="M146" s="19" t="s">
        <v>429</v>
      </c>
      <c r="N146" s="18" t="s">
        <v>429</v>
      </c>
      <c r="O146" s="18" t="s">
        <v>429</v>
      </c>
      <c r="P146" s="19" t="s">
        <v>429</v>
      </c>
      <c r="Q146" s="19" t="s">
        <v>429</v>
      </c>
      <c r="R146" s="18" t="s">
        <v>429</v>
      </c>
      <c r="S146" s="18" t="s">
        <v>429</v>
      </c>
      <c r="T146" s="19" t="s">
        <v>429</v>
      </c>
      <c r="U146" s="19" t="s">
        <v>429</v>
      </c>
      <c r="V146" s="18" t="s">
        <v>429</v>
      </c>
      <c r="W146" s="18" t="s">
        <v>429</v>
      </c>
      <c r="X146" s="19" t="s">
        <v>429</v>
      </c>
      <c r="Y146" s="19" t="s">
        <v>429</v>
      </c>
      <c r="Z146" s="18" t="s">
        <v>429</v>
      </c>
      <c r="AA146" s="18" t="s">
        <v>429</v>
      </c>
      <c r="AB146" s="19" t="s">
        <v>429</v>
      </c>
      <c r="AC146" s="19" t="s">
        <v>429</v>
      </c>
      <c r="AD146" s="18" t="s">
        <v>429</v>
      </c>
      <c r="AE146" s="18" t="s">
        <v>429</v>
      </c>
      <c r="AF146" s="19" t="s">
        <v>429</v>
      </c>
      <c r="AG146" s="19" t="s">
        <v>429</v>
      </c>
      <c r="AH146" s="18" t="s">
        <v>429</v>
      </c>
      <c r="AI146" s="18" t="s">
        <v>429</v>
      </c>
    </row>
    <row r="147" spans="1:35">
      <c r="A147" s="17" t="s">
        <v>1972</v>
      </c>
      <c r="B147" s="17" t="s">
        <v>1973</v>
      </c>
      <c r="C147" s="18" t="s">
        <v>429</v>
      </c>
      <c r="D147" s="19" t="s">
        <v>429</v>
      </c>
      <c r="E147" s="19" t="s">
        <v>429</v>
      </c>
      <c r="F147" s="18" t="s">
        <v>429</v>
      </c>
      <c r="G147" s="18" t="s">
        <v>429</v>
      </c>
      <c r="H147" s="19" t="s">
        <v>429</v>
      </c>
      <c r="I147" s="19" t="s">
        <v>429</v>
      </c>
      <c r="J147" s="18" t="s">
        <v>429</v>
      </c>
      <c r="K147" s="18" t="s">
        <v>429</v>
      </c>
      <c r="L147" s="19" t="s">
        <v>429</v>
      </c>
      <c r="M147" s="19" t="s">
        <v>429</v>
      </c>
      <c r="N147" s="18" t="s">
        <v>429</v>
      </c>
      <c r="O147" s="18" t="s">
        <v>429</v>
      </c>
      <c r="P147" s="19" t="s">
        <v>429</v>
      </c>
      <c r="Q147" s="19" t="s">
        <v>429</v>
      </c>
      <c r="R147" s="18" t="s">
        <v>429</v>
      </c>
      <c r="S147" s="18" t="s">
        <v>429</v>
      </c>
      <c r="T147" s="19" t="s">
        <v>429</v>
      </c>
      <c r="U147" s="19" t="s">
        <v>429</v>
      </c>
      <c r="V147" s="18" t="s">
        <v>429</v>
      </c>
      <c r="W147" s="18" t="s">
        <v>429</v>
      </c>
      <c r="X147" s="19" t="s">
        <v>429</v>
      </c>
      <c r="Y147" s="19" t="s">
        <v>429</v>
      </c>
      <c r="Z147" s="18" t="s">
        <v>429</v>
      </c>
      <c r="AA147" s="18" t="s">
        <v>429</v>
      </c>
      <c r="AB147" s="19" t="s">
        <v>429</v>
      </c>
      <c r="AC147" s="19" t="s">
        <v>429</v>
      </c>
      <c r="AD147" s="18" t="s">
        <v>429</v>
      </c>
      <c r="AE147" s="18" t="s">
        <v>429</v>
      </c>
      <c r="AF147" s="19" t="s">
        <v>429</v>
      </c>
      <c r="AG147" s="19" t="s">
        <v>429</v>
      </c>
      <c r="AH147" s="18" t="s">
        <v>429</v>
      </c>
      <c r="AI147" s="18" t="s">
        <v>429</v>
      </c>
    </row>
    <row r="148" spans="1:35">
      <c r="A148" s="17" t="s">
        <v>1974</v>
      </c>
      <c r="B148" s="17" t="s">
        <v>1975</v>
      </c>
      <c r="C148" s="18" t="s">
        <v>429</v>
      </c>
      <c r="D148" s="19" t="s">
        <v>429</v>
      </c>
      <c r="E148" s="19" t="s">
        <v>429</v>
      </c>
      <c r="F148" s="18" t="s">
        <v>429</v>
      </c>
      <c r="G148" s="18" t="s">
        <v>429</v>
      </c>
      <c r="H148" s="19" t="s">
        <v>429</v>
      </c>
      <c r="I148" s="19" t="s">
        <v>429</v>
      </c>
      <c r="J148" s="18" t="s">
        <v>429</v>
      </c>
      <c r="K148" s="18" t="s">
        <v>429</v>
      </c>
      <c r="L148" s="19" t="s">
        <v>429</v>
      </c>
      <c r="M148" s="19" t="s">
        <v>429</v>
      </c>
      <c r="N148" s="18" t="s">
        <v>429</v>
      </c>
      <c r="O148" s="18" t="s">
        <v>429</v>
      </c>
      <c r="P148" s="19" t="s">
        <v>429</v>
      </c>
      <c r="Q148" s="19" t="s">
        <v>429</v>
      </c>
      <c r="R148" s="18" t="s">
        <v>429</v>
      </c>
      <c r="S148" s="18" t="s">
        <v>429</v>
      </c>
      <c r="T148" s="19" t="s">
        <v>429</v>
      </c>
      <c r="U148" s="19" t="s">
        <v>429</v>
      </c>
      <c r="V148" s="18" t="s">
        <v>429</v>
      </c>
      <c r="W148" s="18" t="s">
        <v>429</v>
      </c>
      <c r="X148" s="19" t="s">
        <v>429</v>
      </c>
      <c r="Y148" s="19" t="s">
        <v>429</v>
      </c>
      <c r="Z148" s="18" t="s">
        <v>429</v>
      </c>
      <c r="AA148" s="18" t="s">
        <v>429</v>
      </c>
      <c r="AB148" s="19" t="s">
        <v>429</v>
      </c>
      <c r="AC148" s="19" t="s">
        <v>429</v>
      </c>
      <c r="AD148" s="18" t="s">
        <v>429</v>
      </c>
      <c r="AE148" s="18" t="s">
        <v>429</v>
      </c>
      <c r="AF148" s="19" t="s">
        <v>429</v>
      </c>
      <c r="AG148" s="19" t="s">
        <v>429</v>
      </c>
      <c r="AH148" s="18" t="s">
        <v>429</v>
      </c>
      <c r="AI148" s="18" t="s">
        <v>429</v>
      </c>
    </row>
    <row r="149" spans="1:35" ht="52.25">
      <c r="A149" s="15" t="s">
        <v>1976</v>
      </c>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row>
    <row r="150" spans="1:35">
      <c r="A150" s="221" t="s">
        <v>1977</v>
      </c>
      <c r="B150" s="221"/>
      <c r="C150" s="19"/>
      <c r="D150" s="39"/>
      <c r="E150" s="39"/>
      <c r="F150" s="19"/>
      <c r="G150" s="19"/>
      <c r="H150" s="39"/>
      <c r="I150" s="39"/>
      <c r="J150" s="19"/>
      <c r="K150" s="19"/>
      <c r="L150" s="39"/>
      <c r="M150" s="39"/>
      <c r="N150" s="19"/>
      <c r="O150" s="19"/>
      <c r="P150" s="39"/>
      <c r="Q150" s="39"/>
      <c r="R150" s="19"/>
      <c r="S150" s="19"/>
      <c r="T150" s="39"/>
      <c r="U150" s="39"/>
      <c r="V150" s="19"/>
      <c r="W150" s="19"/>
      <c r="X150" s="39"/>
      <c r="Y150" s="39"/>
      <c r="Z150" s="19"/>
      <c r="AA150" s="19"/>
      <c r="AB150" s="39"/>
      <c r="AC150" s="39"/>
      <c r="AD150" s="19"/>
      <c r="AE150" s="19"/>
      <c r="AF150" s="39"/>
      <c r="AG150" s="39"/>
      <c r="AH150" s="19"/>
      <c r="AI150" s="19"/>
    </row>
    <row r="151" spans="1:35" ht="26.25">
      <c r="A151" s="220" t="s">
        <v>1978</v>
      </c>
      <c r="B151" s="220"/>
      <c r="C151" s="40" t="s">
        <v>1979</v>
      </c>
      <c r="D151" s="219" t="s">
        <v>429</v>
      </c>
      <c r="E151" s="219" t="s">
        <v>429</v>
      </c>
      <c r="F151" s="218" t="s">
        <v>429</v>
      </c>
      <c r="G151" s="218" t="s">
        <v>429</v>
      </c>
      <c r="H151" s="219" t="s">
        <v>429</v>
      </c>
      <c r="I151" s="219" t="s">
        <v>429</v>
      </c>
      <c r="J151" s="40" t="s">
        <v>1980</v>
      </c>
      <c r="K151" s="218" t="s">
        <v>429</v>
      </c>
      <c r="L151" s="219" t="s">
        <v>429</v>
      </c>
      <c r="M151" s="219" t="s">
        <v>429</v>
      </c>
      <c r="N151" s="218" t="s">
        <v>429</v>
      </c>
      <c r="O151" s="218" t="s">
        <v>429</v>
      </c>
      <c r="P151" s="219" t="s">
        <v>429</v>
      </c>
      <c r="Q151" s="219" t="s">
        <v>429</v>
      </c>
      <c r="R151" s="218" t="s">
        <v>429</v>
      </c>
      <c r="S151" s="218" t="s">
        <v>429</v>
      </c>
      <c r="T151" s="41" t="s">
        <v>1980</v>
      </c>
      <c r="U151" s="41" t="s">
        <v>1979</v>
      </c>
      <c r="V151" s="40" t="s">
        <v>1980</v>
      </c>
      <c r="W151" s="40" t="s">
        <v>1979</v>
      </c>
      <c r="X151" s="41" t="s">
        <v>1980</v>
      </c>
      <c r="Y151" s="41" t="s">
        <v>1979</v>
      </c>
      <c r="Z151" s="40" t="s">
        <v>1980</v>
      </c>
      <c r="AA151" s="40" t="s">
        <v>1981</v>
      </c>
      <c r="AB151" s="41" t="s">
        <v>1982</v>
      </c>
      <c r="AC151" s="41" t="s">
        <v>1983</v>
      </c>
      <c r="AD151" s="40" t="s">
        <v>1984</v>
      </c>
      <c r="AE151" s="40" t="s">
        <v>1983</v>
      </c>
      <c r="AF151" s="41" t="s">
        <v>1984</v>
      </c>
      <c r="AG151" s="41" t="s">
        <v>1983</v>
      </c>
      <c r="AH151" s="40" t="s">
        <v>1985</v>
      </c>
      <c r="AI151" s="218" t="s">
        <v>429</v>
      </c>
    </row>
    <row r="152" spans="1:35" ht="26.25">
      <c r="A152" s="220"/>
      <c r="B152" s="220"/>
      <c r="C152" s="40" t="s">
        <v>1986</v>
      </c>
      <c r="D152" s="219"/>
      <c r="E152" s="219"/>
      <c r="F152" s="218"/>
      <c r="G152" s="218"/>
      <c r="H152" s="219"/>
      <c r="I152" s="219"/>
      <c r="J152" s="40" t="s">
        <v>1987</v>
      </c>
      <c r="K152" s="218"/>
      <c r="L152" s="219"/>
      <c r="M152" s="219"/>
      <c r="N152" s="218"/>
      <c r="O152" s="218"/>
      <c r="P152" s="219"/>
      <c r="Q152" s="219"/>
      <c r="R152" s="218"/>
      <c r="S152" s="218"/>
      <c r="T152" s="41" t="s">
        <v>1987</v>
      </c>
      <c r="U152" s="41" t="s">
        <v>1986</v>
      </c>
      <c r="V152" s="40" t="s">
        <v>1987</v>
      </c>
      <c r="W152" s="40" t="s">
        <v>1986</v>
      </c>
      <c r="X152" s="41" t="s">
        <v>1987</v>
      </c>
      <c r="Y152" s="41" t="s">
        <v>1986</v>
      </c>
      <c r="Z152" s="40" t="s">
        <v>1987</v>
      </c>
      <c r="AA152" s="40" t="s">
        <v>1986</v>
      </c>
      <c r="AB152" s="41" t="s">
        <v>1987</v>
      </c>
      <c r="AC152" s="41" t="s">
        <v>1986</v>
      </c>
      <c r="AD152" s="40" t="s">
        <v>1987</v>
      </c>
      <c r="AE152" s="40" t="s">
        <v>1986</v>
      </c>
      <c r="AF152" s="41" t="s">
        <v>1987</v>
      </c>
      <c r="AG152" s="41" t="s">
        <v>1986</v>
      </c>
      <c r="AH152" s="40" t="s">
        <v>1987</v>
      </c>
      <c r="AI152" s="218"/>
    </row>
    <row r="153" spans="1:35" ht="26.25">
      <c r="A153" s="220" t="s">
        <v>1988</v>
      </c>
      <c r="B153" s="220"/>
      <c r="C153" s="218" t="s">
        <v>429</v>
      </c>
      <c r="D153" s="41" t="s">
        <v>1984</v>
      </c>
      <c r="E153" s="41" t="s">
        <v>1983</v>
      </c>
      <c r="F153" s="40" t="s">
        <v>1984</v>
      </c>
      <c r="G153" s="40" t="s">
        <v>1983</v>
      </c>
      <c r="H153" s="41" t="s">
        <v>1984</v>
      </c>
      <c r="I153" s="41" t="s">
        <v>1983</v>
      </c>
      <c r="J153" s="40" t="s">
        <v>1989</v>
      </c>
      <c r="K153" s="40" t="s">
        <v>1979</v>
      </c>
      <c r="L153" s="41" t="s">
        <v>1990</v>
      </c>
      <c r="M153" s="41" t="s">
        <v>1979</v>
      </c>
      <c r="N153" s="40" t="s">
        <v>1984</v>
      </c>
      <c r="O153" s="40" t="s">
        <v>1983</v>
      </c>
      <c r="P153" s="41" t="s">
        <v>1980</v>
      </c>
      <c r="Q153" s="41" t="s">
        <v>1979</v>
      </c>
      <c r="R153" s="40" t="s">
        <v>1980</v>
      </c>
      <c r="S153" s="40" t="s">
        <v>1979</v>
      </c>
      <c r="T153" s="219" t="s">
        <v>429</v>
      </c>
      <c r="U153" s="219" t="s">
        <v>429</v>
      </c>
      <c r="V153" s="218" t="s">
        <v>429</v>
      </c>
      <c r="W153" s="218" t="s">
        <v>429</v>
      </c>
      <c r="X153" s="219" t="s">
        <v>429</v>
      </c>
      <c r="Y153" s="219" t="s">
        <v>429</v>
      </c>
      <c r="Z153" s="218" t="s">
        <v>429</v>
      </c>
      <c r="AA153" s="218" t="s">
        <v>429</v>
      </c>
      <c r="AB153" s="219" t="s">
        <v>429</v>
      </c>
      <c r="AC153" s="219" t="s">
        <v>429</v>
      </c>
      <c r="AD153" s="218" t="s">
        <v>429</v>
      </c>
      <c r="AE153" s="218" t="s">
        <v>429</v>
      </c>
      <c r="AF153" s="219" t="s">
        <v>429</v>
      </c>
      <c r="AG153" s="219" t="s">
        <v>429</v>
      </c>
      <c r="AH153" s="218" t="s">
        <v>429</v>
      </c>
      <c r="AI153" s="218" t="s">
        <v>429</v>
      </c>
    </row>
    <row r="154" spans="1:35" ht="26.25">
      <c r="A154" s="220"/>
      <c r="B154" s="220"/>
      <c r="C154" s="218"/>
      <c r="D154" s="41" t="s">
        <v>1987</v>
      </c>
      <c r="E154" s="41" t="s">
        <v>1986</v>
      </c>
      <c r="F154" s="40" t="s">
        <v>1987</v>
      </c>
      <c r="G154" s="40" t="s">
        <v>1986</v>
      </c>
      <c r="H154" s="41" t="s">
        <v>1987</v>
      </c>
      <c r="I154" s="41" t="s">
        <v>1986</v>
      </c>
      <c r="J154" s="40" t="s">
        <v>1991</v>
      </c>
      <c r="K154" s="40" t="s">
        <v>1986</v>
      </c>
      <c r="L154" s="41" t="s">
        <v>1987</v>
      </c>
      <c r="M154" s="41" t="s">
        <v>1986</v>
      </c>
      <c r="N154" s="40" t="s">
        <v>1987</v>
      </c>
      <c r="O154" s="40" t="s">
        <v>1986</v>
      </c>
      <c r="P154" s="41" t="s">
        <v>1987</v>
      </c>
      <c r="Q154" s="41" t="s">
        <v>1986</v>
      </c>
      <c r="R154" s="40" t="s">
        <v>1987</v>
      </c>
      <c r="S154" s="40" t="s">
        <v>1986</v>
      </c>
      <c r="T154" s="219"/>
      <c r="U154" s="219"/>
      <c r="V154" s="218"/>
      <c r="W154" s="218"/>
      <c r="X154" s="219"/>
      <c r="Y154" s="219"/>
      <c r="Z154" s="218"/>
      <c r="AA154" s="218"/>
      <c r="AB154" s="219"/>
      <c r="AC154" s="219"/>
      <c r="AD154" s="218"/>
      <c r="AE154" s="218"/>
      <c r="AF154" s="219"/>
      <c r="AG154" s="219"/>
      <c r="AH154" s="218"/>
      <c r="AI154" s="218"/>
    </row>
    <row r="155" spans="1:35">
      <c r="A155" s="220" t="s">
        <v>1992</v>
      </c>
      <c r="B155" s="220"/>
      <c r="C155" s="218" t="s">
        <v>429</v>
      </c>
      <c r="D155" s="219" t="s">
        <v>429</v>
      </c>
      <c r="E155" s="219" t="s">
        <v>429</v>
      </c>
      <c r="F155" s="218" t="s">
        <v>429</v>
      </c>
      <c r="G155" s="218" t="s">
        <v>429</v>
      </c>
      <c r="H155" s="219" t="s">
        <v>429</v>
      </c>
      <c r="I155" s="219" t="s">
        <v>429</v>
      </c>
      <c r="J155" s="218" t="s">
        <v>429</v>
      </c>
      <c r="K155" s="218" t="s">
        <v>429</v>
      </c>
      <c r="L155" s="219" t="s">
        <v>429</v>
      </c>
      <c r="M155" s="219" t="s">
        <v>429</v>
      </c>
      <c r="N155" s="218" t="s">
        <v>429</v>
      </c>
      <c r="O155" s="40" t="s">
        <v>1993</v>
      </c>
      <c r="P155" s="219" t="s">
        <v>429</v>
      </c>
      <c r="Q155" s="219" t="s">
        <v>429</v>
      </c>
      <c r="R155" s="218" t="s">
        <v>429</v>
      </c>
      <c r="S155" s="218" t="s">
        <v>429</v>
      </c>
      <c r="T155" s="219" t="s">
        <v>429</v>
      </c>
      <c r="U155" s="219" t="s">
        <v>429</v>
      </c>
      <c r="V155" s="218" t="s">
        <v>429</v>
      </c>
      <c r="W155" s="218" t="s">
        <v>429</v>
      </c>
      <c r="X155" s="219" t="s">
        <v>429</v>
      </c>
      <c r="Y155" s="219" t="s">
        <v>429</v>
      </c>
      <c r="Z155" s="218" t="s">
        <v>429</v>
      </c>
      <c r="AA155" s="218" t="s">
        <v>429</v>
      </c>
      <c r="AB155" s="219" t="s">
        <v>429</v>
      </c>
      <c r="AC155" s="219" t="s">
        <v>429</v>
      </c>
      <c r="AD155" s="218" t="s">
        <v>429</v>
      </c>
      <c r="AE155" s="218" t="s">
        <v>429</v>
      </c>
      <c r="AF155" s="219" t="s">
        <v>429</v>
      </c>
      <c r="AG155" s="219" t="s">
        <v>429</v>
      </c>
      <c r="AH155" s="218" t="s">
        <v>429</v>
      </c>
      <c r="AI155" s="218" t="s">
        <v>429</v>
      </c>
    </row>
    <row r="156" spans="1:35">
      <c r="A156" s="220"/>
      <c r="B156" s="220"/>
      <c r="C156" s="218"/>
      <c r="D156" s="219"/>
      <c r="E156" s="219"/>
      <c r="F156" s="218"/>
      <c r="G156" s="218"/>
      <c r="H156" s="219"/>
      <c r="I156" s="219"/>
      <c r="J156" s="218"/>
      <c r="K156" s="218"/>
      <c r="L156" s="219"/>
      <c r="M156" s="219"/>
      <c r="N156" s="218"/>
      <c r="O156" s="40" t="s">
        <v>1994</v>
      </c>
      <c r="P156" s="219"/>
      <c r="Q156" s="219"/>
      <c r="R156" s="218"/>
      <c r="S156" s="218"/>
      <c r="T156" s="219"/>
      <c r="U156" s="219"/>
      <c r="V156" s="218"/>
      <c r="W156" s="218"/>
      <c r="X156" s="219"/>
      <c r="Y156" s="219"/>
      <c r="Z156" s="218"/>
      <c r="AA156" s="218"/>
      <c r="AB156" s="219"/>
      <c r="AC156" s="219"/>
      <c r="AD156" s="218"/>
      <c r="AE156" s="218"/>
      <c r="AF156" s="219"/>
      <c r="AG156" s="219"/>
      <c r="AH156" s="218"/>
      <c r="AI156" s="218"/>
    </row>
    <row r="157" spans="1:35">
      <c r="A157" s="220" t="s">
        <v>1995</v>
      </c>
      <c r="B157" s="220"/>
      <c r="C157" s="40">
        <v>6.9476388888888893E-2</v>
      </c>
      <c r="D157" s="41">
        <v>6.9474537037037043E-2</v>
      </c>
      <c r="E157" s="41">
        <v>6.9478819444444437E-2</v>
      </c>
      <c r="F157" s="40">
        <v>6.9479629629629627E-2</v>
      </c>
      <c r="G157" s="40">
        <v>6.9476620370370376E-2</v>
      </c>
      <c r="H157" s="41">
        <v>6.9480787037037042E-2</v>
      </c>
      <c r="I157" s="219" t="s">
        <v>429</v>
      </c>
      <c r="J157" s="40">
        <v>6.9473263888888886E-2</v>
      </c>
      <c r="K157" s="40">
        <v>6.9474537037037043E-2</v>
      </c>
      <c r="L157" s="41">
        <v>6.9480092592592593E-2</v>
      </c>
      <c r="M157" s="41">
        <v>6.9476967592592601E-2</v>
      </c>
      <c r="N157" s="40">
        <v>6.9478472222222226E-2</v>
      </c>
      <c r="O157" s="40">
        <v>6.9479513888888886E-2</v>
      </c>
      <c r="P157" s="41">
        <v>6.9481712962962974E-2</v>
      </c>
      <c r="Q157" s="41">
        <v>6.9480787037037042E-2</v>
      </c>
      <c r="R157" s="40" t="s">
        <v>429</v>
      </c>
      <c r="S157" s="218" t="s">
        <v>429</v>
      </c>
      <c r="T157" s="219" t="s">
        <v>429</v>
      </c>
      <c r="U157" s="219" t="s">
        <v>429</v>
      </c>
      <c r="V157" s="218" t="s">
        <v>429</v>
      </c>
      <c r="W157" s="218" t="s">
        <v>429</v>
      </c>
      <c r="X157" s="219" t="s">
        <v>429</v>
      </c>
      <c r="Y157" s="219" t="s">
        <v>429</v>
      </c>
      <c r="Z157" s="218" t="s">
        <v>429</v>
      </c>
      <c r="AA157" s="218" t="s">
        <v>429</v>
      </c>
      <c r="AB157" s="219" t="s">
        <v>429</v>
      </c>
      <c r="AC157" s="219" t="s">
        <v>429</v>
      </c>
      <c r="AD157" s="218" t="s">
        <v>429</v>
      </c>
      <c r="AE157" s="218" t="s">
        <v>429</v>
      </c>
      <c r="AF157" s="219" t="s">
        <v>429</v>
      </c>
      <c r="AG157" s="219" t="s">
        <v>429</v>
      </c>
      <c r="AH157" s="218" t="s">
        <v>429</v>
      </c>
      <c r="AI157" s="218" t="s">
        <v>429</v>
      </c>
    </row>
    <row r="158" spans="1:35">
      <c r="A158" s="220"/>
      <c r="B158" s="220"/>
      <c r="C158" s="40" t="s">
        <v>1996</v>
      </c>
      <c r="D158" s="41" t="s">
        <v>1997</v>
      </c>
      <c r="E158" s="41" t="s">
        <v>1998</v>
      </c>
      <c r="F158" s="40" t="s">
        <v>1999</v>
      </c>
      <c r="G158" s="40" t="s">
        <v>2000</v>
      </c>
      <c r="H158" s="41" t="s">
        <v>2001</v>
      </c>
      <c r="I158" s="219"/>
      <c r="J158" s="40" t="s">
        <v>2002</v>
      </c>
      <c r="K158" s="40" t="s">
        <v>2000</v>
      </c>
      <c r="L158" s="41" t="s">
        <v>2003</v>
      </c>
      <c r="M158" s="41" t="s">
        <v>2004</v>
      </c>
      <c r="N158" s="40" t="s">
        <v>2005</v>
      </c>
      <c r="O158" s="40" t="s">
        <v>2006</v>
      </c>
      <c r="P158" s="41" t="s">
        <v>2005</v>
      </c>
      <c r="Q158" s="41" t="s">
        <v>2000</v>
      </c>
      <c r="R158" s="40" t="s">
        <v>2007</v>
      </c>
      <c r="S158" s="218"/>
      <c r="T158" s="219"/>
      <c r="U158" s="219"/>
      <c r="V158" s="218"/>
      <c r="W158" s="218"/>
      <c r="X158" s="219"/>
      <c r="Y158" s="219"/>
      <c r="Z158" s="218"/>
      <c r="AA158" s="218"/>
      <c r="AB158" s="219"/>
      <c r="AC158" s="219"/>
      <c r="AD158" s="218"/>
      <c r="AE158" s="218"/>
      <c r="AF158" s="219"/>
      <c r="AG158" s="219"/>
      <c r="AH158" s="218"/>
      <c r="AI158" s="218"/>
    </row>
    <row r="159" spans="1:35">
      <c r="A159" s="220"/>
      <c r="B159" s="220"/>
      <c r="C159" s="218" t="s">
        <v>429</v>
      </c>
      <c r="D159" s="219" t="s">
        <v>429</v>
      </c>
      <c r="E159" s="219" t="s">
        <v>429</v>
      </c>
      <c r="F159" s="218" t="s">
        <v>429</v>
      </c>
      <c r="G159" s="218" t="s">
        <v>429</v>
      </c>
      <c r="H159" s="219" t="s">
        <v>429</v>
      </c>
      <c r="I159" s="219" t="s">
        <v>429</v>
      </c>
      <c r="J159" s="218" t="s">
        <v>429</v>
      </c>
      <c r="K159" s="40">
        <v>6.9451273148148154E-2</v>
      </c>
      <c r="L159" s="219" t="s">
        <v>429</v>
      </c>
      <c r="M159" s="219" t="s">
        <v>429</v>
      </c>
      <c r="N159" s="218" t="s">
        <v>429</v>
      </c>
      <c r="O159" s="218" t="s">
        <v>429</v>
      </c>
      <c r="P159" s="219" t="s">
        <v>429</v>
      </c>
      <c r="Q159" s="219" t="s">
        <v>429</v>
      </c>
      <c r="R159" s="218" t="s">
        <v>429</v>
      </c>
      <c r="S159" s="218" t="s">
        <v>429</v>
      </c>
      <c r="T159" s="219" t="s">
        <v>429</v>
      </c>
      <c r="U159" s="219" t="s">
        <v>429</v>
      </c>
      <c r="V159" s="218" t="s">
        <v>429</v>
      </c>
      <c r="W159" s="218" t="s">
        <v>429</v>
      </c>
      <c r="X159" s="219" t="s">
        <v>429</v>
      </c>
      <c r="Y159" s="219" t="s">
        <v>429</v>
      </c>
      <c r="Z159" s="218" t="s">
        <v>429</v>
      </c>
      <c r="AA159" s="218" t="s">
        <v>429</v>
      </c>
      <c r="AB159" s="219" t="s">
        <v>429</v>
      </c>
      <c r="AC159" s="219" t="s">
        <v>429</v>
      </c>
      <c r="AD159" s="218" t="s">
        <v>429</v>
      </c>
      <c r="AE159" s="218" t="s">
        <v>429</v>
      </c>
      <c r="AF159" s="219" t="s">
        <v>429</v>
      </c>
      <c r="AG159" s="219" t="s">
        <v>429</v>
      </c>
      <c r="AH159" s="218" t="s">
        <v>429</v>
      </c>
      <c r="AI159" s="218" t="s">
        <v>429</v>
      </c>
    </row>
    <row r="160" spans="1:35">
      <c r="A160" s="220"/>
      <c r="B160" s="220"/>
      <c r="C160" s="218"/>
      <c r="D160" s="219"/>
      <c r="E160" s="219"/>
      <c r="F160" s="218"/>
      <c r="G160" s="218"/>
      <c r="H160" s="219"/>
      <c r="I160" s="219"/>
      <c r="J160" s="218"/>
      <c r="K160" s="40" t="s">
        <v>2000</v>
      </c>
      <c r="L160" s="219"/>
      <c r="M160" s="219"/>
      <c r="N160" s="218"/>
      <c r="O160" s="218"/>
      <c r="P160" s="219"/>
      <c r="Q160" s="219"/>
      <c r="R160" s="218"/>
      <c r="S160" s="218"/>
      <c r="T160" s="219"/>
      <c r="U160" s="219"/>
      <c r="V160" s="218"/>
      <c r="W160" s="218"/>
      <c r="X160" s="219"/>
      <c r="Y160" s="219"/>
      <c r="Z160" s="218"/>
      <c r="AA160" s="218"/>
      <c r="AB160" s="219"/>
      <c r="AC160" s="219"/>
      <c r="AD160" s="218"/>
      <c r="AE160" s="218"/>
      <c r="AF160" s="219"/>
      <c r="AG160" s="219"/>
      <c r="AH160" s="218"/>
      <c r="AI160" s="218"/>
    </row>
    <row r="161" spans="1:35">
      <c r="A161" s="220" t="s">
        <v>2008</v>
      </c>
      <c r="B161" s="220"/>
      <c r="C161" s="218" t="s">
        <v>429</v>
      </c>
      <c r="D161" s="219" t="s">
        <v>429</v>
      </c>
      <c r="E161" s="219" t="s">
        <v>429</v>
      </c>
      <c r="F161" s="218" t="s">
        <v>429</v>
      </c>
      <c r="G161" s="218" t="s">
        <v>429</v>
      </c>
      <c r="H161" s="219" t="s">
        <v>429</v>
      </c>
      <c r="I161" s="219" t="s">
        <v>429</v>
      </c>
      <c r="J161" s="218" t="s">
        <v>429</v>
      </c>
      <c r="K161" s="218" t="s">
        <v>429</v>
      </c>
      <c r="L161" s="219" t="s">
        <v>429</v>
      </c>
      <c r="M161" s="219" t="s">
        <v>429</v>
      </c>
      <c r="N161" s="218" t="s">
        <v>429</v>
      </c>
      <c r="O161" s="218" t="s">
        <v>429</v>
      </c>
      <c r="P161" s="219" t="s">
        <v>429</v>
      </c>
      <c r="Q161" s="219" t="s">
        <v>429</v>
      </c>
      <c r="R161" s="218" t="s">
        <v>429</v>
      </c>
      <c r="S161" s="218" t="s">
        <v>429</v>
      </c>
      <c r="T161" s="219" t="s">
        <v>429</v>
      </c>
      <c r="U161" s="219" t="s">
        <v>429</v>
      </c>
      <c r="V161" s="218" t="s">
        <v>429</v>
      </c>
      <c r="W161" s="218" t="s">
        <v>429</v>
      </c>
      <c r="X161" s="219" t="s">
        <v>429</v>
      </c>
      <c r="Y161" s="219" t="s">
        <v>429</v>
      </c>
      <c r="Z161" s="218" t="s">
        <v>429</v>
      </c>
      <c r="AA161" s="218" t="s">
        <v>429</v>
      </c>
      <c r="AB161" s="219" t="s">
        <v>429</v>
      </c>
      <c r="AC161" s="219" t="s">
        <v>429</v>
      </c>
      <c r="AD161" s="40">
        <v>4.2361111111111106E-2</v>
      </c>
      <c r="AE161" s="218" t="s">
        <v>429</v>
      </c>
      <c r="AF161" s="219" t="s">
        <v>429</v>
      </c>
      <c r="AG161" s="219" t="s">
        <v>429</v>
      </c>
      <c r="AH161" s="218" t="s">
        <v>429</v>
      </c>
      <c r="AI161" s="218" t="s">
        <v>429</v>
      </c>
    </row>
    <row r="162" spans="1:35">
      <c r="A162" s="220"/>
      <c r="B162" s="220"/>
      <c r="C162" s="218"/>
      <c r="D162" s="219"/>
      <c r="E162" s="219"/>
      <c r="F162" s="218"/>
      <c r="G162" s="218"/>
      <c r="H162" s="219"/>
      <c r="I162" s="219"/>
      <c r="J162" s="218"/>
      <c r="K162" s="218"/>
      <c r="L162" s="219"/>
      <c r="M162" s="219"/>
      <c r="N162" s="218"/>
      <c r="O162" s="218"/>
      <c r="P162" s="219"/>
      <c r="Q162" s="219"/>
      <c r="R162" s="218"/>
      <c r="S162" s="218"/>
      <c r="T162" s="219"/>
      <c r="U162" s="219"/>
      <c r="V162" s="218"/>
      <c r="W162" s="218"/>
      <c r="X162" s="219"/>
      <c r="Y162" s="219"/>
      <c r="Z162" s="218"/>
      <c r="AA162" s="218"/>
      <c r="AB162" s="219"/>
      <c r="AC162" s="219"/>
      <c r="AD162" s="40" t="s">
        <v>2009</v>
      </c>
      <c r="AE162" s="218"/>
      <c r="AF162" s="219"/>
      <c r="AG162" s="219"/>
      <c r="AH162" s="218"/>
      <c r="AI162" s="218"/>
    </row>
    <row r="163" spans="1:35">
      <c r="A163" s="220" t="s">
        <v>2010</v>
      </c>
      <c r="B163" s="220"/>
      <c r="C163" s="218" t="s">
        <v>429</v>
      </c>
      <c r="D163" s="219" t="s">
        <v>429</v>
      </c>
      <c r="E163" s="219" t="s">
        <v>429</v>
      </c>
      <c r="F163" s="218" t="s">
        <v>429</v>
      </c>
      <c r="G163" s="218" t="s">
        <v>429</v>
      </c>
      <c r="H163" s="219" t="s">
        <v>429</v>
      </c>
      <c r="I163" s="219" t="s">
        <v>429</v>
      </c>
      <c r="J163" s="218" t="s">
        <v>429</v>
      </c>
      <c r="K163" s="218" t="s">
        <v>429</v>
      </c>
      <c r="L163" s="219" t="s">
        <v>429</v>
      </c>
      <c r="M163" s="219" t="s">
        <v>429</v>
      </c>
      <c r="N163" s="218" t="s">
        <v>429</v>
      </c>
      <c r="O163" s="218" t="s">
        <v>429</v>
      </c>
      <c r="P163" s="219" t="s">
        <v>429</v>
      </c>
      <c r="Q163" s="219" t="s">
        <v>429</v>
      </c>
      <c r="R163" s="218" t="s">
        <v>429</v>
      </c>
      <c r="S163" s="218" t="s">
        <v>429</v>
      </c>
      <c r="T163" s="219" t="s">
        <v>429</v>
      </c>
      <c r="U163" s="41">
        <v>0.8354166666666667</v>
      </c>
      <c r="V163" s="218" t="s">
        <v>429</v>
      </c>
      <c r="W163" s="218" t="s">
        <v>429</v>
      </c>
      <c r="X163" s="219" t="s">
        <v>429</v>
      </c>
      <c r="Y163" s="219" t="s">
        <v>429</v>
      </c>
      <c r="Z163" s="218" t="s">
        <v>429</v>
      </c>
      <c r="AA163" s="40">
        <v>0.1673611111111111</v>
      </c>
      <c r="AB163" s="219" t="s">
        <v>429</v>
      </c>
      <c r="AC163" s="219" t="s">
        <v>429</v>
      </c>
      <c r="AD163" s="218" t="s">
        <v>429</v>
      </c>
      <c r="AE163" s="218" t="s">
        <v>429</v>
      </c>
      <c r="AF163" s="219" t="s">
        <v>429</v>
      </c>
      <c r="AG163" s="219" t="s">
        <v>429</v>
      </c>
      <c r="AH163" s="218" t="s">
        <v>429</v>
      </c>
      <c r="AI163" s="218" t="s">
        <v>429</v>
      </c>
    </row>
    <row r="164" spans="1:35">
      <c r="A164" s="220"/>
      <c r="B164" s="220"/>
      <c r="C164" s="218"/>
      <c r="D164" s="219"/>
      <c r="E164" s="219"/>
      <c r="F164" s="218"/>
      <c r="G164" s="218"/>
      <c r="H164" s="219"/>
      <c r="I164" s="219"/>
      <c r="J164" s="218"/>
      <c r="K164" s="218"/>
      <c r="L164" s="219"/>
      <c r="M164" s="219"/>
      <c r="N164" s="218"/>
      <c r="O164" s="218"/>
      <c r="P164" s="219"/>
      <c r="Q164" s="219"/>
      <c r="R164" s="218"/>
      <c r="S164" s="218"/>
      <c r="T164" s="219"/>
      <c r="U164" s="41" t="s">
        <v>2011</v>
      </c>
      <c r="V164" s="218"/>
      <c r="W164" s="218"/>
      <c r="X164" s="219"/>
      <c r="Y164" s="219"/>
      <c r="Z164" s="218"/>
      <c r="AA164" s="40" t="s">
        <v>2012</v>
      </c>
      <c r="AB164" s="219"/>
      <c r="AC164" s="219"/>
      <c r="AD164" s="218"/>
      <c r="AE164" s="218"/>
      <c r="AF164" s="219"/>
      <c r="AG164" s="219"/>
      <c r="AH164" s="218"/>
      <c r="AI164" s="218"/>
    </row>
  </sheetData>
  <mergeCells count="203">
    <mergeCell ref="AF5:AG5"/>
    <mergeCell ref="AH5:AI5"/>
    <mergeCell ref="A6:B6"/>
    <mergeCell ref="N5:O5"/>
    <mergeCell ref="P5:Q5"/>
    <mergeCell ref="R5:S5"/>
    <mergeCell ref="T5:U5"/>
    <mergeCell ref="V5:W5"/>
    <mergeCell ref="X5:Y5"/>
    <mergeCell ref="A5:B5"/>
    <mergeCell ref="D5:E5"/>
    <mergeCell ref="F5:G5"/>
    <mergeCell ref="H5:I5"/>
    <mergeCell ref="J5:K5"/>
    <mergeCell ref="L5:M5"/>
    <mergeCell ref="A150:B150"/>
    <mergeCell ref="A151:B152"/>
    <mergeCell ref="D151:D152"/>
    <mergeCell ref="E151:E152"/>
    <mergeCell ref="F151:F152"/>
    <mergeCell ref="G151:G152"/>
    <mergeCell ref="Z5:AA5"/>
    <mergeCell ref="AB5:AC5"/>
    <mergeCell ref="AD5:AE5"/>
    <mergeCell ref="O151:O152"/>
    <mergeCell ref="P151:P152"/>
    <mergeCell ref="Q151:Q152"/>
    <mergeCell ref="R151:R152"/>
    <mergeCell ref="S151:S152"/>
    <mergeCell ref="AI151:AI152"/>
    <mergeCell ref="H151:H152"/>
    <mergeCell ref="I151:I152"/>
    <mergeCell ref="K151:K152"/>
    <mergeCell ref="L151:L152"/>
    <mergeCell ref="M151:M152"/>
    <mergeCell ref="N151:N152"/>
    <mergeCell ref="AG153:AG154"/>
    <mergeCell ref="AH153:AH154"/>
    <mergeCell ref="AI153:AI154"/>
    <mergeCell ref="X153:X154"/>
    <mergeCell ref="Y153:Y154"/>
    <mergeCell ref="Z153:Z154"/>
    <mergeCell ref="AA153:AA154"/>
    <mergeCell ref="AB153:AB154"/>
    <mergeCell ref="AC153:AC154"/>
    <mergeCell ref="A155:B156"/>
    <mergeCell ref="C155:C156"/>
    <mergeCell ref="D155:D156"/>
    <mergeCell ref="E155:E156"/>
    <mergeCell ref="F155:F156"/>
    <mergeCell ref="G155:G156"/>
    <mergeCell ref="AD153:AD154"/>
    <mergeCell ref="AE153:AE154"/>
    <mergeCell ref="AF153:AF154"/>
    <mergeCell ref="A153:B154"/>
    <mergeCell ref="C153:C154"/>
    <mergeCell ref="T153:T154"/>
    <mergeCell ref="U153:U154"/>
    <mergeCell ref="V153:V154"/>
    <mergeCell ref="W153:W154"/>
    <mergeCell ref="Q155:Q156"/>
    <mergeCell ref="R155:R156"/>
    <mergeCell ref="S155:S156"/>
    <mergeCell ref="T155:T156"/>
    <mergeCell ref="H155:H156"/>
    <mergeCell ref="I155:I156"/>
    <mergeCell ref="J155:J156"/>
    <mergeCell ref="K155:K156"/>
    <mergeCell ref="L155:L156"/>
    <mergeCell ref="M155:M156"/>
    <mergeCell ref="AG155:AG156"/>
    <mergeCell ref="AH155:AH156"/>
    <mergeCell ref="AI155:AI156"/>
    <mergeCell ref="A157:B160"/>
    <mergeCell ref="I157:I158"/>
    <mergeCell ref="S157:S158"/>
    <mergeCell ref="T157:T158"/>
    <mergeCell ref="U157:U158"/>
    <mergeCell ref="V157:V158"/>
    <mergeCell ref="W157:W158"/>
    <mergeCell ref="AA155:AA156"/>
    <mergeCell ref="AB155:AB156"/>
    <mergeCell ref="AC155:AC156"/>
    <mergeCell ref="AD155:AD156"/>
    <mergeCell ref="AE155:AE156"/>
    <mergeCell ref="AF155:AF156"/>
    <mergeCell ref="U155:U156"/>
    <mergeCell ref="V155:V156"/>
    <mergeCell ref="W155:W156"/>
    <mergeCell ref="X155:X156"/>
    <mergeCell ref="Y155:Y156"/>
    <mergeCell ref="Z155:Z156"/>
    <mergeCell ref="N155:N156"/>
    <mergeCell ref="P155:P156"/>
    <mergeCell ref="AG157:AG158"/>
    <mergeCell ref="AH157:AH158"/>
    <mergeCell ref="AI157:AI158"/>
    <mergeCell ref="X157:X158"/>
    <mergeCell ref="Y157:Y158"/>
    <mergeCell ref="Z157:Z158"/>
    <mergeCell ref="AA157:AA158"/>
    <mergeCell ref="AB157:AB158"/>
    <mergeCell ref="AC157:AC158"/>
    <mergeCell ref="C159:C160"/>
    <mergeCell ref="D159:D160"/>
    <mergeCell ref="E159:E160"/>
    <mergeCell ref="F159:F160"/>
    <mergeCell ref="G159:G160"/>
    <mergeCell ref="H159:H160"/>
    <mergeCell ref="AD157:AD158"/>
    <mergeCell ref="AE157:AE158"/>
    <mergeCell ref="AF157:AF158"/>
    <mergeCell ref="R159:R160"/>
    <mergeCell ref="S159:S160"/>
    <mergeCell ref="T159:T160"/>
    <mergeCell ref="U159:U160"/>
    <mergeCell ref="I159:I160"/>
    <mergeCell ref="J159:J160"/>
    <mergeCell ref="L159:L160"/>
    <mergeCell ref="M159:M160"/>
    <mergeCell ref="N159:N160"/>
    <mergeCell ref="O159:O160"/>
    <mergeCell ref="AH159:AH160"/>
    <mergeCell ref="AI159:AI160"/>
    <mergeCell ref="A161:B162"/>
    <mergeCell ref="C161:C162"/>
    <mergeCell ref="D161:D162"/>
    <mergeCell ref="E161:E162"/>
    <mergeCell ref="F161:F162"/>
    <mergeCell ref="G161:G162"/>
    <mergeCell ref="H161:H162"/>
    <mergeCell ref="I161:I162"/>
    <mergeCell ref="AB159:AB160"/>
    <mergeCell ref="AC159:AC160"/>
    <mergeCell ref="AD159:AD160"/>
    <mergeCell ref="AE159:AE160"/>
    <mergeCell ref="AF159:AF160"/>
    <mergeCell ref="AG159:AG160"/>
    <mergeCell ref="V159:V160"/>
    <mergeCell ref="W159:W160"/>
    <mergeCell ref="X159:X160"/>
    <mergeCell ref="Y159:Y160"/>
    <mergeCell ref="Z159:Z160"/>
    <mergeCell ref="AA159:AA160"/>
    <mergeCell ref="P159:P160"/>
    <mergeCell ref="Q159:Q160"/>
    <mergeCell ref="R161:R162"/>
    <mergeCell ref="S161:S162"/>
    <mergeCell ref="T161:T162"/>
    <mergeCell ref="U161:U162"/>
    <mergeCell ref="J161:J162"/>
    <mergeCell ref="K161:K162"/>
    <mergeCell ref="L161:L162"/>
    <mergeCell ref="M161:M162"/>
    <mergeCell ref="N161:N162"/>
    <mergeCell ref="O161:O162"/>
    <mergeCell ref="AI161:AI162"/>
    <mergeCell ref="A163:B164"/>
    <mergeCell ref="C163:C164"/>
    <mergeCell ref="D163:D164"/>
    <mergeCell ref="E163:E164"/>
    <mergeCell ref="F163:F164"/>
    <mergeCell ref="G163:G164"/>
    <mergeCell ref="H163:H164"/>
    <mergeCell ref="I163:I164"/>
    <mergeCell ref="J163:J164"/>
    <mergeCell ref="AB161:AB162"/>
    <mergeCell ref="AC161:AC162"/>
    <mergeCell ref="AE161:AE162"/>
    <mergeCell ref="AF161:AF162"/>
    <mergeCell ref="AG161:AG162"/>
    <mergeCell ref="AH161:AH162"/>
    <mergeCell ref="V161:V162"/>
    <mergeCell ref="W161:W162"/>
    <mergeCell ref="X161:X162"/>
    <mergeCell ref="Y161:Y162"/>
    <mergeCell ref="Z161:Z162"/>
    <mergeCell ref="AA161:AA162"/>
    <mergeCell ref="P161:P162"/>
    <mergeCell ref="Q161:Q162"/>
    <mergeCell ref="Q163:Q164"/>
    <mergeCell ref="R163:R164"/>
    <mergeCell ref="S163:S164"/>
    <mergeCell ref="T163:T164"/>
    <mergeCell ref="V163:V164"/>
    <mergeCell ref="W163:W164"/>
    <mergeCell ref="K163:K164"/>
    <mergeCell ref="L163:L164"/>
    <mergeCell ref="M163:M164"/>
    <mergeCell ref="N163:N164"/>
    <mergeCell ref="O163:O164"/>
    <mergeCell ref="P163:P164"/>
    <mergeCell ref="AE163:AE164"/>
    <mergeCell ref="AF163:AF164"/>
    <mergeCell ref="AG163:AG164"/>
    <mergeCell ref="AH163:AH164"/>
    <mergeCell ref="AI163:AI164"/>
    <mergeCell ref="X163:X164"/>
    <mergeCell ref="Y163:Y164"/>
    <mergeCell ref="Z163:Z164"/>
    <mergeCell ref="AB163:AB164"/>
    <mergeCell ref="AC163:AC164"/>
    <mergeCell ref="AD163:AD16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15791-24F9-4B87-93BB-54038E82C27E}">
  <sheetPr codeName="Sheet4">
    <tabColor theme="3"/>
  </sheetPr>
  <dimension ref="A1"/>
  <sheetViews>
    <sheetView workbookViewId="0">
      <selection activeCell="G24" sqref="G24"/>
    </sheetView>
  </sheetViews>
  <sheetFormatPr defaultRowHeight="14.25"/>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03C51-3787-4982-8BEC-5B94AE010DFB}">
  <sheetPr codeName="Sheet17">
    <tabColor theme="0" tint="-0.249977111117893"/>
  </sheetPr>
  <dimension ref="A1:AG153"/>
  <sheetViews>
    <sheetView showGridLines="0" workbookViewId="0">
      <selection activeCell="B76" sqref="B76"/>
    </sheetView>
  </sheetViews>
  <sheetFormatPr defaultRowHeight="14.25"/>
  <sheetData>
    <row r="1" spans="1:33">
      <c r="A1" s="9" t="s">
        <v>1616</v>
      </c>
    </row>
    <row r="3" spans="1:33">
      <c r="A3" s="10" t="s">
        <v>72</v>
      </c>
    </row>
    <row r="4" spans="1:33">
      <c r="A4" s="10" t="s">
        <v>1403</v>
      </c>
    </row>
    <row r="5" spans="1:33">
      <c r="A5" s="217" t="s">
        <v>1404</v>
      </c>
      <c r="B5" s="217"/>
      <c r="C5" s="11">
        <v>2022</v>
      </c>
      <c r="D5" s="216">
        <v>2021</v>
      </c>
      <c r="E5" s="216"/>
      <c r="F5" s="216">
        <v>2020</v>
      </c>
      <c r="G5" s="216"/>
      <c r="H5" s="216">
        <v>2019</v>
      </c>
      <c r="I5" s="216"/>
      <c r="J5" s="216">
        <v>2018</v>
      </c>
      <c r="K5" s="216"/>
      <c r="L5" s="216">
        <v>2017</v>
      </c>
      <c r="M5" s="216"/>
      <c r="N5" s="216">
        <v>2016</v>
      </c>
      <c r="O5" s="216"/>
      <c r="P5" s="216">
        <v>2015</v>
      </c>
      <c r="Q5" s="216"/>
      <c r="R5" s="216">
        <v>2014</v>
      </c>
      <c r="S5" s="216"/>
      <c r="T5" s="216">
        <v>2013</v>
      </c>
      <c r="U5" s="216"/>
      <c r="V5" s="216">
        <v>2012</v>
      </c>
      <c r="W5" s="216"/>
      <c r="X5" s="216">
        <v>2011</v>
      </c>
      <c r="Y5" s="216"/>
      <c r="Z5" s="216">
        <v>2010</v>
      </c>
      <c r="AA5" s="216"/>
      <c r="AB5" s="216">
        <v>2009</v>
      </c>
      <c r="AC5" s="216"/>
      <c r="AD5" s="216">
        <v>2008</v>
      </c>
      <c r="AE5" s="216"/>
      <c r="AF5" s="216">
        <v>2007</v>
      </c>
      <c r="AG5" s="216"/>
    </row>
    <row r="6" spans="1:33">
      <c r="A6" s="215"/>
      <c r="B6" s="215"/>
      <c r="C6" s="12" t="s">
        <v>1617</v>
      </c>
      <c r="D6" s="13" t="s">
        <v>1618</v>
      </c>
      <c r="E6" s="13" t="s">
        <v>1619</v>
      </c>
      <c r="F6" s="12" t="s">
        <v>1620</v>
      </c>
      <c r="G6" s="12" t="s">
        <v>1621</v>
      </c>
      <c r="H6" s="13" t="s">
        <v>1622</v>
      </c>
      <c r="I6" s="13" t="s">
        <v>1623</v>
      </c>
      <c r="J6" s="12" t="s">
        <v>1624</v>
      </c>
      <c r="K6" s="12" t="s">
        <v>1625</v>
      </c>
      <c r="L6" s="13" t="s">
        <v>1626</v>
      </c>
      <c r="M6" s="13" t="s">
        <v>1627</v>
      </c>
      <c r="N6" s="12" t="s">
        <v>1628</v>
      </c>
      <c r="O6" s="12" t="s">
        <v>1629</v>
      </c>
      <c r="P6" s="13" t="s">
        <v>1630</v>
      </c>
      <c r="Q6" s="13" t="s">
        <v>1631</v>
      </c>
      <c r="R6" s="12" t="s">
        <v>1632</v>
      </c>
      <c r="S6" s="12" t="s">
        <v>1633</v>
      </c>
      <c r="T6" s="13" t="s">
        <v>1634</v>
      </c>
      <c r="U6" s="13" t="s">
        <v>1635</v>
      </c>
      <c r="V6" s="12" t="s">
        <v>1636</v>
      </c>
      <c r="W6" s="12" t="s">
        <v>1637</v>
      </c>
      <c r="X6" s="13" t="s">
        <v>1638</v>
      </c>
      <c r="Y6" s="13" t="s">
        <v>1639</v>
      </c>
      <c r="Z6" s="12" t="s">
        <v>1640</v>
      </c>
      <c r="AA6" s="12" t="s">
        <v>1641</v>
      </c>
      <c r="AB6" s="13" t="s">
        <v>1642</v>
      </c>
      <c r="AC6" s="13" t="s">
        <v>1643</v>
      </c>
      <c r="AD6" s="12" t="s">
        <v>1644</v>
      </c>
      <c r="AE6" s="12" t="s">
        <v>1645</v>
      </c>
      <c r="AF6" s="13" t="s">
        <v>1646</v>
      </c>
      <c r="AG6" s="13" t="s">
        <v>1647</v>
      </c>
    </row>
    <row r="7" spans="1:33">
      <c r="A7" s="21"/>
      <c r="B7" s="21" t="s">
        <v>1648</v>
      </c>
      <c r="C7" s="22" t="s">
        <v>1649</v>
      </c>
      <c r="D7" s="22" t="s">
        <v>1650</v>
      </c>
      <c r="E7" s="22" t="s">
        <v>1651</v>
      </c>
      <c r="F7" s="22" t="s">
        <v>1652</v>
      </c>
      <c r="G7" s="22" t="s">
        <v>1649</v>
      </c>
      <c r="H7" s="23" t="s">
        <v>1653</v>
      </c>
      <c r="I7" s="23" t="s">
        <v>1654</v>
      </c>
      <c r="J7" s="22" t="s">
        <v>1655</v>
      </c>
      <c r="K7" s="22" t="s">
        <v>1656</v>
      </c>
      <c r="L7" s="22" t="s">
        <v>1657</v>
      </c>
      <c r="M7" s="22" t="s">
        <v>1652</v>
      </c>
      <c r="N7" s="22" t="s">
        <v>1658</v>
      </c>
      <c r="O7" s="22" t="s">
        <v>1659</v>
      </c>
      <c r="P7" s="22" t="s">
        <v>1660</v>
      </c>
      <c r="Q7" s="22" t="s">
        <v>1649</v>
      </c>
      <c r="R7" s="23" t="s">
        <v>1661</v>
      </c>
      <c r="S7" s="23" t="s">
        <v>1661</v>
      </c>
      <c r="T7" s="22" t="s">
        <v>1662</v>
      </c>
      <c r="U7" s="22" t="s">
        <v>1663</v>
      </c>
      <c r="V7" s="22" t="s">
        <v>1664</v>
      </c>
      <c r="W7" s="22" t="s">
        <v>1656</v>
      </c>
      <c r="X7" s="22" t="s">
        <v>1660</v>
      </c>
      <c r="Y7" s="22" t="s">
        <v>1650</v>
      </c>
      <c r="Z7" s="22" t="s">
        <v>1665</v>
      </c>
      <c r="AA7" s="22" t="s">
        <v>1666</v>
      </c>
      <c r="AB7" s="24" t="s">
        <v>1667</v>
      </c>
      <c r="AC7" s="24" t="s">
        <v>1667</v>
      </c>
      <c r="AD7" s="24" t="s">
        <v>1667</v>
      </c>
      <c r="AE7" s="24" t="s">
        <v>1667</v>
      </c>
      <c r="AF7" s="24" t="s">
        <v>1667</v>
      </c>
      <c r="AG7" s="24" t="s">
        <v>1667</v>
      </c>
    </row>
    <row r="8" spans="1:33">
      <c r="A8" s="13"/>
      <c r="B8" s="14" t="s">
        <v>579</v>
      </c>
      <c r="C8" s="13" t="s">
        <v>580</v>
      </c>
      <c r="D8" s="12" t="s">
        <v>581</v>
      </c>
      <c r="E8" s="12" t="s">
        <v>582</v>
      </c>
      <c r="F8" s="13" t="s">
        <v>583</v>
      </c>
      <c r="G8" s="13" t="s">
        <v>584</v>
      </c>
      <c r="H8" s="12" t="s">
        <v>585</v>
      </c>
      <c r="I8" s="12" t="s">
        <v>586</v>
      </c>
      <c r="J8" s="13" t="s">
        <v>587</v>
      </c>
      <c r="K8" s="13" t="s">
        <v>588</v>
      </c>
      <c r="L8" s="12" t="s">
        <v>589</v>
      </c>
      <c r="M8" s="12" t="s">
        <v>590</v>
      </c>
      <c r="N8" s="13" t="s">
        <v>591</v>
      </c>
      <c r="O8" s="13" t="s">
        <v>592</v>
      </c>
      <c r="P8" s="12" t="s">
        <v>593</v>
      </c>
      <c r="Q8" s="12" t="s">
        <v>594</v>
      </c>
      <c r="R8" s="13" t="s">
        <v>595</v>
      </c>
      <c r="S8" s="13" t="s">
        <v>596</v>
      </c>
      <c r="T8" s="12" t="s">
        <v>597</v>
      </c>
      <c r="U8" s="12" t="s">
        <v>598</v>
      </c>
      <c r="V8" s="13" t="s">
        <v>599</v>
      </c>
      <c r="W8" s="13" t="s">
        <v>600</v>
      </c>
      <c r="X8" s="12" t="s">
        <v>601</v>
      </c>
      <c r="Y8" s="12" t="s">
        <v>602</v>
      </c>
      <c r="Z8" s="13" t="s">
        <v>603</v>
      </c>
      <c r="AA8" s="13" t="s">
        <v>604</v>
      </c>
      <c r="AB8" s="12" t="s">
        <v>605</v>
      </c>
      <c r="AC8" s="12" t="s">
        <v>606</v>
      </c>
      <c r="AD8" s="13" t="s">
        <v>607</v>
      </c>
      <c r="AE8" s="13" t="s">
        <v>608</v>
      </c>
      <c r="AF8" s="12" t="s">
        <v>609</v>
      </c>
      <c r="AG8" s="12" t="s">
        <v>610</v>
      </c>
    </row>
    <row r="9" spans="1:33">
      <c r="A9" s="15"/>
      <c r="B9" s="16" t="s">
        <v>1467</v>
      </c>
      <c r="C9" s="16"/>
      <c r="D9" s="16"/>
      <c r="E9" s="16"/>
      <c r="F9" s="16"/>
      <c r="G9" s="16"/>
      <c r="H9" s="16"/>
      <c r="I9" s="16"/>
      <c r="J9" s="16"/>
      <c r="K9" s="16"/>
      <c r="L9" s="16"/>
      <c r="M9" s="16"/>
      <c r="N9" s="16"/>
      <c r="O9" s="16"/>
      <c r="P9" s="16"/>
      <c r="Q9" s="16"/>
      <c r="R9" s="16"/>
      <c r="S9" s="16"/>
      <c r="T9" s="16"/>
      <c r="U9" s="16"/>
      <c r="V9" s="16"/>
      <c r="W9" s="16"/>
      <c r="X9" s="16"/>
      <c r="Y9" s="16"/>
      <c r="Z9" s="16"/>
      <c r="AA9" s="16"/>
      <c r="AB9" s="16"/>
      <c r="AC9" s="16"/>
      <c r="AD9" s="16"/>
      <c r="AE9" s="16"/>
      <c r="AF9" s="16"/>
      <c r="AG9" s="16"/>
    </row>
    <row r="10" spans="1:33">
      <c r="A10" s="17" t="s">
        <v>1468</v>
      </c>
      <c r="B10" s="17" t="s">
        <v>1668</v>
      </c>
      <c r="C10" s="25">
        <v>330</v>
      </c>
      <c r="D10" s="26">
        <v>828</v>
      </c>
      <c r="E10" s="26">
        <v>28</v>
      </c>
      <c r="F10" s="25">
        <v>155</v>
      </c>
      <c r="G10" s="25">
        <v>181</v>
      </c>
      <c r="H10" s="26">
        <v>339</v>
      </c>
      <c r="I10" s="26">
        <v>163</v>
      </c>
      <c r="J10" s="25">
        <v>658</v>
      </c>
      <c r="K10" s="25">
        <v>15</v>
      </c>
      <c r="L10" s="26">
        <v>329</v>
      </c>
      <c r="M10" s="26">
        <v>35</v>
      </c>
      <c r="N10" s="25">
        <v>441</v>
      </c>
      <c r="O10" s="25">
        <v>33</v>
      </c>
      <c r="P10" s="26">
        <v>883</v>
      </c>
      <c r="Q10" s="26">
        <v>675</v>
      </c>
      <c r="R10" s="25">
        <v>410</v>
      </c>
      <c r="S10" s="25">
        <v>14</v>
      </c>
      <c r="T10" s="26">
        <v>541</v>
      </c>
      <c r="U10" s="26">
        <v>428</v>
      </c>
      <c r="V10" s="25">
        <v>19</v>
      </c>
      <c r="W10" s="25">
        <v>17</v>
      </c>
      <c r="X10" s="26">
        <v>50</v>
      </c>
      <c r="Y10" s="26">
        <v>446</v>
      </c>
      <c r="Z10" s="25">
        <v>545</v>
      </c>
      <c r="AA10" s="25">
        <v>137</v>
      </c>
      <c r="AB10" s="26">
        <v>7</v>
      </c>
      <c r="AC10" s="26">
        <v>12</v>
      </c>
      <c r="AD10" s="25">
        <v>12</v>
      </c>
      <c r="AE10" s="25">
        <v>9</v>
      </c>
      <c r="AF10" s="26">
        <v>9</v>
      </c>
      <c r="AG10" s="26">
        <v>320</v>
      </c>
    </row>
    <row r="11" spans="1:33">
      <c r="A11" s="17" t="s">
        <v>1669</v>
      </c>
      <c r="B11" s="17" t="s">
        <v>1670</v>
      </c>
      <c r="C11" s="25" t="s">
        <v>429</v>
      </c>
      <c r="D11" s="26">
        <v>1</v>
      </c>
      <c r="E11" s="26" t="s">
        <v>429</v>
      </c>
      <c r="F11" s="25" t="s">
        <v>429</v>
      </c>
      <c r="G11" s="25" t="s">
        <v>429</v>
      </c>
      <c r="H11" s="26" t="s">
        <v>429</v>
      </c>
      <c r="I11" s="26" t="s">
        <v>429</v>
      </c>
      <c r="J11" s="25" t="s">
        <v>429</v>
      </c>
      <c r="K11" s="25" t="s">
        <v>429</v>
      </c>
      <c r="L11" s="26" t="s">
        <v>429</v>
      </c>
      <c r="M11" s="26" t="s">
        <v>429</v>
      </c>
      <c r="N11" s="25" t="s">
        <v>429</v>
      </c>
      <c r="O11" s="25" t="s">
        <v>429</v>
      </c>
      <c r="P11" s="26" t="s">
        <v>429</v>
      </c>
      <c r="Q11" s="26" t="s">
        <v>429</v>
      </c>
      <c r="R11" s="25" t="s">
        <v>429</v>
      </c>
      <c r="S11" s="25" t="s">
        <v>429</v>
      </c>
      <c r="T11" s="26" t="s">
        <v>429</v>
      </c>
      <c r="U11" s="26" t="s">
        <v>429</v>
      </c>
      <c r="V11" s="25" t="s">
        <v>429</v>
      </c>
      <c r="W11" s="25" t="s">
        <v>429</v>
      </c>
      <c r="X11" s="26" t="s">
        <v>429</v>
      </c>
      <c r="Y11" s="26" t="s">
        <v>429</v>
      </c>
      <c r="Z11" s="25" t="s">
        <v>429</v>
      </c>
      <c r="AA11" s="25" t="s">
        <v>429</v>
      </c>
      <c r="AB11" s="26" t="s">
        <v>429</v>
      </c>
      <c r="AC11" s="26" t="s">
        <v>429</v>
      </c>
      <c r="AD11" s="25" t="s">
        <v>429</v>
      </c>
      <c r="AE11" s="25" t="s">
        <v>429</v>
      </c>
      <c r="AF11" s="26" t="s">
        <v>429</v>
      </c>
      <c r="AG11" s="26" t="s">
        <v>429</v>
      </c>
    </row>
    <row r="12" spans="1:33">
      <c r="A12" s="17" t="s">
        <v>1669</v>
      </c>
      <c r="B12" s="17" t="s">
        <v>1671</v>
      </c>
      <c r="C12" s="25" t="s">
        <v>429</v>
      </c>
      <c r="D12" s="26">
        <v>129</v>
      </c>
      <c r="E12" s="26" t="s">
        <v>429</v>
      </c>
      <c r="F12" s="25" t="s">
        <v>429</v>
      </c>
      <c r="G12" s="25" t="s">
        <v>429</v>
      </c>
      <c r="H12" s="26" t="s">
        <v>429</v>
      </c>
      <c r="I12" s="26" t="s">
        <v>429</v>
      </c>
      <c r="J12" s="25" t="s">
        <v>429</v>
      </c>
      <c r="K12" s="25" t="s">
        <v>429</v>
      </c>
      <c r="L12" s="26" t="s">
        <v>429</v>
      </c>
      <c r="M12" s="26" t="s">
        <v>429</v>
      </c>
      <c r="N12" s="25" t="s">
        <v>429</v>
      </c>
      <c r="O12" s="25" t="s">
        <v>429</v>
      </c>
      <c r="P12" s="26" t="s">
        <v>429</v>
      </c>
      <c r="Q12" s="26" t="s">
        <v>429</v>
      </c>
      <c r="R12" s="25" t="s">
        <v>429</v>
      </c>
      <c r="S12" s="25" t="s">
        <v>429</v>
      </c>
      <c r="T12" s="26" t="s">
        <v>429</v>
      </c>
      <c r="U12" s="26" t="s">
        <v>429</v>
      </c>
      <c r="V12" s="25" t="s">
        <v>429</v>
      </c>
      <c r="W12" s="25" t="s">
        <v>429</v>
      </c>
      <c r="X12" s="26" t="s">
        <v>429</v>
      </c>
      <c r="Y12" s="26" t="s">
        <v>429</v>
      </c>
      <c r="Z12" s="25" t="s">
        <v>429</v>
      </c>
      <c r="AA12" s="25" t="s">
        <v>429</v>
      </c>
      <c r="AB12" s="26" t="s">
        <v>429</v>
      </c>
      <c r="AC12" s="26" t="s">
        <v>429</v>
      </c>
      <c r="AD12" s="25" t="s">
        <v>429</v>
      </c>
      <c r="AE12" s="25" t="s">
        <v>429</v>
      </c>
      <c r="AF12" s="26" t="s">
        <v>429</v>
      </c>
      <c r="AG12" s="26" t="s">
        <v>429</v>
      </c>
    </row>
    <row r="13" spans="1:33">
      <c r="A13" s="17" t="s">
        <v>1669</v>
      </c>
      <c r="B13" s="17" t="s">
        <v>1672</v>
      </c>
      <c r="C13" s="25">
        <v>152</v>
      </c>
      <c r="D13" s="26">
        <v>5</v>
      </c>
      <c r="E13" s="26">
        <v>166</v>
      </c>
      <c r="F13" s="25" t="s">
        <v>429</v>
      </c>
      <c r="G13" s="25" t="s">
        <v>429</v>
      </c>
      <c r="H13" s="26" t="s">
        <v>429</v>
      </c>
      <c r="I13" s="26" t="s">
        <v>429</v>
      </c>
      <c r="J13" s="25" t="s">
        <v>429</v>
      </c>
      <c r="K13" s="25" t="s">
        <v>429</v>
      </c>
      <c r="L13" s="26" t="s">
        <v>429</v>
      </c>
      <c r="M13" s="26" t="s">
        <v>429</v>
      </c>
      <c r="N13" s="25" t="s">
        <v>429</v>
      </c>
      <c r="O13" s="25" t="s">
        <v>429</v>
      </c>
      <c r="P13" s="26" t="s">
        <v>429</v>
      </c>
      <c r="Q13" s="26" t="s">
        <v>429</v>
      </c>
      <c r="R13" s="25" t="s">
        <v>429</v>
      </c>
      <c r="S13" s="25" t="s">
        <v>429</v>
      </c>
      <c r="T13" s="26" t="s">
        <v>429</v>
      </c>
      <c r="U13" s="26" t="s">
        <v>429</v>
      </c>
      <c r="V13" s="25" t="s">
        <v>429</v>
      </c>
      <c r="W13" s="25" t="s">
        <v>429</v>
      </c>
      <c r="X13" s="26" t="s">
        <v>429</v>
      </c>
      <c r="Y13" s="26" t="s">
        <v>429</v>
      </c>
      <c r="Z13" s="25" t="s">
        <v>429</v>
      </c>
      <c r="AA13" s="25" t="s">
        <v>429</v>
      </c>
      <c r="AB13" s="26" t="s">
        <v>429</v>
      </c>
      <c r="AC13" s="26" t="s">
        <v>429</v>
      </c>
      <c r="AD13" s="25" t="s">
        <v>429</v>
      </c>
      <c r="AE13" s="25" t="s">
        <v>429</v>
      </c>
      <c r="AF13" s="26" t="s">
        <v>429</v>
      </c>
      <c r="AG13" s="26" t="s">
        <v>429</v>
      </c>
    </row>
    <row r="14" spans="1:33">
      <c r="A14" s="17" t="s">
        <v>1669</v>
      </c>
      <c r="B14" s="17" t="s">
        <v>1673</v>
      </c>
      <c r="C14" s="25">
        <v>66</v>
      </c>
      <c r="D14" s="26">
        <v>49</v>
      </c>
      <c r="E14" s="26">
        <v>67</v>
      </c>
      <c r="F14" s="25" t="s">
        <v>429</v>
      </c>
      <c r="G14" s="25" t="s">
        <v>429</v>
      </c>
      <c r="H14" s="26" t="s">
        <v>429</v>
      </c>
      <c r="I14" s="26" t="s">
        <v>429</v>
      </c>
      <c r="J14" s="25" t="s">
        <v>429</v>
      </c>
      <c r="K14" s="25" t="s">
        <v>429</v>
      </c>
      <c r="L14" s="26" t="s">
        <v>429</v>
      </c>
      <c r="M14" s="26" t="s">
        <v>429</v>
      </c>
      <c r="N14" s="25" t="s">
        <v>429</v>
      </c>
      <c r="O14" s="25" t="s">
        <v>429</v>
      </c>
      <c r="P14" s="26" t="s">
        <v>429</v>
      </c>
      <c r="Q14" s="26" t="s">
        <v>429</v>
      </c>
      <c r="R14" s="25" t="s">
        <v>429</v>
      </c>
      <c r="S14" s="25" t="s">
        <v>429</v>
      </c>
      <c r="T14" s="26" t="s">
        <v>429</v>
      </c>
      <c r="U14" s="26" t="s">
        <v>429</v>
      </c>
      <c r="V14" s="25" t="s">
        <v>429</v>
      </c>
      <c r="W14" s="25" t="s">
        <v>429</v>
      </c>
      <c r="X14" s="26" t="s">
        <v>429</v>
      </c>
      <c r="Y14" s="26" t="s">
        <v>429</v>
      </c>
      <c r="Z14" s="25" t="s">
        <v>429</v>
      </c>
      <c r="AA14" s="25" t="s">
        <v>429</v>
      </c>
      <c r="AB14" s="26" t="s">
        <v>429</v>
      </c>
      <c r="AC14" s="26" t="s">
        <v>429</v>
      </c>
      <c r="AD14" s="25" t="s">
        <v>429</v>
      </c>
      <c r="AE14" s="25" t="s">
        <v>429</v>
      </c>
      <c r="AF14" s="26" t="s">
        <v>429</v>
      </c>
      <c r="AG14" s="26" t="s">
        <v>429</v>
      </c>
    </row>
    <row r="15" spans="1:33">
      <c r="A15" s="17" t="s">
        <v>1669</v>
      </c>
      <c r="B15" s="17" t="s">
        <v>1674</v>
      </c>
      <c r="C15" s="25">
        <v>12</v>
      </c>
      <c r="D15" s="26">
        <v>12</v>
      </c>
      <c r="E15" s="26">
        <v>12</v>
      </c>
      <c r="F15" s="25" t="s">
        <v>429</v>
      </c>
      <c r="G15" s="25" t="s">
        <v>429</v>
      </c>
      <c r="H15" s="26">
        <v>12</v>
      </c>
      <c r="I15" s="26">
        <v>12</v>
      </c>
      <c r="J15" s="25">
        <v>12</v>
      </c>
      <c r="K15" s="25">
        <v>12</v>
      </c>
      <c r="L15" s="26">
        <v>12</v>
      </c>
      <c r="M15" s="26">
        <v>12</v>
      </c>
      <c r="N15" s="25">
        <v>13</v>
      </c>
      <c r="O15" s="25" t="s">
        <v>429</v>
      </c>
      <c r="P15" s="26" t="s">
        <v>429</v>
      </c>
      <c r="Q15" s="26" t="s">
        <v>429</v>
      </c>
      <c r="R15" s="25" t="s">
        <v>429</v>
      </c>
      <c r="S15" s="25" t="s">
        <v>429</v>
      </c>
      <c r="T15" s="26" t="s">
        <v>429</v>
      </c>
      <c r="U15" s="26" t="s">
        <v>429</v>
      </c>
      <c r="V15" s="25" t="s">
        <v>429</v>
      </c>
      <c r="W15" s="25" t="s">
        <v>429</v>
      </c>
      <c r="X15" s="26" t="s">
        <v>429</v>
      </c>
      <c r="Y15" s="26" t="s">
        <v>429</v>
      </c>
      <c r="Z15" s="25" t="s">
        <v>429</v>
      </c>
      <c r="AA15" s="25" t="s">
        <v>429</v>
      </c>
      <c r="AB15" s="26" t="s">
        <v>429</v>
      </c>
      <c r="AC15" s="26" t="s">
        <v>429</v>
      </c>
      <c r="AD15" s="25" t="s">
        <v>429</v>
      </c>
      <c r="AE15" s="25" t="s">
        <v>429</v>
      </c>
      <c r="AF15" s="26" t="s">
        <v>429</v>
      </c>
      <c r="AG15" s="26" t="s">
        <v>429</v>
      </c>
    </row>
    <row r="16" spans="1:33">
      <c r="A16" s="17" t="s">
        <v>1669</v>
      </c>
      <c r="B16" s="17" t="s">
        <v>1675</v>
      </c>
      <c r="C16" s="25" t="s">
        <v>429</v>
      </c>
      <c r="D16" s="26" t="s">
        <v>429</v>
      </c>
      <c r="E16" s="26" t="s">
        <v>429</v>
      </c>
      <c r="F16" s="25">
        <v>213</v>
      </c>
      <c r="G16" s="25">
        <v>238</v>
      </c>
      <c r="H16" s="26">
        <v>200</v>
      </c>
      <c r="I16" s="26">
        <v>241</v>
      </c>
      <c r="J16" s="25">
        <v>183</v>
      </c>
      <c r="K16" s="25">
        <v>265</v>
      </c>
      <c r="L16" s="26">
        <v>214</v>
      </c>
      <c r="M16" s="26">
        <v>302</v>
      </c>
      <c r="N16" s="25">
        <v>199</v>
      </c>
      <c r="O16" s="25">
        <v>282</v>
      </c>
      <c r="P16" s="26">
        <v>489</v>
      </c>
      <c r="Q16" s="26">
        <v>320</v>
      </c>
      <c r="R16" s="25">
        <v>282</v>
      </c>
      <c r="S16" s="25">
        <v>339</v>
      </c>
      <c r="T16" s="26">
        <v>292</v>
      </c>
      <c r="U16" s="26">
        <v>313</v>
      </c>
      <c r="V16" s="25">
        <v>259</v>
      </c>
      <c r="W16" s="25">
        <v>292</v>
      </c>
      <c r="X16" s="26">
        <v>494</v>
      </c>
      <c r="Y16" s="26">
        <v>268</v>
      </c>
      <c r="Z16" s="25">
        <v>208</v>
      </c>
      <c r="AA16" s="25">
        <v>236</v>
      </c>
      <c r="AB16" s="26">
        <v>183</v>
      </c>
      <c r="AC16" s="26">
        <v>182</v>
      </c>
      <c r="AD16" s="25">
        <v>135</v>
      </c>
      <c r="AE16" s="25">
        <v>163</v>
      </c>
      <c r="AF16" s="26">
        <v>141</v>
      </c>
      <c r="AG16" s="26">
        <v>150</v>
      </c>
    </row>
    <row r="17" spans="1:33">
      <c r="A17" s="17" t="s">
        <v>1676</v>
      </c>
      <c r="B17" s="17" t="s">
        <v>1677</v>
      </c>
      <c r="C17" s="25">
        <v>41</v>
      </c>
      <c r="D17" s="26">
        <v>44</v>
      </c>
      <c r="E17" s="26">
        <v>50</v>
      </c>
      <c r="F17" s="25">
        <v>44</v>
      </c>
      <c r="G17" s="25">
        <v>43</v>
      </c>
      <c r="H17" s="26">
        <v>51</v>
      </c>
      <c r="I17" s="26">
        <v>46</v>
      </c>
      <c r="J17" s="25">
        <v>42</v>
      </c>
      <c r="K17" s="25">
        <v>44</v>
      </c>
      <c r="L17" s="26">
        <v>43</v>
      </c>
      <c r="M17" s="26">
        <v>47</v>
      </c>
      <c r="N17" s="25">
        <v>52</v>
      </c>
      <c r="O17" s="25">
        <v>48</v>
      </c>
      <c r="P17" s="26">
        <v>38</v>
      </c>
      <c r="Q17" s="26">
        <v>46</v>
      </c>
      <c r="R17" s="25">
        <v>42</v>
      </c>
      <c r="S17" s="25">
        <v>54</v>
      </c>
      <c r="T17" s="26">
        <v>47</v>
      </c>
      <c r="U17" s="26">
        <v>35</v>
      </c>
      <c r="V17" s="25">
        <v>40</v>
      </c>
      <c r="W17" s="25">
        <v>42</v>
      </c>
      <c r="X17" s="26">
        <v>32</v>
      </c>
      <c r="Y17" s="26">
        <v>20</v>
      </c>
      <c r="Z17" s="25">
        <v>16</v>
      </c>
      <c r="AA17" s="25">
        <v>14</v>
      </c>
      <c r="AB17" s="26">
        <v>16</v>
      </c>
      <c r="AC17" s="26">
        <v>13</v>
      </c>
      <c r="AD17" s="25">
        <v>12</v>
      </c>
      <c r="AE17" s="25">
        <v>7</v>
      </c>
      <c r="AF17" s="26">
        <v>6</v>
      </c>
      <c r="AG17" s="26">
        <v>5</v>
      </c>
    </row>
    <row r="18" spans="1:33">
      <c r="A18" s="17" t="s">
        <v>1476</v>
      </c>
      <c r="B18" s="17" t="s">
        <v>1678</v>
      </c>
      <c r="C18" s="25">
        <v>32</v>
      </c>
      <c r="D18" s="26">
        <v>18</v>
      </c>
      <c r="E18" s="26">
        <v>38</v>
      </c>
      <c r="F18" s="25">
        <v>195</v>
      </c>
      <c r="G18" s="25">
        <v>145</v>
      </c>
      <c r="H18" s="26">
        <v>139</v>
      </c>
      <c r="I18" s="26">
        <v>107</v>
      </c>
      <c r="J18" s="25">
        <v>1</v>
      </c>
      <c r="K18" s="25">
        <v>1</v>
      </c>
      <c r="L18" s="26">
        <v>6</v>
      </c>
      <c r="M18" s="26">
        <v>87</v>
      </c>
      <c r="N18" s="25">
        <v>89</v>
      </c>
      <c r="O18" s="25">
        <v>50</v>
      </c>
      <c r="P18" s="26">
        <v>129</v>
      </c>
      <c r="Q18" s="26">
        <v>56</v>
      </c>
      <c r="R18" s="25">
        <v>0</v>
      </c>
      <c r="S18" s="25">
        <v>0</v>
      </c>
      <c r="T18" s="26">
        <v>7</v>
      </c>
      <c r="U18" s="26">
        <v>4</v>
      </c>
      <c r="V18" s="25">
        <v>2</v>
      </c>
      <c r="W18" s="25">
        <v>4</v>
      </c>
      <c r="X18" s="26">
        <v>3</v>
      </c>
      <c r="Y18" s="26">
        <v>401</v>
      </c>
      <c r="Z18" s="25">
        <v>12</v>
      </c>
      <c r="AA18" s="25">
        <v>281</v>
      </c>
      <c r="AB18" s="26">
        <v>54</v>
      </c>
      <c r="AC18" s="26">
        <v>89</v>
      </c>
      <c r="AD18" s="25">
        <v>216</v>
      </c>
      <c r="AE18" s="25">
        <v>181</v>
      </c>
      <c r="AF18" s="26">
        <v>27</v>
      </c>
      <c r="AG18" s="26">
        <v>121</v>
      </c>
    </row>
    <row r="19" spans="1:33">
      <c r="A19" s="17" t="s">
        <v>1476</v>
      </c>
      <c r="B19" s="17" t="s">
        <v>1679</v>
      </c>
      <c r="C19" s="25">
        <v>56</v>
      </c>
      <c r="D19" s="26">
        <v>27</v>
      </c>
      <c r="E19" s="26">
        <v>53</v>
      </c>
      <c r="F19" s="25">
        <v>23</v>
      </c>
      <c r="G19" s="25">
        <v>48</v>
      </c>
      <c r="H19" s="26">
        <v>24</v>
      </c>
      <c r="I19" s="26">
        <v>53</v>
      </c>
      <c r="J19" s="25">
        <v>25</v>
      </c>
      <c r="K19" s="25">
        <v>25</v>
      </c>
      <c r="L19" s="26">
        <v>25</v>
      </c>
      <c r="M19" s="26">
        <v>25</v>
      </c>
      <c r="N19" s="25">
        <v>29</v>
      </c>
      <c r="O19" s="25">
        <v>27</v>
      </c>
      <c r="P19" s="26">
        <v>24</v>
      </c>
      <c r="Q19" s="26">
        <v>21</v>
      </c>
      <c r="R19" s="25">
        <v>25</v>
      </c>
      <c r="S19" s="25">
        <v>15</v>
      </c>
      <c r="T19" s="26">
        <v>20</v>
      </c>
      <c r="U19" s="26">
        <v>13</v>
      </c>
      <c r="V19" s="25">
        <v>17</v>
      </c>
      <c r="W19" s="25">
        <v>9</v>
      </c>
      <c r="X19" s="26">
        <v>15</v>
      </c>
      <c r="Y19" s="26">
        <v>19</v>
      </c>
      <c r="Z19" s="25">
        <v>11</v>
      </c>
      <c r="AA19" s="25">
        <v>12</v>
      </c>
      <c r="AB19" s="26">
        <v>11</v>
      </c>
      <c r="AC19" s="26">
        <v>5</v>
      </c>
      <c r="AD19" s="25">
        <v>5</v>
      </c>
      <c r="AE19" s="25">
        <v>5</v>
      </c>
      <c r="AF19" s="26">
        <v>7</v>
      </c>
      <c r="AG19" s="26">
        <v>3</v>
      </c>
    </row>
    <row r="20" spans="1:33">
      <c r="A20" s="17" t="s">
        <v>1470</v>
      </c>
      <c r="B20" s="17" t="s">
        <v>1680</v>
      </c>
      <c r="C20" s="25">
        <v>1</v>
      </c>
      <c r="D20" s="26">
        <v>0</v>
      </c>
      <c r="E20" s="26">
        <v>1</v>
      </c>
      <c r="F20" s="25" t="s">
        <v>429</v>
      </c>
      <c r="G20" s="25" t="s">
        <v>429</v>
      </c>
      <c r="H20" s="26" t="s">
        <v>429</v>
      </c>
      <c r="I20" s="26" t="s">
        <v>429</v>
      </c>
      <c r="J20" s="25" t="s">
        <v>429</v>
      </c>
      <c r="K20" s="25" t="s">
        <v>429</v>
      </c>
      <c r="L20" s="26" t="s">
        <v>429</v>
      </c>
      <c r="M20" s="26" t="s">
        <v>429</v>
      </c>
      <c r="N20" s="25" t="s">
        <v>429</v>
      </c>
      <c r="O20" s="25" t="s">
        <v>429</v>
      </c>
      <c r="P20" s="26" t="s">
        <v>429</v>
      </c>
      <c r="Q20" s="26" t="s">
        <v>429</v>
      </c>
      <c r="R20" s="25" t="s">
        <v>429</v>
      </c>
      <c r="S20" s="25" t="s">
        <v>429</v>
      </c>
      <c r="T20" s="26" t="s">
        <v>429</v>
      </c>
      <c r="U20" s="26" t="s">
        <v>429</v>
      </c>
      <c r="V20" s="25" t="s">
        <v>429</v>
      </c>
      <c r="W20" s="25" t="s">
        <v>429</v>
      </c>
      <c r="X20" s="26" t="s">
        <v>429</v>
      </c>
      <c r="Y20" s="26" t="s">
        <v>429</v>
      </c>
      <c r="Z20" s="25" t="s">
        <v>429</v>
      </c>
      <c r="AA20" s="25" t="s">
        <v>429</v>
      </c>
      <c r="AB20" s="26" t="s">
        <v>429</v>
      </c>
      <c r="AC20" s="26" t="s">
        <v>429</v>
      </c>
      <c r="AD20" s="25" t="s">
        <v>429</v>
      </c>
      <c r="AE20" s="25" t="s">
        <v>429</v>
      </c>
      <c r="AF20" s="26" t="s">
        <v>429</v>
      </c>
      <c r="AG20" s="26" t="s">
        <v>429</v>
      </c>
    </row>
    <row r="21" spans="1:33">
      <c r="A21" s="17" t="s">
        <v>1470</v>
      </c>
      <c r="B21" s="17" t="s">
        <v>1681</v>
      </c>
      <c r="C21" s="25">
        <v>1</v>
      </c>
      <c r="D21" s="26">
        <v>0</v>
      </c>
      <c r="E21" s="26">
        <v>650</v>
      </c>
      <c r="F21" s="25" t="s">
        <v>429</v>
      </c>
      <c r="G21" s="25" t="s">
        <v>429</v>
      </c>
      <c r="H21" s="26" t="s">
        <v>429</v>
      </c>
      <c r="I21" s="26" t="s">
        <v>429</v>
      </c>
      <c r="J21" s="25" t="s">
        <v>429</v>
      </c>
      <c r="K21" s="25" t="s">
        <v>429</v>
      </c>
      <c r="L21" s="26" t="s">
        <v>429</v>
      </c>
      <c r="M21" s="26" t="s">
        <v>429</v>
      </c>
      <c r="N21" s="25" t="s">
        <v>429</v>
      </c>
      <c r="O21" s="25" t="s">
        <v>429</v>
      </c>
      <c r="P21" s="26" t="s">
        <v>429</v>
      </c>
      <c r="Q21" s="26" t="s">
        <v>429</v>
      </c>
      <c r="R21" s="25" t="s">
        <v>429</v>
      </c>
      <c r="S21" s="25" t="s">
        <v>429</v>
      </c>
      <c r="T21" s="26" t="s">
        <v>429</v>
      </c>
      <c r="U21" s="26" t="s">
        <v>429</v>
      </c>
      <c r="V21" s="25" t="s">
        <v>429</v>
      </c>
      <c r="W21" s="25" t="s">
        <v>429</v>
      </c>
      <c r="X21" s="26" t="s">
        <v>429</v>
      </c>
      <c r="Y21" s="26" t="s">
        <v>429</v>
      </c>
      <c r="Z21" s="25" t="s">
        <v>429</v>
      </c>
      <c r="AA21" s="25" t="s">
        <v>429</v>
      </c>
      <c r="AB21" s="26" t="s">
        <v>429</v>
      </c>
      <c r="AC21" s="26" t="s">
        <v>429</v>
      </c>
      <c r="AD21" s="25" t="s">
        <v>429</v>
      </c>
      <c r="AE21" s="25" t="s">
        <v>429</v>
      </c>
      <c r="AF21" s="26" t="s">
        <v>429</v>
      </c>
      <c r="AG21" s="26" t="s">
        <v>429</v>
      </c>
    </row>
    <row r="22" spans="1:33">
      <c r="A22" s="17" t="s">
        <v>1470</v>
      </c>
      <c r="B22" s="17" t="s">
        <v>1682</v>
      </c>
      <c r="C22" s="25">
        <v>67</v>
      </c>
      <c r="D22" s="26">
        <v>6</v>
      </c>
      <c r="E22" s="26" t="s">
        <v>429</v>
      </c>
      <c r="F22" s="25" t="s">
        <v>429</v>
      </c>
      <c r="G22" s="25" t="s">
        <v>429</v>
      </c>
      <c r="H22" s="26" t="s">
        <v>429</v>
      </c>
      <c r="I22" s="26" t="s">
        <v>429</v>
      </c>
      <c r="J22" s="25">
        <v>0</v>
      </c>
      <c r="K22" s="25">
        <v>0</v>
      </c>
      <c r="L22" s="26">
        <v>26</v>
      </c>
      <c r="M22" s="26">
        <v>8</v>
      </c>
      <c r="N22" s="25" t="s">
        <v>429</v>
      </c>
      <c r="O22" s="25" t="s">
        <v>429</v>
      </c>
      <c r="P22" s="26" t="s">
        <v>429</v>
      </c>
      <c r="Q22" s="26" t="s">
        <v>429</v>
      </c>
      <c r="R22" s="25" t="s">
        <v>429</v>
      </c>
      <c r="S22" s="25" t="s">
        <v>429</v>
      </c>
      <c r="T22" s="26" t="s">
        <v>429</v>
      </c>
      <c r="U22" s="26" t="s">
        <v>429</v>
      </c>
      <c r="V22" s="25" t="s">
        <v>429</v>
      </c>
      <c r="W22" s="25" t="s">
        <v>429</v>
      </c>
      <c r="X22" s="26" t="s">
        <v>429</v>
      </c>
      <c r="Y22" s="26" t="s">
        <v>429</v>
      </c>
      <c r="Z22" s="25" t="s">
        <v>429</v>
      </c>
      <c r="AA22" s="25" t="s">
        <v>429</v>
      </c>
      <c r="AB22" s="26" t="s">
        <v>429</v>
      </c>
      <c r="AC22" s="26" t="s">
        <v>429</v>
      </c>
      <c r="AD22" s="25" t="s">
        <v>429</v>
      </c>
      <c r="AE22" s="25" t="s">
        <v>429</v>
      </c>
      <c r="AF22" s="26" t="s">
        <v>429</v>
      </c>
      <c r="AG22" s="26" t="s">
        <v>429</v>
      </c>
    </row>
    <row r="23" spans="1:33">
      <c r="A23" s="17" t="s">
        <v>1683</v>
      </c>
      <c r="B23" s="17" t="s">
        <v>1684</v>
      </c>
      <c r="C23" s="25">
        <v>150</v>
      </c>
      <c r="D23" s="26">
        <v>720</v>
      </c>
      <c r="E23" s="26">
        <v>100</v>
      </c>
      <c r="F23" s="25" t="s">
        <v>429</v>
      </c>
      <c r="G23" s="25" t="s">
        <v>429</v>
      </c>
      <c r="H23" s="26" t="s">
        <v>429</v>
      </c>
      <c r="I23" s="26" t="s">
        <v>429</v>
      </c>
      <c r="J23" s="25" t="s">
        <v>429</v>
      </c>
      <c r="K23" s="25" t="s">
        <v>429</v>
      </c>
      <c r="L23" s="26" t="s">
        <v>429</v>
      </c>
      <c r="M23" s="26" t="s">
        <v>429</v>
      </c>
      <c r="N23" s="25" t="s">
        <v>429</v>
      </c>
      <c r="O23" s="25" t="s">
        <v>429</v>
      </c>
      <c r="P23" s="26" t="s">
        <v>429</v>
      </c>
      <c r="Q23" s="26" t="s">
        <v>429</v>
      </c>
      <c r="R23" s="25" t="s">
        <v>429</v>
      </c>
      <c r="S23" s="25" t="s">
        <v>429</v>
      </c>
      <c r="T23" s="26" t="s">
        <v>429</v>
      </c>
      <c r="U23" s="26" t="s">
        <v>429</v>
      </c>
      <c r="V23" s="25" t="s">
        <v>429</v>
      </c>
      <c r="W23" s="25" t="s">
        <v>429</v>
      </c>
      <c r="X23" s="26" t="s">
        <v>429</v>
      </c>
      <c r="Y23" s="26" t="s">
        <v>429</v>
      </c>
      <c r="Z23" s="25" t="s">
        <v>429</v>
      </c>
      <c r="AA23" s="25" t="s">
        <v>429</v>
      </c>
      <c r="AB23" s="26" t="s">
        <v>429</v>
      </c>
      <c r="AC23" s="26" t="s">
        <v>429</v>
      </c>
      <c r="AD23" s="25" t="s">
        <v>429</v>
      </c>
      <c r="AE23" s="25" t="s">
        <v>429</v>
      </c>
      <c r="AF23" s="26" t="s">
        <v>429</v>
      </c>
      <c r="AG23" s="26" t="s">
        <v>429</v>
      </c>
    </row>
    <row r="24" spans="1:33">
      <c r="A24" s="17" t="s">
        <v>1683</v>
      </c>
      <c r="B24" s="17" t="s">
        <v>1685</v>
      </c>
      <c r="C24" s="25">
        <v>2</v>
      </c>
      <c r="D24" s="26">
        <v>3</v>
      </c>
      <c r="E24" s="26">
        <v>1</v>
      </c>
      <c r="F24" s="25" t="s">
        <v>429</v>
      </c>
      <c r="G24" s="25" t="s">
        <v>429</v>
      </c>
      <c r="H24" s="26" t="s">
        <v>429</v>
      </c>
      <c r="I24" s="26" t="s">
        <v>429</v>
      </c>
      <c r="J24" s="25" t="s">
        <v>429</v>
      </c>
      <c r="K24" s="25" t="s">
        <v>429</v>
      </c>
      <c r="L24" s="26" t="s">
        <v>429</v>
      </c>
      <c r="M24" s="26" t="s">
        <v>429</v>
      </c>
      <c r="N24" s="25" t="s">
        <v>429</v>
      </c>
      <c r="O24" s="25" t="s">
        <v>429</v>
      </c>
      <c r="P24" s="26" t="s">
        <v>429</v>
      </c>
      <c r="Q24" s="26" t="s">
        <v>429</v>
      </c>
      <c r="R24" s="25" t="s">
        <v>429</v>
      </c>
      <c r="S24" s="25" t="s">
        <v>429</v>
      </c>
      <c r="T24" s="26" t="s">
        <v>429</v>
      </c>
      <c r="U24" s="26" t="s">
        <v>429</v>
      </c>
      <c r="V24" s="25" t="s">
        <v>429</v>
      </c>
      <c r="W24" s="25" t="s">
        <v>429</v>
      </c>
      <c r="X24" s="26" t="s">
        <v>429</v>
      </c>
      <c r="Y24" s="26" t="s">
        <v>429</v>
      </c>
      <c r="Z24" s="25" t="s">
        <v>429</v>
      </c>
      <c r="AA24" s="25" t="s">
        <v>429</v>
      </c>
      <c r="AB24" s="26" t="s">
        <v>429</v>
      </c>
      <c r="AC24" s="26" t="s">
        <v>429</v>
      </c>
      <c r="AD24" s="25" t="s">
        <v>429</v>
      </c>
      <c r="AE24" s="25" t="s">
        <v>429</v>
      </c>
      <c r="AF24" s="26" t="s">
        <v>429</v>
      </c>
      <c r="AG24" s="26" t="s">
        <v>429</v>
      </c>
    </row>
    <row r="25" spans="1:33">
      <c r="A25" s="17" t="s">
        <v>1683</v>
      </c>
      <c r="B25" s="17" t="s">
        <v>1686</v>
      </c>
      <c r="C25" s="25" t="s">
        <v>429</v>
      </c>
      <c r="D25" s="26" t="s">
        <v>429</v>
      </c>
      <c r="E25" s="26" t="s">
        <v>429</v>
      </c>
      <c r="F25" s="25">
        <v>263</v>
      </c>
      <c r="G25" s="25">
        <v>13</v>
      </c>
      <c r="H25" s="26" t="s">
        <v>429</v>
      </c>
      <c r="I25" s="26" t="s">
        <v>429</v>
      </c>
      <c r="J25" s="25" t="s">
        <v>429</v>
      </c>
      <c r="K25" s="25" t="s">
        <v>429</v>
      </c>
      <c r="L25" s="26" t="s">
        <v>429</v>
      </c>
      <c r="M25" s="26" t="s">
        <v>429</v>
      </c>
      <c r="N25" s="25" t="s">
        <v>429</v>
      </c>
      <c r="O25" s="25" t="s">
        <v>429</v>
      </c>
      <c r="P25" s="26" t="s">
        <v>429</v>
      </c>
      <c r="Q25" s="26" t="s">
        <v>429</v>
      </c>
      <c r="R25" s="25" t="s">
        <v>429</v>
      </c>
      <c r="S25" s="25" t="s">
        <v>429</v>
      </c>
      <c r="T25" s="26" t="s">
        <v>429</v>
      </c>
      <c r="U25" s="26" t="s">
        <v>429</v>
      </c>
      <c r="V25" s="25" t="s">
        <v>429</v>
      </c>
      <c r="W25" s="25" t="s">
        <v>429</v>
      </c>
      <c r="X25" s="26" t="s">
        <v>429</v>
      </c>
      <c r="Y25" s="26" t="s">
        <v>429</v>
      </c>
      <c r="Z25" s="25" t="s">
        <v>429</v>
      </c>
      <c r="AA25" s="25" t="s">
        <v>429</v>
      </c>
      <c r="AB25" s="26" t="s">
        <v>429</v>
      </c>
      <c r="AC25" s="26" t="s">
        <v>429</v>
      </c>
      <c r="AD25" s="25" t="s">
        <v>429</v>
      </c>
      <c r="AE25" s="25" t="s">
        <v>429</v>
      </c>
      <c r="AF25" s="26" t="s">
        <v>429</v>
      </c>
      <c r="AG25" s="26" t="s">
        <v>429</v>
      </c>
    </row>
    <row r="26" spans="1:33">
      <c r="A26" s="17" t="s">
        <v>1481</v>
      </c>
      <c r="B26" s="17" t="s">
        <v>1482</v>
      </c>
      <c r="C26" s="25">
        <v>910</v>
      </c>
      <c r="D26" s="26">
        <v>1841</v>
      </c>
      <c r="E26" s="26">
        <v>1166</v>
      </c>
      <c r="F26" s="25">
        <v>894</v>
      </c>
      <c r="G26" s="25">
        <v>668</v>
      </c>
      <c r="H26" s="26">
        <v>765</v>
      </c>
      <c r="I26" s="26">
        <v>622</v>
      </c>
      <c r="J26" s="25">
        <v>921</v>
      </c>
      <c r="K26" s="25">
        <v>362</v>
      </c>
      <c r="L26" s="26">
        <v>655</v>
      </c>
      <c r="M26" s="26">
        <v>516</v>
      </c>
      <c r="N26" s="25">
        <v>822</v>
      </c>
      <c r="O26" s="25">
        <v>440</v>
      </c>
      <c r="P26" s="26">
        <v>1563</v>
      </c>
      <c r="Q26" s="26">
        <v>1117</v>
      </c>
      <c r="R26" s="25">
        <v>759</v>
      </c>
      <c r="S26" s="25">
        <v>421</v>
      </c>
      <c r="T26" s="26">
        <v>906</v>
      </c>
      <c r="U26" s="26">
        <v>791</v>
      </c>
      <c r="V26" s="25">
        <v>336</v>
      </c>
      <c r="W26" s="25">
        <v>365</v>
      </c>
      <c r="X26" s="26">
        <v>593</v>
      </c>
      <c r="Y26" s="26">
        <v>1154</v>
      </c>
      <c r="Z26" s="25">
        <v>793</v>
      </c>
      <c r="AA26" s="25">
        <v>680</v>
      </c>
      <c r="AB26" s="26">
        <v>271</v>
      </c>
      <c r="AC26" s="26">
        <v>300</v>
      </c>
      <c r="AD26" s="25">
        <v>379</v>
      </c>
      <c r="AE26" s="25">
        <v>365</v>
      </c>
      <c r="AF26" s="26">
        <v>190</v>
      </c>
      <c r="AG26" s="26">
        <v>600</v>
      </c>
    </row>
    <row r="27" spans="1:33">
      <c r="A27" s="20"/>
      <c r="B27" s="20"/>
      <c r="C27" s="20"/>
      <c r="D27" s="20"/>
      <c r="E27" s="20"/>
      <c r="F27" s="20"/>
      <c r="G27" s="20"/>
      <c r="H27" s="20"/>
      <c r="I27" s="20"/>
      <c r="J27" s="20"/>
      <c r="K27" s="20"/>
      <c r="L27" s="20"/>
      <c r="M27" s="20"/>
      <c r="N27" s="20"/>
      <c r="O27" s="20"/>
      <c r="P27" s="20"/>
      <c r="Q27" s="20"/>
      <c r="R27" s="20"/>
      <c r="S27" s="20"/>
      <c r="T27" s="20"/>
      <c r="U27" s="20"/>
      <c r="V27" s="20"/>
      <c r="W27" s="20"/>
      <c r="X27" s="20"/>
      <c r="Y27" s="20"/>
      <c r="Z27" s="20"/>
      <c r="AA27" s="20"/>
      <c r="AB27" s="20"/>
      <c r="AC27" s="20"/>
      <c r="AD27" s="20"/>
      <c r="AE27" s="20"/>
      <c r="AF27" s="20"/>
      <c r="AG27" s="20"/>
    </row>
    <row r="28" spans="1:33">
      <c r="A28" s="17" t="s">
        <v>1485</v>
      </c>
      <c r="B28" s="17" t="s">
        <v>1674</v>
      </c>
      <c r="C28" s="25">
        <v>150</v>
      </c>
      <c r="D28" s="26">
        <v>154</v>
      </c>
      <c r="E28" s="26">
        <v>159</v>
      </c>
      <c r="F28" s="25" t="s">
        <v>429</v>
      </c>
      <c r="G28" s="25" t="s">
        <v>429</v>
      </c>
      <c r="H28" s="26">
        <v>172</v>
      </c>
      <c r="I28" s="26">
        <v>176</v>
      </c>
      <c r="J28" s="25">
        <v>181</v>
      </c>
      <c r="K28" s="25">
        <v>185</v>
      </c>
      <c r="L28" s="26">
        <v>190</v>
      </c>
      <c r="M28" s="26">
        <v>194</v>
      </c>
      <c r="N28" s="25">
        <v>198</v>
      </c>
      <c r="O28" s="25">
        <v>203</v>
      </c>
      <c r="P28" s="26">
        <v>207</v>
      </c>
      <c r="Q28" s="26">
        <v>212</v>
      </c>
      <c r="R28" s="25">
        <v>215</v>
      </c>
      <c r="S28" s="25">
        <v>220</v>
      </c>
      <c r="T28" s="26">
        <v>224</v>
      </c>
      <c r="U28" s="26" t="s">
        <v>429</v>
      </c>
      <c r="V28" s="25">
        <v>0</v>
      </c>
      <c r="W28" s="25" t="s">
        <v>429</v>
      </c>
      <c r="X28" s="26" t="s">
        <v>429</v>
      </c>
      <c r="Y28" s="26" t="s">
        <v>429</v>
      </c>
      <c r="Z28" s="25" t="s">
        <v>429</v>
      </c>
      <c r="AA28" s="25" t="s">
        <v>429</v>
      </c>
      <c r="AB28" s="26">
        <v>0</v>
      </c>
      <c r="AC28" s="26" t="s">
        <v>429</v>
      </c>
      <c r="AD28" s="25">
        <v>0</v>
      </c>
      <c r="AE28" s="25" t="s">
        <v>429</v>
      </c>
      <c r="AF28" s="26">
        <v>0</v>
      </c>
      <c r="AG28" s="26">
        <v>0</v>
      </c>
    </row>
    <row r="29" spans="1:33">
      <c r="A29" s="17" t="s">
        <v>1485</v>
      </c>
      <c r="B29" s="17" t="s">
        <v>1687</v>
      </c>
      <c r="C29" s="25">
        <v>0</v>
      </c>
      <c r="D29" s="26">
        <v>38</v>
      </c>
      <c r="E29" s="26" t="s">
        <v>429</v>
      </c>
      <c r="F29" s="25" t="s">
        <v>429</v>
      </c>
      <c r="G29" s="25" t="s">
        <v>429</v>
      </c>
      <c r="H29" s="26" t="s">
        <v>429</v>
      </c>
      <c r="I29" s="26" t="s">
        <v>429</v>
      </c>
      <c r="J29" s="25" t="s">
        <v>429</v>
      </c>
      <c r="K29" s="25" t="s">
        <v>429</v>
      </c>
      <c r="L29" s="26" t="s">
        <v>429</v>
      </c>
      <c r="M29" s="26" t="s">
        <v>429</v>
      </c>
      <c r="N29" s="25" t="s">
        <v>429</v>
      </c>
      <c r="O29" s="25">
        <v>15</v>
      </c>
      <c r="P29" s="26">
        <v>0</v>
      </c>
      <c r="Q29" s="26">
        <v>17</v>
      </c>
      <c r="R29" s="25">
        <v>17</v>
      </c>
      <c r="S29" s="25">
        <v>17</v>
      </c>
      <c r="T29" s="26">
        <v>48</v>
      </c>
      <c r="U29" s="26">
        <v>48</v>
      </c>
      <c r="V29" s="25">
        <v>48</v>
      </c>
      <c r="W29" s="25" t="s">
        <v>429</v>
      </c>
      <c r="X29" s="26">
        <v>0</v>
      </c>
      <c r="Y29" s="26" t="s">
        <v>429</v>
      </c>
      <c r="Z29" s="25" t="s">
        <v>429</v>
      </c>
      <c r="AA29" s="25" t="s">
        <v>429</v>
      </c>
      <c r="AB29" s="26" t="s">
        <v>429</v>
      </c>
      <c r="AC29" s="26" t="s">
        <v>429</v>
      </c>
      <c r="AD29" s="25" t="s">
        <v>429</v>
      </c>
      <c r="AE29" s="25" t="s">
        <v>429</v>
      </c>
      <c r="AF29" s="26" t="s">
        <v>429</v>
      </c>
      <c r="AG29" s="26" t="s">
        <v>429</v>
      </c>
    </row>
    <row r="30" spans="1:33">
      <c r="A30" s="17" t="s">
        <v>1493</v>
      </c>
      <c r="B30" s="17" t="s">
        <v>1677</v>
      </c>
      <c r="C30" s="25">
        <v>24</v>
      </c>
      <c r="D30" s="26">
        <v>22</v>
      </c>
      <c r="E30" s="26">
        <v>20</v>
      </c>
      <c r="F30" s="25">
        <v>20</v>
      </c>
      <c r="G30" s="25">
        <v>19</v>
      </c>
      <c r="H30" s="26">
        <v>18</v>
      </c>
      <c r="I30" s="26">
        <v>18</v>
      </c>
      <c r="J30" s="25">
        <v>19</v>
      </c>
      <c r="K30" s="25">
        <v>18</v>
      </c>
      <c r="L30" s="26">
        <v>17</v>
      </c>
      <c r="M30" s="26">
        <v>18</v>
      </c>
      <c r="N30" s="25">
        <v>19</v>
      </c>
      <c r="O30" s="25">
        <v>19</v>
      </c>
      <c r="P30" s="26">
        <v>19</v>
      </c>
      <c r="Q30" s="26">
        <v>18</v>
      </c>
      <c r="R30" s="25">
        <v>18</v>
      </c>
      <c r="S30" s="25">
        <v>18</v>
      </c>
      <c r="T30" s="26">
        <v>17</v>
      </c>
      <c r="U30" s="26">
        <v>17</v>
      </c>
      <c r="V30" s="25">
        <v>16</v>
      </c>
      <c r="W30" s="25">
        <v>16</v>
      </c>
      <c r="X30" s="26">
        <v>16</v>
      </c>
      <c r="Y30" s="26">
        <v>17</v>
      </c>
      <c r="Z30" s="25">
        <v>16</v>
      </c>
      <c r="AA30" s="25">
        <v>17</v>
      </c>
      <c r="AB30" s="26">
        <v>16</v>
      </c>
      <c r="AC30" s="26">
        <v>16</v>
      </c>
      <c r="AD30" s="25">
        <v>14</v>
      </c>
      <c r="AE30" s="25">
        <v>13</v>
      </c>
      <c r="AF30" s="26">
        <v>13</v>
      </c>
      <c r="AG30" s="26">
        <v>13</v>
      </c>
    </row>
    <row r="31" spans="1:33">
      <c r="A31" s="17" t="s">
        <v>1488</v>
      </c>
      <c r="B31" s="17" t="s">
        <v>1688</v>
      </c>
      <c r="C31" s="25" t="s">
        <v>429</v>
      </c>
      <c r="D31" s="26" t="s">
        <v>429</v>
      </c>
      <c r="E31" s="26" t="s">
        <v>429</v>
      </c>
      <c r="F31" s="25">
        <v>89</v>
      </c>
      <c r="G31" s="25">
        <v>194</v>
      </c>
      <c r="H31" s="26" t="s">
        <v>429</v>
      </c>
      <c r="I31" s="26" t="s">
        <v>429</v>
      </c>
      <c r="J31" s="25" t="s">
        <v>429</v>
      </c>
      <c r="K31" s="25" t="s">
        <v>429</v>
      </c>
      <c r="L31" s="26" t="s">
        <v>429</v>
      </c>
      <c r="M31" s="26" t="s">
        <v>429</v>
      </c>
      <c r="N31" s="25" t="s">
        <v>429</v>
      </c>
      <c r="O31" s="25" t="s">
        <v>429</v>
      </c>
      <c r="P31" s="26" t="s">
        <v>429</v>
      </c>
      <c r="Q31" s="26" t="s">
        <v>429</v>
      </c>
      <c r="R31" s="25" t="s">
        <v>429</v>
      </c>
      <c r="S31" s="25" t="s">
        <v>429</v>
      </c>
      <c r="T31" s="26" t="s">
        <v>429</v>
      </c>
      <c r="U31" s="26" t="s">
        <v>429</v>
      </c>
      <c r="V31" s="25" t="s">
        <v>429</v>
      </c>
      <c r="W31" s="25" t="s">
        <v>429</v>
      </c>
      <c r="X31" s="26" t="s">
        <v>429</v>
      </c>
      <c r="Y31" s="26" t="s">
        <v>429</v>
      </c>
      <c r="Z31" s="25" t="s">
        <v>429</v>
      </c>
      <c r="AA31" s="25" t="s">
        <v>429</v>
      </c>
      <c r="AB31" s="26" t="s">
        <v>429</v>
      </c>
      <c r="AC31" s="26" t="s">
        <v>429</v>
      </c>
      <c r="AD31" s="25" t="s">
        <v>429</v>
      </c>
      <c r="AE31" s="25" t="s">
        <v>429</v>
      </c>
      <c r="AF31" s="26" t="s">
        <v>429</v>
      </c>
      <c r="AG31" s="26" t="s">
        <v>429</v>
      </c>
    </row>
    <row r="32" spans="1:33">
      <c r="A32" s="17" t="s">
        <v>1488</v>
      </c>
      <c r="B32" s="17" t="s">
        <v>1689</v>
      </c>
      <c r="C32" s="25" t="s">
        <v>429</v>
      </c>
      <c r="D32" s="26" t="s">
        <v>429</v>
      </c>
      <c r="E32" s="26" t="s">
        <v>429</v>
      </c>
      <c r="F32" s="25" t="s">
        <v>429</v>
      </c>
      <c r="G32" s="25" t="s">
        <v>429</v>
      </c>
      <c r="H32" s="26" t="s">
        <v>429</v>
      </c>
      <c r="I32" s="26" t="s">
        <v>429</v>
      </c>
      <c r="J32" s="25" t="s">
        <v>429</v>
      </c>
      <c r="K32" s="25" t="s">
        <v>429</v>
      </c>
      <c r="L32" s="26" t="s">
        <v>429</v>
      </c>
      <c r="M32" s="26" t="s">
        <v>429</v>
      </c>
      <c r="N32" s="25">
        <v>9597</v>
      </c>
      <c r="O32" s="25">
        <v>9309</v>
      </c>
      <c r="P32" s="26">
        <v>9239</v>
      </c>
      <c r="Q32" s="26">
        <v>9135</v>
      </c>
      <c r="R32" s="25">
        <v>8944</v>
      </c>
      <c r="S32" s="25">
        <v>8665</v>
      </c>
      <c r="T32" s="26">
        <v>8398</v>
      </c>
      <c r="U32" s="26">
        <v>8087</v>
      </c>
      <c r="V32" s="25">
        <v>7847</v>
      </c>
      <c r="W32" s="25">
        <v>7601</v>
      </c>
      <c r="X32" s="26">
        <v>7439</v>
      </c>
      <c r="Y32" s="26">
        <v>7224</v>
      </c>
      <c r="Z32" s="25">
        <v>7065</v>
      </c>
      <c r="AA32" s="25">
        <v>6865</v>
      </c>
      <c r="AB32" s="26">
        <v>6722</v>
      </c>
      <c r="AC32" s="26">
        <v>6558</v>
      </c>
      <c r="AD32" s="25">
        <v>6505</v>
      </c>
      <c r="AE32" s="25">
        <v>6378</v>
      </c>
      <c r="AF32" s="26">
        <v>6312</v>
      </c>
      <c r="AG32" s="26">
        <v>6203</v>
      </c>
    </row>
    <row r="33" spans="1:33">
      <c r="A33" s="17" t="s">
        <v>1690</v>
      </c>
      <c r="B33" s="17" t="s">
        <v>1691</v>
      </c>
      <c r="C33" s="25" t="s">
        <v>429</v>
      </c>
      <c r="D33" s="26" t="s">
        <v>429</v>
      </c>
      <c r="E33" s="26" t="s">
        <v>429</v>
      </c>
      <c r="F33" s="25" t="s">
        <v>429</v>
      </c>
      <c r="G33" s="25">
        <v>2</v>
      </c>
      <c r="H33" s="26" t="s">
        <v>429</v>
      </c>
      <c r="I33" s="26" t="s">
        <v>429</v>
      </c>
      <c r="J33" s="25" t="s">
        <v>429</v>
      </c>
      <c r="K33" s="25" t="s">
        <v>429</v>
      </c>
      <c r="L33" s="26" t="s">
        <v>429</v>
      </c>
      <c r="M33" s="26" t="s">
        <v>429</v>
      </c>
      <c r="N33" s="25" t="s">
        <v>429</v>
      </c>
      <c r="O33" s="25" t="s">
        <v>429</v>
      </c>
      <c r="P33" s="26" t="s">
        <v>429</v>
      </c>
      <c r="Q33" s="26" t="s">
        <v>429</v>
      </c>
      <c r="R33" s="25" t="s">
        <v>429</v>
      </c>
      <c r="S33" s="25" t="s">
        <v>429</v>
      </c>
      <c r="T33" s="26" t="s">
        <v>429</v>
      </c>
      <c r="U33" s="26" t="s">
        <v>429</v>
      </c>
      <c r="V33" s="25" t="s">
        <v>429</v>
      </c>
      <c r="W33" s="25" t="s">
        <v>429</v>
      </c>
      <c r="X33" s="26" t="s">
        <v>429</v>
      </c>
      <c r="Y33" s="26" t="s">
        <v>429</v>
      </c>
      <c r="Z33" s="25" t="s">
        <v>429</v>
      </c>
      <c r="AA33" s="25" t="s">
        <v>429</v>
      </c>
      <c r="AB33" s="26" t="s">
        <v>429</v>
      </c>
      <c r="AC33" s="26" t="s">
        <v>429</v>
      </c>
      <c r="AD33" s="25" t="s">
        <v>429</v>
      </c>
      <c r="AE33" s="25" t="s">
        <v>429</v>
      </c>
      <c r="AF33" s="26" t="s">
        <v>429</v>
      </c>
      <c r="AG33" s="26" t="s">
        <v>429</v>
      </c>
    </row>
    <row r="34" spans="1:33">
      <c r="A34" s="17" t="s">
        <v>1690</v>
      </c>
      <c r="B34" s="17" t="s">
        <v>1692</v>
      </c>
      <c r="C34" s="25" t="s">
        <v>429</v>
      </c>
      <c r="D34" s="26" t="s">
        <v>429</v>
      </c>
      <c r="E34" s="26" t="s">
        <v>429</v>
      </c>
      <c r="F34" s="25" t="s">
        <v>429</v>
      </c>
      <c r="G34" s="25" t="s">
        <v>429</v>
      </c>
      <c r="H34" s="26" t="s">
        <v>429</v>
      </c>
      <c r="I34" s="26" t="s">
        <v>429</v>
      </c>
      <c r="J34" s="25" t="s">
        <v>429</v>
      </c>
      <c r="K34" s="25" t="s">
        <v>429</v>
      </c>
      <c r="L34" s="26" t="s">
        <v>429</v>
      </c>
      <c r="M34" s="26" t="s">
        <v>429</v>
      </c>
      <c r="N34" s="25">
        <v>561</v>
      </c>
      <c r="O34" s="25">
        <v>571</v>
      </c>
      <c r="P34" s="26">
        <v>496</v>
      </c>
      <c r="Q34" s="26">
        <v>393</v>
      </c>
      <c r="R34" s="25">
        <v>393</v>
      </c>
      <c r="S34" s="25">
        <v>369</v>
      </c>
      <c r="T34" s="26">
        <v>369</v>
      </c>
      <c r="U34" s="26">
        <v>370</v>
      </c>
      <c r="V34" s="25">
        <v>370</v>
      </c>
      <c r="W34" s="25">
        <v>371</v>
      </c>
      <c r="X34" s="26">
        <v>371</v>
      </c>
      <c r="Y34" s="26">
        <v>356</v>
      </c>
      <c r="Z34" s="25">
        <v>356</v>
      </c>
      <c r="AA34" s="25">
        <v>355</v>
      </c>
      <c r="AB34" s="26">
        <v>355</v>
      </c>
      <c r="AC34" s="26">
        <v>355</v>
      </c>
      <c r="AD34" s="25">
        <v>355</v>
      </c>
      <c r="AE34" s="25">
        <v>355</v>
      </c>
      <c r="AF34" s="26">
        <v>355</v>
      </c>
      <c r="AG34" s="26">
        <v>355</v>
      </c>
    </row>
    <row r="35" spans="1:33">
      <c r="A35" s="17" t="s">
        <v>1490</v>
      </c>
      <c r="B35" s="17" t="s">
        <v>1693</v>
      </c>
      <c r="C35" s="25" t="s">
        <v>429</v>
      </c>
      <c r="D35" s="26" t="s">
        <v>429</v>
      </c>
      <c r="E35" s="26" t="s">
        <v>429</v>
      </c>
      <c r="F35" s="25" t="s">
        <v>429</v>
      </c>
      <c r="G35" s="25" t="s">
        <v>429</v>
      </c>
      <c r="H35" s="26" t="s">
        <v>429</v>
      </c>
      <c r="I35" s="26" t="s">
        <v>429</v>
      </c>
      <c r="J35" s="25" t="s">
        <v>429</v>
      </c>
      <c r="K35" s="25" t="s">
        <v>429</v>
      </c>
      <c r="L35" s="26" t="s">
        <v>429</v>
      </c>
      <c r="M35" s="26" t="s">
        <v>429</v>
      </c>
      <c r="N35" s="25" t="s">
        <v>429</v>
      </c>
      <c r="O35" s="25" t="s">
        <v>429</v>
      </c>
      <c r="P35" s="26" t="s">
        <v>429</v>
      </c>
      <c r="Q35" s="26" t="s">
        <v>429</v>
      </c>
      <c r="R35" s="25">
        <v>0</v>
      </c>
      <c r="S35" s="25">
        <v>0</v>
      </c>
      <c r="T35" s="26">
        <v>28</v>
      </c>
      <c r="U35" s="26">
        <v>28</v>
      </c>
      <c r="V35" s="25">
        <v>39</v>
      </c>
      <c r="W35" s="25">
        <v>9</v>
      </c>
      <c r="X35" s="26">
        <v>4</v>
      </c>
      <c r="Y35" s="26" t="s">
        <v>429</v>
      </c>
      <c r="Z35" s="25">
        <v>0</v>
      </c>
      <c r="AA35" s="25" t="s">
        <v>429</v>
      </c>
      <c r="AB35" s="26" t="s">
        <v>429</v>
      </c>
      <c r="AC35" s="26" t="s">
        <v>429</v>
      </c>
      <c r="AD35" s="25" t="s">
        <v>429</v>
      </c>
      <c r="AE35" s="25" t="s">
        <v>429</v>
      </c>
      <c r="AF35" s="26" t="s">
        <v>429</v>
      </c>
      <c r="AG35" s="26" t="s">
        <v>429</v>
      </c>
    </row>
    <row r="36" spans="1:33">
      <c r="A36" s="17" t="s">
        <v>1493</v>
      </c>
      <c r="B36" s="17" t="s">
        <v>1694</v>
      </c>
      <c r="C36" s="25">
        <v>400</v>
      </c>
      <c r="D36" s="26">
        <v>332</v>
      </c>
      <c r="E36" s="26">
        <v>600</v>
      </c>
      <c r="F36" s="25">
        <v>1249</v>
      </c>
      <c r="G36" s="25">
        <v>672</v>
      </c>
      <c r="H36" s="26">
        <v>473</v>
      </c>
      <c r="I36" s="26">
        <v>419</v>
      </c>
      <c r="J36" s="25">
        <v>502</v>
      </c>
      <c r="K36" s="25">
        <v>415</v>
      </c>
      <c r="L36" s="26">
        <v>306</v>
      </c>
      <c r="M36" s="26">
        <v>501</v>
      </c>
      <c r="N36" s="25">
        <v>476</v>
      </c>
      <c r="O36" s="25">
        <v>830</v>
      </c>
      <c r="P36" s="26">
        <v>535</v>
      </c>
      <c r="Q36" s="26">
        <v>324</v>
      </c>
      <c r="R36" s="25">
        <v>264</v>
      </c>
      <c r="S36" s="25">
        <v>206</v>
      </c>
      <c r="T36" s="26">
        <v>92</v>
      </c>
      <c r="U36" s="26">
        <v>103</v>
      </c>
      <c r="V36" s="25">
        <v>75</v>
      </c>
      <c r="W36" s="25">
        <v>163</v>
      </c>
      <c r="X36" s="26">
        <v>37</v>
      </c>
      <c r="Y36" s="26">
        <v>73</v>
      </c>
      <c r="Z36" s="25">
        <v>29</v>
      </c>
      <c r="AA36" s="25">
        <v>29</v>
      </c>
      <c r="AB36" s="26">
        <v>455</v>
      </c>
      <c r="AC36" s="26">
        <v>81</v>
      </c>
      <c r="AD36" s="25">
        <v>152</v>
      </c>
      <c r="AE36" s="25">
        <v>43</v>
      </c>
      <c r="AF36" s="26">
        <v>32</v>
      </c>
      <c r="AG36" s="26" t="s">
        <v>429</v>
      </c>
    </row>
    <row r="37" spans="1:33">
      <c r="A37" s="17" t="s">
        <v>1493</v>
      </c>
      <c r="B37" s="17" t="s">
        <v>1679</v>
      </c>
      <c r="C37" s="25">
        <v>67</v>
      </c>
      <c r="D37" s="26">
        <v>63</v>
      </c>
      <c r="E37" s="26">
        <v>44</v>
      </c>
      <c r="F37" s="25">
        <v>36</v>
      </c>
      <c r="G37" s="25">
        <v>19</v>
      </c>
      <c r="H37" s="26">
        <v>55</v>
      </c>
      <c r="I37" s="26">
        <v>61</v>
      </c>
      <c r="J37" s="25">
        <v>53</v>
      </c>
      <c r="K37" s="25">
        <v>30</v>
      </c>
      <c r="L37" s="26">
        <v>33</v>
      </c>
      <c r="M37" s="26">
        <v>0</v>
      </c>
      <c r="N37" s="25">
        <v>3</v>
      </c>
      <c r="O37" s="25">
        <v>8</v>
      </c>
      <c r="P37" s="26">
        <v>4</v>
      </c>
      <c r="Q37" s="26">
        <v>3</v>
      </c>
      <c r="R37" s="25">
        <v>2</v>
      </c>
      <c r="S37" s="25">
        <v>1</v>
      </c>
      <c r="T37" s="26">
        <v>1</v>
      </c>
      <c r="U37" s="26">
        <v>1</v>
      </c>
      <c r="V37" s="25">
        <v>1</v>
      </c>
      <c r="W37" s="25">
        <v>1</v>
      </c>
      <c r="X37" s="26">
        <v>1</v>
      </c>
      <c r="Y37" s="26">
        <v>1</v>
      </c>
      <c r="Z37" s="25">
        <v>1</v>
      </c>
      <c r="AA37" s="25">
        <v>1</v>
      </c>
      <c r="AB37" s="26">
        <v>1</v>
      </c>
      <c r="AC37" s="26">
        <v>1</v>
      </c>
      <c r="AD37" s="25">
        <v>16</v>
      </c>
      <c r="AE37" s="25">
        <v>31</v>
      </c>
      <c r="AF37" s="26">
        <v>30</v>
      </c>
      <c r="AG37" s="26">
        <v>12</v>
      </c>
    </row>
    <row r="38" spans="1:33">
      <c r="A38" s="17" t="s">
        <v>1695</v>
      </c>
      <c r="B38" s="17" t="s">
        <v>1696</v>
      </c>
      <c r="C38" s="25" t="s">
        <v>429</v>
      </c>
      <c r="D38" s="26">
        <v>0</v>
      </c>
      <c r="E38" s="26" t="s">
        <v>429</v>
      </c>
      <c r="F38" s="25">
        <v>-6</v>
      </c>
      <c r="G38" s="25">
        <v>-5</v>
      </c>
      <c r="H38" s="26">
        <v>-5</v>
      </c>
      <c r="I38" s="26">
        <v>-5</v>
      </c>
      <c r="J38" s="25">
        <v>-5</v>
      </c>
      <c r="K38" s="25">
        <v>-3</v>
      </c>
      <c r="L38" s="26">
        <v>-6</v>
      </c>
      <c r="M38" s="26">
        <v>-5</v>
      </c>
      <c r="N38" s="25" t="s">
        <v>429</v>
      </c>
      <c r="O38" s="25" t="s">
        <v>429</v>
      </c>
      <c r="P38" s="26" t="s">
        <v>429</v>
      </c>
      <c r="Q38" s="26" t="s">
        <v>429</v>
      </c>
      <c r="R38" s="25" t="s">
        <v>429</v>
      </c>
      <c r="S38" s="25" t="s">
        <v>429</v>
      </c>
      <c r="T38" s="26" t="s">
        <v>429</v>
      </c>
      <c r="U38" s="26" t="s">
        <v>429</v>
      </c>
      <c r="V38" s="25" t="s">
        <v>429</v>
      </c>
      <c r="W38" s="25" t="s">
        <v>429</v>
      </c>
      <c r="X38" s="26" t="s">
        <v>429</v>
      </c>
      <c r="Y38" s="26" t="s">
        <v>429</v>
      </c>
      <c r="Z38" s="25" t="s">
        <v>429</v>
      </c>
      <c r="AA38" s="25" t="s">
        <v>429</v>
      </c>
      <c r="AB38" s="26" t="s">
        <v>429</v>
      </c>
      <c r="AC38" s="26" t="s">
        <v>429</v>
      </c>
      <c r="AD38" s="25" t="s">
        <v>429</v>
      </c>
      <c r="AE38" s="25" t="s">
        <v>429</v>
      </c>
      <c r="AF38" s="26" t="s">
        <v>429</v>
      </c>
      <c r="AG38" s="26" t="s">
        <v>429</v>
      </c>
    </row>
    <row r="39" spans="1:33">
      <c r="A39" s="17" t="s">
        <v>1695</v>
      </c>
      <c r="B39" s="17" t="s">
        <v>1697</v>
      </c>
      <c r="C39" s="25">
        <v>-558</v>
      </c>
      <c r="D39" s="26">
        <v>-537</v>
      </c>
      <c r="E39" s="26">
        <v>-508</v>
      </c>
      <c r="F39" s="25">
        <v>-482</v>
      </c>
      <c r="G39" s="25">
        <v>-436</v>
      </c>
      <c r="H39" s="26">
        <v>-436</v>
      </c>
      <c r="I39" s="26">
        <v>-413</v>
      </c>
      <c r="J39" s="25">
        <v>-387</v>
      </c>
      <c r="K39" s="25">
        <v>-362</v>
      </c>
      <c r="L39" s="26">
        <v>-346</v>
      </c>
      <c r="M39" s="26">
        <v>-320</v>
      </c>
      <c r="N39" s="25" t="s">
        <v>429</v>
      </c>
      <c r="O39" s="25" t="s">
        <v>429</v>
      </c>
      <c r="P39" s="26" t="s">
        <v>429</v>
      </c>
      <c r="Q39" s="26" t="s">
        <v>429</v>
      </c>
      <c r="R39" s="25" t="s">
        <v>429</v>
      </c>
      <c r="S39" s="25" t="s">
        <v>429</v>
      </c>
      <c r="T39" s="26" t="s">
        <v>429</v>
      </c>
      <c r="U39" s="26" t="s">
        <v>429</v>
      </c>
      <c r="V39" s="25" t="s">
        <v>429</v>
      </c>
      <c r="W39" s="25" t="s">
        <v>429</v>
      </c>
      <c r="X39" s="26" t="s">
        <v>429</v>
      </c>
      <c r="Y39" s="26" t="s">
        <v>429</v>
      </c>
      <c r="Z39" s="25" t="s">
        <v>429</v>
      </c>
      <c r="AA39" s="25" t="s">
        <v>429</v>
      </c>
      <c r="AB39" s="26" t="s">
        <v>429</v>
      </c>
      <c r="AC39" s="26" t="s">
        <v>429</v>
      </c>
      <c r="AD39" s="25" t="s">
        <v>429</v>
      </c>
      <c r="AE39" s="25" t="s">
        <v>429</v>
      </c>
      <c r="AF39" s="26" t="s">
        <v>429</v>
      </c>
      <c r="AG39" s="26" t="s">
        <v>429</v>
      </c>
    </row>
    <row r="40" spans="1:33">
      <c r="A40" s="17" t="s">
        <v>1695</v>
      </c>
      <c r="B40" s="17" t="s">
        <v>1698</v>
      </c>
      <c r="C40" s="25">
        <v>0</v>
      </c>
      <c r="D40" s="26">
        <v>0</v>
      </c>
      <c r="E40" s="26">
        <v>0</v>
      </c>
      <c r="F40" s="25">
        <v>0</v>
      </c>
      <c r="G40" s="25">
        <v>0</v>
      </c>
      <c r="H40" s="26">
        <v>0</v>
      </c>
      <c r="I40" s="26">
        <v>0</v>
      </c>
      <c r="J40" s="25">
        <v>0</v>
      </c>
      <c r="K40" s="25">
        <v>0</v>
      </c>
      <c r="L40" s="26">
        <v>0</v>
      </c>
      <c r="M40" s="26">
        <v>0</v>
      </c>
      <c r="N40" s="25" t="s">
        <v>429</v>
      </c>
      <c r="O40" s="25" t="s">
        <v>429</v>
      </c>
      <c r="P40" s="26" t="s">
        <v>429</v>
      </c>
      <c r="Q40" s="26" t="s">
        <v>429</v>
      </c>
      <c r="R40" s="25" t="s">
        <v>429</v>
      </c>
      <c r="S40" s="25" t="s">
        <v>429</v>
      </c>
      <c r="T40" s="26" t="s">
        <v>429</v>
      </c>
      <c r="U40" s="26" t="s">
        <v>429</v>
      </c>
      <c r="V40" s="25" t="s">
        <v>429</v>
      </c>
      <c r="W40" s="25" t="s">
        <v>429</v>
      </c>
      <c r="X40" s="26" t="s">
        <v>429</v>
      </c>
      <c r="Y40" s="26" t="s">
        <v>429</v>
      </c>
      <c r="Z40" s="25" t="s">
        <v>429</v>
      </c>
      <c r="AA40" s="25" t="s">
        <v>429</v>
      </c>
      <c r="AB40" s="26" t="s">
        <v>429</v>
      </c>
      <c r="AC40" s="26" t="s">
        <v>429</v>
      </c>
      <c r="AD40" s="25" t="s">
        <v>429</v>
      </c>
      <c r="AE40" s="25" t="s">
        <v>429</v>
      </c>
      <c r="AF40" s="26" t="s">
        <v>429</v>
      </c>
      <c r="AG40" s="26" t="s">
        <v>429</v>
      </c>
    </row>
    <row r="41" spans="1:33">
      <c r="A41" s="17" t="s">
        <v>1699</v>
      </c>
      <c r="B41" s="17" t="s">
        <v>1700</v>
      </c>
      <c r="C41" s="25" t="s">
        <v>429</v>
      </c>
      <c r="D41" s="26">
        <v>0</v>
      </c>
      <c r="E41" s="26" t="s">
        <v>429</v>
      </c>
      <c r="F41" s="25">
        <v>6</v>
      </c>
      <c r="G41" s="25">
        <v>6</v>
      </c>
      <c r="H41" s="26">
        <v>6</v>
      </c>
      <c r="I41" s="26">
        <v>6</v>
      </c>
      <c r="J41" s="25">
        <v>6</v>
      </c>
      <c r="K41" s="25">
        <v>4</v>
      </c>
      <c r="L41" s="26">
        <v>7</v>
      </c>
      <c r="M41" s="26">
        <v>7</v>
      </c>
      <c r="N41" s="25" t="s">
        <v>429</v>
      </c>
      <c r="O41" s="25" t="s">
        <v>429</v>
      </c>
      <c r="P41" s="26" t="s">
        <v>429</v>
      </c>
      <c r="Q41" s="26" t="s">
        <v>429</v>
      </c>
      <c r="R41" s="25" t="s">
        <v>429</v>
      </c>
      <c r="S41" s="25" t="s">
        <v>429</v>
      </c>
      <c r="T41" s="26" t="s">
        <v>429</v>
      </c>
      <c r="U41" s="26" t="s">
        <v>429</v>
      </c>
      <c r="V41" s="25" t="s">
        <v>429</v>
      </c>
      <c r="W41" s="25" t="s">
        <v>429</v>
      </c>
      <c r="X41" s="26" t="s">
        <v>429</v>
      </c>
      <c r="Y41" s="26" t="s">
        <v>429</v>
      </c>
      <c r="Z41" s="25" t="s">
        <v>429</v>
      </c>
      <c r="AA41" s="25" t="s">
        <v>429</v>
      </c>
      <c r="AB41" s="26" t="s">
        <v>429</v>
      </c>
      <c r="AC41" s="26" t="s">
        <v>429</v>
      </c>
      <c r="AD41" s="25" t="s">
        <v>429</v>
      </c>
      <c r="AE41" s="25" t="s">
        <v>429</v>
      </c>
      <c r="AF41" s="26" t="s">
        <v>429</v>
      </c>
      <c r="AG41" s="26" t="s">
        <v>429</v>
      </c>
    </row>
    <row r="42" spans="1:33">
      <c r="A42" s="17" t="s">
        <v>1699</v>
      </c>
      <c r="B42" s="17" t="s">
        <v>1701</v>
      </c>
      <c r="C42" s="25">
        <v>755</v>
      </c>
      <c r="D42" s="26">
        <v>674</v>
      </c>
      <c r="E42" s="26">
        <v>667</v>
      </c>
      <c r="F42" s="25">
        <v>626</v>
      </c>
      <c r="G42" s="25">
        <v>588</v>
      </c>
      <c r="H42" s="26">
        <v>588</v>
      </c>
      <c r="I42" s="26">
        <v>566</v>
      </c>
      <c r="J42" s="25">
        <v>546</v>
      </c>
      <c r="K42" s="25">
        <v>511</v>
      </c>
      <c r="L42" s="26">
        <v>508</v>
      </c>
      <c r="M42" s="26">
        <v>490</v>
      </c>
      <c r="N42" s="25" t="s">
        <v>429</v>
      </c>
      <c r="O42" s="25" t="s">
        <v>429</v>
      </c>
      <c r="P42" s="26" t="s">
        <v>429</v>
      </c>
      <c r="Q42" s="26" t="s">
        <v>429</v>
      </c>
      <c r="R42" s="25" t="s">
        <v>429</v>
      </c>
      <c r="S42" s="25" t="s">
        <v>429</v>
      </c>
      <c r="T42" s="26" t="s">
        <v>429</v>
      </c>
      <c r="U42" s="26" t="s">
        <v>429</v>
      </c>
      <c r="V42" s="25" t="s">
        <v>429</v>
      </c>
      <c r="W42" s="25" t="s">
        <v>429</v>
      </c>
      <c r="X42" s="26" t="s">
        <v>429</v>
      </c>
      <c r="Y42" s="26" t="s">
        <v>429</v>
      </c>
      <c r="Z42" s="25" t="s">
        <v>429</v>
      </c>
      <c r="AA42" s="25" t="s">
        <v>429</v>
      </c>
      <c r="AB42" s="26" t="s">
        <v>429</v>
      </c>
      <c r="AC42" s="26" t="s">
        <v>429</v>
      </c>
      <c r="AD42" s="25" t="s">
        <v>429</v>
      </c>
      <c r="AE42" s="25" t="s">
        <v>429</v>
      </c>
      <c r="AF42" s="26" t="s">
        <v>429</v>
      </c>
      <c r="AG42" s="26" t="s">
        <v>429</v>
      </c>
    </row>
    <row r="43" spans="1:33">
      <c r="A43" s="17" t="s">
        <v>1699</v>
      </c>
      <c r="B43" s="17" t="s">
        <v>1702</v>
      </c>
      <c r="C43" s="25">
        <v>355</v>
      </c>
      <c r="D43" s="26">
        <v>355</v>
      </c>
      <c r="E43" s="26">
        <v>355</v>
      </c>
      <c r="F43" s="25">
        <v>355</v>
      </c>
      <c r="G43" s="25">
        <v>355</v>
      </c>
      <c r="H43" s="26">
        <v>355</v>
      </c>
      <c r="I43" s="26">
        <v>355</v>
      </c>
      <c r="J43" s="25">
        <v>355</v>
      </c>
      <c r="K43" s="25">
        <v>355</v>
      </c>
      <c r="L43" s="26">
        <v>355</v>
      </c>
      <c r="M43" s="26">
        <v>355</v>
      </c>
      <c r="N43" s="25" t="s">
        <v>429</v>
      </c>
      <c r="O43" s="25" t="s">
        <v>429</v>
      </c>
      <c r="P43" s="26" t="s">
        <v>429</v>
      </c>
      <c r="Q43" s="26" t="s">
        <v>429</v>
      </c>
      <c r="R43" s="25" t="s">
        <v>429</v>
      </c>
      <c r="S43" s="25" t="s">
        <v>429</v>
      </c>
      <c r="T43" s="26" t="s">
        <v>429</v>
      </c>
      <c r="U43" s="26" t="s">
        <v>429</v>
      </c>
      <c r="V43" s="25" t="s">
        <v>429</v>
      </c>
      <c r="W43" s="25" t="s">
        <v>429</v>
      </c>
      <c r="X43" s="26" t="s">
        <v>429</v>
      </c>
      <c r="Y43" s="26" t="s">
        <v>429</v>
      </c>
      <c r="Z43" s="25" t="s">
        <v>429</v>
      </c>
      <c r="AA43" s="25" t="s">
        <v>429</v>
      </c>
      <c r="AB43" s="26" t="s">
        <v>429</v>
      </c>
      <c r="AC43" s="26" t="s">
        <v>429</v>
      </c>
      <c r="AD43" s="25" t="s">
        <v>429</v>
      </c>
      <c r="AE43" s="25" t="s">
        <v>429</v>
      </c>
      <c r="AF43" s="26" t="s">
        <v>429</v>
      </c>
      <c r="AG43" s="26" t="s">
        <v>429</v>
      </c>
    </row>
    <row r="44" spans="1:33">
      <c r="A44" s="17" t="s">
        <v>1703</v>
      </c>
      <c r="B44" s="17" t="s">
        <v>1704</v>
      </c>
      <c r="C44" s="25">
        <v>0</v>
      </c>
      <c r="D44" s="26">
        <v>0</v>
      </c>
      <c r="E44" s="26">
        <v>0</v>
      </c>
      <c r="F44" s="25">
        <v>0</v>
      </c>
      <c r="G44" s="25">
        <v>0</v>
      </c>
      <c r="H44" s="26">
        <v>0</v>
      </c>
      <c r="I44" s="26">
        <v>0</v>
      </c>
      <c r="J44" s="25">
        <v>0</v>
      </c>
      <c r="K44" s="25">
        <v>0</v>
      </c>
      <c r="L44" s="26">
        <v>0</v>
      </c>
      <c r="M44" s="26">
        <v>0</v>
      </c>
      <c r="N44" s="25" t="s">
        <v>429</v>
      </c>
      <c r="O44" s="25" t="s">
        <v>429</v>
      </c>
      <c r="P44" s="26" t="s">
        <v>429</v>
      </c>
      <c r="Q44" s="26" t="s">
        <v>429</v>
      </c>
      <c r="R44" s="25" t="s">
        <v>429</v>
      </c>
      <c r="S44" s="25" t="s">
        <v>429</v>
      </c>
      <c r="T44" s="26" t="s">
        <v>429</v>
      </c>
      <c r="U44" s="26" t="s">
        <v>429</v>
      </c>
      <c r="V44" s="25" t="s">
        <v>429</v>
      </c>
      <c r="W44" s="25" t="s">
        <v>429</v>
      </c>
      <c r="X44" s="26" t="s">
        <v>429</v>
      </c>
      <c r="Y44" s="26" t="s">
        <v>429</v>
      </c>
      <c r="Z44" s="25" t="s">
        <v>429</v>
      </c>
      <c r="AA44" s="25" t="s">
        <v>429</v>
      </c>
      <c r="AB44" s="26" t="s">
        <v>429</v>
      </c>
      <c r="AC44" s="26" t="s">
        <v>429</v>
      </c>
      <c r="AD44" s="25" t="s">
        <v>429</v>
      </c>
      <c r="AE44" s="25" t="s">
        <v>429</v>
      </c>
      <c r="AF44" s="26" t="s">
        <v>429</v>
      </c>
      <c r="AG44" s="26" t="s">
        <v>429</v>
      </c>
    </row>
    <row r="45" spans="1:33">
      <c r="A45" s="17" t="s">
        <v>1705</v>
      </c>
      <c r="B45" s="17" t="s">
        <v>1706</v>
      </c>
      <c r="C45" s="25">
        <v>12</v>
      </c>
      <c r="D45" s="26">
        <v>12</v>
      </c>
      <c r="E45" s="26">
        <v>36</v>
      </c>
      <c r="F45" s="25">
        <v>36</v>
      </c>
      <c r="G45" s="25">
        <v>36</v>
      </c>
      <c r="H45" s="26">
        <v>36</v>
      </c>
      <c r="I45" s="26">
        <v>36</v>
      </c>
      <c r="J45" s="25">
        <v>36</v>
      </c>
      <c r="K45" s="25">
        <v>36</v>
      </c>
      <c r="L45" s="26">
        <v>36</v>
      </c>
      <c r="M45" s="26">
        <v>36</v>
      </c>
      <c r="N45" s="25" t="s">
        <v>429</v>
      </c>
      <c r="O45" s="25" t="s">
        <v>429</v>
      </c>
      <c r="P45" s="26" t="s">
        <v>429</v>
      </c>
      <c r="Q45" s="26" t="s">
        <v>429</v>
      </c>
      <c r="R45" s="25" t="s">
        <v>429</v>
      </c>
      <c r="S45" s="25" t="s">
        <v>429</v>
      </c>
      <c r="T45" s="26" t="s">
        <v>429</v>
      </c>
      <c r="U45" s="26" t="s">
        <v>429</v>
      </c>
      <c r="V45" s="25" t="s">
        <v>429</v>
      </c>
      <c r="W45" s="25" t="s">
        <v>429</v>
      </c>
      <c r="X45" s="26" t="s">
        <v>429</v>
      </c>
      <c r="Y45" s="26" t="s">
        <v>429</v>
      </c>
      <c r="Z45" s="25" t="s">
        <v>429</v>
      </c>
      <c r="AA45" s="25" t="s">
        <v>429</v>
      </c>
      <c r="AB45" s="26" t="s">
        <v>429</v>
      </c>
      <c r="AC45" s="26" t="s">
        <v>429</v>
      </c>
      <c r="AD45" s="25" t="s">
        <v>429</v>
      </c>
      <c r="AE45" s="25" t="s">
        <v>429</v>
      </c>
      <c r="AF45" s="26" t="s">
        <v>429</v>
      </c>
      <c r="AG45" s="26" t="s">
        <v>429</v>
      </c>
    </row>
    <row r="46" spans="1:33">
      <c r="A46" s="17" t="s">
        <v>1505</v>
      </c>
      <c r="B46" s="17" t="s">
        <v>1707</v>
      </c>
      <c r="C46" s="25">
        <v>-23</v>
      </c>
      <c r="D46" s="26">
        <v>-18</v>
      </c>
      <c r="E46" s="26">
        <v>-14</v>
      </c>
      <c r="F46" s="25" t="s">
        <v>429</v>
      </c>
      <c r="G46" s="25" t="s">
        <v>429</v>
      </c>
      <c r="H46" s="26" t="s">
        <v>429</v>
      </c>
      <c r="I46" s="26" t="s">
        <v>429</v>
      </c>
      <c r="J46" s="25" t="s">
        <v>429</v>
      </c>
      <c r="K46" s="25" t="s">
        <v>429</v>
      </c>
      <c r="L46" s="26" t="s">
        <v>429</v>
      </c>
      <c r="M46" s="26" t="s">
        <v>429</v>
      </c>
      <c r="N46" s="25" t="s">
        <v>429</v>
      </c>
      <c r="O46" s="25" t="s">
        <v>429</v>
      </c>
      <c r="P46" s="26" t="s">
        <v>429</v>
      </c>
      <c r="Q46" s="26" t="s">
        <v>429</v>
      </c>
      <c r="R46" s="25" t="s">
        <v>429</v>
      </c>
      <c r="S46" s="25" t="s">
        <v>429</v>
      </c>
      <c r="T46" s="26" t="s">
        <v>429</v>
      </c>
      <c r="U46" s="26" t="s">
        <v>429</v>
      </c>
      <c r="V46" s="25" t="s">
        <v>429</v>
      </c>
      <c r="W46" s="25" t="s">
        <v>429</v>
      </c>
      <c r="X46" s="26" t="s">
        <v>429</v>
      </c>
      <c r="Y46" s="26" t="s">
        <v>429</v>
      </c>
      <c r="Z46" s="25" t="s">
        <v>429</v>
      </c>
      <c r="AA46" s="25" t="s">
        <v>429</v>
      </c>
      <c r="AB46" s="26" t="s">
        <v>429</v>
      </c>
      <c r="AC46" s="26" t="s">
        <v>429</v>
      </c>
      <c r="AD46" s="25" t="s">
        <v>429</v>
      </c>
      <c r="AE46" s="25" t="s">
        <v>429</v>
      </c>
      <c r="AF46" s="26" t="s">
        <v>429</v>
      </c>
      <c r="AG46" s="26" t="s">
        <v>429</v>
      </c>
    </row>
    <row r="47" spans="1:33">
      <c r="A47" s="17" t="s">
        <v>1505</v>
      </c>
      <c r="B47" s="17" t="s">
        <v>1708</v>
      </c>
      <c r="C47" s="25">
        <v>0</v>
      </c>
      <c r="D47" s="26">
        <v>0</v>
      </c>
      <c r="E47" s="26">
        <v>0</v>
      </c>
      <c r="F47" s="25">
        <v>0</v>
      </c>
      <c r="G47" s="25">
        <v>0</v>
      </c>
      <c r="H47" s="26">
        <v>0</v>
      </c>
      <c r="I47" s="26">
        <v>0</v>
      </c>
      <c r="J47" s="25">
        <v>0</v>
      </c>
      <c r="K47" s="25">
        <v>0</v>
      </c>
      <c r="L47" s="26">
        <v>0</v>
      </c>
      <c r="M47" s="26">
        <v>0</v>
      </c>
      <c r="N47" s="25" t="s">
        <v>429</v>
      </c>
      <c r="O47" s="25" t="s">
        <v>429</v>
      </c>
      <c r="P47" s="26" t="s">
        <v>429</v>
      </c>
      <c r="Q47" s="26" t="s">
        <v>429</v>
      </c>
      <c r="R47" s="25" t="s">
        <v>429</v>
      </c>
      <c r="S47" s="25" t="s">
        <v>429</v>
      </c>
      <c r="T47" s="26" t="s">
        <v>429</v>
      </c>
      <c r="U47" s="26" t="s">
        <v>429</v>
      </c>
      <c r="V47" s="25" t="s">
        <v>429</v>
      </c>
      <c r="W47" s="25" t="s">
        <v>429</v>
      </c>
      <c r="X47" s="26" t="s">
        <v>429</v>
      </c>
      <c r="Y47" s="26" t="s">
        <v>429</v>
      </c>
      <c r="Z47" s="25" t="s">
        <v>429</v>
      </c>
      <c r="AA47" s="25" t="s">
        <v>429</v>
      </c>
      <c r="AB47" s="26" t="s">
        <v>429</v>
      </c>
      <c r="AC47" s="26" t="s">
        <v>429</v>
      </c>
      <c r="AD47" s="25" t="s">
        <v>429</v>
      </c>
      <c r="AE47" s="25" t="s">
        <v>429</v>
      </c>
      <c r="AF47" s="26" t="s">
        <v>429</v>
      </c>
      <c r="AG47" s="26" t="s">
        <v>429</v>
      </c>
    </row>
    <row r="48" spans="1:33">
      <c r="A48" s="17" t="s">
        <v>1505</v>
      </c>
      <c r="B48" s="17" t="s">
        <v>1709</v>
      </c>
      <c r="C48" s="25">
        <v>-132</v>
      </c>
      <c r="D48" s="26">
        <v>-126</v>
      </c>
      <c r="E48" s="26">
        <v>-120</v>
      </c>
      <c r="F48" s="25">
        <v>-113</v>
      </c>
      <c r="G48" s="25">
        <v>-103</v>
      </c>
      <c r="H48" s="26">
        <v>-103</v>
      </c>
      <c r="I48" s="26">
        <v>-97</v>
      </c>
      <c r="J48" s="25">
        <v>-99</v>
      </c>
      <c r="K48" s="25">
        <v>-94</v>
      </c>
      <c r="L48" s="26">
        <v>-89</v>
      </c>
      <c r="M48" s="26">
        <v>-79</v>
      </c>
      <c r="N48" s="25" t="s">
        <v>429</v>
      </c>
      <c r="O48" s="25" t="s">
        <v>429</v>
      </c>
      <c r="P48" s="26" t="s">
        <v>429</v>
      </c>
      <c r="Q48" s="26" t="s">
        <v>429</v>
      </c>
      <c r="R48" s="25" t="s">
        <v>429</v>
      </c>
      <c r="S48" s="25" t="s">
        <v>429</v>
      </c>
      <c r="T48" s="26" t="s">
        <v>429</v>
      </c>
      <c r="U48" s="26" t="s">
        <v>429</v>
      </c>
      <c r="V48" s="25" t="s">
        <v>429</v>
      </c>
      <c r="W48" s="25" t="s">
        <v>429</v>
      </c>
      <c r="X48" s="26" t="s">
        <v>429</v>
      </c>
      <c r="Y48" s="26" t="s">
        <v>429</v>
      </c>
      <c r="Z48" s="25" t="s">
        <v>429</v>
      </c>
      <c r="AA48" s="25" t="s">
        <v>429</v>
      </c>
      <c r="AB48" s="26" t="s">
        <v>429</v>
      </c>
      <c r="AC48" s="26" t="s">
        <v>429</v>
      </c>
      <c r="AD48" s="25" t="s">
        <v>429</v>
      </c>
      <c r="AE48" s="25" t="s">
        <v>429</v>
      </c>
      <c r="AF48" s="26" t="s">
        <v>429</v>
      </c>
      <c r="AG48" s="26" t="s">
        <v>429</v>
      </c>
    </row>
    <row r="49" spans="1:33">
      <c r="A49" s="17" t="s">
        <v>1505</v>
      </c>
      <c r="B49" s="17" t="s">
        <v>1710</v>
      </c>
      <c r="C49" s="25">
        <v>-1</v>
      </c>
      <c r="D49" s="26">
        <v>0</v>
      </c>
      <c r="E49" s="26">
        <v>0</v>
      </c>
      <c r="F49" s="25">
        <v>0</v>
      </c>
      <c r="G49" s="25">
        <v>0</v>
      </c>
      <c r="H49" s="26">
        <v>0</v>
      </c>
      <c r="I49" s="26">
        <v>0</v>
      </c>
      <c r="J49" s="25">
        <v>0</v>
      </c>
      <c r="K49" s="25">
        <v>0</v>
      </c>
      <c r="L49" s="26">
        <v>0</v>
      </c>
      <c r="M49" s="26">
        <v>0</v>
      </c>
      <c r="N49" s="25" t="s">
        <v>429</v>
      </c>
      <c r="O49" s="25" t="s">
        <v>429</v>
      </c>
      <c r="P49" s="26" t="s">
        <v>429</v>
      </c>
      <c r="Q49" s="26" t="s">
        <v>429</v>
      </c>
      <c r="R49" s="25" t="s">
        <v>429</v>
      </c>
      <c r="S49" s="25" t="s">
        <v>429</v>
      </c>
      <c r="T49" s="26" t="s">
        <v>429</v>
      </c>
      <c r="U49" s="26" t="s">
        <v>429</v>
      </c>
      <c r="V49" s="25" t="s">
        <v>429</v>
      </c>
      <c r="W49" s="25" t="s">
        <v>429</v>
      </c>
      <c r="X49" s="26" t="s">
        <v>429</v>
      </c>
      <c r="Y49" s="26" t="s">
        <v>429</v>
      </c>
      <c r="Z49" s="25" t="s">
        <v>429</v>
      </c>
      <c r="AA49" s="25" t="s">
        <v>429</v>
      </c>
      <c r="AB49" s="26" t="s">
        <v>429</v>
      </c>
      <c r="AC49" s="26" t="s">
        <v>429</v>
      </c>
      <c r="AD49" s="25" t="s">
        <v>429</v>
      </c>
      <c r="AE49" s="25" t="s">
        <v>429</v>
      </c>
      <c r="AF49" s="26" t="s">
        <v>429</v>
      </c>
      <c r="AG49" s="26" t="s">
        <v>429</v>
      </c>
    </row>
    <row r="50" spans="1:33">
      <c r="A50" s="17" t="s">
        <v>1505</v>
      </c>
      <c r="B50" s="17" t="s">
        <v>1711</v>
      </c>
      <c r="C50" s="25">
        <v>-592</v>
      </c>
      <c r="D50" s="26">
        <v>-580</v>
      </c>
      <c r="E50" s="26">
        <v>-570</v>
      </c>
      <c r="F50" s="25">
        <v>-552</v>
      </c>
      <c r="G50" s="25">
        <v>-523</v>
      </c>
      <c r="H50" s="26">
        <v>-523</v>
      </c>
      <c r="I50" s="26">
        <v>-485</v>
      </c>
      <c r="J50" s="25">
        <v>-484</v>
      </c>
      <c r="K50" s="25">
        <v>-454</v>
      </c>
      <c r="L50" s="26">
        <v>-418</v>
      </c>
      <c r="M50" s="26">
        <v>-399</v>
      </c>
      <c r="N50" s="25" t="s">
        <v>429</v>
      </c>
      <c r="O50" s="25" t="s">
        <v>429</v>
      </c>
      <c r="P50" s="26" t="s">
        <v>429</v>
      </c>
      <c r="Q50" s="26" t="s">
        <v>429</v>
      </c>
      <c r="R50" s="25" t="s">
        <v>429</v>
      </c>
      <c r="S50" s="25" t="s">
        <v>429</v>
      </c>
      <c r="T50" s="26" t="s">
        <v>429</v>
      </c>
      <c r="U50" s="26" t="s">
        <v>429</v>
      </c>
      <c r="V50" s="25" t="s">
        <v>429</v>
      </c>
      <c r="W50" s="25" t="s">
        <v>429</v>
      </c>
      <c r="X50" s="26" t="s">
        <v>429</v>
      </c>
      <c r="Y50" s="26" t="s">
        <v>429</v>
      </c>
      <c r="Z50" s="25" t="s">
        <v>429</v>
      </c>
      <c r="AA50" s="25" t="s">
        <v>429</v>
      </c>
      <c r="AB50" s="26" t="s">
        <v>429</v>
      </c>
      <c r="AC50" s="26" t="s">
        <v>429</v>
      </c>
      <c r="AD50" s="25" t="s">
        <v>429</v>
      </c>
      <c r="AE50" s="25" t="s">
        <v>429</v>
      </c>
      <c r="AF50" s="26" t="s">
        <v>429</v>
      </c>
      <c r="AG50" s="26" t="s">
        <v>429</v>
      </c>
    </row>
    <row r="51" spans="1:33">
      <c r="A51" s="17" t="s">
        <v>1505</v>
      </c>
      <c r="B51" s="17" t="s">
        <v>1712</v>
      </c>
      <c r="C51" s="25">
        <v>0</v>
      </c>
      <c r="D51" s="26">
        <v>0</v>
      </c>
      <c r="E51" s="26">
        <v>0</v>
      </c>
      <c r="F51" s="25">
        <v>0</v>
      </c>
      <c r="G51" s="25">
        <v>0</v>
      </c>
      <c r="H51" s="26">
        <v>0</v>
      </c>
      <c r="I51" s="26">
        <v>0</v>
      </c>
      <c r="J51" s="25">
        <v>0</v>
      </c>
      <c r="K51" s="25">
        <v>0</v>
      </c>
      <c r="L51" s="26">
        <v>0</v>
      </c>
      <c r="M51" s="26">
        <v>0</v>
      </c>
      <c r="N51" s="25" t="s">
        <v>429</v>
      </c>
      <c r="O51" s="25" t="s">
        <v>429</v>
      </c>
      <c r="P51" s="26" t="s">
        <v>429</v>
      </c>
      <c r="Q51" s="26" t="s">
        <v>429</v>
      </c>
      <c r="R51" s="25" t="s">
        <v>429</v>
      </c>
      <c r="S51" s="25" t="s">
        <v>429</v>
      </c>
      <c r="T51" s="26" t="s">
        <v>429</v>
      </c>
      <c r="U51" s="26" t="s">
        <v>429</v>
      </c>
      <c r="V51" s="25" t="s">
        <v>429</v>
      </c>
      <c r="W51" s="25" t="s">
        <v>429</v>
      </c>
      <c r="X51" s="26" t="s">
        <v>429</v>
      </c>
      <c r="Y51" s="26" t="s">
        <v>429</v>
      </c>
      <c r="Z51" s="25" t="s">
        <v>429</v>
      </c>
      <c r="AA51" s="25" t="s">
        <v>429</v>
      </c>
      <c r="AB51" s="26" t="s">
        <v>429</v>
      </c>
      <c r="AC51" s="26" t="s">
        <v>429</v>
      </c>
      <c r="AD51" s="25" t="s">
        <v>429</v>
      </c>
      <c r="AE51" s="25" t="s">
        <v>429</v>
      </c>
      <c r="AF51" s="26" t="s">
        <v>429</v>
      </c>
      <c r="AG51" s="26" t="s">
        <v>429</v>
      </c>
    </row>
    <row r="52" spans="1:33">
      <c r="A52" s="17" t="s">
        <v>1713</v>
      </c>
      <c r="B52" s="17" t="s">
        <v>1714</v>
      </c>
      <c r="C52" s="25">
        <v>-1072</v>
      </c>
      <c r="D52" s="26">
        <v>-1028</v>
      </c>
      <c r="E52" s="26">
        <v>-988</v>
      </c>
      <c r="F52" s="25">
        <v>-944</v>
      </c>
      <c r="G52" s="25">
        <v>-874</v>
      </c>
      <c r="H52" s="26">
        <v>-874</v>
      </c>
      <c r="I52" s="26">
        <v>-834</v>
      </c>
      <c r="J52" s="25">
        <v>-795</v>
      </c>
      <c r="K52" s="25">
        <v>-758</v>
      </c>
      <c r="L52" s="26">
        <v>-725</v>
      </c>
      <c r="M52" s="26">
        <v>-685</v>
      </c>
      <c r="N52" s="25" t="s">
        <v>429</v>
      </c>
      <c r="O52" s="25" t="s">
        <v>429</v>
      </c>
      <c r="P52" s="26" t="s">
        <v>429</v>
      </c>
      <c r="Q52" s="26" t="s">
        <v>429</v>
      </c>
      <c r="R52" s="25" t="s">
        <v>429</v>
      </c>
      <c r="S52" s="25" t="s">
        <v>429</v>
      </c>
      <c r="T52" s="26" t="s">
        <v>429</v>
      </c>
      <c r="U52" s="26" t="s">
        <v>429</v>
      </c>
      <c r="V52" s="25" t="s">
        <v>429</v>
      </c>
      <c r="W52" s="25" t="s">
        <v>429</v>
      </c>
      <c r="X52" s="26" t="s">
        <v>429</v>
      </c>
      <c r="Y52" s="26" t="s">
        <v>429</v>
      </c>
      <c r="Z52" s="25" t="s">
        <v>429</v>
      </c>
      <c r="AA52" s="25" t="s">
        <v>429</v>
      </c>
      <c r="AB52" s="26" t="s">
        <v>429</v>
      </c>
      <c r="AC52" s="26" t="s">
        <v>429</v>
      </c>
      <c r="AD52" s="25" t="s">
        <v>429</v>
      </c>
      <c r="AE52" s="25" t="s">
        <v>429</v>
      </c>
      <c r="AF52" s="26" t="s">
        <v>429</v>
      </c>
      <c r="AG52" s="26" t="s">
        <v>429</v>
      </c>
    </row>
    <row r="53" spans="1:33">
      <c r="A53" s="17" t="s">
        <v>1713</v>
      </c>
      <c r="B53" s="17" t="s">
        <v>1715</v>
      </c>
      <c r="C53" s="25">
        <v>-2009</v>
      </c>
      <c r="D53" s="26">
        <v>-1923</v>
      </c>
      <c r="E53" s="26">
        <v>-1838</v>
      </c>
      <c r="F53" s="25">
        <v>-1752</v>
      </c>
      <c r="G53" s="25">
        <v>-1573</v>
      </c>
      <c r="H53" s="26">
        <v>-1573</v>
      </c>
      <c r="I53" s="26">
        <v>-1487</v>
      </c>
      <c r="J53" s="25">
        <v>-1407</v>
      </c>
      <c r="K53" s="25">
        <v>-1327</v>
      </c>
      <c r="L53" s="26">
        <v>-1248</v>
      </c>
      <c r="M53" s="26">
        <v>-1242</v>
      </c>
      <c r="N53" s="25" t="s">
        <v>429</v>
      </c>
      <c r="O53" s="25" t="s">
        <v>429</v>
      </c>
      <c r="P53" s="26" t="s">
        <v>429</v>
      </c>
      <c r="Q53" s="26" t="s">
        <v>429</v>
      </c>
      <c r="R53" s="25" t="s">
        <v>429</v>
      </c>
      <c r="S53" s="25" t="s">
        <v>429</v>
      </c>
      <c r="T53" s="26" t="s">
        <v>429</v>
      </c>
      <c r="U53" s="26" t="s">
        <v>429</v>
      </c>
      <c r="V53" s="25" t="s">
        <v>429</v>
      </c>
      <c r="W53" s="25" t="s">
        <v>429</v>
      </c>
      <c r="X53" s="26" t="s">
        <v>429</v>
      </c>
      <c r="Y53" s="26" t="s">
        <v>429</v>
      </c>
      <c r="Z53" s="25" t="s">
        <v>429</v>
      </c>
      <c r="AA53" s="25" t="s">
        <v>429</v>
      </c>
      <c r="AB53" s="26" t="s">
        <v>429</v>
      </c>
      <c r="AC53" s="26" t="s">
        <v>429</v>
      </c>
      <c r="AD53" s="25" t="s">
        <v>429</v>
      </c>
      <c r="AE53" s="25" t="s">
        <v>429</v>
      </c>
      <c r="AF53" s="26" t="s">
        <v>429</v>
      </c>
      <c r="AG53" s="26" t="s">
        <v>429</v>
      </c>
    </row>
    <row r="54" spans="1:33">
      <c r="A54" s="17" t="s">
        <v>1713</v>
      </c>
      <c r="B54" s="17" t="s">
        <v>1716</v>
      </c>
      <c r="C54" s="25">
        <v>-604</v>
      </c>
      <c r="D54" s="26">
        <v>-583</v>
      </c>
      <c r="E54" s="26">
        <v>-559</v>
      </c>
      <c r="F54" s="25">
        <v>-538</v>
      </c>
      <c r="G54" s="25">
        <v>-490</v>
      </c>
      <c r="H54" s="26">
        <v>-490</v>
      </c>
      <c r="I54" s="26">
        <v>-470</v>
      </c>
      <c r="J54" s="25">
        <v>-456</v>
      </c>
      <c r="K54" s="25">
        <v>-435</v>
      </c>
      <c r="L54" s="26">
        <v>-415</v>
      </c>
      <c r="M54" s="26">
        <v>-397</v>
      </c>
      <c r="N54" s="25" t="s">
        <v>429</v>
      </c>
      <c r="O54" s="25" t="s">
        <v>429</v>
      </c>
      <c r="P54" s="26" t="s">
        <v>429</v>
      </c>
      <c r="Q54" s="26" t="s">
        <v>429</v>
      </c>
      <c r="R54" s="25" t="s">
        <v>429</v>
      </c>
      <c r="S54" s="25" t="s">
        <v>429</v>
      </c>
      <c r="T54" s="26" t="s">
        <v>429</v>
      </c>
      <c r="U54" s="26" t="s">
        <v>429</v>
      </c>
      <c r="V54" s="25" t="s">
        <v>429</v>
      </c>
      <c r="W54" s="25" t="s">
        <v>429</v>
      </c>
      <c r="X54" s="26" t="s">
        <v>429</v>
      </c>
      <c r="Y54" s="26" t="s">
        <v>429</v>
      </c>
      <c r="Z54" s="25" t="s">
        <v>429</v>
      </c>
      <c r="AA54" s="25" t="s">
        <v>429</v>
      </c>
      <c r="AB54" s="26" t="s">
        <v>429</v>
      </c>
      <c r="AC54" s="26" t="s">
        <v>429</v>
      </c>
      <c r="AD54" s="25" t="s">
        <v>429</v>
      </c>
      <c r="AE54" s="25" t="s">
        <v>429</v>
      </c>
      <c r="AF54" s="26" t="s">
        <v>429</v>
      </c>
      <c r="AG54" s="26" t="s">
        <v>429</v>
      </c>
    </row>
    <row r="55" spans="1:33">
      <c r="A55" s="17" t="s">
        <v>1497</v>
      </c>
      <c r="B55" s="17" t="s">
        <v>1717</v>
      </c>
      <c r="C55" s="25">
        <v>496</v>
      </c>
      <c r="D55" s="26">
        <v>548</v>
      </c>
      <c r="E55" s="26">
        <v>554</v>
      </c>
      <c r="F55" s="25">
        <v>622</v>
      </c>
      <c r="G55" s="25">
        <v>652</v>
      </c>
      <c r="H55" s="26">
        <v>652</v>
      </c>
      <c r="I55" s="26">
        <v>646</v>
      </c>
      <c r="J55" s="25">
        <v>529</v>
      </c>
      <c r="K55" s="25">
        <v>425</v>
      </c>
      <c r="L55" s="26">
        <v>397</v>
      </c>
      <c r="M55" s="26">
        <v>514</v>
      </c>
      <c r="N55" s="25" t="s">
        <v>429</v>
      </c>
      <c r="O55" s="25" t="s">
        <v>429</v>
      </c>
      <c r="P55" s="26" t="s">
        <v>429</v>
      </c>
      <c r="Q55" s="26" t="s">
        <v>429</v>
      </c>
      <c r="R55" s="25" t="s">
        <v>429</v>
      </c>
      <c r="S55" s="25" t="s">
        <v>429</v>
      </c>
      <c r="T55" s="26" t="s">
        <v>429</v>
      </c>
      <c r="U55" s="26" t="s">
        <v>429</v>
      </c>
      <c r="V55" s="25" t="s">
        <v>429</v>
      </c>
      <c r="W55" s="25" t="s">
        <v>429</v>
      </c>
      <c r="X55" s="26" t="s">
        <v>429</v>
      </c>
      <c r="Y55" s="26" t="s">
        <v>429</v>
      </c>
      <c r="Z55" s="25" t="s">
        <v>429</v>
      </c>
      <c r="AA55" s="25" t="s">
        <v>429</v>
      </c>
      <c r="AB55" s="26" t="s">
        <v>429</v>
      </c>
      <c r="AC55" s="26" t="s">
        <v>429</v>
      </c>
      <c r="AD55" s="25" t="s">
        <v>429</v>
      </c>
      <c r="AE55" s="25" t="s">
        <v>429</v>
      </c>
      <c r="AF55" s="26" t="s">
        <v>429</v>
      </c>
      <c r="AG55" s="26" t="s">
        <v>429</v>
      </c>
    </row>
    <row r="56" spans="1:33">
      <c r="A56" s="17" t="s">
        <v>1499</v>
      </c>
      <c r="B56" s="17" t="s">
        <v>1718</v>
      </c>
      <c r="C56" s="25">
        <v>93</v>
      </c>
      <c r="D56" s="26">
        <v>100</v>
      </c>
      <c r="E56" s="26">
        <v>102</v>
      </c>
      <c r="F56" s="25" t="s">
        <v>429</v>
      </c>
      <c r="G56" s="25" t="s">
        <v>429</v>
      </c>
      <c r="H56" s="26" t="s">
        <v>429</v>
      </c>
      <c r="I56" s="26" t="s">
        <v>429</v>
      </c>
      <c r="J56" s="25" t="s">
        <v>429</v>
      </c>
      <c r="K56" s="25" t="s">
        <v>429</v>
      </c>
      <c r="L56" s="26" t="s">
        <v>429</v>
      </c>
      <c r="M56" s="26" t="s">
        <v>429</v>
      </c>
      <c r="N56" s="25" t="s">
        <v>429</v>
      </c>
      <c r="O56" s="25" t="s">
        <v>429</v>
      </c>
      <c r="P56" s="26" t="s">
        <v>429</v>
      </c>
      <c r="Q56" s="26" t="s">
        <v>429</v>
      </c>
      <c r="R56" s="25" t="s">
        <v>429</v>
      </c>
      <c r="S56" s="25" t="s">
        <v>429</v>
      </c>
      <c r="T56" s="26" t="s">
        <v>429</v>
      </c>
      <c r="U56" s="26" t="s">
        <v>429</v>
      </c>
      <c r="V56" s="25" t="s">
        <v>429</v>
      </c>
      <c r="W56" s="25" t="s">
        <v>429</v>
      </c>
      <c r="X56" s="26" t="s">
        <v>429</v>
      </c>
      <c r="Y56" s="26" t="s">
        <v>429</v>
      </c>
      <c r="Z56" s="25" t="s">
        <v>429</v>
      </c>
      <c r="AA56" s="25" t="s">
        <v>429</v>
      </c>
      <c r="AB56" s="26" t="s">
        <v>429</v>
      </c>
      <c r="AC56" s="26" t="s">
        <v>429</v>
      </c>
      <c r="AD56" s="25" t="s">
        <v>429</v>
      </c>
      <c r="AE56" s="25" t="s">
        <v>429</v>
      </c>
      <c r="AF56" s="26" t="s">
        <v>429</v>
      </c>
      <c r="AG56" s="26" t="s">
        <v>429</v>
      </c>
    </row>
    <row r="57" spans="1:33">
      <c r="A57" s="17" t="s">
        <v>1499</v>
      </c>
      <c r="B57" s="17" t="s">
        <v>1719</v>
      </c>
      <c r="C57" s="25">
        <v>732</v>
      </c>
      <c r="D57" s="26">
        <v>727</v>
      </c>
      <c r="E57" s="26">
        <v>713</v>
      </c>
      <c r="F57" s="25">
        <v>686</v>
      </c>
      <c r="G57" s="25">
        <v>686</v>
      </c>
      <c r="H57" s="26">
        <v>686</v>
      </c>
      <c r="I57" s="26">
        <v>658</v>
      </c>
      <c r="J57" s="25">
        <v>678</v>
      </c>
      <c r="K57" s="25">
        <v>672</v>
      </c>
      <c r="L57" s="26">
        <v>666</v>
      </c>
      <c r="M57" s="26">
        <v>632</v>
      </c>
      <c r="N57" s="25" t="s">
        <v>429</v>
      </c>
      <c r="O57" s="25" t="s">
        <v>429</v>
      </c>
      <c r="P57" s="26" t="s">
        <v>429</v>
      </c>
      <c r="Q57" s="26" t="s">
        <v>429</v>
      </c>
      <c r="R57" s="25" t="s">
        <v>429</v>
      </c>
      <c r="S57" s="25" t="s">
        <v>429</v>
      </c>
      <c r="T57" s="26" t="s">
        <v>429</v>
      </c>
      <c r="U57" s="26" t="s">
        <v>429</v>
      </c>
      <c r="V57" s="25" t="s">
        <v>429</v>
      </c>
      <c r="W57" s="25" t="s">
        <v>429</v>
      </c>
      <c r="X57" s="26" t="s">
        <v>429</v>
      </c>
      <c r="Y57" s="26" t="s">
        <v>429</v>
      </c>
      <c r="Z57" s="25" t="s">
        <v>429</v>
      </c>
      <c r="AA57" s="25" t="s">
        <v>429</v>
      </c>
      <c r="AB57" s="26" t="s">
        <v>429</v>
      </c>
      <c r="AC57" s="26" t="s">
        <v>429</v>
      </c>
      <c r="AD57" s="25" t="s">
        <v>429</v>
      </c>
      <c r="AE57" s="25" t="s">
        <v>429</v>
      </c>
      <c r="AF57" s="26" t="s">
        <v>429</v>
      </c>
      <c r="AG57" s="26" t="s">
        <v>429</v>
      </c>
    </row>
    <row r="58" spans="1:33">
      <c r="A58" s="17" t="s">
        <v>1720</v>
      </c>
      <c r="B58" s="17" t="s">
        <v>1721</v>
      </c>
      <c r="C58" s="25">
        <v>3505</v>
      </c>
      <c r="D58" s="26">
        <v>3401</v>
      </c>
      <c r="E58" s="26">
        <v>3343</v>
      </c>
      <c r="F58" s="25">
        <v>3254</v>
      </c>
      <c r="G58" s="25">
        <v>3120</v>
      </c>
      <c r="H58" s="26">
        <v>3120</v>
      </c>
      <c r="I58" s="26">
        <v>3004</v>
      </c>
      <c r="J58" s="25">
        <v>2899</v>
      </c>
      <c r="K58" s="25">
        <v>2850</v>
      </c>
      <c r="L58" s="26">
        <v>2781</v>
      </c>
      <c r="M58" s="26">
        <v>2670</v>
      </c>
      <c r="N58" s="25" t="s">
        <v>429</v>
      </c>
      <c r="O58" s="25" t="s">
        <v>429</v>
      </c>
      <c r="P58" s="26" t="s">
        <v>429</v>
      </c>
      <c r="Q58" s="26" t="s">
        <v>429</v>
      </c>
      <c r="R58" s="25" t="s">
        <v>429</v>
      </c>
      <c r="S58" s="25" t="s">
        <v>429</v>
      </c>
      <c r="T58" s="26" t="s">
        <v>429</v>
      </c>
      <c r="U58" s="26" t="s">
        <v>429</v>
      </c>
      <c r="V58" s="25" t="s">
        <v>429</v>
      </c>
      <c r="W58" s="25" t="s">
        <v>429</v>
      </c>
      <c r="X58" s="26" t="s">
        <v>429</v>
      </c>
      <c r="Y58" s="26" t="s">
        <v>429</v>
      </c>
      <c r="Z58" s="25" t="s">
        <v>429</v>
      </c>
      <c r="AA58" s="25" t="s">
        <v>429</v>
      </c>
      <c r="AB58" s="26" t="s">
        <v>429</v>
      </c>
      <c r="AC58" s="26" t="s">
        <v>429</v>
      </c>
      <c r="AD58" s="25" t="s">
        <v>429</v>
      </c>
      <c r="AE58" s="25" t="s">
        <v>429</v>
      </c>
      <c r="AF58" s="26" t="s">
        <v>429</v>
      </c>
      <c r="AG58" s="26" t="s">
        <v>429</v>
      </c>
    </row>
    <row r="59" spans="1:33">
      <c r="A59" s="17" t="s">
        <v>1720</v>
      </c>
      <c r="B59" s="17" t="s">
        <v>1722</v>
      </c>
      <c r="C59" s="25">
        <v>6637</v>
      </c>
      <c r="D59" s="26">
        <v>6502</v>
      </c>
      <c r="E59" s="26">
        <v>6298</v>
      </c>
      <c r="F59" s="25">
        <v>6118</v>
      </c>
      <c r="G59" s="25">
        <v>5780</v>
      </c>
      <c r="H59" s="26">
        <v>5780</v>
      </c>
      <c r="I59" s="26">
        <v>5553</v>
      </c>
      <c r="J59" s="25">
        <v>5414</v>
      </c>
      <c r="K59" s="25">
        <v>5302</v>
      </c>
      <c r="L59" s="26">
        <v>5149</v>
      </c>
      <c r="M59" s="26">
        <v>5022</v>
      </c>
      <c r="N59" s="25" t="s">
        <v>429</v>
      </c>
      <c r="O59" s="25" t="s">
        <v>429</v>
      </c>
      <c r="P59" s="26" t="s">
        <v>429</v>
      </c>
      <c r="Q59" s="26" t="s">
        <v>429</v>
      </c>
      <c r="R59" s="25" t="s">
        <v>429</v>
      </c>
      <c r="S59" s="25" t="s">
        <v>429</v>
      </c>
      <c r="T59" s="26" t="s">
        <v>429</v>
      </c>
      <c r="U59" s="26" t="s">
        <v>429</v>
      </c>
      <c r="V59" s="25" t="s">
        <v>429</v>
      </c>
      <c r="W59" s="25" t="s">
        <v>429</v>
      </c>
      <c r="X59" s="26" t="s">
        <v>429</v>
      </c>
      <c r="Y59" s="26" t="s">
        <v>429</v>
      </c>
      <c r="Z59" s="25" t="s">
        <v>429</v>
      </c>
      <c r="AA59" s="25" t="s">
        <v>429</v>
      </c>
      <c r="AB59" s="26" t="s">
        <v>429</v>
      </c>
      <c r="AC59" s="26" t="s">
        <v>429</v>
      </c>
      <c r="AD59" s="25" t="s">
        <v>429</v>
      </c>
      <c r="AE59" s="25" t="s">
        <v>429</v>
      </c>
      <c r="AF59" s="26" t="s">
        <v>429</v>
      </c>
      <c r="AG59" s="26" t="s">
        <v>429</v>
      </c>
    </row>
    <row r="60" spans="1:33">
      <c r="A60" s="17" t="s">
        <v>1720</v>
      </c>
      <c r="B60" s="17" t="s">
        <v>1723</v>
      </c>
      <c r="C60" s="25">
        <v>2305</v>
      </c>
      <c r="D60" s="26">
        <v>2267</v>
      </c>
      <c r="E60" s="26">
        <v>2229</v>
      </c>
      <c r="F60" s="25">
        <v>2189</v>
      </c>
      <c r="G60" s="25">
        <v>2105</v>
      </c>
      <c r="H60" s="26">
        <v>2105</v>
      </c>
      <c r="I60" s="26">
        <v>2052</v>
      </c>
      <c r="J60" s="25">
        <v>2013</v>
      </c>
      <c r="K60" s="25">
        <v>1955</v>
      </c>
      <c r="L60" s="26">
        <v>1931</v>
      </c>
      <c r="M60" s="26">
        <v>1871</v>
      </c>
      <c r="N60" s="25" t="s">
        <v>429</v>
      </c>
      <c r="O60" s="25" t="s">
        <v>429</v>
      </c>
      <c r="P60" s="26" t="s">
        <v>429</v>
      </c>
      <c r="Q60" s="26" t="s">
        <v>429</v>
      </c>
      <c r="R60" s="25" t="s">
        <v>429</v>
      </c>
      <c r="S60" s="25" t="s">
        <v>429</v>
      </c>
      <c r="T60" s="26" t="s">
        <v>429</v>
      </c>
      <c r="U60" s="26" t="s">
        <v>429</v>
      </c>
      <c r="V60" s="25" t="s">
        <v>429</v>
      </c>
      <c r="W60" s="25" t="s">
        <v>429</v>
      </c>
      <c r="X60" s="26" t="s">
        <v>429</v>
      </c>
      <c r="Y60" s="26" t="s">
        <v>429</v>
      </c>
      <c r="Z60" s="25" t="s">
        <v>429</v>
      </c>
      <c r="AA60" s="25" t="s">
        <v>429</v>
      </c>
      <c r="AB60" s="26" t="s">
        <v>429</v>
      </c>
      <c r="AC60" s="26" t="s">
        <v>429</v>
      </c>
      <c r="AD60" s="25" t="s">
        <v>429</v>
      </c>
      <c r="AE60" s="25" t="s">
        <v>429</v>
      </c>
      <c r="AF60" s="26" t="s">
        <v>429</v>
      </c>
      <c r="AG60" s="26" t="s">
        <v>429</v>
      </c>
    </row>
    <row r="61" spans="1:33">
      <c r="A61" s="17" t="s">
        <v>1724</v>
      </c>
      <c r="B61" s="17" t="s">
        <v>1725</v>
      </c>
      <c r="C61" s="25">
        <v>1226</v>
      </c>
      <c r="D61" s="26">
        <v>1226</v>
      </c>
      <c r="E61" s="26">
        <v>1226</v>
      </c>
      <c r="F61" s="25">
        <v>1227</v>
      </c>
      <c r="G61" s="25">
        <v>1228</v>
      </c>
      <c r="H61" s="26">
        <v>1228</v>
      </c>
      <c r="I61" s="26">
        <v>1223</v>
      </c>
      <c r="J61" s="25">
        <v>1223</v>
      </c>
      <c r="K61" s="25">
        <v>1220</v>
      </c>
      <c r="L61" s="26">
        <v>1219</v>
      </c>
      <c r="M61" s="26">
        <v>1219</v>
      </c>
      <c r="N61" s="25" t="s">
        <v>429</v>
      </c>
      <c r="O61" s="25" t="s">
        <v>429</v>
      </c>
      <c r="P61" s="26" t="s">
        <v>429</v>
      </c>
      <c r="Q61" s="26" t="s">
        <v>429</v>
      </c>
      <c r="R61" s="25" t="s">
        <v>429</v>
      </c>
      <c r="S61" s="25" t="s">
        <v>429</v>
      </c>
      <c r="T61" s="26" t="s">
        <v>429</v>
      </c>
      <c r="U61" s="26" t="s">
        <v>429</v>
      </c>
      <c r="V61" s="25" t="s">
        <v>429</v>
      </c>
      <c r="W61" s="25" t="s">
        <v>429</v>
      </c>
      <c r="X61" s="26" t="s">
        <v>429</v>
      </c>
      <c r="Y61" s="26" t="s">
        <v>429</v>
      </c>
      <c r="Z61" s="25" t="s">
        <v>429</v>
      </c>
      <c r="AA61" s="25" t="s">
        <v>429</v>
      </c>
      <c r="AB61" s="26" t="s">
        <v>429</v>
      </c>
      <c r="AC61" s="26" t="s">
        <v>429</v>
      </c>
      <c r="AD61" s="25" t="s">
        <v>429</v>
      </c>
      <c r="AE61" s="25" t="s">
        <v>429</v>
      </c>
      <c r="AF61" s="26" t="s">
        <v>429</v>
      </c>
      <c r="AG61" s="26" t="s">
        <v>429</v>
      </c>
    </row>
    <row r="62" spans="1:33">
      <c r="A62" s="17" t="s">
        <v>1726</v>
      </c>
      <c r="B62" s="17" t="s">
        <v>1727</v>
      </c>
      <c r="C62" s="25">
        <v>629</v>
      </c>
      <c r="D62" s="26">
        <v>623</v>
      </c>
      <c r="E62" s="26">
        <v>602</v>
      </c>
      <c r="F62" s="25">
        <v>567</v>
      </c>
      <c r="G62" s="25">
        <v>529</v>
      </c>
      <c r="H62" s="26">
        <v>529</v>
      </c>
      <c r="I62" s="26">
        <v>508</v>
      </c>
      <c r="J62" s="25">
        <v>522</v>
      </c>
      <c r="K62" s="25">
        <v>505</v>
      </c>
      <c r="L62" s="26">
        <v>500</v>
      </c>
      <c r="M62" s="26">
        <v>468</v>
      </c>
      <c r="N62" s="25" t="s">
        <v>429</v>
      </c>
      <c r="O62" s="25" t="s">
        <v>429</v>
      </c>
      <c r="P62" s="26" t="s">
        <v>429</v>
      </c>
      <c r="Q62" s="26" t="s">
        <v>429</v>
      </c>
      <c r="R62" s="25" t="s">
        <v>429</v>
      </c>
      <c r="S62" s="25" t="s">
        <v>429</v>
      </c>
      <c r="T62" s="26" t="s">
        <v>429</v>
      </c>
      <c r="U62" s="26" t="s">
        <v>429</v>
      </c>
      <c r="V62" s="25" t="s">
        <v>429</v>
      </c>
      <c r="W62" s="25" t="s">
        <v>429</v>
      </c>
      <c r="X62" s="26" t="s">
        <v>429</v>
      </c>
      <c r="Y62" s="26" t="s">
        <v>429</v>
      </c>
      <c r="Z62" s="25" t="s">
        <v>429</v>
      </c>
      <c r="AA62" s="25" t="s">
        <v>429</v>
      </c>
      <c r="AB62" s="26" t="s">
        <v>429</v>
      </c>
      <c r="AC62" s="26" t="s">
        <v>429</v>
      </c>
      <c r="AD62" s="25" t="s">
        <v>429</v>
      </c>
      <c r="AE62" s="25" t="s">
        <v>429</v>
      </c>
      <c r="AF62" s="26" t="s">
        <v>429</v>
      </c>
      <c r="AG62" s="26" t="s">
        <v>429</v>
      </c>
    </row>
    <row r="63" spans="1:33">
      <c r="A63" s="17" t="s">
        <v>1503</v>
      </c>
      <c r="B63" s="17" t="s">
        <v>1728</v>
      </c>
      <c r="C63" s="25">
        <v>253</v>
      </c>
      <c r="D63" s="26">
        <v>252</v>
      </c>
      <c r="E63" s="26">
        <v>252</v>
      </c>
      <c r="F63" s="25">
        <v>252</v>
      </c>
      <c r="G63" s="25">
        <v>254</v>
      </c>
      <c r="H63" s="26">
        <v>254</v>
      </c>
      <c r="I63" s="26">
        <v>254</v>
      </c>
      <c r="J63" s="25">
        <v>254</v>
      </c>
      <c r="K63" s="25">
        <v>253</v>
      </c>
      <c r="L63" s="26">
        <v>253</v>
      </c>
      <c r="M63" s="26">
        <v>253</v>
      </c>
      <c r="N63" s="25" t="s">
        <v>429</v>
      </c>
      <c r="O63" s="25" t="s">
        <v>429</v>
      </c>
      <c r="P63" s="26" t="s">
        <v>429</v>
      </c>
      <c r="Q63" s="26" t="s">
        <v>429</v>
      </c>
      <c r="R63" s="25" t="s">
        <v>429</v>
      </c>
      <c r="S63" s="25" t="s">
        <v>429</v>
      </c>
      <c r="T63" s="26" t="s">
        <v>429</v>
      </c>
      <c r="U63" s="26" t="s">
        <v>429</v>
      </c>
      <c r="V63" s="25" t="s">
        <v>429</v>
      </c>
      <c r="W63" s="25" t="s">
        <v>429</v>
      </c>
      <c r="X63" s="26" t="s">
        <v>429</v>
      </c>
      <c r="Y63" s="26" t="s">
        <v>429</v>
      </c>
      <c r="Z63" s="25" t="s">
        <v>429</v>
      </c>
      <c r="AA63" s="25" t="s">
        <v>429</v>
      </c>
      <c r="AB63" s="26" t="s">
        <v>429</v>
      </c>
      <c r="AC63" s="26" t="s">
        <v>429</v>
      </c>
      <c r="AD63" s="25" t="s">
        <v>429</v>
      </c>
      <c r="AE63" s="25" t="s">
        <v>429</v>
      </c>
      <c r="AF63" s="26" t="s">
        <v>429</v>
      </c>
      <c r="AG63" s="26" t="s">
        <v>429</v>
      </c>
    </row>
    <row r="64" spans="1:33">
      <c r="A64" s="17" t="s">
        <v>1729</v>
      </c>
      <c r="B64" s="17" t="s">
        <v>1685</v>
      </c>
      <c r="C64" s="25">
        <v>317</v>
      </c>
      <c r="D64" s="26">
        <v>288</v>
      </c>
      <c r="E64" s="26">
        <v>287</v>
      </c>
      <c r="F64" s="25" t="s">
        <v>429</v>
      </c>
      <c r="G64" s="25" t="s">
        <v>429</v>
      </c>
      <c r="H64" s="26" t="s">
        <v>429</v>
      </c>
      <c r="I64" s="26" t="s">
        <v>429</v>
      </c>
      <c r="J64" s="25" t="s">
        <v>429</v>
      </c>
      <c r="K64" s="25" t="s">
        <v>429</v>
      </c>
      <c r="L64" s="26" t="s">
        <v>429</v>
      </c>
      <c r="M64" s="26" t="s">
        <v>429</v>
      </c>
      <c r="N64" s="25" t="s">
        <v>429</v>
      </c>
      <c r="O64" s="25" t="s">
        <v>429</v>
      </c>
      <c r="P64" s="26" t="s">
        <v>429</v>
      </c>
      <c r="Q64" s="26" t="s">
        <v>429</v>
      </c>
      <c r="R64" s="25" t="s">
        <v>429</v>
      </c>
      <c r="S64" s="25" t="s">
        <v>429</v>
      </c>
      <c r="T64" s="26" t="s">
        <v>429</v>
      </c>
      <c r="U64" s="26" t="s">
        <v>429</v>
      </c>
      <c r="V64" s="25" t="s">
        <v>429</v>
      </c>
      <c r="W64" s="25" t="s">
        <v>429</v>
      </c>
      <c r="X64" s="26" t="s">
        <v>429</v>
      </c>
      <c r="Y64" s="26" t="s">
        <v>429</v>
      </c>
      <c r="Z64" s="25" t="s">
        <v>429</v>
      </c>
      <c r="AA64" s="25" t="s">
        <v>429</v>
      </c>
      <c r="AB64" s="26" t="s">
        <v>429</v>
      </c>
      <c r="AC64" s="26" t="s">
        <v>429</v>
      </c>
      <c r="AD64" s="25" t="s">
        <v>429</v>
      </c>
      <c r="AE64" s="25" t="s">
        <v>429</v>
      </c>
      <c r="AF64" s="26" t="s">
        <v>429</v>
      </c>
      <c r="AG64" s="26" t="s">
        <v>429</v>
      </c>
    </row>
    <row r="65" spans="1:33">
      <c r="A65" s="17" t="s">
        <v>1729</v>
      </c>
      <c r="B65" s="17" t="s">
        <v>1686</v>
      </c>
      <c r="C65" s="25" t="s">
        <v>429</v>
      </c>
      <c r="D65" s="26" t="s">
        <v>429</v>
      </c>
      <c r="E65" s="26" t="s">
        <v>429</v>
      </c>
      <c r="F65" s="25">
        <v>446</v>
      </c>
      <c r="G65" s="25">
        <v>287</v>
      </c>
      <c r="H65" s="26" t="s">
        <v>429</v>
      </c>
      <c r="I65" s="26" t="s">
        <v>429</v>
      </c>
      <c r="J65" s="25" t="s">
        <v>429</v>
      </c>
      <c r="K65" s="25" t="s">
        <v>429</v>
      </c>
      <c r="L65" s="26" t="s">
        <v>429</v>
      </c>
      <c r="M65" s="26" t="s">
        <v>429</v>
      </c>
      <c r="N65" s="25" t="s">
        <v>429</v>
      </c>
      <c r="O65" s="25" t="s">
        <v>429</v>
      </c>
      <c r="P65" s="26" t="s">
        <v>429</v>
      </c>
      <c r="Q65" s="26" t="s">
        <v>429</v>
      </c>
      <c r="R65" s="25" t="s">
        <v>429</v>
      </c>
      <c r="S65" s="25" t="s">
        <v>429</v>
      </c>
      <c r="T65" s="26" t="s">
        <v>429</v>
      </c>
      <c r="U65" s="26" t="s">
        <v>429</v>
      </c>
      <c r="V65" s="25" t="s">
        <v>429</v>
      </c>
      <c r="W65" s="25" t="s">
        <v>429</v>
      </c>
      <c r="X65" s="26" t="s">
        <v>429</v>
      </c>
      <c r="Y65" s="26" t="s">
        <v>429</v>
      </c>
      <c r="Z65" s="25" t="s">
        <v>429</v>
      </c>
      <c r="AA65" s="25" t="s">
        <v>429</v>
      </c>
      <c r="AB65" s="26" t="s">
        <v>429</v>
      </c>
      <c r="AC65" s="26" t="s">
        <v>429</v>
      </c>
      <c r="AD65" s="25" t="s">
        <v>429</v>
      </c>
      <c r="AE65" s="25" t="s">
        <v>429</v>
      </c>
      <c r="AF65" s="26" t="s">
        <v>429</v>
      </c>
      <c r="AG65" s="26" t="s">
        <v>429</v>
      </c>
    </row>
    <row r="66" spans="1:33">
      <c r="A66" s="17" t="s">
        <v>1507</v>
      </c>
      <c r="B66" s="17" t="s">
        <v>1508</v>
      </c>
      <c r="C66" s="25">
        <v>13873</v>
      </c>
      <c r="D66" s="26">
        <v>14630</v>
      </c>
      <c r="E66" s="26">
        <v>14057</v>
      </c>
      <c r="F66" s="25">
        <v>14285</v>
      </c>
      <c r="G66" s="25">
        <v>13194</v>
      </c>
      <c r="H66" s="26">
        <v>12816</v>
      </c>
      <c r="I66" s="26">
        <v>12366</v>
      </c>
      <c r="J66" s="25">
        <v>12517</v>
      </c>
      <c r="K66" s="25">
        <v>11663</v>
      </c>
      <c r="L66" s="26">
        <v>11757</v>
      </c>
      <c r="M66" s="26">
        <v>11640</v>
      </c>
      <c r="N66" s="25">
        <v>11676</v>
      </c>
      <c r="O66" s="25">
        <v>11394</v>
      </c>
      <c r="P66" s="26">
        <v>12063</v>
      </c>
      <c r="Q66" s="26">
        <v>11219</v>
      </c>
      <c r="R66" s="25">
        <v>10612</v>
      </c>
      <c r="S66" s="25">
        <v>9916</v>
      </c>
      <c r="T66" s="26">
        <v>10082</v>
      </c>
      <c r="U66" s="26">
        <v>9444</v>
      </c>
      <c r="V66" s="25">
        <v>8731</v>
      </c>
      <c r="W66" s="25">
        <v>8525</v>
      </c>
      <c r="X66" s="26">
        <v>8461</v>
      </c>
      <c r="Y66" s="26">
        <v>8825</v>
      </c>
      <c r="Z66" s="25">
        <v>8259</v>
      </c>
      <c r="AA66" s="25">
        <v>7946</v>
      </c>
      <c r="AB66" s="26">
        <v>7820</v>
      </c>
      <c r="AC66" s="26">
        <v>7310</v>
      </c>
      <c r="AD66" s="25">
        <v>7420</v>
      </c>
      <c r="AE66" s="25">
        <v>7184</v>
      </c>
      <c r="AF66" s="26">
        <v>6932</v>
      </c>
      <c r="AG66" s="26">
        <v>7182</v>
      </c>
    </row>
    <row r="67" spans="1:33">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c r="AD67" s="20"/>
      <c r="AE67" s="20"/>
      <c r="AF67" s="20"/>
      <c r="AG67" s="20"/>
    </row>
    <row r="68" spans="1:33">
      <c r="A68" s="15"/>
      <c r="B68" s="16" t="s">
        <v>1509</v>
      </c>
      <c r="C68" s="16"/>
      <c r="D68" s="16"/>
      <c r="E68" s="16"/>
      <c r="F68" s="16"/>
      <c r="G68" s="16"/>
      <c r="H68" s="16"/>
      <c r="I68" s="16"/>
      <c r="J68" s="16"/>
      <c r="K68" s="16"/>
      <c r="L68" s="16"/>
      <c r="M68" s="16"/>
      <c r="N68" s="16"/>
      <c r="O68" s="16"/>
      <c r="P68" s="16"/>
      <c r="Q68" s="16"/>
      <c r="R68" s="16"/>
      <c r="S68" s="16"/>
      <c r="T68" s="16"/>
      <c r="U68" s="16"/>
      <c r="V68" s="16"/>
      <c r="W68" s="16"/>
      <c r="X68" s="16"/>
      <c r="Y68" s="16"/>
      <c r="Z68" s="16"/>
      <c r="AA68" s="16"/>
      <c r="AB68" s="16"/>
      <c r="AC68" s="16"/>
      <c r="AD68" s="16"/>
      <c r="AE68" s="16"/>
      <c r="AF68" s="16"/>
      <c r="AG68" s="16"/>
    </row>
    <row r="69" spans="1:33">
      <c r="A69" s="17" t="s">
        <v>1730</v>
      </c>
      <c r="B69" s="17" t="s">
        <v>1731</v>
      </c>
      <c r="C69" s="25">
        <v>311</v>
      </c>
      <c r="D69" s="26">
        <v>315</v>
      </c>
      <c r="E69" s="26">
        <v>305</v>
      </c>
      <c r="F69" s="25">
        <v>301</v>
      </c>
      <c r="G69" s="25">
        <v>287</v>
      </c>
      <c r="H69" s="26">
        <v>292</v>
      </c>
      <c r="I69" s="26">
        <v>312</v>
      </c>
      <c r="J69" s="25">
        <v>280</v>
      </c>
      <c r="K69" s="25">
        <v>238</v>
      </c>
      <c r="L69" s="26">
        <v>271</v>
      </c>
      <c r="M69" s="26">
        <v>238</v>
      </c>
      <c r="N69" s="25">
        <v>338</v>
      </c>
      <c r="O69" s="25">
        <v>234</v>
      </c>
      <c r="P69" s="26">
        <v>498</v>
      </c>
      <c r="Q69" s="26">
        <v>216</v>
      </c>
      <c r="R69" s="25">
        <v>272</v>
      </c>
      <c r="S69" s="25">
        <v>227</v>
      </c>
      <c r="T69" s="26">
        <v>242</v>
      </c>
      <c r="U69" s="26">
        <v>230</v>
      </c>
      <c r="V69" s="25">
        <v>213</v>
      </c>
      <c r="W69" s="25">
        <v>207</v>
      </c>
      <c r="X69" s="26">
        <v>236</v>
      </c>
      <c r="Y69" s="26">
        <v>212</v>
      </c>
      <c r="Z69" s="25">
        <v>216</v>
      </c>
      <c r="AA69" s="25">
        <v>207</v>
      </c>
      <c r="AB69" s="26">
        <v>225</v>
      </c>
      <c r="AC69" s="26">
        <v>159</v>
      </c>
      <c r="AD69" s="25">
        <v>198</v>
      </c>
      <c r="AE69" s="25">
        <v>139</v>
      </c>
      <c r="AF69" s="26">
        <v>166</v>
      </c>
      <c r="AG69" s="26">
        <v>146</v>
      </c>
    </row>
    <row r="70" spans="1:33">
      <c r="A70" s="17" t="s">
        <v>1516</v>
      </c>
      <c r="B70" s="17" t="s">
        <v>1732</v>
      </c>
      <c r="C70" s="25">
        <v>8</v>
      </c>
      <c r="D70" s="26">
        <v>7</v>
      </c>
      <c r="E70" s="26">
        <v>6</v>
      </c>
      <c r="F70" s="25">
        <v>6</v>
      </c>
      <c r="G70" s="25" t="s">
        <v>429</v>
      </c>
      <c r="H70" s="26" t="s">
        <v>429</v>
      </c>
      <c r="I70" s="26" t="s">
        <v>429</v>
      </c>
      <c r="J70" s="25" t="s">
        <v>429</v>
      </c>
      <c r="K70" s="25" t="s">
        <v>429</v>
      </c>
      <c r="L70" s="26" t="s">
        <v>429</v>
      </c>
      <c r="M70" s="26" t="s">
        <v>429</v>
      </c>
      <c r="N70" s="25" t="s">
        <v>429</v>
      </c>
      <c r="O70" s="25" t="s">
        <v>429</v>
      </c>
      <c r="P70" s="26" t="s">
        <v>429</v>
      </c>
      <c r="Q70" s="26" t="s">
        <v>429</v>
      </c>
      <c r="R70" s="25" t="s">
        <v>429</v>
      </c>
      <c r="S70" s="25" t="s">
        <v>429</v>
      </c>
      <c r="T70" s="26" t="s">
        <v>429</v>
      </c>
      <c r="U70" s="26" t="s">
        <v>429</v>
      </c>
      <c r="V70" s="25" t="s">
        <v>429</v>
      </c>
      <c r="W70" s="25" t="s">
        <v>429</v>
      </c>
      <c r="X70" s="26" t="s">
        <v>429</v>
      </c>
      <c r="Y70" s="26" t="s">
        <v>429</v>
      </c>
      <c r="Z70" s="25" t="s">
        <v>429</v>
      </c>
      <c r="AA70" s="25" t="s">
        <v>429</v>
      </c>
      <c r="AB70" s="26" t="s">
        <v>429</v>
      </c>
      <c r="AC70" s="26" t="s">
        <v>429</v>
      </c>
      <c r="AD70" s="25" t="s">
        <v>429</v>
      </c>
      <c r="AE70" s="25" t="s">
        <v>429</v>
      </c>
      <c r="AF70" s="26" t="s">
        <v>429</v>
      </c>
      <c r="AG70" s="26" t="s">
        <v>429</v>
      </c>
    </row>
    <row r="71" spans="1:33">
      <c r="A71" s="17" t="s">
        <v>1516</v>
      </c>
      <c r="B71" s="17" t="s">
        <v>1733</v>
      </c>
      <c r="C71" s="25">
        <v>71</v>
      </c>
      <c r="D71" s="26">
        <v>68</v>
      </c>
      <c r="E71" s="26" t="s">
        <v>429</v>
      </c>
      <c r="F71" s="25">
        <v>0</v>
      </c>
      <c r="G71" s="25">
        <v>133</v>
      </c>
      <c r="H71" s="26">
        <v>127</v>
      </c>
      <c r="I71" s="26" t="s">
        <v>429</v>
      </c>
      <c r="J71" s="25" t="s">
        <v>429</v>
      </c>
      <c r="K71" s="25" t="s">
        <v>429</v>
      </c>
      <c r="L71" s="26" t="s">
        <v>429</v>
      </c>
      <c r="M71" s="26" t="s">
        <v>429</v>
      </c>
      <c r="N71" s="25" t="s">
        <v>429</v>
      </c>
      <c r="O71" s="25" t="s">
        <v>429</v>
      </c>
      <c r="P71" s="26" t="s">
        <v>429</v>
      </c>
      <c r="Q71" s="26" t="s">
        <v>429</v>
      </c>
      <c r="R71" s="25" t="s">
        <v>429</v>
      </c>
      <c r="S71" s="25" t="s">
        <v>429</v>
      </c>
      <c r="T71" s="26" t="s">
        <v>429</v>
      </c>
      <c r="U71" s="26" t="s">
        <v>429</v>
      </c>
      <c r="V71" s="25" t="s">
        <v>429</v>
      </c>
      <c r="W71" s="25" t="s">
        <v>429</v>
      </c>
      <c r="X71" s="26" t="s">
        <v>429</v>
      </c>
      <c r="Y71" s="26" t="s">
        <v>429</v>
      </c>
      <c r="Z71" s="25" t="s">
        <v>429</v>
      </c>
      <c r="AA71" s="25" t="s">
        <v>429</v>
      </c>
      <c r="AB71" s="26" t="s">
        <v>429</v>
      </c>
      <c r="AC71" s="26" t="s">
        <v>429</v>
      </c>
      <c r="AD71" s="25" t="s">
        <v>429</v>
      </c>
      <c r="AE71" s="25" t="s">
        <v>429</v>
      </c>
      <c r="AF71" s="26" t="s">
        <v>429</v>
      </c>
      <c r="AG71" s="26" t="s">
        <v>429</v>
      </c>
    </row>
    <row r="72" spans="1:33">
      <c r="A72" s="17" t="s">
        <v>1516</v>
      </c>
      <c r="B72" s="17" t="s">
        <v>1734</v>
      </c>
      <c r="C72" s="25" t="s">
        <v>429</v>
      </c>
      <c r="D72" s="26" t="s">
        <v>429</v>
      </c>
      <c r="E72" s="26" t="s">
        <v>429</v>
      </c>
      <c r="F72" s="25">
        <v>0</v>
      </c>
      <c r="G72" s="25">
        <v>100</v>
      </c>
      <c r="H72" s="26">
        <v>100</v>
      </c>
      <c r="I72" s="26" t="s">
        <v>429</v>
      </c>
      <c r="J72" s="25" t="s">
        <v>429</v>
      </c>
      <c r="K72" s="25" t="s">
        <v>429</v>
      </c>
      <c r="L72" s="26" t="s">
        <v>429</v>
      </c>
      <c r="M72" s="26" t="s">
        <v>429</v>
      </c>
      <c r="N72" s="25" t="s">
        <v>429</v>
      </c>
      <c r="O72" s="25" t="s">
        <v>429</v>
      </c>
      <c r="P72" s="26" t="s">
        <v>429</v>
      </c>
      <c r="Q72" s="26" t="s">
        <v>429</v>
      </c>
      <c r="R72" s="25" t="s">
        <v>429</v>
      </c>
      <c r="S72" s="25" t="s">
        <v>429</v>
      </c>
      <c r="T72" s="26" t="s">
        <v>429</v>
      </c>
      <c r="U72" s="26" t="s">
        <v>429</v>
      </c>
      <c r="V72" s="25" t="s">
        <v>429</v>
      </c>
      <c r="W72" s="25" t="s">
        <v>429</v>
      </c>
      <c r="X72" s="26" t="s">
        <v>429</v>
      </c>
      <c r="Y72" s="26" t="s">
        <v>429</v>
      </c>
      <c r="Z72" s="25" t="s">
        <v>429</v>
      </c>
      <c r="AA72" s="25" t="s">
        <v>429</v>
      </c>
      <c r="AB72" s="26" t="s">
        <v>429</v>
      </c>
      <c r="AC72" s="26" t="s">
        <v>429</v>
      </c>
      <c r="AD72" s="25" t="s">
        <v>429</v>
      </c>
      <c r="AE72" s="25" t="s">
        <v>429</v>
      </c>
      <c r="AF72" s="26" t="s">
        <v>429</v>
      </c>
      <c r="AG72" s="26" t="s">
        <v>429</v>
      </c>
    </row>
    <row r="73" spans="1:33">
      <c r="A73" s="17" t="s">
        <v>1516</v>
      </c>
      <c r="B73" s="17" t="s">
        <v>1735</v>
      </c>
      <c r="C73" s="25">
        <v>345</v>
      </c>
      <c r="D73" s="26">
        <v>250</v>
      </c>
      <c r="E73" s="26">
        <v>257</v>
      </c>
      <c r="F73" s="25">
        <v>0</v>
      </c>
      <c r="G73" s="25">
        <v>304</v>
      </c>
      <c r="H73" s="26">
        <v>341</v>
      </c>
      <c r="I73" s="26">
        <v>31</v>
      </c>
      <c r="J73" s="25">
        <v>0</v>
      </c>
      <c r="K73" s="25">
        <v>0</v>
      </c>
      <c r="L73" s="26">
        <v>305</v>
      </c>
      <c r="M73" s="26">
        <v>312</v>
      </c>
      <c r="N73" s="25" t="s">
        <v>429</v>
      </c>
      <c r="O73" s="25" t="s">
        <v>429</v>
      </c>
      <c r="P73" s="26" t="s">
        <v>429</v>
      </c>
      <c r="Q73" s="26" t="s">
        <v>429</v>
      </c>
      <c r="R73" s="25" t="s">
        <v>429</v>
      </c>
      <c r="S73" s="25" t="s">
        <v>429</v>
      </c>
      <c r="T73" s="26" t="s">
        <v>429</v>
      </c>
      <c r="U73" s="26" t="s">
        <v>429</v>
      </c>
      <c r="V73" s="25" t="s">
        <v>429</v>
      </c>
      <c r="W73" s="25" t="s">
        <v>429</v>
      </c>
      <c r="X73" s="26" t="s">
        <v>429</v>
      </c>
      <c r="Y73" s="26" t="s">
        <v>429</v>
      </c>
      <c r="Z73" s="25" t="s">
        <v>429</v>
      </c>
      <c r="AA73" s="25" t="s">
        <v>429</v>
      </c>
      <c r="AB73" s="26" t="s">
        <v>429</v>
      </c>
      <c r="AC73" s="26" t="s">
        <v>429</v>
      </c>
      <c r="AD73" s="25" t="s">
        <v>429</v>
      </c>
      <c r="AE73" s="25" t="s">
        <v>429</v>
      </c>
      <c r="AF73" s="26" t="s">
        <v>429</v>
      </c>
      <c r="AG73" s="26" t="s">
        <v>429</v>
      </c>
    </row>
    <row r="74" spans="1:33">
      <c r="A74" s="17" t="s">
        <v>1516</v>
      </c>
      <c r="B74" s="17" t="s">
        <v>1736</v>
      </c>
      <c r="C74" s="25" t="s">
        <v>429</v>
      </c>
      <c r="D74" s="26">
        <v>0</v>
      </c>
      <c r="E74" s="26">
        <v>0</v>
      </c>
      <c r="F74" s="25">
        <v>907</v>
      </c>
      <c r="G74" s="25">
        <v>825</v>
      </c>
      <c r="H74" s="26" t="s">
        <v>429</v>
      </c>
      <c r="I74" s="26" t="s">
        <v>429</v>
      </c>
      <c r="J74" s="25">
        <v>461</v>
      </c>
      <c r="K74" s="25">
        <v>442</v>
      </c>
      <c r="L74" s="26" t="s">
        <v>429</v>
      </c>
      <c r="M74" s="26" t="s">
        <v>429</v>
      </c>
      <c r="N74" s="25" t="s">
        <v>429</v>
      </c>
      <c r="O74" s="25" t="s">
        <v>429</v>
      </c>
      <c r="P74" s="26" t="s">
        <v>429</v>
      </c>
      <c r="Q74" s="26" t="s">
        <v>429</v>
      </c>
      <c r="R74" s="25" t="s">
        <v>429</v>
      </c>
      <c r="S74" s="25" t="s">
        <v>429</v>
      </c>
      <c r="T74" s="26" t="s">
        <v>429</v>
      </c>
      <c r="U74" s="26" t="s">
        <v>429</v>
      </c>
      <c r="V74" s="25" t="s">
        <v>429</v>
      </c>
      <c r="W74" s="25" t="s">
        <v>429</v>
      </c>
      <c r="X74" s="26" t="s">
        <v>429</v>
      </c>
      <c r="Y74" s="26" t="s">
        <v>429</v>
      </c>
      <c r="Z74" s="25" t="s">
        <v>429</v>
      </c>
      <c r="AA74" s="25" t="s">
        <v>429</v>
      </c>
      <c r="AB74" s="26" t="s">
        <v>429</v>
      </c>
      <c r="AC74" s="26" t="s">
        <v>429</v>
      </c>
      <c r="AD74" s="25" t="s">
        <v>429</v>
      </c>
      <c r="AE74" s="25" t="s">
        <v>429</v>
      </c>
      <c r="AF74" s="26" t="s">
        <v>429</v>
      </c>
      <c r="AG74" s="26" t="s">
        <v>429</v>
      </c>
    </row>
    <row r="75" spans="1:33">
      <c r="A75" s="17" t="s">
        <v>1516</v>
      </c>
      <c r="B75" s="17" t="s">
        <v>1737</v>
      </c>
      <c r="C75" s="25" t="s">
        <v>429</v>
      </c>
      <c r="D75" s="26" t="s">
        <v>429</v>
      </c>
      <c r="E75" s="26" t="s">
        <v>429</v>
      </c>
      <c r="F75" s="25" t="s">
        <v>429</v>
      </c>
      <c r="G75" s="25" t="s">
        <v>429</v>
      </c>
      <c r="H75" s="26" t="s">
        <v>429</v>
      </c>
      <c r="I75" s="26" t="s">
        <v>429</v>
      </c>
      <c r="J75" s="25" t="s">
        <v>429</v>
      </c>
      <c r="K75" s="25" t="s">
        <v>429</v>
      </c>
      <c r="L75" s="26">
        <v>0</v>
      </c>
      <c r="M75" s="26">
        <v>132</v>
      </c>
      <c r="N75" s="25">
        <v>503</v>
      </c>
      <c r="O75" s="25">
        <v>409</v>
      </c>
      <c r="P75" s="26">
        <v>0</v>
      </c>
      <c r="Q75" s="26">
        <v>344</v>
      </c>
      <c r="R75" s="25" t="s">
        <v>429</v>
      </c>
      <c r="S75" s="25" t="s">
        <v>429</v>
      </c>
      <c r="T75" s="26" t="s">
        <v>429</v>
      </c>
      <c r="U75" s="26" t="s">
        <v>429</v>
      </c>
      <c r="V75" s="25" t="s">
        <v>429</v>
      </c>
      <c r="W75" s="25" t="s">
        <v>429</v>
      </c>
      <c r="X75" s="26" t="s">
        <v>429</v>
      </c>
      <c r="Y75" s="26" t="s">
        <v>429</v>
      </c>
      <c r="Z75" s="25" t="s">
        <v>429</v>
      </c>
      <c r="AA75" s="25" t="s">
        <v>429</v>
      </c>
      <c r="AB75" s="26" t="s">
        <v>429</v>
      </c>
      <c r="AC75" s="26" t="s">
        <v>429</v>
      </c>
      <c r="AD75" s="25" t="s">
        <v>429</v>
      </c>
      <c r="AE75" s="25" t="s">
        <v>429</v>
      </c>
      <c r="AF75" s="26" t="s">
        <v>429</v>
      </c>
      <c r="AG75" s="26" t="s">
        <v>429</v>
      </c>
    </row>
    <row r="76" spans="1:33">
      <c r="A76" s="17" t="s">
        <v>1516</v>
      </c>
      <c r="B76" s="17" t="s">
        <v>1738</v>
      </c>
      <c r="C76" s="25" t="s">
        <v>429</v>
      </c>
      <c r="D76" s="26" t="s">
        <v>429</v>
      </c>
      <c r="E76" s="26" t="s">
        <v>429</v>
      </c>
      <c r="F76" s="25" t="s">
        <v>429</v>
      </c>
      <c r="G76" s="25" t="s">
        <v>429</v>
      </c>
      <c r="H76" s="26" t="s">
        <v>429</v>
      </c>
      <c r="I76" s="26" t="s">
        <v>429</v>
      </c>
      <c r="J76" s="25" t="s">
        <v>429</v>
      </c>
      <c r="K76" s="25">
        <v>11</v>
      </c>
      <c r="L76" s="26">
        <v>93</v>
      </c>
      <c r="M76" s="26">
        <v>114</v>
      </c>
      <c r="N76" s="25">
        <v>0</v>
      </c>
      <c r="O76" s="25">
        <v>0</v>
      </c>
      <c r="P76" s="26">
        <v>36</v>
      </c>
      <c r="Q76" s="26">
        <v>100</v>
      </c>
      <c r="R76" s="25" t="s">
        <v>429</v>
      </c>
      <c r="S76" s="25" t="s">
        <v>429</v>
      </c>
      <c r="T76" s="26" t="s">
        <v>429</v>
      </c>
      <c r="U76" s="26" t="s">
        <v>429</v>
      </c>
      <c r="V76" s="25" t="s">
        <v>429</v>
      </c>
      <c r="W76" s="25" t="s">
        <v>429</v>
      </c>
      <c r="X76" s="26" t="s">
        <v>429</v>
      </c>
      <c r="Y76" s="26" t="s">
        <v>429</v>
      </c>
      <c r="Z76" s="25" t="s">
        <v>429</v>
      </c>
      <c r="AA76" s="25" t="s">
        <v>429</v>
      </c>
      <c r="AB76" s="26" t="s">
        <v>429</v>
      </c>
      <c r="AC76" s="26" t="s">
        <v>429</v>
      </c>
      <c r="AD76" s="25" t="s">
        <v>429</v>
      </c>
      <c r="AE76" s="25" t="s">
        <v>429</v>
      </c>
      <c r="AF76" s="26" t="s">
        <v>429</v>
      </c>
      <c r="AG76" s="26" t="s">
        <v>429</v>
      </c>
    </row>
    <row r="77" spans="1:33">
      <c r="A77" s="17" t="s">
        <v>1516</v>
      </c>
      <c r="B77" s="17" t="s">
        <v>1739</v>
      </c>
      <c r="C77" s="25" t="s">
        <v>429</v>
      </c>
      <c r="D77" s="26" t="s">
        <v>429</v>
      </c>
      <c r="E77" s="26" t="s">
        <v>429</v>
      </c>
      <c r="F77" s="25">
        <v>0</v>
      </c>
      <c r="G77" s="25">
        <v>0</v>
      </c>
      <c r="H77" s="26">
        <v>390</v>
      </c>
      <c r="I77" s="26">
        <v>390</v>
      </c>
      <c r="J77" s="25" t="s">
        <v>429</v>
      </c>
      <c r="K77" s="25" t="s">
        <v>429</v>
      </c>
      <c r="L77" s="26">
        <v>0</v>
      </c>
      <c r="M77" s="26">
        <v>336</v>
      </c>
      <c r="N77" s="25">
        <v>341</v>
      </c>
      <c r="O77" s="25">
        <v>0</v>
      </c>
      <c r="P77" s="26">
        <v>646</v>
      </c>
      <c r="Q77" s="26">
        <v>574</v>
      </c>
      <c r="R77" s="25" t="s">
        <v>429</v>
      </c>
      <c r="S77" s="25" t="s">
        <v>429</v>
      </c>
      <c r="T77" s="26" t="s">
        <v>429</v>
      </c>
      <c r="U77" s="26" t="s">
        <v>429</v>
      </c>
      <c r="V77" s="25" t="s">
        <v>429</v>
      </c>
      <c r="W77" s="25" t="s">
        <v>429</v>
      </c>
      <c r="X77" s="26" t="s">
        <v>429</v>
      </c>
      <c r="Y77" s="26" t="s">
        <v>429</v>
      </c>
      <c r="Z77" s="25" t="s">
        <v>429</v>
      </c>
      <c r="AA77" s="25" t="s">
        <v>429</v>
      </c>
      <c r="AB77" s="26" t="s">
        <v>429</v>
      </c>
      <c r="AC77" s="26" t="s">
        <v>429</v>
      </c>
      <c r="AD77" s="25" t="s">
        <v>429</v>
      </c>
      <c r="AE77" s="25" t="s">
        <v>429</v>
      </c>
      <c r="AF77" s="26" t="s">
        <v>429</v>
      </c>
      <c r="AG77" s="26" t="s">
        <v>429</v>
      </c>
    </row>
    <row r="78" spans="1:33">
      <c r="A78" s="17" t="s">
        <v>1516</v>
      </c>
      <c r="B78" s="17" t="s">
        <v>1740</v>
      </c>
      <c r="C78" s="25" t="s">
        <v>429</v>
      </c>
      <c r="D78" s="26" t="s">
        <v>429</v>
      </c>
      <c r="E78" s="26" t="s">
        <v>429</v>
      </c>
      <c r="F78" s="25" t="s">
        <v>429</v>
      </c>
      <c r="G78" s="25" t="s">
        <v>429</v>
      </c>
      <c r="H78" s="26" t="s">
        <v>429</v>
      </c>
      <c r="I78" s="26" t="s">
        <v>429</v>
      </c>
      <c r="J78" s="25" t="s">
        <v>429</v>
      </c>
      <c r="K78" s="25" t="s">
        <v>429</v>
      </c>
      <c r="L78" s="26" t="s">
        <v>429</v>
      </c>
      <c r="M78" s="26" t="s">
        <v>429</v>
      </c>
      <c r="N78" s="25" t="s">
        <v>429</v>
      </c>
      <c r="O78" s="25" t="s">
        <v>429</v>
      </c>
      <c r="P78" s="26" t="s">
        <v>429</v>
      </c>
      <c r="Q78" s="26" t="s">
        <v>429</v>
      </c>
      <c r="R78" s="25">
        <v>674</v>
      </c>
      <c r="S78" s="25">
        <v>413</v>
      </c>
      <c r="T78" s="26">
        <v>843</v>
      </c>
      <c r="U78" s="26">
        <v>949</v>
      </c>
      <c r="V78" s="25">
        <v>976</v>
      </c>
      <c r="W78" s="25">
        <v>643</v>
      </c>
      <c r="X78" s="26">
        <v>684</v>
      </c>
      <c r="Y78" s="26">
        <v>790</v>
      </c>
      <c r="Z78" s="25">
        <v>749</v>
      </c>
      <c r="AA78" s="25">
        <v>314</v>
      </c>
      <c r="AB78" s="26">
        <v>225</v>
      </c>
      <c r="AC78" s="26">
        <v>377</v>
      </c>
      <c r="AD78" s="25">
        <v>331</v>
      </c>
      <c r="AE78" s="25">
        <v>768</v>
      </c>
      <c r="AF78" s="26">
        <v>620</v>
      </c>
      <c r="AG78" s="26">
        <v>1115</v>
      </c>
    </row>
    <row r="79" spans="1:33">
      <c r="A79" s="17" t="s">
        <v>1514</v>
      </c>
      <c r="B79" s="17" t="s">
        <v>1741</v>
      </c>
      <c r="C79" s="25">
        <v>9</v>
      </c>
      <c r="D79" s="26">
        <v>26</v>
      </c>
      <c r="E79" s="26">
        <v>9</v>
      </c>
      <c r="F79" s="25">
        <v>6</v>
      </c>
      <c r="G79" s="25">
        <v>3</v>
      </c>
      <c r="H79" s="26">
        <v>3</v>
      </c>
      <c r="I79" s="26">
        <v>1</v>
      </c>
      <c r="J79" s="25">
        <v>78</v>
      </c>
      <c r="K79" s="25">
        <v>101</v>
      </c>
      <c r="L79" s="26">
        <v>10</v>
      </c>
      <c r="M79" s="26">
        <v>20</v>
      </c>
      <c r="N79" s="25">
        <v>19</v>
      </c>
      <c r="O79" s="25">
        <v>13</v>
      </c>
      <c r="P79" s="26">
        <v>47</v>
      </c>
      <c r="Q79" s="26">
        <v>72</v>
      </c>
      <c r="R79" s="25">
        <v>71</v>
      </c>
      <c r="S79" s="25">
        <v>123</v>
      </c>
      <c r="T79" s="26">
        <v>207</v>
      </c>
      <c r="U79" s="26">
        <v>29</v>
      </c>
      <c r="V79" s="25">
        <v>41</v>
      </c>
      <c r="W79" s="25">
        <v>15</v>
      </c>
      <c r="X79" s="26">
        <v>17</v>
      </c>
      <c r="Y79" s="26">
        <v>73</v>
      </c>
      <c r="Z79" s="25">
        <v>119</v>
      </c>
      <c r="AA79" s="25">
        <v>95</v>
      </c>
      <c r="AB79" s="26">
        <v>240</v>
      </c>
      <c r="AC79" s="26">
        <v>44</v>
      </c>
      <c r="AD79" s="25">
        <v>44</v>
      </c>
      <c r="AE79" s="25">
        <v>11</v>
      </c>
      <c r="AF79" s="26">
        <v>32</v>
      </c>
      <c r="AG79" s="26">
        <v>124</v>
      </c>
    </row>
    <row r="80" spans="1:33">
      <c r="A80" s="17" t="s">
        <v>1519</v>
      </c>
      <c r="B80" s="17" t="s">
        <v>1742</v>
      </c>
      <c r="C80" s="25">
        <v>24</v>
      </c>
      <c r="D80" s="26">
        <v>0</v>
      </c>
      <c r="E80" s="26">
        <v>26</v>
      </c>
      <c r="F80" s="25">
        <v>26</v>
      </c>
      <c r="G80" s="25">
        <v>34</v>
      </c>
      <c r="H80" s="26">
        <v>32</v>
      </c>
      <c r="I80" s="26">
        <v>48</v>
      </c>
      <c r="J80" s="25">
        <v>4</v>
      </c>
      <c r="K80" s="25">
        <v>36</v>
      </c>
      <c r="L80" s="26">
        <v>0</v>
      </c>
      <c r="M80" s="26">
        <v>0</v>
      </c>
      <c r="N80" s="25">
        <v>3</v>
      </c>
      <c r="O80" s="25">
        <v>3</v>
      </c>
      <c r="P80" s="26">
        <v>139</v>
      </c>
      <c r="Q80" s="26">
        <v>107</v>
      </c>
      <c r="R80" s="25">
        <v>70</v>
      </c>
      <c r="S80" s="25">
        <v>67</v>
      </c>
      <c r="T80" s="26">
        <v>10</v>
      </c>
      <c r="U80" s="26">
        <v>4</v>
      </c>
      <c r="V80" s="25">
        <v>13</v>
      </c>
      <c r="W80" s="25">
        <v>12</v>
      </c>
      <c r="X80" s="26">
        <v>11</v>
      </c>
      <c r="Y80" s="26">
        <v>6</v>
      </c>
      <c r="Z80" s="25">
        <v>4</v>
      </c>
      <c r="AA80" s="25">
        <v>6</v>
      </c>
      <c r="AB80" s="26">
        <v>2</v>
      </c>
      <c r="AC80" s="26">
        <v>8</v>
      </c>
      <c r="AD80" s="25">
        <v>6</v>
      </c>
      <c r="AE80" s="25">
        <v>4</v>
      </c>
      <c r="AF80" s="26">
        <v>19</v>
      </c>
      <c r="AG80" s="26">
        <v>8</v>
      </c>
    </row>
    <row r="81" spans="1:33">
      <c r="A81" s="17" t="s">
        <v>1514</v>
      </c>
      <c r="B81" s="17" t="s">
        <v>1743</v>
      </c>
      <c r="C81" s="25">
        <v>93</v>
      </c>
      <c r="D81" s="26">
        <v>97</v>
      </c>
      <c r="E81" s="26">
        <v>74</v>
      </c>
      <c r="F81" s="25">
        <v>76</v>
      </c>
      <c r="G81" s="25">
        <v>74</v>
      </c>
      <c r="H81" s="26">
        <v>98</v>
      </c>
      <c r="I81" s="26">
        <v>84</v>
      </c>
      <c r="J81" s="25">
        <v>93</v>
      </c>
      <c r="K81" s="25">
        <v>90</v>
      </c>
      <c r="L81" s="26">
        <v>106</v>
      </c>
      <c r="M81" s="26">
        <v>97</v>
      </c>
      <c r="N81" s="25">
        <v>111</v>
      </c>
      <c r="O81" s="25">
        <v>98</v>
      </c>
      <c r="P81" s="26">
        <v>122</v>
      </c>
      <c r="Q81" s="26">
        <v>128</v>
      </c>
      <c r="R81" s="25">
        <v>99</v>
      </c>
      <c r="S81" s="25">
        <v>71</v>
      </c>
      <c r="T81" s="26">
        <v>81</v>
      </c>
      <c r="U81" s="26">
        <v>69</v>
      </c>
      <c r="V81" s="25">
        <v>72</v>
      </c>
      <c r="W81" s="25">
        <v>63</v>
      </c>
      <c r="X81" s="26">
        <v>62</v>
      </c>
      <c r="Y81" s="26">
        <v>54</v>
      </c>
      <c r="Z81" s="25">
        <v>58</v>
      </c>
      <c r="AA81" s="25">
        <v>54</v>
      </c>
      <c r="AB81" s="26">
        <v>51</v>
      </c>
      <c r="AC81" s="26">
        <v>46</v>
      </c>
      <c r="AD81" s="25">
        <v>47</v>
      </c>
      <c r="AE81" s="25">
        <v>49</v>
      </c>
      <c r="AF81" s="26">
        <v>45</v>
      </c>
      <c r="AG81" s="26">
        <v>32</v>
      </c>
    </row>
    <row r="82" spans="1:33">
      <c r="A82" s="17" t="s">
        <v>1512</v>
      </c>
      <c r="B82" s="17" t="s">
        <v>1738</v>
      </c>
      <c r="C82" s="25" t="s">
        <v>429</v>
      </c>
      <c r="D82" s="26">
        <v>0</v>
      </c>
      <c r="E82" s="26">
        <v>0</v>
      </c>
      <c r="F82" s="25">
        <v>48</v>
      </c>
      <c r="G82" s="25">
        <v>0</v>
      </c>
      <c r="H82" s="26">
        <v>22</v>
      </c>
      <c r="I82" s="26">
        <v>30</v>
      </c>
      <c r="J82" s="25">
        <v>4</v>
      </c>
      <c r="K82" s="25" t="s">
        <v>429</v>
      </c>
      <c r="L82" s="26" t="s">
        <v>429</v>
      </c>
      <c r="M82" s="26" t="s">
        <v>429</v>
      </c>
      <c r="N82" s="25" t="s">
        <v>429</v>
      </c>
      <c r="O82" s="25" t="s">
        <v>429</v>
      </c>
      <c r="P82" s="26" t="s">
        <v>429</v>
      </c>
      <c r="Q82" s="26" t="s">
        <v>429</v>
      </c>
      <c r="R82" s="25" t="s">
        <v>429</v>
      </c>
      <c r="S82" s="25" t="s">
        <v>429</v>
      </c>
      <c r="T82" s="26" t="s">
        <v>429</v>
      </c>
      <c r="U82" s="26" t="s">
        <v>429</v>
      </c>
      <c r="V82" s="25" t="s">
        <v>429</v>
      </c>
      <c r="W82" s="25" t="s">
        <v>429</v>
      </c>
      <c r="X82" s="26" t="s">
        <v>429</v>
      </c>
      <c r="Y82" s="26" t="s">
        <v>429</v>
      </c>
      <c r="Z82" s="25" t="s">
        <v>429</v>
      </c>
      <c r="AA82" s="25" t="s">
        <v>429</v>
      </c>
      <c r="AB82" s="26" t="s">
        <v>429</v>
      </c>
      <c r="AC82" s="26" t="s">
        <v>429</v>
      </c>
      <c r="AD82" s="25" t="s">
        <v>429</v>
      </c>
      <c r="AE82" s="25" t="s">
        <v>429</v>
      </c>
      <c r="AF82" s="26" t="s">
        <v>429</v>
      </c>
      <c r="AG82" s="26" t="s">
        <v>429</v>
      </c>
    </row>
    <row r="83" spans="1:33">
      <c r="A83" s="17" t="s">
        <v>1512</v>
      </c>
      <c r="B83" s="17" t="s">
        <v>1744</v>
      </c>
      <c r="C83" s="25" t="s">
        <v>429</v>
      </c>
      <c r="D83" s="26" t="s">
        <v>429</v>
      </c>
      <c r="E83" s="26" t="s">
        <v>429</v>
      </c>
      <c r="F83" s="25" t="s">
        <v>429</v>
      </c>
      <c r="G83" s="25" t="s">
        <v>429</v>
      </c>
      <c r="H83" s="26">
        <v>0</v>
      </c>
      <c r="I83" s="26">
        <v>0</v>
      </c>
      <c r="J83" s="25" t="s">
        <v>429</v>
      </c>
      <c r="K83" s="25" t="s">
        <v>429</v>
      </c>
      <c r="L83" s="26" t="s">
        <v>429</v>
      </c>
      <c r="M83" s="26" t="s">
        <v>429</v>
      </c>
      <c r="N83" s="25" t="s">
        <v>429</v>
      </c>
      <c r="O83" s="25" t="s">
        <v>429</v>
      </c>
      <c r="P83" s="26" t="s">
        <v>429</v>
      </c>
      <c r="Q83" s="26" t="s">
        <v>429</v>
      </c>
      <c r="R83" s="25" t="s">
        <v>429</v>
      </c>
      <c r="S83" s="25" t="s">
        <v>429</v>
      </c>
      <c r="T83" s="26" t="s">
        <v>429</v>
      </c>
      <c r="U83" s="26" t="s">
        <v>429</v>
      </c>
      <c r="V83" s="25" t="s">
        <v>429</v>
      </c>
      <c r="W83" s="25" t="s">
        <v>429</v>
      </c>
      <c r="X83" s="26" t="s">
        <v>429</v>
      </c>
      <c r="Y83" s="26" t="s">
        <v>429</v>
      </c>
      <c r="Z83" s="25" t="s">
        <v>429</v>
      </c>
      <c r="AA83" s="25" t="s">
        <v>429</v>
      </c>
      <c r="AB83" s="26" t="s">
        <v>429</v>
      </c>
      <c r="AC83" s="26" t="s">
        <v>429</v>
      </c>
      <c r="AD83" s="25" t="s">
        <v>429</v>
      </c>
      <c r="AE83" s="25" t="s">
        <v>429</v>
      </c>
      <c r="AF83" s="26" t="s">
        <v>429</v>
      </c>
      <c r="AG83" s="26" t="s">
        <v>429</v>
      </c>
    </row>
    <row r="84" spans="1:33">
      <c r="A84" s="17" t="s">
        <v>1512</v>
      </c>
      <c r="B84" s="17" t="s">
        <v>1745</v>
      </c>
      <c r="C84" s="25" t="s">
        <v>429</v>
      </c>
      <c r="D84" s="26" t="s">
        <v>429</v>
      </c>
      <c r="E84" s="26" t="s">
        <v>429</v>
      </c>
      <c r="F84" s="25" t="s">
        <v>429</v>
      </c>
      <c r="G84" s="25" t="s">
        <v>429</v>
      </c>
      <c r="H84" s="26" t="s">
        <v>429</v>
      </c>
      <c r="I84" s="26" t="s">
        <v>429</v>
      </c>
      <c r="J84" s="25" t="s">
        <v>429</v>
      </c>
      <c r="K84" s="25">
        <v>5</v>
      </c>
      <c r="L84" s="26" t="s">
        <v>429</v>
      </c>
      <c r="M84" s="26" t="s">
        <v>429</v>
      </c>
      <c r="N84" s="25">
        <v>0</v>
      </c>
      <c r="O84" s="25">
        <v>0</v>
      </c>
      <c r="P84" s="26">
        <v>95</v>
      </c>
      <c r="Q84" s="26" t="s">
        <v>429</v>
      </c>
      <c r="R84" s="25" t="s">
        <v>429</v>
      </c>
      <c r="S84" s="25" t="s">
        <v>429</v>
      </c>
      <c r="T84" s="26" t="s">
        <v>429</v>
      </c>
      <c r="U84" s="26" t="s">
        <v>429</v>
      </c>
      <c r="V84" s="25" t="s">
        <v>429</v>
      </c>
      <c r="W84" s="25" t="s">
        <v>429</v>
      </c>
      <c r="X84" s="26" t="s">
        <v>429</v>
      </c>
      <c r="Y84" s="26" t="s">
        <v>429</v>
      </c>
      <c r="Z84" s="25" t="s">
        <v>429</v>
      </c>
      <c r="AA84" s="25" t="s">
        <v>429</v>
      </c>
      <c r="AB84" s="26" t="s">
        <v>429</v>
      </c>
      <c r="AC84" s="26" t="s">
        <v>429</v>
      </c>
      <c r="AD84" s="25" t="s">
        <v>429</v>
      </c>
      <c r="AE84" s="25" t="s">
        <v>429</v>
      </c>
      <c r="AF84" s="26" t="s">
        <v>429</v>
      </c>
      <c r="AG84" s="26" t="s">
        <v>429</v>
      </c>
    </row>
    <row r="85" spans="1:33">
      <c r="A85" s="17" t="s">
        <v>1512</v>
      </c>
      <c r="B85" s="17" t="s">
        <v>1745</v>
      </c>
      <c r="C85" s="25" t="s">
        <v>429</v>
      </c>
      <c r="D85" s="26" t="s">
        <v>429</v>
      </c>
      <c r="E85" s="26" t="s">
        <v>429</v>
      </c>
      <c r="F85" s="25" t="s">
        <v>429</v>
      </c>
      <c r="G85" s="25" t="s">
        <v>429</v>
      </c>
      <c r="H85" s="26" t="s">
        <v>429</v>
      </c>
      <c r="I85" s="26" t="s">
        <v>429</v>
      </c>
      <c r="J85" s="25" t="s">
        <v>429</v>
      </c>
      <c r="K85" s="25" t="s">
        <v>429</v>
      </c>
      <c r="L85" s="26" t="s">
        <v>429</v>
      </c>
      <c r="M85" s="26" t="s">
        <v>429</v>
      </c>
      <c r="N85" s="25" t="s">
        <v>429</v>
      </c>
      <c r="O85" s="25" t="s">
        <v>429</v>
      </c>
      <c r="P85" s="26" t="s">
        <v>429</v>
      </c>
      <c r="Q85" s="26">
        <v>294</v>
      </c>
      <c r="R85" s="25" t="s">
        <v>429</v>
      </c>
      <c r="S85" s="25" t="s">
        <v>429</v>
      </c>
      <c r="T85" s="26" t="s">
        <v>429</v>
      </c>
      <c r="U85" s="26" t="s">
        <v>429</v>
      </c>
      <c r="V85" s="25" t="s">
        <v>429</v>
      </c>
      <c r="W85" s="25" t="s">
        <v>429</v>
      </c>
      <c r="X85" s="26" t="s">
        <v>429</v>
      </c>
      <c r="Y85" s="26" t="s">
        <v>429</v>
      </c>
      <c r="Z85" s="25" t="s">
        <v>429</v>
      </c>
      <c r="AA85" s="25" t="s">
        <v>429</v>
      </c>
      <c r="AB85" s="26" t="s">
        <v>429</v>
      </c>
      <c r="AC85" s="26" t="s">
        <v>429</v>
      </c>
      <c r="AD85" s="25" t="s">
        <v>429</v>
      </c>
      <c r="AE85" s="25" t="s">
        <v>429</v>
      </c>
      <c r="AF85" s="26" t="s">
        <v>429</v>
      </c>
      <c r="AG85" s="26" t="s">
        <v>429</v>
      </c>
    </row>
    <row r="86" spans="1:33">
      <c r="A86" s="17" t="s">
        <v>1524</v>
      </c>
      <c r="B86" s="17" t="s">
        <v>1525</v>
      </c>
      <c r="C86" s="25">
        <v>861</v>
      </c>
      <c r="D86" s="26">
        <v>763</v>
      </c>
      <c r="E86" s="26">
        <v>677</v>
      </c>
      <c r="F86" s="25">
        <v>1370</v>
      </c>
      <c r="G86" s="25">
        <v>1758</v>
      </c>
      <c r="H86" s="26">
        <v>1404</v>
      </c>
      <c r="I86" s="26">
        <v>896</v>
      </c>
      <c r="J86" s="25">
        <v>921</v>
      </c>
      <c r="K86" s="25">
        <v>923</v>
      </c>
      <c r="L86" s="26">
        <v>786</v>
      </c>
      <c r="M86" s="26">
        <v>1250</v>
      </c>
      <c r="N86" s="25">
        <v>1314</v>
      </c>
      <c r="O86" s="25">
        <v>756</v>
      </c>
      <c r="P86" s="26">
        <v>1582</v>
      </c>
      <c r="Q86" s="26">
        <v>1834</v>
      </c>
      <c r="R86" s="25">
        <v>1186</v>
      </c>
      <c r="S86" s="25">
        <v>900</v>
      </c>
      <c r="T86" s="26">
        <v>1383</v>
      </c>
      <c r="U86" s="26">
        <v>1281</v>
      </c>
      <c r="V86" s="25">
        <v>1314</v>
      </c>
      <c r="W86" s="25">
        <v>940</v>
      </c>
      <c r="X86" s="26">
        <v>1009</v>
      </c>
      <c r="Y86" s="26">
        <v>1135</v>
      </c>
      <c r="Z86" s="25">
        <v>1146</v>
      </c>
      <c r="AA86" s="25">
        <v>676</v>
      </c>
      <c r="AB86" s="26">
        <v>743</v>
      </c>
      <c r="AC86" s="26">
        <v>633</v>
      </c>
      <c r="AD86" s="25">
        <v>627</v>
      </c>
      <c r="AE86" s="25">
        <v>971</v>
      </c>
      <c r="AF86" s="26">
        <v>881</v>
      </c>
      <c r="AG86" s="26">
        <v>1426</v>
      </c>
    </row>
    <row r="87" spans="1:33">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row>
    <row r="88" spans="1:33">
      <c r="A88" s="17" t="s">
        <v>1746</v>
      </c>
      <c r="B88" s="17" t="s">
        <v>1732</v>
      </c>
      <c r="C88" s="25">
        <v>74</v>
      </c>
      <c r="D88" s="26">
        <v>84</v>
      </c>
      <c r="E88" s="26">
        <v>89</v>
      </c>
      <c r="F88" s="25">
        <v>88</v>
      </c>
      <c r="G88" s="25">
        <v>90</v>
      </c>
      <c r="H88" s="26" t="s">
        <v>429</v>
      </c>
      <c r="I88" s="26" t="s">
        <v>429</v>
      </c>
      <c r="J88" s="25" t="s">
        <v>429</v>
      </c>
      <c r="K88" s="25" t="s">
        <v>429</v>
      </c>
      <c r="L88" s="26" t="s">
        <v>429</v>
      </c>
      <c r="M88" s="26" t="s">
        <v>429</v>
      </c>
      <c r="N88" s="25" t="s">
        <v>429</v>
      </c>
      <c r="O88" s="25" t="s">
        <v>429</v>
      </c>
      <c r="P88" s="26" t="s">
        <v>429</v>
      </c>
      <c r="Q88" s="26" t="s">
        <v>429</v>
      </c>
      <c r="R88" s="25" t="s">
        <v>429</v>
      </c>
      <c r="S88" s="25" t="s">
        <v>429</v>
      </c>
      <c r="T88" s="26" t="s">
        <v>429</v>
      </c>
      <c r="U88" s="26" t="s">
        <v>429</v>
      </c>
      <c r="V88" s="25" t="s">
        <v>429</v>
      </c>
      <c r="W88" s="25" t="s">
        <v>429</v>
      </c>
      <c r="X88" s="26" t="s">
        <v>429</v>
      </c>
      <c r="Y88" s="26" t="s">
        <v>429</v>
      </c>
      <c r="Z88" s="25" t="s">
        <v>429</v>
      </c>
      <c r="AA88" s="25" t="s">
        <v>429</v>
      </c>
      <c r="AB88" s="26" t="s">
        <v>429</v>
      </c>
      <c r="AC88" s="26" t="s">
        <v>429</v>
      </c>
      <c r="AD88" s="25" t="s">
        <v>429</v>
      </c>
      <c r="AE88" s="25" t="s">
        <v>429</v>
      </c>
      <c r="AF88" s="26" t="s">
        <v>429</v>
      </c>
      <c r="AG88" s="26" t="s">
        <v>429</v>
      </c>
    </row>
    <row r="89" spans="1:33">
      <c r="A89" s="17" t="s">
        <v>1526</v>
      </c>
      <c r="B89" s="17" t="s">
        <v>494</v>
      </c>
      <c r="C89" s="25">
        <v>8061</v>
      </c>
      <c r="D89" s="26">
        <v>8869</v>
      </c>
      <c r="E89" s="26">
        <v>8739</v>
      </c>
      <c r="F89" s="25">
        <v>8326</v>
      </c>
      <c r="G89" s="25">
        <v>6898</v>
      </c>
      <c r="H89" s="26">
        <v>6967</v>
      </c>
      <c r="I89" s="26">
        <v>6968</v>
      </c>
      <c r="J89" s="25">
        <v>7100</v>
      </c>
      <c r="K89" s="25">
        <v>6133</v>
      </c>
      <c r="L89" s="26">
        <v>6267</v>
      </c>
      <c r="M89" s="26">
        <v>5921</v>
      </c>
      <c r="N89" s="25" t="s">
        <v>429</v>
      </c>
      <c r="O89" s="25" t="s">
        <v>429</v>
      </c>
      <c r="P89" s="26" t="s">
        <v>429</v>
      </c>
      <c r="Q89" s="26" t="s">
        <v>429</v>
      </c>
      <c r="R89" s="25" t="s">
        <v>429</v>
      </c>
      <c r="S89" s="25" t="s">
        <v>429</v>
      </c>
      <c r="T89" s="26" t="s">
        <v>429</v>
      </c>
      <c r="U89" s="26" t="s">
        <v>429</v>
      </c>
      <c r="V89" s="25" t="s">
        <v>429</v>
      </c>
      <c r="W89" s="25" t="s">
        <v>429</v>
      </c>
      <c r="X89" s="26" t="s">
        <v>429</v>
      </c>
      <c r="Y89" s="26" t="s">
        <v>429</v>
      </c>
      <c r="Z89" s="25" t="s">
        <v>429</v>
      </c>
      <c r="AA89" s="25" t="s">
        <v>429</v>
      </c>
      <c r="AB89" s="26" t="s">
        <v>429</v>
      </c>
      <c r="AC89" s="26" t="s">
        <v>429</v>
      </c>
      <c r="AD89" s="25" t="s">
        <v>429</v>
      </c>
      <c r="AE89" s="25" t="s">
        <v>429</v>
      </c>
      <c r="AF89" s="26" t="s">
        <v>429</v>
      </c>
      <c r="AG89" s="26" t="s">
        <v>429</v>
      </c>
    </row>
    <row r="90" spans="1:33">
      <c r="A90" s="17" t="s">
        <v>1526</v>
      </c>
      <c r="B90" s="17" t="s">
        <v>1740</v>
      </c>
      <c r="C90" s="25" t="s">
        <v>429</v>
      </c>
      <c r="D90" s="26" t="s">
        <v>429</v>
      </c>
      <c r="E90" s="26" t="s">
        <v>429</v>
      </c>
      <c r="F90" s="25" t="s">
        <v>429</v>
      </c>
      <c r="G90" s="25" t="s">
        <v>429</v>
      </c>
      <c r="H90" s="26" t="s">
        <v>429</v>
      </c>
      <c r="I90" s="26" t="s">
        <v>429</v>
      </c>
      <c r="J90" s="25" t="s">
        <v>429</v>
      </c>
      <c r="K90" s="25" t="s">
        <v>429</v>
      </c>
      <c r="L90" s="26" t="s">
        <v>429</v>
      </c>
      <c r="M90" s="26" t="s">
        <v>429</v>
      </c>
      <c r="N90" s="25">
        <v>6054</v>
      </c>
      <c r="O90" s="25">
        <v>6433</v>
      </c>
      <c r="P90" s="26">
        <v>6439</v>
      </c>
      <c r="Q90" s="26">
        <v>5254</v>
      </c>
      <c r="R90" s="25">
        <v>5396</v>
      </c>
      <c r="S90" s="25">
        <v>4918</v>
      </c>
      <c r="T90" s="26">
        <v>4434</v>
      </c>
      <c r="U90" s="26">
        <v>3767</v>
      </c>
      <c r="V90" s="25">
        <v>3563</v>
      </c>
      <c r="W90" s="25">
        <v>3768</v>
      </c>
      <c r="X90" s="26">
        <v>3691</v>
      </c>
      <c r="Y90" s="26">
        <v>3782</v>
      </c>
      <c r="Z90" s="25">
        <v>3683</v>
      </c>
      <c r="AA90" s="25">
        <v>3649</v>
      </c>
      <c r="AB90" s="26">
        <v>4267</v>
      </c>
      <c r="AC90" s="26">
        <v>3638</v>
      </c>
      <c r="AD90" s="25">
        <v>3340</v>
      </c>
      <c r="AE90" s="25">
        <v>2762</v>
      </c>
      <c r="AF90" s="26">
        <v>2940</v>
      </c>
      <c r="AG90" s="26">
        <v>2694</v>
      </c>
    </row>
    <row r="91" spans="1:33">
      <c r="A91" s="17" t="s">
        <v>1528</v>
      </c>
      <c r="B91" s="17" t="s">
        <v>1529</v>
      </c>
      <c r="C91" s="25">
        <v>8135</v>
      </c>
      <c r="D91" s="26">
        <v>8953</v>
      </c>
      <c r="E91" s="26">
        <v>8829</v>
      </c>
      <c r="F91" s="25">
        <v>8414</v>
      </c>
      <c r="G91" s="25">
        <v>6987</v>
      </c>
      <c r="H91" s="26">
        <v>6967</v>
      </c>
      <c r="I91" s="26">
        <v>6968</v>
      </c>
      <c r="J91" s="25">
        <v>7100</v>
      </c>
      <c r="K91" s="25">
        <v>6133</v>
      </c>
      <c r="L91" s="26">
        <v>6267</v>
      </c>
      <c r="M91" s="26">
        <v>5921</v>
      </c>
      <c r="N91" s="25">
        <v>6054</v>
      </c>
      <c r="O91" s="25">
        <v>6433</v>
      </c>
      <c r="P91" s="26">
        <v>6439</v>
      </c>
      <c r="Q91" s="26">
        <v>5254</v>
      </c>
      <c r="R91" s="25">
        <v>5396</v>
      </c>
      <c r="S91" s="25">
        <v>4918</v>
      </c>
      <c r="T91" s="26">
        <v>4434</v>
      </c>
      <c r="U91" s="26">
        <v>3767</v>
      </c>
      <c r="V91" s="25">
        <v>3563</v>
      </c>
      <c r="W91" s="25">
        <v>3768</v>
      </c>
      <c r="X91" s="26">
        <v>3691</v>
      </c>
      <c r="Y91" s="26">
        <v>3782</v>
      </c>
      <c r="Z91" s="25">
        <v>3683</v>
      </c>
      <c r="AA91" s="25">
        <v>3649</v>
      </c>
      <c r="AB91" s="26">
        <v>4267</v>
      </c>
      <c r="AC91" s="26">
        <v>3638</v>
      </c>
      <c r="AD91" s="25">
        <v>3340</v>
      </c>
      <c r="AE91" s="25">
        <v>2762</v>
      </c>
      <c r="AF91" s="26">
        <v>2940</v>
      </c>
      <c r="AG91" s="26">
        <v>2694</v>
      </c>
    </row>
    <row r="92" spans="1:33">
      <c r="A92" s="17" t="s">
        <v>1532</v>
      </c>
      <c r="B92" s="17" t="s">
        <v>1747</v>
      </c>
      <c r="C92" s="25">
        <v>222</v>
      </c>
      <c r="D92" s="26">
        <v>209</v>
      </c>
      <c r="E92" s="26">
        <v>211</v>
      </c>
      <c r="F92" s="25">
        <v>219</v>
      </c>
      <c r="G92" s="25">
        <v>207</v>
      </c>
      <c r="H92" s="26">
        <v>199</v>
      </c>
      <c r="I92" s="26">
        <v>153</v>
      </c>
      <c r="J92" s="25">
        <v>87</v>
      </c>
      <c r="K92" s="25">
        <v>81</v>
      </c>
      <c r="L92" s="26">
        <v>74</v>
      </c>
      <c r="M92" s="26">
        <v>62</v>
      </c>
      <c r="N92" s="25">
        <v>58</v>
      </c>
      <c r="O92" s="25" t="s">
        <v>429</v>
      </c>
      <c r="P92" s="26" t="s">
        <v>429</v>
      </c>
      <c r="Q92" s="26" t="s">
        <v>429</v>
      </c>
      <c r="R92" s="25" t="s">
        <v>429</v>
      </c>
      <c r="S92" s="25" t="s">
        <v>429</v>
      </c>
      <c r="T92" s="26" t="s">
        <v>429</v>
      </c>
      <c r="U92" s="26" t="s">
        <v>429</v>
      </c>
      <c r="V92" s="25" t="s">
        <v>429</v>
      </c>
      <c r="W92" s="25" t="s">
        <v>429</v>
      </c>
      <c r="X92" s="26" t="s">
        <v>429</v>
      </c>
      <c r="Y92" s="26" t="s">
        <v>429</v>
      </c>
      <c r="Z92" s="25" t="s">
        <v>429</v>
      </c>
      <c r="AA92" s="25" t="s">
        <v>429</v>
      </c>
      <c r="AB92" s="26" t="s">
        <v>429</v>
      </c>
      <c r="AC92" s="26" t="s">
        <v>429</v>
      </c>
      <c r="AD92" s="25" t="s">
        <v>429</v>
      </c>
      <c r="AE92" s="25" t="s">
        <v>429</v>
      </c>
      <c r="AF92" s="26" t="s">
        <v>429</v>
      </c>
      <c r="AG92" s="26" t="s">
        <v>429</v>
      </c>
    </row>
    <row r="93" spans="1:33">
      <c r="A93" s="17" t="s">
        <v>1532</v>
      </c>
      <c r="B93" s="17" t="s">
        <v>1748</v>
      </c>
      <c r="C93" s="25" t="s">
        <v>429</v>
      </c>
      <c r="D93" s="26" t="s">
        <v>429</v>
      </c>
      <c r="E93" s="26" t="s">
        <v>429</v>
      </c>
      <c r="F93" s="25" t="s">
        <v>429</v>
      </c>
      <c r="G93" s="25" t="s">
        <v>429</v>
      </c>
      <c r="H93" s="26" t="s">
        <v>429</v>
      </c>
      <c r="I93" s="26" t="s">
        <v>429</v>
      </c>
      <c r="J93" s="25" t="s">
        <v>429</v>
      </c>
      <c r="K93" s="25" t="s">
        <v>429</v>
      </c>
      <c r="L93" s="26" t="s">
        <v>429</v>
      </c>
      <c r="M93" s="26" t="s">
        <v>429</v>
      </c>
      <c r="N93" s="25">
        <v>0</v>
      </c>
      <c r="O93" s="25">
        <v>0</v>
      </c>
      <c r="P93" s="26">
        <v>5</v>
      </c>
      <c r="Q93" s="26" t="s">
        <v>429</v>
      </c>
      <c r="R93" s="25" t="s">
        <v>429</v>
      </c>
      <c r="S93" s="25" t="s">
        <v>429</v>
      </c>
      <c r="T93" s="26" t="s">
        <v>429</v>
      </c>
      <c r="U93" s="26" t="s">
        <v>429</v>
      </c>
      <c r="V93" s="25" t="s">
        <v>429</v>
      </c>
      <c r="W93" s="25" t="s">
        <v>429</v>
      </c>
      <c r="X93" s="26" t="s">
        <v>429</v>
      </c>
      <c r="Y93" s="26" t="s">
        <v>429</v>
      </c>
      <c r="Z93" s="25" t="s">
        <v>429</v>
      </c>
      <c r="AA93" s="25" t="s">
        <v>429</v>
      </c>
      <c r="AB93" s="26" t="s">
        <v>429</v>
      </c>
      <c r="AC93" s="26" t="s">
        <v>429</v>
      </c>
      <c r="AD93" s="25" t="s">
        <v>429</v>
      </c>
      <c r="AE93" s="25" t="s">
        <v>429</v>
      </c>
      <c r="AF93" s="26" t="s">
        <v>429</v>
      </c>
      <c r="AG93" s="26" t="s">
        <v>429</v>
      </c>
    </row>
    <row r="94" spans="1:33">
      <c r="A94" s="17" t="s">
        <v>1532</v>
      </c>
      <c r="B94" s="17" t="s">
        <v>1741</v>
      </c>
      <c r="C94" s="25">
        <v>457</v>
      </c>
      <c r="D94" s="26">
        <v>510</v>
      </c>
      <c r="E94" s="26">
        <v>768</v>
      </c>
      <c r="F94" s="25">
        <v>776</v>
      </c>
      <c r="G94" s="25">
        <v>626</v>
      </c>
      <c r="H94" s="26">
        <v>347</v>
      </c>
      <c r="I94" s="26">
        <v>139</v>
      </c>
      <c r="J94" s="25">
        <v>193</v>
      </c>
      <c r="K94" s="25">
        <v>164</v>
      </c>
      <c r="L94" s="26">
        <v>303</v>
      </c>
      <c r="M94" s="26">
        <v>329</v>
      </c>
      <c r="N94" s="25">
        <v>174</v>
      </c>
      <c r="O94" s="25">
        <v>159</v>
      </c>
      <c r="P94" s="26">
        <v>209</v>
      </c>
      <c r="Q94" s="26">
        <v>265</v>
      </c>
      <c r="R94" s="25">
        <v>235</v>
      </c>
      <c r="S94" s="25">
        <v>278</v>
      </c>
      <c r="T94" s="26">
        <v>475</v>
      </c>
      <c r="U94" s="26">
        <v>629</v>
      </c>
      <c r="V94" s="25">
        <v>568</v>
      </c>
      <c r="W94" s="25">
        <v>566</v>
      </c>
      <c r="X94" s="26">
        <v>567</v>
      </c>
      <c r="Y94" s="26">
        <v>711</v>
      </c>
      <c r="Z94" s="25">
        <v>302</v>
      </c>
      <c r="AA94" s="25">
        <v>488</v>
      </c>
      <c r="AB94" s="26">
        <v>246</v>
      </c>
      <c r="AC94" s="26">
        <v>230</v>
      </c>
      <c r="AD94" s="25">
        <v>447</v>
      </c>
      <c r="AE94" s="25">
        <v>380</v>
      </c>
      <c r="AF94" s="26">
        <v>88</v>
      </c>
      <c r="AG94" s="26" t="s">
        <v>429</v>
      </c>
    </row>
    <row r="95" spans="1:33">
      <c r="A95" s="17" t="s">
        <v>1532</v>
      </c>
      <c r="B95" s="17" t="s">
        <v>1749</v>
      </c>
      <c r="C95" s="25" t="s">
        <v>429</v>
      </c>
      <c r="D95" s="26" t="s">
        <v>429</v>
      </c>
      <c r="E95" s="26" t="s">
        <v>429</v>
      </c>
      <c r="F95" s="25" t="s">
        <v>429</v>
      </c>
      <c r="G95" s="25" t="s">
        <v>429</v>
      </c>
      <c r="H95" s="26" t="s">
        <v>429</v>
      </c>
      <c r="I95" s="26" t="s">
        <v>429</v>
      </c>
      <c r="J95" s="25" t="s">
        <v>429</v>
      </c>
      <c r="K95" s="25" t="s">
        <v>429</v>
      </c>
      <c r="L95" s="26" t="s">
        <v>429</v>
      </c>
      <c r="M95" s="26" t="s">
        <v>429</v>
      </c>
      <c r="N95" s="25" t="s">
        <v>429</v>
      </c>
      <c r="O95" s="25">
        <v>33</v>
      </c>
      <c r="P95" s="26">
        <v>28</v>
      </c>
      <c r="Q95" s="26">
        <v>21</v>
      </c>
      <c r="R95" s="25">
        <v>11</v>
      </c>
      <c r="S95" s="25">
        <v>4</v>
      </c>
      <c r="T95" s="26">
        <v>2</v>
      </c>
      <c r="U95" s="26">
        <v>3</v>
      </c>
      <c r="V95" s="25">
        <v>3</v>
      </c>
      <c r="W95" s="25">
        <v>3</v>
      </c>
      <c r="X95" s="26">
        <v>3</v>
      </c>
      <c r="Y95" s="26">
        <v>4</v>
      </c>
      <c r="Z95" s="25">
        <v>4</v>
      </c>
      <c r="AA95" s="25">
        <v>5</v>
      </c>
      <c r="AB95" s="26">
        <v>5</v>
      </c>
      <c r="AC95" s="26">
        <v>5</v>
      </c>
      <c r="AD95" s="25">
        <v>6</v>
      </c>
      <c r="AE95" s="25">
        <v>6</v>
      </c>
      <c r="AF95" s="26">
        <v>6</v>
      </c>
      <c r="AG95" s="26">
        <v>4</v>
      </c>
    </row>
    <row r="96" spans="1:33">
      <c r="A96" s="17" t="s">
        <v>1530</v>
      </c>
      <c r="B96" s="17" t="s">
        <v>1531</v>
      </c>
      <c r="C96" s="25">
        <v>723</v>
      </c>
      <c r="D96" s="26">
        <v>708</v>
      </c>
      <c r="E96" s="26">
        <v>453</v>
      </c>
      <c r="F96" s="25">
        <v>440</v>
      </c>
      <c r="G96" s="25">
        <v>458</v>
      </c>
      <c r="H96" s="26">
        <v>550</v>
      </c>
      <c r="I96" s="26">
        <v>619</v>
      </c>
      <c r="J96" s="25">
        <v>612</v>
      </c>
      <c r="K96" s="25">
        <v>617</v>
      </c>
      <c r="L96" s="26">
        <v>586</v>
      </c>
      <c r="M96" s="26">
        <v>481</v>
      </c>
      <c r="N96" s="25">
        <v>466</v>
      </c>
      <c r="O96" s="25">
        <v>444</v>
      </c>
      <c r="P96" s="26">
        <v>472</v>
      </c>
      <c r="Q96" s="26">
        <v>439</v>
      </c>
      <c r="R96" s="25">
        <v>305</v>
      </c>
      <c r="S96" s="25">
        <v>315</v>
      </c>
      <c r="T96" s="26">
        <v>294</v>
      </c>
      <c r="U96" s="26">
        <v>291</v>
      </c>
      <c r="V96" s="25">
        <v>291</v>
      </c>
      <c r="W96" s="25">
        <v>287</v>
      </c>
      <c r="X96" s="26">
        <v>291</v>
      </c>
      <c r="Y96" s="26">
        <v>292</v>
      </c>
      <c r="Z96" s="25">
        <v>307</v>
      </c>
      <c r="AA96" s="25">
        <v>308</v>
      </c>
      <c r="AB96" s="26">
        <v>237</v>
      </c>
      <c r="AC96" s="26">
        <v>323</v>
      </c>
      <c r="AD96" s="25">
        <v>370</v>
      </c>
      <c r="AE96" s="25">
        <v>377</v>
      </c>
      <c r="AF96" s="26">
        <v>348</v>
      </c>
      <c r="AG96" s="26">
        <v>339</v>
      </c>
    </row>
    <row r="97" spans="1:33">
      <c r="A97" s="17" t="s">
        <v>1750</v>
      </c>
      <c r="B97" s="17" t="s">
        <v>1743</v>
      </c>
      <c r="C97" s="25">
        <v>52</v>
      </c>
      <c r="D97" s="26">
        <v>52</v>
      </c>
      <c r="E97" s="26">
        <v>57</v>
      </c>
      <c r="F97" s="25">
        <v>61</v>
      </c>
      <c r="G97" s="25">
        <v>61</v>
      </c>
      <c r="H97" s="26">
        <v>59</v>
      </c>
      <c r="I97" s="26">
        <v>53</v>
      </c>
      <c r="J97" s="25">
        <v>50</v>
      </c>
      <c r="K97" s="25">
        <v>43</v>
      </c>
      <c r="L97" s="26">
        <v>42</v>
      </c>
      <c r="M97" s="26">
        <v>58</v>
      </c>
      <c r="N97" s="25">
        <v>52</v>
      </c>
      <c r="O97" s="25">
        <v>41</v>
      </c>
      <c r="P97" s="26">
        <v>79</v>
      </c>
      <c r="Q97" s="26">
        <v>54</v>
      </c>
      <c r="R97" s="25">
        <v>35</v>
      </c>
      <c r="S97" s="25">
        <v>35</v>
      </c>
      <c r="T97" s="26">
        <v>57</v>
      </c>
      <c r="U97" s="26">
        <v>80</v>
      </c>
      <c r="V97" s="25">
        <v>65</v>
      </c>
      <c r="W97" s="25">
        <v>67</v>
      </c>
      <c r="X97" s="26">
        <v>36</v>
      </c>
      <c r="Y97" s="26">
        <v>57</v>
      </c>
      <c r="Z97" s="25">
        <v>44</v>
      </c>
      <c r="AA97" s="25">
        <v>54</v>
      </c>
      <c r="AB97" s="26">
        <v>93</v>
      </c>
      <c r="AC97" s="26">
        <v>25</v>
      </c>
      <c r="AD97" s="25">
        <v>18</v>
      </c>
      <c r="AE97" s="25">
        <v>20</v>
      </c>
      <c r="AF97" s="26">
        <v>16</v>
      </c>
      <c r="AG97" s="26">
        <v>37</v>
      </c>
    </row>
    <row r="98" spans="1:33">
      <c r="A98" s="17" t="s">
        <v>1535</v>
      </c>
      <c r="B98" s="17" t="s">
        <v>1536</v>
      </c>
      <c r="C98" s="25">
        <v>10450</v>
      </c>
      <c r="D98" s="26">
        <v>11195</v>
      </c>
      <c r="E98" s="26">
        <v>10993</v>
      </c>
      <c r="F98" s="25">
        <v>11279</v>
      </c>
      <c r="G98" s="25">
        <v>10096</v>
      </c>
      <c r="H98" s="26">
        <v>9527</v>
      </c>
      <c r="I98" s="26">
        <v>8828</v>
      </c>
      <c r="J98" s="25">
        <v>8961</v>
      </c>
      <c r="K98" s="25">
        <v>7960</v>
      </c>
      <c r="L98" s="26">
        <v>8058</v>
      </c>
      <c r="M98" s="26">
        <v>8100</v>
      </c>
      <c r="N98" s="25">
        <v>8118</v>
      </c>
      <c r="O98" s="25">
        <v>7866</v>
      </c>
      <c r="P98" s="26">
        <v>8815</v>
      </c>
      <c r="Q98" s="26">
        <v>7867</v>
      </c>
      <c r="R98" s="25">
        <v>7168</v>
      </c>
      <c r="S98" s="25">
        <v>6448</v>
      </c>
      <c r="T98" s="26">
        <v>6645</v>
      </c>
      <c r="U98" s="26">
        <v>6050</v>
      </c>
      <c r="V98" s="25">
        <v>5803</v>
      </c>
      <c r="W98" s="25">
        <v>5630</v>
      </c>
      <c r="X98" s="26">
        <v>5596</v>
      </c>
      <c r="Y98" s="26">
        <v>5981</v>
      </c>
      <c r="Z98" s="25">
        <v>5485</v>
      </c>
      <c r="AA98" s="25">
        <v>5179</v>
      </c>
      <c r="AB98" s="26">
        <v>5592</v>
      </c>
      <c r="AC98" s="26">
        <v>4855</v>
      </c>
      <c r="AD98" s="25">
        <v>4809</v>
      </c>
      <c r="AE98" s="25">
        <v>4517</v>
      </c>
      <c r="AF98" s="26">
        <v>4280</v>
      </c>
      <c r="AG98" s="26">
        <v>4498</v>
      </c>
    </row>
    <row r="99" spans="1:33">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row>
    <row r="100" spans="1:33">
      <c r="A100" s="15"/>
      <c r="B100" s="16" t="s">
        <v>1537</v>
      </c>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c r="AA100" s="16"/>
      <c r="AB100" s="16"/>
      <c r="AC100" s="16"/>
      <c r="AD100" s="16"/>
      <c r="AE100" s="16"/>
      <c r="AF100" s="16"/>
      <c r="AG100" s="16"/>
    </row>
    <row r="101" spans="1:33">
      <c r="A101" s="17" t="s">
        <v>1538</v>
      </c>
      <c r="B101" s="17" t="s">
        <v>1751</v>
      </c>
      <c r="C101" s="25">
        <v>5537</v>
      </c>
      <c r="D101" s="26">
        <v>5488</v>
      </c>
      <c r="E101" s="26">
        <v>5400</v>
      </c>
      <c r="F101" s="25">
        <v>5353</v>
      </c>
      <c r="G101" s="25">
        <v>5291</v>
      </c>
      <c r="H101" s="26">
        <v>5223</v>
      </c>
      <c r="I101" s="26">
        <v>5164</v>
      </c>
      <c r="J101" s="25">
        <v>5163</v>
      </c>
      <c r="K101" s="25">
        <v>5155</v>
      </c>
      <c r="L101" s="26">
        <v>5153</v>
      </c>
      <c r="M101" s="26">
        <v>5100</v>
      </c>
      <c r="N101" s="25">
        <v>5057</v>
      </c>
      <c r="O101" s="25">
        <v>5015</v>
      </c>
      <c r="P101" s="26">
        <v>3457</v>
      </c>
      <c r="Q101" s="26">
        <v>1</v>
      </c>
      <c r="R101" s="25">
        <v>1</v>
      </c>
      <c r="S101" s="25">
        <v>1</v>
      </c>
      <c r="T101" s="26">
        <v>1</v>
      </c>
      <c r="U101" s="26">
        <v>1</v>
      </c>
      <c r="V101" s="25">
        <v>1</v>
      </c>
      <c r="W101" s="25">
        <v>1</v>
      </c>
      <c r="X101" s="26">
        <v>1</v>
      </c>
      <c r="Y101" s="26">
        <v>1</v>
      </c>
      <c r="Z101" s="25">
        <v>1</v>
      </c>
      <c r="AA101" s="25">
        <v>1</v>
      </c>
      <c r="AB101" s="26">
        <v>1</v>
      </c>
      <c r="AC101" s="26">
        <v>1</v>
      </c>
      <c r="AD101" s="25">
        <v>1</v>
      </c>
      <c r="AE101" s="25">
        <v>1</v>
      </c>
      <c r="AF101" s="26">
        <v>1</v>
      </c>
      <c r="AG101" s="26">
        <v>1</v>
      </c>
    </row>
    <row r="102" spans="1:33">
      <c r="A102" s="17" t="s">
        <v>1541</v>
      </c>
      <c r="B102" s="17" t="s">
        <v>1542</v>
      </c>
      <c r="C102" s="25" t="s">
        <v>429</v>
      </c>
      <c r="D102" s="26" t="s">
        <v>429</v>
      </c>
      <c r="E102" s="26" t="s">
        <v>429</v>
      </c>
      <c r="F102" s="25" t="s">
        <v>429</v>
      </c>
      <c r="G102" s="25" t="s">
        <v>429</v>
      </c>
      <c r="H102" s="26" t="s">
        <v>429</v>
      </c>
      <c r="I102" s="26" t="s">
        <v>429</v>
      </c>
      <c r="J102" s="25" t="s">
        <v>429</v>
      </c>
      <c r="K102" s="25" t="s">
        <v>429</v>
      </c>
      <c r="L102" s="26" t="s">
        <v>429</v>
      </c>
      <c r="M102" s="26" t="s">
        <v>429</v>
      </c>
      <c r="N102" s="25" t="s">
        <v>429</v>
      </c>
      <c r="O102" s="25" t="s">
        <v>429</v>
      </c>
      <c r="P102" s="26" t="s">
        <v>429</v>
      </c>
      <c r="Q102" s="26">
        <v>-43</v>
      </c>
      <c r="R102" s="25">
        <v>-57</v>
      </c>
      <c r="S102" s="25">
        <v>-73</v>
      </c>
      <c r="T102" s="26">
        <v>-117</v>
      </c>
      <c r="U102" s="26">
        <v>-142</v>
      </c>
      <c r="V102" s="25">
        <v>-131</v>
      </c>
      <c r="W102" s="25">
        <v>-131</v>
      </c>
      <c r="X102" s="26">
        <v>-100</v>
      </c>
      <c r="Y102" s="26">
        <v>-91</v>
      </c>
      <c r="Z102" s="25">
        <v>-77</v>
      </c>
      <c r="AA102" s="25">
        <v>-75</v>
      </c>
      <c r="AB102" s="26">
        <v>-160</v>
      </c>
      <c r="AC102" s="26">
        <v>-39</v>
      </c>
      <c r="AD102" s="25">
        <v>75</v>
      </c>
      <c r="AE102" s="25">
        <v>42</v>
      </c>
      <c r="AF102" s="26">
        <v>27</v>
      </c>
      <c r="AG102" s="26">
        <v>6</v>
      </c>
    </row>
    <row r="103" spans="1:33">
      <c r="A103" s="17" t="s">
        <v>1543</v>
      </c>
      <c r="B103" s="17" t="s">
        <v>1752</v>
      </c>
      <c r="C103" s="25">
        <v>1</v>
      </c>
      <c r="D103" s="26">
        <v>1</v>
      </c>
      <c r="E103" s="26">
        <v>1</v>
      </c>
      <c r="F103" s="25">
        <v>2</v>
      </c>
      <c r="G103" s="25">
        <v>3</v>
      </c>
      <c r="H103" s="26">
        <v>4</v>
      </c>
      <c r="I103" s="26">
        <v>4</v>
      </c>
      <c r="J103" s="25">
        <v>7</v>
      </c>
      <c r="K103" s="25">
        <v>5</v>
      </c>
      <c r="L103" s="26">
        <v>4</v>
      </c>
      <c r="M103" s="26">
        <v>2</v>
      </c>
      <c r="N103" s="25">
        <v>1</v>
      </c>
      <c r="O103" s="25">
        <v>1</v>
      </c>
      <c r="P103" s="26">
        <v>0</v>
      </c>
      <c r="Q103" s="26" t="s">
        <v>429</v>
      </c>
      <c r="R103" s="25" t="s">
        <v>429</v>
      </c>
      <c r="S103" s="25" t="s">
        <v>429</v>
      </c>
      <c r="T103" s="26" t="s">
        <v>429</v>
      </c>
      <c r="U103" s="26" t="s">
        <v>429</v>
      </c>
      <c r="V103" s="25" t="s">
        <v>429</v>
      </c>
      <c r="W103" s="25" t="s">
        <v>429</v>
      </c>
      <c r="X103" s="26" t="s">
        <v>429</v>
      </c>
      <c r="Y103" s="26" t="s">
        <v>429</v>
      </c>
      <c r="Z103" s="25" t="s">
        <v>429</v>
      </c>
      <c r="AA103" s="25" t="s">
        <v>429</v>
      </c>
      <c r="AB103" s="26" t="s">
        <v>429</v>
      </c>
      <c r="AC103" s="26" t="s">
        <v>429</v>
      </c>
      <c r="AD103" s="25" t="s">
        <v>429</v>
      </c>
      <c r="AE103" s="25" t="s">
        <v>429</v>
      </c>
      <c r="AF103" s="26" t="s">
        <v>429</v>
      </c>
      <c r="AG103" s="26" t="s">
        <v>429</v>
      </c>
    </row>
    <row r="104" spans="1:33">
      <c r="A104" s="17" t="s">
        <v>1543</v>
      </c>
      <c r="B104" s="17" t="s">
        <v>1753</v>
      </c>
      <c r="C104" s="25">
        <v>-1502</v>
      </c>
      <c r="D104" s="26">
        <v>-1502</v>
      </c>
      <c r="E104" s="26">
        <v>-1502</v>
      </c>
      <c r="F104" s="25">
        <v>-1502</v>
      </c>
      <c r="G104" s="25">
        <v>-1502</v>
      </c>
      <c r="H104" s="26">
        <v>-1502</v>
      </c>
      <c r="I104" s="26">
        <v>-1502</v>
      </c>
      <c r="J104" s="25">
        <v>-1502</v>
      </c>
      <c r="K104" s="25">
        <v>-1502</v>
      </c>
      <c r="L104" s="26">
        <v>-1502</v>
      </c>
      <c r="M104" s="26">
        <v>-1501</v>
      </c>
      <c r="N104" s="25">
        <v>-1501</v>
      </c>
      <c r="O104" s="25">
        <v>-1501</v>
      </c>
      <c r="P104" s="26">
        <v>0</v>
      </c>
      <c r="Q104" s="26" t="s">
        <v>429</v>
      </c>
      <c r="R104" s="25" t="s">
        <v>429</v>
      </c>
      <c r="S104" s="25" t="s">
        <v>429</v>
      </c>
      <c r="T104" s="26" t="s">
        <v>429</v>
      </c>
      <c r="U104" s="26" t="s">
        <v>429</v>
      </c>
      <c r="V104" s="25" t="s">
        <v>429</v>
      </c>
      <c r="W104" s="25" t="s">
        <v>429</v>
      </c>
      <c r="X104" s="26" t="s">
        <v>429</v>
      </c>
      <c r="Y104" s="26" t="s">
        <v>429</v>
      </c>
      <c r="Z104" s="25" t="s">
        <v>429</v>
      </c>
      <c r="AA104" s="25" t="s">
        <v>429</v>
      </c>
      <c r="AB104" s="26" t="s">
        <v>429</v>
      </c>
      <c r="AC104" s="26" t="s">
        <v>429</v>
      </c>
      <c r="AD104" s="25" t="s">
        <v>429</v>
      </c>
      <c r="AE104" s="25" t="s">
        <v>429</v>
      </c>
      <c r="AF104" s="26" t="s">
        <v>429</v>
      </c>
      <c r="AG104" s="26" t="s">
        <v>429</v>
      </c>
    </row>
    <row r="105" spans="1:33">
      <c r="A105" s="17" t="s">
        <v>1543</v>
      </c>
      <c r="B105" s="17" t="s">
        <v>1754</v>
      </c>
      <c r="C105" s="25">
        <v>787</v>
      </c>
      <c r="D105" s="26">
        <v>787</v>
      </c>
      <c r="E105" s="26">
        <v>875</v>
      </c>
      <c r="F105" s="25">
        <v>831</v>
      </c>
      <c r="G105" s="25">
        <v>889</v>
      </c>
      <c r="H105" s="26">
        <v>923</v>
      </c>
      <c r="I105" s="26">
        <v>1034</v>
      </c>
      <c r="J105" s="25">
        <v>1049</v>
      </c>
      <c r="K105" s="25">
        <v>1112</v>
      </c>
      <c r="L105" s="26">
        <v>1105</v>
      </c>
      <c r="M105" s="26">
        <v>1153</v>
      </c>
      <c r="N105" s="25">
        <v>1125</v>
      </c>
      <c r="O105" s="25">
        <v>1171</v>
      </c>
      <c r="P105" s="26">
        <v>907</v>
      </c>
      <c r="Q105" s="26">
        <v>594</v>
      </c>
      <c r="R105" s="25">
        <v>713</v>
      </c>
      <c r="S105" s="25">
        <v>752</v>
      </c>
      <c r="T105" s="26">
        <v>693</v>
      </c>
      <c r="U105" s="26">
        <v>720</v>
      </c>
      <c r="V105" s="25">
        <v>680</v>
      </c>
      <c r="W105" s="25">
        <v>680</v>
      </c>
      <c r="X105" s="26">
        <v>656</v>
      </c>
      <c r="Y105" s="26">
        <v>667</v>
      </c>
      <c r="Z105" s="25">
        <v>608</v>
      </c>
      <c r="AA105" s="25">
        <v>626</v>
      </c>
      <c r="AB105" s="26">
        <v>566</v>
      </c>
      <c r="AC105" s="26">
        <v>622</v>
      </c>
      <c r="AD105" s="25">
        <v>611</v>
      </c>
      <c r="AE105" s="25">
        <v>618</v>
      </c>
      <c r="AF105" s="26">
        <v>557</v>
      </c>
      <c r="AG105" s="26">
        <v>545</v>
      </c>
    </row>
    <row r="106" spans="1:33">
      <c r="A106" s="17" t="s">
        <v>1538</v>
      </c>
      <c r="B106" s="17" t="s">
        <v>1755</v>
      </c>
      <c r="C106" s="25" t="s">
        <v>429</v>
      </c>
      <c r="D106" s="26" t="s">
        <v>429</v>
      </c>
      <c r="E106" s="26" t="s">
        <v>429</v>
      </c>
      <c r="F106" s="25" t="s">
        <v>429</v>
      </c>
      <c r="G106" s="25" t="s">
        <v>429</v>
      </c>
      <c r="H106" s="26" t="s">
        <v>429</v>
      </c>
      <c r="I106" s="26" t="s">
        <v>429</v>
      </c>
      <c r="J106" s="25" t="s">
        <v>429</v>
      </c>
      <c r="K106" s="25" t="s">
        <v>429</v>
      </c>
      <c r="L106" s="26" t="s">
        <v>429</v>
      </c>
      <c r="M106" s="26" t="s">
        <v>429</v>
      </c>
      <c r="N106" s="25" t="s">
        <v>429</v>
      </c>
      <c r="O106" s="25" t="s">
        <v>429</v>
      </c>
      <c r="P106" s="26" t="s">
        <v>429</v>
      </c>
      <c r="Q106" s="26">
        <v>650</v>
      </c>
      <c r="R106" s="25">
        <v>650</v>
      </c>
      <c r="S106" s="25">
        <v>650</v>
      </c>
      <c r="T106" s="26">
        <v>650</v>
      </c>
      <c r="U106" s="26">
        <v>650</v>
      </c>
      <c r="V106" s="25">
        <v>650</v>
      </c>
      <c r="W106" s="25">
        <v>650</v>
      </c>
      <c r="X106" s="26">
        <v>650</v>
      </c>
      <c r="Y106" s="26">
        <v>650</v>
      </c>
      <c r="Z106" s="25">
        <v>650</v>
      </c>
      <c r="AA106" s="25">
        <v>650</v>
      </c>
      <c r="AB106" s="26">
        <v>650</v>
      </c>
      <c r="AC106" s="26">
        <v>650</v>
      </c>
      <c r="AD106" s="25">
        <v>650</v>
      </c>
      <c r="AE106" s="25">
        <v>650</v>
      </c>
      <c r="AF106" s="26">
        <v>650</v>
      </c>
      <c r="AG106" s="26">
        <v>650</v>
      </c>
    </row>
    <row r="107" spans="1:33">
      <c r="A107" s="17" t="s">
        <v>1538</v>
      </c>
      <c r="B107" s="17" t="s">
        <v>1756</v>
      </c>
      <c r="C107" s="25" t="s">
        <v>429</v>
      </c>
      <c r="D107" s="26" t="s">
        <v>429</v>
      </c>
      <c r="E107" s="26" t="s">
        <v>429</v>
      </c>
      <c r="F107" s="25" t="s">
        <v>429</v>
      </c>
      <c r="G107" s="25" t="s">
        <v>429</v>
      </c>
      <c r="H107" s="26" t="s">
        <v>429</v>
      </c>
      <c r="I107" s="26" t="s">
        <v>429</v>
      </c>
      <c r="J107" s="25" t="s">
        <v>429</v>
      </c>
      <c r="K107" s="25" t="s">
        <v>429</v>
      </c>
      <c r="L107" s="26" t="s">
        <v>429</v>
      </c>
      <c r="M107" s="26" t="s">
        <v>429</v>
      </c>
      <c r="N107" s="25" t="s">
        <v>429</v>
      </c>
      <c r="O107" s="25" t="s">
        <v>429</v>
      </c>
      <c r="P107" s="26" t="s">
        <v>429</v>
      </c>
      <c r="Q107" s="26">
        <v>2752</v>
      </c>
      <c r="R107" s="25">
        <v>2714</v>
      </c>
      <c r="S107" s="25">
        <v>2716</v>
      </c>
      <c r="T107" s="26">
        <v>2708</v>
      </c>
      <c r="U107" s="26">
        <v>2688</v>
      </c>
      <c r="V107" s="25">
        <v>2267</v>
      </c>
      <c r="W107" s="25">
        <v>2238</v>
      </c>
      <c r="X107" s="26">
        <v>2199</v>
      </c>
      <c r="Y107" s="26">
        <v>2164</v>
      </c>
      <c r="Z107" s="25">
        <v>2134</v>
      </c>
      <c r="AA107" s="25">
        <v>2121</v>
      </c>
      <c r="AB107" s="26">
        <v>1738</v>
      </c>
      <c r="AC107" s="26">
        <v>1757</v>
      </c>
      <c r="AD107" s="25">
        <v>1828</v>
      </c>
      <c r="AE107" s="25">
        <v>1897</v>
      </c>
      <c r="AF107" s="26">
        <v>1971</v>
      </c>
      <c r="AG107" s="26">
        <v>2046</v>
      </c>
    </row>
    <row r="108" spans="1:33">
      <c r="A108" s="17" t="s">
        <v>1541</v>
      </c>
      <c r="B108" s="17" t="s">
        <v>1757</v>
      </c>
      <c r="C108" s="25">
        <v>-357</v>
      </c>
      <c r="D108" s="26">
        <v>-295</v>
      </c>
      <c r="E108" s="26">
        <v>-666</v>
      </c>
      <c r="F108" s="25">
        <v>-635</v>
      </c>
      <c r="G108" s="25">
        <v>-540</v>
      </c>
      <c r="H108" s="26">
        <v>-315</v>
      </c>
      <c r="I108" s="26">
        <v>-119</v>
      </c>
      <c r="J108" s="25">
        <v>-117</v>
      </c>
      <c r="K108" s="25">
        <v>-24</v>
      </c>
      <c r="L108" s="26">
        <v>-18</v>
      </c>
      <c r="M108" s="26">
        <v>-170</v>
      </c>
      <c r="N108" s="25">
        <v>-81</v>
      </c>
      <c r="O108" s="25">
        <v>-115</v>
      </c>
      <c r="P108" s="26">
        <v>-71</v>
      </c>
      <c r="Q108" s="26">
        <v>0</v>
      </c>
      <c r="R108" s="25">
        <v>0</v>
      </c>
      <c r="S108" s="25">
        <v>0</v>
      </c>
      <c r="T108" s="26">
        <v>0</v>
      </c>
      <c r="U108" s="26">
        <v>0</v>
      </c>
      <c r="V108" s="25">
        <v>0</v>
      </c>
      <c r="W108" s="25">
        <v>0</v>
      </c>
      <c r="X108" s="26">
        <v>0</v>
      </c>
      <c r="Y108" s="26">
        <v>0</v>
      </c>
      <c r="Z108" s="25">
        <v>-2</v>
      </c>
      <c r="AA108" s="25">
        <v>-6</v>
      </c>
      <c r="AB108" s="26">
        <v>-15</v>
      </c>
      <c r="AC108" s="26">
        <v>-2</v>
      </c>
      <c r="AD108" s="25">
        <v>0</v>
      </c>
      <c r="AE108" s="25">
        <v>2</v>
      </c>
      <c r="AF108" s="26">
        <v>5</v>
      </c>
      <c r="AG108" s="26">
        <v>11</v>
      </c>
    </row>
    <row r="109" spans="1:33">
      <c r="A109" s="17" t="s">
        <v>1758</v>
      </c>
      <c r="B109" s="17" t="s">
        <v>1759</v>
      </c>
      <c r="C109" s="25" t="s">
        <v>429</v>
      </c>
      <c r="D109" s="26" t="s">
        <v>429</v>
      </c>
      <c r="E109" s="26" t="s">
        <v>429</v>
      </c>
      <c r="F109" s="25" t="s">
        <v>429</v>
      </c>
      <c r="G109" s="25" t="s">
        <v>429</v>
      </c>
      <c r="H109" s="26" t="s">
        <v>429</v>
      </c>
      <c r="I109" s="26" t="s">
        <v>429</v>
      </c>
      <c r="J109" s="25" t="s">
        <v>429</v>
      </c>
      <c r="K109" s="25" t="s">
        <v>429</v>
      </c>
      <c r="L109" s="26" t="s">
        <v>429</v>
      </c>
      <c r="M109" s="26" t="s">
        <v>429</v>
      </c>
      <c r="N109" s="25" t="s">
        <v>429</v>
      </c>
      <c r="O109" s="25" t="s">
        <v>429</v>
      </c>
      <c r="P109" s="26" t="s">
        <v>429</v>
      </c>
      <c r="Q109" s="26" t="s">
        <v>429</v>
      </c>
      <c r="R109" s="25" t="s">
        <v>429</v>
      </c>
      <c r="S109" s="25" t="s">
        <v>429</v>
      </c>
      <c r="T109" s="26" t="s">
        <v>429</v>
      </c>
      <c r="U109" s="26" t="s">
        <v>429</v>
      </c>
      <c r="V109" s="25" t="s">
        <v>429</v>
      </c>
      <c r="W109" s="25" t="s">
        <v>429</v>
      </c>
      <c r="X109" s="26" t="s">
        <v>429</v>
      </c>
      <c r="Y109" s="26" t="s">
        <v>429</v>
      </c>
      <c r="Z109" s="25" t="s">
        <v>429</v>
      </c>
      <c r="AA109" s="25" t="s">
        <v>429</v>
      </c>
      <c r="AB109" s="26" t="s">
        <v>429</v>
      </c>
      <c r="AC109" s="26" t="s">
        <v>429</v>
      </c>
      <c r="AD109" s="25">
        <v>5</v>
      </c>
      <c r="AE109" s="25">
        <v>9</v>
      </c>
      <c r="AF109" s="26">
        <v>9</v>
      </c>
      <c r="AG109" s="26" t="s">
        <v>429</v>
      </c>
    </row>
    <row r="110" spans="1:33">
      <c r="A110" s="17" t="s">
        <v>1543</v>
      </c>
      <c r="B110" s="17" t="s">
        <v>1760</v>
      </c>
      <c r="C110" s="25" t="s">
        <v>429</v>
      </c>
      <c r="D110" s="26" t="s">
        <v>429</v>
      </c>
      <c r="E110" s="26" t="s">
        <v>429</v>
      </c>
      <c r="F110" s="25" t="s">
        <v>429</v>
      </c>
      <c r="G110" s="25" t="s">
        <v>429</v>
      </c>
      <c r="H110" s="26" t="s">
        <v>429</v>
      </c>
      <c r="I110" s="26" t="s">
        <v>429</v>
      </c>
      <c r="J110" s="25" t="s">
        <v>429</v>
      </c>
      <c r="K110" s="25" t="s">
        <v>429</v>
      </c>
      <c r="L110" s="26" t="s">
        <v>429</v>
      </c>
      <c r="M110" s="26" t="s">
        <v>429</v>
      </c>
      <c r="N110" s="25" t="s">
        <v>429</v>
      </c>
      <c r="O110" s="25" t="s">
        <v>429</v>
      </c>
      <c r="P110" s="26" t="s">
        <v>429</v>
      </c>
      <c r="Q110" s="26">
        <v>442</v>
      </c>
      <c r="R110" s="25">
        <v>467</v>
      </c>
      <c r="S110" s="25">
        <v>467</v>
      </c>
      <c r="T110" s="26">
        <v>546</v>
      </c>
      <c r="U110" s="26">
        <v>521</v>
      </c>
      <c r="V110" s="25">
        <v>506</v>
      </c>
      <c r="W110" s="25">
        <v>502</v>
      </c>
      <c r="X110" s="26">
        <v>503</v>
      </c>
      <c r="Y110" s="26">
        <v>497</v>
      </c>
      <c r="Z110" s="25">
        <v>504</v>
      </c>
      <c r="AA110" s="25">
        <v>494</v>
      </c>
      <c r="AB110" s="26">
        <v>492</v>
      </c>
      <c r="AC110" s="26">
        <v>511</v>
      </c>
      <c r="AD110" s="25">
        <v>485</v>
      </c>
      <c r="AE110" s="25">
        <v>492</v>
      </c>
      <c r="AF110" s="26">
        <v>477</v>
      </c>
      <c r="AG110" s="26">
        <v>468</v>
      </c>
    </row>
    <row r="111" spans="1:33">
      <c r="A111" s="17" t="s">
        <v>1761</v>
      </c>
      <c r="B111" s="17" t="s">
        <v>1762</v>
      </c>
      <c r="C111" s="25">
        <v>51</v>
      </c>
      <c r="D111" s="26">
        <v>51</v>
      </c>
      <c r="E111" s="26">
        <v>51</v>
      </c>
      <c r="F111" s="25">
        <v>51</v>
      </c>
      <c r="G111" s="25">
        <v>51</v>
      </c>
      <c r="H111" s="26">
        <v>51</v>
      </c>
      <c r="I111" s="26">
        <v>51</v>
      </c>
      <c r="J111" s="25">
        <v>51</v>
      </c>
      <c r="K111" s="25">
        <v>51</v>
      </c>
      <c r="L111" s="26">
        <v>51</v>
      </c>
      <c r="M111" s="26">
        <v>51</v>
      </c>
      <c r="N111" s="25">
        <v>51</v>
      </c>
      <c r="O111" s="25">
        <v>51</v>
      </c>
      <c r="P111" s="26">
        <v>51</v>
      </c>
      <c r="Q111" s="26" t="s">
        <v>429</v>
      </c>
      <c r="R111" s="25" t="s">
        <v>429</v>
      </c>
      <c r="S111" s="25" t="s">
        <v>429</v>
      </c>
      <c r="T111" s="26" t="s">
        <v>429</v>
      </c>
      <c r="U111" s="26" t="s">
        <v>429</v>
      </c>
      <c r="V111" s="25" t="s">
        <v>429</v>
      </c>
      <c r="W111" s="25" t="s">
        <v>429</v>
      </c>
      <c r="X111" s="26" t="s">
        <v>429</v>
      </c>
      <c r="Y111" s="26" t="s">
        <v>429</v>
      </c>
      <c r="Z111" s="25" t="s">
        <v>429</v>
      </c>
      <c r="AA111" s="25" t="s">
        <v>429</v>
      </c>
      <c r="AB111" s="26" t="s">
        <v>429</v>
      </c>
      <c r="AC111" s="26" t="s">
        <v>429</v>
      </c>
      <c r="AD111" s="25" t="s">
        <v>429</v>
      </c>
      <c r="AE111" s="25" t="s">
        <v>429</v>
      </c>
      <c r="AF111" s="26" t="s">
        <v>429</v>
      </c>
      <c r="AG111" s="26" t="s">
        <v>429</v>
      </c>
    </row>
    <row r="112" spans="1:33">
      <c r="A112" s="17" t="s">
        <v>1761</v>
      </c>
      <c r="B112" s="17" t="s">
        <v>1763</v>
      </c>
      <c r="C112" s="25" t="s">
        <v>429</v>
      </c>
      <c r="D112" s="26" t="s">
        <v>429</v>
      </c>
      <c r="E112" s="26" t="s">
        <v>429</v>
      </c>
      <c r="F112" s="25" t="s">
        <v>429</v>
      </c>
      <c r="G112" s="25" t="s">
        <v>429</v>
      </c>
      <c r="H112" s="26" t="s">
        <v>429</v>
      </c>
      <c r="I112" s="26" t="s">
        <v>429</v>
      </c>
      <c r="J112" s="25" t="s">
        <v>429</v>
      </c>
      <c r="K112" s="25" t="s">
        <v>429</v>
      </c>
      <c r="L112" s="26" t="s">
        <v>429</v>
      </c>
      <c r="M112" s="26" t="s">
        <v>429</v>
      </c>
      <c r="N112" s="25" t="s">
        <v>429</v>
      </c>
      <c r="O112" s="25" t="s">
        <v>429</v>
      </c>
      <c r="P112" s="26" t="s">
        <v>429</v>
      </c>
      <c r="Q112" s="26">
        <v>51</v>
      </c>
      <c r="R112" s="25">
        <v>51</v>
      </c>
      <c r="S112" s="25">
        <v>51</v>
      </c>
      <c r="T112" s="26">
        <v>51</v>
      </c>
      <c r="U112" s="26">
        <v>51</v>
      </c>
      <c r="V112" s="25">
        <v>51</v>
      </c>
      <c r="W112" s="25">
        <v>51</v>
      </c>
      <c r="X112" s="26">
        <v>51</v>
      </c>
      <c r="Y112" s="26">
        <v>51</v>
      </c>
      <c r="Z112" s="25">
        <v>51</v>
      </c>
      <c r="AA112" s="25">
        <v>51</v>
      </c>
      <c r="AB112" s="26">
        <v>51</v>
      </c>
      <c r="AC112" s="26">
        <v>51</v>
      </c>
      <c r="AD112" s="25">
        <v>51</v>
      </c>
      <c r="AE112" s="25">
        <v>51</v>
      </c>
      <c r="AF112" s="26">
        <v>51</v>
      </c>
      <c r="AG112" s="26">
        <v>51</v>
      </c>
    </row>
    <row r="113" spans="1:33">
      <c r="A113" s="17" t="s">
        <v>1764</v>
      </c>
      <c r="B113" s="17" t="s">
        <v>1765</v>
      </c>
      <c r="C113" s="25">
        <v>-1095</v>
      </c>
      <c r="D113" s="26">
        <v>-1095</v>
      </c>
      <c r="E113" s="26">
        <v>-1095</v>
      </c>
      <c r="F113" s="25">
        <v>-1095</v>
      </c>
      <c r="G113" s="25">
        <v>-1095</v>
      </c>
      <c r="H113" s="26">
        <v>-1095</v>
      </c>
      <c r="I113" s="26">
        <v>-1095</v>
      </c>
      <c r="J113" s="25">
        <v>-1095</v>
      </c>
      <c r="K113" s="25">
        <v>-1095</v>
      </c>
      <c r="L113" s="26">
        <v>-1095</v>
      </c>
      <c r="M113" s="26">
        <v>-1095</v>
      </c>
      <c r="N113" s="25">
        <v>-1095</v>
      </c>
      <c r="O113" s="25">
        <v>-1095</v>
      </c>
      <c r="P113" s="26">
        <v>-1095</v>
      </c>
      <c r="Q113" s="26">
        <v>-1095</v>
      </c>
      <c r="R113" s="25">
        <v>-1095</v>
      </c>
      <c r="S113" s="25">
        <v>-1095</v>
      </c>
      <c r="T113" s="26">
        <v>-1095</v>
      </c>
      <c r="U113" s="26">
        <v>-1095</v>
      </c>
      <c r="V113" s="25">
        <v>-1095</v>
      </c>
      <c r="W113" s="25">
        <v>-1095</v>
      </c>
      <c r="X113" s="26">
        <v>-1095</v>
      </c>
      <c r="Y113" s="26">
        <v>-1095</v>
      </c>
      <c r="Z113" s="25">
        <v>-1095</v>
      </c>
      <c r="AA113" s="25">
        <v>-1095</v>
      </c>
      <c r="AB113" s="26">
        <v>-1095</v>
      </c>
      <c r="AC113" s="26">
        <v>-1095</v>
      </c>
      <c r="AD113" s="25">
        <v>-1095</v>
      </c>
      <c r="AE113" s="25">
        <v>-1095</v>
      </c>
      <c r="AF113" s="26">
        <v>-1095</v>
      </c>
      <c r="AG113" s="26">
        <v>-1095</v>
      </c>
    </row>
    <row r="114" spans="1:33">
      <c r="A114" s="17" t="s">
        <v>1547</v>
      </c>
      <c r="B114" s="17" t="s">
        <v>1548</v>
      </c>
      <c r="C114" s="25">
        <v>3423</v>
      </c>
      <c r="D114" s="26">
        <v>3435</v>
      </c>
      <c r="E114" s="26">
        <v>3064</v>
      </c>
      <c r="F114" s="25">
        <v>3006</v>
      </c>
      <c r="G114" s="25">
        <v>3097</v>
      </c>
      <c r="H114" s="26">
        <v>3289</v>
      </c>
      <c r="I114" s="26">
        <v>3538</v>
      </c>
      <c r="J114" s="25">
        <v>3556</v>
      </c>
      <c r="K114" s="25">
        <v>3703</v>
      </c>
      <c r="L114" s="26">
        <v>3698</v>
      </c>
      <c r="M114" s="26">
        <v>3540</v>
      </c>
      <c r="N114" s="25">
        <v>3558</v>
      </c>
      <c r="O114" s="25">
        <v>3528</v>
      </c>
      <c r="P114" s="26">
        <v>3249</v>
      </c>
      <c r="Q114" s="26">
        <v>3352</v>
      </c>
      <c r="R114" s="25">
        <v>3445</v>
      </c>
      <c r="S114" s="25">
        <v>3468</v>
      </c>
      <c r="T114" s="26">
        <v>3437</v>
      </c>
      <c r="U114" s="26">
        <v>3394</v>
      </c>
      <c r="V114" s="25">
        <v>2928</v>
      </c>
      <c r="W114" s="25">
        <v>2895</v>
      </c>
      <c r="X114" s="26">
        <v>2865</v>
      </c>
      <c r="Y114" s="26">
        <v>2844</v>
      </c>
      <c r="Z114" s="25">
        <v>2774</v>
      </c>
      <c r="AA114" s="25">
        <v>2767</v>
      </c>
      <c r="AB114" s="26">
        <v>2228</v>
      </c>
      <c r="AC114" s="26">
        <v>2455</v>
      </c>
      <c r="AD114" s="25">
        <v>2611</v>
      </c>
      <c r="AE114" s="25">
        <v>2667</v>
      </c>
      <c r="AF114" s="26">
        <v>2653</v>
      </c>
      <c r="AG114" s="26">
        <v>2683</v>
      </c>
    </row>
    <row r="115" spans="1:33">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c r="AD115" s="20"/>
      <c r="AE115" s="20"/>
      <c r="AF115" s="20"/>
      <c r="AG115" s="20"/>
    </row>
    <row r="116" spans="1:33">
      <c r="A116" s="17" t="s">
        <v>1549</v>
      </c>
      <c r="B116" s="17" t="s">
        <v>1550</v>
      </c>
      <c r="C116" s="25">
        <v>13873</v>
      </c>
      <c r="D116" s="26">
        <v>14630</v>
      </c>
      <c r="E116" s="26">
        <v>14057</v>
      </c>
      <c r="F116" s="25">
        <v>14285</v>
      </c>
      <c r="G116" s="25">
        <v>13194</v>
      </c>
      <c r="H116" s="26">
        <v>12816</v>
      </c>
      <c r="I116" s="26">
        <v>12366</v>
      </c>
      <c r="J116" s="25">
        <v>12517</v>
      </c>
      <c r="K116" s="25">
        <v>11663</v>
      </c>
      <c r="L116" s="26">
        <v>11757</v>
      </c>
      <c r="M116" s="26">
        <v>11640</v>
      </c>
      <c r="N116" s="25">
        <v>11676</v>
      </c>
      <c r="O116" s="25">
        <v>11394</v>
      </c>
      <c r="P116" s="26">
        <v>12063</v>
      </c>
      <c r="Q116" s="26">
        <v>11219</v>
      </c>
      <c r="R116" s="25">
        <v>10612</v>
      </c>
      <c r="S116" s="25">
        <v>9916</v>
      </c>
      <c r="T116" s="26">
        <v>10082</v>
      </c>
      <c r="U116" s="26">
        <v>9444</v>
      </c>
      <c r="V116" s="25">
        <v>8731</v>
      </c>
      <c r="W116" s="25">
        <v>8525</v>
      </c>
      <c r="X116" s="26">
        <v>8461</v>
      </c>
      <c r="Y116" s="26">
        <v>8825</v>
      </c>
      <c r="Z116" s="25">
        <v>8259</v>
      </c>
      <c r="AA116" s="25">
        <v>7946</v>
      </c>
      <c r="AB116" s="26">
        <v>7820</v>
      </c>
      <c r="AC116" s="26">
        <v>7310</v>
      </c>
      <c r="AD116" s="25">
        <v>7420</v>
      </c>
      <c r="AE116" s="25">
        <v>7184</v>
      </c>
      <c r="AF116" s="26">
        <v>6932</v>
      </c>
      <c r="AG116" s="26">
        <v>7182</v>
      </c>
    </row>
    <row r="117" spans="1:33">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c r="AD117" s="20"/>
      <c r="AE117" s="20"/>
      <c r="AF117" s="20"/>
      <c r="AG117" s="20"/>
    </row>
    <row r="118" spans="1:33">
      <c r="A118" s="15"/>
      <c r="B118" s="16" t="s">
        <v>1551</v>
      </c>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row>
    <row r="119" spans="1:33">
      <c r="A119" s="17" t="s">
        <v>1552</v>
      </c>
      <c r="B119" s="17" t="s">
        <v>1553</v>
      </c>
      <c r="C119" s="25">
        <v>3423</v>
      </c>
      <c r="D119" s="26">
        <v>3435</v>
      </c>
      <c r="E119" s="26">
        <v>3064</v>
      </c>
      <c r="F119" s="25">
        <v>3006</v>
      </c>
      <c r="G119" s="25">
        <v>3097</v>
      </c>
      <c r="H119" s="26">
        <v>3289</v>
      </c>
      <c r="I119" s="26">
        <v>3538</v>
      </c>
      <c r="J119" s="25">
        <v>3556</v>
      </c>
      <c r="K119" s="25">
        <v>3703</v>
      </c>
      <c r="L119" s="26">
        <v>3698</v>
      </c>
      <c r="M119" s="26">
        <v>3540</v>
      </c>
      <c r="N119" s="25">
        <v>3558</v>
      </c>
      <c r="O119" s="25">
        <v>3528</v>
      </c>
      <c r="P119" s="26">
        <v>3249</v>
      </c>
      <c r="Q119" s="26">
        <v>3352</v>
      </c>
      <c r="R119" s="25">
        <v>3445</v>
      </c>
      <c r="S119" s="25">
        <v>3468</v>
      </c>
      <c r="T119" s="26">
        <v>3437</v>
      </c>
      <c r="U119" s="26">
        <v>3394</v>
      </c>
      <c r="V119" s="25">
        <v>2928</v>
      </c>
      <c r="W119" s="25">
        <v>2895</v>
      </c>
      <c r="X119" s="26">
        <v>2865</v>
      </c>
      <c r="Y119" s="26">
        <v>2844</v>
      </c>
      <c r="Z119" s="25">
        <v>2774</v>
      </c>
      <c r="AA119" s="25">
        <v>2767</v>
      </c>
      <c r="AB119" s="26">
        <v>2228</v>
      </c>
      <c r="AC119" s="26">
        <v>2455</v>
      </c>
      <c r="AD119" s="25">
        <v>2611</v>
      </c>
      <c r="AE119" s="25">
        <v>2667</v>
      </c>
      <c r="AF119" s="26">
        <v>2653</v>
      </c>
      <c r="AG119" s="26">
        <v>2683</v>
      </c>
    </row>
    <row r="120" spans="1:33">
      <c r="A120" s="17" t="s">
        <v>1554</v>
      </c>
      <c r="B120" s="17" t="s">
        <v>1766</v>
      </c>
      <c r="C120" s="25">
        <v>3830</v>
      </c>
      <c r="D120" s="26">
        <v>3801</v>
      </c>
      <c r="E120" s="26">
        <v>3690</v>
      </c>
      <c r="F120" s="25">
        <v>3727</v>
      </c>
      <c r="G120" s="25">
        <v>3690</v>
      </c>
      <c r="H120" s="26">
        <v>3653</v>
      </c>
      <c r="I120" s="26">
        <v>3614</v>
      </c>
      <c r="J120" s="25">
        <v>3614</v>
      </c>
      <c r="K120" s="25">
        <v>3610</v>
      </c>
      <c r="L120" s="26">
        <v>3603</v>
      </c>
      <c r="M120" s="26">
        <v>3565</v>
      </c>
      <c r="N120" s="25">
        <v>3538</v>
      </c>
      <c r="O120" s="25">
        <v>3509</v>
      </c>
      <c r="P120" s="26">
        <v>3467</v>
      </c>
      <c r="Q120" s="26">
        <v>3425</v>
      </c>
      <c r="R120" s="25">
        <v>3387</v>
      </c>
      <c r="S120" s="25">
        <v>3376</v>
      </c>
      <c r="T120" s="26">
        <v>3368</v>
      </c>
      <c r="U120" s="26">
        <v>3340</v>
      </c>
      <c r="V120" s="25">
        <v>2936</v>
      </c>
      <c r="W120" s="25">
        <v>2890</v>
      </c>
      <c r="X120" s="26">
        <v>2833</v>
      </c>
      <c r="Y120" s="26">
        <v>2765</v>
      </c>
      <c r="Z120" s="25">
        <v>2742</v>
      </c>
      <c r="AA120" s="25">
        <v>2699</v>
      </c>
      <c r="AB120" s="26">
        <v>2208</v>
      </c>
      <c r="AC120" s="26">
        <v>2180</v>
      </c>
      <c r="AD120" s="25">
        <v>2179</v>
      </c>
      <c r="AE120" s="25">
        <v>2179</v>
      </c>
      <c r="AF120" s="26">
        <v>2179</v>
      </c>
      <c r="AG120" s="26">
        <v>2179</v>
      </c>
    </row>
    <row r="121" spans="1:33">
      <c r="A121" s="17" t="s">
        <v>1556</v>
      </c>
      <c r="B121" s="17" t="s">
        <v>1557</v>
      </c>
      <c r="C121" s="25">
        <v>3830</v>
      </c>
      <c r="D121" s="26">
        <v>3801</v>
      </c>
      <c r="E121" s="26">
        <v>3690</v>
      </c>
      <c r="F121" s="25">
        <v>3727</v>
      </c>
      <c r="G121" s="25">
        <v>3690</v>
      </c>
      <c r="H121" s="26">
        <v>3653</v>
      </c>
      <c r="I121" s="26">
        <v>3614</v>
      </c>
      <c r="J121" s="25">
        <v>3614</v>
      </c>
      <c r="K121" s="25">
        <v>3610</v>
      </c>
      <c r="L121" s="26">
        <v>3603</v>
      </c>
      <c r="M121" s="26">
        <v>3565</v>
      </c>
      <c r="N121" s="25">
        <v>3538</v>
      </c>
      <c r="O121" s="25">
        <v>3509</v>
      </c>
      <c r="P121" s="26">
        <v>3467</v>
      </c>
      <c r="Q121" s="26">
        <v>3425</v>
      </c>
      <c r="R121" s="25">
        <v>3387</v>
      </c>
      <c r="S121" s="25">
        <v>3376</v>
      </c>
      <c r="T121" s="26">
        <v>3368</v>
      </c>
      <c r="U121" s="26">
        <v>3340</v>
      </c>
      <c r="V121" s="25">
        <v>2936</v>
      </c>
      <c r="W121" s="25">
        <v>2890</v>
      </c>
      <c r="X121" s="26">
        <v>2833</v>
      </c>
      <c r="Y121" s="26">
        <v>2765</v>
      </c>
      <c r="Z121" s="25">
        <v>2742</v>
      </c>
      <c r="AA121" s="25">
        <v>2699</v>
      </c>
      <c r="AB121" s="26">
        <v>2208</v>
      </c>
      <c r="AC121" s="26">
        <v>2180</v>
      </c>
      <c r="AD121" s="25">
        <v>2179</v>
      </c>
      <c r="AE121" s="25">
        <v>2179</v>
      </c>
      <c r="AF121" s="26">
        <v>2179</v>
      </c>
      <c r="AG121" s="26">
        <v>2179</v>
      </c>
    </row>
    <row r="122" spans="1:33">
      <c r="A122" s="17" t="s">
        <v>1558</v>
      </c>
      <c r="B122" s="17" t="s">
        <v>1767</v>
      </c>
      <c r="C122" s="25">
        <v>0</v>
      </c>
      <c r="D122" s="26">
        <v>0</v>
      </c>
      <c r="E122" s="26">
        <v>0</v>
      </c>
      <c r="F122" s="25">
        <v>0</v>
      </c>
      <c r="G122" s="25">
        <v>0</v>
      </c>
      <c r="H122" s="26">
        <v>0</v>
      </c>
      <c r="I122" s="26">
        <v>0</v>
      </c>
      <c r="J122" s="25">
        <v>0</v>
      </c>
      <c r="K122" s="25">
        <v>0</v>
      </c>
      <c r="L122" s="26">
        <v>0</v>
      </c>
      <c r="M122" s="26">
        <v>0</v>
      </c>
      <c r="N122" s="25">
        <v>0</v>
      </c>
      <c r="O122" s="25">
        <v>0</v>
      </c>
      <c r="P122" s="26">
        <v>0</v>
      </c>
      <c r="Q122" s="26">
        <v>0</v>
      </c>
      <c r="R122" s="25">
        <v>0</v>
      </c>
      <c r="S122" s="25">
        <v>0</v>
      </c>
      <c r="T122" s="26">
        <v>0</v>
      </c>
      <c r="U122" s="26" t="s">
        <v>429</v>
      </c>
      <c r="V122" s="25" t="s">
        <v>429</v>
      </c>
      <c r="W122" s="25" t="s">
        <v>429</v>
      </c>
      <c r="X122" s="26" t="s">
        <v>429</v>
      </c>
      <c r="Y122" s="26" t="s">
        <v>429</v>
      </c>
      <c r="Z122" s="25" t="s">
        <v>429</v>
      </c>
      <c r="AA122" s="25" t="s">
        <v>429</v>
      </c>
      <c r="AB122" s="26" t="s">
        <v>429</v>
      </c>
      <c r="AC122" s="26" t="s">
        <v>429</v>
      </c>
      <c r="AD122" s="25" t="s">
        <v>429</v>
      </c>
      <c r="AE122" s="25" t="s">
        <v>429</v>
      </c>
      <c r="AF122" s="26" t="s">
        <v>429</v>
      </c>
      <c r="AG122" s="26" t="s">
        <v>429</v>
      </c>
    </row>
    <row r="123" spans="1:33">
      <c r="A123" s="17" t="s">
        <v>1560</v>
      </c>
      <c r="B123" s="17" t="s">
        <v>1561</v>
      </c>
      <c r="C123" s="25" t="s">
        <v>429</v>
      </c>
      <c r="D123" s="26" t="s">
        <v>429</v>
      </c>
      <c r="E123" s="26" t="s">
        <v>429</v>
      </c>
      <c r="F123" s="25" t="s">
        <v>429</v>
      </c>
      <c r="G123" s="25" t="s">
        <v>429</v>
      </c>
      <c r="H123" s="26" t="s">
        <v>429</v>
      </c>
      <c r="I123" s="26" t="s">
        <v>429</v>
      </c>
      <c r="J123" s="25" t="s">
        <v>429</v>
      </c>
      <c r="K123" s="25" t="s">
        <v>429</v>
      </c>
      <c r="L123" s="26" t="s">
        <v>429</v>
      </c>
      <c r="M123" s="26" t="s">
        <v>429</v>
      </c>
      <c r="N123" s="25" t="s">
        <v>429</v>
      </c>
      <c r="O123" s="25" t="s">
        <v>429</v>
      </c>
      <c r="P123" s="26" t="s">
        <v>429</v>
      </c>
      <c r="Q123" s="26" t="s">
        <v>429</v>
      </c>
      <c r="R123" s="25" t="s">
        <v>429</v>
      </c>
      <c r="S123" s="25" t="s">
        <v>429</v>
      </c>
      <c r="T123" s="26" t="s">
        <v>429</v>
      </c>
      <c r="U123" s="26" t="s">
        <v>429</v>
      </c>
      <c r="V123" s="25" t="s">
        <v>429</v>
      </c>
      <c r="W123" s="25" t="s">
        <v>429</v>
      </c>
      <c r="X123" s="26" t="s">
        <v>429</v>
      </c>
      <c r="Y123" s="26" t="s">
        <v>429</v>
      </c>
      <c r="Z123" s="25" t="s">
        <v>429</v>
      </c>
      <c r="AA123" s="25" t="s">
        <v>429</v>
      </c>
      <c r="AB123" s="26" t="s">
        <v>429</v>
      </c>
      <c r="AC123" s="26" t="s">
        <v>429</v>
      </c>
      <c r="AD123" s="25" t="s">
        <v>429</v>
      </c>
      <c r="AE123" s="25" t="s">
        <v>429</v>
      </c>
      <c r="AF123" s="26" t="s">
        <v>429</v>
      </c>
      <c r="AG123" s="26" t="s">
        <v>429</v>
      </c>
    </row>
    <row r="124" spans="1:33">
      <c r="A124" s="17" t="s">
        <v>1768</v>
      </c>
      <c r="B124" s="17" t="s">
        <v>1671</v>
      </c>
      <c r="C124" s="25" t="s">
        <v>429</v>
      </c>
      <c r="D124" s="26">
        <v>129</v>
      </c>
      <c r="E124" s="26" t="s">
        <v>429</v>
      </c>
      <c r="F124" s="25" t="s">
        <v>429</v>
      </c>
      <c r="G124" s="25" t="s">
        <v>429</v>
      </c>
      <c r="H124" s="26" t="s">
        <v>429</v>
      </c>
      <c r="I124" s="26" t="s">
        <v>429</v>
      </c>
      <c r="J124" s="25" t="s">
        <v>429</v>
      </c>
      <c r="K124" s="25" t="s">
        <v>429</v>
      </c>
      <c r="L124" s="26" t="s">
        <v>429</v>
      </c>
      <c r="M124" s="26" t="s">
        <v>429</v>
      </c>
      <c r="N124" s="25" t="s">
        <v>429</v>
      </c>
      <c r="O124" s="25" t="s">
        <v>429</v>
      </c>
      <c r="P124" s="26" t="s">
        <v>429</v>
      </c>
      <c r="Q124" s="26" t="s">
        <v>429</v>
      </c>
      <c r="R124" s="25" t="s">
        <v>429</v>
      </c>
      <c r="S124" s="25" t="s">
        <v>429</v>
      </c>
      <c r="T124" s="26" t="s">
        <v>429</v>
      </c>
      <c r="U124" s="26" t="s">
        <v>429</v>
      </c>
      <c r="V124" s="25" t="s">
        <v>429</v>
      </c>
      <c r="W124" s="25" t="s">
        <v>429</v>
      </c>
      <c r="X124" s="26" t="s">
        <v>429</v>
      </c>
      <c r="Y124" s="26" t="s">
        <v>429</v>
      </c>
      <c r="Z124" s="25" t="s">
        <v>429</v>
      </c>
      <c r="AA124" s="25" t="s">
        <v>429</v>
      </c>
      <c r="AB124" s="26" t="s">
        <v>429</v>
      </c>
      <c r="AC124" s="26" t="s">
        <v>429</v>
      </c>
      <c r="AD124" s="25" t="s">
        <v>429</v>
      </c>
      <c r="AE124" s="25" t="s">
        <v>429</v>
      </c>
      <c r="AF124" s="26" t="s">
        <v>429</v>
      </c>
      <c r="AG124" s="26" t="s">
        <v>429</v>
      </c>
    </row>
    <row r="125" spans="1:33">
      <c r="A125" s="17" t="s">
        <v>1562</v>
      </c>
      <c r="B125" s="17" t="s">
        <v>1718</v>
      </c>
      <c r="C125" s="25">
        <v>93</v>
      </c>
      <c r="D125" s="26">
        <v>100</v>
      </c>
      <c r="E125" s="26">
        <v>102</v>
      </c>
      <c r="F125" s="25" t="s">
        <v>429</v>
      </c>
      <c r="G125" s="25" t="s">
        <v>429</v>
      </c>
      <c r="H125" s="26" t="s">
        <v>429</v>
      </c>
      <c r="I125" s="26" t="s">
        <v>429</v>
      </c>
      <c r="J125" s="25" t="s">
        <v>429</v>
      </c>
      <c r="K125" s="25" t="s">
        <v>429</v>
      </c>
      <c r="L125" s="26" t="s">
        <v>429</v>
      </c>
      <c r="M125" s="26" t="s">
        <v>429</v>
      </c>
      <c r="N125" s="25" t="s">
        <v>429</v>
      </c>
      <c r="O125" s="25" t="s">
        <v>429</v>
      </c>
      <c r="P125" s="26" t="s">
        <v>429</v>
      </c>
      <c r="Q125" s="26" t="s">
        <v>429</v>
      </c>
      <c r="R125" s="25" t="s">
        <v>429</v>
      </c>
      <c r="S125" s="25" t="s">
        <v>429</v>
      </c>
      <c r="T125" s="26" t="s">
        <v>429</v>
      </c>
      <c r="U125" s="26" t="s">
        <v>429</v>
      </c>
      <c r="V125" s="25" t="s">
        <v>429</v>
      </c>
      <c r="W125" s="25" t="s">
        <v>429</v>
      </c>
      <c r="X125" s="26" t="s">
        <v>429</v>
      </c>
      <c r="Y125" s="26" t="s">
        <v>429</v>
      </c>
      <c r="Z125" s="25" t="s">
        <v>429</v>
      </c>
      <c r="AA125" s="25" t="s">
        <v>429</v>
      </c>
      <c r="AB125" s="26" t="s">
        <v>429</v>
      </c>
      <c r="AC125" s="26" t="s">
        <v>429</v>
      </c>
      <c r="AD125" s="25" t="s">
        <v>429</v>
      </c>
      <c r="AE125" s="25" t="s">
        <v>429</v>
      </c>
      <c r="AF125" s="26" t="s">
        <v>429</v>
      </c>
      <c r="AG125" s="26" t="s">
        <v>429</v>
      </c>
    </row>
    <row r="126" spans="1:33">
      <c r="A126" s="17" t="s">
        <v>1769</v>
      </c>
      <c r="B126" s="17" t="s">
        <v>1707</v>
      </c>
      <c r="C126" s="25">
        <v>23</v>
      </c>
      <c r="D126" s="26">
        <v>18</v>
      </c>
      <c r="E126" s="26">
        <v>14</v>
      </c>
      <c r="F126" s="25" t="s">
        <v>429</v>
      </c>
      <c r="G126" s="25" t="s">
        <v>429</v>
      </c>
      <c r="H126" s="26" t="s">
        <v>429</v>
      </c>
      <c r="I126" s="26" t="s">
        <v>429</v>
      </c>
      <c r="J126" s="25" t="s">
        <v>429</v>
      </c>
      <c r="K126" s="25" t="s">
        <v>429</v>
      </c>
      <c r="L126" s="26" t="s">
        <v>429</v>
      </c>
      <c r="M126" s="26" t="s">
        <v>429</v>
      </c>
      <c r="N126" s="25" t="s">
        <v>429</v>
      </c>
      <c r="O126" s="25" t="s">
        <v>429</v>
      </c>
      <c r="P126" s="26" t="s">
        <v>429</v>
      </c>
      <c r="Q126" s="26" t="s">
        <v>429</v>
      </c>
      <c r="R126" s="25" t="s">
        <v>429</v>
      </c>
      <c r="S126" s="25" t="s">
        <v>429</v>
      </c>
      <c r="T126" s="26" t="s">
        <v>429</v>
      </c>
      <c r="U126" s="26" t="s">
        <v>429</v>
      </c>
      <c r="V126" s="25" t="s">
        <v>429</v>
      </c>
      <c r="W126" s="25" t="s">
        <v>429</v>
      </c>
      <c r="X126" s="26" t="s">
        <v>429</v>
      </c>
      <c r="Y126" s="26" t="s">
        <v>429</v>
      </c>
      <c r="Z126" s="25" t="s">
        <v>429</v>
      </c>
      <c r="AA126" s="25" t="s">
        <v>429</v>
      </c>
      <c r="AB126" s="26" t="s">
        <v>429</v>
      </c>
      <c r="AC126" s="26" t="s">
        <v>429</v>
      </c>
      <c r="AD126" s="25" t="s">
        <v>429</v>
      </c>
      <c r="AE126" s="25" t="s">
        <v>429</v>
      </c>
      <c r="AF126" s="26" t="s">
        <v>429</v>
      </c>
      <c r="AG126" s="26" t="s">
        <v>429</v>
      </c>
    </row>
    <row r="127" spans="1:33">
      <c r="A127" s="17" t="s">
        <v>1770</v>
      </c>
      <c r="B127" s="17" t="s">
        <v>1771</v>
      </c>
      <c r="C127" s="25">
        <v>800</v>
      </c>
      <c r="D127" s="26">
        <v>800</v>
      </c>
      <c r="E127" s="26">
        <v>900</v>
      </c>
      <c r="F127" s="25" t="s">
        <v>429</v>
      </c>
      <c r="G127" s="25" t="s">
        <v>429</v>
      </c>
      <c r="H127" s="26" t="s">
        <v>429</v>
      </c>
      <c r="I127" s="26" t="s">
        <v>429</v>
      </c>
      <c r="J127" s="25" t="s">
        <v>429</v>
      </c>
      <c r="K127" s="25" t="s">
        <v>429</v>
      </c>
      <c r="L127" s="26" t="s">
        <v>429</v>
      </c>
      <c r="M127" s="26" t="s">
        <v>429</v>
      </c>
      <c r="N127" s="25" t="s">
        <v>429</v>
      </c>
      <c r="O127" s="25" t="s">
        <v>429</v>
      </c>
      <c r="P127" s="26" t="s">
        <v>429</v>
      </c>
      <c r="Q127" s="26" t="s">
        <v>429</v>
      </c>
      <c r="R127" s="25" t="s">
        <v>429</v>
      </c>
      <c r="S127" s="25" t="s">
        <v>429</v>
      </c>
      <c r="T127" s="26" t="s">
        <v>429</v>
      </c>
      <c r="U127" s="26" t="s">
        <v>429</v>
      </c>
      <c r="V127" s="25" t="s">
        <v>429</v>
      </c>
      <c r="W127" s="25" t="s">
        <v>429</v>
      </c>
      <c r="X127" s="26" t="s">
        <v>429</v>
      </c>
      <c r="Y127" s="26" t="s">
        <v>429</v>
      </c>
      <c r="Z127" s="25" t="s">
        <v>429</v>
      </c>
      <c r="AA127" s="25" t="s">
        <v>429</v>
      </c>
      <c r="AB127" s="26" t="s">
        <v>429</v>
      </c>
      <c r="AC127" s="26" t="s">
        <v>429</v>
      </c>
      <c r="AD127" s="25" t="s">
        <v>429</v>
      </c>
      <c r="AE127" s="25" t="s">
        <v>429</v>
      </c>
      <c r="AF127" s="26" t="s">
        <v>429</v>
      </c>
      <c r="AG127" s="26" t="s">
        <v>429</v>
      </c>
    </row>
    <row r="128" spans="1:33">
      <c r="A128" s="17" t="s">
        <v>1772</v>
      </c>
      <c r="B128" s="17" t="s">
        <v>1732</v>
      </c>
      <c r="C128" s="25">
        <v>8</v>
      </c>
      <c r="D128" s="26">
        <v>7</v>
      </c>
      <c r="E128" s="26">
        <v>6</v>
      </c>
      <c r="F128" s="25">
        <v>6</v>
      </c>
      <c r="G128" s="25" t="s">
        <v>429</v>
      </c>
      <c r="H128" s="26" t="s">
        <v>429</v>
      </c>
      <c r="I128" s="26" t="s">
        <v>429</v>
      </c>
      <c r="J128" s="25" t="s">
        <v>429</v>
      </c>
      <c r="K128" s="25" t="s">
        <v>429</v>
      </c>
      <c r="L128" s="26" t="s">
        <v>429</v>
      </c>
      <c r="M128" s="26" t="s">
        <v>429</v>
      </c>
      <c r="N128" s="25" t="s">
        <v>429</v>
      </c>
      <c r="O128" s="25" t="s">
        <v>429</v>
      </c>
      <c r="P128" s="26" t="s">
        <v>429</v>
      </c>
      <c r="Q128" s="26" t="s">
        <v>429</v>
      </c>
      <c r="R128" s="25" t="s">
        <v>429</v>
      </c>
      <c r="S128" s="25" t="s">
        <v>429</v>
      </c>
      <c r="T128" s="26" t="s">
        <v>429</v>
      </c>
      <c r="U128" s="26" t="s">
        <v>429</v>
      </c>
      <c r="V128" s="25" t="s">
        <v>429</v>
      </c>
      <c r="W128" s="25" t="s">
        <v>429</v>
      </c>
      <c r="X128" s="26" t="s">
        <v>429</v>
      </c>
      <c r="Y128" s="26" t="s">
        <v>429</v>
      </c>
      <c r="Z128" s="25" t="s">
        <v>429</v>
      </c>
      <c r="AA128" s="25" t="s">
        <v>429</v>
      </c>
      <c r="AB128" s="26" t="s">
        <v>429</v>
      </c>
      <c r="AC128" s="26" t="s">
        <v>429</v>
      </c>
      <c r="AD128" s="25" t="s">
        <v>429</v>
      </c>
      <c r="AE128" s="25" t="s">
        <v>429</v>
      </c>
      <c r="AF128" s="26" t="s">
        <v>429</v>
      </c>
      <c r="AG128" s="26" t="s">
        <v>429</v>
      </c>
    </row>
    <row r="129" spans="1:33">
      <c r="A129" s="17" t="s">
        <v>1773</v>
      </c>
      <c r="B129" s="17" t="s">
        <v>1704</v>
      </c>
      <c r="C129" s="25">
        <v>0</v>
      </c>
      <c r="D129" s="26">
        <v>0</v>
      </c>
      <c r="E129" s="26">
        <v>0</v>
      </c>
      <c r="F129" s="25">
        <v>0</v>
      </c>
      <c r="G129" s="25">
        <v>0</v>
      </c>
      <c r="H129" s="26">
        <v>0</v>
      </c>
      <c r="I129" s="26">
        <v>0</v>
      </c>
      <c r="J129" s="25">
        <v>0</v>
      </c>
      <c r="K129" s="25">
        <v>0</v>
      </c>
      <c r="L129" s="26">
        <v>0</v>
      </c>
      <c r="M129" s="26">
        <v>0</v>
      </c>
      <c r="N129" s="25" t="s">
        <v>429</v>
      </c>
      <c r="O129" s="25" t="s">
        <v>429</v>
      </c>
      <c r="P129" s="26" t="s">
        <v>429</v>
      </c>
      <c r="Q129" s="26" t="s">
        <v>429</v>
      </c>
      <c r="R129" s="25" t="s">
        <v>429</v>
      </c>
      <c r="S129" s="25" t="s">
        <v>429</v>
      </c>
      <c r="T129" s="26" t="s">
        <v>429</v>
      </c>
      <c r="U129" s="26" t="s">
        <v>429</v>
      </c>
      <c r="V129" s="25" t="s">
        <v>429</v>
      </c>
      <c r="W129" s="25" t="s">
        <v>429</v>
      </c>
      <c r="X129" s="26" t="s">
        <v>429</v>
      </c>
      <c r="Y129" s="26" t="s">
        <v>429</v>
      </c>
      <c r="Z129" s="25" t="s">
        <v>429</v>
      </c>
      <c r="AA129" s="25" t="s">
        <v>429</v>
      </c>
      <c r="AB129" s="26" t="s">
        <v>429</v>
      </c>
      <c r="AC129" s="26" t="s">
        <v>429</v>
      </c>
      <c r="AD129" s="25" t="s">
        <v>429</v>
      </c>
      <c r="AE129" s="25" t="s">
        <v>429</v>
      </c>
      <c r="AF129" s="26" t="s">
        <v>429</v>
      </c>
      <c r="AG129" s="26" t="s">
        <v>429</v>
      </c>
    </row>
    <row r="130" spans="1:33">
      <c r="A130" s="17" t="s">
        <v>1774</v>
      </c>
      <c r="B130" s="17" t="s">
        <v>1696</v>
      </c>
      <c r="C130" s="25" t="s">
        <v>429</v>
      </c>
      <c r="D130" s="26">
        <v>0</v>
      </c>
      <c r="E130" s="26" t="s">
        <v>429</v>
      </c>
      <c r="F130" s="25">
        <v>6</v>
      </c>
      <c r="G130" s="25">
        <v>5</v>
      </c>
      <c r="H130" s="26">
        <v>5</v>
      </c>
      <c r="I130" s="26">
        <v>5</v>
      </c>
      <c r="J130" s="25">
        <v>5</v>
      </c>
      <c r="K130" s="25">
        <v>3</v>
      </c>
      <c r="L130" s="26">
        <v>6</v>
      </c>
      <c r="M130" s="26">
        <v>5</v>
      </c>
      <c r="N130" s="25" t="s">
        <v>429</v>
      </c>
      <c r="O130" s="25" t="s">
        <v>429</v>
      </c>
      <c r="P130" s="26" t="s">
        <v>429</v>
      </c>
      <c r="Q130" s="26" t="s">
        <v>429</v>
      </c>
      <c r="R130" s="25" t="s">
        <v>429</v>
      </c>
      <c r="S130" s="25" t="s">
        <v>429</v>
      </c>
      <c r="T130" s="26" t="s">
        <v>429</v>
      </c>
      <c r="U130" s="26" t="s">
        <v>429</v>
      </c>
      <c r="V130" s="25" t="s">
        <v>429</v>
      </c>
      <c r="W130" s="25" t="s">
        <v>429</v>
      </c>
      <c r="X130" s="26" t="s">
        <v>429</v>
      </c>
      <c r="Y130" s="26" t="s">
        <v>429</v>
      </c>
      <c r="Z130" s="25" t="s">
        <v>429</v>
      </c>
      <c r="AA130" s="25" t="s">
        <v>429</v>
      </c>
      <c r="AB130" s="26" t="s">
        <v>429</v>
      </c>
      <c r="AC130" s="26" t="s">
        <v>429</v>
      </c>
      <c r="AD130" s="25" t="s">
        <v>429</v>
      </c>
      <c r="AE130" s="25" t="s">
        <v>429</v>
      </c>
      <c r="AF130" s="26" t="s">
        <v>429</v>
      </c>
      <c r="AG130" s="26" t="s">
        <v>429</v>
      </c>
    </row>
    <row r="131" spans="1:33">
      <c r="A131" s="17" t="s">
        <v>1774</v>
      </c>
      <c r="B131" s="17" t="s">
        <v>1697</v>
      </c>
      <c r="C131" s="25">
        <v>558</v>
      </c>
      <c r="D131" s="26">
        <v>537</v>
      </c>
      <c r="E131" s="26">
        <v>508</v>
      </c>
      <c r="F131" s="25">
        <v>482</v>
      </c>
      <c r="G131" s="25">
        <v>436</v>
      </c>
      <c r="H131" s="26">
        <v>436</v>
      </c>
      <c r="I131" s="26">
        <v>413</v>
      </c>
      <c r="J131" s="25">
        <v>387</v>
      </c>
      <c r="K131" s="25">
        <v>362</v>
      </c>
      <c r="L131" s="26">
        <v>346</v>
      </c>
      <c r="M131" s="26">
        <v>320</v>
      </c>
      <c r="N131" s="25" t="s">
        <v>429</v>
      </c>
      <c r="O131" s="25" t="s">
        <v>429</v>
      </c>
      <c r="P131" s="26" t="s">
        <v>429</v>
      </c>
      <c r="Q131" s="26" t="s">
        <v>429</v>
      </c>
      <c r="R131" s="25" t="s">
        <v>429</v>
      </c>
      <c r="S131" s="25" t="s">
        <v>429</v>
      </c>
      <c r="T131" s="26" t="s">
        <v>429</v>
      </c>
      <c r="U131" s="26" t="s">
        <v>429</v>
      </c>
      <c r="V131" s="25" t="s">
        <v>429</v>
      </c>
      <c r="W131" s="25" t="s">
        <v>429</v>
      </c>
      <c r="X131" s="26" t="s">
        <v>429</v>
      </c>
      <c r="Y131" s="26" t="s">
        <v>429</v>
      </c>
      <c r="Z131" s="25" t="s">
        <v>429</v>
      </c>
      <c r="AA131" s="25" t="s">
        <v>429</v>
      </c>
      <c r="AB131" s="26" t="s">
        <v>429</v>
      </c>
      <c r="AC131" s="26" t="s">
        <v>429</v>
      </c>
      <c r="AD131" s="25" t="s">
        <v>429</v>
      </c>
      <c r="AE131" s="25" t="s">
        <v>429</v>
      </c>
      <c r="AF131" s="26" t="s">
        <v>429</v>
      </c>
      <c r="AG131" s="26" t="s">
        <v>429</v>
      </c>
    </row>
    <row r="132" spans="1:33">
      <c r="A132" s="17" t="s">
        <v>1774</v>
      </c>
      <c r="B132" s="17" t="s">
        <v>1698</v>
      </c>
      <c r="C132" s="25">
        <v>0</v>
      </c>
      <c r="D132" s="26">
        <v>0</v>
      </c>
      <c r="E132" s="26">
        <v>0</v>
      </c>
      <c r="F132" s="25">
        <v>0</v>
      </c>
      <c r="G132" s="25">
        <v>0</v>
      </c>
      <c r="H132" s="26">
        <v>0</v>
      </c>
      <c r="I132" s="26">
        <v>0</v>
      </c>
      <c r="J132" s="25">
        <v>0</v>
      </c>
      <c r="K132" s="25">
        <v>0</v>
      </c>
      <c r="L132" s="26">
        <v>0</v>
      </c>
      <c r="M132" s="26">
        <v>0</v>
      </c>
      <c r="N132" s="25" t="s">
        <v>429</v>
      </c>
      <c r="O132" s="25" t="s">
        <v>429</v>
      </c>
      <c r="P132" s="26" t="s">
        <v>429</v>
      </c>
      <c r="Q132" s="26" t="s">
        <v>429</v>
      </c>
      <c r="R132" s="25" t="s">
        <v>429</v>
      </c>
      <c r="S132" s="25" t="s">
        <v>429</v>
      </c>
      <c r="T132" s="26" t="s">
        <v>429</v>
      </c>
      <c r="U132" s="26" t="s">
        <v>429</v>
      </c>
      <c r="V132" s="25" t="s">
        <v>429</v>
      </c>
      <c r="W132" s="25" t="s">
        <v>429</v>
      </c>
      <c r="X132" s="26" t="s">
        <v>429</v>
      </c>
      <c r="Y132" s="26" t="s">
        <v>429</v>
      </c>
      <c r="Z132" s="25" t="s">
        <v>429</v>
      </c>
      <c r="AA132" s="25" t="s">
        <v>429</v>
      </c>
      <c r="AB132" s="26" t="s">
        <v>429</v>
      </c>
      <c r="AC132" s="26" t="s">
        <v>429</v>
      </c>
      <c r="AD132" s="25" t="s">
        <v>429</v>
      </c>
      <c r="AE132" s="25" t="s">
        <v>429</v>
      </c>
      <c r="AF132" s="26" t="s">
        <v>429</v>
      </c>
      <c r="AG132" s="26" t="s">
        <v>429</v>
      </c>
    </row>
    <row r="133" spans="1:33">
      <c r="A133" s="17" t="s">
        <v>1775</v>
      </c>
      <c r="B133" s="17" t="s">
        <v>1747</v>
      </c>
      <c r="C133" s="25">
        <v>222</v>
      </c>
      <c r="D133" s="26">
        <v>209</v>
      </c>
      <c r="E133" s="26">
        <v>211</v>
      </c>
      <c r="F133" s="25">
        <v>219</v>
      </c>
      <c r="G133" s="25">
        <v>207</v>
      </c>
      <c r="H133" s="26">
        <v>199</v>
      </c>
      <c r="I133" s="26">
        <v>153</v>
      </c>
      <c r="J133" s="25">
        <v>87</v>
      </c>
      <c r="K133" s="25">
        <v>81</v>
      </c>
      <c r="L133" s="26">
        <v>74</v>
      </c>
      <c r="M133" s="26">
        <v>62</v>
      </c>
      <c r="N133" s="25">
        <v>58</v>
      </c>
      <c r="O133" s="25" t="s">
        <v>429</v>
      </c>
      <c r="P133" s="26" t="s">
        <v>429</v>
      </c>
      <c r="Q133" s="26" t="s">
        <v>429</v>
      </c>
      <c r="R133" s="25" t="s">
        <v>429</v>
      </c>
      <c r="S133" s="25" t="s">
        <v>429</v>
      </c>
      <c r="T133" s="26" t="s">
        <v>429</v>
      </c>
      <c r="U133" s="26" t="s">
        <v>429</v>
      </c>
      <c r="V133" s="25" t="s">
        <v>429</v>
      </c>
      <c r="W133" s="25" t="s">
        <v>429</v>
      </c>
      <c r="X133" s="26" t="s">
        <v>429</v>
      </c>
      <c r="Y133" s="26" t="s">
        <v>429</v>
      </c>
      <c r="Z133" s="25" t="s">
        <v>429</v>
      </c>
      <c r="AA133" s="25" t="s">
        <v>429</v>
      </c>
      <c r="AB133" s="26" t="s">
        <v>429</v>
      </c>
      <c r="AC133" s="26" t="s">
        <v>429</v>
      </c>
      <c r="AD133" s="25" t="s">
        <v>429</v>
      </c>
      <c r="AE133" s="25" t="s">
        <v>429</v>
      </c>
      <c r="AF133" s="26" t="s">
        <v>429</v>
      </c>
      <c r="AG133" s="26" t="s">
        <v>429</v>
      </c>
    </row>
    <row r="134" spans="1:33">
      <c r="A134" s="17" t="s">
        <v>1563</v>
      </c>
      <c r="B134" s="17" t="s">
        <v>1678</v>
      </c>
      <c r="C134" s="25">
        <v>457</v>
      </c>
      <c r="D134" s="26">
        <v>510</v>
      </c>
      <c r="E134" s="26">
        <v>768</v>
      </c>
      <c r="F134" s="25">
        <v>776</v>
      </c>
      <c r="G134" s="25">
        <v>626</v>
      </c>
      <c r="H134" s="26">
        <v>347</v>
      </c>
      <c r="I134" s="26">
        <v>139</v>
      </c>
      <c r="J134" s="25">
        <v>193</v>
      </c>
      <c r="K134" s="25">
        <v>164</v>
      </c>
      <c r="L134" s="26">
        <v>303</v>
      </c>
      <c r="M134" s="26">
        <v>329</v>
      </c>
      <c r="N134" s="25">
        <v>174</v>
      </c>
      <c r="O134" s="25">
        <v>159</v>
      </c>
      <c r="P134" s="26">
        <v>209</v>
      </c>
      <c r="Q134" s="26">
        <v>265</v>
      </c>
      <c r="R134" s="25">
        <v>235</v>
      </c>
      <c r="S134" s="25">
        <v>278</v>
      </c>
      <c r="T134" s="26">
        <v>475</v>
      </c>
      <c r="U134" s="26" t="s">
        <v>429</v>
      </c>
      <c r="V134" s="25" t="s">
        <v>429</v>
      </c>
      <c r="W134" s="25" t="s">
        <v>429</v>
      </c>
      <c r="X134" s="26" t="s">
        <v>429</v>
      </c>
      <c r="Y134" s="26" t="s">
        <v>429</v>
      </c>
      <c r="Z134" s="25" t="s">
        <v>429</v>
      </c>
      <c r="AA134" s="25" t="s">
        <v>429</v>
      </c>
      <c r="AB134" s="26" t="s">
        <v>429</v>
      </c>
      <c r="AC134" s="26" t="s">
        <v>429</v>
      </c>
      <c r="AD134" s="25" t="s">
        <v>429</v>
      </c>
      <c r="AE134" s="25" t="s">
        <v>429</v>
      </c>
      <c r="AF134" s="26" t="s">
        <v>429</v>
      </c>
      <c r="AG134" s="26" t="s">
        <v>429</v>
      </c>
    </row>
    <row r="135" spans="1:33">
      <c r="A135" s="17" t="s">
        <v>1564</v>
      </c>
      <c r="B135" s="17" t="s">
        <v>1678</v>
      </c>
      <c r="C135" s="25">
        <v>9</v>
      </c>
      <c r="D135" s="26">
        <v>26</v>
      </c>
      <c r="E135" s="26">
        <v>9</v>
      </c>
      <c r="F135" s="25">
        <v>6</v>
      </c>
      <c r="G135" s="25">
        <v>3</v>
      </c>
      <c r="H135" s="26">
        <v>3</v>
      </c>
      <c r="I135" s="26">
        <v>1</v>
      </c>
      <c r="J135" s="25">
        <v>78</v>
      </c>
      <c r="K135" s="25">
        <v>101</v>
      </c>
      <c r="L135" s="26">
        <v>10</v>
      </c>
      <c r="M135" s="26">
        <v>20</v>
      </c>
      <c r="N135" s="25">
        <v>19</v>
      </c>
      <c r="O135" s="25">
        <v>13</v>
      </c>
      <c r="P135" s="26">
        <v>47</v>
      </c>
      <c r="Q135" s="26">
        <v>72</v>
      </c>
      <c r="R135" s="25">
        <v>71</v>
      </c>
      <c r="S135" s="25">
        <v>123</v>
      </c>
      <c r="T135" s="26">
        <v>207</v>
      </c>
      <c r="U135" s="26" t="s">
        <v>429</v>
      </c>
      <c r="V135" s="25" t="s">
        <v>429</v>
      </c>
      <c r="W135" s="25" t="s">
        <v>429</v>
      </c>
      <c r="X135" s="26" t="s">
        <v>429</v>
      </c>
      <c r="Y135" s="26" t="s">
        <v>429</v>
      </c>
      <c r="Z135" s="25" t="s">
        <v>429</v>
      </c>
      <c r="AA135" s="25" t="s">
        <v>429</v>
      </c>
      <c r="AB135" s="26" t="s">
        <v>429</v>
      </c>
      <c r="AC135" s="26" t="s">
        <v>429</v>
      </c>
      <c r="AD135" s="25" t="s">
        <v>429</v>
      </c>
      <c r="AE135" s="25" t="s">
        <v>429</v>
      </c>
      <c r="AF135" s="26" t="s">
        <v>429</v>
      </c>
      <c r="AG135" s="26" t="s">
        <v>429</v>
      </c>
    </row>
    <row r="136" spans="1:33">
      <c r="A136" s="17" t="s">
        <v>1565</v>
      </c>
      <c r="B136" s="17" t="s">
        <v>1566</v>
      </c>
      <c r="C136" s="25" t="s">
        <v>429</v>
      </c>
      <c r="D136" s="26" t="s">
        <v>429</v>
      </c>
      <c r="E136" s="26" t="s">
        <v>429</v>
      </c>
      <c r="F136" s="25" t="s">
        <v>429</v>
      </c>
      <c r="G136" s="25" t="s">
        <v>429</v>
      </c>
      <c r="H136" s="26" t="s">
        <v>429</v>
      </c>
      <c r="I136" s="26" t="s">
        <v>429</v>
      </c>
      <c r="J136" s="25" t="s">
        <v>429</v>
      </c>
      <c r="K136" s="25" t="s">
        <v>429</v>
      </c>
      <c r="L136" s="26" t="s">
        <v>429</v>
      </c>
      <c r="M136" s="26" t="s">
        <v>429</v>
      </c>
      <c r="N136" s="25" t="s">
        <v>429</v>
      </c>
      <c r="O136" s="25" t="s">
        <v>429</v>
      </c>
      <c r="P136" s="26" t="s">
        <v>429</v>
      </c>
      <c r="Q136" s="26" t="s">
        <v>429</v>
      </c>
      <c r="R136" s="25" t="s">
        <v>429</v>
      </c>
      <c r="S136" s="25" t="s">
        <v>429</v>
      </c>
      <c r="T136" s="26" t="s">
        <v>429</v>
      </c>
      <c r="U136" s="26" t="s">
        <v>429</v>
      </c>
      <c r="V136" s="25" t="s">
        <v>429</v>
      </c>
      <c r="W136" s="25" t="s">
        <v>429</v>
      </c>
      <c r="X136" s="26" t="s">
        <v>429</v>
      </c>
      <c r="Y136" s="26" t="s">
        <v>429</v>
      </c>
      <c r="Z136" s="25" t="s">
        <v>429</v>
      </c>
      <c r="AA136" s="25" t="s">
        <v>429</v>
      </c>
      <c r="AB136" s="26" t="s">
        <v>429</v>
      </c>
      <c r="AC136" s="26" t="s">
        <v>429</v>
      </c>
      <c r="AD136" s="25" t="s">
        <v>429</v>
      </c>
      <c r="AE136" s="25" t="s">
        <v>429</v>
      </c>
      <c r="AF136" s="26" t="s">
        <v>429</v>
      </c>
      <c r="AG136" s="26" t="s">
        <v>429</v>
      </c>
    </row>
    <row r="137" spans="1:33">
      <c r="A137" s="17" t="s">
        <v>1567</v>
      </c>
      <c r="B137" s="17" t="s">
        <v>1568</v>
      </c>
      <c r="C137" s="25" t="s">
        <v>429</v>
      </c>
      <c r="D137" s="26" t="s">
        <v>429</v>
      </c>
      <c r="E137" s="26" t="s">
        <v>429</v>
      </c>
      <c r="F137" s="25" t="s">
        <v>429</v>
      </c>
      <c r="G137" s="25" t="s">
        <v>429</v>
      </c>
      <c r="H137" s="26" t="s">
        <v>429</v>
      </c>
      <c r="I137" s="26" t="s">
        <v>429</v>
      </c>
      <c r="J137" s="25" t="s">
        <v>429</v>
      </c>
      <c r="K137" s="25" t="s">
        <v>429</v>
      </c>
      <c r="L137" s="26" t="s">
        <v>429</v>
      </c>
      <c r="M137" s="26" t="s">
        <v>429</v>
      </c>
      <c r="N137" s="25" t="s">
        <v>429</v>
      </c>
      <c r="O137" s="25" t="s">
        <v>429</v>
      </c>
      <c r="P137" s="26" t="s">
        <v>429</v>
      </c>
      <c r="Q137" s="26" t="s">
        <v>429</v>
      </c>
      <c r="R137" s="25" t="s">
        <v>429</v>
      </c>
      <c r="S137" s="25" t="s">
        <v>429</v>
      </c>
      <c r="T137" s="26" t="s">
        <v>429</v>
      </c>
      <c r="U137" s="26" t="s">
        <v>429</v>
      </c>
      <c r="V137" s="25" t="s">
        <v>429</v>
      </c>
      <c r="W137" s="25" t="s">
        <v>429</v>
      </c>
      <c r="X137" s="26" t="s">
        <v>429</v>
      </c>
      <c r="Y137" s="26" t="s">
        <v>429</v>
      </c>
      <c r="Z137" s="25" t="s">
        <v>429</v>
      </c>
      <c r="AA137" s="25" t="s">
        <v>429</v>
      </c>
      <c r="AB137" s="26" t="s">
        <v>429</v>
      </c>
      <c r="AC137" s="26" t="s">
        <v>429</v>
      </c>
      <c r="AD137" s="25" t="s">
        <v>429</v>
      </c>
      <c r="AE137" s="25" t="s">
        <v>429</v>
      </c>
      <c r="AF137" s="26" t="s">
        <v>429</v>
      </c>
      <c r="AG137" s="26" t="s">
        <v>429</v>
      </c>
    </row>
    <row r="138" spans="1:33">
      <c r="A138" s="17" t="s">
        <v>1569</v>
      </c>
      <c r="B138" s="17" t="s">
        <v>1776</v>
      </c>
      <c r="C138" s="25" t="s">
        <v>429</v>
      </c>
      <c r="D138" s="26" t="s">
        <v>429</v>
      </c>
      <c r="E138" s="26" t="s">
        <v>429</v>
      </c>
      <c r="F138" s="25" t="s">
        <v>429</v>
      </c>
      <c r="G138" s="25" t="s">
        <v>429</v>
      </c>
      <c r="H138" s="26" t="s">
        <v>429</v>
      </c>
      <c r="I138" s="26" t="s">
        <v>429</v>
      </c>
      <c r="J138" s="25" t="s">
        <v>429</v>
      </c>
      <c r="K138" s="25" t="s">
        <v>429</v>
      </c>
      <c r="L138" s="26" t="s">
        <v>429</v>
      </c>
      <c r="M138" s="26" t="s">
        <v>429</v>
      </c>
      <c r="N138" s="25">
        <v>9597</v>
      </c>
      <c r="O138" s="25">
        <v>9309</v>
      </c>
      <c r="P138" s="26">
        <v>9239</v>
      </c>
      <c r="Q138" s="26">
        <v>9135</v>
      </c>
      <c r="R138" s="25">
        <v>8944</v>
      </c>
      <c r="S138" s="25">
        <v>8665</v>
      </c>
      <c r="T138" s="26">
        <v>8398</v>
      </c>
      <c r="U138" s="26">
        <v>8087</v>
      </c>
      <c r="V138" s="25">
        <v>7847</v>
      </c>
      <c r="W138" s="25">
        <v>7601</v>
      </c>
      <c r="X138" s="26">
        <v>7439</v>
      </c>
      <c r="Y138" s="26">
        <v>7224</v>
      </c>
      <c r="Z138" s="25">
        <v>7065</v>
      </c>
      <c r="AA138" s="25">
        <v>6865</v>
      </c>
      <c r="AB138" s="26">
        <v>6722</v>
      </c>
      <c r="AC138" s="26">
        <v>6558</v>
      </c>
      <c r="AD138" s="25">
        <v>6505</v>
      </c>
      <c r="AE138" s="25">
        <v>6378</v>
      </c>
      <c r="AF138" s="26">
        <v>6312</v>
      </c>
      <c r="AG138" s="26">
        <v>6203</v>
      </c>
    </row>
    <row r="139" spans="1:33">
      <c r="A139" s="17" t="s">
        <v>1777</v>
      </c>
      <c r="B139" s="17" t="s">
        <v>1692</v>
      </c>
      <c r="C139" s="25" t="s">
        <v>429</v>
      </c>
      <c r="D139" s="26" t="s">
        <v>429</v>
      </c>
      <c r="E139" s="26" t="s">
        <v>429</v>
      </c>
      <c r="F139" s="25" t="s">
        <v>429</v>
      </c>
      <c r="G139" s="25" t="s">
        <v>429</v>
      </c>
      <c r="H139" s="26" t="s">
        <v>429</v>
      </c>
      <c r="I139" s="26" t="s">
        <v>429</v>
      </c>
      <c r="J139" s="25" t="s">
        <v>429</v>
      </c>
      <c r="K139" s="25" t="s">
        <v>429</v>
      </c>
      <c r="L139" s="26" t="s">
        <v>429</v>
      </c>
      <c r="M139" s="26" t="s">
        <v>429</v>
      </c>
      <c r="N139" s="25">
        <v>561</v>
      </c>
      <c r="O139" s="25">
        <v>571</v>
      </c>
      <c r="P139" s="26">
        <v>496</v>
      </c>
      <c r="Q139" s="26">
        <v>393</v>
      </c>
      <c r="R139" s="25">
        <v>393</v>
      </c>
      <c r="S139" s="25">
        <v>369</v>
      </c>
      <c r="T139" s="26">
        <v>369</v>
      </c>
      <c r="U139" s="26">
        <v>370</v>
      </c>
      <c r="V139" s="25">
        <v>370</v>
      </c>
      <c r="W139" s="25">
        <v>371</v>
      </c>
      <c r="X139" s="26">
        <v>371</v>
      </c>
      <c r="Y139" s="26">
        <v>356</v>
      </c>
      <c r="Z139" s="25">
        <v>356</v>
      </c>
      <c r="AA139" s="25">
        <v>355</v>
      </c>
      <c r="AB139" s="26">
        <v>355</v>
      </c>
      <c r="AC139" s="26">
        <v>355</v>
      </c>
      <c r="AD139" s="25">
        <v>355</v>
      </c>
      <c r="AE139" s="25">
        <v>355</v>
      </c>
      <c r="AF139" s="26">
        <v>355</v>
      </c>
      <c r="AG139" s="26">
        <v>355</v>
      </c>
    </row>
    <row r="140" spans="1:33">
      <c r="A140" s="17" t="s">
        <v>1777</v>
      </c>
      <c r="B140" s="17" t="s">
        <v>1691</v>
      </c>
      <c r="C140" s="25" t="s">
        <v>429</v>
      </c>
      <c r="D140" s="26" t="s">
        <v>429</v>
      </c>
      <c r="E140" s="26" t="s">
        <v>429</v>
      </c>
      <c r="F140" s="25" t="s">
        <v>429</v>
      </c>
      <c r="G140" s="25">
        <v>2</v>
      </c>
      <c r="H140" s="26" t="s">
        <v>429</v>
      </c>
      <c r="I140" s="26" t="s">
        <v>429</v>
      </c>
      <c r="J140" s="25" t="s">
        <v>429</v>
      </c>
      <c r="K140" s="25" t="s">
        <v>429</v>
      </c>
      <c r="L140" s="26" t="s">
        <v>429</v>
      </c>
      <c r="M140" s="26" t="s">
        <v>429</v>
      </c>
      <c r="N140" s="25" t="s">
        <v>429</v>
      </c>
      <c r="O140" s="25" t="s">
        <v>429</v>
      </c>
      <c r="P140" s="26" t="s">
        <v>429</v>
      </c>
      <c r="Q140" s="26" t="s">
        <v>429</v>
      </c>
      <c r="R140" s="25" t="s">
        <v>429</v>
      </c>
      <c r="S140" s="25" t="s">
        <v>429</v>
      </c>
      <c r="T140" s="26" t="s">
        <v>429</v>
      </c>
      <c r="U140" s="26" t="s">
        <v>429</v>
      </c>
      <c r="V140" s="25" t="s">
        <v>429</v>
      </c>
      <c r="W140" s="25" t="s">
        <v>429</v>
      </c>
      <c r="X140" s="26" t="s">
        <v>429</v>
      </c>
      <c r="Y140" s="26" t="s">
        <v>429</v>
      </c>
      <c r="Z140" s="25" t="s">
        <v>429</v>
      </c>
      <c r="AA140" s="25" t="s">
        <v>429</v>
      </c>
      <c r="AB140" s="26" t="s">
        <v>429</v>
      </c>
      <c r="AC140" s="26" t="s">
        <v>429</v>
      </c>
      <c r="AD140" s="25" t="s">
        <v>429</v>
      </c>
      <c r="AE140" s="25" t="s">
        <v>429</v>
      </c>
      <c r="AF140" s="26" t="s">
        <v>429</v>
      </c>
      <c r="AG140" s="26" t="s">
        <v>429</v>
      </c>
    </row>
    <row r="141" spans="1:33">
      <c r="A141" s="17" t="s">
        <v>1569</v>
      </c>
      <c r="B141" s="17" t="s">
        <v>1688</v>
      </c>
      <c r="C141" s="25" t="s">
        <v>429</v>
      </c>
      <c r="D141" s="26" t="s">
        <v>429</v>
      </c>
      <c r="E141" s="26" t="s">
        <v>429</v>
      </c>
      <c r="F141" s="25">
        <v>89</v>
      </c>
      <c r="G141" s="25">
        <v>194</v>
      </c>
      <c r="H141" s="26" t="s">
        <v>429</v>
      </c>
      <c r="I141" s="26" t="s">
        <v>429</v>
      </c>
      <c r="J141" s="25" t="s">
        <v>429</v>
      </c>
      <c r="K141" s="25" t="s">
        <v>429</v>
      </c>
      <c r="L141" s="26" t="s">
        <v>429</v>
      </c>
      <c r="M141" s="26" t="s">
        <v>429</v>
      </c>
      <c r="N141" s="25" t="s">
        <v>429</v>
      </c>
      <c r="O141" s="25" t="s">
        <v>429</v>
      </c>
      <c r="P141" s="26" t="s">
        <v>429</v>
      </c>
      <c r="Q141" s="26" t="s">
        <v>429</v>
      </c>
      <c r="R141" s="25" t="s">
        <v>429</v>
      </c>
      <c r="S141" s="25" t="s">
        <v>429</v>
      </c>
      <c r="T141" s="26" t="s">
        <v>429</v>
      </c>
      <c r="U141" s="26" t="s">
        <v>429</v>
      </c>
      <c r="V141" s="25" t="s">
        <v>429</v>
      </c>
      <c r="W141" s="25" t="s">
        <v>429</v>
      </c>
      <c r="X141" s="26" t="s">
        <v>429</v>
      </c>
      <c r="Y141" s="26" t="s">
        <v>429</v>
      </c>
      <c r="Z141" s="25" t="s">
        <v>429</v>
      </c>
      <c r="AA141" s="25" t="s">
        <v>429</v>
      </c>
      <c r="AB141" s="26" t="s">
        <v>429</v>
      </c>
      <c r="AC141" s="26" t="s">
        <v>429</v>
      </c>
      <c r="AD141" s="25" t="s">
        <v>429</v>
      </c>
      <c r="AE141" s="25" t="s">
        <v>429</v>
      </c>
      <c r="AF141" s="26" t="s">
        <v>429</v>
      </c>
      <c r="AG141" s="26" t="s">
        <v>429</v>
      </c>
    </row>
    <row r="142" spans="1:33">
      <c r="A142" s="15"/>
      <c r="B142" s="16" t="s">
        <v>1571</v>
      </c>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c r="AC142" s="16"/>
      <c r="AD142" s="16"/>
      <c r="AE142" s="16"/>
      <c r="AF142" s="16"/>
      <c r="AG142" s="16"/>
    </row>
    <row r="143" spans="1:33">
      <c r="A143" s="17" t="s">
        <v>1778</v>
      </c>
      <c r="B143" s="17" t="s">
        <v>1779</v>
      </c>
      <c r="C143" s="25" t="s">
        <v>429</v>
      </c>
      <c r="D143" s="26" t="s">
        <v>429</v>
      </c>
      <c r="E143" s="26" t="s">
        <v>429</v>
      </c>
      <c r="F143" s="25" t="s">
        <v>429</v>
      </c>
      <c r="G143" s="25" t="s">
        <v>429</v>
      </c>
      <c r="H143" s="26" t="s">
        <v>429</v>
      </c>
      <c r="I143" s="26" t="s">
        <v>429</v>
      </c>
      <c r="J143" s="25" t="s">
        <v>429</v>
      </c>
      <c r="K143" s="25" t="s">
        <v>429</v>
      </c>
      <c r="L143" s="26" t="s">
        <v>429</v>
      </c>
      <c r="M143" s="26" t="s">
        <v>429</v>
      </c>
      <c r="N143" s="25" t="s">
        <v>429</v>
      </c>
      <c r="O143" s="25" t="s">
        <v>429</v>
      </c>
      <c r="P143" s="26" t="s">
        <v>429</v>
      </c>
      <c r="Q143" s="26" t="s">
        <v>429</v>
      </c>
      <c r="R143" s="25" t="s">
        <v>429</v>
      </c>
      <c r="S143" s="25" t="s">
        <v>429</v>
      </c>
      <c r="T143" s="26" t="s">
        <v>429</v>
      </c>
      <c r="U143" s="26" t="s">
        <v>429</v>
      </c>
      <c r="V143" s="25" t="s">
        <v>429</v>
      </c>
      <c r="W143" s="25" t="s">
        <v>429</v>
      </c>
      <c r="X143" s="26" t="s">
        <v>429</v>
      </c>
      <c r="Y143" s="26" t="s">
        <v>429</v>
      </c>
      <c r="Z143" s="25" t="s">
        <v>429</v>
      </c>
      <c r="AA143" s="25" t="s">
        <v>429</v>
      </c>
      <c r="AB143" s="26">
        <v>64</v>
      </c>
      <c r="AC143" s="26" t="s">
        <v>429</v>
      </c>
      <c r="AD143" s="25">
        <v>319</v>
      </c>
      <c r="AE143" s="25">
        <v>768</v>
      </c>
      <c r="AF143" s="26">
        <v>562</v>
      </c>
      <c r="AG143" s="26" t="s">
        <v>429</v>
      </c>
    </row>
    <row r="144" spans="1:33">
      <c r="A144" s="17" t="s">
        <v>1572</v>
      </c>
      <c r="B144" s="17" t="s">
        <v>1573</v>
      </c>
      <c r="C144" s="25" t="s">
        <v>429</v>
      </c>
      <c r="D144" s="26" t="s">
        <v>429</v>
      </c>
      <c r="E144" s="26" t="s">
        <v>429</v>
      </c>
      <c r="F144" s="25" t="s">
        <v>429</v>
      </c>
      <c r="G144" s="25" t="s">
        <v>429</v>
      </c>
      <c r="H144" s="26" t="s">
        <v>429</v>
      </c>
      <c r="I144" s="26" t="s">
        <v>429</v>
      </c>
      <c r="J144" s="25" t="s">
        <v>429</v>
      </c>
      <c r="K144" s="25" t="s">
        <v>429</v>
      </c>
      <c r="L144" s="26" t="s">
        <v>429</v>
      </c>
      <c r="M144" s="26" t="s">
        <v>429</v>
      </c>
      <c r="N144" s="25" t="s">
        <v>429</v>
      </c>
      <c r="O144" s="25" t="s">
        <v>429</v>
      </c>
      <c r="P144" s="26" t="s">
        <v>429</v>
      </c>
      <c r="Q144" s="26" t="s">
        <v>429</v>
      </c>
      <c r="R144" s="25" t="s">
        <v>429</v>
      </c>
      <c r="S144" s="25" t="s">
        <v>429</v>
      </c>
      <c r="T144" s="26" t="s">
        <v>429</v>
      </c>
      <c r="U144" s="26" t="s">
        <v>429</v>
      </c>
      <c r="V144" s="25" t="s">
        <v>429</v>
      </c>
      <c r="W144" s="25" t="s">
        <v>429</v>
      </c>
      <c r="X144" s="26" t="s">
        <v>429</v>
      </c>
      <c r="Y144" s="26" t="s">
        <v>429</v>
      </c>
      <c r="Z144" s="25" t="s">
        <v>429</v>
      </c>
      <c r="AA144" s="25" t="s">
        <v>429</v>
      </c>
      <c r="AB144" s="26">
        <v>64</v>
      </c>
      <c r="AC144" s="26" t="s">
        <v>429</v>
      </c>
      <c r="AD144" s="25">
        <v>319</v>
      </c>
      <c r="AE144" s="25">
        <v>768</v>
      </c>
      <c r="AF144" s="26">
        <v>562</v>
      </c>
      <c r="AG144" s="26" t="s">
        <v>429</v>
      </c>
    </row>
    <row r="145" spans="1:33">
      <c r="A145" s="17" t="s">
        <v>1574</v>
      </c>
      <c r="B145" s="17" t="s">
        <v>1575</v>
      </c>
      <c r="C145" s="25" t="s">
        <v>429</v>
      </c>
      <c r="D145" s="26" t="s">
        <v>429</v>
      </c>
      <c r="E145" s="26" t="s">
        <v>429</v>
      </c>
      <c r="F145" s="25" t="s">
        <v>429</v>
      </c>
      <c r="G145" s="25" t="s">
        <v>429</v>
      </c>
      <c r="H145" s="26" t="s">
        <v>429</v>
      </c>
      <c r="I145" s="26" t="s">
        <v>429</v>
      </c>
      <c r="J145" s="25" t="s">
        <v>429</v>
      </c>
      <c r="K145" s="25" t="s">
        <v>429</v>
      </c>
      <c r="L145" s="26" t="s">
        <v>429</v>
      </c>
      <c r="M145" s="26" t="s">
        <v>429</v>
      </c>
      <c r="N145" s="25" t="s">
        <v>429</v>
      </c>
      <c r="O145" s="25" t="s">
        <v>429</v>
      </c>
      <c r="P145" s="26" t="s">
        <v>429</v>
      </c>
      <c r="Q145" s="26" t="s">
        <v>429</v>
      </c>
      <c r="R145" s="25" t="s">
        <v>429</v>
      </c>
      <c r="S145" s="25" t="s">
        <v>429</v>
      </c>
      <c r="T145" s="26" t="s">
        <v>429</v>
      </c>
      <c r="U145" s="26" t="s">
        <v>429</v>
      </c>
      <c r="V145" s="25" t="s">
        <v>429</v>
      </c>
      <c r="W145" s="25" t="s">
        <v>429</v>
      </c>
      <c r="X145" s="26" t="s">
        <v>429</v>
      </c>
      <c r="Y145" s="26" t="s">
        <v>429</v>
      </c>
      <c r="Z145" s="25" t="s">
        <v>429</v>
      </c>
      <c r="AA145" s="25" t="s">
        <v>429</v>
      </c>
      <c r="AB145" s="26" t="s">
        <v>429</v>
      </c>
      <c r="AC145" s="26" t="s">
        <v>429</v>
      </c>
      <c r="AD145" s="25" t="s">
        <v>429</v>
      </c>
      <c r="AE145" s="25" t="s">
        <v>429</v>
      </c>
      <c r="AF145" s="26" t="s">
        <v>429</v>
      </c>
      <c r="AG145" s="26" t="s">
        <v>429</v>
      </c>
    </row>
    <row r="146" spans="1:33">
      <c r="A146" s="17" t="s">
        <v>1780</v>
      </c>
      <c r="B146" s="17" t="s">
        <v>1781</v>
      </c>
      <c r="C146" s="25" t="s">
        <v>429</v>
      </c>
      <c r="D146" s="26" t="s">
        <v>429</v>
      </c>
      <c r="E146" s="26" t="s">
        <v>429</v>
      </c>
      <c r="F146" s="25" t="s">
        <v>429</v>
      </c>
      <c r="G146" s="25" t="s">
        <v>429</v>
      </c>
      <c r="H146" s="26" t="s">
        <v>429</v>
      </c>
      <c r="I146" s="26" t="s">
        <v>429</v>
      </c>
      <c r="J146" s="25" t="s">
        <v>429</v>
      </c>
      <c r="K146" s="25" t="s">
        <v>429</v>
      </c>
      <c r="L146" s="26" t="s">
        <v>429</v>
      </c>
      <c r="M146" s="26" t="s">
        <v>429</v>
      </c>
      <c r="N146" s="25" t="s">
        <v>429</v>
      </c>
      <c r="O146" s="25" t="s">
        <v>429</v>
      </c>
      <c r="P146" s="26" t="s">
        <v>429</v>
      </c>
      <c r="Q146" s="26" t="s">
        <v>429</v>
      </c>
      <c r="R146" s="25" t="s">
        <v>429</v>
      </c>
      <c r="S146" s="25" t="s">
        <v>429</v>
      </c>
      <c r="T146" s="26" t="s">
        <v>429</v>
      </c>
      <c r="U146" s="26" t="s">
        <v>429</v>
      </c>
      <c r="V146" s="25" t="s">
        <v>429</v>
      </c>
      <c r="W146" s="25" t="s">
        <v>429</v>
      </c>
      <c r="X146" s="26" t="s">
        <v>429</v>
      </c>
      <c r="Y146" s="26" t="s">
        <v>429</v>
      </c>
      <c r="Z146" s="25" t="s">
        <v>429</v>
      </c>
      <c r="AA146" s="25" t="s">
        <v>429</v>
      </c>
      <c r="AB146" s="26">
        <v>6</v>
      </c>
      <c r="AC146" s="26" t="s">
        <v>429</v>
      </c>
      <c r="AD146" s="25">
        <v>5</v>
      </c>
      <c r="AE146" s="25" t="s">
        <v>429</v>
      </c>
      <c r="AF146" s="26">
        <v>7</v>
      </c>
      <c r="AG146" s="26" t="s">
        <v>429</v>
      </c>
    </row>
    <row r="147" spans="1:33">
      <c r="A147" s="17" t="s">
        <v>1782</v>
      </c>
      <c r="B147" s="17" t="s">
        <v>1783</v>
      </c>
      <c r="C147" s="25" t="s">
        <v>429</v>
      </c>
      <c r="D147" s="26" t="s">
        <v>429</v>
      </c>
      <c r="E147" s="26" t="s">
        <v>429</v>
      </c>
      <c r="F147" s="25" t="s">
        <v>429</v>
      </c>
      <c r="G147" s="25" t="s">
        <v>429</v>
      </c>
      <c r="H147" s="26" t="s">
        <v>429</v>
      </c>
      <c r="I147" s="26" t="s">
        <v>429</v>
      </c>
      <c r="J147" s="25" t="s">
        <v>429</v>
      </c>
      <c r="K147" s="25" t="s">
        <v>429</v>
      </c>
      <c r="L147" s="26" t="s">
        <v>429</v>
      </c>
      <c r="M147" s="26" t="s">
        <v>429</v>
      </c>
      <c r="N147" s="25" t="s">
        <v>429</v>
      </c>
      <c r="O147" s="25" t="s">
        <v>429</v>
      </c>
      <c r="P147" s="26" t="s">
        <v>429</v>
      </c>
      <c r="Q147" s="26" t="s">
        <v>429</v>
      </c>
      <c r="R147" s="25" t="s">
        <v>429</v>
      </c>
      <c r="S147" s="25" t="s">
        <v>429</v>
      </c>
      <c r="T147" s="26" t="s">
        <v>429</v>
      </c>
      <c r="U147" s="26" t="s">
        <v>429</v>
      </c>
      <c r="V147" s="25" t="s">
        <v>429</v>
      </c>
      <c r="W147" s="25" t="s">
        <v>429</v>
      </c>
      <c r="X147" s="26" t="s">
        <v>429</v>
      </c>
      <c r="Y147" s="26" t="s">
        <v>429</v>
      </c>
      <c r="Z147" s="25" t="s">
        <v>429</v>
      </c>
      <c r="AA147" s="25" t="s">
        <v>429</v>
      </c>
      <c r="AB147" s="26">
        <v>21</v>
      </c>
      <c r="AC147" s="26" t="s">
        <v>429</v>
      </c>
      <c r="AD147" s="25">
        <v>23</v>
      </c>
      <c r="AE147" s="25" t="s">
        <v>429</v>
      </c>
      <c r="AF147" s="26">
        <v>17</v>
      </c>
      <c r="AG147" s="26" t="s">
        <v>429</v>
      </c>
    </row>
    <row r="148" spans="1:33">
      <c r="A148" s="17" t="s">
        <v>1784</v>
      </c>
      <c r="B148" s="17" t="s">
        <v>1785</v>
      </c>
      <c r="C148" s="25" t="s">
        <v>429</v>
      </c>
      <c r="D148" s="26" t="s">
        <v>429</v>
      </c>
      <c r="E148" s="26" t="s">
        <v>429</v>
      </c>
      <c r="F148" s="25" t="s">
        <v>429</v>
      </c>
      <c r="G148" s="25" t="s">
        <v>429</v>
      </c>
      <c r="H148" s="26" t="s">
        <v>429</v>
      </c>
      <c r="I148" s="26" t="s">
        <v>429</v>
      </c>
      <c r="J148" s="25" t="s">
        <v>429</v>
      </c>
      <c r="K148" s="25" t="s">
        <v>429</v>
      </c>
      <c r="L148" s="26" t="s">
        <v>429</v>
      </c>
      <c r="M148" s="26" t="s">
        <v>429</v>
      </c>
      <c r="N148" s="25" t="s">
        <v>429</v>
      </c>
      <c r="O148" s="25" t="s">
        <v>429</v>
      </c>
      <c r="P148" s="26" t="s">
        <v>429</v>
      </c>
      <c r="Q148" s="26" t="s">
        <v>429</v>
      </c>
      <c r="R148" s="25" t="s">
        <v>429</v>
      </c>
      <c r="S148" s="25" t="s">
        <v>429</v>
      </c>
      <c r="T148" s="26" t="s">
        <v>429</v>
      </c>
      <c r="U148" s="26" t="s">
        <v>429</v>
      </c>
      <c r="V148" s="25" t="s">
        <v>429</v>
      </c>
      <c r="W148" s="25" t="s">
        <v>429</v>
      </c>
      <c r="X148" s="26" t="s">
        <v>429</v>
      </c>
      <c r="Y148" s="26" t="s">
        <v>429</v>
      </c>
      <c r="Z148" s="25" t="s">
        <v>429</v>
      </c>
      <c r="AA148" s="25" t="s">
        <v>429</v>
      </c>
      <c r="AB148" s="26">
        <v>7</v>
      </c>
      <c r="AC148" s="26" t="s">
        <v>429</v>
      </c>
      <c r="AD148" s="25">
        <v>10</v>
      </c>
      <c r="AE148" s="25" t="s">
        <v>429</v>
      </c>
      <c r="AF148" s="26">
        <v>11</v>
      </c>
      <c r="AG148" s="26" t="s">
        <v>429</v>
      </c>
    </row>
    <row r="149" spans="1:33">
      <c r="A149" s="17" t="s">
        <v>1576</v>
      </c>
      <c r="B149" s="17" t="s">
        <v>1577</v>
      </c>
      <c r="C149" s="25" t="s">
        <v>429</v>
      </c>
      <c r="D149" s="26" t="s">
        <v>429</v>
      </c>
      <c r="E149" s="26" t="s">
        <v>429</v>
      </c>
      <c r="F149" s="25" t="s">
        <v>429</v>
      </c>
      <c r="G149" s="25" t="s">
        <v>429</v>
      </c>
      <c r="H149" s="26" t="s">
        <v>429</v>
      </c>
      <c r="I149" s="26" t="s">
        <v>429</v>
      </c>
      <c r="J149" s="25" t="s">
        <v>429</v>
      </c>
      <c r="K149" s="25" t="s">
        <v>429</v>
      </c>
      <c r="L149" s="26" t="s">
        <v>429</v>
      </c>
      <c r="M149" s="26" t="s">
        <v>429</v>
      </c>
      <c r="N149" s="25" t="s">
        <v>429</v>
      </c>
      <c r="O149" s="25" t="s">
        <v>429</v>
      </c>
      <c r="P149" s="26" t="s">
        <v>429</v>
      </c>
      <c r="Q149" s="26" t="s">
        <v>429</v>
      </c>
      <c r="R149" s="25" t="s">
        <v>429</v>
      </c>
      <c r="S149" s="25" t="s">
        <v>429</v>
      </c>
      <c r="T149" s="26" t="s">
        <v>429</v>
      </c>
      <c r="U149" s="26" t="s">
        <v>429</v>
      </c>
      <c r="V149" s="25" t="s">
        <v>429</v>
      </c>
      <c r="W149" s="25" t="s">
        <v>429</v>
      </c>
      <c r="X149" s="26" t="s">
        <v>429</v>
      </c>
      <c r="Y149" s="26" t="s">
        <v>429</v>
      </c>
      <c r="Z149" s="25" t="s">
        <v>429</v>
      </c>
      <c r="AA149" s="25" t="s">
        <v>429</v>
      </c>
      <c r="AB149" s="26">
        <v>34</v>
      </c>
      <c r="AC149" s="26" t="s">
        <v>429</v>
      </c>
      <c r="AD149" s="25">
        <v>38</v>
      </c>
      <c r="AE149" s="25" t="s">
        <v>429</v>
      </c>
      <c r="AF149" s="26">
        <v>34</v>
      </c>
      <c r="AG149" s="26" t="s">
        <v>429</v>
      </c>
    </row>
    <row r="150" spans="1:33">
      <c r="A150" s="17" t="s">
        <v>1578</v>
      </c>
      <c r="B150" s="17" t="s">
        <v>1579</v>
      </c>
      <c r="C150" s="25" t="s">
        <v>429</v>
      </c>
      <c r="D150" s="26" t="s">
        <v>429</v>
      </c>
      <c r="E150" s="26" t="s">
        <v>429</v>
      </c>
      <c r="F150" s="25" t="s">
        <v>429</v>
      </c>
      <c r="G150" s="25" t="s">
        <v>429</v>
      </c>
      <c r="H150" s="26" t="s">
        <v>429</v>
      </c>
      <c r="I150" s="26" t="s">
        <v>429</v>
      </c>
      <c r="J150" s="25" t="s">
        <v>429</v>
      </c>
      <c r="K150" s="25" t="s">
        <v>429</v>
      </c>
      <c r="L150" s="26" t="s">
        <v>429</v>
      </c>
      <c r="M150" s="26" t="s">
        <v>429</v>
      </c>
      <c r="N150" s="25" t="s">
        <v>429</v>
      </c>
      <c r="O150" s="25" t="s">
        <v>429</v>
      </c>
      <c r="P150" s="26" t="s">
        <v>429</v>
      </c>
      <c r="Q150" s="26" t="s">
        <v>429</v>
      </c>
      <c r="R150" s="25" t="s">
        <v>429</v>
      </c>
      <c r="S150" s="25" t="s">
        <v>429</v>
      </c>
      <c r="T150" s="26" t="s">
        <v>429</v>
      </c>
      <c r="U150" s="26" t="s">
        <v>429</v>
      </c>
      <c r="V150" s="25" t="s">
        <v>429</v>
      </c>
      <c r="W150" s="25" t="s">
        <v>429</v>
      </c>
      <c r="X150" s="26" t="s">
        <v>429</v>
      </c>
      <c r="Y150" s="26" t="s">
        <v>429</v>
      </c>
      <c r="Z150" s="25" t="s">
        <v>429</v>
      </c>
      <c r="AA150" s="25" t="s">
        <v>429</v>
      </c>
      <c r="AB150" s="26" t="s">
        <v>429</v>
      </c>
      <c r="AC150" s="26" t="s">
        <v>429</v>
      </c>
      <c r="AD150" s="25" t="s">
        <v>429</v>
      </c>
      <c r="AE150" s="25" t="s">
        <v>429</v>
      </c>
      <c r="AF150" s="26" t="s">
        <v>429</v>
      </c>
      <c r="AG150" s="26" t="s">
        <v>429</v>
      </c>
    </row>
    <row r="151" spans="1:33">
      <c r="A151" s="17" t="s">
        <v>1580</v>
      </c>
      <c r="B151" s="17" t="s">
        <v>1581</v>
      </c>
      <c r="C151" s="25" t="s">
        <v>429</v>
      </c>
      <c r="D151" s="26" t="s">
        <v>429</v>
      </c>
      <c r="E151" s="26" t="s">
        <v>429</v>
      </c>
      <c r="F151" s="25" t="s">
        <v>429</v>
      </c>
      <c r="G151" s="25" t="s">
        <v>429</v>
      </c>
      <c r="H151" s="26" t="s">
        <v>429</v>
      </c>
      <c r="I151" s="26" t="s">
        <v>429</v>
      </c>
      <c r="J151" s="25" t="s">
        <v>429</v>
      </c>
      <c r="K151" s="25" t="s">
        <v>429</v>
      </c>
      <c r="L151" s="26" t="s">
        <v>429</v>
      </c>
      <c r="M151" s="26" t="s">
        <v>429</v>
      </c>
      <c r="N151" s="25" t="s">
        <v>429</v>
      </c>
      <c r="O151" s="25" t="s">
        <v>429</v>
      </c>
      <c r="P151" s="26" t="s">
        <v>429</v>
      </c>
      <c r="Q151" s="26" t="s">
        <v>429</v>
      </c>
      <c r="R151" s="25" t="s">
        <v>429</v>
      </c>
      <c r="S151" s="25" t="s">
        <v>429</v>
      </c>
      <c r="T151" s="26" t="s">
        <v>429</v>
      </c>
      <c r="U151" s="26" t="s">
        <v>429</v>
      </c>
      <c r="V151" s="25" t="s">
        <v>429</v>
      </c>
      <c r="W151" s="25" t="s">
        <v>429</v>
      </c>
      <c r="X151" s="26" t="s">
        <v>429</v>
      </c>
      <c r="Y151" s="26" t="s">
        <v>429</v>
      </c>
      <c r="Z151" s="25" t="s">
        <v>429</v>
      </c>
      <c r="AA151" s="25" t="s">
        <v>429</v>
      </c>
      <c r="AB151" s="26" t="s">
        <v>429</v>
      </c>
      <c r="AC151" s="26" t="s">
        <v>429</v>
      </c>
      <c r="AD151" s="25" t="s">
        <v>429</v>
      </c>
      <c r="AE151" s="25" t="s">
        <v>429</v>
      </c>
      <c r="AF151" s="26" t="s">
        <v>429</v>
      </c>
      <c r="AG151" s="26" t="s">
        <v>429</v>
      </c>
    </row>
    <row r="152" spans="1:33">
      <c r="A152" s="17" t="s">
        <v>1582</v>
      </c>
      <c r="B152" s="17" t="s">
        <v>1583</v>
      </c>
      <c r="C152" s="25" t="s">
        <v>429</v>
      </c>
      <c r="D152" s="26" t="s">
        <v>429</v>
      </c>
      <c r="E152" s="26" t="s">
        <v>429</v>
      </c>
      <c r="F152" s="25" t="s">
        <v>429</v>
      </c>
      <c r="G152" s="25" t="s">
        <v>429</v>
      </c>
      <c r="H152" s="26" t="s">
        <v>429</v>
      </c>
      <c r="I152" s="26" t="s">
        <v>429</v>
      </c>
      <c r="J152" s="25" t="s">
        <v>429</v>
      </c>
      <c r="K152" s="25" t="s">
        <v>429</v>
      </c>
      <c r="L152" s="26" t="s">
        <v>429</v>
      </c>
      <c r="M152" s="26" t="s">
        <v>429</v>
      </c>
      <c r="N152" s="25" t="s">
        <v>429</v>
      </c>
      <c r="O152" s="25" t="s">
        <v>429</v>
      </c>
      <c r="P152" s="26" t="s">
        <v>429</v>
      </c>
      <c r="Q152" s="26" t="s">
        <v>429</v>
      </c>
      <c r="R152" s="25" t="s">
        <v>429</v>
      </c>
      <c r="S152" s="25" t="s">
        <v>429</v>
      </c>
      <c r="T152" s="26" t="s">
        <v>429</v>
      </c>
      <c r="U152" s="26" t="s">
        <v>429</v>
      </c>
      <c r="V152" s="25" t="s">
        <v>429</v>
      </c>
      <c r="W152" s="25" t="s">
        <v>429</v>
      </c>
      <c r="X152" s="26" t="s">
        <v>429</v>
      </c>
      <c r="Y152" s="26" t="s">
        <v>429</v>
      </c>
      <c r="Z152" s="25" t="s">
        <v>429</v>
      </c>
      <c r="AA152" s="25" t="s">
        <v>429</v>
      </c>
      <c r="AB152" s="26" t="s">
        <v>429</v>
      </c>
      <c r="AC152" s="26" t="s">
        <v>429</v>
      </c>
      <c r="AD152" s="25" t="s">
        <v>429</v>
      </c>
      <c r="AE152" s="25" t="s">
        <v>429</v>
      </c>
      <c r="AF152" s="26" t="s">
        <v>429</v>
      </c>
      <c r="AG152" s="26" t="s">
        <v>429</v>
      </c>
    </row>
    <row r="153" spans="1:33">
      <c r="A153" s="17" t="s">
        <v>1584</v>
      </c>
      <c r="B153" s="17" t="s">
        <v>1585</v>
      </c>
      <c r="C153" s="25" t="s">
        <v>429</v>
      </c>
      <c r="D153" s="26" t="s">
        <v>429</v>
      </c>
      <c r="E153" s="26" t="s">
        <v>429</v>
      </c>
      <c r="F153" s="25" t="s">
        <v>429</v>
      </c>
      <c r="G153" s="25" t="s">
        <v>429</v>
      </c>
      <c r="H153" s="26" t="s">
        <v>429</v>
      </c>
      <c r="I153" s="26" t="s">
        <v>429</v>
      </c>
      <c r="J153" s="25" t="s">
        <v>429</v>
      </c>
      <c r="K153" s="25" t="s">
        <v>429</v>
      </c>
      <c r="L153" s="26" t="s">
        <v>429</v>
      </c>
      <c r="M153" s="26" t="s">
        <v>429</v>
      </c>
      <c r="N153" s="25" t="s">
        <v>429</v>
      </c>
      <c r="O153" s="25" t="s">
        <v>429</v>
      </c>
      <c r="P153" s="26" t="s">
        <v>429</v>
      </c>
      <c r="Q153" s="26" t="s">
        <v>429</v>
      </c>
      <c r="R153" s="25" t="s">
        <v>429</v>
      </c>
      <c r="S153" s="25" t="s">
        <v>429</v>
      </c>
      <c r="T153" s="26" t="s">
        <v>429</v>
      </c>
      <c r="U153" s="26" t="s">
        <v>429</v>
      </c>
      <c r="V153" s="25" t="s">
        <v>429</v>
      </c>
      <c r="W153" s="25" t="s">
        <v>429</v>
      </c>
      <c r="X153" s="26" t="s">
        <v>429</v>
      </c>
      <c r="Y153" s="26" t="s">
        <v>429</v>
      </c>
      <c r="Z153" s="25" t="s">
        <v>429</v>
      </c>
      <c r="AA153" s="25" t="s">
        <v>429</v>
      </c>
      <c r="AB153" s="26" t="s">
        <v>429</v>
      </c>
      <c r="AC153" s="26" t="s">
        <v>429</v>
      </c>
      <c r="AD153" s="25" t="s">
        <v>429</v>
      </c>
      <c r="AE153" s="25" t="s">
        <v>429</v>
      </c>
      <c r="AF153" s="26" t="s">
        <v>429</v>
      </c>
      <c r="AG153" s="26" t="s">
        <v>429</v>
      </c>
    </row>
  </sheetData>
  <mergeCells count="17">
    <mergeCell ref="Z5:AA5"/>
    <mergeCell ref="AB5:AC5"/>
    <mergeCell ref="AD5:AE5"/>
    <mergeCell ref="AF5:AG5"/>
    <mergeCell ref="V5:W5"/>
    <mergeCell ref="X5:Y5"/>
    <mergeCell ref="A6:B6"/>
    <mergeCell ref="N5:O5"/>
    <mergeCell ref="P5:Q5"/>
    <mergeCell ref="R5:S5"/>
    <mergeCell ref="T5:U5"/>
    <mergeCell ref="A5:B5"/>
    <mergeCell ref="D5:E5"/>
    <mergeCell ref="F5:G5"/>
    <mergeCell ref="H5:I5"/>
    <mergeCell ref="J5:K5"/>
    <mergeCell ref="L5:M5"/>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DC2C5C-D1B0-4146-8C08-3C147B71012A}">
  <sheetPr>
    <tabColor theme="0" tint="-0.249977111117893"/>
  </sheetPr>
  <dimension ref="A1:AI123"/>
  <sheetViews>
    <sheetView showGridLines="0" workbookViewId="0">
      <selection activeCell="I33" sqref="I33"/>
    </sheetView>
  </sheetViews>
  <sheetFormatPr defaultColWidth="8.58203125" defaultRowHeight="14.25"/>
  <sheetData>
    <row r="1" spans="1:35">
      <c r="A1" s="9" t="s">
        <v>543</v>
      </c>
    </row>
    <row r="3" spans="1:35">
      <c r="A3" s="10" t="s">
        <v>544</v>
      </c>
    </row>
    <row r="4" spans="1:35">
      <c r="A4" s="10" t="s">
        <v>545</v>
      </c>
    </row>
    <row r="5" spans="1:35">
      <c r="A5" s="225"/>
      <c r="B5" s="225"/>
      <c r="C5" s="11">
        <v>2022</v>
      </c>
      <c r="D5" s="216">
        <v>2021</v>
      </c>
      <c r="E5" s="216"/>
      <c r="F5" s="216">
        <v>2020</v>
      </c>
      <c r="G5" s="216"/>
      <c r="H5" s="216">
        <v>2019</v>
      </c>
      <c r="I5" s="216"/>
      <c r="J5" s="216">
        <v>2018</v>
      </c>
      <c r="K5" s="216"/>
      <c r="L5" s="216">
        <v>2017</v>
      </c>
      <c r="M5" s="216"/>
      <c r="N5" s="216">
        <v>2016</v>
      </c>
      <c r="O5" s="216"/>
      <c r="P5" s="216">
        <v>2015</v>
      </c>
      <c r="Q5" s="216"/>
      <c r="R5" s="216">
        <v>2014</v>
      </c>
      <c r="S5" s="216"/>
      <c r="T5" s="216">
        <v>2013</v>
      </c>
      <c r="U5" s="216"/>
      <c r="V5" s="216">
        <v>2012</v>
      </c>
      <c r="W5" s="216"/>
      <c r="X5" s="216">
        <v>2011</v>
      </c>
      <c r="Y5" s="216"/>
      <c r="Z5" s="216">
        <v>2010</v>
      </c>
      <c r="AA5" s="216"/>
      <c r="AB5" s="216">
        <v>2009</v>
      </c>
      <c r="AC5" s="216"/>
      <c r="AD5" s="216">
        <v>2008</v>
      </c>
      <c r="AE5" s="216"/>
      <c r="AF5" s="216">
        <v>2007</v>
      </c>
      <c r="AG5" s="216"/>
      <c r="AH5" s="216">
        <v>2006</v>
      </c>
      <c r="AI5" s="216"/>
    </row>
    <row r="6" spans="1:35">
      <c r="A6" s="224"/>
      <c r="B6" s="224"/>
      <c r="C6" s="12" t="s">
        <v>546</v>
      </c>
      <c r="D6" s="13" t="s">
        <v>547</v>
      </c>
      <c r="E6" s="13" t="s">
        <v>548</v>
      </c>
      <c r="F6" s="12" t="s">
        <v>549</v>
      </c>
      <c r="G6" s="12" t="s">
        <v>550</v>
      </c>
      <c r="H6" s="13" t="s">
        <v>551</v>
      </c>
      <c r="I6" s="13" t="s">
        <v>552</v>
      </c>
      <c r="J6" s="12" t="s">
        <v>553</v>
      </c>
      <c r="K6" s="12" t="s">
        <v>554</v>
      </c>
      <c r="L6" s="13" t="s">
        <v>555</v>
      </c>
      <c r="M6" s="13" t="s">
        <v>556</v>
      </c>
      <c r="N6" s="12" t="s">
        <v>557</v>
      </c>
      <c r="O6" s="12" t="s">
        <v>558</v>
      </c>
      <c r="P6" s="13" t="s">
        <v>559</v>
      </c>
      <c r="Q6" s="13" t="s">
        <v>560</v>
      </c>
      <c r="R6" s="12" t="s">
        <v>561</v>
      </c>
      <c r="S6" s="12" t="s">
        <v>562</v>
      </c>
      <c r="T6" s="13" t="s">
        <v>563</v>
      </c>
      <c r="U6" s="13" t="s">
        <v>564</v>
      </c>
      <c r="V6" s="12" t="s">
        <v>565</v>
      </c>
      <c r="W6" s="12" t="s">
        <v>566</v>
      </c>
      <c r="X6" s="13" t="s">
        <v>567</v>
      </c>
      <c r="Y6" s="13" t="s">
        <v>568</v>
      </c>
      <c r="Z6" s="12" t="s">
        <v>569</v>
      </c>
      <c r="AA6" s="12" t="s">
        <v>570</v>
      </c>
      <c r="AB6" s="13" t="s">
        <v>571</v>
      </c>
      <c r="AC6" s="13" t="s">
        <v>572</v>
      </c>
      <c r="AD6" s="12" t="s">
        <v>573</v>
      </c>
      <c r="AE6" s="12" t="s">
        <v>574</v>
      </c>
      <c r="AF6" s="13" t="s">
        <v>575</v>
      </c>
      <c r="AG6" s="13" t="s">
        <v>576</v>
      </c>
      <c r="AH6" s="12" t="s">
        <v>577</v>
      </c>
      <c r="AI6" s="12" t="s">
        <v>578</v>
      </c>
    </row>
    <row r="7" spans="1:35">
      <c r="A7" s="13"/>
      <c r="B7" s="14" t="s">
        <v>579</v>
      </c>
      <c r="C7" s="13" t="s">
        <v>580</v>
      </c>
      <c r="D7" s="12" t="s">
        <v>581</v>
      </c>
      <c r="E7" s="12" t="s">
        <v>582</v>
      </c>
      <c r="F7" s="13" t="s">
        <v>583</v>
      </c>
      <c r="G7" s="13" t="s">
        <v>584</v>
      </c>
      <c r="H7" s="12" t="s">
        <v>585</v>
      </c>
      <c r="I7" s="12" t="s">
        <v>586</v>
      </c>
      <c r="J7" s="13" t="s">
        <v>587</v>
      </c>
      <c r="K7" s="13" t="s">
        <v>588</v>
      </c>
      <c r="L7" s="12" t="s">
        <v>589</v>
      </c>
      <c r="M7" s="12" t="s">
        <v>590</v>
      </c>
      <c r="N7" s="13" t="s">
        <v>591</v>
      </c>
      <c r="O7" s="13" t="s">
        <v>592</v>
      </c>
      <c r="P7" s="12" t="s">
        <v>593</v>
      </c>
      <c r="Q7" s="12" t="s">
        <v>594</v>
      </c>
      <c r="R7" s="13" t="s">
        <v>595</v>
      </c>
      <c r="S7" s="13" t="s">
        <v>596</v>
      </c>
      <c r="T7" s="12" t="s">
        <v>597</v>
      </c>
      <c r="U7" s="12" t="s">
        <v>598</v>
      </c>
      <c r="V7" s="13" t="s">
        <v>599</v>
      </c>
      <c r="W7" s="13" t="s">
        <v>600</v>
      </c>
      <c r="X7" s="12" t="s">
        <v>601</v>
      </c>
      <c r="Y7" s="12" t="s">
        <v>602</v>
      </c>
      <c r="Z7" s="13" t="s">
        <v>603</v>
      </c>
      <c r="AA7" s="13" t="s">
        <v>604</v>
      </c>
      <c r="AB7" s="12" t="s">
        <v>605</v>
      </c>
      <c r="AC7" s="12" t="s">
        <v>606</v>
      </c>
      <c r="AD7" s="13" t="s">
        <v>607</v>
      </c>
      <c r="AE7" s="13" t="s">
        <v>608</v>
      </c>
      <c r="AF7" s="12" t="s">
        <v>609</v>
      </c>
      <c r="AG7" s="12" t="s">
        <v>610</v>
      </c>
      <c r="AH7" s="13" t="s">
        <v>611</v>
      </c>
      <c r="AI7" s="13" t="s">
        <v>612</v>
      </c>
    </row>
    <row r="8" spans="1:35">
      <c r="A8" s="223" t="s">
        <v>613</v>
      </c>
      <c r="B8" s="223"/>
      <c r="C8" s="118">
        <v>0.48</v>
      </c>
      <c r="D8" s="119">
        <v>0.48</v>
      </c>
      <c r="E8" s="119">
        <v>0.48</v>
      </c>
      <c r="F8" s="118">
        <v>0.47</v>
      </c>
      <c r="G8" s="118">
        <v>0.47</v>
      </c>
      <c r="H8" s="119">
        <v>0.48</v>
      </c>
      <c r="I8" s="119">
        <v>0.45</v>
      </c>
      <c r="J8" s="118">
        <v>0.5</v>
      </c>
      <c r="K8" s="118">
        <v>0.44</v>
      </c>
      <c r="L8" s="119">
        <v>0.48</v>
      </c>
      <c r="M8" s="119">
        <v>0.45</v>
      </c>
      <c r="N8" s="118">
        <v>0.51</v>
      </c>
      <c r="O8" s="118">
        <v>0.5</v>
      </c>
      <c r="P8" s="119">
        <v>0.5</v>
      </c>
      <c r="Q8" s="119">
        <v>0.46</v>
      </c>
      <c r="R8" s="118">
        <v>0.47</v>
      </c>
      <c r="S8" s="118">
        <v>0.44</v>
      </c>
      <c r="T8" s="119">
        <v>0.46</v>
      </c>
      <c r="U8" s="119">
        <v>0.39</v>
      </c>
      <c r="V8" s="118">
        <v>0.44</v>
      </c>
      <c r="W8" s="118">
        <v>0.4</v>
      </c>
      <c r="X8" s="119">
        <v>0.36</v>
      </c>
      <c r="Y8" s="119">
        <v>0.46</v>
      </c>
      <c r="Z8" s="118">
        <v>0.55000000000000004</v>
      </c>
      <c r="AA8" s="118">
        <v>0.42</v>
      </c>
      <c r="AB8" s="119">
        <v>0.48</v>
      </c>
      <c r="AC8" s="119">
        <v>0.39</v>
      </c>
      <c r="AD8" s="118">
        <v>0.48</v>
      </c>
      <c r="AE8" s="118">
        <v>0.41</v>
      </c>
      <c r="AF8" s="119">
        <v>0.46</v>
      </c>
      <c r="AG8" s="119">
        <v>0.4</v>
      </c>
      <c r="AH8" s="118">
        <v>0.59</v>
      </c>
      <c r="AI8" s="118">
        <v>0.36</v>
      </c>
    </row>
    <row r="9" spans="1:35">
      <c r="A9" s="222" t="s">
        <v>614</v>
      </c>
      <c r="B9" s="222"/>
      <c r="C9" s="120">
        <v>495.7</v>
      </c>
      <c r="D9" s="121">
        <v>420.7</v>
      </c>
      <c r="E9" s="121">
        <v>502</v>
      </c>
      <c r="F9" s="120">
        <v>452.3</v>
      </c>
      <c r="G9" s="120">
        <v>484.8</v>
      </c>
      <c r="H9" s="121">
        <v>419.8</v>
      </c>
      <c r="I9" s="121">
        <v>446.4</v>
      </c>
      <c r="J9" s="120">
        <v>417.9</v>
      </c>
      <c r="K9" s="120">
        <v>473.5</v>
      </c>
      <c r="L9" s="121">
        <v>410.9</v>
      </c>
      <c r="M9" s="121">
        <v>457.3</v>
      </c>
      <c r="N9" s="120">
        <v>433</v>
      </c>
      <c r="O9" s="120">
        <v>530.6</v>
      </c>
      <c r="P9" s="121">
        <v>431.9</v>
      </c>
      <c r="Q9" s="121">
        <v>447.7</v>
      </c>
      <c r="R9" s="120">
        <v>392.9</v>
      </c>
      <c r="S9" s="120">
        <v>422.2</v>
      </c>
      <c r="T9" s="121">
        <v>345.2</v>
      </c>
      <c r="U9" s="121">
        <v>349.2</v>
      </c>
      <c r="V9" s="120">
        <v>307.39999999999998</v>
      </c>
      <c r="W9" s="120">
        <v>329</v>
      </c>
      <c r="X9" s="121">
        <v>247.5</v>
      </c>
      <c r="Y9" s="121">
        <v>361.6</v>
      </c>
      <c r="Z9" s="120">
        <v>395.5</v>
      </c>
      <c r="AA9" s="120">
        <v>302.60000000000002</v>
      </c>
      <c r="AB9" s="121">
        <v>279.7</v>
      </c>
      <c r="AC9" s="121">
        <v>229.5</v>
      </c>
      <c r="AD9" s="120">
        <v>225.8</v>
      </c>
      <c r="AE9" s="120">
        <v>237.7</v>
      </c>
      <c r="AF9" s="121">
        <v>214</v>
      </c>
      <c r="AG9" s="121">
        <v>219.5</v>
      </c>
      <c r="AH9" s="120">
        <v>434</v>
      </c>
      <c r="AI9" s="120">
        <v>226</v>
      </c>
    </row>
    <row r="10" spans="1:35">
      <c r="A10" s="222" t="s">
        <v>615</v>
      </c>
      <c r="B10" s="222"/>
      <c r="C10" s="120">
        <v>495.7</v>
      </c>
      <c r="D10" s="121">
        <v>420.7</v>
      </c>
      <c r="E10" s="121">
        <v>502</v>
      </c>
      <c r="F10" s="120">
        <v>452.3</v>
      </c>
      <c r="G10" s="120">
        <v>484.8</v>
      </c>
      <c r="H10" s="121">
        <v>419.8</v>
      </c>
      <c r="I10" s="121">
        <v>446.4</v>
      </c>
      <c r="J10" s="120">
        <v>417.9</v>
      </c>
      <c r="K10" s="120">
        <v>473.5</v>
      </c>
      <c r="L10" s="121">
        <v>410.9</v>
      </c>
      <c r="M10" s="121">
        <v>457.3</v>
      </c>
      <c r="N10" s="120">
        <v>433</v>
      </c>
      <c r="O10" s="120">
        <v>530.6</v>
      </c>
      <c r="P10" s="121">
        <v>431.9</v>
      </c>
      <c r="Q10" s="121">
        <v>447.7</v>
      </c>
      <c r="R10" s="120">
        <v>392.9</v>
      </c>
      <c r="S10" s="120">
        <v>422.2</v>
      </c>
      <c r="T10" s="121">
        <v>345.2</v>
      </c>
      <c r="U10" s="121">
        <v>349.2</v>
      </c>
      <c r="V10" s="120">
        <v>307.39999999999998</v>
      </c>
      <c r="W10" s="120">
        <v>329</v>
      </c>
      <c r="X10" s="121">
        <v>247.5</v>
      </c>
      <c r="Y10" s="121">
        <v>361.6</v>
      </c>
      <c r="Z10" s="120">
        <v>395.5</v>
      </c>
      <c r="AA10" s="120">
        <v>302.60000000000002</v>
      </c>
      <c r="AB10" s="121">
        <v>279.7</v>
      </c>
      <c r="AC10" s="121">
        <v>229.5</v>
      </c>
      <c r="AD10" s="120">
        <v>225.8</v>
      </c>
      <c r="AE10" s="120">
        <v>237.7</v>
      </c>
      <c r="AF10" s="121">
        <v>214</v>
      </c>
      <c r="AG10" s="121">
        <v>219.5</v>
      </c>
      <c r="AH10" s="120">
        <v>434</v>
      </c>
      <c r="AI10" s="120">
        <v>226</v>
      </c>
    </row>
    <row r="11" spans="1:35">
      <c r="A11" s="222" t="s">
        <v>616</v>
      </c>
      <c r="B11" s="222"/>
      <c r="C11" s="120">
        <v>302.60000000000002</v>
      </c>
      <c r="D11" s="121">
        <v>225.9</v>
      </c>
      <c r="E11" s="121">
        <v>319.5</v>
      </c>
      <c r="F11" s="120">
        <v>266.2</v>
      </c>
      <c r="G11" s="120">
        <v>297.89999999999998</v>
      </c>
      <c r="H11" s="121">
        <v>251.3</v>
      </c>
      <c r="I11" s="121">
        <v>277.2</v>
      </c>
      <c r="J11" s="120">
        <v>247.8</v>
      </c>
      <c r="K11" s="120">
        <v>292.39999999999998</v>
      </c>
      <c r="L11" s="121">
        <v>214.8</v>
      </c>
      <c r="M11" s="121">
        <v>253.3</v>
      </c>
      <c r="N11" s="120">
        <v>243.3</v>
      </c>
      <c r="O11" s="120">
        <v>332.6</v>
      </c>
      <c r="P11" s="121">
        <v>239.9</v>
      </c>
      <c r="Q11" s="121">
        <v>213.8</v>
      </c>
      <c r="R11" s="120">
        <v>216.6</v>
      </c>
      <c r="S11" s="120">
        <v>235</v>
      </c>
      <c r="T11" s="121">
        <v>183.6</v>
      </c>
      <c r="U11" s="121">
        <v>181.4</v>
      </c>
      <c r="V11" s="120" t="s">
        <v>617</v>
      </c>
      <c r="W11" s="120" t="s">
        <v>617</v>
      </c>
      <c r="X11" s="121" t="s">
        <v>617</v>
      </c>
      <c r="Y11" s="121" t="s">
        <v>617</v>
      </c>
      <c r="Z11" s="120" t="s">
        <v>617</v>
      </c>
      <c r="AA11" s="120" t="s">
        <v>617</v>
      </c>
      <c r="AB11" s="121" t="s">
        <v>617</v>
      </c>
      <c r="AC11" s="121" t="s">
        <v>617</v>
      </c>
      <c r="AD11" s="120" t="s">
        <v>617</v>
      </c>
      <c r="AE11" s="120" t="s">
        <v>617</v>
      </c>
      <c r="AF11" s="121" t="s">
        <v>617</v>
      </c>
      <c r="AG11" s="121" t="s">
        <v>617</v>
      </c>
      <c r="AH11" s="120" t="s">
        <v>617</v>
      </c>
      <c r="AI11" s="120" t="s">
        <v>617</v>
      </c>
    </row>
    <row r="12" spans="1:35">
      <c r="A12" s="222" t="s">
        <v>618</v>
      </c>
      <c r="B12" s="222"/>
      <c r="C12" s="122">
        <v>0.61040000000000005</v>
      </c>
      <c r="D12" s="123">
        <v>0.53700000000000003</v>
      </c>
      <c r="E12" s="123">
        <v>0.63649999999999995</v>
      </c>
      <c r="F12" s="122">
        <v>0.58850000000000002</v>
      </c>
      <c r="G12" s="122">
        <v>0.61450000000000005</v>
      </c>
      <c r="H12" s="123">
        <v>0.59860000000000002</v>
      </c>
      <c r="I12" s="123">
        <v>0.621</v>
      </c>
      <c r="J12" s="122">
        <v>0.59299999999999997</v>
      </c>
      <c r="K12" s="122">
        <v>0.61750000000000005</v>
      </c>
      <c r="L12" s="123">
        <v>0.52280000000000004</v>
      </c>
      <c r="M12" s="123">
        <v>0.55389999999999995</v>
      </c>
      <c r="N12" s="122">
        <v>0.56189999999999996</v>
      </c>
      <c r="O12" s="122">
        <v>0.62680000000000002</v>
      </c>
      <c r="P12" s="123">
        <v>0.55549999999999999</v>
      </c>
      <c r="Q12" s="123">
        <v>0.47760000000000002</v>
      </c>
      <c r="R12" s="122">
        <v>0.55130000000000001</v>
      </c>
      <c r="S12" s="122">
        <v>0.55659999999999998</v>
      </c>
      <c r="T12" s="123">
        <v>0.53190000000000004</v>
      </c>
      <c r="U12" s="123">
        <v>0.51949999999999996</v>
      </c>
      <c r="V12" s="120" t="s">
        <v>617</v>
      </c>
      <c r="W12" s="120" t="s">
        <v>617</v>
      </c>
      <c r="X12" s="121" t="s">
        <v>617</v>
      </c>
      <c r="Y12" s="121" t="s">
        <v>617</v>
      </c>
      <c r="Z12" s="120" t="s">
        <v>617</v>
      </c>
      <c r="AA12" s="120" t="s">
        <v>617</v>
      </c>
      <c r="AB12" s="121" t="s">
        <v>617</v>
      </c>
      <c r="AC12" s="121" t="s">
        <v>617</v>
      </c>
      <c r="AD12" s="120" t="s">
        <v>617</v>
      </c>
      <c r="AE12" s="120" t="s">
        <v>617</v>
      </c>
      <c r="AF12" s="121" t="s">
        <v>617</v>
      </c>
      <c r="AG12" s="121" t="s">
        <v>617</v>
      </c>
      <c r="AH12" s="120" t="s">
        <v>617</v>
      </c>
      <c r="AI12" s="120" t="s">
        <v>617</v>
      </c>
    </row>
    <row r="13" spans="1:35">
      <c r="A13" s="222" t="s">
        <v>619</v>
      </c>
      <c r="B13" s="222"/>
      <c r="C13" s="120">
        <v>131.30000000000001</v>
      </c>
      <c r="D13" s="121">
        <v>130</v>
      </c>
      <c r="E13" s="121">
        <v>127.9</v>
      </c>
      <c r="F13" s="120">
        <v>132.9</v>
      </c>
      <c r="G13" s="120">
        <v>128.5</v>
      </c>
      <c r="H13" s="121">
        <v>143.9</v>
      </c>
      <c r="I13" s="121">
        <v>140.5</v>
      </c>
      <c r="J13" s="120">
        <v>138.5</v>
      </c>
      <c r="K13" s="120">
        <v>135.4</v>
      </c>
      <c r="L13" s="121">
        <v>129.69999999999999</v>
      </c>
      <c r="M13" s="121">
        <v>124.5</v>
      </c>
      <c r="N13" s="120">
        <v>122.4</v>
      </c>
      <c r="O13" s="120">
        <v>112.4</v>
      </c>
      <c r="P13" s="121">
        <v>109.5</v>
      </c>
      <c r="Q13" s="121">
        <v>109.3</v>
      </c>
      <c r="R13" s="120">
        <v>110.9</v>
      </c>
      <c r="S13" s="120">
        <v>103</v>
      </c>
      <c r="T13" s="121">
        <v>92.4</v>
      </c>
      <c r="U13" s="121">
        <v>82</v>
      </c>
      <c r="V13" s="120">
        <v>-58.7</v>
      </c>
      <c r="W13" s="120">
        <v>74.099999999999994</v>
      </c>
      <c r="X13" s="121" t="s">
        <v>617</v>
      </c>
      <c r="Y13" s="121" t="s">
        <v>617</v>
      </c>
      <c r="Z13" s="120" t="s">
        <v>617</v>
      </c>
      <c r="AA13" s="120" t="s">
        <v>617</v>
      </c>
      <c r="AB13" s="121" t="s">
        <v>617</v>
      </c>
      <c r="AC13" s="121" t="s">
        <v>617</v>
      </c>
      <c r="AD13" s="120" t="s">
        <v>617</v>
      </c>
      <c r="AE13" s="120" t="s">
        <v>617</v>
      </c>
      <c r="AF13" s="121" t="s">
        <v>617</v>
      </c>
      <c r="AG13" s="121" t="s">
        <v>617</v>
      </c>
      <c r="AH13" s="120" t="s">
        <v>617</v>
      </c>
      <c r="AI13" s="120" t="s">
        <v>617</v>
      </c>
    </row>
    <row r="14" spans="1:35">
      <c r="A14" s="222" t="s">
        <v>620</v>
      </c>
      <c r="B14" s="222"/>
      <c r="C14" s="120">
        <v>215.5</v>
      </c>
      <c r="D14" s="121">
        <v>193.9</v>
      </c>
      <c r="E14" s="121">
        <v>211.9</v>
      </c>
      <c r="F14" s="120">
        <v>273.2</v>
      </c>
      <c r="G14" s="120">
        <v>228.3</v>
      </c>
      <c r="H14" s="121">
        <v>236.7</v>
      </c>
      <c r="I14" s="121">
        <v>224.3</v>
      </c>
      <c r="J14" s="120">
        <v>242.6</v>
      </c>
      <c r="K14" s="120">
        <v>196.7</v>
      </c>
      <c r="L14" s="121" t="s">
        <v>617</v>
      </c>
      <c r="M14" s="121" t="s">
        <v>617</v>
      </c>
      <c r="N14" s="120" t="s">
        <v>617</v>
      </c>
      <c r="O14" s="120" t="s">
        <v>617</v>
      </c>
      <c r="P14" s="121" t="s">
        <v>617</v>
      </c>
      <c r="Q14" s="121" t="s">
        <v>617</v>
      </c>
      <c r="R14" s="120" t="s">
        <v>617</v>
      </c>
      <c r="S14" s="120" t="s">
        <v>617</v>
      </c>
      <c r="T14" s="121" t="s">
        <v>617</v>
      </c>
      <c r="U14" s="121" t="s">
        <v>617</v>
      </c>
      <c r="V14" s="120" t="s">
        <v>617</v>
      </c>
      <c r="W14" s="120" t="s">
        <v>617</v>
      </c>
      <c r="X14" s="121" t="s">
        <v>617</v>
      </c>
      <c r="Y14" s="121" t="s">
        <v>617</v>
      </c>
      <c r="Z14" s="120" t="s">
        <v>617</v>
      </c>
      <c r="AA14" s="120" t="s">
        <v>617</v>
      </c>
      <c r="AB14" s="121" t="s">
        <v>617</v>
      </c>
      <c r="AC14" s="121" t="s">
        <v>617</v>
      </c>
      <c r="AD14" s="120" t="s">
        <v>617</v>
      </c>
      <c r="AE14" s="120" t="s">
        <v>617</v>
      </c>
      <c r="AF14" s="121" t="s">
        <v>617</v>
      </c>
      <c r="AG14" s="121" t="s">
        <v>617</v>
      </c>
      <c r="AH14" s="120" t="s">
        <v>617</v>
      </c>
      <c r="AI14" s="120" t="s">
        <v>617</v>
      </c>
    </row>
    <row r="15" spans="1:35">
      <c r="A15" s="222" t="s">
        <v>621</v>
      </c>
      <c r="B15" s="222"/>
      <c r="C15" s="120" t="s">
        <v>617</v>
      </c>
      <c r="D15" s="121" t="s">
        <v>617</v>
      </c>
      <c r="E15" s="121" t="s">
        <v>617</v>
      </c>
      <c r="F15" s="120" t="s">
        <v>617</v>
      </c>
      <c r="G15" s="120" t="s">
        <v>617</v>
      </c>
      <c r="H15" s="121" t="s">
        <v>617</v>
      </c>
      <c r="I15" s="121" t="s">
        <v>617</v>
      </c>
      <c r="J15" s="120" t="s">
        <v>617</v>
      </c>
      <c r="K15" s="120" t="s">
        <v>617</v>
      </c>
      <c r="L15" s="121" t="s">
        <v>617</v>
      </c>
      <c r="M15" s="121" t="s">
        <v>617</v>
      </c>
      <c r="N15" s="120" t="s">
        <v>617</v>
      </c>
      <c r="O15" s="120" t="s">
        <v>617</v>
      </c>
      <c r="P15" s="121" t="s">
        <v>617</v>
      </c>
      <c r="Q15" s="121" t="s">
        <v>617</v>
      </c>
      <c r="R15" s="120" t="s">
        <v>617</v>
      </c>
      <c r="S15" s="120" t="s">
        <v>617</v>
      </c>
      <c r="T15" s="121" t="s">
        <v>617</v>
      </c>
      <c r="U15" s="121" t="s">
        <v>617</v>
      </c>
      <c r="V15" s="120">
        <v>158.1</v>
      </c>
      <c r="W15" s="120">
        <v>179.3</v>
      </c>
      <c r="X15" s="121" t="s">
        <v>617</v>
      </c>
      <c r="Y15" s="121" t="s">
        <v>617</v>
      </c>
      <c r="Z15" s="120" t="s">
        <v>617</v>
      </c>
      <c r="AA15" s="120" t="s">
        <v>617</v>
      </c>
      <c r="AB15" s="121" t="s">
        <v>617</v>
      </c>
      <c r="AC15" s="121" t="s">
        <v>617</v>
      </c>
      <c r="AD15" s="120" t="s">
        <v>617</v>
      </c>
      <c r="AE15" s="120" t="s">
        <v>617</v>
      </c>
      <c r="AF15" s="121" t="s">
        <v>617</v>
      </c>
      <c r="AG15" s="121" t="s">
        <v>617</v>
      </c>
      <c r="AH15" s="120" t="s">
        <v>617</v>
      </c>
      <c r="AI15" s="120" t="s">
        <v>617</v>
      </c>
    </row>
    <row r="16" spans="1:35">
      <c r="A16" s="222" t="s">
        <v>622</v>
      </c>
      <c r="B16" s="222"/>
      <c r="C16" s="120" t="s">
        <v>617</v>
      </c>
      <c r="D16" s="121" t="s">
        <v>617</v>
      </c>
      <c r="E16" s="121" t="s">
        <v>617</v>
      </c>
      <c r="F16" s="120" t="s">
        <v>617</v>
      </c>
      <c r="G16" s="120" t="s">
        <v>617</v>
      </c>
      <c r="H16" s="121" t="s">
        <v>617</v>
      </c>
      <c r="I16" s="121" t="s">
        <v>617</v>
      </c>
      <c r="J16" s="120" t="s">
        <v>617</v>
      </c>
      <c r="K16" s="120" t="s">
        <v>617</v>
      </c>
      <c r="L16" s="121" t="s">
        <v>617</v>
      </c>
      <c r="M16" s="121" t="s">
        <v>617</v>
      </c>
      <c r="N16" s="120" t="s">
        <v>617</v>
      </c>
      <c r="O16" s="120" t="s">
        <v>617</v>
      </c>
      <c r="P16" s="121" t="s">
        <v>617</v>
      </c>
      <c r="Q16" s="121" t="s">
        <v>617</v>
      </c>
      <c r="R16" s="120" t="s">
        <v>617</v>
      </c>
      <c r="S16" s="120" t="s">
        <v>617</v>
      </c>
      <c r="T16" s="121" t="s">
        <v>617</v>
      </c>
      <c r="U16" s="121" t="s">
        <v>617</v>
      </c>
      <c r="V16" s="122">
        <v>0.51429999999999998</v>
      </c>
      <c r="W16" s="122">
        <v>0.54500000000000004</v>
      </c>
      <c r="X16" s="121" t="s">
        <v>617</v>
      </c>
      <c r="Y16" s="121" t="s">
        <v>617</v>
      </c>
      <c r="Z16" s="120" t="s">
        <v>617</v>
      </c>
      <c r="AA16" s="120" t="s">
        <v>617</v>
      </c>
      <c r="AB16" s="121" t="s">
        <v>617</v>
      </c>
      <c r="AC16" s="121" t="s">
        <v>617</v>
      </c>
      <c r="AD16" s="120" t="s">
        <v>617</v>
      </c>
      <c r="AE16" s="120" t="s">
        <v>617</v>
      </c>
      <c r="AF16" s="121" t="s">
        <v>617</v>
      </c>
      <c r="AG16" s="121" t="s">
        <v>617</v>
      </c>
      <c r="AH16" s="120" t="s">
        <v>617</v>
      </c>
      <c r="AI16" s="120" t="s">
        <v>617</v>
      </c>
    </row>
    <row r="17" spans="1:35">
      <c r="A17" s="222" t="s">
        <v>623</v>
      </c>
      <c r="B17" s="222"/>
      <c r="C17" s="120" t="s">
        <v>617</v>
      </c>
      <c r="D17" s="121" t="s">
        <v>617</v>
      </c>
      <c r="E17" s="121" t="s">
        <v>617</v>
      </c>
      <c r="F17" s="120" t="s">
        <v>617</v>
      </c>
      <c r="G17" s="120" t="s">
        <v>617</v>
      </c>
      <c r="H17" s="121" t="s">
        <v>617</v>
      </c>
      <c r="I17" s="121" t="s">
        <v>617</v>
      </c>
      <c r="J17" s="120" t="s">
        <v>617</v>
      </c>
      <c r="K17" s="120" t="s">
        <v>617</v>
      </c>
      <c r="L17" s="121" t="s">
        <v>617</v>
      </c>
      <c r="M17" s="121" t="s">
        <v>617</v>
      </c>
      <c r="N17" s="120" t="s">
        <v>617</v>
      </c>
      <c r="O17" s="120" t="s">
        <v>617</v>
      </c>
      <c r="P17" s="121" t="s">
        <v>617</v>
      </c>
      <c r="Q17" s="121" t="s">
        <v>617</v>
      </c>
      <c r="R17" s="120" t="s">
        <v>617</v>
      </c>
      <c r="S17" s="120" t="s">
        <v>617</v>
      </c>
      <c r="T17" s="121" t="s">
        <v>617</v>
      </c>
      <c r="U17" s="121" t="s">
        <v>617</v>
      </c>
      <c r="V17" s="120" t="s">
        <v>617</v>
      </c>
      <c r="W17" s="120" t="s">
        <v>617</v>
      </c>
      <c r="X17" s="121">
        <v>58.6</v>
      </c>
      <c r="Y17" s="121">
        <v>63.1</v>
      </c>
      <c r="Z17" s="120">
        <v>61.4</v>
      </c>
      <c r="AA17" s="120">
        <v>42.6</v>
      </c>
      <c r="AB17" s="121">
        <v>42.2</v>
      </c>
      <c r="AC17" s="121">
        <v>44</v>
      </c>
      <c r="AD17" s="120">
        <v>40.700000000000003</v>
      </c>
      <c r="AE17" s="120">
        <v>39.299999999999997</v>
      </c>
      <c r="AF17" s="121">
        <v>37.5</v>
      </c>
      <c r="AG17" s="121">
        <v>49.4</v>
      </c>
      <c r="AH17" s="120" t="s">
        <v>617</v>
      </c>
      <c r="AI17" s="120" t="s">
        <v>617</v>
      </c>
    </row>
    <row r="18" spans="1:35">
      <c r="A18" s="222" t="s">
        <v>624</v>
      </c>
      <c r="B18" s="222"/>
      <c r="C18" s="120" t="s">
        <v>617</v>
      </c>
      <c r="D18" s="121" t="s">
        <v>617</v>
      </c>
      <c r="E18" s="121" t="s">
        <v>617</v>
      </c>
      <c r="F18" s="120" t="s">
        <v>617</v>
      </c>
      <c r="G18" s="120" t="s">
        <v>617</v>
      </c>
      <c r="H18" s="121" t="s">
        <v>617</v>
      </c>
      <c r="I18" s="121" t="s">
        <v>617</v>
      </c>
      <c r="J18" s="120" t="s">
        <v>617</v>
      </c>
      <c r="K18" s="120" t="s">
        <v>617</v>
      </c>
      <c r="L18" s="121" t="s">
        <v>617</v>
      </c>
      <c r="M18" s="121" t="s">
        <v>617</v>
      </c>
      <c r="N18" s="120" t="s">
        <v>617</v>
      </c>
      <c r="O18" s="120" t="s">
        <v>617</v>
      </c>
      <c r="P18" s="121" t="s">
        <v>617</v>
      </c>
      <c r="Q18" s="121" t="s">
        <v>617</v>
      </c>
      <c r="R18" s="120" t="s">
        <v>617</v>
      </c>
      <c r="S18" s="120" t="s">
        <v>617</v>
      </c>
      <c r="T18" s="121" t="s">
        <v>617</v>
      </c>
      <c r="U18" s="121" t="s">
        <v>617</v>
      </c>
      <c r="V18" s="120" t="s">
        <v>617</v>
      </c>
      <c r="W18" s="120" t="s">
        <v>617</v>
      </c>
      <c r="X18" s="121" t="s">
        <v>617</v>
      </c>
      <c r="Y18" s="121">
        <v>94.3</v>
      </c>
      <c r="Z18" s="120" t="s">
        <v>617</v>
      </c>
      <c r="AA18" s="120" t="s">
        <v>617</v>
      </c>
      <c r="AB18" s="121" t="s">
        <v>617</v>
      </c>
      <c r="AC18" s="121" t="s">
        <v>617</v>
      </c>
      <c r="AD18" s="120">
        <v>58.3</v>
      </c>
      <c r="AE18" s="120">
        <v>95.3</v>
      </c>
      <c r="AF18" s="121">
        <v>74.7</v>
      </c>
      <c r="AG18" s="121">
        <v>82.8</v>
      </c>
      <c r="AH18" s="120" t="s">
        <v>617</v>
      </c>
      <c r="AI18" s="120" t="s">
        <v>617</v>
      </c>
    </row>
    <row r="19" spans="1:35">
      <c r="A19" s="222" t="s">
        <v>625</v>
      </c>
      <c r="B19" s="222"/>
      <c r="C19" s="120" t="s">
        <v>617</v>
      </c>
      <c r="D19" s="121" t="s">
        <v>617</v>
      </c>
      <c r="E19" s="121" t="s">
        <v>617</v>
      </c>
      <c r="F19" s="120" t="s">
        <v>617</v>
      </c>
      <c r="G19" s="120" t="s">
        <v>617</v>
      </c>
      <c r="H19" s="121" t="s">
        <v>617</v>
      </c>
      <c r="I19" s="121" t="s">
        <v>617</v>
      </c>
      <c r="J19" s="120" t="s">
        <v>617</v>
      </c>
      <c r="K19" s="120" t="s">
        <v>617</v>
      </c>
      <c r="L19" s="121" t="s">
        <v>617</v>
      </c>
      <c r="M19" s="121" t="s">
        <v>617</v>
      </c>
      <c r="N19" s="120" t="s">
        <v>617</v>
      </c>
      <c r="O19" s="120" t="s">
        <v>617</v>
      </c>
      <c r="P19" s="121" t="s">
        <v>617</v>
      </c>
      <c r="Q19" s="121" t="s">
        <v>617</v>
      </c>
      <c r="R19" s="120" t="s">
        <v>617</v>
      </c>
      <c r="S19" s="120" t="s">
        <v>617</v>
      </c>
      <c r="T19" s="121" t="s">
        <v>617</v>
      </c>
      <c r="U19" s="121" t="s">
        <v>617</v>
      </c>
      <c r="V19" s="120" t="s">
        <v>617</v>
      </c>
      <c r="W19" s="120" t="s">
        <v>617</v>
      </c>
      <c r="X19" s="121" t="s">
        <v>617</v>
      </c>
      <c r="Y19" s="123">
        <v>0.26079999999999998</v>
      </c>
      <c r="Z19" s="120" t="s">
        <v>617</v>
      </c>
      <c r="AA19" s="120" t="s">
        <v>617</v>
      </c>
      <c r="AB19" s="121" t="s">
        <v>617</v>
      </c>
      <c r="AC19" s="121" t="s">
        <v>617</v>
      </c>
      <c r="AD19" s="122">
        <v>0.25819999999999999</v>
      </c>
      <c r="AE19" s="122">
        <v>0.40089999999999998</v>
      </c>
      <c r="AF19" s="123">
        <v>0.34889999999999999</v>
      </c>
      <c r="AG19" s="123">
        <v>0.377</v>
      </c>
      <c r="AH19" s="120" t="s">
        <v>617</v>
      </c>
      <c r="AI19" s="120" t="s">
        <v>617</v>
      </c>
    </row>
    <row r="20" spans="1:35">
      <c r="A20" s="222" t="s">
        <v>626</v>
      </c>
      <c r="B20" s="222"/>
      <c r="C20" s="120" t="s">
        <v>617</v>
      </c>
      <c r="D20" s="121" t="s">
        <v>617</v>
      </c>
      <c r="E20" s="121" t="s">
        <v>617</v>
      </c>
      <c r="F20" s="120" t="s">
        <v>617</v>
      </c>
      <c r="G20" s="120" t="s">
        <v>617</v>
      </c>
      <c r="H20" s="121" t="s">
        <v>617</v>
      </c>
      <c r="I20" s="121" t="s">
        <v>617</v>
      </c>
      <c r="J20" s="120" t="s">
        <v>617</v>
      </c>
      <c r="K20" s="120" t="s">
        <v>617</v>
      </c>
      <c r="L20" s="121" t="s">
        <v>617</v>
      </c>
      <c r="M20" s="121" t="s">
        <v>617</v>
      </c>
      <c r="N20" s="120" t="s">
        <v>617</v>
      </c>
      <c r="O20" s="120" t="s">
        <v>617</v>
      </c>
      <c r="P20" s="121" t="s">
        <v>617</v>
      </c>
      <c r="Q20" s="121" t="s">
        <v>617</v>
      </c>
      <c r="R20" s="120" t="s">
        <v>617</v>
      </c>
      <c r="S20" s="120" t="s">
        <v>617</v>
      </c>
      <c r="T20" s="121" t="s">
        <v>617</v>
      </c>
      <c r="U20" s="121" t="s">
        <v>617</v>
      </c>
      <c r="V20" s="120" t="s">
        <v>617</v>
      </c>
      <c r="W20" s="120" t="s">
        <v>617</v>
      </c>
      <c r="X20" s="121" t="s">
        <v>617</v>
      </c>
      <c r="Y20" s="121" t="s">
        <v>617</v>
      </c>
      <c r="Z20" s="120" t="s">
        <v>617</v>
      </c>
      <c r="AA20" s="120" t="s">
        <v>617</v>
      </c>
      <c r="AB20" s="121" t="s">
        <v>617</v>
      </c>
      <c r="AC20" s="121" t="s">
        <v>617</v>
      </c>
      <c r="AD20" s="120" t="s">
        <v>617</v>
      </c>
      <c r="AE20" s="120" t="s">
        <v>617</v>
      </c>
      <c r="AF20" s="121" t="s">
        <v>617</v>
      </c>
      <c r="AG20" s="121" t="s">
        <v>617</v>
      </c>
      <c r="AH20" s="120">
        <v>180</v>
      </c>
      <c r="AI20" s="120">
        <v>86.2</v>
      </c>
    </row>
    <row r="21" spans="1:35">
      <c r="A21" s="222" t="s">
        <v>627</v>
      </c>
      <c r="B21" s="222"/>
      <c r="C21" s="120" t="s">
        <v>617</v>
      </c>
      <c r="D21" s="121" t="s">
        <v>617</v>
      </c>
      <c r="E21" s="121" t="s">
        <v>617</v>
      </c>
      <c r="F21" s="120" t="s">
        <v>617</v>
      </c>
      <c r="G21" s="120" t="s">
        <v>617</v>
      </c>
      <c r="H21" s="121" t="s">
        <v>617</v>
      </c>
      <c r="I21" s="121" t="s">
        <v>617</v>
      </c>
      <c r="J21" s="120" t="s">
        <v>617</v>
      </c>
      <c r="K21" s="120" t="s">
        <v>617</v>
      </c>
      <c r="L21" s="121" t="s">
        <v>617</v>
      </c>
      <c r="M21" s="121" t="s">
        <v>617</v>
      </c>
      <c r="N21" s="120" t="s">
        <v>617</v>
      </c>
      <c r="O21" s="120" t="s">
        <v>617</v>
      </c>
      <c r="P21" s="121" t="s">
        <v>617</v>
      </c>
      <c r="Q21" s="121" t="s">
        <v>617</v>
      </c>
      <c r="R21" s="120" t="s">
        <v>617</v>
      </c>
      <c r="S21" s="120" t="s">
        <v>617</v>
      </c>
      <c r="T21" s="121" t="s">
        <v>617</v>
      </c>
      <c r="U21" s="121" t="s">
        <v>617</v>
      </c>
      <c r="V21" s="120" t="s">
        <v>617</v>
      </c>
      <c r="W21" s="120" t="s">
        <v>617</v>
      </c>
      <c r="X21" s="121" t="s">
        <v>617</v>
      </c>
      <c r="Y21" s="121" t="s">
        <v>617</v>
      </c>
      <c r="Z21" s="120" t="s">
        <v>617</v>
      </c>
      <c r="AA21" s="120" t="s">
        <v>617</v>
      </c>
      <c r="AB21" s="121" t="s">
        <v>617</v>
      </c>
      <c r="AC21" s="121" t="s">
        <v>617</v>
      </c>
      <c r="AD21" s="120" t="s">
        <v>617</v>
      </c>
      <c r="AE21" s="120" t="s">
        <v>617</v>
      </c>
      <c r="AF21" s="121" t="s">
        <v>617</v>
      </c>
      <c r="AG21" s="121" t="s">
        <v>617</v>
      </c>
      <c r="AH21" s="122">
        <v>0.41470000000000001</v>
      </c>
      <c r="AI21" s="122">
        <v>0.38140000000000002</v>
      </c>
    </row>
    <row r="22" spans="1:35">
      <c r="A22" s="223" t="s">
        <v>628</v>
      </c>
      <c r="B22" s="223"/>
      <c r="C22" s="118">
        <v>0.14000000000000001</v>
      </c>
      <c r="D22" s="124">
        <v>8.5000000000000006E-2</v>
      </c>
      <c r="E22" s="119">
        <v>0.14000000000000001</v>
      </c>
      <c r="F22" s="125">
        <v>8.4000000000000005E-2</v>
      </c>
      <c r="G22" s="118">
        <v>0.14000000000000001</v>
      </c>
      <c r="H22" s="124">
        <v>7.1999999999999995E-2</v>
      </c>
      <c r="I22" s="119">
        <v>0.15</v>
      </c>
      <c r="J22" s="118">
        <v>0.52</v>
      </c>
      <c r="K22" s="118">
        <v>0.16</v>
      </c>
      <c r="L22" s="124">
        <v>8.6999999999999994E-2</v>
      </c>
      <c r="M22" s="119">
        <v>0.15</v>
      </c>
      <c r="N22" s="125">
        <v>6.8000000000000005E-2</v>
      </c>
      <c r="O22" s="118">
        <v>0.12</v>
      </c>
      <c r="P22" s="124">
        <v>8.1000000000000003E-2</v>
      </c>
      <c r="Q22" s="119">
        <v>0.12</v>
      </c>
      <c r="R22" s="125">
        <v>9.7000000000000003E-2</v>
      </c>
      <c r="S22" s="118">
        <v>0.14000000000000001</v>
      </c>
      <c r="T22" s="124">
        <v>8.6999999999999994E-2</v>
      </c>
      <c r="U22" s="119">
        <v>0.17</v>
      </c>
      <c r="V22" s="125">
        <v>9.2999999999999999E-2</v>
      </c>
      <c r="W22" s="118">
        <v>0.16</v>
      </c>
      <c r="X22" s="124">
        <v>0.09</v>
      </c>
      <c r="Y22" s="119">
        <v>0.18</v>
      </c>
      <c r="Z22" s="125">
        <v>8.5999999999999993E-2</v>
      </c>
      <c r="AA22" s="118">
        <v>0.19</v>
      </c>
      <c r="AB22" s="119">
        <v>0.1</v>
      </c>
      <c r="AC22" s="119">
        <v>0.2</v>
      </c>
      <c r="AD22" s="118">
        <v>0.11</v>
      </c>
      <c r="AE22" s="118">
        <v>0.2</v>
      </c>
      <c r="AF22" s="119">
        <v>0.13</v>
      </c>
      <c r="AG22" s="119">
        <v>0.21</v>
      </c>
      <c r="AH22" s="118">
        <v>0.21</v>
      </c>
      <c r="AI22" s="118">
        <v>0.16</v>
      </c>
    </row>
    <row r="23" spans="1:35">
      <c r="A23" s="222" t="s">
        <v>614</v>
      </c>
      <c r="B23" s="222"/>
      <c r="C23" s="120">
        <v>144.80000000000001</v>
      </c>
      <c r="D23" s="121">
        <v>75.599999999999994</v>
      </c>
      <c r="E23" s="121">
        <v>149.30000000000001</v>
      </c>
      <c r="F23" s="120">
        <v>80.7</v>
      </c>
      <c r="G23" s="120">
        <v>143.1</v>
      </c>
      <c r="H23" s="121">
        <v>62.5</v>
      </c>
      <c r="I23" s="121">
        <v>152.6</v>
      </c>
      <c r="J23" s="120">
        <v>434.3</v>
      </c>
      <c r="K23" s="120">
        <v>167.6</v>
      </c>
      <c r="L23" s="121">
        <v>75.2</v>
      </c>
      <c r="M23" s="121">
        <v>149.1</v>
      </c>
      <c r="N23" s="120">
        <v>57.9</v>
      </c>
      <c r="O23" s="120">
        <v>130.9</v>
      </c>
      <c r="P23" s="121">
        <v>69.8</v>
      </c>
      <c r="Q23" s="121">
        <v>117.5</v>
      </c>
      <c r="R23" s="120">
        <v>81.099999999999994</v>
      </c>
      <c r="S23" s="120">
        <v>138.4</v>
      </c>
      <c r="T23" s="121">
        <v>66</v>
      </c>
      <c r="U23" s="121">
        <v>150.1</v>
      </c>
      <c r="V23" s="120">
        <v>65.7</v>
      </c>
      <c r="W23" s="120">
        <v>136.30000000000001</v>
      </c>
      <c r="X23" s="121">
        <v>61.6</v>
      </c>
      <c r="Y23" s="121">
        <v>139.5</v>
      </c>
      <c r="Z23" s="120">
        <v>61.8</v>
      </c>
      <c r="AA23" s="120">
        <v>134.1</v>
      </c>
      <c r="AB23" s="121">
        <v>59.9</v>
      </c>
      <c r="AC23" s="121">
        <v>119.3</v>
      </c>
      <c r="AD23" s="120">
        <v>51</v>
      </c>
      <c r="AE23" s="120">
        <v>116.7</v>
      </c>
      <c r="AF23" s="121">
        <v>59.1</v>
      </c>
      <c r="AG23" s="121">
        <v>115.8</v>
      </c>
      <c r="AH23" s="120">
        <v>157.19999999999999</v>
      </c>
      <c r="AI23" s="120">
        <v>101.5</v>
      </c>
    </row>
    <row r="24" spans="1:35">
      <c r="A24" s="222" t="s">
        <v>615</v>
      </c>
      <c r="B24" s="222"/>
      <c r="C24" s="120">
        <v>144.80000000000001</v>
      </c>
      <c r="D24" s="121">
        <v>75.599999999999994</v>
      </c>
      <c r="E24" s="121">
        <v>149.30000000000001</v>
      </c>
      <c r="F24" s="120">
        <v>80.7</v>
      </c>
      <c r="G24" s="120">
        <v>143.1</v>
      </c>
      <c r="H24" s="121">
        <v>62.5</v>
      </c>
      <c r="I24" s="121">
        <v>152.6</v>
      </c>
      <c r="J24" s="120">
        <v>434.3</v>
      </c>
      <c r="K24" s="120">
        <v>167.6</v>
      </c>
      <c r="L24" s="121">
        <v>75.2</v>
      </c>
      <c r="M24" s="121">
        <v>149.1</v>
      </c>
      <c r="N24" s="120">
        <v>57.9</v>
      </c>
      <c r="O24" s="120">
        <v>130.9</v>
      </c>
      <c r="P24" s="121">
        <v>69.8</v>
      </c>
      <c r="Q24" s="121">
        <v>117.5</v>
      </c>
      <c r="R24" s="120">
        <v>81.099999999999994</v>
      </c>
      <c r="S24" s="120">
        <v>138.4</v>
      </c>
      <c r="T24" s="121">
        <v>66</v>
      </c>
      <c r="U24" s="121">
        <v>150.1</v>
      </c>
      <c r="V24" s="120">
        <v>65.7</v>
      </c>
      <c r="W24" s="120">
        <v>136.30000000000001</v>
      </c>
      <c r="X24" s="121">
        <v>61.6</v>
      </c>
      <c r="Y24" s="121">
        <v>139.5</v>
      </c>
      <c r="Z24" s="120">
        <v>61.8</v>
      </c>
      <c r="AA24" s="120">
        <v>134.1</v>
      </c>
      <c r="AB24" s="121">
        <v>59.9</v>
      </c>
      <c r="AC24" s="121">
        <v>119.3</v>
      </c>
      <c r="AD24" s="120">
        <v>51</v>
      </c>
      <c r="AE24" s="120">
        <v>116.7</v>
      </c>
      <c r="AF24" s="121">
        <v>59.1</v>
      </c>
      <c r="AG24" s="121">
        <v>115.8</v>
      </c>
      <c r="AH24" s="120">
        <v>157.19999999999999</v>
      </c>
      <c r="AI24" s="120">
        <v>101.5</v>
      </c>
    </row>
    <row r="25" spans="1:35">
      <c r="A25" s="222" t="s">
        <v>616</v>
      </c>
      <c r="B25" s="222"/>
      <c r="C25" s="120">
        <v>113.2</v>
      </c>
      <c r="D25" s="121">
        <v>47.7</v>
      </c>
      <c r="E25" s="121">
        <v>120.2</v>
      </c>
      <c r="F25" s="120">
        <v>48</v>
      </c>
      <c r="G25" s="120">
        <v>111</v>
      </c>
      <c r="H25" s="121">
        <v>30.4</v>
      </c>
      <c r="I25" s="121">
        <v>122.1</v>
      </c>
      <c r="J25" s="120">
        <v>242.2</v>
      </c>
      <c r="K25" s="120">
        <v>137.6</v>
      </c>
      <c r="L25" s="121">
        <v>46.3</v>
      </c>
      <c r="M25" s="121">
        <v>118.3</v>
      </c>
      <c r="N25" s="120">
        <v>31.9</v>
      </c>
      <c r="O25" s="120">
        <v>104.8</v>
      </c>
      <c r="P25" s="121">
        <v>50</v>
      </c>
      <c r="Q25" s="121">
        <v>92</v>
      </c>
      <c r="R25" s="120">
        <v>49.5</v>
      </c>
      <c r="S25" s="120">
        <v>118.6</v>
      </c>
      <c r="T25" s="121">
        <v>41.9</v>
      </c>
      <c r="U25" s="121">
        <v>125.4</v>
      </c>
      <c r="V25" s="120" t="s">
        <v>617</v>
      </c>
      <c r="W25" s="120" t="s">
        <v>617</v>
      </c>
      <c r="X25" s="121" t="s">
        <v>617</v>
      </c>
      <c r="Y25" s="121" t="s">
        <v>617</v>
      </c>
      <c r="Z25" s="120" t="s">
        <v>617</v>
      </c>
      <c r="AA25" s="120" t="s">
        <v>617</v>
      </c>
      <c r="AB25" s="121" t="s">
        <v>617</v>
      </c>
      <c r="AC25" s="121" t="s">
        <v>617</v>
      </c>
      <c r="AD25" s="120" t="s">
        <v>617</v>
      </c>
      <c r="AE25" s="120" t="s">
        <v>617</v>
      </c>
      <c r="AF25" s="121" t="s">
        <v>617</v>
      </c>
      <c r="AG25" s="121" t="s">
        <v>617</v>
      </c>
      <c r="AH25" s="120" t="s">
        <v>617</v>
      </c>
      <c r="AI25" s="120" t="s">
        <v>617</v>
      </c>
    </row>
    <row r="26" spans="1:35">
      <c r="A26" s="222" t="s">
        <v>618</v>
      </c>
      <c r="B26" s="222"/>
      <c r="C26" s="122">
        <v>0.78180000000000005</v>
      </c>
      <c r="D26" s="123">
        <v>0.63100000000000001</v>
      </c>
      <c r="E26" s="123">
        <v>0.80510000000000004</v>
      </c>
      <c r="F26" s="122">
        <v>0.5948</v>
      </c>
      <c r="G26" s="122">
        <v>0.77569999999999995</v>
      </c>
      <c r="H26" s="123">
        <v>0.4864</v>
      </c>
      <c r="I26" s="123">
        <v>0.80010000000000003</v>
      </c>
      <c r="J26" s="122">
        <v>0.55769999999999997</v>
      </c>
      <c r="K26" s="122">
        <v>0.82099999999999995</v>
      </c>
      <c r="L26" s="123">
        <v>0.61570000000000003</v>
      </c>
      <c r="M26" s="123">
        <v>0.79339999999999999</v>
      </c>
      <c r="N26" s="122">
        <v>0.55089999999999995</v>
      </c>
      <c r="O26" s="122">
        <v>0.80059999999999998</v>
      </c>
      <c r="P26" s="123">
        <v>0.71630000000000005</v>
      </c>
      <c r="Q26" s="123">
        <v>0.78300000000000003</v>
      </c>
      <c r="R26" s="122">
        <v>0.61040000000000005</v>
      </c>
      <c r="S26" s="122">
        <v>0.8569</v>
      </c>
      <c r="T26" s="123">
        <v>0.63480000000000003</v>
      </c>
      <c r="U26" s="123">
        <v>0.83540000000000003</v>
      </c>
      <c r="V26" s="120" t="s">
        <v>617</v>
      </c>
      <c r="W26" s="120" t="s">
        <v>617</v>
      </c>
      <c r="X26" s="121" t="s">
        <v>617</v>
      </c>
      <c r="Y26" s="121" t="s">
        <v>617</v>
      </c>
      <c r="Z26" s="120" t="s">
        <v>617</v>
      </c>
      <c r="AA26" s="120" t="s">
        <v>617</v>
      </c>
      <c r="AB26" s="121" t="s">
        <v>617</v>
      </c>
      <c r="AC26" s="121" t="s">
        <v>617</v>
      </c>
      <c r="AD26" s="120" t="s">
        <v>617</v>
      </c>
      <c r="AE26" s="120" t="s">
        <v>617</v>
      </c>
      <c r="AF26" s="121" t="s">
        <v>617</v>
      </c>
      <c r="AG26" s="121" t="s">
        <v>617</v>
      </c>
      <c r="AH26" s="120" t="s">
        <v>617</v>
      </c>
      <c r="AI26" s="120" t="s">
        <v>617</v>
      </c>
    </row>
    <row r="27" spans="1:35">
      <c r="A27" s="222" t="s">
        <v>619</v>
      </c>
      <c r="B27" s="222"/>
      <c r="C27" s="120">
        <v>30</v>
      </c>
      <c r="D27" s="121">
        <v>29.8</v>
      </c>
      <c r="E27" s="121">
        <v>30.7</v>
      </c>
      <c r="F27" s="120">
        <v>29.2</v>
      </c>
      <c r="G27" s="120">
        <v>32.9</v>
      </c>
      <c r="H27" s="121">
        <v>27</v>
      </c>
      <c r="I27" s="121">
        <v>24.8</v>
      </c>
      <c r="J27" s="120">
        <v>76.7</v>
      </c>
      <c r="K27" s="120">
        <v>22.7</v>
      </c>
      <c r="L27" s="121">
        <v>21.9</v>
      </c>
      <c r="M27" s="121">
        <v>24.5</v>
      </c>
      <c r="N27" s="120">
        <v>19.7</v>
      </c>
      <c r="O27" s="120">
        <v>28.4</v>
      </c>
      <c r="P27" s="121">
        <v>28.9</v>
      </c>
      <c r="Q27" s="121">
        <v>30.2</v>
      </c>
      <c r="R27" s="120">
        <v>28.6</v>
      </c>
      <c r="S27" s="120">
        <v>27.4</v>
      </c>
      <c r="T27" s="121">
        <v>27.5</v>
      </c>
      <c r="U27" s="121">
        <v>27</v>
      </c>
      <c r="V27" s="120">
        <v>26.5</v>
      </c>
      <c r="W27" s="120">
        <v>25.6</v>
      </c>
      <c r="X27" s="121" t="s">
        <v>617</v>
      </c>
      <c r="Y27" s="121" t="s">
        <v>617</v>
      </c>
      <c r="Z27" s="120" t="s">
        <v>617</v>
      </c>
      <c r="AA27" s="120" t="s">
        <v>617</v>
      </c>
      <c r="AB27" s="121" t="s">
        <v>617</v>
      </c>
      <c r="AC27" s="121" t="s">
        <v>617</v>
      </c>
      <c r="AD27" s="120" t="s">
        <v>617</v>
      </c>
      <c r="AE27" s="120" t="s">
        <v>617</v>
      </c>
      <c r="AF27" s="121" t="s">
        <v>617</v>
      </c>
      <c r="AG27" s="121" t="s">
        <v>617</v>
      </c>
      <c r="AH27" s="120" t="s">
        <v>617</v>
      </c>
      <c r="AI27" s="120" t="s">
        <v>617</v>
      </c>
    </row>
    <row r="28" spans="1:35">
      <c r="A28" s="222" t="s">
        <v>620</v>
      </c>
      <c r="B28" s="222"/>
      <c r="C28" s="120">
        <v>57.8</v>
      </c>
      <c r="D28" s="121">
        <v>50.6</v>
      </c>
      <c r="E28" s="121">
        <v>49.6</v>
      </c>
      <c r="F28" s="120">
        <v>53.9</v>
      </c>
      <c r="G28" s="120">
        <v>51</v>
      </c>
      <c r="H28" s="121">
        <v>58.2</v>
      </c>
      <c r="I28" s="121">
        <v>48.6</v>
      </c>
      <c r="J28" s="120">
        <v>119.2</v>
      </c>
      <c r="K28" s="120">
        <v>44.6</v>
      </c>
      <c r="L28" s="121" t="s">
        <v>617</v>
      </c>
      <c r="M28" s="121" t="s">
        <v>617</v>
      </c>
      <c r="N28" s="120" t="s">
        <v>617</v>
      </c>
      <c r="O28" s="120" t="s">
        <v>617</v>
      </c>
      <c r="P28" s="121" t="s">
        <v>617</v>
      </c>
      <c r="Q28" s="121" t="s">
        <v>617</v>
      </c>
      <c r="R28" s="120" t="s">
        <v>617</v>
      </c>
      <c r="S28" s="120" t="s">
        <v>617</v>
      </c>
      <c r="T28" s="121" t="s">
        <v>617</v>
      </c>
      <c r="U28" s="121" t="s">
        <v>617</v>
      </c>
      <c r="V28" s="120" t="s">
        <v>617</v>
      </c>
      <c r="W28" s="120" t="s">
        <v>617</v>
      </c>
      <c r="X28" s="121" t="s">
        <v>617</v>
      </c>
      <c r="Y28" s="121" t="s">
        <v>617</v>
      </c>
      <c r="Z28" s="120" t="s">
        <v>617</v>
      </c>
      <c r="AA28" s="120" t="s">
        <v>617</v>
      </c>
      <c r="AB28" s="121" t="s">
        <v>617</v>
      </c>
      <c r="AC28" s="121" t="s">
        <v>617</v>
      </c>
      <c r="AD28" s="120" t="s">
        <v>617</v>
      </c>
      <c r="AE28" s="120" t="s">
        <v>617</v>
      </c>
      <c r="AF28" s="121" t="s">
        <v>617</v>
      </c>
      <c r="AG28" s="121" t="s">
        <v>617</v>
      </c>
      <c r="AH28" s="120" t="s">
        <v>617</v>
      </c>
      <c r="AI28" s="120" t="s">
        <v>617</v>
      </c>
    </row>
    <row r="29" spans="1:35">
      <c r="A29" s="222" t="s">
        <v>621</v>
      </c>
      <c r="B29" s="222"/>
      <c r="C29" s="120" t="s">
        <v>617</v>
      </c>
      <c r="D29" s="121" t="s">
        <v>617</v>
      </c>
      <c r="E29" s="121" t="s">
        <v>617</v>
      </c>
      <c r="F29" s="120" t="s">
        <v>617</v>
      </c>
      <c r="G29" s="120" t="s">
        <v>617</v>
      </c>
      <c r="H29" s="121" t="s">
        <v>617</v>
      </c>
      <c r="I29" s="121" t="s">
        <v>617</v>
      </c>
      <c r="J29" s="120" t="s">
        <v>617</v>
      </c>
      <c r="K29" s="120" t="s">
        <v>617</v>
      </c>
      <c r="L29" s="121" t="s">
        <v>617</v>
      </c>
      <c r="M29" s="121" t="s">
        <v>617</v>
      </c>
      <c r="N29" s="120" t="s">
        <v>617</v>
      </c>
      <c r="O29" s="120" t="s">
        <v>617</v>
      </c>
      <c r="P29" s="121" t="s">
        <v>617</v>
      </c>
      <c r="Q29" s="121" t="s">
        <v>617</v>
      </c>
      <c r="R29" s="120" t="s">
        <v>617</v>
      </c>
      <c r="S29" s="120" t="s">
        <v>617</v>
      </c>
      <c r="T29" s="121" t="s">
        <v>617</v>
      </c>
      <c r="U29" s="121" t="s">
        <v>617</v>
      </c>
      <c r="V29" s="120">
        <v>44.5</v>
      </c>
      <c r="W29" s="120">
        <v>117.6</v>
      </c>
      <c r="X29" s="121" t="s">
        <v>617</v>
      </c>
      <c r="Y29" s="121" t="s">
        <v>617</v>
      </c>
      <c r="Z29" s="120" t="s">
        <v>617</v>
      </c>
      <c r="AA29" s="120" t="s">
        <v>617</v>
      </c>
      <c r="AB29" s="121" t="s">
        <v>617</v>
      </c>
      <c r="AC29" s="121" t="s">
        <v>617</v>
      </c>
      <c r="AD29" s="120" t="s">
        <v>617</v>
      </c>
      <c r="AE29" s="120" t="s">
        <v>617</v>
      </c>
      <c r="AF29" s="121" t="s">
        <v>617</v>
      </c>
      <c r="AG29" s="121" t="s">
        <v>617</v>
      </c>
      <c r="AH29" s="120" t="s">
        <v>617</v>
      </c>
      <c r="AI29" s="120" t="s">
        <v>617</v>
      </c>
    </row>
    <row r="30" spans="1:35">
      <c r="A30" s="222" t="s">
        <v>622</v>
      </c>
      <c r="B30" s="222"/>
      <c r="C30" s="120" t="s">
        <v>617</v>
      </c>
      <c r="D30" s="121" t="s">
        <v>617</v>
      </c>
      <c r="E30" s="121" t="s">
        <v>617</v>
      </c>
      <c r="F30" s="120" t="s">
        <v>617</v>
      </c>
      <c r="G30" s="120" t="s">
        <v>617</v>
      </c>
      <c r="H30" s="121" t="s">
        <v>617</v>
      </c>
      <c r="I30" s="121" t="s">
        <v>617</v>
      </c>
      <c r="J30" s="120" t="s">
        <v>617</v>
      </c>
      <c r="K30" s="120" t="s">
        <v>617</v>
      </c>
      <c r="L30" s="121" t="s">
        <v>617</v>
      </c>
      <c r="M30" s="121" t="s">
        <v>617</v>
      </c>
      <c r="N30" s="120" t="s">
        <v>617</v>
      </c>
      <c r="O30" s="120" t="s">
        <v>617</v>
      </c>
      <c r="P30" s="121" t="s">
        <v>617</v>
      </c>
      <c r="Q30" s="121" t="s">
        <v>617</v>
      </c>
      <c r="R30" s="120" t="s">
        <v>617</v>
      </c>
      <c r="S30" s="120" t="s">
        <v>617</v>
      </c>
      <c r="T30" s="121" t="s">
        <v>617</v>
      </c>
      <c r="U30" s="121" t="s">
        <v>617</v>
      </c>
      <c r="V30" s="122">
        <v>0.67730000000000001</v>
      </c>
      <c r="W30" s="122">
        <v>0.86280000000000001</v>
      </c>
      <c r="X30" s="121" t="s">
        <v>617</v>
      </c>
      <c r="Y30" s="121" t="s">
        <v>617</v>
      </c>
      <c r="Z30" s="120" t="s">
        <v>617</v>
      </c>
      <c r="AA30" s="120" t="s">
        <v>617</v>
      </c>
      <c r="AB30" s="121" t="s">
        <v>617</v>
      </c>
      <c r="AC30" s="121" t="s">
        <v>617</v>
      </c>
      <c r="AD30" s="120" t="s">
        <v>617</v>
      </c>
      <c r="AE30" s="120" t="s">
        <v>617</v>
      </c>
      <c r="AF30" s="121" t="s">
        <v>617</v>
      </c>
      <c r="AG30" s="121" t="s">
        <v>617</v>
      </c>
      <c r="AH30" s="120" t="s">
        <v>617</v>
      </c>
      <c r="AI30" s="120" t="s">
        <v>617</v>
      </c>
    </row>
    <row r="31" spans="1:35">
      <c r="A31" s="222" t="s">
        <v>623</v>
      </c>
      <c r="B31" s="222"/>
      <c r="C31" s="120" t="s">
        <v>617</v>
      </c>
      <c r="D31" s="121" t="s">
        <v>617</v>
      </c>
      <c r="E31" s="121" t="s">
        <v>617</v>
      </c>
      <c r="F31" s="120" t="s">
        <v>617</v>
      </c>
      <c r="G31" s="120" t="s">
        <v>617</v>
      </c>
      <c r="H31" s="121" t="s">
        <v>617</v>
      </c>
      <c r="I31" s="121" t="s">
        <v>617</v>
      </c>
      <c r="J31" s="120" t="s">
        <v>617</v>
      </c>
      <c r="K31" s="120" t="s">
        <v>617</v>
      </c>
      <c r="L31" s="121" t="s">
        <v>617</v>
      </c>
      <c r="M31" s="121" t="s">
        <v>617</v>
      </c>
      <c r="N31" s="120" t="s">
        <v>617</v>
      </c>
      <c r="O31" s="120" t="s">
        <v>617</v>
      </c>
      <c r="P31" s="121" t="s">
        <v>617</v>
      </c>
      <c r="Q31" s="121" t="s">
        <v>617</v>
      </c>
      <c r="R31" s="120" t="s">
        <v>617</v>
      </c>
      <c r="S31" s="120" t="s">
        <v>617</v>
      </c>
      <c r="T31" s="121" t="s">
        <v>617</v>
      </c>
      <c r="U31" s="121" t="s">
        <v>617</v>
      </c>
      <c r="V31" s="120" t="s">
        <v>617</v>
      </c>
      <c r="W31" s="120" t="s">
        <v>617</v>
      </c>
      <c r="X31" s="121">
        <v>33.799999999999997</v>
      </c>
      <c r="Y31" s="121">
        <v>36.200000000000003</v>
      </c>
      <c r="Z31" s="120">
        <v>20.3</v>
      </c>
      <c r="AA31" s="120">
        <v>39.299999999999997</v>
      </c>
      <c r="AB31" s="121">
        <v>37.4</v>
      </c>
      <c r="AC31" s="121">
        <v>40.6</v>
      </c>
      <c r="AD31" s="120">
        <v>35.799999999999997</v>
      </c>
      <c r="AE31" s="120">
        <v>29.7</v>
      </c>
      <c r="AF31" s="121">
        <v>21.1</v>
      </c>
      <c r="AG31" s="121">
        <v>27.8</v>
      </c>
      <c r="AH31" s="120" t="s">
        <v>617</v>
      </c>
      <c r="AI31" s="120" t="s">
        <v>617</v>
      </c>
    </row>
    <row r="32" spans="1:35">
      <c r="A32" s="222" t="s">
        <v>624</v>
      </c>
      <c r="B32" s="222"/>
      <c r="C32" s="120" t="s">
        <v>617</v>
      </c>
      <c r="D32" s="121" t="s">
        <v>617</v>
      </c>
      <c r="E32" s="121" t="s">
        <v>617</v>
      </c>
      <c r="F32" s="120" t="s">
        <v>617</v>
      </c>
      <c r="G32" s="120" t="s">
        <v>617</v>
      </c>
      <c r="H32" s="121" t="s">
        <v>617</v>
      </c>
      <c r="I32" s="121" t="s">
        <v>617</v>
      </c>
      <c r="J32" s="120" t="s">
        <v>617</v>
      </c>
      <c r="K32" s="120" t="s">
        <v>617</v>
      </c>
      <c r="L32" s="121" t="s">
        <v>617</v>
      </c>
      <c r="M32" s="121" t="s">
        <v>617</v>
      </c>
      <c r="N32" s="120" t="s">
        <v>617</v>
      </c>
      <c r="O32" s="120" t="s">
        <v>617</v>
      </c>
      <c r="P32" s="121" t="s">
        <v>617</v>
      </c>
      <c r="Q32" s="121" t="s">
        <v>617</v>
      </c>
      <c r="R32" s="120" t="s">
        <v>617</v>
      </c>
      <c r="S32" s="120" t="s">
        <v>617</v>
      </c>
      <c r="T32" s="121" t="s">
        <v>617</v>
      </c>
      <c r="U32" s="121" t="s">
        <v>617</v>
      </c>
      <c r="V32" s="120" t="s">
        <v>617</v>
      </c>
      <c r="W32" s="120" t="s">
        <v>617</v>
      </c>
      <c r="X32" s="121" t="s">
        <v>617</v>
      </c>
      <c r="Y32" s="121">
        <v>102.7</v>
      </c>
      <c r="Z32" s="120" t="s">
        <v>617</v>
      </c>
      <c r="AA32" s="120" t="s">
        <v>617</v>
      </c>
      <c r="AB32" s="121" t="s">
        <v>617</v>
      </c>
      <c r="AC32" s="121" t="s">
        <v>617</v>
      </c>
      <c r="AD32" s="120">
        <v>16.5</v>
      </c>
      <c r="AE32" s="120">
        <v>71.099999999999994</v>
      </c>
      <c r="AF32" s="121">
        <v>15.7</v>
      </c>
      <c r="AG32" s="121">
        <v>62.2</v>
      </c>
      <c r="AH32" s="120" t="s">
        <v>617</v>
      </c>
      <c r="AI32" s="120" t="s">
        <v>617</v>
      </c>
    </row>
    <row r="33" spans="1:35">
      <c r="A33" s="222" t="s">
        <v>625</v>
      </c>
      <c r="B33" s="222"/>
      <c r="C33" s="120" t="s">
        <v>617</v>
      </c>
      <c r="D33" s="121" t="s">
        <v>617</v>
      </c>
      <c r="E33" s="121" t="s">
        <v>617</v>
      </c>
      <c r="F33" s="120" t="s">
        <v>617</v>
      </c>
      <c r="G33" s="120" t="s">
        <v>617</v>
      </c>
      <c r="H33" s="121" t="s">
        <v>617</v>
      </c>
      <c r="I33" s="121" t="s">
        <v>617</v>
      </c>
      <c r="J33" s="120" t="s">
        <v>617</v>
      </c>
      <c r="K33" s="120" t="s">
        <v>617</v>
      </c>
      <c r="L33" s="121" t="s">
        <v>617</v>
      </c>
      <c r="M33" s="121" t="s">
        <v>617</v>
      </c>
      <c r="N33" s="120" t="s">
        <v>617</v>
      </c>
      <c r="O33" s="120" t="s">
        <v>617</v>
      </c>
      <c r="P33" s="121" t="s">
        <v>617</v>
      </c>
      <c r="Q33" s="121" t="s">
        <v>617</v>
      </c>
      <c r="R33" s="120" t="s">
        <v>617</v>
      </c>
      <c r="S33" s="120" t="s">
        <v>617</v>
      </c>
      <c r="T33" s="121" t="s">
        <v>617</v>
      </c>
      <c r="U33" s="121" t="s">
        <v>617</v>
      </c>
      <c r="V33" s="120" t="s">
        <v>617</v>
      </c>
      <c r="W33" s="120" t="s">
        <v>617</v>
      </c>
      <c r="X33" s="121" t="s">
        <v>617</v>
      </c>
      <c r="Y33" s="123">
        <v>0.73619999999999997</v>
      </c>
      <c r="Z33" s="120" t="s">
        <v>617</v>
      </c>
      <c r="AA33" s="120" t="s">
        <v>617</v>
      </c>
      <c r="AB33" s="121" t="s">
        <v>617</v>
      </c>
      <c r="AC33" s="121" t="s">
        <v>617</v>
      </c>
      <c r="AD33" s="122">
        <v>0.32350000000000001</v>
      </c>
      <c r="AE33" s="122">
        <v>0.60929999999999995</v>
      </c>
      <c r="AF33" s="123">
        <v>0.26529999999999998</v>
      </c>
      <c r="AG33" s="123">
        <v>0.53669999999999995</v>
      </c>
      <c r="AH33" s="120" t="s">
        <v>617</v>
      </c>
      <c r="AI33" s="120" t="s">
        <v>617</v>
      </c>
    </row>
    <row r="34" spans="1:35">
      <c r="A34" s="222" t="s">
        <v>626</v>
      </c>
      <c r="B34" s="222"/>
      <c r="C34" s="120" t="s">
        <v>617</v>
      </c>
      <c r="D34" s="121" t="s">
        <v>617</v>
      </c>
      <c r="E34" s="121" t="s">
        <v>617</v>
      </c>
      <c r="F34" s="120" t="s">
        <v>617</v>
      </c>
      <c r="G34" s="120" t="s">
        <v>617</v>
      </c>
      <c r="H34" s="121" t="s">
        <v>617</v>
      </c>
      <c r="I34" s="121" t="s">
        <v>617</v>
      </c>
      <c r="J34" s="120" t="s">
        <v>617</v>
      </c>
      <c r="K34" s="120" t="s">
        <v>617</v>
      </c>
      <c r="L34" s="121" t="s">
        <v>617</v>
      </c>
      <c r="M34" s="121" t="s">
        <v>617</v>
      </c>
      <c r="N34" s="120" t="s">
        <v>617</v>
      </c>
      <c r="O34" s="120" t="s">
        <v>617</v>
      </c>
      <c r="P34" s="121" t="s">
        <v>617</v>
      </c>
      <c r="Q34" s="121" t="s">
        <v>617</v>
      </c>
      <c r="R34" s="120" t="s">
        <v>617</v>
      </c>
      <c r="S34" s="120" t="s">
        <v>617</v>
      </c>
      <c r="T34" s="121" t="s">
        <v>617</v>
      </c>
      <c r="U34" s="121" t="s">
        <v>617</v>
      </c>
      <c r="V34" s="120" t="s">
        <v>617</v>
      </c>
      <c r="W34" s="120" t="s">
        <v>617</v>
      </c>
      <c r="X34" s="121" t="s">
        <v>617</v>
      </c>
      <c r="Y34" s="121" t="s">
        <v>617</v>
      </c>
      <c r="Z34" s="120" t="s">
        <v>617</v>
      </c>
      <c r="AA34" s="120" t="s">
        <v>617</v>
      </c>
      <c r="AB34" s="121" t="s">
        <v>617</v>
      </c>
      <c r="AC34" s="121" t="s">
        <v>617</v>
      </c>
      <c r="AD34" s="120" t="s">
        <v>617</v>
      </c>
      <c r="AE34" s="120" t="s">
        <v>617</v>
      </c>
      <c r="AF34" s="121" t="s">
        <v>617</v>
      </c>
      <c r="AG34" s="121" t="s">
        <v>617</v>
      </c>
      <c r="AH34" s="120">
        <v>88.9</v>
      </c>
      <c r="AI34" s="120">
        <v>52.2</v>
      </c>
    </row>
    <row r="35" spans="1:35">
      <c r="A35" s="222" t="s">
        <v>627</v>
      </c>
      <c r="B35" s="222"/>
      <c r="C35" s="120" t="s">
        <v>617</v>
      </c>
      <c r="D35" s="121" t="s">
        <v>617</v>
      </c>
      <c r="E35" s="121" t="s">
        <v>617</v>
      </c>
      <c r="F35" s="120" t="s">
        <v>617</v>
      </c>
      <c r="G35" s="120" t="s">
        <v>617</v>
      </c>
      <c r="H35" s="121" t="s">
        <v>617</v>
      </c>
      <c r="I35" s="121" t="s">
        <v>617</v>
      </c>
      <c r="J35" s="120" t="s">
        <v>617</v>
      </c>
      <c r="K35" s="120" t="s">
        <v>617</v>
      </c>
      <c r="L35" s="121" t="s">
        <v>617</v>
      </c>
      <c r="M35" s="121" t="s">
        <v>617</v>
      </c>
      <c r="N35" s="120" t="s">
        <v>617</v>
      </c>
      <c r="O35" s="120" t="s">
        <v>617</v>
      </c>
      <c r="P35" s="121" t="s">
        <v>617</v>
      </c>
      <c r="Q35" s="121" t="s">
        <v>617</v>
      </c>
      <c r="R35" s="120" t="s">
        <v>617</v>
      </c>
      <c r="S35" s="120" t="s">
        <v>617</v>
      </c>
      <c r="T35" s="121" t="s">
        <v>617</v>
      </c>
      <c r="U35" s="121" t="s">
        <v>617</v>
      </c>
      <c r="V35" s="120" t="s">
        <v>617</v>
      </c>
      <c r="W35" s="120" t="s">
        <v>617</v>
      </c>
      <c r="X35" s="121" t="s">
        <v>617</v>
      </c>
      <c r="Y35" s="121" t="s">
        <v>617</v>
      </c>
      <c r="Z35" s="120" t="s">
        <v>617</v>
      </c>
      <c r="AA35" s="120" t="s">
        <v>617</v>
      </c>
      <c r="AB35" s="121" t="s">
        <v>617</v>
      </c>
      <c r="AC35" s="121" t="s">
        <v>617</v>
      </c>
      <c r="AD35" s="120" t="s">
        <v>617</v>
      </c>
      <c r="AE35" s="120" t="s">
        <v>617</v>
      </c>
      <c r="AF35" s="121" t="s">
        <v>617</v>
      </c>
      <c r="AG35" s="121" t="s">
        <v>617</v>
      </c>
      <c r="AH35" s="122">
        <v>0.5655</v>
      </c>
      <c r="AI35" s="122">
        <v>0.51470000000000005</v>
      </c>
    </row>
    <row r="36" spans="1:35">
      <c r="A36" s="223" t="s">
        <v>629</v>
      </c>
      <c r="B36" s="223"/>
      <c r="C36" s="118">
        <v>0.3</v>
      </c>
      <c r="D36" s="119">
        <v>0.34</v>
      </c>
      <c r="E36" s="119">
        <v>0.28999999999999998</v>
      </c>
      <c r="F36" s="118">
        <v>0.36</v>
      </c>
      <c r="G36" s="118">
        <v>0.32</v>
      </c>
      <c r="H36" s="119">
        <v>0.35</v>
      </c>
      <c r="I36" s="119">
        <v>0.31</v>
      </c>
      <c r="J36" s="118">
        <v>-0.12</v>
      </c>
      <c r="K36" s="118">
        <v>0.3</v>
      </c>
      <c r="L36" s="119">
        <v>0.28999999999999998</v>
      </c>
      <c r="M36" s="119">
        <v>0.31</v>
      </c>
      <c r="N36" s="118">
        <v>0.3</v>
      </c>
      <c r="O36" s="118">
        <v>0.31</v>
      </c>
      <c r="P36" s="119">
        <v>0.34</v>
      </c>
      <c r="Q36" s="119">
        <v>0.34</v>
      </c>
      <c r="R36" s="118">
        <v>0.35</v>
      </c>
      <c r="S36" s="118">
        <v>0.35</v>
      </c>
      <c r="T36" s="119">
        <v>0.38</v>
      </c>
      <c r="U36" s="119">
        <v>0.36</v>
      </c>
      <c r="V36" s="118">
        <v>0.38</v>
      </c>
      <c r="W36" s="118">
        <v>0.36</v>
      </c>
      <c r="X36" s="119">
        <v>0.37</v>
      </c>
      <c r="Y36" s="119">
        <v>0.37</v>
      </c>
      <c r="Z36" s="118">
        <v>0.38</v>
      </c>
      <c r="AA36" s="118">
        <v>0.4</v>
      </c>
      <c r="AB36" s="119">
        <v>0.43</v>
      </c>
      <c r="AC36" s="119">
        <v>0.42</v>
      </c>
      <c r="AD36" s="118">
        <v>0.42</v>
      </c>
      <c r="AE36" s="118">
        <v>0.4</v>
      </c>
      <c r="AF36" s="119">
        <v>0.42</v>
      </c>
      <c r="AG36" s="119">
        <v>0.41</v>
      </c>
      <c r="AH36" s="118">
        <v>0.2</v>
      </c>
      <c r="AI36" s="125">
        <v>0</v>
      </c>
    </row>
    <row r="37" spans="1:35">
      <c r="A37" s="222" t="s">
        <v>614</v>
      </c>
      <c r="B37" s="222"/>
      <c r="C37" s="120">
        <v>305.10000000000002</v>
      </c>
      <c r="D37" s="121">
        <v>299.60000000000002</v>
      </c>
      <c r="E37" s="121">
        <v>301.60000000000002</v>
      </c>
      <c r="F37" s="120">
        <v>348.1</v>
      </c>
      <c r="G37" s="120">
        <v>322.8</v>
      </c>
      <c r="H37" s="121">
        <v>306.3</v>
      </c>
      <c r="I37" s="121">
        <v>311.89999999999998</v>
      </c>
      <c r="J37" s="120">
        <v>-100.7</v>
      </c>
      <c r="K37" s="120">
        <v>325.3</v>
      </c>
      <c r="L37" s="121">
        <v>252.5</v>
      </c>
      <c r="M37" s="121">
        <v>311.8</v>
      </c>
      <c r="N37" s="120">
        <v>255</v>
      </c>
      <c r="O37" s="120">
        <v>335.1</v>
      </c>
      <c r="P37" s="121">
        <v>289.10000000000002</v>
      </c>
      <c r="Q37" s="121">
        <v>330.7</v>
      </c>
      <c r="R37" s="120">
        <v>295.39999999999998</v>
      </c>
      <c r="S37" s="120">
        <v>332.9</v>
      </c>
      <c r="T37" s="121">
        <v>284.89999999999998</v>
      </c>
      <c r="U37" s="121">
        <v>319.10000000000002</v>
      </c>
      <c r="V37" s="120">
        <v>269.39999999999998</v>
      </c>
      <c r="W37" s="120">
        <v>302</v>
      </c>
      <c r="X37" s="121">
        <v>249.1</v>
      </c>
      <c r="Y37" s="121">
        <v>291.5</v>
      </c>
      <c r="Z37" s="120">
        <v>271.39999999999998</v>
      </c>
      <c r="AA37" s="120">
        <v>283.5</v>
      </c>
      <c r="AB37" s="121">
        <v>248</v>
      </c>
      <c r="AC37" s="121">
        <v>244.2</v>
      </c>
      <c r="AD37" s="120">
        <v>200.2</v>
      </c>
      <c r="AE37" s="120">
        <v>234.2</v>
      </c>
      <c r="AF37" s="121">
        <v>195.5</v>
      </c>
      <c r="AG37" s="121">
        <v>225.3</v>
      </c>
      <c r="AH37" s="120">
        <v>150</v>
      </c>
      <c r="AI37" s="120">
        <v>0</v>
      </c>
    </row>
    <row r="38" spans="1:35">
      <c r="A38" s="222" t="s">
        <v>615</v>
      </c>
      <c r="B38" s="222"/>
      <c r="C38" s="120">
        <v>305.10000000000002</v>
      </c>
      <c r="D38" s="121">
        <v>299.60000000000002</v>
      </c>
      <c r="E38" s="121">
        <v>301.60000000000002</v>
      </c>
      <c r="F38" s="120">
        <v>348.1</v>
      </c>
      <c r="G38" s="120">
        <v>322.8</v>
      </c>
      <c r="H38" s="121">
        <v>306.3</v>
      </c>
      <c r="I38" s="121">
        <v>311.89999999999998</v>
      </c>
      <c r="J38" s="120">
        <v>-100.7</v>
      </c>
      <c r="K38" s="120">
        <v>325.3</v>
      </c>
      <c r="L38" s="121">
        <v>252.5</v>
      </c>
      <c r="M38" s="121">
        <v>311.8</v>
      </c>
      <c r="N38" s="120">
        <v>255</v>
      </c>
      <c r="O38" s="120">
        <v>335.1</v>
      </c>
      <c r="P38" s="121">
        <v>289.10000000000002</v>
      </c>
      <c r="Q38" s="121">
        <v>330.7</v>
      </c>
      <c r="R38" s="120">
        <v>295.39999999999998</v>
      </c>
      <c r="S38" s="120">
        <v>332.9</v>
      </c>
      <c r="T38" s="121">
        <v>284.89999999999998</v>
      </c>
      <c r="U38" s="121">
        <v>319.10000000000002</v>
      </c>
      <c r="V38" s="120">
        <v>269.39999999999998</v>
      </c>
      <c r="W38" s="120">
        <v>302</v>
      </c>
      <c r="X38" s="121">
        <v>249.1</v>
      </c>
      <c r="Y38" s="121">
        <v>291.5</v>
      </c>
      <c r="Z38" s="120">
        <v>271.39999999999998</v>
      </c>
      <c r="AA38" s="120">
        <v>283.5</v>
      </c>
      <c r="AB38" s="121">
        <v>248</v>
      </c>
      <c r="AC38" s="121">
        <v>244.2</v>
      </c>
      <c r="AD38" s="120">
        <v>200.2</v>
      </c>
      <c r="AE38" s="120">
        <v>234.2</v>
      </c>
      <c r="AF38" s="121">
        <v>195.5</v>
      </c>
      <c r="AG38" s="121">
        <v>225.3</v>
      </c>
      <c r="AH38" s="120">
        <v>150</v>
      </c>
      <c r="AI38" s="120">
        <v>0</v>
      </c>
    </row>
    <row r="39" spans="1:35">
      <c r="A39" s="222" t="s">
        <v>616</v>
      </c>
      <c r="B39" s="222"/>
      <c r="C39" s="120">
        <v>175.8</v>
      </c>
      <c r="D39" s="121">
        <v>185.9</v>
      </c>
      <c r="E39" s="121">
        <v>180.7</v>
      </c>
      <c r="F39" s="120">
        <v>227.5</v>
      </c>
      <c r="G39" s="120">
        <v>193.7</v>
      </c>
      <c r="H39" s="121">
        <v>188.9</v>
      </c>
      <c r="I39" s="121">
        <v>201.5</v>
      </c>
      <c r="J39" s="120">
        <v>-24.1</v>
      </c>
      <c r="K39" s="120">
        <v>186.4</v>
      </c>
      <c r="L39" s="121">
        <v>170.4</v>
      </c>
      <c r="M39" s="121">
        <v>193.1</v>
      </c>
      <c r="N39" s="120">
        <v>173.7</v>
      </c>
      <c r="O39" s="120">
        <v>207.6</v>
      </c>
      <c r="P39" s="121">
        <v>220.6</v>
      </c>
      <c r="Q39" s="121">
        <v>213.9</v>
      </c>
      <c r="R39" s="120">
        <v>216.4</v>
      </c>
      <c r="S39" s="120">
        <v>220.5</v>
      </c>
      <c r="T39" s="121">
        <v>215.9</v>
      </c>
      <c r="U39" s="121">
        <v>207.1</v>
      </c>
      <c r="V39" s="120" t="s">
        <v>617</v>
      </c>
      <c r="W39" s="120" t="s">
        <v>617</v>
      </c>
      <c r="X39" s="121" t="s">
        <v>617</v>
      </c>
      <c r="Y39" s="121" t="s">
        <v>617</v>
      </c>
      <c r="Z39" s="120" t="s">
        <v>617</v>
      </c>
      <c r="AA39" s="120" t="s">
        <v>617</v>
      </c>
      <c r="AB39" s="121" t="s">
        <v>617</v>
      </c>
      <c r="AC39" s="121" t="s">
        <v>617</v>
      </c>
      <c r="AD39" s="120" t="s">
        <v>617</v>
      </c>
      <c r="AE39" s="120" t="s">
        <v>617</v>
      </c>
      <c r="AF39" s="121" t="s">
        <v>617</v>
      </c>
      <c r="AG39" s="121" t="s">
        <v>617</v>
      </c>
      <c r="AH39" s="120" t="s">
        <v>617</v>
      </c>
      <c r="AI39" s="120" t="s">
        <v>617</v>
      </c>
    </row>
    <row r="40" spans="1:35">
      <c r="A40" s="222" t="s">
        <v>618</v>
      </c>
      <c r="B40" s="222"/>
      <c r="C40" s="122">
        <v>0.57620000000000005</v>
      </c>
      <c r="D40" s="123">
        <v>0.62050000000000005</v>
      </c>
      <c r="E40" s="123">
        <v>0.59909999999999997</v>
      </c>
      <c r="F40" s="122">
        <v>0.65349999999999997</v>
      </c>
      <c r="G40" s="122">
        <v>0.60009999999999997</v>
      </c>
      <c r="H40" s="123">
        <v>0.61670000000000003</v>
      </c>
      <c r="I40" s="123">
        <v>0.64600000000000002</v>
      </c>
      <c r="J40" s="122">
        <v>0.23930000000000001</v>
      </c>
      <c r="K40" s="122">
        <v>0.57299999999999995</v>
      </c>
      <c r="L40" s="123">
        <v>0.67490000000000006</v>
      </c>
      <c r="M40" s="123">
        <v>0.61929999999999996</v>
      </c>
      <c r="N40" s="122">
        <v>0.68120000000000003</v>
      </c>
      <c r="O40" s="122">
        <v>0.61950000000000005</v>
      </c>
      <c r="P40" s="123">
        <v>0.7631</v>
      </c>
      <c r="Q40" s="123">
        <v>0.64680000000000004</v>
      </c>
      <c r="R40" s="122">
        <v>0.73260000000000003</v>
      </c>
      <c r="S40" s="122">
        <v>0.66239999999999999</v>
      </c>
      <c r="T40" s="123">
        <v>0.75780000000000003</v>
      </c>
      <c r="U40" s="123">
        <v>0.64900000000000002</v>
      </c>
      <c r="V40" s="120" t="s">
        <v>617</v>
      </c>
      <c r="W40" s="120" t="s">
        <v>617</v>
      </c>
      <c r="X40" s="121" t="s">
        <v>617</v>
      </c>
      <c r="Y40" s="121" t="s">
        <v>617</v>
      </c>
      <c r="Z40" s="120" t="s">
        <v>617</v>
      </c>
      <c r="AA40" s="120" t="s">
        <v>617</v>
      </c>
      <c r="AB40" s="121" t="s">
        <v>617</v>
      </c>
      <c r="AC40" s="121" t="s">
        <v>617</v>
      </c>
      <c r="AD40" s="120" t="s">
        <v>617</v>
      </c>
      <c r="AE40" s="120" t="s">
        <v>617</v>
      </c>
      <c r="AF40" s="121" t="s">
        <v>617</v>
      </c>
      <c r="AG40" s="121" t="s">
        <v>617</v>
      </c>
      <c r="AH40" s="120" t="s">
        <v>617</v>
      </c>
      <c r="AI40" s="120" t="s">
        <v>617</v>
      </c>
    </row>
    <row r="41" spans="1:35">
      <c r="A41" s="222" t="s">
        <v>619</v>
      </c>
      <c r="B41" s="222"/>
      <c r="C41" s="120">
        <v>52.8</v>
      </c>
      <c r="D41" s="121">
        <v>45.8</v>
      </c>
      <c r="E41" s="121">
        <v>50.3</v>
      </c>
      <c r="F41" s="120">
        <v>58.6</v>
      </c>
      <c r="G41" s="120">
        <v>53.4</v>
      </c>
      <c r="H41" s="121">
        <v>50.7</v>
      </c>
      <c r="I41" s="121">
        <v>46.8</v>
      </c>
      <c r="J41" s="120">
        <v>-4.4000000000000004</v>
      </c>
      <c r="K41" s="120">
        <v>53</v>
      </c>
      <c r="L41" s="121">
        <v>53</v>
      </c>
      <c r="M41" s="121">
        <v>50</v>
      </c>
      <c r="N41" s="120">
        <v>44.2</v>
      </c>
      <c r="O41" s="120">
        <v>50.4</v>
      </c>
      <c r="P41" s="121">
        <v>48.7</v>
      </c>
      <c r="Q41" s="121">
        <v>47.2</v>
      </c>
      <c r="R41" s="120">
        <v>48.9</v>
      </c>
      <c r="S41" s="120">
        <v>47</v>
      </c>
      <c r="T41" s="121">
        <v>45.6</v>
      </c>
      <c r="U41" s="121">
        <v>45</v>
      </c>
      <c r="V41" s="120">
        <v>-41.2</v>
      </c>
      <c r="W41" s="120">
        <v>41.3</v>
      </c>
      <c r="X41" s="121" t="s">
        <v>617</v>
      </c>
      <c r="Y41" s="121" t="s">
        <v>617</v>
      </c>
      <c r="Z41" s="120" t="s">
        <v>617</v>
      </c>
      <c r="AA41" s="120" t="s">
        <v>617</v>
      </c>
      <c r="AB41" s="121" t="s">
        <v>617</v>
      </c>
      <c r="AC41" s="121" t="s">
        <v>617</v>
      </c>
      <c r="AD41" s="120" t="s">
        <v>617</v>
      </c>
      <c r="AE41" s="120" t="s">
        <v>617</v>
      </c>
      <c r="AF41" s="121" t="s">
        <v>617</v>
      </c>
      <c r="AG41" s="121" t="s">
        <v>617</v>
      </c>
      <c r="AH41" s="120" t="s">
        <v>617</v>
      </c>
      <c r="AI41" s="120" t="s">
        <v>617</v>
      </c>
    </row>
    <row r="42" spans="1:35">
      <c r="A42" s="222" t="s">
        <v>620</v>
      </c>
      <c r="B42" s="222"/>
      <c r="C42" s="120">
        <v>60</v>
      </c>
      <c r="D42" s="121">
        <v>79.2</v>
      </c>
      <c r="E42" s="121">
        <v>71.5</v>
      </c>
      <c r="F42" s="120">
        <v>139.4</v>
      </c>
      <c r="G42" s="120">
        <v>88.7</v>
      </c>
      <c r="H42" s="121">
        <v>113</v>
      </c>
      <c r="I42" s="121">
        <v>98.1</v>
      </c>
      <c r="J42" s="120">
        <v>27.9</v>
      </c>
      <c r="K42" s="120">
        <v>69</v>
      </c>
      <c r="L42" s="121" t="s">
        <v>617</v>
      </c>
      <c r="M42" s="121" t="s">
        <v>617</v>
      </c>
      <c r="N42" s="120" t="s">
        <v>617</v>
      </c>
      <c r="O42" s="120" t="s">
        <v>617</v>
      </c>
      <c r="P42" s="121" t="s">
        <v>617</v>
      </c>
      <c r="Q42" s="121" t="s">
        <v>617</v>
      </c>
      <c r="R42" s="120" t="s">
        <v>617</v>
      </c>
      <c r="S42" s="120" t="s">
        <v>617</v>
      </c>
      <c r="T42" s="121" t="s">
        <v>617</v>
      </c>
      <c r="U42" s="121" t="s">
        <v>617</v>
      </c>
      <c r="V42" s="120" t="s">
        <v>617</v>
      </c>
      <c r="W42" s="120" t="s">
        <v>617</v>
      </c>
      <c r="X42" s="121" t="s">
        <v>617</v>
      </c>
      <c r="Y42" s="121" t="s">
        <v>617</v>
      </c>
      <c r="Z42" s="120" t="s">
        <v>617</v>
      </c>
      <c r="AA42" s="120" t="s">
        <v>617</v>
      </c>
      <c r="AB42" s="121" t="s">
        <v>617</v>
      </c>
      <c r="AC42" s="121" t="s">
        <v>617</v>
      </c>
      <c r="AD42" s="120" t="s">
        <v>617</v>
      </c>
      <c r="AE42" s="120" t="s">
        <v>617</v>
      </c>
      <c r="AF42" s="121" t="s">
        <v>617</v>
      </c>
      <c r="AG42" s="121" t="s">
        <v>617</v>
      </c>
      <c r="AH42" s="120" t="s">
        <v>617</v>
      </c>
      <c r="AI42" s="120" t="s">
        <v>617</v>
      </c>
    </row>
    <row r="43" spans="1:35">
      <c r="A43" s="222" t="s">
        <v>621</v>
      </c>
      <c r="B43" s="222"/>
      <c r="C43" s="120" t="s">
        <v>617</v>
      </c>
      <c r="D43" s="121" t="s">
        <v>617</v>
      </c>
      <c r="E43" s="121" t="s">
        <v>617</v>
      </c>
      <c r="F43" s="120" t="s">
        <v>617</v>
      </c>
      <c r="G43" s="120" t="s">
        <v>617</v>
      </c>
      <c r="H43" s="121" t="s">
        <v>617</v>
      </c>
      <c r="I43" s="121" t="s">
        <v>617</v>
      </c>
      <c r="J43" s="120" t="s">
        <v>617</v>
      </c>
      <c r="K43" s="120" t="s">
        <v>617</v>
      </c>
      <c r="L43" s="121" t="s">
        <v>617</v>
      </c>
      <c r="M43" s="121" t="s">
        <v>617</v>
      </c>
      <c r="N43" s="120" t="s">
        <v>617</v>
      </c>
      <c r="O43" s="120" t="s">
        <v>617</v>
      </c>
      <c r="P43" s="121" t="s">
        <v>617</v>
      </c>
      <c r="Q43" s="121" t="s">
        <v>617</v>
      </c>
      <c r="R43" s="120" t="s">
        <v>617</v>
      </c>
      <c r="S43" s="120" t="s">
        <v>617</v>
      </c>
      <c r="T43" s="121" t="s">
        <v>617</v>
      </c>
      <c r="U43" s="121" t="s">
        <v>617</v>
      </c>
      <c r="V43" s="120">
        <v>203.3</v>
      </c>
      <c r="W43" s="120">
        <v>187.8</v>
      </c>
      <c r="X43" s="121" t="s">
        <v>617</v>
      </c>
      <c r="Y43" s="121" t="s">
        <v>617</v>
      </c>
      <c r="Z43" s="120" t="s">
        <v>617</v>
      </c>
      <c r="AA43" s="120" t="s">
        <v>617</v>
      </c>
      <c r="AB43" s="121" t="s">
        <v>617</v>
      </c>
      <c r="AC43" s="121" t="s">
        <v>617</v>
      </c>
      <c r="AD43" s="120" t="s">
        <v>617</v>
      </c>
      <c r="AE43" s="120" t="s">
        <v>617</v>
      </c>
      <c r="AF43" s="121" t="s">
        <v>617</v>
      </c>
      <c r="AG43" s="121" t="s">
        <v>617</v>
      </c>
      <c r="AH43" s="120" t="s">
        <v>617</v>
      </c>
      <c r="AI43" s="120" t="s">
        <v>617</v>
      </c>
    </row>
    <row r="44" spans="1:35">
      <c r="A44" s="222" t="s">
        <v>622</v>
      </c>
      <c r="B44" s="222"/>
      <c r="C44" s="120" t="s">
        <v>617</v>
      </c>
      <c r="D44" s="121" t="s">
        <v>617</v>
      </c>
      <c r="E44" s="121" t="s">
        <v>617</v>
      </c>
      <c r="F44" s="120" t="s">
        <v>617</v>
      </c>
      <c r="G44" s="120" t="s">
        <v>617</v>
      </c>
      <c r="H44" s="121" t="s">
        <v>617</v>
      </c>
      <c r="I44" s="121" t="s">
        <v>617</v>
      </c>
      <c r="J44" s="120" t="s">
        <v>617</v>
      </c>
      <c r="K44" s="120" t="s">
        <v>617</v>
      </c>
      <c r="L44" s="121" t="s">
        <v>617</v>
      </c>
      <c r="M44" s="121" t="s">
        <v>617</v>
      </c>
      <c r="N44" s="120" t="s">
        <v>617</v>
      </c>
      <c r="O44" s="120" t="s">
        <v>617</v>
      </c>
      <c r="P44" s="121" t="s">
        <v>617</v>
      </c>
      <c r="Q44" s="121" t="s">
        <v>617</v>
      </c>
      <c r="R44" s="120" t="s">
        <v>617</v>
      </c>
      <c r="S44" s="120" t="s">
        <v>617</v>
      </c>
      <c r="T44" s="121" t="s">
        <v>617</v>
      </c>
      <c r="U44" s="121" t="s">
        <v>617</v>
      </c>
      <c r="V44" s="122">
        <v>0.75460000000000005</v>
      </c>
      <c r="W44" s="122">
        <v>0.62190000000000001</v>
      </c>
      <c r="X44" s="121" t="s">
        <v>617</v>
      </c>
      <c r="Y44" s="121" t="s">
        <v>617</v>
      </c>
      <c r="Z44" s="120" t="s">
        <v>617</v>
      </c>
      <c r="AA44" s="120" t="s">
        <v>617</v>
      </c>
      <c r="AB44" s="121" t="s">
        <v>617</v>
      </c>
      <c r="AC44" s="121" t="s">
        <v>617</v>
      </c>
      <c r="AD44" s="120" t="s">
        <v>617</v>
      </c>
      <c r="AE44" s="120" t="s">
        <v>617</v>
      </c>
      <c r="AF44" s="121" t="s">
        <v>617</v>
      </c>
      <c r="AG44" s="121" t="s">
        <v>617</v>
      </c>
      <c r="AH44" s="120" t="s">
        <v>617</v>
      </c>
      <c r="AI44" s="120" t="s">
        <v>617</v>
      </c>
    </row>
    <row r="45" spans="1:35">
      <c r="A45" s="222" t="s">
        <v>623</v>
      </c>
      <c r="B45" s="222"/>
      <c r="C45" s="120" t="s">
        <v>617</v>
      </c>
      <c r="D45" s="121" t="s">
        <v>617</v>
      </c>
      <c r="E45" s="121" t="s">
        <v>617</v>
      </c>
      <c r="F45" s="120" t="s">
        <v>617</v>
      </c>
      <c r="G45" s="120" t="s">
        <v>617</v>
      </c>
      <c r="H45" s="121" t="s">
        <v>617</v>
      </c>
      <c r="I45" s="121" t="s">
        <v>617</v>
      </c>
      <c r="J45" s="120" t="s">
        <v>617</v>
      </c>
      <c r="K45" s="120" t="s">
        <v>617</v>
      </c>
      <c r="L45" s="121" t="s">
        <v>617</v>
      </c>
      <c r="M45" s="121" t="s">
        <v>617</v>
      </c>
      <c r="N45" s="120" t="s">
        <v>617</v>
      </c>
      <c r="O45" s="120" t="s">
        <v>617</v>
      </c>
      <c r="P45" s="121" t="s">
        <v>617</v>
      </c>
      <c r="Q45" s="121" t="s">
        <v>617</v>
      </c>
      <c r="R45" s="120" t="s">
        <v>617</v>
      </c>
      <c r="S45" s="120" t="s">
        <v>617</v>
      </c>
      <c r="T45" s="121" t="s">
        <v>617</v>
      </c>
      <c r="U45" s="121" t="s">
        <v>617</v>
      </c>
      <c r="V45" s="120" t="s">
        <v>617</v>
      </c>
      <c r="W45" s="120" t="s">
        <v>617</v>
      </c>
      <c r="X45" s="121">
        <v>77.3</v>
      </c>
      <c r="Y45" s="121">
        <v>75.7</v>
      </c>
      <c r="Z45" s="120">
        <v>73.3</v>
      </c>
      <c r="AA45" s="120">
        <v>72.599999999999994</v>
      </c>
      <c r="AB45" s="121">
        <v>74.3</v>
      </c>
      <c r="AC45" s="121">
        <v>65.400000000000006</v>
      </c>
      <c r="AD45" s="120">
        <v>51.5</v>
      </c>
      <c r="AE45" s="120">
        <v>49.9</v>
      </c>
      <c r="AF45" s="121">
        <v>58.5</v>
      </c>
      <c r="AG45" s="121">
        <v>35.299999999999997</v>
      </c>
      <c r="AH45" s="120" t="s">
        <v>617</v>
      </c>
      <c r="AI45" s="120" t="s">
        <v>617</v>
      </c>
    </row>
    <row r="46" spans="1:35">
      <c r="A46" s="222" t="s">
        <v>624</v>
      </c>
      <c r="B46" s="222"/>
      <c r="C46" s="120" t="s">
        <v>617</v>
      </c>
      <c r="D46" s="121" t="s">
        <v>617</v>
      </c>
      <c r="E46" s="121" t="s">
        <v>617</v>
      </c>
      <c r="F46" s="120" t="s">
        <v>617</v>
      </c>
      <c r="G46" s="120" t="s">
        <v>617</v>
      </c>
      <c r="H46" s="121" t="s">
        <v>617</v>
      </c>
      <c r="I46" s="121" t="s">
        <v>617</v>
      </c>
      <c r="J46" s="120" t="s">
        <v>617</v>
      </c>
      <c r="K46" s="120" t="s">
        <v>617</v>
      </c>
      <c r="L46" s="121" t="s">
        <v>617</v>
      </c>
      <c r="M46" s="121" t="s">
        <v>617</v>
      </c>
      <c r="N46" s="120" t="s">
        <v>617</v>
      </c>
      <c r="O46" s="120" t="s">
        <v>617</v>
      </c>
      <c r="P46" s="121" t="s">
        <v>617</v>
      </c>
      <c r="Q46" s="121" t="s">
        <v>617</v>
      </c>
      <c r="R46" s="120" t="s">
        <v>617</v>
      </c>
      <c r="S46" s="120" t="s">
        <v>617</v>
      </c>
      <c r="T46" s="121" t="s">
        <v>617</v>
      </c>
      <c r="U46" s="121" t="s">
        <v>617</v>
      </c>
      <c r="V46" s="120" t="s">
        <v>617</v>
      </c>
      <c r="W46" s="120" t="s">
        <v>617</v>
      </c>
      <c r="X46" s="121" t="s">
        <v>617</v>
      </c>
      <c r="Y46" s="121">
        <v>137.80000000000001</v>
      </c>
      <c r="Z46" s="120" t="s">
        <v>617</v>
      </c>
      <c r="AA46" s="120" t="s">
        <v>617</v>
      </c>
      <c r="AB46" s="121" t="s">
        <v>617</v>
      </c>
      <c r="AC46" s="121" t="s">
        <v>617</v>
      </c>
      <c r="AD46" s="120">
        <v>81.400000000000006</v>
      </c>
      <c r="AE46" s="120">
        <v>100.1</v>
      </c>
      <c r="AF46" s="121">
        <v>95.6</v>
      </c>
      <c r="AG46" s="121">
        <v>93.8</v>
      </c>
      <c r="AH46" s="120" t="s">
        <v>617</v>
      </c>
      <c r="AI46" s="120" t="s">
        <v>617</v>
      </c>
    </row>
    <row r="47" spans="1:35">
      <c r="A47" s="222" t="s">
        <v>625</v>
      </c>
      <c r="B47" s="222"/>
      <c r="C47" s="120" t="s">
        <v>617</v>
      </c>
      <c r="D47" s="121" t="s">
        <v>617</v>
      </c>
      <c r="E47" s="121" t="s">
        <v>617</v>
      </c>
      <c r="F47" s="120" t="s">
        <v>617</v>
      </c>
      <c r="G47" s="120" t="s">
        <v>617</v>
      </c>
      <c r="H47" s="121" t="s">
        <v>617</v>
      </c>
      <c r="I47" s="121" t="s">
        <v>617</v>
      </c>
      <c r="J47" s="120" t="s">
        <v>617</v>
      </c>
      <c r="K47" s="120" t="s">
        <v>617</v>
      </c>
      <c r="L47" s="121" t="s">
        <v>617</v>
      </c>
      <c r="M47" s="121" t="s">
        <v>617</v>
      </c>
      <c r="N47" s="120" t="s">
        <v>617</v>
      </c>
      <c r="O47" s="120" t="s">
        <v>617</v>
      </c>
      <c r="P47" s="121" t="s">
        <v>617</v>
      </c>
      <c r="Q47" s="121" t="s">
        <v>617</v>
      </c>
      <c r="R47" s="120" t="s">
        <v>617</v>
      </c>
      <c r="S47" s="120" t="s">
        <v>617</v>
      </c>
      <c r="T47" s="121" t="s">
        <v>617</v>
      </c>
      <c r="U47" s="121" t="s">
        <v>617</v>
      </c>
      <c r="V47" s="120" t="s">
        <v>617</v>
      </c>
      <c r="W47" s="120" t="s">
        <v>617</v>
      </c>
      <c r="X47" s="121" t="s">
        <v>617</v>
      </c>
      <c r="Y47" s="123">
        <v>0.47270000000000001</v>
      </c>
      <c r="Z47" s="120" t="s">
        <v>617</v>
      </c>
      <c r="AA47" s="120" t="s">
        <v>617</v>
      </c>
      <c r="AB47" s="121" t="s">
        <v>617</v>
      </c>
      <c r="AC47" s="121" t="s">
        <v>617</v>
      </c>
      <c r="AD47" s="122">
        <v>0.40660000000000002</v>
      </c>
      <c r="AE47" s="122">
        <v>0.4274</v>
      </c>
      <c r="AF47" s="123">
        <v>0.48930000000000001</v>
      </c>
      <c r="AG47" s="123">
        <v>0.41620000000000001</v>
      </c>
      <c r="AH47" s="120" t="s">
        <v>617</v>
      </c>
      <c r="AI47" s="120" t="s">
        <v>617</v>
      </c>
    </row>
    <row r="48" spans="1:35">
      <c r="A48" s="222" t="s">
        <v>626</v>
      </c>
      <c r="B48" s="222"/>
      <c r="C48" s="120" t="s">
        <v>617</v>
      </c>
      <c r="D48" s="121" t="s">
        <v>617</v>
      </c>
      <c r="E48" s="121" t="s">
        <v>617</v>
      </c>
      <c r="F48" s="120" t="s">
        <v>617</v>
      </c>
      <c r="G48" s="120" t="s">
        <v>617</v>
      </c>
      <c r="H48" s="121" t="s">
        <v>617</v>
      </c>
      <c r="I48" s="121" t="s">
        <v>617</v>
      </c>
      <c r="J48" s="120" t="s">
        <v>617</v>
      </c>
      <c r="K48" s="120" t="s">
        <v>617</v>
      </c>
      <c r="L48" s="121" t="s">
        <v>617</v>
      </c>
      <c r="M48" s="121" t="s">
        <v>617</v>
      </c>
      <c r="N48" s="120" t="s">
        <v>617</v>
      </c>
      <c r="O48" s="120" t="s">
        <v>617</v>
      </c>
      <c r="P48" s="121" t="s">
        <v>617</v>
      </c>
      <c r="Q48" s="121" t="s">
        <v>617</v>
      </c>
      <c r="R48" s="120" t="s">
        <v>617</v>
      </c>
      <c r="S48" s="120" t="s">
        <v>617</v>
      </c>
      <c r="T48" s="121" t="s">
        <v>617</v>
      </c>
      <c r="U48" s="121" t="s">
        <v>617</v>
      </c>
      <c r="V48" s="120" t="s">
        <v>617</v>
      </c>
      <c r="W48" s="120" t="s">
        <v>617</v>
      </c>
      <c r="X48" s="121" t="s">
        <v>617</v>
      </c>
      <c r="Y48" s="121" t="s">
        <v>617</v>
      </c>
      <c r="Z48" s="120" t="s">
        <v>617</v>
      </c>
      <c r="AA48" s="120" t="s">
        <v>617</v>
      </c>
      <c r="AB48" s="121" t="s">
        <v>617</v>
      </c>
      <c r="AC48" s="121" t="s">
        <v>617</v>
      </c>
      <c r="AD48" s="120" t="s">
        <v>617</v>
      </c>
      <c r="AE48" s="120" t="s">
        <v>617</v>
      </c>
      <c r="AF48" s="121" t="s">
        <v>617</v>
      </c>
      <c r="AG48" s="121" t="s">
        <v>617</v>
      </c>
      <c r="AH48" s="120">
        <v>73.900000000000006</v>
      </c>
      <c r="AI48" s="120">
        <v>0</v>
      </c>
    </row>
    <row r="49" spans="1:35">
      <c r="A49" s="222" t="s">
        <v>627</v>
      </c>
      <c r="B49" s="222"/>
      <c r="C49" s="120" t="s">
        <v>617</v>
      </c>
      <c r="D49" s="121" t="s">
        <v>617</v>
      </c>
      <c r="E49" s="121" t="s">
        <v>617</v>
      </c>
      <c r="F49" s="120" t="s">
        <v>617</v>
      </c>
      <c r="G49" s="120" t="s">
        <v>617</v>
      </c>
      <c r="H49" s="121" t="s">
        <v>617</v>
      </c>
      <c r="I49" s="121" t="s">
        <v>617</v>
      </c>
      <c r="J49" s="120" t="s">
        <v>617</v>
      </c>
      <c r="K49" s="120" t="s">
        <v>617</v>
      </c>
      <c r="L49" s="121" t="s">
        <v>617</v>
      </c>
      <c r="M49" s="121" t="s">
        <v>617</v>
      </c>
      <c r="N49" s="120" t="s">
        <v>617</v>
      </c>
      <c r="O49" s="120" t="s">
        <v>617</v>
      </c>
      <c r="P49" s="121" t="s">
        <v>617</v>
      </c>
      <c r="Q49" s="121" t="s">
        <v>617</v>
      </c>
      <c r="R49" s="120" t="s">
        <v>617</v>
      </c>
      <c r="S49" s="120" t="s">
        <v>617</v>
      </c>
      <c r="T49" s="121" t="s">
        <v>617</v>
      </c>
      <c r="U49" s="121" t="s">
        <v>617</v>
      </c>
      <c r="V49" s="120" t="s">
        <v>617</v>
      </c>
      <c r="W49" s="120" t="s">
        <v>617</v>
      </c>
      <c r="X49" s="121" t="s">
        <v>617</v>
      </c>
      <c r="Y49" s="121" t="s">
        <v>617</v>
      </c>
      <c r="Z49" s="120" t="s">
        <v>617</v>
      </c>
      <c r="AA49" s="120" t="s">
        <v>617</v>
      </c>
      <c r="AB49" s="121" t="s">
        <v>617</v>
      </c>
      <c r="AC49" s="121" t="s">
        <v>617</v>
      </c>
      <c r="AD49" s="120" t="s">
        <v>617</v>
      </c>
      <c r="AE49" s="120" t="s">
        <v>617</v>
      </c>
      <c r="AF49" s="121" t="s">
        <v>617</v>
      </c>
      <c r="AG49" s="121" t="s">
        <v>617</v>
      </c>
      <c r="AH49" s="122">
        <v>0.49309999999999998</v>
      </c>
      <c r="AI49" s="120" t="s">
        <v>617</v>
      </c>
    </row>
    <row r="50" spans="1:35">
      <c r="A50" s="223" t="s">
        <v>630</v>
      </c>
      <c r="B50" s="223"/>
      <c r="C50" s="125" t="s">
        <v>631</v>
      </c>
      <c r="D50" s="124" t="s">
        <v>631</v>
      </c>
      <c r="E50" s="124" t="s">
        <v>631</v>
      </c>
      <c r="F50" s="125" t="s">
        <v>631</v>
      </c>
      <c r="G50" s="125" t="s">
        <v>631</v>
      </c>
      <c r="H50" s="124" t="s">
        <v>631</v>
      </c>
      <c r="I50" s="124" t="s">
        <v>631</v>
      </c>
      <c r="J50" s="125" t="s">
        <v>631</v>
      </c>
      <c r="K50" s="125" t="s">
        <v>631</v>
      </c>
      <c r="L50" s="119">
        <v>-0.1</v>
      </c>
      <c r="M50" s="124" t="s">
        <v>631</v>
      </c>
      <c r="N50" s="125" t="s">
        <v>631</v>
      </c>
      <c r="O50" s="125">
        <v>7.2999999999999995E-2</v>
      </c>
      <c r="P50" s="124">
        <v>0.09</v>
      </c>
      <c r="Q50" s="124">
        <v>8.3000000000000004E-2</v>
      </c>
      <c r="R50" s="125">
        <v>9.0999999999999998E-2</v>
      </c>
      <c r="S50" s="125">
        <v>7.8E-2</v>
      </c>
      <c r="T50" s="124">
        <v>8.6999999999999994E-2</v>
      </c>
      <c r="U50" s="124">
        <v>8.3000000000000004E-2</v>
      </c>
      <c r="V50" s="125">
        <v>9.8000000000000004E-2</v>
      </c>
      <c r="W50" s="125">
        <v>8.4000000000000005E-2</v>
      </c>
      <c r="X50" s="119">
        <v>0.19</v>
      </c>
      <c r="Y50" s="124" t="s">
        <v>631</v>
      </c>
      <c r="Z50" s="125" t="s">
        <v>631</v>
      </c>
      <c r="AA50" s="125" t="s">
        <v>631</v>
      </c>
      <c r="AB50" s="124" t="s">
        <v>631</v>
      </c>
      <c r="AC50" s="124" t="s">
        <v>631</v>
      </c>
      <c r="AD50" s="125" t="s">
        <v>631</v>
      </c>
      <c r="AE50" s="125" t="s">
        <v>631</v>
      </c>
      <c r="AF50" s="124" t="s">
        <v>631</v>
      </c>
      <c r="AG50" s="124" t="s">
        <v>631</v>
      </c>
      <c r="AH50" s="125" t="s">
        <v>631</v>
      </c>
      <c r="AI50" s="125" t="s">
        <v>631</v>
      </c>
    </row>
    <row r="51" spans="1:35">
      <c r="A51" s="222" t="s">
        <v>614</v>
      </c>
      <c r="B51" s="222"/>
      <c r="C51" s="120" t="s">
        <v>617</v>
      </c>
      <c r="D51" s="121" t="s">
        <v>617</v>
      </c>
      <c r="E51" s="121" t="s">
        <v>617</v>
      </c>
      <c r="F51" s="120" t="s">
        <v>617</v>
      </c>
      <c r="G51" s="120" t="s">
        <v>617</v>
      </c>
      <c r="H51" s="121" t="s">
        <v>617</v>
      </c>
      <c r="I51" s="121" t="s">
        <v>617</v>
      </c>
      <c r="J51" s="120" t="s">
        <v>617</v>
      </c>
      <c r="K51" s="120" t="s">
        <v>617</v>
      </c>
      <c r="L51" s="121">
        <v>-86</v>
      </c>
      <c r="M51" s="121" t="s">
        <v>617</v>
      </c>
      <c r="N51" s="120" t="s">
        <v>617</v>
      </c>
      <c r="O51" s="120">
        <v>78.2</v>
      </c>
      <c r="P51" s="121">
        <v>77.8</v>
      </c>
      <c r="Q51" s="121">
        <v>81.099999999999994</v>
      </c>
      <c r="R51" s="120">
        <v>76</v>
      </c>
      <c r="S51" s="120">
        <v>74.7</v>
      </c>
      <c r="T51" s="121">
        <v>65.8</v>
      </c>
      <c r="U51" s="121">
        <v>73</v>
      </c>
      <c r="V51" s="120">
        <v>68.8</v>
      </c>
      <c r="W51" s="120">
        <v>69.599999999999994</v>
      </c>
      <c r="X51" s="121">
        <v>129.6</v>
      </c>
      <c r="Y51" s="121" t="s">
        <v>617</v>
      </c>
      <c r="Z51" s="120" t="s">
        <v>617</v>
      </c>
      <c r="AA51" s="120" t="s">
        <v>617</v>
      </c>
      <c r="AB51" s="121" t="s">
        <v>617</v>
      </c>
      <c r="AC51" s="121" t="s">
        <v>617</v>
      </c>
      <c r="AD51" s="120" t="s">
        <v>617</v>
      </c>
      <c r="AE51" s="120" t="s">
        <v>617</v>
      </c>
      <c r="AF51" s="121" t="s">
        <v>617</v>
      </c>
      <c r="AG51" s="121" t="s">
        <v>617</v>
      </c>
      <c r="AH51" s="120" t="s">
        <v>617</v>
      </c>
      <c r="AI51" s="120" t="s">
        <v>617</v>
      </c>
    </row>
    <row r="52" spans="1:35">
      <c r="A52" s="222" t="s">
        <v>615</v>
      </c>
      <c r="B52" s="222"/>
      <c r="C52" s="120" t="s">
        <v>617</v>
      </c>
      <c r="D52" s="121" t="s">
        <v>617</v>
      </c>
      <c r="E52" s="121" t="s">
        <v>617</v>
      </c>
      <c r="F52" s="120" t="s">
        <v>617</v>
      </c>
      <c r="G52" s="120" t="s">
        <v>617</v>
      </c>
      <c r="H52" s="121" t="s">
        <v>617</v>
      </c>
      <c r="I52" s="121" t="s">
        <v>617</v>
      </c>
      <c r="J52" s="120" t="s">
        <v>617</v>
      </c>
      <c r="K52" s="120" t="s">
        <v>617</v>
      </c>
      <c r="L52" s="121">
        <v>-86</v>
      </c>
      <c r="M52" s="121" t="s">
        <v>617</v>
      </c>
      <c r="N52" s="120" t="s">
        <v>617</v>
      </c>
      <c r="O52" s="120">
        <v>78.2</v>
      </c>
      <c r="P52" s="121">
        <v>77.8</v>
      </c>
      <c r="Q52" s="121">
        <v>81.099999999999994</v>
      </c>
      <c r="R52" s="120">
        <v>76</v>
      </c>
      <c r="S52" s="120">
        <v>74.7</v>
      </c>
      <c r="T52" s="121">
        <v>65.8</v>
      </c>
      <c r="U52" s="121">
        <v>73</v>
      </c>
      <c r="V52" s="120">
        <v>68.8</v>
      </c>
      <c r="W52" s="120">
        <v>69.599999999999994</v>
      </c>
      <c r="X52" s="121">
        <v>129.6</v>
      </c>
      <c r="Y52" s="121" t="s">
        <v>617</v>
      </c>
      <c r="Z52" s="120" t="s">
        <v>617</v>
      </c>
      <c r="AA52" s="120" t="s">
        <v>617</v>
      </c>
      <c r="AB52" s="121" t="s">
        <v>617</v>
      </c>
      <c r="AC52" s="121" t="s">
        <v>617</v>
      </c>
      <c r="AD52" s="120" t="s">
        <v>617</v>
      </c>
      <c r="AE52" s="120" t="s">
        <v>617</v>
      </c>
      <c r="AF52" s="121" t="s">
        <v>617</v>
      </c>
      <c r="AG52" s="121" t="s">
        <v>617</v>
      </c>
      <c r="AH52" s="120" t="s">
        <v>617</v>
      </c>
      <c r="AI52" s="120" t="s">
        <v>617</v>
      </c>
    </row>
    <row r="53" spans="1:35">
      <c r="A53" s="222" t="s">
        <v>616</v>
      </c>
      <c r="B53" s="222"/>
      <c r="C53" s="120" t="s">
        <v>617</v>
      </c>
      <c r="D53" s="121" t="s">
        <v>617</v>
      </c>
      <c r="E53" s="121" t="s">
        <v>617</v>
      </c>
      <c r="F53" s="120" t="s">
        <v>617</v>
      </c>
      <c r="G53" s="120" t="s">
        <v>617</v>
      </c>
      <c r="H53" s="121" t="s">
        <v>617</v>
      </c>
      <c r="I53" s="121" t="s">
        <v>617</v>
      </c>
      <c r="J53" s="120" t="s">
        <v>617</v>
      </c>
      <c r="K53" s="120" t="s">
        <v>617</v>
      </c>
      <c r="L53" s="121">
        <v>-13.3</v>
      </c>
      <c r="M53" s="121" t="s">
        <v>617</v>
      </c>
      <c r="N53" s="120">
        <v>-5.4</v>
      </c>
      <c r="O53" s="120">
        <v>5.4</v>
      </c>
      <c r="P53" s="121">
        <v>7.3</v>
      </c>
      <c r="Q53" s="121">
        <v>9.6999999999999993</v>
      </c>
      <c r="R53" s="120">
        <v>10.8</v>
      </c>
      <c r="S53" s="120">
        <v>7.7</v>
      </c>
      <c r="T53" s="121">
        <v>8.3000000000000007</v>
      </c>
      <c r="U53" s="121">
        <v>10.4</v>
      </c>
      <c r="V53" s="120" t="s">
        <v>617</v>
      </c>
      <c r="W53" s="120" t="s">
        <v>617</v>
      </c>
      <c r="X53" s="121" t="s">
        <v>617</v>
      </c>
      <c r="Y53" s="121" t="s">
        <v>617</v>
      </c>
      <c r="Z53" s="120" t="s">
        <v>617</v>
      </c>
      <c r="AA53" s="120" t="s">
        <v>617</v>
      </c>
      <c r="AB53" s="121" t="s">
        <v>617</v>
      </c>
      <c r="AC53" s="121" t="s">
        <v>617</v>
      </c>
      <c r="AD53" s="120" t="s">
        <v>617</v>
      </c>
      <c r="AE53" s="120" t="s">
        <v>617</v>
      </c>
      <c r="AF53" s="121" t="s">
        <v>617</v>
      </c>
      <c r="AG53" s="121" t="s">
        <v>617</v>
      </c>
      <c r="AH53" s="120" t="s">
        <v>617</v>
      </c>
      <c r="AI53" s="120" t="s">
        <v>617</v>
      </c>
    </row>
    <row r="54" spans="1:35">
      <c r="A54" s="222" t="s">
        <v>618</v>
      </c>
      <c r="B54" s="222"/>
      <c r="C54" s="120" t="s">
        <v>617</v>
      </c>
      <c r="D54" s="121" t="s">
        <v>617</v>
      </c>
      <c r="E54" s="121" t="s">
        <v>617</v>
      </c>
      <c r="F54" s="120" t="s">
        <v>617</v>
      </c>
      <c r="G54" s="120" t="s">
        <v>617</v>
      </c>
      <c r="H54" s="121" t="s">
        <v>617</v>
      </c>
      <c r="I54" s="121" t="s">
        <v>617</v>
      </c>
      <c r="J54" s="120" t="s">
        <v>617</v>
      </c>
      <c r="K54" s="120" t="s">
        <v>617</v>
      </c>
      <c r="L54" s="123">
        <v>0.1547</v>
      </c>
      <c r="M54" s="121" t="s">
        <v>617</v>
      </c>
      <c r="N54" s="120" t="s">
        <v>617</v>
      </c>
      <c r="O54" s="122">
        <v>6.9099999999999995E-2</v>
      </c>
      <c r="P54" s="123">
        <v>9.3799999999999994E-2</v>
      </c>
      <c r="Q54" s="123">
        <v>0.1196</v>
      </c>
      <c r="R54" s="122">
        <v>0.1421</v>
      </c>
      <c r="S54" s="122">
        <v>0.1031</v>
      </c>
      <c r="T54" s="123">
        <v>0.12609999999999999</v>
      </c>
      <c r="U54" s="123">
        <v>0.14249999999999999</v>
      </c>
      <c r="V54" s="120" t="s">
        <v>617</v>
      </c>
      <c r="W54" s="120" t="s">
        <v>617</v>
      </c>
      <c r="X54" s="121" t="s">
        <v>617</v>
      </c>
      <c r="Y54" s="121" t="s">
        <v>617</v>
      </c>
      <c r="Z54" s="120" t="s">
        <v>617</v>
      </c>
      <c r="AA54" s="120" t="s">
        <v>617</v>
      </c>
      <c r="AB54" s="121" t="s">
        <v>617</v>
      </c>
      <c r="AC54" s="121" t="s">
        <v>617</v>
      </c>
      <c r="AD54" s="120" t="s">
        <v>617</v>
      </c>
      <c r="AE54" s="120" t="s">
        <v>617</v>
      </c>
      <c r="AF54" s="121" t="s">
        <v>617</v>
      </c>
      <c r="AG54" s="121" t="s">
        <v>617</v>
      </c>
      <c r="AH54" s="120" t="s">
        <v>617</v>
      </c>
      <c r="AI54" s="120" t="s">
        <v>617</v>
      </c>
    </row>
    <row r="55" spans="1:35">
      <c r="A55" s="222" t="s">
        <v>619</v>
      </c>
      <c r="B55" s="222"/>
      <c r="C55" s="120" t="s">
        <v>617</v>
      </c>
      <c r="D55" s="121" t="s">
        <v>617</v>
      </c>
      <c r="E55" s="121" t="s">
        <v>617</v>
      </c>
      <c r="F55" s="120" t="s">
        <v>617</v>
      </c>
      <c r="G55" s="120" t="s">
        <v>617</v>
      </c>
      <c r="H55" s="121" t="s">
        <v>617</v>
      </c>
      <c r="I55" s="121" t="s">
        <v>617</v>
      </c>
      <c r="J55" s="120" t="s">
        <v>617</v>
      </c>
      <c r="K55" s="120" t="s">
        <v>617</v>
      </c>
      <c r="L55" s="121" t="s">
        <v>617</v>
      </c>
      <c r="M55" s="121" t="s">
        <v>617</v>
      </c>
      <c r="N55" s="120" t="s">
        <v>617</v>
      </c>
      <c r="O55" s="120">
        <v>4.0999999999999996</v>
      </c>
      <c r="P55" s="121">
        <v>3</v>
      </c>
      <c r="Q55" s="121">
        <v>2.4</v>
      </c>
      <c r="R55" s="120">
        <v>2</v>
      </c>
      <c r="S55" s="120">
        <v>1.9</v>
      </c>
      <c r="T55" s="121">
        <v>1.7</v>
      </c>
      <c r="U55" s="121">
        <v>1.6</v>
      </c>
      <c r="V55" s="120">
        <v>1.7</v>
      </c>
      <c r="W55" s="120">
        <v>1.7</v>
      </c>
      <c r="X55" s="121" t="s">
        <v>617</v>
      </c>
      <c r="Y55" s="121" t="s">
        <v>617</v>
      </c>
      <c r="Z55" s="120" t="s">
        <v>617</v>
      </c>
      <c r="AA55" s="120" t="s">
        <v>617</v>
      </c>
      <c r="AB55" s="121" t="s">
        <v>617</v>
      </c>
      <c r="AC55" s="121" t="s">
        <v>617</v>
      </c>
      <c r="AD55" s="120" t="s">
        <v>617</v>
      </c>
      <c r="AE55" s="120" t="s">
        <v>617</v>
      </c>
      <c r="AF55" s="121" t="s">
        <v>617</v>
      </c>
      <c r="AG55" s="121" t="s">
        <v>617</v>
      </c>
      <c r="AH55" s="120" t="s">
        <v>617</v>
      </c>
      <c r="AI55" s="120" t="s">
        <v>617</v>
      </c>
    </row>
    <row r="56" spans="1:35">
      <c r="A56" s="222" t="s">
        <v>621</v>
      </c>
      <c r="B56" s="222"/>
      <c r="C56" s="120" t="s">
        <v>617</v>
      </c>
      <c r="D56" s="121" t="s">
        <v>617</v>
      </c>
      <c r="E56" s="121" t="s">
        <v>617</v>
      </c>
      <c r="F56" s="120" t="s">
        <v>617</v>
      </c>
      <c r="G56" s="120" t="s">
        <v>617</v>
      </c>
      <c r="H56" s="121" t="s">
        <v>617</v>
      </c>
      <c r="I56" s="121" t="s">
        <v>617</v>
      </c>
      <c r="J56" s="120" t="s">
        <v>617</v>
      </c>
      <c r="K56" s="120" t="s">
        <v>617</v>
      </c>
      <c r="L56" s="121" t="s">
        <v>617</v>
      </c>
      <c r="M56" s="121" t="s">
        <v>617</v>
      </c>
      <c r="N56" s="120" t="s">
        <v>617</v>
      </c>
      <c r="O56" s="120" t="s">
        <v>617</v>
      </c>
      <c r="P56" s="121" t="s">
        <v>617</v>
      </c>
      <c r="Q56" s="121" t="s">
        <v>617</v>
      </c>
      <c r="R56" s="120" t="s">
        <v>617</v>
      </c>
      <c r="S56" s="120" t="s">
        <v>617</v>
      </c>
      <c r="T56" s="121" t="s">
        <v>617</v>
      </c>
      <c r="U56" s="121" t="s">
        <v>617</v>
      </c>
      <c r="V56" s="120">
        <v>8.1999999999999993</v>
      </c>
      <c r="W56" s="120">
        <v>8.3000000000000007</v>
      </c>
      <c r="X56" s="121" t="s">
        <v>617</v>
      </c>
      <c r="Y56" s="121" t="s">
        <v>617</v>
      </c>
      <c r="Z56" s="120" t="s">
        <v>617</v>
      </c>
      <c r="AA56" s="120" t="s">
        <v>617</v>
      </c>
      <c r="AB56" s="121" t="s">
        <v>617</v>
      </c>
      <c r="AC56" s="121" t="s">
        <v>617</v>
      </c>
      <c r="AD56" s="120" t="s">
        <v>617</v>
      </c>
      <c r="AE56" s="120" t="s">
        <v>617</v>
      </c>
      <c r="AF56" s="121" t="s">
        <v>617</v>
      </c>
      <c r="AG56" s="121" t="s">
        <v>617</v>
      </c>
      <c r="AH56" s="120" t="s">
        <v>617</v>
      </c>
      <c r="AI56" s="120" t="s">
        <v>617</v>
      </c>
    </row>
    <row r="57" spans="1:35">
      <c r="A57" s="222" t="s">
        <v>622</v>
      </c>
      <c r="B57" s="222"/>
      <c r="C57" s="120" t="s">
        <v>617</v>
      </c>
      <c r="D57" s="121" t="s">
        <v>617</v>
      </c>
      <c r="E57" s="121" t="s">
        <v>617</v>
      </c>
      <c r="F57" s="120" t="s">
        <v>617</v>
      </c>
      <c r="G57" s="120" t="s">
        <v>617</v>
      </c>
      <c r="H57" s="121" t="s">
        <v>617</v>
      </c>
      <c r="I57" s="121" t="s">
        <v>617</v>
      </c>
      <c r="J57" s="120" t="s">
        <v>617</v>
      </c>
      <c r="K57" s="120" t="s">
        <v>617</v>
      </c>
      <c r="L57" s="121" t="s">
        <v>617</v>
      </c>
      <c r="M57" s="121" t="s">
        <v>617</v>
      </c>
      <c r="N57" s="120" t="s">
        <v>617</v>
      </c>
      <c r="O57" s="120" t="s">
        <v>617</v>
      </c>
      <c r="P57" s="121" t="s">
        <v>617</v>
      </c>
      <c r="Q57" s="121" t="s">
        <v>617</v>
      </c>
      <c r="R57" s="120" t="s">
        <v>617</v>
      </c>
      <c r="S57" s="120" t="s">
        <v>617</v>
      </c>
      <c r="T57" s="121" t="s">
        <v>617</v>
      </c>
      <c r="U57" s="121" t="s">
        <v>617</v>
      </c>
      <c r="V57" s="122">
        <v>0.1192</v>
      </c>
      <c r="W57" s="122">
        <v>0.1193</v>
      </c>
      <c r="X57" s="121" t="s">
        <v>617</v>
      </c>
      <c r="Y57" s="121" t="s">
        <v>617</v>
      </c>
      <c r="Z57" s="120" t="s">
        <v>617</v>
      </c>
      <c r="AA57" s="120" t="s">
        <v>617</v>
      </c>
      <c r="AB57" s="121" t="s">
        <v>617</v>
      </c>
      <c r="AC57" s="121" t="s">
        <v>617</v>
      </c>
      <c r="AD57" s="120" t="s">
        <v>617</v>
      </c>
      <c r="AE57" s="120" t="s">
        <v>617</v>
      </c>
      <c r="AF57" s="121" t="s">
        <v>617</v>
      </c>
      <c r="AG57" s="121" t="s">
        <v>617</v>
      </c>
      <c r="AH57" s="120" t="s">
        <v>617</v>
      </c>
      <c r="AI57" s="120" t="s">
        <v>617</v>
      </c>
    </row>
    <row r="58" spans="1:35">
      <c r="A58" s="222" t="s">
        <v>623</v>
      </c>
      <c r="B58" s="222"/>
      <c r="C58" s="120" t="s">
        <v>617</v>
      </c>
      <c r="D58" s="121" t="s">
        <v>617</v>
      </c>
      <c r="E58" s="121" t="s">
        <v>617</v>
      </c>
      <c r="F58" s="120" t="s">
        <v>617</v>
      </c>
      <c r="G58" s="120" t="s">
        <v>617</v>
      </c>
      <c r="H58" s="121" t="s">
        <v>617</v>
      </c>
      <c r="I58" s="121" t="s">
        <v>617</v>
      </c>
      <c r="J58" s="120" t="s">
        <v>617</v>
      </c>
      <c r="K58" s="120" t="s">
        <v>617</v>
      </c>
      <c r="L58" s="121" t="s">
        <v>617</v>
      </c>
      <c r="M58" s="121" t="s">
        <v>617</v>
      </c>
      <c r="N58" s="120" t="s">
        <v>617</v>
      </c>
      <c r="O58" s="120" t="s">
        <v>617</v>
      </c>
      <c r="P58" s="121" t="s">
        <v>617</v>
      </c>
      <c r="Q58" s="121" t="s">
        <v>617</v>
      </c>
      <c r="R58" s="120" t="s">
        <v>617</v>
      </c>
      <c r="S58" s="120" t="s">
        <v>617</v>
      </c>
      <c r="T58" s="121" t="s">
        <v>617</v>
      </c>
      <c r="U58" s="121" t="s">
        <v>617</v>
      </c>
      <c r="V58" s="120" t="s">
        <v>617</v>
      </c>
      <c r="W58" s="120" t="s">
        <v>617</v>
      </c>
      <c r="X58" s="121">
        <v>0.3</v>
      </c>
      <c r="Y58" s="121" t="s">
        <v>617</v>
      </c>
      <c r="Z58" s="120" t="s">
        <v>617</v>
      </c>
      <c r="AA58" s="120" t="s">
        <v>617</v>
      </c>
      <c r="AB58" s="121" t="s">
        <v>617</v>
      </c>
      <c r="AC58" s="121" t="s">
        <v>617</v>
      </c>
      <c r="AD58" s="120" t="s">
        <v>617</v>
      </c>
      <c r="AE58" s="120" t="s">
        <v>617</v>
      </c>
      <c r="AF58" s="121" t="s">
        <v>617</v>
      </c>
      <c r="AG58" s="121" t="s">
        <v>617</v>
      </c>
      <c r="AH58" s="120" t="s">
        <v>617</v>
      </c>
      <c r="AI58" s="120" t="s">
        <v>617</v>
      </c>
    </row>
    <row r="59" spans="1:35">
      <c r="A59" s="222" t="s">
        <v>624</v>
      </c>
      <c r="B59" s="222"/>
      <c r="C59" s="120" t="s">
        <v>617</v>
      </c>
      <c r="D59" s="121" t="s">
        <v>617</v>
      </c>
      <c r="E59" s="121" t="s">
        <v>617</v>
      </c>
      <c r="F59" s="120" t="s">
        <v>617</v>
      </c>
      <c r="G59" s="120" t="s">
        <v>617</v>
      </c>
      <c r="H59" s="121" t="s">
        <v>617</v>
      </c>
      <c r="I59" s="121" t="s">
        <v>617</v>
      </c>
      <c r="J59" s="120" t="s">
        <v>617</v>
      </c>
      <c r="K59" s="120" t="s">
        <v>617</v>
      </c>
      <c r="L59" s="121" t="s">
        <v>617</v>
      </c>
      <c r="M59" s="121" t="s">
        <v>617</v>
      </c>
      <c r="N59" s="120" t="s">
        <v>617</v>
      </c>
      <c r="O59" s="120" t="s">
        <v>617</v>
      </c>
      <c r="P59" s="121" t="s">
        <v>617</v>
      </c>
      <c r="Q59" s="121" t="s">
        <v>617</v>
      </c>
      <c r="R59" s="120" t="s">
        <v>617</v>
      </c>
      <c r="S59" s="120" t="s">
        <v>617</v>
      </c>
      <c r="T59" s="121" t="s">
        <v>617</v>
      </c>
      <c r="U59" s="121" t="s">
        <v>617</v>
      </c>
      <c r="V59" s="120" t="s">
        <v>617</v>
      </c>
      <c r="W59" s="120" t="s">
        <v>617</v>
      </c>
      <c r="X59" s="121" t="s">
        <v>617</v>
      </c>
      <c r="Y59" s="121">
        <v>2.9</v>
      </c>
      <c r="Z59" s="120" t="s">
        <v>617</v>
      </c>
      <c r="AA59" s="120" t="s">
        <v>617</v>
      </c>
      <c r="AB59" s="121" t="s">
        <v>617</v>
      </c>
      <c r="AC59" s="121" t="s">
        <v>617</v>
      </c>
      <c r="AD59" s="120" t="s">
        <v>617</v>
      </c>
      <c r="AE59" s="120" t="s">
        <v>617</v>
      </c>
      <c r="AF59" s="121" t="s">
        <v>617</v>
      </c>
      <c r="AG59" s="121" t="s">
        <v>617</v>
      </c>
      <c r="AH59" s="120" t="s">
        <v>617</v>
      </c>
      <c r="AI59" s="120" t="s">
        <v>617</v>
      </c>
    </row>
    <row r="60" spans="1:35">
      <c r="A60" s="223" t="s">
        <v>632</v>
      </c>
      <c r="B60" s="223"/>
      <c r="C60" s="125" t="s">
        <v>631</v>
      </c>
      <c r="D60" s="124" t="s">
        <v>631</v>
      </c>
      <c r="E60" s="124" t="s">
        <v>631</v>
      </c>
      <c r="F60" s="125">
        <v>8.5000000000000006E-2</v>
      </c>
      <c r="G60" s="125">
        <v>7.2999999999999995E-2</v>
      </c>
      <c r="H60" s="124">
        <v>9.1999999999999998E-2</v>
      </c>
      <c r="I60" s="124">
        <v>9.2999999999999999E-2</v>
      </c>
      <c r="J60" s="118">
        <v>0.11</v>
      </c>
      <c r="K60" s="118">
        <v>0.1</v>
      </c>
      <c r="L60" s="119">
        <v>0.26</v>
      </c>
      <c r="M60" s="119">
        <v>0.11</v>
      </c>
      <c r="N60" s="118">
        <v>0.13</v>
      </c>
      <c r="O60" s="125" t="s">
        <v>631</v>
      </c>
      <c r="P60" s="124" t="s">
        <v>631</v>
      </c>
      <c r="Q60" s="124" t="s">
        <v>631</v>
      </c>
      <c r="R60" s="125" t="s">
        <v>631</v>
      </c>
      <c r="S60" s="125" t="s">
        <v>631</v>
      </c>
      <c r="T60" s="124" t="s">
        <v>631</v>
      </c>
      <c r="U60" s="124" t="s">
        <v>631</v>
      </c>
      <c r="V60" s="125" t="s">
        <v>631</v>
      </c>
      <c r="W60" s="125" t="s">
        <v>631</v>
      </c>
      <c r="X60" s="124" t="s">
        <v>631</v>
      </c>
      <c r="Y60" s="124" t="s">
        <v>631</v>
      </c>
      <c r="Z60" s="125" t="s">
        <v>631</v>
      </c>
      <c r="AA60" s="125" t="s">
        <v>631</v>
      </c>
      <c r="AB60" s="124" t="s">
        <v>631</v>
      </c>
      <c r="AC60" s="124" t="s">
        <v>631</v>
      </c>
      <c r="AD60" s="125" t="s">
        <v>631</v>
      </c>
      <c r="AE60" s="125" t="s">
        <v>631</v>
      </c>
      <c r="AF60" s="124" t="s">
        <v>631</v>
      </c>
      <c r="AG60" s="124" t="s">
        <v>631</v>
      </c>
      <c r="AH60" s="125" t="s">
        <v>631</v>
      </c>
      <c r="AI60" s="125" t="s">
        <v>631</v>
      </c>
    </row>
    <row r="61" spans="1:35">
      <c r="A61" s="222" t="s">
        <v>614</v>
      </c>
      <c r="B61" s="222"/>
      <c r="C61" s="120" t="s">
        <v>617</v>
      </c>
      <c r="D61" s="121" t="s">
        <v>617</v>
      </c>
      <c r="E61" s="121" t="s">
        <v>617</v>
      </c>
      <c r="F61" s="120">
        <v>81.3</v>
      </c>
      <c r="G61" s="120">
        <v>75</v>
      </c>
      <c r="H61" s="121">
        <v>79.8</v>
      </c>
      <c r="I61" s="121">
        <v>92.3</v>
      </c>
      <c r="J61" s="120">
        <v>95.4</v>
      </c>
      <c r="K61" s="120">
        <v>110.8</v>
      </c>
      <c r="L61" s="121">
        <v>221.4</v>
      </c>
      <c r="M61" s="121">
        <v>110.1</v>
      </c>
      <c r="N61" s="120">
        <v>114.6</v>
      </c>
      <c r="O61" s="120" t="s">
        <v>617</v>
      </c>
      <c r="P61" s="121" t="s">
        <v>617</v>
      </c>
      <c r="Q61" s="121" t="s">
        <v>617</v>
      </c>
      <c r="R61" s="120" t="s">
        <v>617</v>
      </c>
      <c r="S61" s="120" t="s">
        <v>617</v>
      </c>
      <c r="T61" s="121" t="s">
        <v>617</v>
      </c>
      <c r="U61" s="121" t="s">
        <v>617</v>
      </c>
      <c r="V61" s="120" t="s">
        <v>617</v>
      </c>
      <c r="W61" s="120" t="s">
        <v>617</v>
      </c>
      <c r="X61" s="121" t="s">
        <v>617</v>
      </c>
      <c r="Y61" s="121" t="s">
        <v>617</v>
      </c>
      <c r="Z61" s="120" t="s">
        <v>617</v>
      </c>
      <c r="AA61" s="120" t="s">
        <v>617</v>
      </c>
      <c r="AB61" s="121" t="s">
        <v>617</v>
      </c>
      <c r="AC61" s="121" t="s">
        <v>617</v>
      </c>
      <c r="AD61" s="120" t="s">
        <v>617</v>
      </c>
      <c r="AE61" s="120" t="s">
        <v>617</v>
      </c>
      <c r="AF61" s="121" t="s">
        <v>617</v>
      </c>
      <c r="AG61" s="121" t="s">
        <v>617</v>
      </c>
      <c r="AH61" s="120" t="s">
        <v>617</v>
      </c>
      <c r="AI61" s="120" t="s">
        <v>617</v>
      </c>
    </row>
    <row r="62" spans="1:35">
      <c r="A62" s="222" t="s">
        <v>615</v>
      </c>
      <c r="B62" s="222"/>
      <c r="C62" s="120" t="s">
        <v>617</v>
      </c>
      <c r="D62" s="121" t="s">
        <v>617</v>
      </c>
      <c r="E62" s="121" t="s">
        <v>617</v>
      </c>
      <c r="F62" s="120">
        <v>81.3</v>
      </c>
      <c r="G62" s="120">
        <v>75</v>
      </c>
      <c r="H62" s="121">
        <v>79.8</v>
      </c>
      <c r="I62" s="121">
        <v>92.3</v>
      </c>
      <c r="J62" s="120">
        <v>95.4</v>
      </c>
      <c r="K62" s="120">
        <v>110.8</v>
      </c>
      <c r="L62" s="121">
        <v>221.4</v>
      </c>
      <c r="M62" s="121">
        <v>110.1</v>
      </c>
      <c r="N62" s="120">
        <v>114.6</v>
      </c>
      <c r="O62" s="120" t="s">
        <v>617</v>
      </c>
      <c r="P62" s="121" t="s">
        <v>617</v>
      </c>
      <c r="Q62" s="121" t="s">
        <v>617</v>
      </c>
      <c r="R62" s="120" t="s">
        <v>617</v>
      </c>
      <c r="S62" s="120" t="s">
        <v>617</v>
      </c>
      <c r="T62" s="121" t="s">
        <v>617</v>
      </c>
      <c r="U62" s="121" t="s">
        <v>617</v>
      </c>
      <c r="V62" s="120" t="s">
        <v>617</v>
      </c>
      <c r="W62" s="120" t="s">
        <v>617</v>
      </c>
      <c r="X62" s="121" t="s">
        <v>617</v>
      </c>
      <c r="Y62" s="121" t="s">
        <v>617</v>
      </c>
      <c r="Z62" s="120" t="s">
        <v>617</v>
      </c>
      <c r="AA62" s="120" t="s">
        <v>617</v>
      </c>
      <c r="AB62" s="121" t="s">
        <v>617</v>
      </c>
      <c r="AC62" s="121" t="s">
        <v>617</v>
      </c>
      <c r="AD62" s="120" t="s">
        <v>617</v>
      </c>
      <c r="AE62" s="120" t="s">
        <v>617</v>
      </c>
      <c r="AF62" s="121" t="s">
        <v>617</v>
      </c>
      <c r="AG62" s="121" t="s">
        <v>617</v>
      </c>
      <c r="AH62" s="120" t="s">
        <v>617</v>
      </c>
      <c r="AI62" s="120" t="s">
        <v>617</v>
      </c>
    </row>
    <row r="63" spans="1:35">
      <c r="A63" s="222" t="s">
        <v>616</v>
      </c>
      <c r="B63" s="222"/>
      <c r="C63" s="120" t="s">
        <v>617</v>
      </c>
      <c r="D63" s="121" t="s">
        <v>617</v>
      </c>
      <c r="E63" s="121" t="s">
        <v>617</v>
      </c>
      <c r="F63" s="120">
        <v>53.8</v>
      </c>
      <c r="G63" s="120">
        <v>23.2</v>
      </c>
      <c r="H63" s="121">
        <v>32</v>
      </c>
      <c r="I63" s="121">
        <v>30.8</v>
      </c>
      <c r="J63" s="120">
        <v>29.6</v>
      </c>
      <c r="K63" s="120">
        <v>31</v>
      </c>
      <c r="L63" s="121">
        <v>59.8</v>
      </c>
      <c r="M63" s="121">
        <v>30.6</v>
      </c>
      <c r="N63" s="120">
        <v>48.6</v>
      </c>
      <c r="O63" s="120" t="s">
        <v>617</v>
      </c>
      <c r="P63" s="121" t="s">
        <v>617</v>
      </c>
      <c r="Q63" s="121" t="s">
        <v>617</v>
      </c>
      <c r="R63" s="120" t="s">
        <v>617</v>
      </c>
      <c r="S63" s="120" t="s">
        <v>617</v>
      </c>
      <c r="T63" s="121" t="s">
        <v>617</v>
      </c>
      <c r="U63" s="121" t="s">
        <v>617</v>
      </c>
      <c r="V63" s="120" t="s">
        <v>617</v>
      </c>
      <c r="W63" s="120" t="s">
        <v>617</v>
      </c>
      <c r="X63" s="121" t="s">
        <v>617</v>
      </c>
      <c r="Y63" s="121" t="s">
        <v>617</v>
      </c>
      <c r="Z63" s="120" t="s">
        <v>617</v>
      </c>
      <c r="AA63" s="120" t="s">
        <v>617</v>
      </c>
      <c r="AB63" s="121" t="s">
        <v>617</v>
      </c>
      <c r="AC63" s="121" t="s">
        <v>617</v>
      </c>
      <c r="AD63" s="120" t="s">
        <v>617</v>
      </c>
      <c r="AE63" s="120" t="s">
        <v>617</v>
      </c>
      <c r="AF63" s="121" t="s">
        <v>617</v>
      </c>
      <c r="AG63" s="121" t="s">
        <v>617</v>
      </c>
      <c r="AH63" s="120" t="s">
        <v>617</v>
      </c>
      <c r="AI63" s="120" t="s">
        <v>617</v>
      </c>
    </row>
    <row r="64" spans="1:35">
      <c r="A64" s="222" t="s">
        <v>618</v>
      </c>
      <c r="B64" s="222"/>
      <c r="C64" s="120" t="s">
        <v>617</v>
      </c>
      <c r="D64" s="121" t="s">
        <v>617</v>
      </c>
      <c r="E64" s="121" t="s">
        <v>617</v>
      </c>
      <c r="F64" s="122">
        <v>0.66169999999999995</v>
      </c>
      <c r="G64" s="122">
        <v>0.30930000000000002</v>
      </c>
      <c r="H64" s="123">
        <v>0.40100000000000002</v>
      </c>
      <c r="I64" s="123">
        <v>0.3337</v>
      </c>
      <c r="J64" s="122">
        <v>0.31030000000000002</v>
      </c>
      <c r="K64" s="122">
        <v>0.27979999999999999</v>
      </c>
      <c r="L64" s="123">
        <v>0.27010000000000001</v>
      </c>
      <c r="M64" s="123">
        <v>0.27789999999999998</v>
      </c>
      <c r="N64" s="122">
        <v>0.42409999999999998</v>
      </c>
      <c r="O64" s="120" t="s">
        <v>617</v>
      </c>
      <c r="P64" s="121" t="s">
        <v>617</v>
      </c>
      <c r="Q64" s="121" t="s">
        <v>617</v>
      </c>
      <c r="R64" s="120" t="s">
        <v>617</v>
      </c>
      <c r="S64" s="120" t="s">
        <v>617</v>
      </c>
      <c r="T64" s="121" t="s">
        <v>617</v>
      </c>
      <c r="U64" s="121" t="s">
        <v>617</v>
      </c>
      <c r="V64" s="120" t="s">
        <v>617</v>
      </c>
      <c r="W64" s="120" t="s">
        <v>617</v>
      </c>
      <c r="X64" s="121" t="s">
        <v>617</v>
      </c>
      <c r="Y64" s="121" t="s">
        <v>617</v>
      </c>
      <c r="Z64" s="120" t="s">
        <v>617</v>
      </c>
      <c r="AA64" s="120" t="s">
        <v>617</v>
      </c>
      <c r="AB64" s="121" t="s">
        <v>617</v>
      </c>
      <c r="AC64" s="121" t="s">
        <v>617</v>
      </c>
      <c r="AD64" s="120" t="s">
        <v>617</v>
      </c>
      <c r="AE64" s="120" t="s">
        <v>617</v>
      </c>
      <c r="AF64" s="121" t="s">
        <v>617</v>
      </c>
      <c r="AG64" s="121" t="s">
        <v>617</v>
      </c>
      <c r="AH64" s="120" t="s">
        <v>617</v>
      </c>
      <c r="AI64" s="120" t="s">
        <v>617</v>
      </c>
    </row>
    <row r="65" spans="1:35">
      <c r="A65" s="222" t="s">
        <v>619</v>
      </c>
      <c r="B65" s="222"/>
      <c r="C65" s="120" t="s">
        <v>617</v>
      </c>
      <c r="D65" s="121" t="s">
        <v>617</v>
      </c>
      <c r="E65" s="121" t="s">
        <v>617</v>
      </c>
      <c r="F65" s="120">
        <v>15.5</v>
      </c>
      <c r="G65" s="120">
        <v>13.5</v>
      </c>
      <c r="H65" s="121">
        <v>12.2</v>
      </c>
      <c r="I65" s="121">
        <v>10.5</v>
      </c>
      <c r="J65" s="120">
        <v>11.3</v>
      </c>
      <c r="K65" s="120">
        <v>9.1999999999999993</v>
      </c>
      <c r="L65" s="121">
        <v>14.9</v>
      </c>
      <c r="M65" s="121">
        <v>7.4</v>
      </c>
      <c r="N65" s="120">
        <v>10.7</v>
      </c>
      <c r="O65" s="120" t="s">
        <v>617</v>
      </c>
      <c r="P65" s="121" t="s">
        <v>617</v>
      </c>
      <c r="Q65" s="121" t="s">
        <v>617</v>
      </c>
      <c r="R65" s="120" t="s">
        <v>617</v>
      </c>
      <c r="S65" s="120" t="s">
        <v>617</v>
      </c>
      <c r="T65" s="121" t="s">
        <v>617</v>
      </c>
      <c r="U65" s="121" t="s">
        <v>617</v>
      </c>
      <c r="V65" s="120" t="s">
        <v>617</v>
      </c>
      <c r="W65" s="120" t="s">
        <v>617</v>
      </c>
      <c r="X65" s="121" t="s">
        <v>617</v>
      </c>
      <c r="Y65" s="121" t="s">
        <v>617</v>
      </c>
      <c r="Z65" s="120" t="s">
        <v>617</v>
      </c>
      <c r="AA65" s="120" t="s">
        <v>617</v>
      </c>
      <c r="AB65" s="121" t="s">
        <v>617</v>
      </c>
      <c r="AC65" s="121" t="s">
        <v>617</v>
      </c>
      <c r="AD65" s="120" t="s">
        <v>617</v>
      </c>
      <c r="AE65" s="120" t="s">
        <v>617</v>
      </c>
      <c r="AF65" s="121" t="s">
        <v>617</v>
      </c>
      <c r="AG65" s="121" t="s">
        <v>617</v>
      </c>
      <c r="AH65" s="120" t="s">
        <v>617</v>
      </c>
      <c r="AI65" s="120" t="s">
        <v>617</v>
      </c>
    </row>
    <row r="66" spans="1:35">
      <c r="A66" s="222" t="s">
        <v>620</v>
      </c>
      <c r="B66" s="222"/>
      <c r="C66" s="120" t="s">
        <v>617</v>
      </c>
      <c r="D66" s="121" t="s">
        <v>617</v>
      </c>
      <c r="E66" s="121" t="s">
        <v>617</v>
      </c>
      <c r="F66" s="120">
        <v>64.599999999999994</v>
      </c>
      <c r="G66" s="120">
        <v>90</v>
      </c>
      <c r="H66" s="121">
        <v>99.5</v>
      </c>
      <c r="I66" s="121">
        <v>91.4</v>
      </c>
      <c r="J66" s="120">
        <v>39.5</v>
      </c>
      <c r="K66" s="120">
        <v>10.7</v>
      </c>
      <c r="L66" s="121" t="s">
        <v>617</v>
      </c>
      <c r="M66" s="121" t="s">
        <v>617</v>
      </c>
      <c r="N66" s="120" t="s">
        <v>617</v>
      </c>
      <c r="O66" s="120" t="s">
        <v>617</v>
      </c>
      <c r="P66" s="121" t="s">
        <v>617</v>
      </c>
      <c r="Q66" s="121" t="s">
        <v>617</v>
      </c>
      <c r="R66" s="120" t="s">
        <v>617</v>
      </c>
      <c r="S66" s="120" t="s">
        <v>617</v>
      </c>
      <c r="T66" s="121" t="s">
        <v>617</v>
      </c>
      <c r="U66" s="121" t="s">
        <v>617</v>
      </c>
      <c r="V66" s="120" t="s">
        <v>617</v>
      </c>
      <c r="W66" s="120" t="s">
        <v>617</v>
      </c>
      <c r="X66" s="121" t="s">
        <v>617</v>
      </c>
      <c r="Y66" s="121" t="s">
        <v>617</v>
      </c>
      <c r="Z66" s="120" t="s">
        <v>617</v>
      </c>
      <c r="AA66" s="120" t="s">
        <v>617</v>
      </c>
      <c r="AB66" s="121" t="s">
        <v>617</v>
      </c>
      <c r="AC66" s="121" t="s">
        <v>617</v>
      </c>
      <c r="AD66" s="120" t="s">
        <v>617</v>
      </c>
      <c r="AE66" s="120" t="s">
        <v>617</v>
      </c>
      <c r="AF66" s="121" t="s">
        <v>617</v>
      </c>
      <c r="AG66" s="121" t="s">
        <v>617</v>
      </c>
      <c r="AH66" s="120" t="s">
        <v>617</v>
      </c>
      <c r="AI66" s="120" t="s">
        <v>617</v>
      </c>
    </row>
    <row r="67" spans="1:35">
      <c r="A67" s="223" t="s">
        <v>633</v>
      </c>
      <c r="B67" s="223"/>
      <c r="C67" s="125">
        <v>8.7999999999999995E-2</v>
      </c>
      <c r="D67" s="119">
        <v>0.11</v>
      </c>
      <c r="E67" s="124">
        <v>8.7999999999999995E-2</v>
      </c>
      <c r="F67" s="125" t="s">
        <v>631</v>
      </c>
      <c r="G67" s="125" t="s">
        <v>631</v>
      </c>
      <c r="H67" s="124" t="s">
        <v>631</v>
      </c>
      <c r="I67" s="124" t="s">
        <v>631</v>
      </c>
      <c r="J67" s="125" t="s">
        <v>631</v>
      </c>
      <c r="K67" s="125" t="s">
        <v>631</v>
      </c>
      <c r="L67" s="124" t="s">
        <v>631</v>
      </c>
      <c r="M67" s="124" t="s">
        <v>631</v>
      </c>
      <c r="N67" s="125" t="s">
        <v>631</v>
      </c>
      <c r="O67" s="125" t="s">
        <v>631</v>
      </c>
      <c r="P67" s="124" t="s">
        <v>631</v>
      </c>
      <c r="Q67" s="124" t="s">
        <v>631</v>
      </c>
      <c r="R67" s="125" t="s">
        <v>631</v>
      </c>
      <c r="S67" s="125" t="s">
        <v>631</v>
      </c>
      <c r="T67" s="124" t="s">
        <v>631</v>
      </c>
      <c r="U67" s="124" t="s">
        <v>631</v>
      </c>
      <c r="V67" s="125" t="s">
        <v>631</v>
      </c>
      <c r="W67" s="125" t="s">
        <v>631</v>
      </c>
      <c r="X67" s="124" t="s">
        <v>631</v>
      </c>
      <c r="Y67" s="124" t="s">
        <v>631</v>
      </c>
      <c r="Z67" s="125" t="s">
        <v>631</v>
      </c>
      <c r="AA67" s="125" t="s">
        <v>631</v>
      </c>
      <c r="AB67" s="124" t="s">
        <v>631</v>
      </c>
      <c r="AC67" s="124" t="s">
        <v>631</v>
      </c>
      <c r="AD67" s="125" t="s">
        <v>631</v>
      </c>
      <c r="AE67" s="125" t="s">
        <v>631</v>
      </c>
      <c r="AF67" s="124" t="s">
        <v>631</v>
      </c>
      <c r="AG67" s="124" t="s">
        <v>631</v>
      </c>
      <c r="AH67" s="125" t="s">
        <v>631</v>
      </c>
      <c r="AI67" s="125" t="s">
        <v>631</v>
      </c>
    </row>
    <row r="68" spans="1:35">
      <c r="A68" s="222" t="s">
        <v>614</v>
      </c>
      <c r="B68" s="222"/>
      <c r="C68" s="120">
        <v>91</v>
      </c>
      <c r="D68" s="121">
        <v>93.9</v>
      </c>
      <c r="E68" s="121">
        <v>91.3</v>
      </c>
      <c r="F68" s="120" t="s">
        <v>617</v>
      </c>
      <c r="G68" s="120" t="s">
        <v>617</v>
      </c>
      <c r="H68" s="121" t="s">
        <v>617</v>
      </c>
      <c r="I68" s="121" t="s">
        <v>617</v>
      </c>
      <c r="J68" s="120" t="s">
        <v>617</v>
      </c>
      <c r="K68" s="120" t="s">
        <v>617</v>
      </c>
      <c r="L68" s="121" t="s">
        <v>617</v>
      </c>
      <c r="M68" s="121" t="s">
        <v>617</v>
      </c>
      <c r="N68" s="120" t="s">
        <v>617</v>
      </c>
      <c r="O68" s="120" t="s">
        <v>617</v>
      </c>
      <c r="P68" s="121" t="s">
        <v>617</v>
      </c>
      <c r="Q68" s="121" t="s">
        <v>617</v>
      </c>
      <c r="R68" s="120" t="s">
        <v>617</v>
      </c>
      <c r="S68" s="120" t="s">
        <v>617</v>
      </c>
      <c r="T68" s="121" t="s">
        <v>617</v>
      </c>
      <c r="U68" s="121" t="s">
        <v>617</v>
      </c>
      <c r="V68" s="120" t="s">
        <v>617</v>
      </c>
      <c r="W68" s="120" t="s">
        <v>617</v>
      </c>
      <c r="X68" s="121" t="s">
        <v>617</v>
      </c>
      <c r="Y68" s="121" t="s">
        <v>617</v>
      </c>
      <c r="Z68" s="120" t="s">
        <v>617</v>
      </c>
      <c r="AA68" s="120" t="s">
        <v>617</v>
      </c>
      <c r="AB68" s="121" t="s">
        <v>617</v>
      </c>
      <c r="AC68" s="121" t="s">
        <v>617</v>
      </c>
      <c r="AD68" s="120" t="s">
        <v>617</v>
      </c>
      <c r="AE68" s="120" t="s">
        <v>617</v>
      </c>
      <c r="AF68" s="121" t="s">
        <v>617</v>
      </c>
      <c r="AG68" s="121" t="s">
        <v>617</v>
      </c>
      <c r="AH68" s="120" t="s">
        <v>617</v>
      </c>
      <c r="AI68" s="120" t="s">
        <v>617</v>
      </c>
    </row>
    <row r="69" spans="1:35">
      <c r="A69" s="222" t="s">
        <v>615</v>
      </c>
      <c r="B69" s="222"/>
      <c r="C69" s="120">
        <v>91</v>
      </c>
      <c r="D69" s="121">
        <v>93.9</v>
      </c>
      <c r="E69" s="121">
        <v>91.3</v>
      </c>
      <c r="F69" s="120" t="s">
        <v>617</v>
      </c>
      <c r="G69" s="120" t="s">
        <v>617</v>
      </c>
      <c r="H69" s="121" t="s">
        <v>617</v>
      </c>
      <c r="I69" s="121" t="s">
        <v>617</v>
      </c>
      <c r="J69" s="120" t="s">
        <v>617</v>
      </c>
      <c r="K69" s="120" t="s">
        <v>617</v>
      </c>
      <c r="L69" s="121" t="s">
        <v>617</v>
      </c>
      <c r="M69" s="121" t="s">
        <v>617</v>
      </c>
      <c r="N69" s="120" t="s">
        <v>617</v>
      </c>
      <c r="O69" s="120" t="s">
        <v>617</v>
      </c>
      <c r="P69" s="121" t="s">
        <v>617</v>
      </c>
      <c r="Q69" s="121" t="s">
        <v>617</v>
      </c>
      <c r="R69" s="120" t="s">
        <v>617</v>
      </c>
      <c r="S69" s="120" t="s">
        <v>617</v>
      </c>
      <c r="T69" s="121" t="s">
        <v>617</v>
      </c>
      <c r="U69" s="121" t="s">
        <v>617</v>
      </c>
      <c r="V69" s="120" t="s">
        <v>617</v>
      </c>
      <c r="W69" s="120" t="s">
        <v>617</v>
      </c>
      <c r="X69" s="121" t="s">
        <v>617</v>
      </c>
      <c r="Y69" s="121" t="s">
        <v>617</v>
      </c>
      <c r="Z69" s="120" t="s">
        <v>617</v>
      </c>
      <c r="AA69" s="120" t="s">
        <v>617</v>
      </c>
      <c r="AB69" s="121" t="s">
        <v>617</v>
      </c>
      <c r="AC69" s="121" t="s">
        <v>617</v>
      </c>
      <c r="AD69" s="120" t="s">
        <v>617</v>
      </c>
      <c r="AE69" s="120" t="s">
        <v>617</v>
      </c>
      <c r="AF69" s="121" t="s">
        <v>617</v>
      </c>
      <c r="AG69" s="121" t="s">
        <v>617</v>
      </c>
      <c r="AH69" s="120" t="s">
        <v>617</v>
      </c>
      <c r="AI69" s="120" t="s">
        <v>617</v>
      </c>
    </row>
    <row r="70" spans="1:35">
      <c r="A70" s="222" t="s">
        <v>616</v>
      </c>
      <c r="B70" s="222"/>
      <c r="C70" s="120">
        <v>44.8</v>
      </c>
      <c r="D70" s="121">
        <v>67.8</v>
      </c>
      <c r="E70" s="121">
        <v>41.2</v>
      </c>
      <c r="F70" s="120" t="s">
        <v>617</v>
      </c>
      <c r="G70" s="120" t="s">
        <v>617</v>
      </c>
      <c r="H70" s="121" t="s">
        <v>617</v>
      </c>
      <c r="I70" s="121" t="s">
        <v>617</v>
      </c>
      <c r="J70" s="120" t="s">
        <v>617</v>
      </c>
      <c r="K70" s="120" t="s">
        <v>617</v>
      </c>
      <c r="L70" s="121" t="s">
        <v>617</v>
      </c>
      <c r="M70" s="121" t="s">
        <v>617</v>
      </c>
      <c r="N70" s="120" t="s">
        <v>617</v>
      </c>
      <c r="O70" s="120" t="s">
        <v>617</v>
      </c>
      <c r="P70" s="121" t="s">
        <v>617</v>
      </c>
      <c r="Q70" s="121" t="s">
        <v>617</v>
      </c>
      <c r="R70" s="120" t="s">
        <v>617</v>
      </c>
      <c r="S70" s="120" t="s">
        <v>617</v>
      </c>
      <c r="T70" s="121" t="s">
        <v>617</v>
      </c>
      <c r="U70" s="121" t="s">
        <v>617</v>
      </c>
      <c r="V70" s="120" t="s">
        <v>617</v>
      </c>
      <c r="W70" s="120" t="s">
        <v>617</v>
      </c>
      <c r="X70" s="121" t="s">
        <v>617</v>
      </c>
      <c r="Y70" s="121" t="s">
        <v>617</v>
      </c>
      <c r="Z70" s="120" t="s">
        <v>617</v>
      </c>
      <c r="AA70" s="120" t="s">
        <v>617</v>
      </c>
      <c r="AB70" s="121" t="s">
        <v>617</v>
      </c>
      <c r="AC70" s="121" t="s">
        <v>617</v>
      </c>
      <c r="AD70" s="120" t="s">
        <v>617</v>
      </c>
      <c r="AE70" s="120" t="s">
        <v>617</v>
      </c>
      <c r="AF70" s="121" t="s">
        <v>617</v>
      </c>
      <c r="AG70" s="121" t="s">
        <v>617</v>
      </c>
      <c r="AH70" s="120" t="s">
        <v>617</v>
      </c>
      <c r="AI70" s="120" t="s">
        <v>617</v>
      </c>
    </row>
    <row r="71" spans="1:35">
      <c r="A71" s="222" t="s">
        <v>618</v>
      </c>
      <c r="B71" s="222"/>
      <c r="C71" s="122">
        <v>0.49230000000000002</v>
      </c>
      <c r="D71" s="123">
        <v>0.72199999999999998</v>
      </c>
      <c r="E71" s="123">
        <v>0.45129999999999998</v>
      </c>
      <c r="F71" s="120" t="s">
        <v>617</v>
      </c>
      <c r="G71" s="120" t="s">
        <v>617</v>
      </c>
      <c r="H71" s="121" t="s">
        <v>617</v>
      </c>
      <c r="I71" s="121" t="s">
        <v>617</v>
      </c>
      <c r="J71" s="120" t="s">
        <v>617</v>
      </c>
      <c r="K71" s="120" t="s">
        <v>617</v>
      </c>
      <c r="L71" s="121" t="s">
        <v>617</v>
      </c>
      <c r="M71" s="121" t="s">
        <v>617</v>
      </c>
      <c r="N71" s="120" t="s">
        <v>617</v>
      </c>
      <c r="O71" s="120" t="s">
        <v>617</v>
      </c>
      <c r="P71" s="121" t="s">
        <v>617</v>
      </c>
      <c r="Q71" s="121" t="s">
        <v>617</v>
      </c>
      <c r="R71" s="120" t="s">
        <v>617</v>
      </c>
      <c r="S71" s="120" t="s">
        <v>617</v>
      </c>
      <c r="T71" s="121" t="s">
        <v>617</v>
      </c>
      <c r="U71" s="121" t="s">
        <v>617</v>
      </c>
      <c r="V71" s="120" t="s">
        <v>617</v>
      </c>
      <c r="W71" s="120" t="s">
        <v>617</v>
      </c>
      <c r="X71" s="121" t="s">
        <v>617</v>
      </c>
      <c r="Y71" s="121" t="s">
        <v>617</v>
      </c>
      <c r="Z71" s="120" t="s">
        <v>617</v>
      </c>
      <c r="AA71" s="120" t="s">
        <v>617</v>
      </c>
      <c r="AB71" s="121" t="s">
        <v>617</v>
      </c>
      <c r="AC71" s="121" t="s">
        <v>617</v>
      </c>
      <c r="AD71" s="120" t="s">
        <v>617</v>
      </c>
      <c r="AE71" s="120" t="s">
        <v>617</v>
      </c>
      <c r="AF71" s="121" t="s">
        <v>617</v>
      </c>
      <c r="AG71" s="121" t="s">
        <v>617</v>
      </c>
      <c r="AH71" s="120" t="s">
        <v>617</v>
      </c>
      <c r="AI71" s="120" t="s">
        <v>617</v>
      </c>
    </row>
    <row r="72" spans="1:35">
      <c r="A72" s="222" t="s">
        <v>619</v>
      </c>
      <c r="B72" s="222"/>
      <c r="C72" s="120">
        <v>20.3</v>
      </c>
      <c r="D72" s="121">
        <v>26.4</v>
      </c>
      <c r="E72" s="121">
        <v>23</v>
      </c>
      <c r="F72" s="120" t="s">
        <v>617</v>
      </c>
      <c r="G72" s="120" t="s">
        <v>617</v>
      </c>
      <c r="H72" s="121" t="s">
        <v>617</v>
      </c>
      <c r="I72" s="121" t="s">
        <v>617</v>
      </c>
      <c r="J72" s="120" t="s">
        <v>617</v>
      </c>
      <c r="K72" s="120" t="s">
        <v>617</v>
      </c>
      <c r="L72" s="121" t="s">
        <v>617</v>
      </c>
      <c r="M72" s="121" t="s">
        <v>617</v>
      </c>
      <c r="N72" s="120" t="s">
        <v>617</v>
      </c>
      <c r="O72" s="120" t="s">
        <v>617</v>
      </c>
      <c r="P72" s="121" t="s">
        <v>617</v>
      </c>
      <c r="Q72" s="121" t="s">
        <v>617</v>
      </c>
      <c r="R72" s="120" t="s">
        <v>617</v>
      </c>
      <c r="S72" s="120" t="s">
        <v>617</v>
      </c>
      <c r="T72" s="121" t="s">
        <v>617</v>
      </c>
      <c r="U72" s="121" t="s">
        <v>617</v>
      </c>
      <c r="V72" s="120" t="s">
        <v>617</v>
      </c>
      <c r="W72" s="120" t="s">
        <v>617</v>
      </c>
      <c r="X72" s="121" t="s">
        <v>617</v>
      </c>
      <c r="Y72" s="121" t="s">
        <v>617</v>
      </c>
      <c r="Z72" s="120" t="s">
        <v>617</v>
      </c>
      <c r="AA72" s="120" t="s">
        <v>617</v>
      </c>
      <c r="AB72" s="121" t="s">
        <v>617</v>
      </c>
      <c r="AC72" s="121" t="s">
        <v>617</v>
      </c>
      <c r="AD72" s="120" t="s">
        <v>617</v>
      </c>
      <c r="AE72" s="120" t="s">
        <v>617</v>
      </c>
      <c r="AF72" s="121" t="s">
        <v>617</v>
      </c>
      <c r="AG72" s="121" t="s">
        <v>617</v>
      </c>
      <c r="AH72" s="120" t="s">
        <v>617</v>
      </c>
      <c r="AI72" s="120" t="s">
        <v>617</v>
      </c>
    </row>
    <row r="73" spans="1:35">
      <c r="A73" s="222" t="s">
        <v>620</v>
      </c>
      <c r="B73" s="222"/>
      <c r="C73" s="120">
        <v>59.2</v>
      </c>
      <c r="D73" s="121">
        <v>62.4</v>
      </c>
      <c r="E73" s="121">
        <v>46.1</v>
      </c>
      <c r="F73" s="120" t="s">
        <v>617</v>
      </c>
      <c r="G73" s="120" t="s">
        <v>617</v>
      </c>
      <c r="H73" s="121" t="s">
        <v>617</v>
      </c>
      <c r="I73" s="121" t="s">
        <v>617</v>
      </c>
      <c r="J73" s="120" t="s">
        <v>617</v>
      </c>
      <c r="K73" s="120" t="s">
        <v>617</v>
      </c>
      <c r="L73" s="121" t="s">
        <v>617</v>
      </c>
      <c r="M73" s="121" t="s">
        <v>617</v>
      </c>
      <c r="N73" s="120" t="s">
        <v>617</v>
      </c>
      <c r="O73" s="120" t="s">
        <v>617</v>
      </c>
      <c r="P73" s="121" t="s">
        <v>617</v>
      </c>
      <c r="Q73" s="121" t="s">
        <v>617</v>
      </c>
      <c r="R73" s="120" t="s">
        <v>617</v>
      </c>
      <c r="S73" s="120" t="s">
        <v>617</v>
      </c>
      <c r="T73" s="121" t="s">
        <v>617</v>
      </c>
      <c r="U73" s="121" t="s">
        <v>617</v>
      </c>
      <c r="V73" s="120" t="s">
        <v>617</v>
      </c>
      <c r="W73" s="120" t="s">
        <v>617</v>
      </c>
      <c r="X73" s="121" t="s">
        <v>617</v>
      </c>
      <c r="Y73" s="121" t="s">
        <v>617</v>
      </c>
      <c r="Z73" s="120" t="s">
        <v>617</v>
      </c>
      <c r="AA73" s="120" t="s">
        <v>617</v>
      </c>
      <c r="AB73" s="121" t="s">
        <v>617</v>
      </c>
      <c r="AC73" s="121" t="s">
        <v>617</v>
      </c>
      <c r="AD73" s="120" t="s">
        <v>617</v>
      </c>
      <c r="AE73" s="120" t="s">
        <v>617</v>
      </c>
      <c r="AF73" s="121" t="s">
        <v>617</v>
      </c>
      <c r="AG73" s="121" t="s">
        <v>617</v>
      </c>
      <c r="AH73" s="120" t="s">
        <v>617</v>
      </c>
      <c r="AI73" s="120" t="s">
        <v>617</v>
      </c>
    </row>
    <row r="74" spans="1:35">
      <c r="A74" s="223" t="s">
        <v>634</v>
      </c>
      <c r="B74" s="223"/>
      <c r="C74" s="125" t="s">
        <v>631</v>
      </c>
      <c r="D74" s="124" t="s">
        <v>631</v>
      </c>
      <c r="E74" s="124" t="s">
        <v>631</v>
      </c>
      <c r="F74" s="125" t="s">
        <v>631</v>
      </c>
      <c r="G74" s="125" t="s">
        <v>631</v>
      </c>
      <c r="H74" s="124" t="s">
        <v>631</v>
      </c>
      <c r="I74" s="124" t="s">
        <v>631</v>
      </c>
      <c r="J74" s="125" t="s">
        <v>631</v>
      </c>
      <c r="K74" s="125" t="s">
        <v>631</v>
      </c>
      <c r="L74" s="124" t="s">
        <v>631</v>
      </c>
      <c r="M74" s="124" t="s">
        <v>631</v>
      </c>
      <c r="N74" s="125" t="s">
        <v>631</v>
      </c>
      <c r="O74" s="125" t="s">
        <v>631</v>
      </c>
      <c r="P74" s="124" t="s">
        <v>631</v>
      </c>
      <c r="Q74" s="124" t="s">
        <v>631</v>
      </c>
      <c r="R74" s="125" t="s">
        <v>631</v>
      </c>
      <c r="S74" s="125" t="s">
        <v>631</v>
      </c>
      <c r="T74" s="124" t="s">
        <v>631</v>
      </c>
      <c r="U74" s="124" t="s">
        <v>631</v>
      </c>
      <c r="V74" s="125" t="s">
        <v>631</v>
      </c>
      <c r="W74" s="125" t="s">
        <v>631</v>
      </c>
      <c r="X74" s="124" t="s">
        <v>631</v>
      </c>
      <c r="Y74" s="124" t="s">
        <v>631</v>
      </c>
      <c r="Z74" s="125" t="s">
        <v>631</v>
      </c>
      <c r="AA74" s="125" t="s">
        <v>631</v>
      </c>
      <c r="AB74" s="124" t="s">
        <v>631</v>
      </c>
      <c r="AC74" s="124" t="s">
        <v>631</v>
      </c>
      <c r="AD74" s="125" t="s">
        <v>631</v>
      </c>
      <c r="AE74" s="125" t="s">
        <v>631</v>
      </c>
      <c r="AF74" s="124" t="s">
        <v>631</v>
      </c>
      <c r="AG74" s="124" t="s">
        <v>631</v>
      </c>
      <c r="AH74" s="125" t="s">
        <v>631</v>
      </c>
      <c r="AI74" s="118">
        <v>0.47</v>
      </c>
    </row>
    <row r="75" spans="1:35">
      <c r="A75" s="222" t="s">
        <v>624</v>
      </c>
      <c r="B75" s="222"/>
      <c r="C75" s="120" t="s">
        <v>617</v>
      </c>
      <c r="D75" s="121" t="s">
        <v>617</v>
      </c>
      <c r="E75" s="121" t="s">
        <v>617</v>
      </c>
      <c r="F75" s="120" t="s">
        <v>617</v>
      </c>
      <c r="G75" s="120" t="s">
        <v>617</v>
      </c>
      <c r="H75" s="121" t="s">
        <v>617</v>
      </c>
      <c r="I75" s="121" t="s">
        <v>617</v>
      </c>
      <c r="J75" s="120" t="s">
        <v>617</v>
      </c>
      <c r="K75" s="120" t="s">
        <v>617</v>
      </c>
      <c r="L75" s="121" t="s">
        <v>617</v>
      </c>
      <c r="M75" s="121" t="s">
        <v>617</v>
      </c>
      <c r="N75" s="120" t="s">
        <v>617</v>
      </c>
      <c r="O75" s="120" t="s">
        <v>617</v>
      </c>
      <c r="P75" s="121" t="s">
        <v>617</v>
      </c>
      <c r="Q75" s="121" t="s">
        <v>617</v>
      </c>
      <c r="R75" s="120" t="s">
        <v>617</v>
      </c>
      <c r="S75" s="120" t="s">
        <v>617</v>
      </c>
      <c r="T75" s="121" t="s">
        <v>617</v>
      </c>
      <c r="U75" s="121" t="s">
        <v>617</v>
      </c>
      <c r="V75" s="120" t="s">
        <v>617</v>
      </c>
      <c r="W75" s="120" t="s">
        <v>617</v>
      </c>
      <c r="X75" s="121" t="s">
        <v>617</v>
      </c>
      <c r="Y75" s="121" t="s">
        <v>617</v>
      </c>
      <c r="Z75" s="120" t="s">
        <v>617</v>
      </c>
      <c r="AA75" s="120" t="s">
        <v>617</v>
      </c>
      <c r="AB75" s="121" t="s">
        <v>617</v>
      </c>
      <c r="AC75" s="121" t="s">
        <v>617</v>
      </c>
      <c r="AD75" s="120" t="s">
        <v>617</v>
      </c>
      <c r="AE75" s="120" t="s">
        <v>617</v>
      </c>
      <c r="AF75" s="121">
        <v>9.6</v>
      </c>
      <c r="AG75" s="121" t="s">
        <v>617</v>
      </c>
      <c r="AH75" s="120" t="s">
        <v>617</v>
      </c>
      <c r="AI75" s="120" t="s">
        <v>617</v>
      </c>
    </row>
    <row r="76" spans="1:35">
      <c r="A76" s="222" t="s">
        <v>614</v>
      </c>
      <c r="B76" s="222"/>
      <c r="C76" s="120" t="s">
        <v>617</v>
      </c>
      <c r="D76" s="121" t="s">
        <v>617</v>
      </c>
      <c r="E76" s="121" t="s">
        <v>617</v>
      </c>
      <c r="F76" s="120" t="s">
        <v>617</v>
      </c>
      <c r="G76" s="120" t="s">
        <v>617</v>
      </c>
      <c r="H76" s="121" t="s">
        <v>617</v>
      </c>
      <c r="I76" s="121" t="s">
        <v>617</v>
      </c>
      <c r="J76" s="120" t="s">
        <v>617</v>
      </c>
      <c r="K76" s="120" t="s">
        <v>617</v>
      </c>
      <c r="L76" s="121" t="s">
        <v>617</v>
      </c>
      <c r="M76" s="121" t="s">
        <v>617</v>
      </c>
      <c r="N76" s="120" t="s">
        <v>617</v>
      </c>
      <c r="O76" s="120" t="s">
        <v>617</v>
      </c>
      <c r="P76" s="121" t="s">
        <v>617</v>
      </c>
      <c r="Q76" s="121" t="s">
        <v>617</v>
      </c>
      <c r="R76" s="120" t="s">
        <v>617</v>
      </c>
      <c r="S76" s="120" t="s">
        <v>617</v>
      </c>
      <c r="T76" s="121" t="s">
        <v>617</v>
      </c>
      <c r="U76" s="121" t="s">
        <v>617</v>
      </c>
      <c r="V76" s="120" t="s">
        <v>617</v>
      </c>
      <c r="W76" s="120" t="s">
        <v>617</v>
      </c>
      <c r="X76" s="121" t="s">
        <v>617</v>
      </c>
      <c r="Y76" s="121" t="s">
        <v>617</v>
      </c>
      <c r="Z76" s="120" t="s">
        <v>617</v>
      </c>
      <c r="AA76" s="120" t="s">
        <v>617</v>
      </c>
      <c r="AB76" s="121" t="s">
        <v>617</v>
      </c>
      <c r="AC76" s="121" t="s">
        <v>617</v>
      </c>
      <c r="AD76" s="120" t="s">
        <v>617</v>
      </c>
      <c r="AE76" s="120" t="s">
        <v>617</v>
      </c>
      <c r="AF76" s="121" t="s">
        <v>617</v>
      </c>
      <c r="AG76" s="121" t="s">
        <v>617</v>
      </c>
      <c r="AH76" s="120" t="s">
        <v>617</v>
      </c>
      <c r="AI76" s="120">
        <v>292.7</v>
      </c>
    </row>
    <row r="77" spans="1:35">
      <c r="A77" s="222" t="s">
        <v>615</v>
      </c>
      <c r="B77" s="222"/>
      <c r="C77" s="120" t="s">
        <v>617</v>
      </c>
      <c r="D77" s="121" t="s">
        <v>617</v>
      </c>
      <c r="E77" s="121" t="s">
        <v>617</v>
      </c>
      <c r="F77" s="120" t="s">
        <v>617</v>
      </c>
      <c r="G77" s="120" t="s">
        <v>617</v>
      </c>
      <c r="H77" s="121" t="s">
        <v>617</v>
      </c>
      <c r="I77" s="121" t="s">
        <v>617</v>
      </c>
      <c r="J77" s="120" t="s">
        <v>617</v>
      </c>
      <c r="K77" s="120" t="s">
        <v>617</v>
      </c>
      <c r="L77" s="121" t="s">
        <v>617</v>
      </c>
      <c r="M77" s="121" t="s">
        <v>617</v>
      </c>
      <c r="N77" s="120" t="s">
        <v>617</v>
      </c>
      <c r="O77" s="120" t="s">
        <v>617</v>
      </c>
      <c r="P77" s="121" t="s">
        <v>617</v>
      </c>
      <c r="Q77" s="121" t="s">
        <v>617</v>
      </c>
      <c r="R77" s="120" t="s">
        <v>617</v>
      </c>
      <c r="S77" s="120" t="s">
        <v>617</v>
      </c>
      <c r="T77" s="121" t="s">
        <v>617</v>
      </c>
      <c r="U77" s="121" t="s">
        <v>617</v>
      </c>
      <c r="V77" s="120" t="s">
        <v>617</v>
      </c>
      <c r="W77" s="120" t="s">
        <v>617</v>
      </c>
      <c r="X77" s="121" t="s">
        <v>617</v>
      </c>
      <c r="Y77" s="121" t="s">
        <v>617</v>
      </c>
      <c r="Z77" s="120" t="s">
        <v>617</v>
      </c>
      <c r="AA77" s="120" t="s">
        <v>617</v>
      </c>
      <c r="AB77" s="121" t="s">
        <v>617</v>
      </c>
      <c r="AC77" s="121" t="s">
        <v>617</v>
      </c>
      <c r="AD77" s="120" t="s">
        <v>617</v>
      </c>
      <c r="AE77" s="120" t="s">
        <v>617</v>
      </c>
      <c r="AF77" s="121" t="s">
        <v>617</v>
      </c>
      <c r="AG77" s="121" t="s">
        <v>617</v>
      </c>
      <c r="AH77" s="120" t="s">
        <v>617</v>
      </c>
      <c r="AI77" s="120">
        <v>292.7</v>
      </c>
    </row>
    <row r="78" spans="1:35">
      <c r="A78" s="222" t="s">
        <v>626</v>
      </c>
      <c r="B78" s="222"/>
      <c r="C78" s="120" t="s">
        <v>617</v>
      </c>
      <c r="D78" s="121" t="s">
        <v>617</v>
      </c>
      <c r="E78" s="121" t="s">
        <v>617</v>
      </c>
      <c r="F78" s="120" t="s">
        <v>617</v>
      </c>
      <c r="G78" s="120" t="s">
        <v>617</v>
      </c>
      <c r="H78" s="121" t="s">
        <v>617</v>
      </c>
      <c r="I78" s="121" t="s">
        <v>617</v>
      </c>
      <c r="J78" s="120" t="s">
        <v>617</v>
      </c>
      <c r="K78" s="120" t="s">
        <v>617</v>
      </c>
      <c r="L78" s="121" t="s">
        <v>617</v>
      </c>
      <c r="M78" s="121" t="s">
        <v>617</v>
      </c>
      <c r="N78" s="120" t="s">
        <v>617</v>
      </c>
      <c r="O78" s="120" t="s">
        <v>617</v>
      </c>
      <c r="P78" s="121" t="s">
        <v>617</v>
      </c>
      <c r="Q78" s="121" t="s">
        <v>617</v>
      </c>
      <c r="R78" s="120" t="s">
        <v>617</v>
      </c>
      <c r="S78" s="120" t="s">
        <v>617</v>
      </c>
      <c r="T78" s="121" t="s">
        <v>617</v>
      </c>
      <c r="U78" s="121" t="s">
        <v>617</v>
      </c>
      <c r="V78" s="120" t="s">
        <v>617</v>
      </c>
      <c r="W78" s="120" t="s">
        <v>617</v>
      </c>
      <c r="X78" s="121" t="s">
        <v>617</v>
      </c>
      <c r="Y78" s="121" t="s">
        <v>617</v>
      </c>
      <c r="Z78" s="120" t="s">
        <v>617</v>
      </c>
      <c r="AA78" s="120" t="s">
        <v>617</v>
      </c>
      <c r="AB78" s="121" t="s">
        <v>617</v>
      </c>
      <c r="AC78" s="121" t="s">
        <v>617</v>
      </c>
      <c r="AD78" s="120" t="s">
        <v>617</v>
      </c>
      <c r="AE78" s="120" t="s">
        <v>617</v>
      </c>
      <c r="AF78" s="121" t="s">
        <v>617</v>
      </c>
      <c r="AG78" s="121" t="s">
        <v>617</v>
      </c>
      <c r="AH78" s="120" t="s">
        <v>617</v>
      </c>
      <c r="AI78" s="120">
        <v>238.6</v>
      </c>
    </row>
    <row r="79" spans="1:35">
      <c r="A79" s="222" t="s">
        <v>627</v>
      </c>
      <c r="B79" s="222"/>
      <c r="C79" s="120" t="s">
        <v>617</v>
      </c>
      <c r="D79" s="121" t="s">
        <v>617</v>
      </c>
      <c r="E79" s="121" t="s">
        <v>617</v>
      </c>
      <c r="F79" s="120" t="s">
        <v>617</v>
      </c>
      <c r="G79" s="120" t="s">
        <v>617</v>
      </c>
      <c r="H79" s="121" t="s">
        <v>617</v>
      </c>
      <c r="I79" s="121" t="s">
        <v>617</v>
      </c>
      <c r="J79" s="120" t="s">
        <v>617</v>
      </c>
      <c r="K79" s="120" t="s">
        <v>617</v>
      </c>
      <c r="L79" s="121" t="s">
        <v>617</v>
      </c>
      <c r="M79" s="121" t="s">
        <v>617</v>
      </c>
      <c r="N79" s="120" t="s">
        <v>617</v>
      </c>
      <c r="O79" s="120" t="s">
        <v>617</v>
      </c>
      <c r="P79" s="121" t="s">
        <v>617</v>
      </c>
      <c r="Q79" s="121" t="s">
        <v>617</v>
      </c>
      <c r="R79" s="120" t="s">
        <v>617</v>
      </c>
      <c r="S79" s="120" t="s">
        <v>617</v>
      </c>
      <c r="T79" s="121" t="s">
        <v>617</v>
      </c>
      <c r="U79" s="121" t="s">
        <v>617</v>
      </c>
      <c r="V79" s="120" t="s">
        <v>617</v>
      </c>
      <c r="W79" s="120" t="s">
        <v>617</v>
      </c>
      <c r="X79" s="121" t="s">
        <v>617</v>
      </c>
      <c r="Y79" s="121" t="s">
        <v>617</v>
      </c>
      <c r="Z79" s="120" t="s">
        <v>617</v>
      </c>
      <c r="AA79" s="120" t="s">
        <v>617</v>
      </c>
      <c r="AB79" s="121" t="s">
        <v>617</v>
      </c>
      <c r="AC79" s="121" t="s">
        <v>617</v>
      </c>
      <c r="AD79" s="120" t="s">
        <v>617</v>
      </c>
      <c r="AE79" s="120" t="s">
        <v>617</v>
      </c>
      <c r="AF79" s="121" t="s">
        <v>617</v>
      </c>
      <c r="AG79" s="121" t="s">
        <v>617</v>
      </c>
      <c r="AH79" s="120" t="s">
        <v>617</v>
      </c>
      <c r="AI79" s="122">
        <v>0.81520000000000004</v>
      </c>
    </row>
    <row r="80" spans="1:35">
      <c r="A80" s="223" t="s">
        <v>635</v>
      </c>
      <c r="B80" s="223"/>
      <c r="C80" s="118">
        <v>1</v>
      </c>
      <c r="D80" s="119">
        <v>1.01</v>
      </c>
      <c r="E80" s="119">
        <v>1</v>
      </c>
      <c r="F80" s="118">
        <v>1.01</v>
      </c>
      <c r="G80" s="118">
        <v>1</v>
      </c>
      <c r="H80" s="119">
        <v>1</v>
      </c>
      <c r="I80" s="119">
        <v>1.01</v>
      </c>
      <c r="J80" s="118">
        <v>1.01</v>
      </c>
      <c r="K80" s="118">
        <v>1.01</v>
      </c>
      <c r="L80" s="119">
        <v>1.01</v>
      </c>
      <c r="M80" s="119">
        <v>1.01</v>
      </c>
      <c r="N80" s="118">
        <v>1.01</v>
      </c>
      <c r="O80" s="118">
        <v>1.01</v>
      </c>
      <c r="P80" s="119">
        <v>1.01</v>
      </c>
      <c r="Q80" s="119">
        <v>1.01</v>
      </c>
      <c r="R80" s="118">
        <v>1.01</v>
      </c>
      <c r="S80" s="118">
        <v>1.01</v>
      </c>
      <c r="T80" s="119">
        <v>1.01</v>
      </c>
      <c r="U80" s="119">
        <v>1.01</v>
      </c>
      <c r="V80" s="118">
        <v>1.01</v>
      </c>
      <c r="W80" s="118">
        <v>1.01</v>
      </c>
      <c r="X80" s="119">
        <v>1.01</v>
      </c>
      <c r="Y80" s="119">
        <v>1.01</v>
      </c>
      <c r="Z80" s="118">
        <v>1.01</v>
      </c>
      <c r="AA80" s="118">
        <v>1.01</v>
      </c>
      <c r="AB80" s="119">
        <v>1.01</v>
      </c>
      <c r="AC80" s="119">
        <v>1.01</v>
      </c>
      <c r="AD80" s="118">
        <v>1.01</v>
      </c>
      <c r="AE80" s="118">
        <v>1.01</v>
      </c>
      <c r="AF80" s="119">
        <v>1.01</v>
      </c>
      <c r="AG80" s="119">
        <v>1.01</v>
      </c>
      <c r="AH80" s="118">
        <v>1.01</v>
      </c>
      <c r="AI80" s="118">
        <v>1</v>
      </c>
    </row>
    <row r="81" spans="1:35">
      <c r="A81" s="222" t="s">
        <v>614</v>
      </c>
      <c r="B81" s="222"/>
      <c r="C81" s="120">
        <v>1036.5999999999999</v>
      </c>
      <c r="D81" s="121">
        <v>889.8</v>
      </c>
      <c r="E81" s="121">
        <v>1044.2</v>
      </c>
      <c r="F81" s="120">
        <v>962.4</v>
      </c>
      <c r="G81" s="120">
        <v>1025.7</v>
      </c>
      <c r="H81" s="121">
        <v>868.4</v>
      </c>
      <c r="I81" s="121">
        <v>1003.2</v>
      </c>
      <c r="J81" s="120">
        <v>846.9</v>
      </c>
      <c r="K81" s="120">
        <v>1077.2</v>
      </c>
      <c r="L81" s="121">
        <v>874</v>
      </c>
      <c r="M81" s="121">
        <v>1028.3</v>
      </c>
      <c r="N81" s="120">
        <v>860.5</v>
      </c>
      <c r="O81" s="120">
        <v>1074.8</v>
      </c>
      <c r="P81" s="121">
        <v>868.6</v>
      </c>
      <c r="Q81" s="121">
        <v>977</v>
      </c>
      <c r="R81" s="120">
        <v>845.4</v>
      </c>
      <c r="S81" s="120">
        <v>968.2</v>
      </c>
      <c r="T81" s="121">
        <v>761.9</v>
      </c>
      <c r="U81" s="121">
        <v>891.4</v>
      </c>
      <c r="V81" s="120">
        <v>711.3</v>
      </c>
      <c r="W81" s="120">
        <v>836.9</v>
      </c>
      <c r="X81" s="121">
        <v>687.8</v>
      </c>
      <c r="Y81" s="121">
        <v>792.6</v>
      </c>
      <c r="Z81" s="120">
        <v>728.7</v>
      </c>
      <c r="AA81" s="120">
        <v>720.2</v>
      </c>
      <c r="AB81" s="121">
        <v>587.6</v>
      </c>
      <c r="AC81" s="121">
        <v>593</v>
      </c>
      <c r="AD81" s="120">
        <v>477</v>
      </c>
      <c r="AE81" s="120">
        <v>588.6</v>
      </c>
      <c r="AF81" s="121">
        <v>468.6</v>
      </c>
      <c r="AG81" s="121">
        <v>560.70000000000005</v>
      </c>
      <c r="AH81" s="120">
        <v>741.2</v>
      </c>
      <c r="AI81" s="120">
        <v>620.20000000000005</v>
      </c>
    </row>
    <row r="82" spans="1:35">
      <c r="A82" s="222" t="s">
        <v>615</v>
      </c>
      <c r="B82" s="222"/>
      <c r="C82" s="120">
        <v>1036.5999999999999</v>
      </c>
      <c r="D82" s="121">
        <v>889.8</v>
      </c>
      <c r="E82" s="121">
        <v>1044.2</v>
      </c>
      <c r="F82" s="120">
        <v>962.4</v>
      </c>
      <c r="G82" s="120">
        <v>1025.7</v>
      </c>
      <c r="H82" s="121">
        <v>868.4</v>
      </c>
      <c r="I82" s="121">
        <v>1003.2</v>
      </c>
      <c r="J82" s="120">
        <v>846.9</v>
      </c>
      <c r="K82" s="120">
        <v>1077.2</v>
      </c>
      <c r="L82" s="121">
        <v>874</v>
      </c>
      <c r="M82" s="121">
        <v>1028.3</v>
      </c>
      <c r="N82" s="120">
        <v>860.5</v>
      </c>
      <c r="O82" s="120">
        <v>1074.8</v>
      </c>
      <c r="P82" s="121">
        <v>868.6</v>
      </c>
      <c r="Q82" s="121">
        <v>977</v>
      </c>
      <c r="R82" s="120">
        <v>845.4</v>
      </c>
      <c r="S82" s="120">
        <v>968.2</v>
      </c>
      <c r="T82" s="121">
        <v>761.9</v>
      </c>
      <c r="U82" s="121">
        <v>891.4</v>
      </c>
      <c r="V82" s="120">
        <v>711.3</v>
      </c>
      <c r="W82" s="120">
        <v>836.9</v>
      </c>
      <c r="X82" s="121">
        <v>687.8</v>
      </c>
      <c r="Y82" s="121">
        <v>792.6</v>
      </c>
      <c r="Z82" s="120">
        <v>728.7</v>
      </c>
      <c r="AA82" s="120">
        <v>720.2</v>
      </c>
      <c r="AB82" s="121">
        <v>587.6</v>
      </c>
      <c r="AC82" s="121">
        <v>593</v>
      </c>
      <c r="AD82" s="120">
        <v>477</v>
      </c>
      <c r="AE82" s="120">
        <v>588.6</v>
      </c>
      <c r="AF82" s="121">
        <v>468.6</v>
      </c>
      <c r="AG82" s="121">
        <v>560.70000000000005</v>
      </c>
      <c r="AH82" s="120">
        <v>741.2</v>
      </c>
      <c r="AI82" s="120">
        <v>620.20000000000005</v>
      </c>
    </row>
    <row r="83" spans="1:35">
      <c r="A83" s="222" t="s">
        <v>616</v>
      </c>
      <c r="B83" s="222"/>
      <c r="C83" s="120">
        <v>636.4</v>
      </c>
      <c r="D83" s="121">
        <v>527.29999999999995</v>
      </c>
      <c r="E83" s="121">
        <v>661.6</v>
      </c>
      <c r="F83" s="120">
        <v>595.5</v>
      </c>
      <c r="G83" s="120">
        <v>625.79999999999995</v>
      </c>
      <c r="H83" s="121">
        <v>502.6</v>
      </c>
      <c r="I83" s="121">
        <v>631.6</v>
      </c>
      <c r="J83" s="120">
        <v>495.5</v>
      </c>
      <c r="K83" s="120">
        <v>647.4</v>
      </c>
      <c r="L83" s="121">
        <v>478</v>
      </c>
      <c r="M83" s="121">
        <v>595.29999999999995</v>
      </c>
      <c r="N83" s="120">
        <v>492.1</v>
      </c>
      <c r="O83" s="120">
        <v>650.4</v>
      </c>
      <c r="P83" s="121">
        <v>517.79999999999995</v>
      </c>
      <c r="Q83" s="121">
        <v>529.4</v>
      </c>
      <c r="R83" s="120">
        <v>493.3</v>
      </c>
      <c r="S83" s="120">
        <v>581.79999999999995</v>
      </c>
      <c r="T83" s="121">
        <v>449.7</v>
      </c>
      <c r="U83" s="121">
        <v>524.29999999999995</v>
      </c>
      <c r="V83" s="120" t="s">
        <v>617</v>
      </c>
      <c r="W83" s="120" t="s">
        <v>617</v>
      </c>
      <c r="X83" s="121" t="s">
        <v>617</v>
      </c>
      <c r="Y83" s="121" t="s">
        <v>617</v>
      </c>
      <c r="Z83" s="120" t="s">
        <v>617</v>
      </c>
      <c r="AA83" s="120" t="s">
        <v>617</v>
      </c>
      <c r="AB83" s="121" t="s">
        <v>617</v>
      </c>
      <c r="AC83" s="121" t="s">
        <v>617</v>
      </c>
      <c r="AD83" s="120" t="s">
        <v>617</v>
      </c>
      <c r="AE83" s="120" t="s">
        <v>617</v>
      </c>
      <c r="AF83" s="121" t="s">
        <v>617</v>
      </c>
      <c r="AG83" s="121" t="s">
        <v>617</v>
      </c>
      <c r="AH83" s="120" t="s">
        <v>617</v>
      </c>
      <c r="AI83" s="120" t="s">
        <v>617</v>
      </c>
    </row>
    <row r="84" spans="1:35">
      <c r="A84" s="222" t="s">
        <v>618</v>
      </c>
      <c r="B84" s="222"/>
      <c r="C84" s="122">
        <v>0.6139</v>
      </c>
      <c r="D84" s="123">
        <v>0.59260000000000002</v>
      </c>
      <c r="E84" s="123">
        <v>0.63360000000000005</v>
      </c>
      <c r="F84" s="122">
        <v>0.61880000000000002</v>
      </c>
      <c r="G84" s="122">
        <v>0.61009999999999998</v>
      </c>
      <c r="H84" s="123">
        <v>0.57879999999999998</v>
      </c>
      <c r="I84" s="123">
        <v>0.62960000000000005</v>
      </c>
      <c r="J84" s="122">
        <v>0.58509999999999995</v>
      </c>
      <c r="K84" s="122">
        <v>0.60099999999999998</v>
      </c>
      <c r="L84" s="123">
        <v>0.54690000000000005</v>
      </c>
      <c r="M84" s="123">
        <v>0.57889999999999997</v>
      </c>
      <c r="N84" s="122">
        <v>0.57189999999999996</v>
      </c>
      <c r="O84" s="122">
        <v>0.60509999999999997</v>
      </c>
      <c r="P84" s="123">
        <v>0.59609999999999996</v>
      </c>
      <c r="Q84" s="123">
        <v>0.54190000000000005</v>
      </c>
      <c r="R84" s="122">
        <v>0.58350000000000002</v>
      </c>
      <c r="S84" s="122">
        <v>0.60089999999999999</v>
      </c>
      <c r="T84" s="123">
        <v>0.59019999999999995</v>
      </c>
      <c r="U84" s="123">
        <v>0.58819999999999995</v>
      </c>
      <c r="V84" s="120" t="s">
        <v>617</v>
      </c>
      <c r="W84" s="120" t="s">
        <v>617</v>
      </c>
      <c r="X84" s="121" t="s">
        <v>617</v>
      </c>
      <c r="Y84" s="121" t="s">
        <v>617</v>
      </c>
      <c r="Z84" s="120" t="s">
        <v>617</v>
      </c>
      <c r="AA84" s="120" t="s">
        <v>617</v>
      </c>
      <c r="AB84" s="121" t="s">
        <v>617</v>
      </c>
      <c r="AC84" s="121" t="s">
        <v>617</v>
      </c>
      <c r="AD84" s="120" t="s">
        <v>617</v>
      </c>
      <c r="AE84" s="120" t="s">
        <v>617</v>
      </c>
      <c r="AF84" s="121" t="s">
        <v>617</v>
      </c>
      <c r="AG84" s="121" t="s">
        <v>617</v>
      </c>
      <c r="AH84" s="120" t="s">
        <v>617</v>
      </c>
      <c r="AI84" s="120" t="s">
        <v>617</v>
      </c>
    </row>
    <row r="85" spans="1:35">
      <c r="A85" s="222" t="s">
        <v>619</v>
      </c>
      <c r="B85" s="222"/>
      <c r="C85" s="120">
        <v>234.4</v>
      </c>
      <c r="D85" s="121">
        <v>232</v>
      </c>
      <c r="E85" s="121">
        <v>231.9</v>
      </c>
      <c r="F85" s="120">
        <v>236.2</v>
      </c>
      <c r="G85" s="120">
        <v>228.3</v>
      </c>
      <c r="H85" s="121">
        <v>233.8</v>
      </c>
      <c r="I85" s="121">
        <v>222.6</v>
      </c>
      <c r="J85" s="120">
        <v>222.1</v>
      </c>
      <c r="K85" s="120">
        <v>220.3</v>
      </c>
      <c r="L85" s="121">
        <v>219.5</v>
      </c>
      <c r="M85" s="121">
        <v>206.4</v>
      </c>
      <c r="N85" s="120">
        <v>197</v>
      </c>
      <c r="O85" s="120">
        <v>195.3</v>
      </c>
      <c r="P85" s="121">
        <v>190.1</v>
      </c>
      <c r="Q85" s="121">
        <v>189.1</v>
      </c>
      <c r="R85" s="120">
        <v>190.4</v>
      </c>
      <c r="S85" s="120">
        <v>179.3</v>
      </c>
      <c r="T85" s="121">
        <v>167.2</v>
      </c>
      <c r="U85" s="121">
        <v>155.6</v>
      </c>
      <c r="V85" s="120">
        <v>-71.7</v>
      </c>
      <c r="W85" s="120">
        <v>142.69999999999999</v>
      </c>
      <c r="X85" s="121" t="s">
        <v>617</v>
      </c>
      <c r="Y85" s="121" t="s">
        <v>617</v>
      </c>
      <c r="Z85" s="120" t="s">
        <v>617</v>
      </c>
      <c r="AA85" s="120" t="s">
        <v>617</v>
      </c>
      <c r="AB85" s="121" t="s">
        <v>617</v>
      </c>
      <c r="AC85" s="121" t="s">
        <v>617</v>
      </c>
      <c r="AD85" s="120" t="s">
        <v>617</v>
      </c>
      <c r="AE85" s="120" t="s">
        <v>617</v>
      </c>
      <c r="AF85" s="121" t="s">
        <v>617</v>
      </c>
      <c r="AG85" s="121" t="s">
        <v>617</v>
      </c>
      <c r="AH85" s="120" t="s">
        <v>617</v>
      </c>
      <c r="AI85" s="120" t="s">
        <v>617</v>
      </c>
    </row>
    <row r="86" spans="1:35">
      <c r="A86" s="222" t="s">
        <v>620</v>
      </c>
      <c r="B86" s="222"/>
      <c r="C86" s="120">
        <v>392.5</v>
      </c>
      <c r="D86" s="121">
        <v>386.1</v>
      </c>
      <c r="E86" s="121">
        <v>379.1</v>
      </c>
      <c r="F86" s="120">
        <v>531.1</v>
      </c>
      <c r="G86" s="120">
        <v>458</v>
      </c>
      <c r="H86" s="121">
        <v>507.4</v>
      </c>
      <c r="I86" s="121">
        <v>462.4</v>
      </c>
      <c r="J86" s="120">
        <v>429.2</v>
      </c>
      <c r="K86" s="120">
        <v>321</v>
      </c>
      <c r="L86" s="121" t="s">
        <v>617</v>
      </c>
      <c r="M86" s="121" t="s">
        <v>617</v>
      </c>
      <c r="N86" s="120" t="s">
        <v>617</v>
      </c>
      <c r="O86" s="120" t="s">
        <v>617</v>
      </c>
      <c r="P86" s="121" t="s">
        <v>617</v>
      </c>
      <c r="Q86" s="121" t="s">
        <v>617</v>
      </c>
      <c r="R86" s="120" t="s">
        <v>617</v>
      </c>
      <c r="S86" s="120" t="s">
        <v>617</v>
      </c>
      <c r="T86" s="121" t="s">
        <v>617</v>
      </c>
      <c r="U86" s="121" t="s">
        <v>617</v>
      </c>
      <c r="V86" s="120" t="s">
        <v>617</v>
      </c>
      <c r="W86" s="120" t="s">
        <v>617</v>
      </c>
      <c r="X86" s="121" t="s">
        <v>617</v>
      </c>
      <c r="Y86" s="121" t="s">
        <v>617</v>
      </c>
      <c r="Z86" s="120" t="s">
        <v>617</v>
      </c>
      <c r="AA86" s="120" t="s">
        <v>617</v>
      </c>
      <c r="AB86" s="121" t="s">
        <v>617</v>
      </c>
      <c r="AC86" s="121" t="s">
        <v>617</v>
      </c>
      <c r="AD86" s="120" t="s">
        <v>617</v>
      </c>
      <c r="AE86" s="120" t="s">
        <v>617</v>
      </c>
      <c r="AF86" s="121" t="s">
        <v>617</v>
      </c>
      <c r="AG86" s="121" t="s">
        <v>617</v>
      </c>
      <c r="AH86" s="120" t="s">
        <v>617</v>
      </c>
      <c r="AI86" s="120" t="s">
        <v>617</v>
      </c>
    </row>
    <row r="87" spans="1:35">
      <c r="A87" s="222" t="s">
        <v>621</v>
      </c>
      <c r="B87" s="222"/>
      <c r="C87" s="120" t="s">
        <v>617</v>
      </c>
      <c r="D87" s="121" t="s">
        <v>617</v>
      </c>
      <c r="E87" s="121" t="s">
        <v>617</v>
      </c>
      <c r="F87" s="120" t="s">
        <v>617</v>
      </c>
      <c r="G87" s="120" t="s">
        <v>617</v>
      </c>
      <c r="H87" s="121" t="s">
        <v>617</v>
      </c>
      <c r="I87" s="121" t="s">
        <v>617</v>
      </c>
      <c r="J87" s="120" t="s">
        <v>617</v>
      </c>
      <c r="K87" s="120" t="s">
        <v>617</v>
      </c>
      <c r="L87" s="121" t="s">
        <v>617</v>
      </c>
      <c r="M87" s="121" t="s">
        <v>617</v>
      </c>
      <c r="N87" s="120" t="s">
        <v>617</v>
      </c>
      <c r="O87" s="120" t="s">
        <v>617</v>
      </c>
      <c r="P87" s="121" t="s">
        <v>617</v>
      </c>
      <c r="Q87" s="121" t="s">
        <v>617</v>
      </c>
      <c r="R87" s="120" t="s">
        <v>617</v>
      </c>
      <c r="S87" s="120" t="s">
        <v>617</v>
      </c>
      <c r="T87" s="121" t="s">
        <v>617</v>
      </c>
      <c r="U87" s="121" t="s">
        <v>617</v>
      </c>
      <c r="V87" s="120">
        <v>414.1</v>
      </c>
      <c r="W87" s="120">
        <v>493</v>
      </c>
      <c r="X87" s="121" t="s">
        <v>617</v>
      </c>
      <c r="Y87" s="121" t="s">
        <v>617</v>
      </c>
      <c r="Z87" s="120" t="s">
        <v>617</v>
      </c>
      <c r="AA87" s="120" t="s">
        <v>617</v>
      </c>
      <c r="AB87" s="121" t="s">
        <v>617</v>
      </c>
      <c r="AC87" s="121" t="s">
        <v>617</v>
      </c>
      <c r="AD87" s="120" t="s">
        <v>617</v>
      </c>
      <c r="AE87" s="120" t="s">
        <v>617</v>
      </c>
      <c r="AF87" s="121" t="s">
        <v>617</v>
      </c>
      <c r="AG87" s="121" t="s">
        <v>617</v>
      </c>
      <c r="AH87" s="120" t="s">
        <v>617</v>
      </c>
      <c r="AI87" s="120" t="s">
        <v>617</v>
      </c>
    </row>
    <row r="88" spans="1:35">
      <c r="A88" s="222" t="s">
        <v>622</v>
      </c>
      <c r="B88" s="222"/>
      <c r="C88" s="120" t="s">
        <v>617</v>
      </c>
      <c r="D88" s="121" t="s">
        <v>617</v>
      </c>
      <c r="E88" s="121" t="s">
        <v>617</v>
      </c>
      <c r="F88" s="120" t="s">
        <v>617</v>
      </c>
      <c r="G88" s="120" t="s">
        <v>617</v>
      </c>
      <c r="H88" s="121" t="s">
        <v>617</v>
      </c>
      <c r="I88" s="121" t="s">
        <v>617</v>
      </c>
      <c r="J88" s="120" t="s">
        <v>617</v>
      </c>
      <c r="K88" s="120" t="s">
        <v>617</v>
      </c>
      <c r="L88" s="121" t="s">
        <v>617</v>
      </c>
      <c r="M88" s="121" t="s">
        <v>617</v>
      </c>
      <c r="N88" s="120" t="s">
        <v>617</v>
      </c>
      <c r="O88" s="120" t="s">
        <v>617</v>
      </c>
      <c r="P88" s="121" t="s">
        <v>617</v>
      </c>
      <c r="Q88" s="121" t="s">
        <v>617</v>
      </c>
      <c r="R88" s="120" t="s">
        <v>617</v>
      </c>
      <c r="S88" s="120" t="s">
        <v>617</v>
      </c>
      <c r="T88" s="121" t="s">
        <v>617</v>
      </c>
      <c r="U88" s="121" t="s">
        <v>617</v>
      </c>
      <c r="V88" s="122">
        <v>0.58220000000000005</v>
      </c>
      <c r="W88" s="122">
        <v>0.58909999999999996</v>
      </c>
      <c r="X88" s="121" t="s">
        <v>617</v>
      </c>
      <c r="Y88" s="121" t="s">
        <v>617</v>
      </c>
      <c r="Z88" s="120" t="s">
        <v>617</v>
      </c>
      <c r="AA88" s="120" t="s">
        <v>617</v>
      </c>
      <c r="AB88" s="121" t="s">
        <v>617</v>
      </c>
      <c r="AC88" s="121" t="s">
        <v>617</v>
      </c>
      <c r="AD88" s="120" t="s">
        <v>617</v>
      </c>
      <c r="AE88" s="120" t="s">
        <v>617</v>
      </c>
      <c r="AF88" s="121" t="s">
        <v>617</v>
      </c>
      <c r="AG88" s="121" t="s">
        <v>617</v>
      </c>
      <c r="AH88" s="120" t="s">
        <v>617</v>
      </c>
      <c r="AI88" s="120" t="s">
        <v>617</v>
      </c>
    </row>
    <row r="89" spans="1:35">
      <c r="A89" s="222" t="s">
        <v>623</v>
      </c>
      <c r="B89" s="222"/>
      <c r="C89" s="120" t="s">
        <v>617</v>
      </c>
      <c r="D89" s="121" t="s">
        <v>617</v>
      </c>
      <c r="E89" s="121" t="s">
        <v>617</v>
      </c>
      <c r="F89" s="120" t="s">
        <v>617</v>
      </c>
      <c r="G89" s="120" t="s">
        <v>617</v>
      </c>
      <c r="H89" s="121" t="s">
        <v>617</v>
      </c>
      <c r="I89" s="121" t="s">
        <v>617</v>
      </c>
      <c r="J89" s="120" t="s">
        <v>617</v>
      </c>
      <c r="K89" s="120" t="s">
        <v>617</v>
      </c>
      <c r="L89" s="121" t="s">
        <v>617</v>
      </c>
      <c r="M89" s="121" t="s">
        <v>617</v>
      </c>
      <c r="N89" s="120" t="s">
        <v>617</v>
      </c>
      <c r="O89" s="120" t="s">
        <v>617</v>
      </c>
      <c r="P89" s="121" t="s">
        <v>617</v>
      </c>
      <c r="Q89" s="121" t="s">
        <v>617</v>
      </c>
      <c r="R89" s="120" t="s">
        <v>617</v>
      </c>
      <c r="S89" s="120" t="s">
        <v>617</v>
      </c>
      <c r="T89" s="121" t="s">
        <v>617</v>
      </c>
      <c r="U89" s="121" t="s">
        <v>617</v>
      </c>
      <c r="V89" s="120" t="s">
        <v>617</v>
      </c>
      <c r="W89" s="120" t="s">
        <v>617</v>
      </c>
      <c r="X89" s="121">
        <v>170</v>
      </c>
      <c r="Y89" s="121">
        <v>175</v>
      </c>
      <c r="Z89" s="120">
        <v>155</v>
      </c>
      <c r="AA89" s="120">
        <v>154.5</v>
      </c>
      <c r="AB89" s="121">
        <v>153.9</v>
      </c>
      <c r="AC89" s="121">
        <v>150</v>
      </c>
      <c r="AD89" s="120">
        <v>128</v>
      </c>
      <c r="AE89" s="120">
        <v>118.9</v>
      </c>
      <c r="AF89" s="121">
        <v>117</v>
      </c>
      <c r="AG89" s="121">
        <v>112.5</v>
      </c>
      <c r="AH89" s="120" t="s">
        <v>617</v>
      </c>
      <c r="AI89" s="120" t="s">
        <v>617</v>
      </c>
    </row>
    <row r="90" spans="1:35">
      <c r="A90" s="222" t="s">
        <v>624</v>
      </c>
      <c r="B90" s="222"/>
      <c r="C90" s="120" t="s">
        <v>617</v>
      </c>
      <c r="D90" s="121" t="s">
        <v>617</v>
      </c>
      <c r="E90" s="121" t="s">
        <v>617</v>
      </c>
      <c r="F90" s="120" t="s">
        <v>617</v>
      </c>
      <c r="G90" s="120" t="s">
        <v>617</v>
      </c>
      <c r="H90" s="121" t="s">
        <v>617</v>
      </c>
      <c r="I90" s="121" t="s">
        <v>617</v>
      </c>
      <c r="J90" s="120" t="s">
        <v>617</v>
      </c>
      <c r="K90" s="120" t="s">
        <v>617</v>
      </c>
      <c r="L90" s="121" t="s">
        <v>617</v>
      </c>
      <c r="M90" s="121" t="s">
        <v>617</v>
      </c>
      <c r="N90" s="120" t="s">
        <v>617</v>
      </c>
      <c r="O90" s="120" t="s">
        <v>617</v>
      </c>
      <c r="P90" s="121" t="s">
        <v>617</v>
      </c>
      <c r="Q90" s="121" t="s">
        <v>617</v>
      </c>
      <c r="R90" s="120" t="s">
        <v>617</v>
      </c>
      <c r="S90" s="120" t="s">
        <v>617</v>
      </c>
      <c r="T90" s="121" t="s">
        <v>617</v>
      </c>
      <c r="U90" s="121" t="s">
        <v>617</v>
      </c>
      <c r="V90" s="120" t="s">
        <v>617</v>
      </c>
      <c r="W90" s="120" t="s">
        <v>617</v>
      </c>
      <c r="X90" s="121" t="s">
        <v>617</v>
      </c>
      <c r="Y90" s="121">
        <v>337.7</v>
      </c>
      <c r="Z90" s="120" t="s">
        <v>617</v>
      </c>
      <c r="AA90" s="120" t="s">
        <v>617</v>
      </c>
      <c r="AB90" s="121" t="s">
        <v>617</v>
      </c>
      <c r="AC90" s="121" t="s">
        <v>617</v>
      </c>
      <c r="AD90" s="120">
        <v>156.19999999999999</v>
      </c>
      <c r="AE90" s="120">
        <v>266.5</v>
      </c>
      <c r="AF90" s="121">
        <v>195.6</v>
      </c>
      <c r="AG90" s="121">
        <v>238.7</v>
      </c>
      <c r="AH90" s="120" t="s">
        <v>617</v>
      </c>
      <c r="AI90" s="120" t="s">
        <v>617</v>
      </c>
    </row>
    <row r="91" spans="1:35">
      <c r="A91" s="222" t="s">
        <v>625</v>
      </c>
      <c r="B91" s="222"/>
      <c r="C91" s="120" t="s">
        <v>617</v>
      </c>
      <c r="D91" s="121" t="s">
        <v>617</v>
      </c>
      <c r="E91" s="121" t="s">
        <v>617</v>
      </c>
      <c r="F91" s="120" t="s">
        <v>617</v>
      </c>
      <c r="G91" s="120" t="s">
        <v>617</v>
      </c>
      <c r="H91" s="121" t="s">
        <v>617</v>
      </c>
      <c r="I91" s="121" t="s">
        <v>617</v>
      </c>
      <c r="J91" s="120" t="s">
        <v>617</v>
      </c>
      <c r="K91" s="120" t="s">
        <v>617</v>
      </c>
      <c r="L91" s="121" t="s">
        <v>617</v>
      </c>
      <c r="M91" s="121" t="s">
        <v>617</v>
      </c>
      <c r="N91" s="120" t="s">
        <v>617</v>
      </c>
      <c r="O91" s="120" t="s">
        <v>617</v>
      </c>
      <c r="P91" s="121" t="s">
        <v>617</v>
      </c>
      <c r="Q91" s="121" t="s">
        <v>617</v>
      </c>
      <c r="R91" s="120" t="s">
        <v>617</v>
      </c>
      <c r="S91" s="120" t="s">
        <v>617</v>
      </c>
      <c r="T91" s="121" t="s">
        <v>617</v>
      </c>
      <c r="U91" s="121" t="s">
        <v>617</v>
      </c>
      <c r="V91" s="120" t="s">
        <v>617</v>
      </c>
      <c r="W91" s="120" t="s">
        <v>617</v>
      </c>
      <c r="X91" s="121" t="s">
        <v>617</v>
      </c>
      <c r="Y91" s="123">
        <v>0.42609999999999998</v>
      </c>
      <c r="Z91" s="120" t="s">
        <v>617</v>
      </c>
      <c r="AA91" s="120" t="s">
        <v>617</v>
      </c>
      <c r="AB91" s="121" t="s">
        <v>617</v>
      </c>
      <c r="AC91" s="121" t="s">
        <v>617</v>
      </c>
      <c r="AD91" s="122">
        <v>0.32750000000000001</v>
      </c>
      <c r="AE91" s="122">
        <v>0.45279999999999998</v>
      </c>
      <c r="AF91" s="123">
        <v>0.41739999999999999</v>
      </c>
      <c r="AG91" s="123">
        <v>0.42570000000000002</v>
      </c>
      <c r="AH91" s="120" t="s">
        <v>617</v>
      </c>
      <c r="AI91" s="120" t="s">
        <v>617</v>
      </c>
    </row>
    <row r="92" spans="1:35">
      <c r="A92" s="222" t="s">
        <v>626</v>
      </c>
      <c r="B92" s="222"/>
      <c r="C92" s="120" t="s">
        <v>617</v>
      </c>
      <c r="D92" s="121" t="s">
        <v>617</v>
      </c>
      <c r="E92" s="121" t="s">
        <v>617</v>
      </c>
      <c r="F92" s="120" t="s">
        <v>617</v>
      </c>
      <c r="G92" s="120" t="s">
        <v>617</v>
      </c>
      <c r="H92" s="121" t="s">
        <v>617</v>
      </c>
      <c r="I92" s="121" t="s">
        <v>617</v>
      </c>
      <c r="J92" s="120" t="s">
        <v>617</v>
      </c>
      <c r="K92" s="120" t="s">
        <v>617</v>
      </c>
      <c r="L92" s="121" t="s">
        <v>617</v>
      </c>
      <c r="M92" s="121" t="s">
        <v>617</v>
      </c>
      <c r="N92" s="120" t="s">
        <v>617</v>
      </c>
      <c r="O92" s="120" t="s">
        <v>617</v>
      </c>
      <c r="P92" s="121" t="s">
        <v>617</v>
      </c>
      <c r="Q92" s="121" t="s">
        <v>617</v>
      </c>
      <c r="R92" s="120" t="s">
        <v>617</v>
      </c>
      <c r="S92" s="120" t="s">
        <v>617</v>
      </c>
      <c r="T92" s="121" t="s">
        <v>617</v>
      </c>
      <c r="U92" s="121" t="s">
        <v>617</v>
      </c>
      <c r="V92" s="120" t="s">
        <v>617</v>
      </c>
      <c r="W92" s="120" t="s">
        <v>617</v>
      </c>
      <c r="X92" s="121" t="s">
        <v>617</v>
      </c>
      <c r="Y92" s="121" t="s">
        <v>617</v>
      </c>
      <c r="Z92" s="120" t="s">
        <v>617</v>
      </c>
      <c r="AA92" s="120" t="s">
        <v>617</v>
      </c>
      <c r="AB92" s="121" t="s">
        <v>617</v>
      </c>
      <c r="AC92" s="121" t="s">
        <v>617</v>
      </c>
      <c r="AD92" s="120" t="s">
        <v>617</v>
      </c>
      <c r="AE92" s="120" t="s">
        <v>617</v>
      </c>
      <c r="AF92" s="121" t="s">
        <v>617</v>
      </c>
      <c r="AG92" s="121" t="s">
        <v>617</v>
      </c>
      <c r="AH92" s="120">
        <v>342.8</v>
      </c>
      <c r="AI92" s="120">
        <v>377</v>
      </c>
    </row>
    <row r="93" spans="1:35">
      <c r="A93" s="222" t="s">
        <v>627</v>
      </c>
      <c r="B93" s="222"/>
      <c r="C93" s="120" t="s">
        <v>617</v>
      </c>
      <c r="D93" s="121" t="s">
        <v>617</v>
      </c>
      <c r="E93" s="121" t="s">
        <v>617</v>
      </c>
      <c r="F93" s="120" t="s">
        <v>617</v>
      </c>
      <c r="G93" s="120" t="s">
        <v>617</v>
      </c>
      <c r="H93" s="121" t="s">
        <v>617</v>
      </c>
      <c r="I93" s="121" t="s">
        <v>617</v>
      </c>
      <c r="J93" s="120" t="s">
        <v>617</v>
      </c>
      <c r="K93" s="120" t="s">
        <v>617</v>
      </c>
      <c r="L93" s="121" t="s">
        <v>617</v>
      </c>
      <c r="M93" s="121" t="s">
        <v>617</v>
      </c>
      <c r="N93" s="120" t="s">
        <v>617</v>
      </c>
      <c r="O93" s="120" t="s">
        <v>617</v>
      </c>
      <c r="P93" s="121" t="s">
        <v>617</v>
      </c>
      <c r="Q93" s="121" t="s">
        <v>617</v>
      </c>
      <c r="R93" s="120" t="s">
        <v>617</v>
      </c>
      <c r="S93" s="120" t="s">
        <v>617</v>
      </c>
      <c r="T93" s="121" t="s">
        <v>617</v>
      </c>
      <c r="U93" s="121" t="s">
        <v>617</v>
      </c>
      <c r="V93" s="120" t="s">
        <v>617</v>
      </c>
      <c r="W93" s="120" t="s">
        <v>617</v>
      </c>
      <c r="X93" s="121" t="s">
        <v>617</v>
      </c>
      <c r="Y93" s="121" t="s">
        <v>617</v>
      </c>
      <c r="Z93" s="120" t="s">
        <v>617</v>
      </c>
      <c r="AA93" s="120" t="s">
        <v>617</v>
      </c>
      <c r="AB93" s="121" t="s">
        <v>617</v>
      </c>
      <c r="AC93" s="121" t="s">
        <v>617</v>
      </c>
      <c r="AD93" s="120" t="s">
        <v>617</v>
      </c>
      <c r="AE93" s="120" t="s">
        <v>617</v>
      </c>
      <c r="AF93" s="121" t="s">
        <v>617</v>
      </c>
      <c r="AG93" s="121" t="s">
        <v>617</v>
      </c>
      <c r="AH93" s="122">
        <v>0.46260000000000001</v>
      </c>
      <c r="AI93" s="122">
        <v>0.6079</v>
      </c>
    </row>
    <row r="94" spans="1:35">
      <c r="A94" s="223" t="s">
        <v>636</v>
      </c>
      <c r="B94" s="223"/>
      <c r="C94" s="125">
        <v>-5.0000000000000001E-3</v>
      </c>
      <c r="D94" s="124">
        <v>-5.0000000000000001E-3</v>
      </c>
      <c r="E94" s="124">
        <v>-5.0000000000000001E-3</v>
      </c>
      <c r="F94" s="125">
        <v>-6.0000000000000001E-3</v>
      </c>
      <c r="G94" s="125">
        <v>-5.0000000000000001E-3</v>
      </c>
      <c r="H94" s="124">
        <v>-3.0000000000000001E-3</v>
      </c>
      <c r="I94" s="124">
        <v>-7.0000000000000001E-3</v>
      </c>
      <c r="J94" s="125">
        <v>-7.0000000000000001E-3</v>
      </c>
      <c r="K94" s="125">
        <v>-8.0000000000000002E-3</v>
      </c>
      <c r="L94" s="124">
        <v>-1.4999999999999999E-2</v>
      </c>
      <c r="M94" s="124">
        <v>-8.0000000000000002E-3</v>
      </c>
      <c r="N94" s="125">
        <v>-1.2E-2</v>
      </c>
      <c r="O94" s="125">
        <v>-6.0000000000000001E-3</v>
      </c>
      <c r="P94" s="124">
        <v>-7.0000000000000001E-3</v>
      </c>
      <c r="Q94" s="124">
        <v>-6.0000000000000001E-3</v>
      </c>
      <c r="R94" s="125">
        <v>-8.9999999999999993E-3</v>
      </c>
      <c r="S94" s="125">
        <v>-7.0000000000000001E-3</v>
      </c>
      <c r="T94" s="124">
        <v>-8.9999999999999993E-3</v>
      </c>
      <c r="U94" s="124">
        <v>-8.0000000000000002E-3</v>
      </c>
      <c r="V94" s="125">
        <v>-8.9999999999999993E-3</v>
      </c>
      <c r="W94" s="125">
        <v>-8.0000000000000002E-3</v>
      </c>
      <c r="X94" s="124">
        <v>-8.0000000000000002E-3</v>
      </c>
      <c r="Y94" s="124">
        <v>-8.9999999999999993E-3</v>
      </c>
      <c r="Z94" s="125">
        <v>-1.4E-2</v>
      </c>
      <c r="AA94" s="125">
        <v>-8.9999999999999993E-3</v>
      </c>
      <c r="AB94" s="124">
        <v>-0.01</v>
      </c>
      <c r="AC94" s="124">
        <v>-8.9999999999999993E-3</v>
      </c>
      <c r="AD94" s="125">
        <v>-1.0999999999999999E-2</v>
      </c>
      <c r="AE94" s="125">
        <v>-8.9999999999999993E-3</v>
      </c>
      <c r="AF94" s="124">
        <v>-0.01</v>
      </c>
      <c r="AG94" s="124">
        <v>-8.9999999999999993E-3</v>
      </c>
      <c r="AH94" s="125">
        <v>-5.0000000000000001E-3</v>
      </c>
      <c r="AI94" s="125">
        <v>0</v>
      </c>
    </row>
    <row r="95" spans="1:35">
      <c r="A95" s="222" t="s">
        <v>614</v>
      </c>
      <c r="B95" s="222"/>
      <c r="C95" s="120">
        <v>-4.8</v>
      </c>
      <c r="D95" s="121">
        <v>-4.7</v>
      </c>
      <c r="E95" s="121">
        <v>-4.8</v>
      </c>
      <c r="F95" s="120">
        <v>-5.5</v>
      </c>
      <c r="G95" s="120">
        <v>-5</v>
      </c>
      <c r="H95" s="121">
        <v>-2.7</v>
      </c>
      <c r="I95" s="121">
        <v>-7.4</v>
      </c>
      <c r="J95" s="120">
        <v>-5.8</v>
      </c>
      <c r="K95" s="120">
        <v>-8.5</v>
      </c>
      <c r="L95" s="121">
        <v>-12.9</v>
      </c>
      <c r="M95" s="121">
        <v>-7.9</v>
      </c>
      <c r="N95" s="120">
        <v>-10.4</v>
      </c>
      <c r="O95" s="120">
        <v>-5.9</v>
      </c>
      <c r="P95" s="121">
        <v>-6</v>
      </c>
      <c r="Q95" s="121">
        <v>-5.7</v>
      </c>
      <c r="R95" s="120">
        <v>-7.2</v>
      </c>
      <c r="S95" s="120">
        <v>-7</v>
      </c>
      <c r="T95" s="121">
        <v>-6.9</v>
      </c>
      <c r="U95" s="121">
        <v>-6.9</v>
      </c>
      <c r="V95" s="120">
        <v>-6.4</v>
      </c>
      <c r="W95" s="120">
        <v>-6.4</v>
      </c>
      <c r="X95" s="121">
        <v>-5.6</v>
      </c>
      <c r="Y95" s="121">
        <v>-6.8</v>
      </c>
      <c r="Z95" s="120">
        <v>-9.9</v>
      </c>
      <c r="AA95" s="120">
        <v>-6.5</v>
      </c>
      <c r="AB95" s="121">
        <v>-5.9</v>
      </c>
      <c r="AC95" s="121">
        <v>-5.3</v>
      </c>
      <c r="AD95" s="120">
        <v>-5.2</v>
      </c>
      <c r="AE95" s="120">
        <v>-5.3</v>
      </c>
      <c r="AF95" s="121">
        <v>-4.5999999999999996</v>
      </c>
      <c r="AG95" s="121">
        <v>-5.2</v>
      </c>
      <c r="AH95" s="120">
        <v>-3.7</v>
      </c>
      <c r="AI95" s="120">
        <v>-0.3</v>
      </c>
    </row>
    <row r="96" spans="1:35">
      <c r="A96" s="222" t="s">
        <v>615</v>
      </c>
      <c r="B96" s="222"/>
      <c r="C96" s="120">
        <v>-4.8</v>
      </c>
      <c r="D96" s="121">
        <v>-4.7</v>
      </c>
      <c r="E96" s="121">
        <v>-4.8</v>
      </c>
      <c r="F96" s="120">
        <v>-5.5</v>
      </c>
      <c r="G96" s="120">
        <v>-5</v>
      </c>
      <c r="H96" s="121">
        <v>-2.7</v>
      </c>
      <c r="I96" s="121">
        <v>-7.4</v>
      </c>
      <c r="J96" s="120">
        <v>-5.8</v>
      </c>
      <c r="K96" s="120">
        <v>-8.5</v>
      </c>
      <c r="L96" s="121">
        <v>-12.9</v>
      </c>
      <c r="M96" s="121">
        <v>-7.9</v>
      </c>
      <c r="N96" s="120">
        <v>-10.4</v>
      </c>
      <c r="O96" s="120">
        <v>-5.9</v>
      </c>
      <c r="P96" s="121">
        <v>-6</v>
      </c>
      <c r="Q96" s="121">
        <v>-5.7</v>
      </c>
      <c r="R96" s="120">
        <v>-7.2</v>
      </c>
      <c r="S96" s="120">
        <v>-7</v>
      </c>
      <c r="T96" s="121">
        <v>-6.9</v>
      </c>
      <c r="U96" s="121">
        <v>-6.9</v>
      </c>
      <c r="V96" s="120">
        <v>-6.4</v>
      </c>
      <c r="W96" s="120">
        <v>-6.4</v>
      </c>
      <c r="X96" s="121">
        <v>-5.6</v>
      </c>
      <c r="Y96" s="121">
        <v>-6.8</v>
      </c>
      <c r="Z96" s="120">
        <v>-9.9</v>
      </c>
      <c r="AA96" s="120">
        <v>-6.5</v>
      </c>
      <c r="AB96" s="121">
        <v>-5.9</v>
      </c>
      <c r="AC96" s="121">
        <v>-5.3</v>
      </c>
      <c r="AD96" s="120">
        <v>-5.2</v>
      </c>
      <c r="AE96" s="120">
        <v>-5.3</v>
      </c>
      <c r="AF96" s="121">
        <v>-4.5999999999999996</v>
      </c>
      <c r="AG96" s="121">
        <v>-5.2</v>
      </c>
      <c r="AH96" s="120">
        <v>-3.7</v>
      </c>
      <c r="AI96" s="120">
        <v>-0.3</v>
      </c>
    </row>
    <row r="97" spans="1:35">
      <c r="A97" s="222" t="s">
        <v>616</v>
      </c>
      <c r="B97" s="222"/>
      <c r="C97" s="120" t="s">
        <v>617</v>
      </c>
      <c r="D97" s="121" t="s">
        <v>617</v>
      </c>
      <c r="E97" s="121" t="s">
        <v>617</v>
      </c>
      <c r="F97" s="120">
        <v>0</v>
      </c>
      <c r="G97" s="120">
        <v>0</v>
      </c>
      <c r="H97" s="121">
        <v>0</v>
      </c>
      <c r="I97" s="121">
        <v>0</v>
      </c>
      <c r="J97" s="120">
        <v>0</v>
      </c>
      <c r="K97" s="120">
        <v>0</v>
      </c>
      <c r="L97" s="121">
        <v>0</v>
      </c>
      <c r="M97" s="121">
        <v>0</v>
      </c>
      <c r="N97" s="120">
        <v>0</v>
      </c>
      <c r="O97" s="120">
        <v>0</v>
      </c>
      <c r="P97" s="121">
        <v>0</v>
      </c>
      <c r="Q97" s="121">
        <v>0</v>
      </c>
      <c r="R97" s="120">
        <v>0</v>
      </c>
      <c r="S97" s="120">
        <v>0</v>
      </c>
      <c r="T97" s="121">
        <v>0</v>
      </c>
      <c r="U97" s="121">
        <v>0</v>
      </c>
      <c r="V97" s="120" t="s">
        <v>617</v>
      </c>
      <c r="W97" s="120" t="s">
        <v>617</v>
      </c>
      <c r="X97" s="121" t="s">
        <v>617</v>
      </c>
      <c r="Y97" s="121" t="s">
        <v>617</v>
      </c>
      <c r="Z97" s="120" t="s">
        <v>617</v>
      </c>
      <c r="AA97" s="120" t="s">
        <v>617</v>
      </c>
      <c r="AB97" s="121" t="s">
        <v>617</v>
      </c>
      <c r="AC97" s="121" t="s">
        <v>617</v>
      </c>
      <c r="AD97" s="120" t="s">
        <v>617</v>
      </c>
      <c r="AE97" s="120" t="s">
        <v>617</v>
      </c>
      <c r="AF97" s="121" t="s">
        <v>617</v>
      </c>
      <c r="AG97" s="121" t="s">
        <v>617</v>
      </c>
      <c r="AH97" s="120" t="s">
        <v>617</v>
      </c>
      <c r="AI97" s="120" t="s">
        <v>617</v>
      </c>
    </row>
    <row r="98" spans="1:35">
      <c r="A98" s="222" t="s">
        <v>618</v>
      </c>
      <c r="B98" s="222"/>
      <c r="C98" s="120" t="s">
        <v>617</v>
      </c>
      <c r="D98" s="121" t="s">
        <v>617</v>
      </c>
      <c r="E98" s="121" t="s">
        <v>617</v>
      </c>
      <c r="F98" s="122">
        <v>0</v>
      </c>
      <c r="G98" s="122">
        <v>0</v>
      </c>
      <c r="H98" s="123">
        <v>0</v>
      </c>
      <c r="I98" s="123">
        <v>0</v>
      </c>
      <c r="J98" s="122">
        <v>0</v>
      </c>
      <c r="K98" s="122">
        <v>0</v>
      </c>
      <c r="L98" s="123">
        <v>0</v>
      </c>
      <c r="M98" s="123">
        <v>0</v>
      </c>
      <c r="N98" s="122">
        <v>0</v>
      </c>
      <c r="O98" s="122">
        <v>0</v>
      </c>
      <c r="P98" s="123">
        <v>0</v>
      </c>
      <c r="Q98" s="123">
        <v>0</v>
      </c>
      <c r="R98" s="122">
        <v>0</v>
      </c>
      <c r="S98" s="122">
        <v>0</v>
      </c>
      <c r="T98" s="123">
        <v>0</v>
      </c>
      <c r="U98" s="123">
        <v>0</v>
      </c>
      <c r="V98" s="120" t="s">
        <v>617</v>
      </c>
      <c r="W98" s="120" t="s">
        <v>617</v>
      </c>
      <c r="X98" s="121" t="s">
        <v>617</v>
      </c>
      <c r="Y98" s="121" t="s">
        <v>617</v>
      </c>
      <c r="Z98" s="120" t="s">
        <v>617</v>
      </c>
      <c r="AA98" s="120" t="s">
        <v>617</v>
      </c>
      <c r="AB98" s="121" t="s">
        <v>617</v>
      </c>
      <c r="AC98" s="121" t="s">
        <v>617</v>
      </c>
      <c r="AD98" s="120" t="s">
        <v>617</v>
      </c>
      <c r="AE98" s="120" t="s">
        <v>617</v>
      </c>
      <c r="AF98" s="121" t="s">
        <v>617</v>
      </c>
      <c r="AG98" s="121" t="s">
        <v>617</v>
      </c>
      <c r="AH98" s="120" t="s">
        <v>617</v>
      </c>
      <c r="AI98" s="120" t="s">
        <v>617</v>
      </c>
    </row>
    <row r="99" spans="1:35">
      <c r="A99" s="222" t="s">
        <v>619</v>
      </c>
      <c r="B99" s="222"/>
      <c r="C99" s="120" t="s">
        <v>617</v>
      </c>
      <c r="D99" s="121" t="s">
        <v>617</v>
      </c>
      <c r="E99" s="121" t="s">
        <v>617</v>
      </c>
      <c r="F99" s="120" t="s">
        <v>617</v>
      </c>
      <c r="G99" s="120" t="s">
        <v>617</v>
      </c>
      <c r="H99" s="121">
        <v>0</v>
      </c>
      <c r="I99" s="121">
        <v>0</v>
      </c>
      <c r="J99" s="120">
        <v>0</v>
      </c>
      <c r="K99" s="120">
        <v>0</v>
      </c>
      <c r="L99" s="121">
        <v>0</v>
      </c>
      <c r="M99" s="121">
        <v>0</v>
      </c>
      <c r="N99" s="120">
        <v>0</v>
      </c>
      <c r="O99" s="120">
        <v>0</v>
      </c>
      <c r="P99" s="121" t="s">
        <v>617</v>
      </c>
      <c r="Q99" s="121" t="s">
        <v>617</v>
      </c>
      <c r="R99" s="120">
        <v>0</v>
      </c>
      <c r="S99" s="120">
        <v>0</v>
      </c>
      <c r="T99" s="121">
        <v>0</v>
      </c>
      <c r="U99" s="121">
        <v>0</v>
      </c>
      <c r="V99" s="120">
        <v>0</v>
      </c>
      <c r="W99" s="120">
        <v>0</v>
      </c>
      <c r="X99" s="121" t="s">
        <v>617</v>
      </c>
      <c r="Y99" s="121" t="s">
        <v>617</v>
      </c>
      <c r="Z99" s="120" t="s">
        <v>617</v>
      </c>
      <c r="AA99" s="120" t="s">
        <v>617</v>
      </c>
      <c r="AB99" s="121" t="s">
        <v>617</v>
      </c>
      <c r="AC99" s="121" t="s">
        <v>617</v>
      </c>
      <c r="AD99" s="120" t="s">
        <v>617</v>
      </c>
      <c r="AE99" s="120" t="s">
        <v>617</v>
      </c>
      <c r="AF99" s="121" t="s">
        <v>617</v>
      </c>
      <c r="AG99" s="121" t="s">
        <v>617</v>
      </c>
      <c r="AH99" s="120" t="s">
        <v>617</v>
      </c>
      <c r="AI99" s="120" t="s">
        <v>617</v>
      </c>
    </row>
    <row r="100" spans="1:35">
      <c r="A100" s="222" t="s">
        <v>621</v>
      </c>
      <c r="B100" s="222"/>
      <c r="C100" s="120" t="s">
        <v>617</v>
      </c>
      <c r="D100" s="121" t="s">
        <v>617</v>
      </c>
      <c r="E100" s="121" t="s">
        <v>617</v>
      </c>
      <c r="F100" s="120" t="s">
        <v>617</v>
      </c>
      <c r="G100" s="120" t="s">
        <v>617</v>
      </c>
      <c r="H100" s="121" t="s">
        <v>617</v>
      </c>
      <c r="I100" s="121" t="s">
        <v>617</v>
      </c>
      <c r="J100" s="120" t="s">
        <v>617</v>
      </c>
      <c r="K100" s="120" t="s">
        <v>617</v>
      </c>
      <c r="L100" s="121" t="s">
        <v>617</v>
      </c>
      <c r="M100" s="121" t="s">
        <v>617</v>
      </c>
      <c r="N100" s="120" t="s">
        <v>617</v>
      </c>
      <c r="O100" s="120" t="s">
        <v>617</v>
      </c>
      <c r="P100" s="121" t="s">
        <v>617</v>
      </c>
      <c r="Q100" s="121" t="s">
        <v>617</v>
      </c>
      <c r="R100" s="120" t="s">
        <v>617</v>
      </c>
      <c r="S100" s="120" t="s">
        <v>617</v>
      </c>
      <c r="T100" s="121" t="s">
        <v>617</v>
      </c>
      <c r="U100" s="121" t="s">
        <v>617</v>
      </c>
      <c r="V100" s="120">
        <v>0</v>
      </c>
      <c r="W100" s="120">
        <v>0</v>
      </c>
      <c r="X100" s="121" t="s">
        <v>617</v>
      </c>
      <c r="Y100" s="121" t="s">
        <v>617</v>
      </c>
      <c r="Z100" s="120" t="s">
        <v>617</v>
      </c>
      <c r="AA100" s="120" t="s">
        <v>617</v>
      </c>
      <c r="AB100" s="121" t="s">
        <v>617</v>
      </c>
      <c r="AC100" s="121" t="s">
        <v>617</v>
      </c>
      <c r="AD100" s="120" t="s">
        <v>617</v>
      </c>
      <c r="AE100" s="120" t="s">
        <v>617</v>
      </c>
      <c r="AF100" s="121" t="s">
        <v>617</v>
      </c>
      <c r="AG100" s="121" t="s">
        <v>617</v>
      </c>
      <c r="AH100" s="120" t="s">
        <v>617</v>
      </c>
      <c r="AI100" s="120" t="s">
        <v>617</v>
      </c>
    </row>
    <row r="101" spans="1:35">
      <c r="A101" s="222" t="s">
        <v>622</v>
      </c>
      <c r="B101" s="222"/>
      <c r="C101" s="120" t="s">
        <v>617</v>
      </c>
      <c r="D101" s="121" t="s">
        <v>617</v>
      </c>
      <c r="E101" s="121" t="s">
        <v>617</v>
      </c>
      <c r="F101" s="120" t="s">
        <v>617</v>
      </c>
      <c r="G101" s="120" t="s">
        <v>617</v>
      </c>
      <c r="H101" s="121" t="s">
        <v>617</v>
      </c>
      <c r="I101" s="121" t="s">
        <v>617</v>
      </c>
      <c r="J101" s="120" t="s">
        <v>617</v>
      </c>
      <c r="K101" s="120" t="s">
        <v>617</v>
      </c>
      <c r="L101" s="121" t="s">
        <v>617</v>
      </c>
      <c r="M101" s="121" t="s">
        <v>617</v>
      </c>
      <c r="N101" s="120" t="s">
        <v>617</v>
      </c>
      <c r="O101" s="120" t="s">
        <v>617</v>
      </c>
      <c r="P101" s="121" t="s">
        <v>617</v>
      </c>
      <c r="Q101" s="121" t="s">
        <v>617</v>
      </c>
      <c r="R101" s="120" t="s">
        <v>617</v>
      </c>
      <c r="S101" s="120" t="s">
        <v>617</v>
      </c>
      <c r="T101" s="121" t="s">
        <v>617</v>
      </c>
      <c r="U101" s="121" t="s">
        <v>617</v>
      </c>
      <c r="V101" s="122">
        <v>0</v>
      </c>
      <c r="W101" s="122">
        <v>0</v>
      </c>
      <c r="X101" s="121" t="s">
        <v>617</v>
      </c>
      <c r="Y101" s="121" t="s">
        <v>617</v>
      </c>
      <c r="Z101" s="120" t="s">
        <v>617</v>
      </c>
      <c r="AA101" s="120" t="s">
        <v>617</v>
      </c>
      <c r="AB101" s="121" t="s">
        <v>617</v>
      </c>
      <c r="AC101" s="121" t="s">
        <v>617</v>
      </c>
      <c r="AD101" s="120" t="s">
        <v>617</v>
      </c>
      <c r="AE101" s="120" t="s">
        <v>617</v>
      </c>
      <c r="AF101" s="121" t="s">
        <v>617</v>
      </c>
      <c r="AG101" s="121" t="s">
        <v>617</v>
      </c>
      <c r="AH101" s="120" t="s">
        <v>617</v>
      </c>
      <c r="AI101" s="120" t="s">
        <v>617</v>
      </c>
    </row>
    <row r="102" spans="1:35">
      <c r="A102" s="222" t="s">
        <v>623</v>
      </c>
      <c r="B102" s="222"/>
      <c r="C102" s="120" t="s">
        <v>617</v>
      </c>
      <c r="D102" s="121" t="s">
        <v>617</v>
      </c>
      <c r="E102" s="121" t="s">
        <v>617</v>
      </c>
      <c r="F102" s="120" t="s">
        <v>617</v>
      </c>
      <c r="G102" s="120" t="s">
        <v>617</v>
      </c>
      <c r="H102" s="121" t="s">
        <v>617</v>
      </c>
      <c r="I102" s="121" t="s">
        <v>617</v>
      </c>
      <c r="J102" s="120" t="s">
        <v>617</v>
      </c>
      <c r="K102" s="120" t="s">
        <v>617</v>
      </c>
      <c r="L102" s="121" t="s">
        <v>617</v>
      </c>
      <c r="M102" s="121" t="s">
        <v>617</v>
      </c>
      <c r="N102" s="120" t="s">
        <v>617</v>
      </c>
      <c r="O102" s="120" t="s">
        <v>617</v>
      </c>
      <c r="P102" s="121" t="s">
        <v>617</v>
      </c>
      <c r="Q102" s="121" t="s">
        <v>617</v>
      </c>
      <c r="R102" s="120" t="s">
        <v>617</v>
      </c>
      <c r="S102" s="120" t="s">
        <v>617</v>
      </c>
      <c r="T102" s="121" t="s">
        <v>617</v>
      </c>
      <c r="U102" s="121" t="s">
        <v>617</v>
      </c>
      <c r="V102" s="120" t="s">
        <v>617</v>
      </c>
      <c r="W102" s="120" t="s">
        <v>617</v>
      </c>
      <c r="X102" s="121">
        <v>0</v>
      </c>
      <c r="Y102" s="121">
        <v>0</v>
      </c>
      <c r="Z102" s="120">
        <v>0</v>
      </c>
      <c r="AA102" s="120">
        <v>0</v>
      </c>
      <c r="AB102" s="121">
        <v>0</v>
      </c>
      <c r="AC102" s="121">
        <v>0</v>
      </c>
      <c r="AD102" s="120">
        <v>0</v>
      </c>
      <c r="AE102" s="120">
        <v>0</v>
      </c>
      <c r="AF102" s="121">
        <v>0</v>
      </c>
      <c r="AG102" s="121">
        <v>0</v>
      </c>
      <c r="AH102" s="120" t="s">
        <v>617</v>
      </c>
      <c r="AI102" s="120" t="s">
        <v>617</v>
      </c>
    </row>
    <row r="103" spans="1:35">
      <c r="A103" s="222" t="s">
        <v>624</v>
      </c>
      <c r="B103" s="222"/>
      <c r="C103" s="120" t="s">
        <v>617</v>
      </c>
      <c r="D103" s="121" t="s">
        <v>617</v>
      </c>
      <c r="E103" s="121" t="s">
        <v>617</v>
      </c>
      <c r="F103" s="120" t="s">
        <v>617</v>
      </c>
      <c r="G103" s="120" t="s">
        <v>617</v>
      </c>
      <c r="H103" s="121" t="s">
        <v>617</v>
      </c>
      <c r="I103" s="121" t="s">
        <v>617</v>
      </c>
      <c r="J103" s="120" t="s">
        <v>617</v>
      </c>
      <c r="K103" s="120" t="s">
        <v>617</v>
      </c>
      <c r="L103" s="121" t="s">
        <v>617</v>
      </c>
      <c r="M103" s="121" t="s">
        <v>617</v>
      </c>
      <c r="N103" s="120" t="s">
        <v>617</v>
      </c>
      <c r="O103" s="120" t="s">
        <v>617</v>
      </c>
      <c r="P103" s="121" t="s">
        <v>617</v>
      </c>
      <c r="Q103" s="121" t="s">
        <v>617</v>
      </c>
      <c r="R103" s="120" t="s">
        <v>617</v>
      </c>
      <c r="S103" s="120" t="s">
        <v>617</v>
      </c>
      <c r="T103" s="121" t="s">
        <v>617</v>
      </c>
      <c r="U103" s="121" t="s">
        <v>617</v>
      </c>
      <c r="V103" s="120" t="s">
        <v>617</v>
      </c>
      <c r="W103" s="120" t="s">
        <v>617</v>
      </c>
      <c r="X103" s="121" t="s">
        <v>617</v>
      </c>
      <c r="Y103" s="121">
        <v>0</v>
      </c>
      <c r="Z103" s="120" t="s">
        <v>617</v>
      </c>
      <c r="AA103" s="120" t="s">
        <v>617</v>
      </c>
      <c r="AB103" s="121" t="s">
        <v>617</v>
      </c>
      <c r="AC103" s="121" t="s">
        <v>617</v>
      </c>
      <c r="AD103" s="120">
        <v>0</v>
      </c>
      <c r="AE103" s="120">
        <v>0</v>
      </c>
      <c r="AF103" s="121">
        <v>-9.6</v>
      </c>
      <c r="AG103" s="121">
        <v>9.6</v>
      </c>
      <c r="AH103" s="120" t="s">
        <v>617</v>
      </c>
      <c r="AI103" s="120" t="s">
        <v>617</v>
      </c>
    </row>
    <row r="104" spans="1:35">
      <c r="A104" s="222" t="s">
        <v>625</v>
      </c>
      <c r="B104" s="222"/>
      <c r="C104" s="120" t="s">
        <v>617</v>
      </c>
      <c r="D104" s="121" t="s">
        <v>617</v>
      </c>
      <c r="E104" s="121" t="s">
        <v>617</v>
      </c>
      <c r="F104" s="120" t="s">
        <v>617</v>
      </c>
      <c r="G104" s="120" t="s">
        <v>617</v>
      </c>
      <c r="H104" s="121" t="s">
        <v>617</v>
      </c>
      <c r="I104" s="121" t="s">
        <v>617</v>
      </c>
      <c r="J104" s="120" t="s">
        <v>617</v>
      </c>
      <c r="K104" s="120" t="s">
        <v>617</v>
      </c>
      <c r="L104" s="121" t="s">
        <v>617</v>
      </c>
      <c r="M104" s="121" t="s">
        <v>617</v>
      </c>
      <c r="N104" s="120" t="s">
        <v>617</v>
      </c>
      <c r="O104" s="120" t="s">
        <v>617</v>
      </c>
      <c r="P104" s="121" t="s">
        <v>617</v>
      </c>
      <c r="Q104" s="121" t="s">
        <v>617</v>
      </c>
      <c r="R104" s="120" t="s">
        <v>617</v>
      </c>
      <c r="S104" s="120" t="s">
        <v>617</v>
      </c>
      <c r="T104" s="121" t="s">
        <v>617</v>
      </c>
      <c r="U104" s="121" t="s">
        <v>617</v>
      </c>
      <c r="V104" s="120" t="s">
        <v>617</v>
      </c>
      <c r="W104" s="120" t="s">
        <v>617</v>
      </c>
      <c r="X104" s="121" t="s">
        <v>617</v>
      </c>
      <c r="Y104" s="123">
        <v>0</v>
      </c>
      <c r="Z104" s="120" t="s">
        <v>617</v>
      </c>
      <c r="AA104" s="120" t="s">
        <v>617</v>
      </c>
      <c r="AB104" s="121" t="s">
        <v>617</v>
      </c>
      <c r="AC104" s="121" t="s">
        <v>617</v>
      </c>
      <c r="AD104" s="122">
        <v>0</v>
      </c>
      <c r="AE104" s="122">
        <v>0</v>
      </c>
      <c r="AF104" s="123">
        <v>2.11</v>
      </c>
      <c r="AG104" s="123">
        <v>-1.8414999999999999</v>
      </c>
      <c r="AH104" s="120" t="s">
        <v>617</v>
      </c>
      <c r="AI104" s="120" t="s">
        <v>617</v>
      </c>
    </row>
    <row r="105" spans="1:35">
      <c r="A105" s="222" t="s">
        <v>626</v>
      </c>
      <c r="B105" s="222"/>
      <c r="C105" s="120" t="s">
        <v>617</v>
      </c>
      <c r="D105" s="121" t="s">
        <v>617</v>
      </c>
      <c r="E105" s="121" t="s">
        <v>617</v>
      </c>
      <c r="F105" s="120" t="s">
        <v>617</v>
      </c>
      <c r="G105" s="120" t="s">
        <v>617</v>
      </c>
      <c r="H105" s="121" t="s">
        <v>617</v>
      </c>
      <c r="I105" s="121" t="s">
        <v>617</v>
      </c>
      <c r="J105" s="120" t="s">
        <v>617</v>
      </c>
      <c r="K105" s="120" t="s">
        <v>617</v>
      </c>
      <c r="L105" s="121" t="s">
        <v>617</v>
      </c>
      <c r="M105" s="121" t="s">
        <v>617</v>
      </c>
      <c r="N105" s="120" t="s">
        <v>617</v>
      </c>
      <c r="O105" s="120" t="s">
        <v>617</v>
      </c>
      <c r="P105" s="121" t="s">
        <v>617</v>
      </c>
      <c r="Q105" s="121" t="s">
        <v>617</v>
      </c>
      <c r="R105" s="120" t="s">
        <v>617</v>
      </c>
      <c r="S105" s="120" t="s">
        <v>617</v>
      </c>
      <c r="T105" s="121" t="s">
        <v>617</v>
      </c>
      <c r="U105" s="121" t="s">
        <v>617</v>
      </c>
      <c r="V105" s="120" t="s">
        <v>617</v>
      </c>
      <c r="W105" s="120" t="s">
        <v>617</v>
      </c>
      <c r="X105" s="121" t="s">
        <v>617</v>
      </c>
      <c r="Y105" s="121" t="s">
        <v>617</v>
      </c>
      <c r="Z105" s="120" t="s">
        <v>617</v>
      </c>
      <c r="AA105" s="120" t="s">
        <v>617</v>
      </c>
      <c r="AB105" s="121" t="s">
        <v>617</v>
      </c>
      <c r="AC105" s="121" t="s">
        <v>617</v>
      </c>
      <c r="AD105" s="120" t="s">
        <v>617</v>
      </c>
      <c r="AE105" s="120" t="s">
        <v>617</v>
      </c>
      <c r="AF105" s="121" t="s">
        <v>617</v>
      </c>
      <c r="AG105" s="121" t="s">
        <v>617</v>
      </c>
      <c r="AH105" s="120">
        <v>0</v>
      </c>
      <c r="AI105" s="120">
        <v>0</v>
      </c>
    </row>
    <row r="106" spans="1:35">
      <c r="A106" s="222" t="s">
        <v>627</v>
      </c>
      <c r="B106" s="222"/>
      <c r="C106" s="120" t="s">
        <v>617</v>
      </c>
      <c r="D106" s="121" t="s">
        <v>617</v>
      </c>
      <c r="E106" s="121" t="s">
        <v>617</v>
      </c>
      <c r="F106" s="120" t="s">
        <v>617</v>
      </c>
      <c r="G106" s="120" t="s">
        <v>617</v>
      </c>
      <c r="H106" s="121" t="s">
        <v>617</v>
      </c>
      <c r="I106" s="121" t="s">
        <v>617</v>
      </c>
      <c r="J106" s="120" t="s">
        <v>617</v>
      </c>
      <c r="K106" s="120" t="s">
        <v>617</v>
      </c>
      <c r="L106" s="121" t="s">
        <v>617</v>
      </c>
      <c r="M106" s="121" t="s">
        <v>617</v>
      </c>
      <c r="N106" s="120" t="s">
        <v>617</v>
      </c>
      <c r="O106" s="120" t="s">
        <v>617</v>
      </c>
      <c r="P106" s="121" t="s">
        <v>617</v>
      </c>
      <c r="Q106" s="121" t="s">
        <v>617</v>
      </c>
      <c r="R106" s="120" t="s">
        <v>617</v>
      </c>
      <c r="S106" s="120" t="s">
        <v>617</v>
      </c>
      <c r="T106" s="121" t="s">
        <v>617</v>
      </c>
      <c r="U106" s="121" t="s">
        <v>617</v>
      </c>
      <c r="V106" s="120" t="s">
        <v>617</v>
      </c>
      <c r="W106" s="120" t="s">
        <v>617</v>
      </c>
      <c r="X106" s="121" t="s">
        <v>617</v>
      </c>
      <c r="Y106" s="121" t="s">
        <v>617</v>
      </c>
      <c r="Z106" s="120" t="s">
        <v>617</v>
      </c>
      <c r="AA106" s="120" t="s">
        <v>617</v>
      </c>
      <c r="AB106" s="121" t="s">
        <v>617</v>
      </c>
      <c r="AC106" s="121" t="s">
        <v>617</v>
      </c>
      <c r="AD106" s="120" t="s">
        <v>617</v>
      </c>
      <c r="AE106" s="120" t="s">
        <v>617</v>
      </c>
      <c r="AF106" s="121" t="s">
        <v>617</v>
      </c>
      <c r="AG106" s="121" t="s">
        <v>617</v>
      </c>
      <c r="AH106" s="122">
        <v>0</v>
      </c>
      <c r="AI106" s="122">
        <v>0</v>
      </c>
    </row>
    <row r="107" spans="1:35">
      <c r="A107" s="223" t="s">
        <v>637</v>
      </c>
      <c r="B107" s="223"/>
      <c r="C107" s="125" t="s">
        <v>631</v>
      </c>
      <c r="D107" s="124" t="s">
        <v>631</v>
      </c>
      <c r="E107" s="124" t="s">
        <v>631</v>
      </c>
      <c r="F107" s="125" t="s">
        <v>631</v>
      </c>
      <c r="G107" s="125" t="s">
        <v>631</v>
      </c>
      <c r="H107" s="124" t="s">
        <v>631</v>
      </c>
      <c r="I107" s="124" t="s">
        <v>631</v>
      </c>
      <c r="J107" s="125" t="s">
        <v>631</v>
      </c>
      <c r="K107" s="125" t="s">
        <v>631</v>
      </c>
      <c r="L107" s="124" t="s">
        <v>631</v>
      </c>
      <c r="M107" s="124" t="s">
        <v>631</v>
      </c>
      <c r="N107" s="125" t="s">
        <v>631</v>
      </c>
      <c r="O107" s="125" t="s">
        <v>631</v>
      </c>
      <c r="P107" s="124" t="s">
        <v>631</v>
      </c>
      <c r="Q107" s="124" t="s">
        <v>631</v>
      </c>
      <c r="R107" s="125" t="s">
        <v>631</v>
      </c>
      <c r="S107" s="125" t="s">
        <v>631</v>
      </c>
      <c r="T107" s="124" t="s">
        <v>631</v>
      </c>
      <c r="U107" s="124" t="s">
        <v>631</v>
      </c>
      <c r="V107" s="125" t="s">
        <v>631</v>
      </c>
      <c r="W107" s="125" t="s">
        <v>631</v>
      </c>
      <c r="X107" s="124" t="s">
        <v>631</v>
      </c>
      <c r="Y107" s="124" t="s">
        <v>631</v>
      </c>
      <c r="Z107" s="125" t="s">
        <v>631</v>
      </c>
      <c r="AA107" s="125" t="s">
        <v>631</v>
      </c>
      <c r="AB107" s="124" t="s">
        <v>631</v>
      </c>
      <c r="AC107" s="124" t="s">
        <v>631</v>
      </c>
      <c r="AD107" s="125" t="s">
        <v>631</v>
      </c>
      <c r="AE107" s="125" t="s">
        <v>631</v>
      </c>
      <c r="AF107" s="124" t="s">
        <v>631</v>
      </c>
      <c r="AG107" s="124" t="s">
        <v>631</v>
      </c>
      <c r="AH107" s="125" t="s">
        <v>631</v>
      </c>
      <c r="AI107" s="125" t="s">
        <v>631</v>
      </c>
    </row>
    <row r="108" spans="1:35">
      <c r="A108" s="222" t="s">
        <v>616</v>
      </c>
      <c r="B108" s="222"/>
      <c r="C108" s="120" t="s">
        <v>617</v>
      </c>
      <c r="D108" s="121" t="s">
        <v>617</v>
      </c>
      <c r="E108" s="121" t="s">
        <v>617</v>
      </c>
      <c r="F108" s="120" t="s">
        <v>617</v>
      </c>
      <c r="G108" s="120" t="s">
        <v>617</v>
      </c>
      <c r="H108" s="121" t="s">
        <v>617</v>
      </c>
      <c r="I108" s="121" t="s">
        <v>617</v>
      </c>
      <c r="J108" s="120" t="s">
        <v>617</v>
      </c>
      <c r="K108" s="120" t="s">
        <v>617</v>
      </c>
      <c r="L108" s="121" t="s">
        <v>617</v>
      </c>
      <c r="M108" s="121" t="s">
        <v>617</v>
      </c>
      <c r="N108" s="120" t="s">
        <v>617</v>
      </c>
      <c r="O108" s="120" t="s">
        <v>617</v>
      </c>
      <c r="P108" s="121" t="s">
        <v>617</v>
      </c>
      <c r="Q108" s="121" t="s">
        <v>617</v>
      </c>
      <c r="R108" s="120">
        <v>-57.7</v>
      </c>
      <c r="S108" s="120" t="s">
        <v>617</v>
      </c>
      <c r="T108" s="121">
        <v>0</v>
      </c>
      <c r="U108" s="121" t="s">
        <v>617</v>
      </c>
      <c r="V108" s="120" t="s">
        <v>617</v>
      </c>
      <c r="W108" s="120" t="s">
        <v>617</v>
      </c>
      <c r="X108" s="121" t="s">
        <v>617</v>
      </c>
      <c r="Y108" s="121" t="s">
        <v>617</v>
      </c>
      <c r="Z108" s="120" t="s">
        <v>617</v>
      </c>
      <c r="AA108" s="120" t="s">
        <v>617</v>
      </c>
      <c r="AB108" s="121" t="s">
        <v>617</v>
      </c>
      <c r="AC108" s="121" t="s">
        <v>617</v>
      </c>
      <c r="AD108" s="120" t="s">
        <v>617</v>
      </c>
      <c r="AE108" s="120" t="s">
        <v>617</v>
      </c>
      <c r="AF108" s="121" t="s">
        <v>617</v>
      </c>
      <c r="AG108" s="121" t="s">
        <v>617</v>
      </c>
      <c r="AH108" s="120" t="s">
        <v>617</v>
      </c>
      <c r="AI108" s="120" t="s">
        <v>617</v>
      </c>
    </row>
    <row r="109" spans="1:35">
      <c r="A109" s="222" t="s">
        <v>621</v>
      </c>
      <c r="B109" s="222"/>
      <c r="C109" s="120" t="s">
        <v>617</v>
      </c>
      <c r="D109" s="121" t="s">
        <v>617</v>
      </c>
      <c r="E109" s="121" t="s">
        <v>617</v>
      </c>
      <c r="F109" s="120" t="s">
        <v>617</v>
      </c>
      <c r="G109" s="120" t="s">
        <v>617</v>
      </c>
      <c r="H109" s="121" t="s">
        <v>617</v>
      </c>
      <c r="I109" s="121" t="s">
        <v>617</v>
      </c>
      <c r="J109" s="120" t="s">
        <v>617</v>
      </c>
      <c r="K109" s="120" t="s">
        <v>617</v>
      </c>
      <c r="L109" s="121" t="s">
        <v>617</v>
      </c>
      <c r="M109" s="121" t="s">
        <v>617</v>
      </c>
      <c r="N109" s="120" t="s">
        <v>617</v>
      </c>
      <c r="O109" s="120" t="s">
        <v>617</v>
      </c>
      <c r="P109" s="121" t="s">
        <v>617</v>
      </c>
      <c r="Q109" s="121" t="s">
        <v>617</v>
      </c>
      <c r="R109" s="120" t="s">
        <v>617</v>
      </c>
      <c r="S109" s="120" t="s">
        <v>617</v>
      </c>
      <c r="T109" s="121" t="s">
        <v>617</v>
      </c>
      <c r="U109" s="121" t="s">
        <v>617</v>
      </c>
      <c r="V109" s="120">
        <v>-305.3</v>
      </c>
      <c r="W109" s="120">
        <v>-346.8</v>
      </c>
      <c r="X109" s="121" t="s">
        <v>617</v>
      </c>
      <c r="Y109" s="121" t="s">
        <v>617</v>
      </c>
      <c r="Z109" s="120" t="s">
        <v>617</v>
      </c>
      <c r="AA109" s="120" t="s">
        <v>617</v>
      </c>
      <c r="AB109" s="121" t="s">
        <v>617</v>
      </c>
      <c r="AC109" s="121" t="s">
        <v>617</v>
      </c>
      <c r="AD109" s="120" t="s">
        <v>617</v>
      </c>
      <c r="AE109" s="120" t="s">
        <v>617</v>
      </c>
      <c r="AF109" s="121" t="s">
        <v>617</v>
      </c>
      <c r="AG109" s="121" t="s">
        <v>617</v>
      </c>
      <c r="AH109" s="120" t="s">
        <v>617</v>
      </c>
      <c r="AI109" s="120" t="s">
        <v>617</v>
      </c>
    </row>
    <row r="110" spans="1:35">
      <c r="A110" s="223" t="s">
        <v>638</v>
      </c>
      <c r="B110" s="223"/>
      <c r="C110" s="118">
        <v>1</v>
      </c>
      <c r="D110" s="119">
        <v>1</v>
      </c>
      <c r="E110" s="119">
        <v>1</v>
      </c>
      <c r="F110" s="118">
        <v>1</v>
      </c>
      <c r="G110" s="118">
        <v>1</v>
      </c>
      <c r="H110" s="119">
        <v>1</v>
      </c>
      <c r="I110" s="119">
        <v>1</v>
      </c>
      <c r="J110" s="118">
        <v>1</v>
      </c>
      <c r="K110" s="118">
        <v>1</v>
      </c>
      <c r="L110" s="119">
        <v>1</v>
      </c>
      <c r="M110" s="119">
        <v>1</v>
      </c>
      <c r="N110" s="118">
        <v>1</v>
      </c>
      <c r="O110" s="118">
        <v>1</v>
      </c>
      <c r="P110" s="119">
        <v>1</v>
      </c>
      <c r="Q110" s="119">
        <v>1</v>
      </c>
      <c r="R110" s="118">
        <v>1</v>
      </c>
      <c r="S110" s="118">
        <v>1</v>
      </c>
      <c r="T110" s="119">
        <v>1</v>
      </c>
      <c r="U110" s="119">
        <v>1</v>
      </c>
      <c r="V110" s="118">
        <v>1</v>
      </c>
      <c r="W110" s="118">
        <v>1</v>
      </c>
      <c r="X110" s="119">
        <v>1</v>
      </c>
      <c r="Y110" s="119">
        <v>1</v>
      </c>
      <c r="Z110" s="118">
        <v>1</v>
      </c>
      <c r="AA110" s="118">
        <v>1</v>
      </c>
      <c r="AB110" s="119">
        <v>1</v>
      </c>
      <c r="AC110" s="119">
        <v>1</v>
      </c>
      <c r="AD110" s="118">
        <v>1</v>
      </c>
      <c r="AE110" s="118">
        <v>1</v>
      </c>
      <c r="AF110" s="119">
        <v>1</v>
      </c>
      <c r="AG110" s="119">
        <v>1</v>
      </c>
      <c r="AH110" s="118">
        <v>1</v>
      </c>
      <c r="AI110" s="118">
        <v>1</v>
      </c>
    </row>
    <row r="111" spans="1:35">
      <c r="A111" s="222" t="s">
        <v>614</v>
      </c>
      <c r="B111" s="222"/>
      <c r="C111" s="120">
        <v>1031.8</v>
      </c>
      <c r="D111" s="121">
        <v>885.1</v>
      </c>
      <c r="E111" s="121">
        <v>1039.4000000000001</v>
      </c>
      <c r="F111" s="120">
        <v>956.9</v>
      </c>
      <c r="G111" s="120">
        <v>1020.7</v>
      </c>
      <c r="H111" s="121">
        <v>865.7</v>
      </c>
      <c r="I111" s="121">
        <v>995.8</v>
      </c>
      <c r="J111" s="120">
        <v>841.1</v>
      </c>
      <c r="K111" s="120">
        <v>1068.7</v>
      </c>
      <c r="L111" s="121">
        <v>861.1</v>
      </c>
      <c r="M111" s="121">
        <v>1020.4</v>
      </c>
      <c r="N111" s="120">
        <v>850.1</v>
      </c>
      <c r="O111" s="120">
        <v>1068.9000000000001</v>
      </c>
      <c r="P111" s="121">
        <v>862.6</v>
      </c>
      <c r="Q111" s="121">
        <v>971.3</v>
      </c>
      <c r="R111" s="120">
        <v>838.2</v>
      </c>
      <c r="S111" s="120">
        <v>961.2</v>
      </c>
      <c r="T111" s="121">
        <v>755</v>
      </c>
      <c r="U111" s="121">
        <v>884.5</v>
      </c>
      <c r="V111" s="120">
        <v>704.9</v>
      </c>
      <c r="W111" s="120">
        <v>830.5</v>
      </c>
      <c r="X111" s="121">
        <v>682.2</v>
      </c>
      <c r="Y111" s="121">
        <v>785.8</v>
      </c>
      <c r="Z111" s="120">
        <v>718.8</v>
      </c>
      <c r="AA111" s="120">
        <v>713.7</v>
      </c>
      <c r="AB111" s="121">
        <v>581.70000000000005</v>
      </c>
      <c r="AC111" s="121">
        <v>587.70000000000005</v>
      </c>
      <c r="AD111" s="120">
        <v>471.8</v>
      </c>
      <c r="AE111" s="120">
        <v>583.29999999999995</v>
      </c>
      <c r="AF111" s="121">
        <v>464</v>
      </c>
      <c r="AG111" s="121">
        <v>555.4</v>
      </c>
      <c r="AH111" s="120">
        <v>737.5</v>
      </c>
      <c r="AI111" s="120">
        <v>619.9</v>
      </c>
    </row>
    <row r="112" spans="1:35">
      <c r="A112" s="222" t="s">
        <v>615</v>
      </c>
      <c r="B112" s="222"/>
      <c r="C112" s="120">
        <v>1031.8</v>
      </c>
      <c r="D112" s="121">
        <v>885.1</v>
      </c>
      <c r="E112" s="121">
        <v>1039.4000000000001</v>
      </c>
      <c r="F112" s="120">
        <v>956.9</v>
      </c>
      <c r="G112" s="120">
        <v>1020.7</v>
      </c>
      <c r="H112" s="121">
        <v>865.7</v>
      </c>
      <c r="I112" s="121">
        <v>995.8</v>
      </c>
      <c r="J112" s="120">
        <v>841.1</v>
      </c>
      <c r="K112" s="120">
        <v>1068.7</v>
      </c>
      <c r="L112" s="121">
        <v>861.1</v>
      </c>
      <c r="M112" s="121">
        <v>1020.4</v>
      </c>
      <c r="N112" s="120">
        <v>850.1</v>
      </c>
      <c r="O112" s="120">
        <v>1068.9000000000001</v>
      </c>
      <c r="P112" s="121">
        <v>862.6</v>
      </c>
      <c r="Q112" s="121">
        <v>971.3</v>
      </c>
      <c r="R112" s="120">
        <v>838.2</v>
      </c>
      <c r="S112" s="120">
        <v>961.2</v>
      </c>
      <c r="T112" s="121">
        <v>755</v>
      </c>
      <c r="U112" s="121">
        <v>884.5</v>
      </c>
      <c r="V112" s="120">
        <v>704.9</v>
      </c>
      <c r="W112" s="120">
        <v>830.5</v>
      </c>
      <c r="X112" s="121">
        <v>682.2</v>
      </c>
      <c r="Y112" s="121">
        <v>785.8</v>
      </c>
      <c r="Z112" s="120">
        <v>718.8</v>
      </c>
      <c r="AA112" s="120">
        <v>713.7</v>
      </c>
      <c r="AB112" s="121">
        <v>581.70000000000005</v>
      </c>
      <c r="AC112" s="121">
        <v>587.70000000000005</v>
      </c>
      <c r="AD112" s="120">
        <v>471.8</v>
      </c>
      <c r="AE112" s="120">
        <v>583.29999999999995</v>
      </c>
      <c r="AF112" s="121">
        <v>464</v>
      </c>
      <c r="AG112" s="121">
        <v>555.4</v>
      </c>
      <c r="AH112" s="120">
        <v>737.5</v>
      </c>
      <c r="AI112" s="120">
        <v>619.9</v>
      </c>
    </row>
    <row r="113" spans="1:35">
      <c r="A113" s="222" t="s">
        <v>616</v>
      </c>
      <c r="B113" s="222"/>
      <c r="C113" s="120">
        <v>636.4</v>
      </c>
      <c r="D113" s="121">
        <v>527.29999999999995</v>
      </c>
      <c r="E113" s="121">
        <v>661.6</v>
      </c>
      <c r="F113" s="120">
        <v>595.5</v>
      </c>
      <c r="G113" s="120">
        <v>625.79999999999995</v>
      </c>
      <c r="H113" s="121">
        <v>502.6</v>
      </c>
      <c r="I113" s="121">
        <v>631.6</v>
      </c>
      <c r="J113" s="120">
        <v>495.5</v>
      </c>
      <c r="K113" s="120">
        <v>647.4</v>
      </c>
      <c r="L113" s="121">
        <v>478</v>
      </c>
      <c r="M113" s="121">
        <v>595.29999999999995</v>
      </c>
      <c r="N113" s="120">
        <v>492.1</v>
      </c>
      <c r="O113" s="120">
        <v>650.4</v>
      </c>
      <c r="P113" s="121">
        <v>517.79999999999995</v>
      </c>
      <c r="Q113" s="121">
        <v>529.4</v>
      </c>
      <c r="R113" s="120">
        <v>435.6</v>
      </c>
      <c r="S113" s="120">
        <v>581.79999999999995</v>
      </c>
      <c r="T113" s="121">
        <v>449.7</v>
      </c>
      <c r="U113" s="121">
        <v>524.29999999999995</v>
      </c>
      <c r="V113" s="120" t="s">
        <v>617</v>
      </c>
      <c r="W113" s="120" t="s">
        <v>617</v>
      </c>
      <c r="X113" s="121" t="s">
        <v>617</v>
      </c>
      <c r="Y113" s="121" t="s">
        <v>617</v>
      </c>
      <c r="Z113" s="120" t="s">
        <v>617</v>
      </c>
      <c r="AA113" s="120" t="s">
        <v>617</v>
      </c>
      <c r="AB113" s="121" t="s">
        <v>617</v>
      </c>
      <c r="AC113" s="121" t="s">
        <v>617</v>
      </c>
      <c r="AD113" s="120" t="s">
        <v>617</v>
      </c>
      <c r="AE113" s="120" t="s">
        <v>617</v>
      </c>
      <c r="AF113" s="121" t="s">
        <v>617</v>
      </c>
      <c r="AG113" s="121" t="s">
        <v>617</v>
      </c>
      <c r="AH113" s="120" t="s">
        <v>617</v>
      </c>
      <c r="AI113" s="120" t="s">
        <v>617</v>
      </c>
    </row>
    <row r="114" spans="1:35">
      <c r="A114" s="222" t="s">
        <v>618</v>
      </c>
      <c r="B114" s="222"/>
      <c r="C114" s="122">
        <v>0.61680000000000001</v>
      </c>
      <c r="D114" s="123">
        <v>0.5958</v>
      </c>
      <c r="E114" s="123">
        <v>0.63649999999999995</v>
      </c>
      <c r="F114" s="122">
        <v>0.62229999999999996</v>
      </c>
      <c r="G114" s="122">
        <v>0.61309999999999998</v>
      </c>
      <c r="H114" s="123">
        <v>0.5806</v>
      </c>
      <c r="I114" s="123">
        <v>0.63429999999999997</v>
      </c>
      <c r="J114" s="122">
        <v>0.58909999999999996</v>
      </c>
      <c r="K114" s="122">
        <v>0.60580000000000001</v>
      </c>
      <c r="L114" s="123">
        <v>0.55510000000000004</v>
      </c>
      <c r="M114" s="123">
        <v>0.58340000000000003</v>
      </c>
      <c r="N114" s="122">
        <v>0.57889999999999997</v>
      </c>
      <c r="O114" s="122">
        <v>0.60850000000000004</v>
      </c>
      <c r="P114" s="123">
        <v>0.60029999999999994</v>
      </c>
      <c r="Q114" s="123">
        <v>0.54500000000000004</v>
      </c>
      <c r="R114" s="122">
        <v>0.51970000000000005</v>
      </c>
      <c r="S114" s="122">
        <v>0.60529999999999995</v>
      </c>
      <c r="T114" s="123">
        <v>0.59560000000000002</v>
      </c>
      <c r="U114" s="123">
        <v>0.59279999999999999</v>
      </c>
      <c r="V114" s="120" t="s">
        <v>617</v>
      </c>
      <c r="W114" s="120" t="s">
        <v>617</v>
      </c>
      <c r="X114" s="121" t="s">
        <v>617</v>
      </c>
      <c r="Y114" s="121" t="s">
        <v>617</v>
      </c>
      <c r="Z114" s="120" t="s">
        <v>617</v>
      </c>
      <c r="AA114" s="120" t="s">
        <v>617</v>
      </c>
      <c r="AB114" s="121" t="s">
        <v>617</v>
      </c>
      <c r="AC114" s="121" t="s">
        <v>617</v>
      </c>
      <c r="AD114" s="120" t="s">
        <v>617</v>
      </c>
      <c r="AE114" s="120" t="s">
        <v>617</v>
      </c>
      <c r="AF114" s="121" t="s">
        <v>617</v>
      </c>
      <c r="AG114" s="121" t="s">
        <v>617</v>
      </c>
      <c r="AH114" s="120" t="s">
        <v>617</v>
      </c>
      <c r="AI114" s="120" t="s">
        <v>617</v>
      </c>
    </row>
    <row r="115" spans="1:35">
      <c r="A115" s="222" t="s">
        <v>619</v>
      </c>
      <c r="B115" s="222"/>
      <c r="C115" s="120">
        <v>234.4</v>
      </c>
      <c r="D115" s="121">
        <v>232</v>
      </c>
      <c r="E115" s="121">
        <v>231.9</v>
      </c>
      <c r="F115" s="120">
        <v>236.2</v>
      </c>
      <c r="G115" s="120">
        <v>228.3</v>
      </c>
      <c r="H115" s="121">
        <v>233.8</v>
      </c>
      <c r="I115" s="121">
        <v>222.6</v>
      </c>
      <c r="J115" s="120">
        <v>222.1</v>
      </c>
      <c r="K115" s="120">
        <v>220.3</v>
      </c>
      <c r="L115" s="121">
        <v>219.5</v>
      </c>
      <c r="M115" s="121">
        <v>206.4</v>
      </c>
      <c r="N115" s="120">
        <v>197</v>
      </c>
      <c r="O115" s="120">
        <v>195.3</v>
      </c>
      <c r="P115" s="121">
        <v>190.1</v>
      </c>
      <c r="Q115" s="121">
        <v>189.1</v>
      </c>
      <c r="R115" s="120">
        <v>190.4</v>
      </c>
      <c r="S115" s="120">
        <v>179.3</v>
      </c>
      <c r="T115" s="121">
        <v>167.2</v>
      </c>
      <c r="U115" s="121">
        <v>155.6</v>
      </c>
      <c r="V115" s="120">
        <v>-71.7</v>
      </c>
      <c r="W115" s="120">
        <v>142.69999999999999</v>
      </c>
      <c r="X115" s="121" t="s">
        <v>617</v>
      </c>
      <c r="Y115" s="121" t="s">
        <v>617</v>
      </c>
      <c r="Z115" s="120" t="s">
        <v>617</v>
      </c>
      <c r="AA115" s="120" t="s">
        <v>617</v>
      </c>
      <c r="AB115" s="121" t="s">
        <v>617</v>
      </c>
      <c r="AC115" s="121" t="s">
        <v>617</v>
      </c>
      <c r="AD115" s="120" t="s">
        <v>617</v>
      </c>
      <c r="AE115" s="120" t="s">
        <v>617</v>
      </c>
      <c r="AF115" s="121" t="s">
        <v>617</v>
      </c>
      <c r="AG115" s="121" t="s">
        <v>617</v>
      </c>
      <c r="AH115" s="120" t="s">
        <v>617</v>
      </c>
      <c r="AI115" s="120" t="s">
        <v>617</v>
      </c>
    </row>
    <row r="116" spans="1:35">
      <c r="A116" s="222" t="s">
        <v>620</v>
      </c>
      <c r="B116" s="222"/>
      <c r="C116" s="120">
        <v>392.5</v>
      </c>
      <c r="D116" s="121">
        <v>386.1</v>
      </c>
      <c r="E116" s="121">
        <v>379.1</v>
      </c>
      <c r="F116" s="120">
        <v>531.1</v>
      </c>
      <c r="G116" s="120">
        <v>458</v>
      </c>
      <c r="H116" s="121">
        <v>507.4</v>
      </c>
      <c r="I116" s="121">
        <v>462.4</v>
      </c>
      <c r="J116" s="120">
        <v>429.2</v>
      </c>
      <c r="K116" s="120">
        <v>321</v>
      </c>
      <c r="L116" s="121" t="s">
        <v>617</v>
      </c>
      <c r="M116" s="121" t="s">
        <v>617</v>
      </c>
      <c r="N116" s="120" t="s">
        <v>617</v>
      </c>
      <c r="O116" s="120" t="s">
        <v>617</v>
      </c>
      <c r="P116" s="121" t="s">
        <v>617</v>
      </c>
      <c r="Q116" s="121" t="s">
        <v>617</v>
      </c>
      <c r="R116" s="120" t="s">
        <v>617</v>
      </c>
      <c r="S116" s="120" t="s">
        <v>617</v>
      </c>
      <c r="T116" s="121" t="s">
        <v>617</v>
      </c>
      <c r="U116" s="121" t="s">
        <v>617</v>
      </c>
      <c r="V116" s="120" t="s">
        <v>617</v>
      </c>
      <c r="W116" s="120" t="s">
        <v>617</v>
      </c>
      <c r="X116" s="121" t="s">
        <v>617</v>
      </c>
      <c r="Y116" s="121" t="s">
        <v>617</v>
      </c>
      <c r="Z116" s="120" t="s">
        <v>617</v>
      </c>
      <c r="AA116" s="120" t="s">
        <v>617</v>
      </c>
      <c r="AB116" s="121" t="s">
        <v>617</v>
      </c>
      <c r="AC116" s="121" t="s">
        <v>617</v>
      </c>
      <c r="AD116" s="120" t="s">
        <v>617</v>
      </c>
      <c r="AE116" s="120" t="s">
        <v>617</v>
      </c>
      <c r="AF116" s="121" t="s">
        <v>617</v>
      </c>
      <c r="AG116" s="121" t="s">
        <v>617</v>
      </c>
      <c r="AH116" s="120" t="s">
        <v>617</v>
      </c>
      <c r="AI116" s="120" t="s">
        <v>617</v>
      </c>
    </row>
    <row r="117" spans="1:35">
      <c r="A117" s="222" t="s">
        <v>621</v>
      </c>
      <c r="B117" s="222"/>
      <c r="C117" s="120" t="s">
        <v>617</v>
      </c>
      <c r="D117" s="121" t="s">
        <v>617</v>
      </c>
      <c r="E117" s="121" t="s">
        <v>617</v>
      </c>
      <c r="F117" s="120" t="s">
        <v>617</v>
      </c>
      <c r="G117" s="120" t="s">
        <v>617</v>
      </c>
      <c r="H117" s="121" t="s">
        <v>617</v>
      </c>
      <c r="I117" s="121" t="s">
        <v>617</v>
      </c>
      <c r="J117" s="120" t="s">
        <v>617</v>
      </c>
      <c r="K117" s="120" t="s">
        <v>617</v>
      </c>
      <c r="L117" s="121" t="s">
        <v>617</v>
      </c>
      <c r="M117" s="121" t="s">
        <v>617</v>
      </c>
      <c r="N117" s="120" t="s">
        <v>617</v>
      </c>
      <c r="O117" s="120" t="s">
        <v>617</v>
      </c>
      <c r="P117" s="121" t="s">
        <v>617</v>
      </c>
      <c r="Q117" s="121" t="s">
        <v>617</v>
      </c>
      <c r="R117" s="120" t="s">
        <v>617</v>
      </c>
      <c r="S117" s="120" t="s">
        <v>617</v>
      </c>
      <c r="T117" s="121" t="s">
        <v>617</v>
      </c>
      <c r="U117" s="121" t="s">
        <v>617</v>
      </c>
      <c r="V117" s="120">
        <v>108.8</v>
      </c>
      <c r="W117" s="120">
        <v>146.19999999999999</v>
      </c>
      <c r="X117" s="121" t="s">
        <v>617</v>
      </c>
      <c r="Y117" s="121" t="s">
        <v>617</v>
      </c>
      <c r="Z117" s="120" t="s">
        <v>617</v>
      </c>
      <c r="AA117" s="120" t="s">
        <v>617</v>
      </c>
      <c r="AB117" s="121" t="s">
        <v>617</v>
      </c>
      <c r="AC117" s="121" t="s">
        <v>617</v>
      </c>
      <c r="AD117" s="120" t="s">
        <v>617</v>
      </c>
      <c r="AE117" s="120" t="s">
        <v>617</v>
      </c>
      <c r="AF117" s="121" t="s">
        <v>617</v>
      </c>
      <c r="AG117" s="121" t="s">
        <v>617</v>
      </c>
      <c r="AH117" s="120" t="s">
        <v>617</v>
      </c>
      <c r="AI117" s="120" t="s">
        <v>617</v>
      </c>
    </row>
    <row r="118" spans="1:35">
      <c r="A118" s="222" t="s">
        <v>622</v>
      </c>
      <c r="B118" s="222"/>
      <c r="C118" s="120" t="s">
        <v>617</v>
      </c>
      <c r="D118" s="121" t="s">
        <v>617</v>
      </c>
      <c r="E118" s="121" t="s">
        <v>617</v>
      </c>
      <c r="F118" s="120" t="s">
        <v>617</v>
      </c>
      <c r="G118" s="120" t="s">
        <v>617</v>
      </c>
      <c r="H118" s="121" t="s">
        <v>617</v>
      </c>
      <c r="I118" s="121" t="s">
        <v>617</v>
      </c>
      <c r="J118" s="120" t="s">
        <v>617</v>
      </c>
      <c r="K118" s="120" t="s">
        <v>617</v>
      </c>
      <c r="L118" s="121" t="s">
        <v>617</v>
      </c>
      <c r="M118" s="121" t="s">
        <v>617</v>
      </c>
      <c r="N118" s="120" t="s">
        <v>617</v>
      </c>
      <c r="O118" s="120" t="s">
        <v>617</v>
      </c>
      <c r="P118" s="121" t="s">
        <v>617</v>
      </c>
      <c r="Q118" s="121" t="s">
        <v>617</v>
      </c>
      <c r="R118" s="120" t="s">
        <v>617</v>
      </c>
      <c r="S118" s="120" t="s">
        <v>617</v>
      </c>
      <c r="T118" s="121" t="s">
        <v>617</v>
      </c>
      <c r="U118" s="121" t="s">
        <v>617</v>
      </c>
      <c r="V118" s="122">
        <v>0.15429999999999999</v>
      </c>
      <c r="W118" s="122">
        <v>0.17599999999999999</v>
      </c>
      <c r="X118" s="121" t="s">
        <v>617</v>
      </c>
      <c r="Y118" s="121" t="s">
        <v>617</v>
      </c>
      <c r="Z118" s="120" t="s">
        <v>617</v>
      </c>
      <c r="AA118" s="120" t="s">
        <v>617</v>
      </c>
      <c r="AB118" s="121" t="s">
        <v>617</v>
      </c>
      <c r="AC118" s="121" t="s">
        <v>617</v>
      </c>
      <c r="AD118" s="120" t="s">
        <v>617</v>
      </c>
      <c r="AE118" s="120" t="s">
        <v>617</v>
      </c>
      <c r="AF118" s="121" t="s">
        <v>617</v>
      </c>
      <c r="AG118" s="121" t="s">
        <v>617</v>
      </c>
      <c r="AH118" s="120" t="s">
        <v>617</v>
      </c>
      <c r="AI118" s="120" t="s">
        <v>617</v>
      </c>
    </row>
    <row r="119" spans="1:35">
      <c r="A119" s="222" t="s">
        <v>623</v>
      </c>
      <c r="B119" s="222"/>
      <c r="C119" s="120" t="s">
        <v>617</v>
      </c>
      <c r="D119" s="121" t="s">
        <v>617</v>
      </c>
      <c r="E119" s="121" t="s">
        <v>617</v>
      </c>
      <c r="F119" s="120" t="s">
        <v>617</v>
      </c>
      <c r="G119" s="120" t="s">
        <v>617</v>
      </c>
      <c r="H119" s="121" t="s">
        <v>617</v>
      </c>
      <c r="I119" s="121" t="s">
        <v>617</v>
      </c>
      <c r="J119" s="120" t="s">
        <v>617</v>
      </c>
      <c r="K119" s="120" t="s">
        <v>617</v>
      </c>
      <c r="L119" s="121" t="s">
        <v>617</v>
      </c>
      <c r="M119" s="121" t="s">
        <v>617</v>
      </c>
      <c r="N119" s="120" t="s">
        <v>617</v>
      </c>
      <c r="O119" s="120" t="s">
        <v>617</v>
      </c>
      <c r="P119" s="121" t="s">
        <v>617</v>
      </c>
      <c r="Q119" s="121" t="s">
        <v>617</v>
      </c>
      <c r="R119" s="120" t="s">
        <v>617</v>
      </c>
      <c r="S119" s="120" t="s">
        <v>617</v>
      </c>
      <c r="T119" s="121" t="s">
        <v>617</v>
      </c>
      <c r="U119" s="121" t="s">
        <v>617</v>
      </c>
      <c r="V119" s="120" t="s">
        <v>617</v>
      </c>
      <c r="W119" s="120" t="s">
        <v>617</v>
      </c>
      <c r="X119" s="121">
        <v>170</v>
      </c>
      <c r="Y119" s="121">
        <v>175</v>
      </c>
      <c r="Z119" s="120">
        <v>155</v>
      </c>
      <c r="AA119" s="120">
        <v>154.5</v>
      </c>
      <c r="AB119" s="121">
        <v>153.9</v>
      </c>
      <c r="AC119" s="121">
        <v>150</v>
      </c>
      <c r="AD119" s="120">
        <v>128</v>
      </c>
      <c r="AE119" s="120">
        <v>118.9</v>
      </c>
      <c r="AF119" s="121">
        <v>117</v>
      </c>
      <c r="AG119" s="121">
        <v>112.5</v>
      </c>
      <c r="AH119" s="120" t="s">
        <v>617</v>
      </c>
      <c r="AI119" s="120" t="s">
        <v>617</v>
      </c>
    </row>
    <row r="120" spans="1:35">
      <c r="A120" s="222" t="s">
        <v>624</v>
      </c>
      <c r="B120" s="222"/>
      <c r="C120" s="120" t="s">
        <v>617</v>
      </c>
      <c r="D120" s="121" t="s">
        <v>617</v>
      </c>
      <c r="E120" s="121" t="s">
        <v>617</v>
      </c>
      <c r="F120" s="120" t="s">
        <v>617</v>
      </c>
      <c r="G120" s="120" t="s">
        <v>617</v>
      </c>
      <c r="H120" s="121" t="s">
        <v>617</v>
      </c>
      <c r="I120" s="121" t="s">
        <v>617</v>
      </c>
      <c r="J120" s="120" t="s">
        <v>617</v>
      </c>
      <c r="K120" s="120" t="s">
        <v>617</v>
      </c>
      <c r="L120" s="121" t="s">
        <v>617</v>
      </c>
      <c r="M120" s="121" t="s">
        <v>617</v>
      </c>
      <c r="N120" s="120" t="s">
        <v>617</v>
      </c>
      <c r="O120" s="120" t="s">
        <v>617</v>
      </c>
      <c r="P120" s="121" t="s">
        <v>617</v>
      </c>
      <c r="Q120" s="121" t="s">
        <v>617</v>
      </c>
      <c r="R120" s="120" t="s">
        <v>617</v>
      </c>
      <c r="S120" s="120" t="s">
        <v>617</v>
      </c>
      <c r="T120" s="121" t="s">
        <v>617</v>
      </c>
      <c r="U120" s="121" t="s">
        <v>617</v>
      </c>
      <c r="V120" s="120" t="s">
        <v>617</v>
      </c>
      <c r="W120" s="120" t="s">
        <v>617</v>
      </c>
      <c r="X120" s="121" t="s">
        <v>617</v>
      </c>
      <c r="Y120" s="121">
        <v>337.7</v>
      </c>
      <c r="Z120" s="120" t="s">
        <v>617</v>
      </c>
      <c r="AA120" s="120" t="s">
        <v>617</v>
      </c>
      <c r="AB120" s="121" t="s">
        <v>617</v>
      </c>
      <c r="AC120" s="121" t="s">
        <v>617</v>
      </c>
      <c r="AD120" s="120">
        <v>156.19999999999999</v>
      </c>
      <c r="AE120" s="120">
        <v>266.5</v>
      </c>
      <c r="AF120" s="121">
        <v>186</v>
      </c>
      <c r="AG120" s="121">
        <v>248.3</v>
      </c>
      <c r="AH120" s="120" t="s">
        <v>617</v>
      </c>
      <c r="AI120" s="120" t="s">
        <v>617</v>
      </c>
    </row>
    <row r="121" spans="1:35">
      <c r="A121" s="222" t="s">
        <v>625</v>
      </c>
      <c r="B121" s="222"/>
      <c r="C121" s="120" t="s">
        <v>617</v>
      </c>
      <c r="D121" s="121" t="s">
        <v>617</v>
      </c>
      <c r="E121" s="121" t="s">
        <v>617</v>
      </c>
      <c r="F121" s="120" t="s">
        <v>617</v>
      </c>
      <c r="G121" s="120" t="s">
        <v>617</v>
      </c>
      <c r="H121" s="121" t="s">
        <v>617</v>
      </c>
      <c r="I121" s="121" t="s">
        <v>617</v>
      </c>
      <c r="J121" s="120" t="s">
        <v>617</v>
      </c>
      <c r="K121" s="120" t="s">
        <v>617</v>
      </c>
      <c r="L121" s="121" t="s">
        <v>617</v>
      </c>
      <c r="M121" s="121" t="s">
        <v>617</v>
      </c>
      <c r="N121" s="120" t="s">
        <v>617</v>
      </c>
      <c r="O121" s="120" t="s">
        <v>617</v>
      </c>
      <c r="P121" s="121" t="s">
        <v>617</v>
      </c>
      <c r="Q121" s="121" t="s">
        <v>617</v>
      </c>
      <c r="R121" s="120" t="s">
        <v>617</v>
      </c>
      <c r="S121" s="120" t="s">
        <v>617</v>
      </c>
      <c r="T121" s="121" t="s">
        <v>617</v>
      </c>
      <c r="U121" s="121" t="s">
        <v>617</v>
      </c>
      <c r="V121" s="120" t="s">
        <v>617</v>
      </c>
      <c r="W121" s="120" t="s">
        <v>617</v>
      </c>
      <c r="X121" s="121" t="s">
        <v>617</v>
      </c>
      <c r="Y121" s="123">
        <v>0.42980000000000002</v>
      </c>
      <c r="Z121" s="120" t="s">
        <v>617</v>
      </c>
      <c r="AA121" s="120" t="s">
        <v>617</v>
      </c>
      <c r="AB121" s="121" t="s">
        <v>617</v>
      </c>
      <c r="AC121" s="121" t="s">
        <v>617</v>
      </c>
      <c r="AD121" s="122">
        <v>0.33110000000000001</v>
      </c>
      <c r="AE121" s="122">
        <v>0.45689999999999997</v>
      </c>
      <c r="AF121" s="123">
        <v>0.40079999999999999</v>
      </c>
      <c r="AG121" s="123">
        <v>0.44700000000000001</v>
      </c>
      <c r="AH121" s="120" t="s">
        <v>617</v>
      </c>
      <c r="AI121" s="120" t="s">
        <v>617</v>
      </c>
    </row>
    <row r="122" spans="1:35">
      <c r="A122" s="222" t="s">
        <v>626</v>
      </c>
      <c r="B122" s="222"/>
      <c r="C122" s="120" t="s">
        <v>617</v>
      </c>
      <c r="D122" s="121" t="s">
        <v>617</v>
      </c>
      <c r="E122" s="121" t="s">
        <v>617</v>
      </c>
      <c r="F122" s="120" t="s">
        <v>617</v>
      </c>
      <c r="G122" s="120" t="s">
        <v>617</v>
      </c>
      <c r="H122" s="121" t="s">
        <v>617</v>
      </c>
      <c r="I122" s="121" t="s">
        <v>617</v>
      </c>
      <c r="J122" s="120" t="s">
        <v>617</v>
      </c>
      <c r="K122" s="120" t="s">
        <v>617</v>
      </c>
      <c r="L122" s="121" t="s">
        <v>617</v>
      </c>
      <c r="M122" s="121" t="s">
        <v>617</v>
      </c>
      <c r="N122" s="120" t="s">
        <v>617</v>
      </c>
      <c r="O122" s="120" t="s">
        <v>617</v>
      </c>
      <c r="P122" s="121" t="s">
        <v>617</v>
      </c>
      <c r="Q122" s="121" t="s">
        <v>617</v>
      </c>
      <c r="R122" s="120" t="s">
        <v>617</v>
      </c>
      <c r="S122" s="120" t="s">
        <v>617</v>
      </c>
      <c r="T122" s="121" t="s">
        <v>617</v>
      </c>
      <c r="U122" s="121" t="s">
        <v>617</v>
      </c>
      <c r="V122" s="120" t="s">
        <v>617</v>
      </c>
      <c r="W122" s="120" t="s">
        <v>617</v>
      </c>
      <c r="X122" s="121" t="s">
        <v>617</v>
      </c>
      <c r="Y122" s="121" t="s">
        <v>617</v>
      </c>
      <c r="Z122" s="120" t="s">
        <v>617</v>
      </c>
      <c r="AA122" s="120" t="s">
        <v>617</v>
      </c>
      <c r="AB122" s="121" t="s">
        <v>617</v>
      </c>
      <c r="AC122" s="121" t="s">
        <v>617</v>
      </c>
      <c r="AD122" s="120" t="s">
        <v>617</v>
      </c>
      <c r="AE122" s="120" t="s">
        <v>617</v>
      </c>
      <c r="AF122" s="121" t="s">
        <v>617</v>
      </c>
      <c r="AG122" s="121" t="s">
        <v>617</v>
      </c>
      <c r="AH122" s="120">
        <v>342.8</v>
      </c>
      <c r="AI122" s="120">
        <v>377</v>
      </c>
    </row>
    <row r="123" spans="1:35">
      <c r="A123" s="222" t="s">
        <v>627</v>
      </c>
      <c r="B123" s="222"/>
      <c r="C123" s="120" t="s">
        <v>617</v>
      </c>
      <c r="D123" s="121" t="s">
        <v>617</v>
      </c>
      <c r="E123" s="121" t="s">
        <v>617</v>
      </c>
      <c r="F123" s="120" t="s">
        <v>617</v>
      </c>
      <c r="G123" s="120" t="s">
        <v>617</v>
      </c>
      <c r="H123" s="121" t="s">
        <v>617</v>
      </c>
      <c r="I123" s="121" t="s">
        <v>617</v>
      </c>
      <c r="J123" s="120" t="s">
        <v>617</v>
      </c>
      <c r="K123" s="120" t="s">
        <v>617</v>
      </c>
      <c r="L123" s="121" t="s">
        <v>617</v>
      </c>
      <c r="M123" s="121" t="s">
        <v>617</v>
      </c>
      <c r="N123" s="120" t="s">
        <v>617</v>
      </c>
      <c r="O123" s="120" t="s">
        <v>617</v>
      </c>
      <c r="P123" s="121" t="s">
        <v>617</v>
      </c>
      <c r="Q123" s="121" t="s">
        <v>617</v>
      </c>
      <c r="R123" s="120" t="s">
        <v>617</v>
      </c>
      <c r="S123" s="120" t="s">
        <v>617</v>
      </c>
      <c r="T123" s="121" t="s">
        <v>617</v>
      </c>
      <c r="U123" s="121" t="s">
        <v>617</v>
      </c>
      <c r="V123" s="120" t="s">
        <v>617</v>
      </c>
      <c r="W123" s="120" t="s">
        <v>617</v>
      </c>
      <c r="X123" s="121" t="s">
        <v>617</v>
      </c>
      <c r="Y123" s="121" t="s">
        <v>617</v>
      </c>
      <c r="Z123" s="120" t="s">
        <v>617</v>
      </c>
      <c r="AA123" s="120" t="s">
        <v>617</v>
      </c>
      <c r="AB123" s="121" t="s">
        <v>617</v>
      </c>
      <c r="AC123" s="121" t="s">
        <v>617</v>
      </c>
      <c r="AD123" s="120" t="s">
        <v>617</v>
      </c>
      <c r="AE123" s="120" t="s">
        <v>617</v>
      </c>
      <c r="AF123" s="121" t="s">
        <v>617</v>
      </c>
      <c r="AG123" s="121" t="s">
        <v>617</v>
      </c>
      <c r="AH123" s="122">
        <v>0.46489999999999998</v>
      </c>
      <c r="AI123" s="122">
        <v>0.60819999999999996</v>
      </c>
    </row>
  </sheetData>
  <mergeCells count="134">
    <mergeCell ref="AF5:AG5"/>
    <mergeCell ref="AH5:AI5"/>
    <mergeCell ref="A6:B6"/>
    <mergeCell ref="N5:O5"/>
    <mergeCell ref="P5:Q5"/>
    <mergeCell ref="R5:S5"/>
    <mergeCell ref="T5:U5"/>
    <mergeCell ref="V5:W5"/>
    <mergeCell ref="X5:Y5"/>
    <mergeCell ref="A5:B5"/>
    <mergeCell ref="D5:E5"/>
    <mergeCell ref="F5:G5"/>
    <mergeCell ref="H5:I5"/>
    <mergeCell ref="J5:K5"/>
    <mergeCell ref="L5:M5"/>
    <mergeCell ref="A8:B8"/>
    <mergeCell ref="A9:B9"/>
    <mergeCell ref="A10:B10"/>
    <mergeCell ref="A11:B11"/>
    <mergeCell ref="A12:B12"/>
    <mergeCell ref="A13:B13"/>
    <mergeCell ref="Z5:AA5"/>
    <mergeCell ref="AB5:AC5"/>
    <mergeCell ref="AD5:AE5"/>
    <mergeCell ref="A20:B20"/>
    <mergeCell ref="A21:B21"/>
    <mergeCell ref="A22:B22"/>
    <mergeCell ref="A23:B23"/>
    <mergeCell ref="A24:B24"/>
    <mergeCell ref="A25:B25"/>
    <mergeCell ref="A14:B14"/>
    <mergeCell ref="A15:B15"/>
    <mergeCell ref="A16:B16"/>
    <mergeCell ref="A17:B17"/>
    <mergeCell ref="A18:B18"/>
    <mergeCell ref="A19:B19"/>
    <mergeCell ref="A32:B32"/>
    <mergeCell ref="A33:B33"/>
    <mergeCell ref="A34:B34"/>
    <mergeCell ref="A35:B35"/>
    <mergeCell ref="A36:B36"/>
    <mergeCell ref="A37:B37"/>
    <mergeCell ref="A26:B26"/>
    <mergeCell ref="A27:B27"/>
    <mergeCell ref="A28:B28"/>
    <mergeCell ref="A29:B29"/>
    <mergeCell ref="A30:B30"/>
    <mergeCell ref="A31:B31"/>
    <mergeCell ref="A44:B44"/>
    <mergeCell ref="A45:B45"/>
    <mergeCell ref="A46:B46"/>
    <mergeCell ref="A47:B47"/>
    <mergeCell ref="A48:B48"/>
    <mergeCell ref="A49:B49"/>
    <mergeCell ref="A38:B38"/>
    <mergeCell ref="A39:B39"/>
    <mergeCell ref="A40:B40"/>
    <mergeCell ref="A41:B41"/>
    <mergeCell ref="A42:B42"/>
    <mergeCell ref="A43:B43"/>
    <mergeCell ref="A56:B56"/>
    <mergeCell ref="A57:B57"/>
    <mergeCell ref="A58:B58"/>
    <mergeCell ref="A59:B59"/>
    <mergeCell ref="A60:B60"/>
    <mergeCell ref="A61:B61"/>
    <mergeCell ref="A50:B50"/>
    <mergeCell ref="A51:B51"/>
    <mergeCell ref="A52:B52"/>
    <mergeCell ref="A53:B53"/>
    <mergeCell ref="A54:B54"/>
    <mergeCell ref="A55:B55"/>
    <mergeCell ref="A68:B68"/>
    <mergeCell ref="A69:B69"/>
    <mergeCell ref="A70:B70"/>
    <mergeCell ref="A71:B71"/>
    <mergeCell ref="A72:B72"/>
    <mergeCell ref="A73:B73"/>
    <mergeCell ref="A62:B62"/>
    <mergeCell ref="A63:B63"/>
    <mergeCell ref="A64:B64"/>
    <mergeCell ref="A65:B65"/>
    <mergeCell ref="A66:B66"/>
    <mergeCell ref="A67:B67"/>
    <mergeCell ref="A80:B80"/>
    <mergeCell ref="A81:B81"/>
    <mergeCell ref="A82:B82"/>
    <mergeCell ref="A83:B83"/>
    <mergeCell ref="A84:B84"/>
    <mergeCell ref="A85:B85"/>
    <mergeCell ref="A74:B74"/>
    <mergeCell ref="A75:B75"/>
    <mergeCell ref="A76:B76"/>
    <mergeCell ref="A77:B77"/>
    <mergeCell ref="A78:B78"/>
    <mergeCell ref="A79:B79"/>
    <mergeCell ref="A92:B92"/>
    <mergeCell ref="A93:B93"/>
    <mergeCell ref="A94:B94"/>
    <mergeCell ref="A95:B95"/>
    <mergeCell ref="A96:B96"/>
    <mergeCell ref="A97:B97"/>
    <mergeCell ref="A86:B86"/>
    <mergeCell ref="A87:B87"/>
    <mergeCell ref="A88:B88"/>
    <mergeCell ref="A89:B89"/>
    <mergeCell ref="A90:B90"/>
    <mergeCell ref="A91:B91"/>
    <mergeCell ref="A104:B104"/>
    <mergeCell ref="A105:B105"/>
    <mergeCell ref="A106:B106"/>
    <mergeCell ref="A107:B107"/>
    <mergeCell ref="A108:B108"/>
    <mergeCell ref="A109:B109"/>
    <mergeCell ref="A98:B98"/>
    <mergeCell ref="A99:B99"/>
    <mergeCell ref="A100:B100"/>
    <mergeCell ref="A101:B101"/>
    <mergeCell ref="A102:B102"/>
    <mergeCell ref="A103:B103"/>
    <mergeCell ref="A122:B122"/>
    <mergeCell ref="A123:B123"/>
    <mergeCell ref="A116:B116"/>
    <mergeCell ref="A117:B117"/>
    <mergeCell ref="A118:B118"/>
    <mergeCell ref="A119:B119"/>
    <mergeCell ref="A120:B120"/>
    <mergeCell ref="A121:B121"/>
    <mergeCell ref="A110:B110"/>
    <mergeCell ref="A111:B111"/>
    <mergeCell ref="A112:B112"/>
    <mergeCell ref="A113:B113"/>
    <mergeCell ref="A114:B114"/>
    <mergeCell ref="A115:B115"/>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C13FA-873F-41A5-9F11-CBE3D2510245}">
  <sheetPr>
    <tabColor theme="3"/>
  </sheetPr>
  <dimension ref="A1"/>
  <sheetViews>
    <sheetView workbookViewId="0">
      <selection activeCell="N31" sqref="N31"/>
    </sheetView>
  </sheetViews>
  <sheetFormatPr defaultRowHeight="14.25"/>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F7DB2-A276-478B-A3A0-C8BF6332AA74}">
  <sheetPr codeName="Sheet13">
    <tabColor theme="0" tint="-0.249977111117893"/>
  </sheetPr>
  <dimension ref="B2:N79"/>
  <sheetViews>
    <sheetView showWhiteSpace="0" topLeftCell="A39" zoomScaleNormal="100" zoomScalePageLayoutView="70" workbookViewId="0">
      <selection activeCell="G81" sqref="G81"/>
    </sheetView>
  </sheetViews>
  <sheetFormatPr defaultRowHeight="14.25"/>
  <cols>
    <col min="2" max="2" width="16.83203125" bestFit="1" customWidth="1"/>
    <col min="5" max="6" width="8.58203125"/>
    <col min="7" max="9" width="9" bestFit="1" customWidth="1"/>
    <col min="10" max="16" width="8.75" bestFit="1" customWidth="1"/>
    <col min="17" max="17" width="9" bestFit="1" customWidth="1"/>
    <col min="18" max="18" width="8.75" bestFit="1" customWidth="1"/>
  </cols>
  <sheetData>
    <row r="2" spans="2:14">
      <c r="B2" s="5" t="s">
        <v>50</v>
      </c>
      <c r="K2">
        <v>2020</v>
      </c>
      <c r="L2">
        <v>2021</v>
      </c>
      <c r="M2">
        <v>2022</v>
      </c>
      <c r="N2">
        <v>2023</v>
      </c>
    </row>
    <row r="3" spans="2:14">
      <c r="K3" t="s">
        <v>1087</v>
      </c>
      <c r="M3" t="s">
        <v>1088</v>
      </c>
    </row>
    <row r="4" spans="2:14">
      <c r="B4" s="42" t="s">
        <v>1089</v>
      </c>
    </row>
    <row r="5" spans="2:14">
      <c r="L5" t="s">
        <v>1090</v>
      </c>
    </row>
    <row r="6" spans="2:14">
      <c r="B6" t="s">
        <v>1091</v>
      </c>
      <c r="K6">
        <v>1879.9</v>
      </c>
      <c r="L6">
        <v>1929.8</v>
      </c>
      <c r="M6">
        <v>1968.9</v>
      </c>
    </row>
    <row r="7" spans="2:14">
      <c r="B7" t="s">
        <v>1092</v>
      </c>
      <c r="K7">
        <v>143.30000000000001</v>
      </c>
      <c r="L7">
        <v>68.599999999999994</v>
      </c>
      <c r="M7">
        <v>133.80000000000001</v>
      </c>
    </row>
    <row r="8" spans="2:14">
      <c r="B8" t="s">
        <v>1093</v>
      </c>
      <c r="K8">
        <v>29.9</v>
      </c>
      <c r="L8">
        <v>23.5</v>
      </c>
      <c r="M8">
        <v>39.4</v>
      </c>
    </row>
    <row r="9" spans="2:14">
      <c r="B9" t="s">
        <v>619</v>
      </c>
      <c r="K9">
        <v>122.7</v>
      </c>
      <c r="L9">
        <v>53.1</v>
      </c>
      <c r="M9">
        <v>110</v>
      </c>
    </row>
    <row r="10" spans="2:14">
      <c r="B10" t="s">
        <v>1094</v>
      </c>
      <c r="K10">
        <f>K6+K7+K8-K9</f>
        <v>1930.3999999999999</v>
      </c>
      <c r="L10">
        <f>L6+L7+L8-L9</f>
        <v>1968.8</v>
      </c>
      <c r="M10">
        <v>2032.1</v>
      </c>
    </row>
    <row r="12" spans="2:14">
      <c r="B12" s="5" t="s">
        <v>52</v>
      </c>
    </row>
    <row r="13" spans="2:14">
      <c r="K13" t="s">
        <v>1087</v>
      </c>
      <c r="M13" t="s">
        <v>1088</v>
      </c>
    </row>
    <row r="14" spans="2:14">
      <c r="B14" s="42" t="s">
        <v>1095</v>
      </c>
    </row>
    <row r="15" spans="2:14">
      <c r="L15" t="s">
        <v>1090</v>
      </c>
    </row>
    <row r="16" spans="2:14">
      <c r="B16" t="s">
        <v>1091</v>
      </c>
      <c r="K16">
        <v>4089.2</v>
      </c>
      <c r="L16">
        <v>4332</v>
      </c>
      <c r="M16">
        <v>4514.5</v>
      </c>
    </row>
    <row r="17" spans="2:13">
      <c r="B17" t="s">
        <v>1092</v>
      </c>
      <c r="K17">
        <v>411.5</v>
      </c>
      <c r="L17">
        <v>233.5</v>
      </c>
      <c r="M17">
        <v>405.7</v>
      </c>
    </row>
    <row r="18" spans="2:13">
      <c r="B18" t="s">
        <v>1093</v>
      </c>
      <c r="K18">
        <v>65.099999999999994</v>
      </c>
      <c r="L18">
        <v>52.8</v>
      </c>
      <c r="M18">
        <v>90.3</v>
      </c>
    </row>
    <row r="19" spans="2:13">
      <c r="B19" t="s">
        <v>619</v>
      </c>
      <c r="K19">
        <v>229.7</v>
      </c>
      <c r="L19">
        <v>103.8</v>
      </c>
      <c r="M19">
        <v>228.1</v>
      </c>
    </row>
    <row r="20" spans="2:13">
      <c r="B20" t="s">
        <v>1094</v>
      </c>
      <c r="K20">
        <v>4336.1000000000004</v>
      </c>
      <c r="L20">
        <v>4514</v>
      </c>
      <c r="M20">
        <v>4782.3</v>
      </c>
    </row>
    <row r="22" spans="2:13">
      <c r="B22" s="5" t="s">
        <v>43</v>
      </c>
    </row>
    <row r="23" spans="2:13">
      <c r="M23" t="s">
        <v>1088</v>
      </c>
    </row>
    <row r="24" spans="2:13">
      <c r="B24" s="42" t="s">
        <v>1096</v>
      </c>
    </row>
    <row r="26" spans="2:13">
      <c r="B26" t="s">
        <v>1091</v>
      </c>
      <c r="L26">
        <v>6652.7</v>
      </c>
      <c r="M26">
        <v>6809.1</v>
      </c>
    </row>
    <row r="27" spans="2:13">
      <c r="B27" t="s">
        <v>1092</v>
      </c>
      <c r="L27">
        <v>288.2</v>
      </c>
      <c r="M27">
        <v>329.5</v>
      </c>
    </row>
    <row r="28" spans="2:13">
      <c r="B28" t="s">
        <v>1093</v>
      </c>
      <c r="L28">
        <v>163</v>
      </c>
      <c r="M28">
        <v>166.8</v>
      </c>
    </row>
    <row r="29" spans="2:13">
      <c r="B29" t="s">
        <v>619</v>
      </c>
      <c r="L29">
        <v>294.7</v>
      </c>
      <c r="M29">
        <v>300.89999999999998</v>
      </c>
    </row>
    <row r="30" spans="2:13">
      <c r="B30" t="s">
        <v>1094</v>
      </c>
      <c r="L30">
        <v>6809.1</v>
      </c>
      <c r="M30">
        <v>7004.4</v>
      </c>
    </row>
    <row r="32" spans="2:13">
      <c r="B32" s="5" t="s">
        <v>53</v>
      </c>
    </row>
    <row r="34" spans="2:14">
      <c r="B34" s="42" t="s">
        <v>1097</v>
      </c>
    </row>
    <row r="35" spans="2:14">
      <c r="K35" t="s">
        <v>1098</v>
      </c>
    </row>
    <row r="36" spans="2:14">
      <c r="B36" t="s">
        <v>1091</v>
      </c>
      <c r="L36">
        <v>4361</v>
      </c>
      <c r="M36">
        <v>4478.3999999999996</v>
      </c>
    </row>
    <row r="37" spans="2:14">
      <c r="B37" t="s">
        <v>1092</v>
      </c>
      <c r="L37">
        <v>341.9</v>
      </c>
      <c r="M37">
        <v>354.4</v>
      </c>
    </row>
    <row r="38" spans="2:14">
      <c r="B38" t="s">
        <v>1093</v>
      </c>
      <c r="L38">
        <v>99.2</v>
      </c>
      <c r="M38">
        <v>101.8</v>
      </c>
    </row>
    <row r="39" spans="2:14">
      <c r="B39" t="s">
        <v>619</v>
      </c>
      <c r="L39">
        <v>323.7</v>
      </c>
      <c r="M39">
        <v>340.1</v>
      </c>
    </row>
    <row r="40" spans="2:14">
      <c r="B40" t="s">
        <v>1094</v>
      </c>
      <c r="L40">
        <v>4478.3999999999996</v>
      </c>
      <c r="M40">
        <v>4594.6000000000004</v>
      </c>
    </row>
    <row r="42" spans="2:14">
      <c r="B42" s="5" t="s">
        <v>1099</v>
      </c>
      <c r="K42" t="s">
        <v>1100</v>
      </c>
    </row>
    <row r="44" spans="2:14">
      <c r="B44" s="42" t="s">
        <v>1101</v>
      </c>
    </row>
    <row r="46" spans="2:14">
      <c r="B46" t="s">
        <v>1091</v>
      </c>
      <c r="L46">
        <v>3249.2</v>
      </c>
      <c r="M46">
        <v>3231</v>
      </c>
      <c r="N46">
        <v>3545.9</v>
      </c>
    </row>
    <row r="47" spans="2:14">
      <c r="B47" t="s">
        <v>1092</v>
      </c>
      <c r="L47">
        <v>144.30000000000001</v>
      </c>
      <c r="M47">
        <v>137.80000000000001</v>
      </c>
      <c r="N47">
        <v>165.6</v>
      </c>
    </row>
    <row r="48" spans="2:14">
      <c r="B48" t="s">
        <v>1093</v>
      </c>
      <c r="L48">
        <v>22.5</v>
      </c>
      <c r="M48">
        <v>97.3</v>
      </c>
      <c r="N48">
        <v>70.900000000000006</v>
      </c>
    </row>
    <row r="49" spans="2:14">
      <c r="B49" t="s">
        <v>619</v>
      </c>
      <c r="L49">
        <v>186.1</v>
      </c>
      <c r="M49">
        <v>167.9</v>
      </c>
      <c r="N49">
        <v>185.2</v>
      </c>
    </row>
    <row r="50" spans="2:14">
      <c r="B50" t="s">
        <v>1094</v>
      </c>
      <c r="L50">
        <v>3229.9</v>
      </c>
      <c r="M50">
        <v>3297.1</v>
      </c>
      <c r="N50">
        <v>3597.2</v>
      </c>
    </row>
    <row r="51" spans="2:14">
      <c r="B51" t="s">
        <v>1102</v>
      </c>
      <c r="M51">
        <v>-45.5</v>
      </c>
    </row>
    <row r="52" spans="2:14">
      <c r="B52" t="s">
        <v>1103</v>
      </c>
      <c r="M52">
        <v>-13</v>
      </c>
    </row>
    <row r="53" spans="2:14">
      <c r="B53" t="s">
        <v>1104</v>
      </c>
      <c r="M53">
        <v>46.2</v>
      </c>
    </row>
    <row r="54" spans="2:14">
      <c r="B54" t="s">
        <v>1105</v>
      </c>
      <c r="M54">
        <v>290.2</v>
      </c>
    </row>
    <row r="55" spans="2:14">
      <c r="M55">
        <v>3575.1</v>
      </c>
    </row>
    <row r="58" spans="2:14">
      <c r="B58" s="5" t="s">
        <v>1106</v>
      </c>
      <c r="K58" s="127" t="s">
        <v>1107</v>
      </c>
    </row>
    <row r="60" spans="2:14">
      <c r="B60" s="42" t="s">
        <v>1108</v>
      </c>
    </row>
    <row r="62" spans="2:14">
      <c r="B62" t="s">
        <v>1091</v>
      </c>
      <c r="K62">
        <v>4308.1000000000004</v>
      </c>
      <c r="L62">
        <v>4467</v>
      </c>
      <c r="M62">
        <v>4657.3999999999996</v>
      </c>
    </row>
    <row r="63" spans="2:14">
      <c r="B63" t="s">
        <v>1092</v>
      </c>
      <c r="K63">
        <v>348.5</v>
      </c>
      <c r="L63">
        <v>200.1</v>
      </c>
      <c r="M63">
        <v>346</v>
      </c>
    </row>
    <row r="64" spans="2:14">
      <c r="B64" t="s">
        <v>1093</v>
      </c>
      <c r="K64">
        <v>68.599999999999994</v>
      </c>
      <c r="L64">
        <v>54.5</v>
      </c>
      <c r="M64">
        <v>93.1</v>
      </c>
    </row>
    <row r="65" spans="2:13">
      <c r="B65" t="s">
        <v>619</v>
      </c>
      <c r="K65">
        <v>208.2</v>
      </c>
      <c r="L65">
        <v>99.3</v>
      </c>
      <c r="M65">
        <v>278</v>
      </c>
    </row>
    <row r="66" spans="2:13">
      <c r="B66" t="s">
        <v>1094</v>
      </c>
      <c r="K66">
        <v>4571</v>
      </c>
      <c r="L66">
        <v>4622.7</v>
      </c>
    </row>
    <row r="67" spans="2:13">
      <c r="B67" t="s">
        <v>1102</v>
      </c>
      <c r="K67">
        <v>-38.1</v>
      </c>
    </row>
    <row r="68" spans="2:13">
      <c r="B68" t="s">
        <v>1103</v>
      </c>
      <c r="K68">
        <v>-11.6</v>
      </c>
    </row>
    <row r="69" spans="2:13">
      <c r="B69" t="s">
        <v>1105</v>
      </c>
      <c r="K69">
        <v>4467.3999999999996</v>
      </c>
    </row>
    <row r="71" spans="2:13">
      <c r="B71" s="5" t="s">
        <v>1109</v>
      </c>
      <c r="K71" t="s">
        <v>1110</v>
      </c>
    </row>
    <row r="73" spans="2:13">
      <c r="B73" s="42" t="s">
        <v>1111</v>
      </c>
    </row>
    <row r="75" spans="2:13">
      <c r="B75" t="s">
        <v>1091</v>
      </c>
      <c r="K75">
        <v>1704.9</v>
      </c>
      <c r="L75">
        <v>1777.2</v>
      </c>
      <c r="M75">
        <v>1841.8</v>
      </c>
    </row>
    <row r="76" spans="2:13">
      <c r="B76" t="s">
        <v>1092</v>
      </c>
      <c r="K76">
        <v>106.1</v>
      </c>
      <c r="L76">
        <v>101.8</v>
      </c>
      <c r="M76">
        <v>99</v>
      </c>
    </row>
    <row r="77" spans="2:13">
      <c r="B77" t="s">
        <v>1093</v>
      </c>
      <c r="K77">
        <v>41.8</v>
      </c>
      <c r="L77">
        <v>43.5</v>
      </c>
      <c r="M77">
        <v>45.1</v>
      </c>
    </row>
    <row r="78" spans="2:13">
      <c r="B78" t="s">
        <v>619</v>
      </c>
      <c r="K78">
        <v>75.5</v>
      </c>
      <c r="L78">
        <v>80.7</v>
      </c>
      <c r="M78">
        <v>86.7</v>
      </c>
    </row>
    <row r="79" spans="2:13">
      <c r="B79" t="s">
        <v>1094</v>
      </c>
      <c r="K79">
        <v>1777.2</v>
      </c>
      <c r="L79">
        <v>1841.8</v>
      </c>
      <c r="M79">
        <v>1899.2</v>
      </c>
    </row>
  </sheetData>
  <pageMargins left="0.7" right="0.7" top="0.75" bottom="0.75" header="0.3" footer="0.3"/>
  <pageSetup orientation="portrait" horizontalDpi="200" verticalDpi="2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691D70-97D7-47D1-9568-133C70262C3C}">
  <sheetPr>
    <tabColor theme="0" tint="-0.249977111117893"/>
  </sheetPr>
  <dimension ref="A1:W111"/>
  <sheetViews>
    <sheetView topLeftCell="A108" workbookViewId="0">
      <selection activeCell="W109" sqref="W109"/>
    </sheetView>
  </sheetViews>
  <sheetFormatPr defaultRowHeight="14.25"/>
  <cols>
    <col min="4" max="4" width="11.33203125" bestFit="1" customWidth="1"/>
    <col min="10" max="10" width="11.83203125" bestFit="1" customWidth="1"/>
    <col min="12" max="12" width="10.83203125" bestFit="1" customWidth="1"/>
    <col min="13" max="13" width="15.83203125" bestFit="1" customWidth="1"/>
    <col min="14" max="14" width="10.33203125" bestFit="1" customWidth="1"/>
    <col min="15" max="15" width="10.75" customWidth="1"/>
    <col min="16" max="17" width="10.33203125" bestFit="1" customWidth="1"/>
  </cols>
  <sheetData>
    <row r="1" spans="1:4" s="32" customFormat="1" ht="20" thickBot="1">
      <c r="A1" s="32" t="s">
        <v>516</v>
      </c>
    </row>
    <row r="2" spans="1:4" ht="15" thickTop="1"/>
    <row r="3" spans="1:4">
      <c r="B3" t="s">
        <v>517</v>
      </c>
    </row>
    <row r="5" spans="1:4">
      <c r="B5" s="5" t="s">
        <v>21</v>
      </c>
      <c r="D5" s="143">
        <v>44348</v>
      </c>
    </row>
    <row r="6" spans="1:4">
      <c r="B6" t="s">
        <v>42</v>
      </c>
      <c r="D6" s="117">
        <f>O28</f>
        <v>3504.213528206064</v>
      </c>
    </row>
    <row r="7" spans="1:4">
      <c r="B7" t="s">
        <v>50</v>
      </c>
      <c r="D7" s="117">
        <f>P35</f>
        <v>1766.3</v>
      </c>
    </row>
    <row r="8" spans="1:4">
      <c r="B8" t="s">
        <v>52</v>
      </c>
      <c r="D8" s="117">
        <f>P48</f>
        <v>4048.3</v>
      </c>
    </row>
    <row r="9" spans="1:4">
      <c r="B9" t="s">
        <v>235</v>
      </c>
      <c r="D9" s="117">
        <f>P63</f>
        <v>4197.2497873037564</v>
      </c>
    </row>
    <row r="10" spans="1:4">
      <c r="D10" s="117"/>
    </row>
    <row r="11" spans="1:4">
      <c r="B11" s="5" t="s">
        <v>38</v>
      </c>
      <c r="D11" s="143">
        <v>44713</v>
      </c>
    </row>
    <row r="12" spans="1:4">
      <c r="B12" t="s">
        <v>201</v>
      </c>
      <c r="D12" s="117">
        <f>W85</f>
        <v>2825.1053435114495</v>
      </c>
    </row>
    <row r="13" spans="1:4">
      <c r="B13" t="s">
        <v>205</v>
      </c>
      <c r="D13" s="117">
        <f>P98</f>
        <v>3843.4423076923072</v>
      </c>
    </row>
    <row r="14" spans="1:4">
      <c r="B14" t="s">
        <v>206</v>
      </c>
      <c r="D14" s="117">
        <f>W109</f>
        <v>996.54952324506189</v>
      </c>
    </row>
    <row r="17" spans="2:20">
      <c r="B17" s="5" t="s">
        <v>160</v>
      </c>
      <c r="C17" s="116"/>
      <c r="J17" t="s">
        <v>518</v>
      </c>
      <c r="O17" t="s">
        <v>518</v>
      </c>
      <c r="P17" s="138"/>
    </row>
    <row r="18" spans="2:20">
      <c r="B18" t="s">
        <v>519</v>
      </c>
      <c r="D18" t="s">
        <v>520</v>
      </c>
      <c r="E18">
        <v>2011</v>
      </c>
      <c r="F18">
        <v>2012</v>
      </c>
      <c r="G18">
        <v>2013</v>
      </c>
      <c r="H18">
        <v>2014</v>
      </c>
      <c r="I18">
        <v>2015</v>
      </c>
      <c r="J18">
        <v>2016</v>
      </c>
      <c r="K18">
        <v>2017</v>
      </c>
      <c r="L18">
        <v>2018</v>
      </c>
      <c r="M18">
        <v>2019</v>
      </c>
      <c r="N18">
        <v>2020</v>
      </c>
      <c r="O18">
        <v>2021</v>
      </c>
      <c r="P18">
        <v>2022</v>
      </c>
      <c r="Q18">
        <v>2023</v>
      </c>
      <c r="R18">
        <v>2024</v>
      </c>
      <c r="S18">
        <v>2025</v>
      </c>
    </row>
    <row r="20" spans="2:20">
      <c r="J20" s="140"/>
      <c r="K20" s="140"/>
      <c r="L20" s="140"/>
      <c r="M20" s="140"/>
      <c r="N20" s="140"/>
    </row>
    <row r="21" spans="2:20">
      <c r="B21" s="139" t="s">
        <v>521</v>
      </c>
      <c r="D21" s="116" t="s">
        <v>522</v>
      </c>
      <c r="J21" s="35">
        <v>2485.4</v>
      </c>
      <c r="K21" s="35">
        <f>J28</f>
        <v>2719.4482244579162</v>
      </c>
      <c r="L21" s="35">
        <f>K28</f>
        <v>2950.1023660921364</v>
      </c>
      <c r="M21" s="35">
        <f t="shared" ref="M21:N21" si="0">L28</f>
        <v>3295.6248846619851</v>
      </c>
      <c r="N21" s="35">
        <f t="shared" si="0"/>
        <v>3669.9166118668236</v>
      </c>
      <c r="O21" s="35">
        <v>3459.0871019076549</v>
      </c>
      <c r="P21" s="35"/>
      <c r="Q21" s="35"/>
      <c r="R21" s="35"/>
      <c r="S21" s="35"/>
    </row>
    <row r="22" spans="2:20">
      <c r="B22" s="139" t="s">
        <v>523</v>
      </c>
      <c r="D22" s="116" t="s">
        <v>524</v>
      </c>
      <c r="J22" s="35">
        <v>395.6</v>
      </c>
      <c r="K22" s="35">
        <v>397</v>
      </c>
      <c r="L22" s="35">
        <v>390.6</v>
      </c>
      <c r="M22" s="35">
        <v>393.7</v>
      </c>
      <c r="N22" s="35">
        <v>409.3</v>
      </c>
      <c r="O22" s="35">
        <v>337.87698578843811</v>
      </c>
      <c r="P22" s="35">
        <v>350.51560534107483</v>
      </c>
      <c r="Q22" s="35">
        <v>336.56361317258961</v>
      </c>
      <c r="R22" s="35">
        <v>341.81218926752189</v>
      </c>
      <c r="S22" s="35">
        <v>339.44448360773174</v>
      </c>
    </row>
    <row r="23" spans="2:20">
      <c r="B23" s="139" t="s">
        <v>525</v>
      </c>
      <c r="D23" s="116" t="s">
        <v>526</v>
      </c>
      <c r="J23" s="35">
        <f>('SKI - RIN'!M89+'SKI - RIN'!M90+'SKI - RIN'!M99+'SKI - RIN'!M100)/1000000</f>
        <v>249.69732738520614</v>
      </c>
      <c r="K23" s="35">
        <f>('SKI - RIN'!N89+'SKI - RIN'!N90+'SKI - RIN'!N99+'SKI - RIN'!N100)/1000000</f>
        <v>274.72722957000008</v>
      </c>
      <c r="L23" s="35">
        <f>('SKI - RIN'!O89+'SKI - RIN'!O90+'SKI - RIN'!O99+'SKI - RIN'!O100)/1000000</f>
        <v>374.37634022000003</v>
      </c>
      <c r="M23" s="35">
        <f>('SKI - RIN'!P89+'SKI - RIN'!P90+'SKI - RIN'!P99+'SKI - RIN'!P100)/1000000</f>
        <v>394.41894278999996</v>
      </c>
      <c r="N23" s="35">
        <f>('SKI - RIN'!Q89+'SKI - RIN'!Q90+'SKI - RIN'!Q99+'SKI - RIN'!Q100)/1000000</f>
        <v>295.18571727000005</v>
      </c>
      <c r="O23" s="35"/>
      <c r="P23" s="35"/>
      <c r="Q23" s="35"/>
      <c r="R23" s="35"/>
      <c r="S23" s="35"/>
    </row>
    <row r="24" spans="2:20">
      <c r="B24" s="139" t="s">
        <v>527</v>
      </c>
      <c r="D24" s="116" t="s">
        <v>524</v>
      </c>
      <c r="J24" s="35">
        <v>104.8</v>
      </c>
      <c r="K24" s="35">
        <v>107.7</v>
      </c>
      <c r="L24" s="35">
        <v>112.3</v>
      </c>
      <c r="M24" s="35">
        <v>120.3</v>
      </c>
      <c r="N24" s="35">
        <v>129.19999999999999</v>
      </c>
      <c r="O24" s="35">
        <v>72.176806341116773</v>
      </c>
      <c r="P24" s="35">
        <v>74.760708230638855</v>
      </c>
      <c r="Q24" s="35">
        <v>81.946782478919516</v>
      </c>
      <c r="R24" s="35">
        <v>79.842468643199183</v>
      </c>
      <c r="S24" s="35">
        <v>79.48818783214972</v>
      </c>
    </row>
    <row r="25" spans="2:20">
      <c r="B25" s="139" t="s">
        <v>528</v>
      </c>
      <c r="D25" s="116" t="s">
        <v>524</v>
      </c>
      <c r="J25" s="35">
        <v>-158</v>
      </c>
      <c r="K25" s="35">
        <v>-179.6</v>
      </c>
      <c r="L25" s="35">
        <v>-198.2</v>
      </c>
      <c r="M25" s="35">
        <v>-208.9</v>
      </c>
      <c r="N25" s="35">
        <v>-208.5</v>
      </c>
      <c r="O25" s="35">
        <v>-352.87479753181583</v>
      </c>
      <c r="P25" s="35">
        <v>-369.89444559067829</v>
      </c>
      <c r="Q25" s="35">
        <v>-383.7232432617451</v>
      </c>
      <c r="R25" s="35">
        <v>-385.23345456784301</v>
      </c>
      <c r="S25" s="35">
        <v>-384.04449838743221</v>
      </c>
    </row>
    <row r="26" spans="2:20">
      <c r="B26" s="139" t="s">
        <v>529</v>
      </c>
      <c r="D26" s="116" t="s">
        <v>530</v>
      </c>
      <c r="J26" s="141">
        <f>J21+J23+J24+J25</f>
        <v>2681.8973273852066</v>
      </c>
      <c r="K26" s="141">
        <f>K21+K23+K24+K25</f>
        <v>2922.2754540279161</v>
      </c>
      <c r="L26" s="141">
        <f>L21+L23+L24+L25</f>
        <v>3238.578706312137</v>
      </c>
      <c r="M26" s="141">
        <f>M21+M23+M24+M25</f>
        <v>3601.4438274519853</v>
      </c>
      <c r="N26" s="141">
        <f>N21+N23+N24+N25</f>
        <v>3885.8023291368236</v>
      </c>
      <c r="O26" s="141">
        <v>3516.2660965053938</v>
      </c>
      <c r="P26" s="141">
        <v>3571.6479644864294</v>
      </c>
      <c r="Q26" s="141">
        <v>3606.4351168761937</v>
      </c>
      <c r="R26" s="141">
        <v>3642.8563202190712</v>
      </c>
      <c r="S26" s="141">
        <v>3677.7444932715212</v>
      </c>
    </row>
    <row r="27" spans="2:20">
      <c r="B27" s="139" t="s">
        <v>531</v>
      </c>
      <c r="D27" s="116" t="s">
        <v>532</v>
      </c>
      <c r="J27" s="35">
        <f>J21*(Inflation!$B$384/Inflation!$B$380)-J21</f>
        <v>37.550897072709631</v>
      </c>
      <c r="K27" s="35">
        <f>K21*(Inflation!$B$388/Inflation!$B$384)-K21</f>
        <v>27.826912064220323</v>
      </c>
      <c r="L27" s="35">
        <f>L21*(Inflation!$B$392/Inflation!$B$388)-L21</f>
        <v>57.046178349848105</v>
      </c>
      <c r="M27" s="35">
        <f>M21*(Inflation!$B$396/Inflation!$B$392)-M21</f>
        <v>68.472784414838316</v>
      </c>
      <c r="N27" s="35">
        <f>N21*(Inflation!$B$400/Inflation!$B$396)-N21</f>
        <v>58.458848684604618</v>
      </c>
      <c r="O27" s="35">
        <f>O21*(Inflation!$B$404/Inflation!$B$400)-O21</f>
        <v>-12.052568299329778</v>
      </c>
      <c r="Q27" s="35"/>
      <c r="R27" s="35"/>
      <c r="S27" s="35"/>
      <c r="T27" s="35"/>
    </row>
    <row r="28" spans="2:20">
      <c r="B28" s="139" t="s">
        <v>533</v>
      </c>
      <c r="D28" s="116" t="s">
        <v>530</v>
      </c>
      <c r="J28" s="141">
        <f t="shared" ref="J28:O28" si="1">J26+J27</f>
        <v>2719.4482244579162</v>
      </c>
      <c r="K28" s="141">
        <f t="shared" si="1"/>
        <v>2950.1023660921364</v>
      </c>
      <c r="L28" s="141">
        <f t="shared" si="1"/>
        <v>3295.6248846619851</v>
      </c>
      <c r="M28" s="141">
        <f t="shared" si="1"/>
        <v>3669.9166118668236</v>
      </c>
      <c r="N28" s="141">
        <f t="shared" si="1"/>
        <v>3944.2611778214282</v>
      </c>
      <c r="O28" s="203">
        <f t="shared" si="1"/>
        <v>3504.213528206064</v>
      </c>
      <c r="Q28" s="35"/>
      <c r="R28" s="35"/>
      <c r="S28" s="35"/>
      <c r="T28" s="35"/>
    </row>
    <row r="29" spans="2:20">
      <c r="J29" s="35"/>
      <c r="K29" s="35"/>
      <c r="L29" s="35"/>
      <c r="M29" s="35"/>
      <c r="N29" s="35"/>
      <c r="O29" s="35"/>
      <c r="Q29" s="35"/>
      <c r="R29" s="35"/>
      <c r="S29" s="35"/>
      <c r="T29" s="35"/>
    </row>
    <row r="31" spans="2:20">
      <c r="B31" s="5" t="s">
        <v>50</v>
      </c>
    </row>
    <row r="32" spans="2:20">
      <c r="B32" t="s">
        <v>534</v>
      </c>
    </row>
    <row r="34" spans="2:20">
      <c r="P34" t="s">
        <v>518</v>
      </c>
    </row>
    <row r="35" spans="2:20">
      <c r="B35" s="139" t="s">
        <v>521</v>
      </c>
      <c r="D35" s="116" t="s">
        <v>522</v>
      </c>
      <c r="J35" s="140"/>
      <c r="K35" s="140"/>
      <c r="L35" s="140"/>
      <c r="M35" s="140"/>
      <c r="N35" s="140"/>
      <c r="P35" s="202">
        <v>1766.3</v>
      </c>
      <c r="Q35" s="140">
        <v>1845.8</v>
      </c>
      <c r="R35" s="140">
        <v>1914.1</v>
      </c>
      <c r="S35" s="140">
        <v>1959.8</v>
      </c>
      <c r="T35" s="140">
        <v>1996.1</v>
      </c>
    </row>
    <row r="36" spans="2:20">
      <c r="B36" s="139" t="s">
        <v>523</v>
      </c>
      <c r="D36" s="116" t="s">
        <v>524</v>
      </c>
      <c r="P36">
        <v>132</v>
      </c>
      <c r="Q36">
        <v>134.30000000000001</v>
      </c>
      <c r="R36">
        <v>129.1</v>
      </c>
      <c r="S36">
        <v>119.8</v>
      </c>
      <c r="T36">
        <v>111.4</v>
      </c>
    </row>
    <row r="37" spans="2:20">
      <c r="B37" s="139" t="s">
        <v>525</v>
      </c>
      <c r="D37" s="116" t="s">
        <v>526</v>
      </c>
    </row>
    <row r="38" spans="2:20">
      <c r="B38" s="139" t="s">
        <v>527</v>
      </c>
      <c r="D38" s="116" t="s">
        <v>524</v>
      </c>
      <c r="P38">
        <v>58.1</v>
      </c>
      <c r="Q38">
        <v>59.8</v>
      </c>
      <c r="R38">
        <v>53</v>
      </c>
      <c r="S38">
        <v>52.7</v>
      </c>
      <c r="T38">
        <v>54.3</v>
      </c>
    </row>
    <row r="39" spans="2:20">
      <c r="B39" s="139" t="s">
        <v>528</v>
      </c>
      <c r="D39" s="116" t="s">
        <v>524</v>
      </c>
      <c r="P39">
        <v>-110.6</v>
      </c>
      <c r="Q39">
        <v>-125.8</v>
      </c>
      <c r="R39">
        <v>-136.4</v>
      </c>
      <c r="S39">
        <v>-136.19999999999999</v>
      </c>
      <c r="T39">
        <v>-143</v>
      </c>
    </row>
    <row r="40" spans="2:20">
      <c r="B40" s="139" t="s">
        <v>529</v>
      </c>
      <c r="D40" s="116" t="s">
        <v>530</v>
      </c>
      <c r="J40" s="141"/>
      <c r="K40" s="141"/>
      <c r="L40" s="141"/>
      <c r="M40" s="141"/>
      <c r="N40" s="141"/>
      <c r="P40" s="140">
        <v>1845.8</v>
      </c>
      <c r="Q40" s="140">
        <v>1914.1</v>
      </c>
      <c r="R40" s="140">
        <v>1959.8</v>
      </c>
      <c r="S40" s="140">
        <v>1996.1</v>
      </c>
      <c r="T40" s="140">
        <v>2018.8</v>
      </c>
    </row>
    <row r="41" spans="2:20">
      <c r="B41" s="139" t="s">
        <v>531</v>
      </c>
      <c r="D41" s="116" t="s">
        <v>532</v>
      </c>
      <c r="J41" s="35"/>
      <c r="K41" s="35"/>
      <c r="L41" s="35"/>
      <c r="M41" s="35"/>
      <c r="N41" s="35"/>
    </row>
    <row r="42" spans="2:20">
      <c r="B42" s="139" t="s">
        <v>533</v>
      </c>
      <c r="D42" s="116" t="s">
        <v>530</v>
      </c>
    </row>
    <row r="44" spans="2:20">
      <c r="B44" s="5" t="s">
        <v>535</v>
      </c>
    </row>
    <row r="45" spans="2:20">
      <c r="B45" t="s">
        <v>534</v>
      </c>
    </row>
    <row r="47" spans="2:20">
      <c r="P47" t="s">
        <v>518</v>
      </c>
    </row>
    <row r="48" spans="2:20">
      <c r="B48" s="139" t="s">
        <v>521</v>
      </c>
      <c r="D48" s="116" t="s">
        <v>522</v>
      </c>
      <c r="P48" s="202">
        <v>4048.3</v>
      </c>
      <c r="Q48" s="140">
        <v>4182</v>
      </c>
      <c r="R48" s="140">
        <v>4326</v>
      </c>
      <c r="S48" s="140">
        <v>4357.1000000000004</v>
      </c>
      <c r="T48" s="140">
        <v>4346.6000000000004</v>
      </c>
    </row>
    <row r="49" spans="2:20">
      <c r="B49" s="139" t="s">
        <v>523</v>
      </c>
      <c r="D49" s="116" t="s">
        <v>524</v>
      </c>
      <c r="P49">
        <v>400.4</v>
      </c>
      <c r="Q49">
        <v>444.2</v>
      </c>
      <c r="R49">
        <v>363.5</v>
      </c>
      <c r="S49">
        <v>318.60000000000002</v>
      </c>
      <c r="T49">
        <v>300.3</v>
      </c>
    </row>
    <row r="50" spans="2:20">
      <c r="B50" s="139" t="s">
        <v>525</v>
      </c>
      <c r="D50" s="116" t="s">
        <v>526</v>
      </c>
    </row>
    <row r="51" spans="2:20">
      <c r="B51" s="139" t="s">
        <v>527</v>
      </c>
      <c r="D51" s="116" t="s">
        <v>524</v>
      </c>
      <c r="P51">
        <v>64.5</v>
      </c>
      <c r="Q51">
        <v>72.8</v>
      </c>
      <c r="R51">
        <v>73.900000000000006</v>
      </c>
      <c r="S51">
        <v>75.3</v>
      </c>
      <c r="T51">
        <v>77.3</v>
      </c>
    </row>
    <row r="52" spans="2:20">
      <c r="B52" s="139" t="s">
        <v>528</v>
      </c>
      <c r="D52" s="116" t="s">
        <v>524</v>
      </c>
      <c r="P52">
        <v>-331.1</v>
      </c>
      <c r="Q52">
        <v>-373</v>
      </c>
      <c r="R52">
        <v>-406.3</v>
      </c>
      <c r="S52">
        <v>-404.5</v>
      </c>
      <c r="T52">
        <v>-417.2</v>
      </c>
    </row>
    <row r="53" spans="2:20">
      <c r="B53" s="139" t="s">
        <v>529</v>
      </c>
      <c r="D53" s="116" t="s">
        <v>530</v>
      </c>
      <c r="P53" s="140">
        <v>4182</v>
      </c>
      <c r="Q53" s="140">
        <v>4326</v>
      </c>
      <c r="R53" s="140">
        <v>4357.1000000000004</v>
      </c>
      <c r="S53" s="140">
        <v>4346.6000000000004</v>
      </c>
      <c r="T53" s="140">
        <v>4307</v>
      </c>
    </row>
    <row r="54" spans="2:20">
      <c r="B54" s="139" t="s">
        <v>531</v>
      </c>
      <c r="D54" s="116" t="s">
        <v>532</v>
      </c>
    </row>
    <row r="55" spans="2:20">
      <c r="B55" s="139" t="s">
        <v>533</v>
      </c>
      <c r="D55" s="116" t="s">
        <v>530</v>
      </c>
    </row>
    <row r="59" spans="2:20">
      <c r="B59" s="5" t="s">
        <v>536</v>
      </c>
    </row>
    <row r="60" spans="2:20">
      <c r="B60" t="s">
        <v>537</v>
      </c>
    </row>
    <row r="62" spans="2:20">
      <c r="M62" t="s">
        <v>518</v>
      </c>
    </row>
    <row r="63" spans="2:20">
      <c r="B63" s="139" t="s">
        <v>521</v>
      </c>
      <c r="D63" s="116" t="s">
        <v>522</v>
      </c>
      <c r="M63" s="117">
        <v>4055.1173123500057</v>
      </c>
      <c r="N63" s="117">
        <f>M70</f>
        <v>4255.3961666411678</v>
      </c>
      <c r="O63" s="117">
        <f>N70</f>
        <v>4380.5346566410944</v>
      </c>
      <c r="P63" s="201">
        <f>O70</f>
        <v>4197.2497873037564</v>
      </c>
      <c r="Q63" s="117">
        <v>4148.5400589267138</v>
      </c>
    </row>
    <row r="64" spans="2:20">
      <c r="B64" s="139" t="s">
        <v>523</v>
      </c>
      <c r="D64" s="116" t="s">
        <v>524</v>
      </c>
      <c r="M64" s="117">
        <v>187.60247103085811</v>
      </c>
      <c r="N64" s="117">
        <v>201.96972343946967</v>
      </c>
      <c r="O64" s="117">
        <v>158.08172921423875</v>
      </c>
      <c r="P64" s="117">
        <v>182.3239931116693</v>
      </c>
      <c r="Q64" s="117">
        <v>725.40481830181068</v>
      </c>
    </row>
    <row r="65" spans="2:23">
      <c r="B65" s="139" t="s">
        <v>525</v>
      </c>
      <c r="D65" s="116" t="s">
        <v>526</v>
      </c>
      <c r="M65" s="117">
        <f>('SKI - RIN'!P69+'SKI - RIN'!P70)/1000000</f>
        <v>261.45253890912414</v>
      </c>
      <c r="N65" s="117">
        <f>('SKI - RIN'!Q69+'SKI - RIN'!Q70)/1000000</f>
        <v>214.88871900000001</v>
      </c>
      <c r="O65" s="117"/>
      <c r="P65" s="117"/>
      <c r="Q65" s="117"/>
    </row>
    <row r="66" spans="2:23">
      <c r="B66" s="139" t="s">
        <v>527</v>
      </c>
      <c r="D66" s="116" t="s">
        <v>524</v>
      </c>
      <c r="M66" s="117"/>
      <c r="N66" s="117"/>
      <c r="O66" s="117"/>
      <c r="P66" s="117"/>
      <c r="Q66" s="117"/>
    </row>
    <row r="67" spans="2:23">
      <c r="B67" s="139" t="s">
        <v>528</v>
      </c>
      <c r="D67" s="116" t="s">
        <v>524</v>
      </c>
      <c r="M67" s="117">
        <v>-145.42634783751956</v>
      </c>
      <c r="N67" s="117">
        <v>-157.53530068108242</v>
      </c>
      <c r="O67" s="117">
        <v>-168.02168238040036</v>
      </c>
      <c r="P67" s="117">
        <v>-165.57183932052558</v>
      </c>
      <c r="Q67" s="117">
        <v>-173.61419156970794</v>
      </c>
    </row>
    <row r="68" spans="2:23">
      <c r="B68" s="139" t="s">
        <v>529</v>
      </c>
      <c r="D68" s="116" t="s">
        <v>530</v>
      </c>
      <c r="M68" s="117">
        <f>M63+M65+M67</f>
        <v>4171.1435034216101</v>
      </c>
      <c r="N68" s="117">
        <f>N63+N65+N67</f>
        <v>4312.7495849600846</v>
      </c>
      <c r="O68" s="117">
        <f>O63+O65+O67</f>
        <v>4212.5129742606941</v>
      </c>
      <c r="P68" s="117">
        <v>4148.5400589267147</v>
      </c>
      <c r="Q68" s="117">
        <v>4700.330685658816</v>
      </c>
    </row>
    <row r="69" spans="2:23">
      <c r="B69" s="139" t="s">
        <v>531</v>
      </c>
      <c r="D69" s="116" t="s">
        <v>532</v>
      </c>
      <c r="M69" s="117">
        <f>M63*(Inflation!$B$396/Inflation!$B$392)-M63</f>
        <v>84.252663219557689</v>
      </c>
      <c r="N69" s="117">
        <f>N63*(Inflation!$B$400/Inflation!$B$396)-N63</f>
        <v>67.785071681009867</v>
      </c>
      <c r="O69" s="117">
        <f>O63*(Inflation!$B$404/Inflation!$B$400)-O63</f>
        <v>-15.263186956937716</v>
      </c>
      <c r="P69" s="117">
        <f>P63*(Inflation!$B$408/Inflation!$B$404)-P63</f>
        <v>161.43268412706675</v>
      </c>
      <c r="Q69" s="117"/>
    </row>
    <row r="70" spans="2:23">
      <c r="B70" s="139" t="s">
        <v>533</v>
      </c>
      <c r="D70" s="116" t="s">
        <v>530</v>
      </c>
      <c r="M70" s="117">
        <f>M68+M69</f>
        <v>4255.3961666411678</v>
      </c>
      <c r="N70" s="117">
        <f>N68+N69</f>
        <v>4380.5346566410944</v>
      </c>
      <c r="O70" s="117">
        <f>O68+O69</f>
        <v>4197.2497873037564</v>
      </c>
      <c r="P70" s="117">
        <f>P68+P69</f>
        <v>4309.9727430537814</v>
      </c>
      <c r="Q70" s="117"/>
    </row>
    <row r="74" spans="2:23">
      <c r="B74" s="5" t="s">
        <v>538</v>
      </c>
    </row>
    <row r="75" spans="2:23">
      <c r="B75" t="s">
        <v>539</v>
      </c>
      <c r="E75">
        <v>2011</v>
      </c>
      <c r="F75">
        <v>2012</v>
      </c>
      <c r="G75">
        <v>2013</v>
      </c>
      <c r="H75">
        <v>2014</v>
      </c>
      <c r="I75">
        <v>2015</v>
      </c>
      <c r="J75">
        <v>2016</v>
      </c>
      <c r="K75">
        <v>2017</v>
      </c>
      <c r="L75">
        <v>2018</v>
      </c>
      <c r="M75">
        <v>2019</v>
      </c>
      <c r="N75">
        <v>2020</v>
      </c>
      <c r="O75">
        <v>2021</v>
      </c>
      <c r="P75">
        <v>2022</v>
      </c>
      <c r="Q75">
        <v>2023</v>
      </c>
      <c r="R75">
        <v>2024</v>
      </c>
      <c r="S75">
        <v>2025</v>
      </c>
      <c r="W75" s="138">
        <v>44713</v>
      </c>
    </row>
    <row r="78" spans="2:23">
      <c r="B78" s="139" t="s">
        <v>521</v>
      </c>
      <c r="D78" s="116" t="s">
        <v>522</v>
      </c>
      <c r="Q78" s="140">
        <v>2817.2</v>
      </c>
      <c r="R78" s="140">
        <v>2762.8</v>
      </c>
      <c r="S78" s="140">
        <v>2828</v>
      </c>
      <c r="T78" s="140">
        <v>2807.9</v>
      </c>
      <c r="U78" s="140">
        <v>2871</v>
      </c>
      <c r="W78" s="140">
        <f>Q78</f>
        <v>2817.2</v>
      </c>
    </row>
    <row r="79" spans="2:23">
      <c r="B79" s="139" t="s">
        <v>523</v>
      </c>
      <c r="D79" s="116" t="s">
        <v>524</v>
      </c>
      <c r="Q79">
        <v>111.3</v>
      </c>
      <c r="R79">
        <v>227</v>
      </c>
      <c r="S79">
        <v>151.69999999999999</v>
      </c>
      <c r="T79">
        <v>244.8</v>
      </c>
      <c r="U79">
        <v>144.69999999999999</v>
      </c>
      <c r="W79">
        <f>Q79*0.25</f>
        <v>27.824999999999999</v>
      </c>
    </row>
    <row r="80" spans="2:23">
      <c r="B80" s="139" t="s">
        <v>525</v>
      </c>
      <c r="D80" s="116" t="s">
        <v>526</v>
      </c>
    </row>
    <row r="81" spans="2:23">
      <c r="B81" s="139" t="s">
        <v>527</v>
      </c>
      <c r="D81" s="116" t="s">
        <v>524</v>
      </c>
    </row>
    <row r="82" spans="2:23">
      <c r="B82" s="139" t="s">
        <v>528</v>
      </c>
      <c r="D82" s="116" t="s">
        <v>524</v>
      </c>
      <c r="Q82">
        <v>-165.7</v>
      </c>
      <c r="R82">
        <v>-161.69999999999999</v>
      </c>
      <c r="S82">
        <v>-171.8</v>
      </c>
      <c r="T82">
        <v>-181.8</v>
      </c>
      <c r="U82">
        <v>-190.4</v>
      </c>
      <c r="W82">
        <f>Q82*0.25</f>
        <v>-41.424999999999997</v>
      </c>
    </row>
    <row r="83" spans="2:23">
      <c r="B83" s="139" t="s">
        <v>529</v>
      </c>
      <c r="D83" s="116" t="s">
        <v>530</v>
      </c>
      <c r="Q83" s="140">
        <v>2762.8</v>
      </c>
      <c r="R83" s="140">
        <v>2828</v>
      </c>
      <c r="S83" s="140">
        <v>2807.9</v>
      </c>
      <c r="T83" s="140">
        <v>2871</v>
      </c>
      <c r="U83" s="140">
        <v>2825.2</v>
      </c>
      <c r="W83" s="140">
        <f>W78+W79+W82</f>
        <v>2803.5999999999995</v>
      </c>
    </row>
    <row r="84" spans="2:23">
      <c r="B84" s="139" t="s">
        <v>531</v>
      </c>
      <c r="D84" s="116" t="s">
        <v>532</v>
      </c>
      <c r="W84">
        <f>W78*(Inflation!B408/Inflation!B407)-W78</f>
        <v>21.505343511450064</v>
      </c>
    </row>
    <row r="85" spans="2:23">
      <c r="B85" s="139" t="s">
        <v>533</v>
      </c>
      <c r="D85" s="116" t="s">
        <v>530</v>
      </c>
      <c r="W85" s="202">
        <f>W83+W84</f>
        <v>2825.1053435114495</v>
      </c>
    </row>
    <row r="87" spans="2:23">
      <c r="B87" s="5" t="s">
        <v>540</v>
      </c>
    </row>
    <row r="88" spans="2:23">
      <c r="B88" t="s">
        <v>534</v>
      </c>
    </row>
    <row r="91" spans="2:23">
      <c r="B91" s="139" t="s">
        <v>521</v>
      </c>
      <c r="D91" s="116" t="s">
        <v>522</v>
      </c>
      <c r="P91" s="140">
        <v>3682.7</v>
      </c>
      <c r="Q91" s="140">
        <v>3701.8</v>
      </c>
      <c r="R91" s="140">
        <v>3681.4</v>
      </c>
      <c r="S91" s="140">
        <v>3595.1</v>
      </c>
      <c r="T91" s="140">
        <v>3522.3</v>
      </c>
    </row>
    <row r="92" spans="2:23">
      <c r="B92" s="139" t="s">
        <v>523</v>
      </c>
      <c r="D92" s="116" t="s">
        <v>524</v>
      </c>
      <c r="P92">
        <v>341.3</v>
      </c>
      <c r="Q92">
        <v>332.9</v>
      </c>
      <c r="R92">
        <v>281.8</v>
      </c>
      <c r="S92">
        <v>253.4</v>
      </c>
      <c r="T92">
        <v>253.8</v>
      </c>
    </row>
    <row r="93" spans="2:23">
      <c r="B93" s="139" t="s">
        <v>525</v>
      </c>
      <c r="D93" s="116" t="s">
        <v>526</v>
      </c>
    </row>
    <row r="94" spans="2:23">
      <c r="B94" s="139" t="s">
        <v>527</v>
      </c>
      <c r="D94" s="116" t="s">
        <v>524</v>
      </c>
      <c r="P94">
        <v>16.100000000000001</v>
      </c>
      <c r="Q94">
        <v>23</v>
      </c>
      <c r="R94">
        <v>23.9</v>
      </c>
      <c r="S94">
        <v>24.9</v>
      </c>
      <c r="T94">
        <v>25.6</v>
      </c>
    </row>
    <row r="95" spans="2:23">
      <c r="B95" s="139" t="s">
        <v>528</v>
      </c>
      <c r="D95" s="116" t="s">
        <v>524</v>
      </c>
      <c r="P95">
        <v>-338.3</v>
      </c>
      <c r="Q95">
        <v>-376.3</v>
      </c>
      <c r="R95">
        <v>-392</v>
      </c>
      <c r="S95">
        <v>-351.1</v>
      </c>
      <c r="T95">
        <v>-341.5</v>
      </c>
    </row>
    <row r="96" spans="2:23">
      <c r="B96" s="139" t="s">
        <v>529</v>
      </c>
      <c r="D96" s="116" t="s">
        <v>530</v>
      </c>
      <c r="P96" s="140">
        <v>3701.8</v>
      </c>
      <c r="Q96" s="140">
        <v>3681.4</v>
      </c>
      <c r="R96" s="140">
        <v>3595.1</v>
      </c>
      <c r="S96" s="140">
        <v>3522.3</v>
      </c>
      <c r="T96" s="140">
        <v>3460.2</v>
      </c>
    </row>
    <row r="97" spans="2:23">
      <c r="B97" s="139" t="s">
        <v>531</v>
      </c>
      <c r="D97" s="116" t="s">
        <v>532</v>
      </c>
      <c r="P97" s="117">
        <f>P91*(Inflation!$B$408/Inflation!$B$404)-P91</f>
        <v>141.64230769230699</v>
      </c>
    </row>
    <row r="98" spans="2:23">
      <c r="B98" s="139" t="s">
        <v>533</v>
      </c>
      <c r="D98" s="116" t="s">
        <v>530</v>
      </c>
      <c r="P98" s="202">
        <f>P96+P97</f>
        <v>3843.4423076923072</v>
      </c>
    </row>
    <row r="100" spans="2:23">
      <c r="B100" s="5" t="s">
        <v>541</v>
      </c>
    </row>
    <row r="101" spans="2:23">
      <c r="B101" t="s">
        <v>542</v>
      </c>
    </row>
    <row r="103" spans="2:23">
      <c r="W103" s="138">
        <v>44713</v>
      </c>
    </row>
    <row r="104" spans="2:23">
      <c r="B104" s="139" t="s">
        <v>521</v>
      </c>
      <c r="D104" s="116" t="s">
        <v>522</v>
      </c>
      <c r="L104">
        <v>706.8</v>
      </c>
      <c r="M104" s="35">
        <f>L111</f>
        <v>776.61269112999014</v>
      </c>
      <c r="N104" s="35">
        <f>M111</f>
        <v>850.5420186955123</v>
      </c>
      <c r="O104" s="35">
        <f>N111</f>
        <v>912.77994115850618</v>
      </c>
      <c r="P104" s="35">
        <f>O111</f>
        <v>970.29952324506201</v>
      </c>
    </row>
    <row r="105" spans="2:23">
      <c r="B105" s="139" t="s">
        <v>523</v>
      </c>
      <c r="D105" s="116" t="s">
        <v>524</v>
      </c>
      <c r="L105">
        <v>106</v>
      </c>
      <c r="M105">
        <v>105.2</v>
      </c>
      <c r="N105">
        <v>104.3</v>
      </c>
      <c r="O105">
        <v>100.1</v>
      </c>
      <c r="P105">
        <v>97.4</v>
      </c>
    </row>
    <row r="106" spans="2:23">
      <c r="B106" s="139" t="s">
        <v>525</v>
      </c>
      <c r="D106" s="116" t="s">
        <v>526</v>
      </c>
      <c r="L106">
        <f>('AST - RIN'!O49+'AST - RIN'!O50)/1000000</f>
        <v>97.845287815072979</v>
      </c>
      <c r="M106">
        <f>('AST - RIN'!P49+'AST - RIN'!P50)/1000000</f>
        <v>105.79374319696764</v>
      </c>
      <c r="N106">
        <f>('AST - RIN'!Q49+'AST - RIN'!Q50)/1000000</f>
        <v>93.789465528021026</v>
      </c>
    </row>
    <row r="107" spans="2:23">
      <c r="B107" s="139" t="s">
        <v>527</v>
      </c>
      <c r="D107" s="116" t="s">
        <v>524</v>
      </c>
      <c r="L107">
        <v>4.0999999999999996</v>
      </c>
      <c r="M107">
        <v>4.2</v>
      </c>
      <c r="N107">
        <v>4.4000000000000004</v>
      </c>
      <c r="O107">
        <v>4.5999999999999996</v>
      </c>
      <c r="P107">
        <v>4.8</v>
      </c>
    </row>
    <row r="108" spans="2:23">
      <c r="B108" s="139" t="s">
        <v>528</v>
      </c>
      <c r="D108" s="116" t="s">
        <v>524</v>
      </c>
      <c r="L108">
        <v>-45.8</v>
      </c>
      <c r="M108">
        <v>-52.2</v>
      </c>
      <c r="N108">
        <v>-49.5</v>
      </c>
      <c r="O108">
        <v>-44</v>
      </c>
      <c r="P108">
        <v>-49.7</v>
      </c>
    </row>
    <row r="109" spans="2:23">
      <c r="B109" s="139" t="s">
        <v>529</v>
      </c>
      <c r="D109" s="116" t="s">
        <v>530</v>
      </c>
      <c r="L109">
        <f>L104+L106+L107+L108</f>
        <v>762.94528781507302</v>
      </c>
      <c r="M109">
        <f>M104+M106+M107+M108</f>
        <v>834.40643432695776</v>
      </c>
      <c r="N109">
        <f>N104+N106+N107+N108</f>
        <v>899.23148422353336</v>
      </c>
      <c r="O109" s="35">
        <f>O104+O105+O107+O108</f>
        <v>973.47994115850622</v>
      </c>
      <c r="P109" s="35">
        <f>P104+P105+P107+P108</f>
        <v>1022.7995232450619</v>
      </c>
      <c r="W109" s="204">
        <f>0.5*P104+0.5*P109</f>
        <v>996.54952324506189</v>
      </c>
    </row>
    <row r="110" spans="2:23">
      <c r="B110" s="139" t="s">
        <v>531</v>
      </c>
      <c r="D110" s="116" t="s">
        <v>532</v>
      </c>
      <c r="L110" s="35">
        <f>L104*(Inflation!$B$392/Inflation!$B$388)-L104</f>
        <v>13.667403314917124</v>
      </c>
      <c r="M110" s="35">
        <f>M104*(Inflation!$B$396/Inflation!$B$392)-M104</f>
        <v>16.135584368554532</v>
      </c>
      <c r="N110" s="35">
        <f>N104*(Inflation!$B$400/Inflation!$B$396)-N104</f>
        <v>13.548456934972819</v>
      </c>
      <c r="O110" s="35">
        <f>O104*(Inflation!$B$404/Inflation!$B$400)-O104</f>
        <v>-3.1804179134442165</v>
      </c>
    </row>
    <row r="111" spans="2:23">
      <c r="B111" s="139" t="s">
        <v>533</v>
      </c>
      <c r="D111" s="116" t="s">
        <v>530</v>
      </c>
      <c r="L111" s="35">
        <f>L109+L110</f>
        <v>776.61269112999014</v>
      </c>
      <c r="M111" s="35">
        <f>M109+M110</f>
        <v>850.5420186955123</v>
      </c>
      <c r="N111" s="35">
        <f>N109+N110</f>
        <v>912.77994115850618</v>
      </c>
      <c r="O111" s="35">
        <f>O109+O110</f>
        <v>970.29952324506201</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711D5-C913-4A09-A2BF-849D2E5C6928}">
  <sheetPr codeName="Sheet15">
    <tabColor theme="0" tint="-0.249977111117893"/>
  </sheetPr>
  <dimension ref="B1:Y151"/>
  <sheetViews>
    <sheetView topLeftCell="A11" zoomScale="85" zoomScaleNormal="85" workbookViewId="0">
      <selection activeCell="I15" sqref="I15"/>
    </sheetView>
  </sheetViews>
  <sheetFormatPr defaultRowHeight="14.25"/>
  <cols>
    <col min="2" max="2" width="19.08203125" bestFit="1" customWidth="1"/>
    <col min="7" max="11" width="14" bestFit="1" customWidth="1"/>
    <col min="12" max="12" width="17.5" bestFit="1" customWidth="1"/>
    <col min="13" max="13" width="18.75" customWidth="1"/>
    <col min="14" max="17" width="17.5" bestFit="1" customWidth="1"/>
  </cols>
  <sheetData>
    <row r="1" spans="2:18">
      <c r="B1" t="s">
        <v>1586</v>
      </c>
      <c r="G1">
        <v>2010</v>
      </c>
      <c r="H1">
        <v>2011</v>
      </c>
      <c r="I1">
        <v>2012</v>
      </c>
      <c r="J1">
        <v>2013</v>
      </c>
      <c r="K1">
        <v>2014</v>
      </c>
      <c r="L1">
        <v>2015</v>
      </c>
      <c r="M1">
        <v>2016</v>
      </c>
      <c r="N1">
        <v>2017</v>
      </c>
      <c r="O1">
        <v>2018</v>
      </c>
      <c r="P1">
        <v>2019</v>
      </c>
      <c r="Q1">
        <v>2020</v>
      </c>
    </row>
    <row r="3" spans="2:18">
      <c r="B3" s="1" t="s">
        <v>50</v>
      </c>
      <c r="C3" s="5" t="s">
        <v>1587</v>
      </c>
      <c r="D3" s="5"/>
      <c r="E3" s="5"/>
      <c r="F3" s="5"/>
    </row>
    <row r="4" spans="2:18">
      <c r="B4" s="42" t="s">
        <v>1588</v>
      </c>
      <c r="R4" s="42"/>
    </row>
    <row r="5" spans="2:18">
      <c r="B5" t="s">
        <v>1091</v>
      </c>
      <c r="G5" s="8">
        <v>969037.21559044626</v>
      </c>
      <c r="H5" s="8">
        <v>1028094.4815907684</v>
      </c>
      <c r="I5" s="8">
        <v>1122298.9254462598</v>
      </c>
      <c r="J5" s="8">
        <v>1204378.4030298064</v>
      </c>
      <c r="K5" s="8">
        <v>1284239.0542126466</v>
      </c>
      <c r="L5" s="8">
        <v>1357566128.2688437</v>
      </c>
      <c r="M5" s="8">
        <v>1432454385</v>
      </c>
      <c r="N5" s="8">
        <v>1571757519.9281919</v>
      </c>
      <c r="O5" s="8">
        <v>1499276927.0473094</v>
      </c>
      <c r="P5" s="8">
        <v>1507312088</v>
      </c>
      <c r="Q5" s="8">
        <v>1531466660</v>
      </c>
    </row>
    <row r="6" spans="2:18">
      <c r="B6" t="s">
        <v>1589</v>
      </c>
      <c r="G6" s="8">
        <v>12032.354037757568</v>
      </c>
      <c r="H6" s="8">
        <v>28659.810578153279</v>
      </c>
      <c r="I6" s="8">
        <v>39503.886008206398</v>
      </c>
      <c r="J6" s="8">
        <v>24135.839740076302</v>
      </c>
      <c r="K6" s="8">
        <v>27753.692723652432</v>
      </c>
      <c r="L6" s="8">
        <v>31328449.113896575</v>
      </c>
      <c r="M6" s="8">
        <v>21540667</v>
      </c>
      <c r="N6" s="8">
        <v>16083100.2039163</v>
      </c>
      <c r="O6" s="8">
        <v>28991542.788207654</v>
      </c>
      <c r="P6" s="8">
        <v>31317234</v>
      </c>
      <c r="Q6" s="8">
        <v>24395044</v>
      </c>
    </row>
    <row r="7" spans="2:18">
      <c r="B7" t="s">
        <v>1590</v>
      </c>
      <c r="G7" s="8">
        <v>-58379.576308968622</v>
      </c>
      <c r="H7" s="8">
        <v>-50513.703111735944</v>
      </c>
      <c r="I7" s="8">
        <v>-55019.391495229938</v>
      </c>
      <c r="J7" s="8">
        <v>-60167.55945892715</v>
      </c>
      <c r="K7" s="8">
        <v>-64915.93216032887</v>
      </c>
      <c r="L7" s="8">
        <v>-70805733.439347863</v>
      </c>
      <c r="M7" s="8">
        <v>-78958452</v>
      </c>
      <c r="N7" s="8">
        <v>-90976446.755705565</v>
      </c>
      <c r="O7" s="8">
        <v>-92555907.266207695</v>
      </c>
      <c r="P7" s="8">
        <v>-97879640</v>
      </c>
      <c r="Q7" s="8">
        <v>-103577285</v>
      </c>
    </row>
    <row r="8" spans="2:18">
      <c r="B8" t="s">
        <v>1591</v>
      </c>
      <c r="G8" s="8">
        <v>-46347.22227121106</v>
      </c>
      <c r="H8" s="8">
        <v>-21853.892533582672</v>
      </c>
      <c r="I8" s="8">
        <v>-15515.505487023536</v>
      </c>
      <c r="J8" s="8">
        <v>-36031.719718850858</v>
      </c>
      <c r="K8" s="8">
        <v>-37162.239436676435</v>
      </c>
      <c r="L8" s="8">
        <v>-39477284.325451285</v>
      </c>
      <c r="M8" s="8"/>
      <c r="N8" s="8"/>
      <c r="O8" s="8"/>
      <c r="P8" s="8"/>
      <c r="Q8" s="8"/>
    </row>
    <row r="9" spans="2:18">
      <c r="B9" t="s">
        <v>1592</v>
      </c>
      <c r="G9" s="8">
        <v>105462.55143153308</v>
      </c>
      <c r="H9" s="8">
        <v>117067.58658907385</v>
      </c>
      <c r="I9" s="8">
        <v>97987.923810570312</v>
      </c>
      <c r="J9" s="8">
        <v>116268.35452417274</v>
      </c>
      <c r="K9" s="8">
        <v>130039.91474350206</v>
      </c>
      <c r="L9" s="8">
        <v>124491643.50499114</v>
      </c>
      <c r="M9" s="8">
        <v>101864319</v>
      </c>
      <c r="N9" s="8">
        <v>92294962.303965271</v>
      </c>
      <c r="O9" s="8">
        <v>84914530.750323474</v>
      </c>
      <c r="P9" s="8">
        <v>96021163</v>
      </c>
      <c r="Q9" s="8">
        <v>118676984</v>
      </c>
    </row>
    <row r="10" spans="2:18">
      <c r="B10" t="s">
        <v>1593</v>
      </c>
      <c r="G10" s="8">
        <v>-58.063159999999989</v>
      </c>
      <c r="H10" s="8">
        <v>-1009.2502000000001</v>
      </c>
      <c r="I10" s="8">
        <v>-392.94074000000001</v>
      </c>
      <c r="J10" s="8">
        <v>0</v>
      </c>
      <c r="K10" s="8">
        <v>-210.54274000000001</v>
      </c>
      <c r="L10" s="8">
        <v>-16330077.913272584</v>
      </c>
      <c r="M10" s="8">
        <v>-64660</v>
      </c>
      <c r="N10" s="8">
        <v>-406689.3204760931</v>
      </c>
      <c r="O10" s="8">
        <v>0</v>
      </c>
      <c r="P10" s="8">
        <v>-7483812</v>
      </c>
      <c r="Q10" s="8">
        <v>-4950942</v>
      </c>
    </row>
    <row r="11" spans="2:18">
      <c r="B11" t="s">
        <v>1094</v>
      </c>
      <c r="G11" s="59">
        <v>1028094.4815907686</v>
      </c>
      <c r="H11" s="59">
        <v>1122298.9254462598</v>
      </c>
      <c r="I11" s="59">
        <v>1204378.4030298067</v>
      </c>
      <c r="J11" s="59">
        <v>1284615.0378351281</v>
      </c>
      <c r="K11" s="59">
        <v>1376906.1867794723</v>
      </c>
      <c r="L11" s="59">
        <v>1426250409.5351107</v>
      </c>
      <c r="M11" s="59">
        <v>1476836259</v>
      </c>
      <c r="N11" s="59">
        <v>1588752446.3598919</v>
      </c>
      <c r="O11" s="59">
        <v>1520627093.319633</v>
      </c>
      <c r="P11" s="59">
        <v>1529287033</v>
      </c>
      <c r="Q11" s="59">
        <v>1566010461</v>
      </c>
    </row>
    <row r="12" spans="2:18">
      <c r="B12" s="6" t="s">
        <v>1594</v>
      </c>
      <c r="G12" s="8">
        <f t="shared" ref="G12:L12" si="0">G5+G6+G7+G9+G10</f>
        <v>1028094.4815907683</v>
      </c>
      <c r="H12" s="8">
        <f t="shared" si="0"/>
        <v>1122298.9254462598</v>
      </c>
      <c r="I12" s="8">
        <f t="shared" si="0"/>
        <v>1204378.4030298064</v>
      </c>
      <c r="J12" s="8">
        <f t="shared" si="0"/>
        <v>1284615.0378351284</v>
      </c>
      <c r="K12" s="8">
        <f t="shared" si="0"/>
        <v>1376906.1867794723</v>
      </c>
      <c r="L12" s="8">
        <f t="shared" si="0"/>
        <v>1426250409.5351107</v>
      </c>
      <c r="M12" s="8">
        <f>M5+M6+M7+M8+M9+M10</f>
        <v>1476836259</v>
      </c>
      <c r="N12" s="8">
        <f>N5+N6+N7+N8+N9+N10</f>
        <v>1588752446.3598919</v>
      </c>
      <c r="O12" s="8">
        <f>O5+O6+O7+O8+O9+O10</f>
        <v>1520627093.319633</v>
      </c>
      <c r="P12" s="8">
        <f>P5+P6+P7+P8+P9+P10</f>
        <v>1529287033</v>
      </c>
      <c r="Q12" s="8">
        <f>Q5+Q6+Q7+Q8+Q9+Q10</f>
        <v>1566010461</v>
      </c>
    </row>
    <row r="13" spans="2:18">
      <c r="C13" s="5" t="s">
        <v>1595</v>
      </c>
      <c r="D13" s="5"/>
      <c r="E13" s="5"/>
      <c r="F13" s="5"/>
    </row>
    <row r="15" spans="2:18">
      <c r="B15" t="s">
        <v>1091</v>
      </c>
      <c r="G15" s="8">
        <v>1235743.5508250145</v>
      </c>
      <c r="H15" s="8">
        <v>1305838.6410706982</v>
      </c>
      <c r="I15" s="8">
        <v>1415246.1343891625</v>
      </c>
      <c r="J15" s="8">
        <v>1509564.7425707402</v>
      </c>
      <c r="K15" s="8">
        <v>1601553.8974288697</v>
      </c>
      <c r="L15" s="8">
        <v>1678878556.3225851</v>
      </c>
      <c r="M15" s="8">
        <v>1762917039</v>
      </c>
      <c r="N15" s="8">
        <v>1813378956.9266458</v>
      </c>
      <c r="O15" s="8">
        <v>1833726129.1938577</v>
      </c>
      <c r="P15" s="8">
        <v>1849179400</v>
      </c>
      <c r="Q15" s="8">
        <v>1879930236</v>
      </c>
    </row>
    <row r="16" spans="2:18">
      <c r="B16" t="s">
        <v>1589</v>
      </c>
      <c r="G16" s="8">
        <v>15344.815580558397</v>
      </c>
      <c r="H16" s="8">
        <v>36402.382046455052</v>
      </c>
      <c r="I16" s="8">
        <v>49815.357298175855</v>
      </c>
      <c r="J16" s="8">
        <v>30251.798448311456</v>
      </c>
      <c r="K16" s="8">
        <v>34611.184423806568</v>
      </c>
      <c r="L16" s="8">
        <v>38743351.299752198</v>
      </c>
      <c r="M16" s="8">
        <v>26510031</v>
      </c>
      <c r="N16" s="8">
        <v>18555505.605760936</v>
      </c>
      <c r="O16" s="8">
        <v>35458792.5534724</v>
      </c>
      <c r="P16" s="8">
        <v>38420168</v>
      </c>
      <c r="Q16" s="8">
        <v>29945791</v>
      </c>
    </row>
    <row r="17" spans="2:17">
      <c r="B17" t="s">
        <v>1590</v>
      </c>
      <c r="G17" s="8">
        <v>-72829.444476163932</v>
      </c>
      <c r="H17" s="8">
        <v>-67961.035908525053</v>
      </c>
      <c r="I17" s="8">
        <v>-73467.962203658972</v>
      </c>
      <c r="J17" s="8">
        <v>-79693.459777587239</v>
      </c>
      <c r="K17" s="8">
        <v>-85383.446566542465</v>
      </c>
      <c r="L17" s="8">
        <v>-92043664.02871713</v>
      </c>
      <c r="M17" s="8">
        <v>-102138047</v>
      </c>
      <c r="N17" s="8">
        <v>-102850251.88855049</v>
      </c>
      <c r="O17" s="8">
        <v>-109869186.82508533</v>
      </c>
      <c r="P17" s="8">
        <v>-116187396</v>
      </c>
      <c r="Q17" s="8">
        <v>-122726626</v>
      </c>
    </row>
    <row r="18" spans="2:17">
      <c r="B18" t="s">
        <v>1591</v>
      </c>
      <c r="G18" s="8">
        <v>-57484.628895605521</v>
      </c>
      <c r="H18" s="8">
        <v>-31558.653862069998</v>
      </c>
      <c r="I18" s="8">
        <v>-23652.604905483116</v>
      </c>
      <c r="J18" s="8">
        <v>-49441.661329275776</v>
      </c>
      <c r="K18" s="8">
        <v>-50772.262142735897</v>
      </c>
      <c r="L18" s="8">
        <v>-53300312.728964932</v>
      </c>
      <c r="M18" s="8"/>
      <c r="N18" s="8"/>
      <c r="O18" s="8"/>
      <c r="P18" s="8"/>
      <c r="Q18" s="8"/>
    </row>
    <row r="19" spans="2:17">
      <c r="B19" t="s">
        <v>1592</v>
      </c>
      <c r="G19" s="8">
        <v>127637.78230128942</v>
      </c>
      <c r="H19" s="8">
        <v>141975.39738053453</v>
      </c>
      <c r="I19" s="8">
        <v>118364.15382706026</v>
      </c>
      <c r="J19" s="8">
        <v>140812.40606395455</v>
      </c>
      <c r="K19" s="8">
        <v>156373.6129984885</v>
      </c>
      <c r="L19" s="8">
        <v>147418922.86361882</v>
      </c>
      <c r="M19" s="8">
        <v>120998616</v>
      </c>
      <c r="N19" s="8">
        <v>103227078.45184977</v>
      </c>
      <c r="O19" s="8">
        <v>102929594.04218353</v>
      </c>
      <c r="P19" s="8">
        <v>115958237</v>
      </c>
      <c r="Q19" s="8">
        <v>142798773</v>
      </c>
    </row>
    <row r="20" spans="2:17">
      <c r="B20" t="s">
        <v>1593</v>
      </c>
      <c r="G20" s="8">
        <v>-58.063159999999989</v>
      </c>
      <c r="H20" s="8">
        <v>-1009.2502000000001</v>
      </c>
      <c r="I20" s="8">
        <v>-392.94074000000001</v>
      </c>
      <c r="J20" s="8">
        <v>0</v>
      </c>
      <c r="K20" s="8">
        <v>-210.54274000000001</v>
      </c>
      <c r="L20" s="8">
        <v>-17868461.013553742</v>
      </c>
      <c r="M20" s="8">
        <v>-64660</v>
      </c>
      <c r="N20" s="8">
        <v>-406689.3204760931</v>
      </c>
      <c r="O20" s="8">
        <v>0</v>
      </c>
      <c r="P20" s="8">
        <v>-7483812</v>
      </c>
      <c r="Q20" s="8">
        <v>-4950942</v>
      </c>
    </row>
    <row r="21" spans="2:17">
      <c r="B21" t="s">
        <v>1094</v>
      </c>
      <c r="G21" s="59">
        <v>1305838.6410706982</v>
      </c>
      <c r="H21" s="59">
        <v>1415246.1343891625</v>
      </c>
      <c r="I21" s="59">
        <v>1509564.7425707402</v>
      </c>
      <c r="J21" s="59">
        <v>1600935.4873054188</v>
      </c>
      <c r="K21" s="59">
        <v>1706944.7055446226</v>
      </c>
      <c r="L21" s="59">
        <v>1755128705.4436853</v>
      </c>
      <c r="M21" s="59">
        <v>1808222979</v>
      </c>
      <c r="N21" s="59">
        <v>1831904599.7752299</v>
      </c>
      <c r="O21" s="59">
        <v>1862245328.9644284</v>
      </c>
      <c r="P21" s="59">
        <v>1879886597</v>
      </c>
      <c r="Q21" s="59">
        <v>1924997232</v>
      </c>
    </row>
    <row r="22" spans="2:17">
      <c r="B22" s="6"/>
      <c r="G22" s="8">
        <f>G15+G16+G17+G19+G20</f>
        <v>1305838.6410706986</v>
      </c>
      <c r="H22" s="8">
        <f t="shared" ref="H22:Q22" si="1">H15+H16+H17+H19+H20</f>
        <v>1415246.1343891628</v>
      </c>
      <c r="I22" s="8">
        <f t="shared" si="1"/>
        <v>1509564.7425707397</v>
      </c>
      <c r="J22" s="8">
        <f t="shared" si="1"/>
        <v>1600935.4873054188</v>
      </c>
      <c r="K22" s="8">
        <f t="shared" si="1"/>
        <v>1706944.7055446226</v>
      </c>
      <c r="L22" s="8">
        <f t="shared" si="1"/>
        <v>1755128705.4436853</v>
      </c>
      <c r="M22" s="8">
        <f t="shared" si="1"/>
        <v>1808222979</v>
      </c>
      <c r="N22" s="8">
        <f t="shared" si="1"/>
        <v>1831904599.7752299</v>
      </c>
      <c r="O22" s="8">
        <f t="shared" si="1"/>
        <v>1862245328.9644284</v>
      </c>
      <c r="P22" s="8">
        <f t="shared" si="1"/>
        <v>1879886597</v>
      </c>
      <c r="Q22" s="8">
        <f t="shared" si="1"/>
        <v>1924997232</v>
      </c>
    </row>
    <row r="23" spans="2:17">
      <c r="C23" s="5" t="s">
        <v>1596</v>
      </c>
      <c r="D23" s="5"/>
      <c r="E23" s="5"/>
      <c r="F23" s="5"/>
    </row>
    <row r="25" spans="2:17">
      <c r="B25" t="s">
        <v>1091</v>
      </c>
      <c r="G25" s="8">
        <v>10537.720481265371</v>
      </c>
      <c r="H25" s="8">
        <v>10597.50292963346</v>
      </c>
      <c r="I25" s="8">
        <v>10924.440876972974</v>
      </c>
      <c r="J25" s="8">
        <v>11077.347649855348</v>
      </c>
      <c r="K25" s="8">
        <v>10326.108</v>
      </c>
      <c r="L25" s="8">
        <v>10235373.931063</v>
      </c>
      <c r="M25" s="8">
        <v>136760399</v>
      </c>
      <c r="N25" s="8">
        <v>126820908.19711964</v>
      </c>
      <c r="O25" s="8">
        <v>113303059.6477861</v>
      </c>
      <c r="P25" s="8">
        <v>103590343</v>
      </c>
      <c r="Q25" s="8">
        <v>95298283</v>
      </c>
    </row>
    <row r="26" spans="2:17">
      <c r="B26" t="s">
        <v>1589</v>
      </c>
      <c r="G26" s="8">
        <v>0</v>
      </c>
      <c r="H26" s="8">
        <v>0</v>
      </c>
      <c r="I26" s="8">
        <v>0</v>
      </c>
      <c r="J26" s="8">
        <v>0</v>
      </c>
      <c r="K26" s="8">
        <v>0</v>
      </c>
      <c r="L26" s="8">
        <v>0</v>
      </c>
      <c r="M26" s="8">
        <v>1897302</v>
      </c>
      <c r="N26" s="8">
        <v>1186531.2707165864</v>
      </c>
      <c r="O26" s="8">
        <v>1972160.6672171222</v>
      </c>
      <c r="P26" s="8">
        <v>1906632</v>
      </c>
      <c r="Q26" s="8">
        <v>1325927</v>
      </c>
    </row>
    <row r="27" spans="2:17">
      <c r="B27" t="s">
        <v>1590</v>
      </c>
      <c r="G27" s="8">
        <v>-584.87835163191266</v>
      </c>
      <c r="H27" s="8">
        <v>-621.28717266048409</v>
      </c>
      <c r="I27" s="8">
        <v>-661.57767711762699</v>
      </c>
      <c r="J27" s="8">
        <v>-712.57895597476988</v>
      </c>
      <c r="K27" s="8">
        <v>-672.83100000000002</v>
      </c>
      <c r="L27" s="8">
        <v>-649817.63779590011</v>
      </c>
      <c r="M27" s="8">
        <v>-16015384</v>
      </c>
      <c r="N27" s="8">
        <v>-16547163.152293066</v>
      </c>
      <c r="O27" s="8">
        <v>-16783748.28213679</v>
      </c>
      <c r="P27" s="8">
        <v>-15653475</v>
      </c>
      <c r="Q27" s="8">
        <v>-12146653</v>
      </c>
    </row>
    <row r="28" spans="2:17">
      <c r="B28" t="s">
        <v>1591</v>
      </c>
      <c r="G28" s="8">
        <v>-584.87835163191266</v>
      </c>
      <c r="H28" s="8">
        <v>-621.28717266048409</v>
      </c>
      <c r="I28" s="8">
        <v>-661.57767711762699</v>
      </c>
      <c r="J28" s="8">
        <v>-712.57895597476988</v>
      </c>
      <c r="K28" s="8">
        <v>-672.83100000000002</v>
      </c>
      <c r="L28" s="8">
        <v>-649817.63779590011</v>
      </c>
      <c r="M28" s="8"/>
      <c r="N28" s="8"/>
      <c r="O28" s="8"/>
      <c r="P28" s="8"/>
      <c r="Q28" s="8"/>
    </row>
    <row r="29" spans="2:17">
      <c r="B29" t="s">
        <v>1592</v>
      </c>
      <c r="G29" s="8">
        <v>644.66079999999999</v>
      </c>
      <c r="H29" s="8">
        <v>948.22512000000029</v>
      </c>
      <c r="I29" s="8">
        <v>814.48445000000004</v>
      </c>
      <c r="J29" s="8">
        <v>1416.8215000000002</v>
      </c>
      <c r="K29" s="8">
        <v>1937.319</v>
      </c>
      <c r="L29" s="8">
        <v>1004242.14908476</v>
      </c>
      <c r="M29" s="8">
        <v>4178591</v>
      </c>
      <c r="N29" s="8">
        <v>4866772.4060636116</v>
      </c>
      <c r="O29" s="8">
        <v>3917723.4707802613</v>
      </c>
      <c r="P29" s="8">
        <v>3961322</v>
      </c>
      <c r="Q29" s="8">
        <v>5202344</v>
      </c>
    </row>
    <row r="30" spans="2:17">
      <c r="B30" t="s">
        <v>1593</v>
      </c>
      <c r="G30" s="8">
        <v>0</v>
      </c>
      <c r="H30" s="8">
        <v>0</v>
      </c>
      <c r="I30" s="8">
        <v>0</v>
      </c>
      <c r="J30" s="8">
        <v>0</v>
      </c>
      <c r="K30" s="8">
        <v>0</v>
      </c>
      <c r="L30" s="8">
        <v>0</v>
      </c>
      <c r="M30" s="8">
        <v>0</v>
      </c>
      <c r="N30" s="8">
        <v>0</v>
      </c>
      <c r="O30" s="8">
        <v>0</v>
      </c>
      <c r="P30" s="8">
        <v>0</v>
      </c>
      <c r="Q30" s="8">
        <v>0</v>
      </c>
    </row>
    <row r="31" spans="2:17">
      <c r="B31" t="s">
        <v>1094</v>
      </c>
      <c r="G31" s="59">
        <v>10597.502929633458</v>
      </c>
      <c r="H31" s="59">
        <v>10924.440876972976</v>
      </c>
      <c r="I31" s="59">
        <v>11077.347649855346</v>
      </c>
      <c r="J31" s="59">
        <v>11781.590193880578</v>
      </c>
      <c r="K31" s="59">
        <v>11590.596</v>
      </c>
      <c r="L31" s="59">
        <v>10589798.442351859</v>
      </c>
      <c r="M31" s="59">
        <v>126820908</v>
      </c>
      <c r="N31" s="59">
        <v>116327048.72160678</v>
      </c>
      <c r="O31" s="59">
        <v>102409195.50364669</v>
      </c>
      <c r="P31" s="59">
        <v>93804822</v>
      </c>
      <c r="Q31" s="59">
        <v>89679901</v>
      </c>
    </row>
    <row r="32" spans="2:17">
      <c r="B32" s="6"/>
      <c r="G32" s="8">
        <f>G25+G26+G27+G29+G30</f>
        <v>10597.502929633458</v>
      </c>
      <c r="H32" s="8">
        <f t="shared" ref="H32:Q32" si="2">H25+H26+H27+H29+H30</f>
        <v>10924.440876972976</v>
      </c>
      <c r="I32" s="8">
        <f t="shared" si="2"/>
        <v>11077.347649855346</v>
      </c>
      <c r="J32" s="8">
        <f t="shared" si="2"/>
        <v>11781.590193880578</v>
      </c>
      <c r="K32" s="8">
        <f t="shared" si="2"/>
        <v>11590.596</v>
      </c>
      <c r="L32" s="8">
        <f t="shared" si="2"/>
        <v>10589798.442351859</v>
      </c>
      <c r="M32" s="8">
        <f t="shared" si="2"/>
        <v>126820908</v>
      </c>
      <c r="N32" s="8">
        <f t="shared" si="2"/>
        <v>116327048.72160678</v>
      </c>
      <c r="O32" s="8">
        <f t="shared" si="2"/>
        <v>102409195.50364669</v>
      </c>
      <c r="P32" s="8">
        <f t="shared" si="2"/>
        <v>93804822</v>
      </c>
      <c r="Q32" s="8">
        <f t="shared" si="2"/>
        <v>89679901</v>
      </c>
    </row>
    <row r="33" spans="2:17">
      <c r="B33" s="1" t="s">
        <v>52</v>
      </c>
      <c r="C33" s="5" t="s">
        <v>1587</v>
      </c>
      <c r="D33" s="5"/>
      <c r="E33" s="5"/>
      <c r="F33" s="5"/>
    </row>
    <row r="34" spans="2:17">
      <c r="B34" s="42" t="s">
        <v>1588</v>
      </c>
      <c r="G34" s="5"/>
    </row>
    <row r="35" spans="2:17">
      <c r="B35" t="s">
        <v>1091</v>
      </c>
      <c r="G35" s="8">
        <v>1707776.019788391</v>
      </c>
      <c r="H35" s="8">
        <v>1809478.2372764214</v>
      </c>
      <c r="I35" s="8">
        <v>1976102.0182559707</v>
      </c>
      <c r="J35" s="8">
        <v>2170960.205174949</v>
      </c>
      <c r="K35" s="8">
        <v>2350575.2354074488</v>
      </c>
      <c r="L35" s="8">
        <v>2533681709.4512305</v>
      </c>
      <c r="M35" s="8">
        <v>2736151761</v>
      </c>
      <c r="N35" s="8">
        <v>2983310085.9957814</v>
      </c>
      <c r="O35" s="8">
        <v>3051483420.7470589</v>
      </c>
      <c r="P35" s="8">
        <v>3244892296</v>
      </c>
      <c r="Q35" s="8">
        <v>3430055728</v>
      </c>
    </row>
    <row r="36" spans="2:17">
      <c r="B36" t="s">
        <v>1589</v>
      </c>
      <c r="G36" s="8">
        <v>21245.602634250183</v>
      </c>
      <c r="H36" s="8">
        <v>50442.157266899398</v>
      </c>
      <c r="I36" s="8">
        <v>69556.966597584513</v>
      </c>
      <c r="J36" s="8">
        <v>43506.216536572167</v>
      </c>
      <c r="K36" s="8">
        <v>50798.286030416275</v>
      </c>
      <c r="L36" s="8">
        <v>58469577.910413355</v>
      </c>
      <c r="M36" s="8">
        <v>41145139</v>
      </c>
      <c r="N36" s="8">
        <v>30526893.90321248</v>
      </c>
      <c r="O36" s="8">
        <v>59006585.48405917</v>
      </c>
      <c r="P36" s="8">
        <v>67418720</v>
      </c>
      <c r="Q36" s="8">
        <v>54638056</v>
      </c>
    </row>
    <row r="37" spans="2:17">
      <c r="B37" t="s">
        <v>1590</v>
      </c>
      <c r="G37" s="8">
        <v>-97108.533098771266</v>
      </c>
      <c r="H37" s="8">
        <v>-91578.358235293563</v>
      </c>
      <c r="I37" s="8">
        <v>-102051.4872868394</v>
      </c>
      <c r="J37" s="8">
        <v>-113068.91101421771</v>
      </c>
      <c r="K37" s="8">
        <v>-123402.92996482523</v>
      </c>
      <c r="L37" s="8">
        <v>-136847177.23917308</v>
      </c>
      <c r="M37" s="8">
        <v>-148874358</v>
      </c>
      <c r="N37" s="8">
        <v>-159672768.46378973</v>
      </c>
      <c r="O37" s="8">
        <v>-171110881.88711631</v>
      </c>
      <c r="P37" s="8">
        <v>-192340005</v>
      </c>
      <c r="Q37" s="8">
        <v>-201856130</v>
      </c>
    </row>
    <row r="38" spans="2:17">
      <c r="B38" t="s">
        <v>1591</v>
      </c>
      <c r="G38" s="8">
        <v>-75862.930464521109</v>
      </c>
      <c r="H38" s="8">
        <v>-41136.200968394151</v>
      </c>
      <c r="I38" s="8">
        <v>-32494.520689254878</v>
      </c>
      <c r="J38" s="8">
        <v>-69562.694477645535</v>
      </c>
      <c r="K38" s="8">
        <v>-72604.643934408959</v>
      </c>
      <c r="L38" s="8">
        <v>-78377599.32875973</v>
      </c>
      <c r="M38" s="8"/>
      <c r="N38" s="8"/>
      <c r="O38" s="8"/>
      <c r="P38" s="8"/>
      <c r="Q38" s="8"/>
    </row>
    <row r="39" spans="2:17">
      <c r="B39" t="s">
        <v>1592</v>
      </c>
      <c r="G39" s="8">
        <v>181678.52335255177</v>
      </c>
      <c r="H39" s="8">
        <v>210519.91420794337</v>
      </c>
      <c r="I39" s="8">
        <v>229213.16194823282</v>
      </c>
      <c r="J39" s="8">
        <v>255081.44945299358</v>
      </c>
      <c r="K39" s="8">
        <v>296383.71860063414</v>
      </c>
      <c r="L39" s="8">
        <v>285059665.131441</v>
      </c>
      <c r="M39" s="8">
        <v>234618127</v>
      </c>
      <c r="N39" s="8">
        <v>304528516.76853365</v>
      </c>
      <c r="O39" s="8">
        <v>303722267.91662055</v>
      </c>
      <c r="P39" s="8">
        <v>315092074</v>
      </c>
      <c r="Q39" s="8">
        <v>355209321</v>
      </c>
    </row>
    <row r="40" spans="2:17">
      <c r="B40" t="s">
        <v>1593</v>
      </c>
      <c r="G40" s="8">
        <v>-4113.3753999999999</v>
      </c>
      <c r="H40" s="8">
        <v>-2759.9322599999996</v>
      </c>
      <c r="I40" s="8">
        <v>-1860.45434</v>
      </c>
      <c r="J40" s="8">
        <v>-1447.2307000000001</v>
      </c>
      <c r="K40" s="8">
        <v>-1474.1047100000003</v>
      </c>
      <c r="L40" s="8">
        <v>-7644601.6840707147</v>
      </c>
      <c r="M40" s="8">
        <v>-1735691</v>
      </c>
      <c r="N40" s="8">
        <v>-2638180.7824357096</v>
      </c>
      <c r="O40" s="8">
        <v>0</v>
      </c>
      <c r="P40" s="8">
        <v>-1764612</v>
      </c>
      <c r="Q40" s="8">
        <v>-962499</v>
      </c>
    </row>
    <row r="41" spans="2:17">
      <c r="B41" t="s">
        <v>1094</v>
      </c>
      <c r="G41" s="59">
        <v>1809478.2372764214</v>
      </c>
      <c r="H41" s="59">
        <v>1976102.0182559707</v>
      </c>
      <c r="I41" s="59">
        <v>2170960.205174949</v>
      </c>
      <c r="J41" s="59">
        <v>2355031.7294502966</v>
      </c>
      <c r="K41" s="59">
        <v>2572880.2053636741</v>
      </c>
      <c r="L41" s="59">
        <v>2732719173.5698414</v>
      </c>
      <c r="M41" s="59">
        <v>2861304978</v>
      </c>
      <c r="N41" s="59">
        <v>3156054547.4213018</v>
      </c>
      <c r="O41" s="59">
        <v>3243101392.2606225</v>
      </c>
      <c r="P41" s="59">
        <v>3433298473</v>
      </c>
      <c r="Q41" s="59">
        <v>3637084476</v>
      </c>
    </row>
    <row r="42" spans="2:17">
      <c r="B42" s="200"/>
      <c r="G42" s="8">
        <f>G35+G36+G37+G39+G40</f>
        <v>1809478.2372764216</v>
      </c>
      <c r="H42" s="8">
        <f t="shared" ref="H42:Q42" si="3">H35+H36+H37+H39+H40</f>
        <v>1976102.0182559707</v>
      </c>
      <c r="I42" s="8">
        <f t="shared" si="3"/>
        <v>2170960.2051749486</v>
      </c>
      <c r="J42" s="8">
        <f t="shared" si="3"/>
        <v>2355031.7294502966</v>
      </c>
      <c r="K42" s="8">
        <f t="shared" si="3"/>
        <v>2572880.2053636741</v>
      </c>
      <c r="L42" s="8">
        <f t="shared" si="3"/>
        <v>2732719173.5698414</v>
      </c>
      <c r="M42" s="8">
        <f t="shared" si="3"/>
        <v>2861304978</v>
      </c>
      <c r="N42" s="8">
        <f t="shared" si="3"/>
        <v>3156054547.4213018</v>
      </c>
      <c r="O42" s="8">
        <f t="shared" si="3"/>
        <v>3243101392.2606225</v>
      </c>
      <c r="P42" s="8">
        <f t="shared" si="3"/>
        <v>3433298473</v>
      </c>
      <c r="Q42" s="8">
        <f t="shared" si="3"/>
        <v>3637084476</v>
      </c>
    </row>
    <row r="43" spans="2:17">
      <c r="C43" s="5" t="s">
        <v>1595</v>
      </c>
      <c r="D43" s="5"/>
      <c r="E43" s="5"/>
      <c r="F43" s="5"/>
    </row>
    <row r="44" spans="2:17">
      <c r="G44" s="5"/>
    </row>
    <row r="45" spans="2:17">
      <c r="B45" t="s">
        <v>1091</v>
      </c>
      <c r="G45" s="8">
        <v>2135382.8516727299</v>
      </c>
      <c r="H45" s="8">
        <v>2244783.7994390498</v>
      </c>
      <c r="I45" s="8">
        <v>2431536.7891401765</v>
      </c>
      <c r="J45" s="8">
        <v>2657162.8217153456</v>
      </c>
      <c r="K45" s="8">
        <v>2868053.3817780269</v>
      </c>
      <c r="L45" s="8">
        <v>3073122337.5247159</v>
      </c>
      <c r="M45" s="8">
        <v>3306997082</v>
      </c>
      <c r="N45" s="8">
        <v>3451505651.1976366</v>
      </c>
      <c r="O45" s="8">
        <v>3645536278.8290052</v>
      </c>
      <c r="P45" s="8">
        <v>3871514958</v>
      </c>
      <c r="Q45" s="8">
        <v>4089223572</v>
      </c>
    </row>
    <row r="46" spans="2:17">
      <c r="B46" t="s">
        <v>1589</v>
      </c>
      <c r="G46" s="8">
        <v>26768.436980773382</v>
      </c>
      <c r="H46" s="8">
        <v>62577.009830151874</v>
      </c>
      <c r="I46" s="8">
        <v>85587.85005051957</v>
      </c>
      <c r="J46" s="8">
        <v>53249.755946199351</v>
      </c>
      <c r="K46" s="8">
        <v>61981.507268287292</v>
      </c>
      <c r="L46" s="8">
        <v>70918207.789032355</v>
      </c>
      <c r="M46" s="8">
        <v>49729279</v>
      </c>
      <c r="N46" s="8">
        <v>35317732.244812839</v>
      </c>
      <c r="O46" s="8">
        <v>70493795.446969718</v>
      </c>
      <c r="P46" s="8">
        <v>80437980</v>
      </c>
      <c r="Q46" s="8">
        <v>65138075</v>
      </c>
    </row>
    <row r="47" spans="2:17">
      <c r="B47" t="s">
        <v>1590</v>
      </c>
      <c r="G47" s="8">
        <v>-127539.85795301142</v>
      </c>
      <c r="H47" s="8">
        <v>-119240.00490708427</v>
      </c>
      <c r="I47" s="8">
        <v>-131207.58248496393</v>
      </c>
      <c r="J47" s="8">
        <v>-144180.7857272921</v>
      </c>
      <c r="K47" s="8">
        <v>-156351.69778265263</v>
      </c>
      <c r="L47" s="8">
        <v>-171593996.05781782</v>
      </c>
      <c r="M47" s="8">
        <v>-185725446</v>
      </c>
      <c r="N47" s="8">
        <v>-178174584.15666839</v>
      </c>
      <c r="O47" s="8">
        <v>-195460390.13363004</v>
      </c>
      <c r="P47" s="8">
        <v>-218562504</v>
      </c>
      <c r="Q47" s="8">
        <v>-229724957</v>
      </c>
    </row>
    <row r="48" spans="2:17">
      <c r="B48" t="s">
        <v>1591</v>
      </c>
      <c r="G48" s="8">
        <v>-100771.42097223805</v>
      </c>
      <c r="H48" s="8">
        <v>-56662.995076932377</v>
      </c>
      <c r="I48" s="8">
        <v>-45619.732434444362</v>
      </c>
      <c r="J48" s="8">
        <v>-90931.029781092715</v>
      </c>
      <c r="K48" s="8">
        <v>-94370.190514365328</v>
      </c>
      <c r="L48" s="8">
        <v>-100675788.26878546</v>
      </c>
      <c r="M48" s="8"/>
      <c r="N48" s="8"/>
      <c r="O48" s="8"/>
      <c r="P48" s="8"/>
      <c r="Q48" s="8"/>
    </row>
    <row r="49" spans="2:17">
      <c r="B49" t="s">
        <v>1592</v>
      </c>
      <c r="G49" s="8">
        <v>214285.7441385579</v>
      </c>
      <c r="H49" s="8">
        <v>246175.91703805834</v>
      </c>
      <c r="I49" s="8">
        <v>273106.21934961365</v>
      </c>
      <c r="J49" s="8">
        <v>303996.38588334498</v>
      </c>
      <c r="K49" s="8">
        <v>349260.06965791166</v>
      </c>
      <c r="L49" s="8">
        <v>329299683.49046361</v>
      </c>
      <c r="M49" s="8">
        <v>270053817</v>
      </c>
      <c r="N49" s="8">
        <v>340971659.15840358</v>
      </c>
      <c r="O49" s="8">
        <v>350235068.45284873</v>
      </c>
      <c r="P49" s="8">
        <v>361306485</v>
      </c>
      <c r="Q49" s="8">
        <v>411256261</v>
      </c>
    </row>
    <row r="50" spans="2:17">
      <c r="B50" t="s">
        <v>1593</v>
      </c>
      <c r="G50" s="8">
        <v>-4113.3753999999999</v>
      </c>
      <c r="H50" s="8">
        <v>-2759.9322599999996</v>
      </c>
      <c r="I50" s="8">
        <v>-1860.45434</v>
      </c>
      <c r="J50" s="8">
        <v>-1447.2307000000001</v>
      </c>
      <c r="K50" s="8">
        <v>-1474.1047100000003</v>
      </c>
      <c r="L50" s="8">
        <v>-5281180.232176126</v>
      </c>
      <c r="M50" s="8">
        <v>-1735691</v>
      </c>
      <c r="N50" s="8">
        <v>-2638180.7824357096</v>
      </c>
      <c r="O50" s="8">
        <v>0</v>
      </c>
      <c r="P50" s="8">
        <v>-1764612</v>
      </c>
      <c r="Q50" s="8">
        <v>-962499</v>
      </c>
    </row>
    <row r="51" spans="2:17">
      <c r="B51" t="s">
        <v>1094</v>
      </c>
      <c r="G51" s="59">
        <v>2244783.7994390498</v>
      </c>
      <c r="H51" s="59">
        <v>2431536.7891401765</v>
      </c>
      <c r="I51" s="59">
        <v>2657162.8217153456</v>
      </c>
      <c r="J51" s="59">
        <v>2868780.9471175978</v>
      </c>
      <c r="K51" s="59">
        <v>3121469.1562115732</v>
      </c>
      <c r="L51" s="59">
        <v>3296465052.5142179</v>
      </c>
      <c r="M51" s="59">
        <v>3439319041</v>
      </c>
      <c r="N51" s="59">
        <v>3646982277.6617489</v>
      </c>
      <c r="O51" s="59">
        <v>3870804752.5951934</v>
      </c>
      <c r="P51" s="59">
        <v>4092932307</v>
      </c>
      <c r="Q51" s="59">
        <v>4334930452</v>
      </c>
    </row>
    <row r="52" spans="2:17">
      <c r="B52" s="200"/>
      <c r="G52" s="8">
        <f>G45+G46+G47+G49+G50</f>
        <v>2244783.7994390498</v>
      </c>
      <c r="H52" s="8">
        <f t="shared" ref="H52:Q52" si="4">H45+H46+H47+H49+H50</f>
        <v>2431536.7891401756</v>
      </c>
      <c r="I52" s="8">
        <f t="shared" si="4"/>
        <v>2657162.8217153461</v>
      </c>
      <c r="J52" s="8">
        <f t="shared" si="4"/>
        <v>2868780.9471175973</v>
      </c>
      <c r="K52" s="8">
        <f t="shared" si="4"/>
        <v>3121469.1562115732</v>
      </c>
      <c r="L52" s="8">
        <f t="shared" si="4"/>
        <v>3296465052.5142179</v>
      </c>
      <c r="M52" s="8">
        <f t="shared" si="4"/>
        <v>3439319041</v>
      </c>
      <c r="N52" s="8">
        <f t="shared" si="4"/>
        <v>3646982277.6617489</v>
      </c>
      <c r="O52" s="8">
        <f t="shared" si="4"/>
        <v>3870804752.5951934</v>
      </c>
      <c r="P52" s="8">
        <f t="shared" si="4"/>
        <v>4092932307</v>
      </c>
      <c r="Q52" s="8">
        <f t="shared" si="4"/>
        <v>4334930452</v>
      </c>
    </row>
    <row r="53" spans="2:17">
      <c r="C53" s="5" t="s">
        <v>1596</v>
      </c>
      <c r="D53" s="5"/>
      <c r="E53" s="5"/>
      <c r="F53" s="5"/>
      <c r="H53" s="1"/>
      <c r="I53" s="1"/>
      <c r="J53" s="1"/>
      <c r="K53" s="1"/>
      <c r="L53" s="1"/>
      <c r="M53" s="1"/>
      <c r="N53" s="1"/>
      <c r="O53" s="1"/>
      <c r="P53" s="1"/>
      <c r="Q53" s="1"/>
    </row>
    <row r="54" spans="2:17">
      <c r="G54" s="1"/>
      <c r="H54" s="1"/>
      <c r="I54" s="1"/>
      <c r="J54" s="1"/>
      <c r="K54" s="1"/>
      <c r="L54" s="1"/>
      <c r="M54" s="1"/>
      <c r="N54" s="1"/>
      <c r="O54" s="1"/>
      <c r="P54" s="1"/>
      <c r="Q54" s="1"/>
    </row>
    <row r="55" spans="2:17">
      <c r="B55" t="s">
        <v>1091</v>
      </c>
      <c r="G55" s="8">
        <v>13314.456148749385</v>
      </c>
      <c r="H55" s="8">
        <v>14342.156973906051</v>
      </c>
      <c r="I55" s="8">
        <v>14832.369188262717</v>
      </c>
      <c r="J55" s="8">
        <v>16126.55795033367</v>
      </c>
      <c r="K55" s="8">
        <v>18147.508000000002</v>
      </c>
      <c r="L55" s="8">
        <v>21292889.974495001</v>
      </c>
      <c r="M55" s="8">
        <v>356947737</v>
      </c>
      <c r="N55" s="8">
        <v>336374826.82588542</v>
      </c>
      <c r="O55" s="8">
        <v>307344526.85409433</v>
      </c>
      <c r="P55" s="8">
        <v>287082261</v>
      </c>
      <c r="Q55" s="8">
        <v>271430215</v>
      </c>
    </row>
    <row r="56" spans="2:17">
      <c r="B56" t="s">
        <v>1589</v>
      </c>
      <c r="G56" s="8">
        <v>0</v>
      </c>
      <c r="H56" s="8">
        <v>0</v>
      </c>
      <c r="I56" s="8">
        <v>0</v>
      </c>
      <c r="J56" s="8">
        <v>0</v>
      </c>
      <c r="K56" s="8">
        <v>0</v>
      </c>
      <c r="L56" s="8">
        <v>0</v>
      </c>
      <c r="M56" s="8">
        <v>5044452</v>
      </c>
      <c r="N56" s="8">
        <v>3199398.4680975713</v>
      </c>
      <c r="O56" s="8">
        <v>5471059.8713111179</v>
      </c>
      <c r="P56" s="8">
        <v>5408729</v>
      </c>
      <c r="Q56" s="8">
        <v>3855750</v>
      </c>
    </row>
    <row r="57" spans="2:17">
      <c r="B57" t="s">
        <v>1590</v>
      </c>
      <c r="G57" s="8">
        <v>-788.28783484333314</v>
      </c>
      <c r="H57" s="8">
        <v>-860.67353564333303</v>
      </c>
      <c r="I57" s="8">
        <v>-942.67933792904739</v>
      </c>
      <c r="J57" s="8">
        <v>-1064.7970435290474</v>
      </c>
      <c r="K57" s="8">
        <v>-1112.4480000000001</v>
      </c>
      <c r="L57" s="8">
        <v>-1214746.0744823322</v>
      </c>
      <c r="M57" s="8">
        <v>-41152046</v>
      </c>
      <c r="N57" s="8">
        <v>-42833218.58277332</v>
      </c>
      <c r="O57" s="8">
        <v>-43829071.303979412</v>
      </c>
      <c r="P57" s="8">
        <v>-42252210</v>
      </c>
      <c r="Q57" s="8">
        <v>-33870894</v>
      </c>
    </row>
    <row r="58" spans="2:17">
      <c r="B58" t="s">
        <v>1591</v>
      </c>
      <c r="G58" s="8">
        <v>-788.28783484333314</v>
      </c>
      <c r="H58" s="8">
        <v>-860.67353564333303</v>
      </c>
      <c r="I58" s="8">
        <v>-942.67933792904739</v>
      </c>
      <c r="J58" s="8">
        <v>-1064.7970435290474</v>
      </c>
      <c r="K58" s="8">
        <v>-1112.4480000000001</v>
      </c>
      <c r="L58" s="8">
        <v>-1214746.0744823322</v>
      </c>
      <c r="M58" s="8"/>
      <c r="N58" s="8"/>
      <c r="O58" s="8"/>
      <c r="P58" s="8"/>
      <c r="Q58" s="8"/>
    </row>
    <row r="59" spans="2:17">
      <c r="B59" t="s">
        <v>1592</v>
      </c>
      <c r="G59" s="8">
        <v>1815.9886599999998</v>
      </c>
      <c r="H59" s="8">
        <v>1350.8857499999995</v>
      </c>
      <c r="I59" s="8">
        <v>2236.8681000000001</v>
      </c>
      <c r="J59" s="8">
        <v>3105.78152</v>
      </c>
      <c r="K59" s="8">
        <v>4157.7470000000003</v>
      </c>
      <c r="L59" s="8">
        <v>1413531.4963449803</v>
      </c>
      <c r="M59" s="8">
        <v>15534684</v>
      </c>
      <c r="N59" s="8">
        <v>17144519.458072431</v>
      </c>
      <c r="O59" s="8">
        <v>17348050.385337152</v>
      </c>
      <c r="P59" s="8">
        <v>14647069</v>
      </c>
      <c r="Q59" s="8">
        <v>18884104</v>
      </c>
    </row>
    <row r="60" spans="2:17">
      <c r="B60" t="s">
        <v>1593</v>
      </c>
      <c r="G60" s="8">
        <v>0</v>
      </c>
      <c r="H60" s="8">
        <v>0</v>
      </c>
      <c r="I60" s="8">
        <v>0</v>
      </c>
      <c r="J60" s="8">
        <v>0</v>
      </c>
      <c r="K60" s="8">
        <v>0</v>
      </c>
      <c r="L60" s="8">
        <v>0</v>
      </c>
      <c r="M60" s="8" t="s">
        <v>1597</v>
      </c>
      <c r="N60" s="8">
        <v>0</v>
      </c>
      <c r="O60" s="8">
        <v>0</v>
      </c>
      <c r="P60" s="8">
        <v>0</v>
      </c>
      <c r="Q60" s="8">
        <v>0</v>
      </c>
    </row>
    <row r="61" spans="2:17">
      <c r="B61" t="s">
        <v>1094</v>
      </c>
      <c r="G61" s="59">
        <v>14342.156973906051</v>
      </c>
      <c r="H61" s="59">
        <v>14832.369188262717</v>
      </c>
      <c r="I61" s="59">
        <v>16126.55795033367</v>
      </c>
      <c r="J61" s="59">
        <v>18167.542426804623</v>
      </c>
      <c r="K61" s="59">
        <v>21192.807000000001</v>
      </c>
      <c r="L61" s="59">
        <v>21491675.396357648</v>
      </c>
      <c r="M61" s="59">
        <v>336374827</v>
      </c>
      <c r="N61" s="59">
        <v>313885526.16928208</v>
      </c>
      <c r="O61" s="59">
        <v>286334565.80676323</v>
      </c>
      <c r="P61" s="59">
        <v>264885849</v>
      </c>
      <c r="Q61" s="59">
        <v>260299175</v>
      </c>
    </row>
    <row r="62" spans="2:17">
      <c r="B62" s="200"/>
      <c r="G62" s="8">
        <f>G55+G56+G57+G59+G60</f>
        <v>14342.156973906051</v>
      </c>
      <c r="H62" s="8">
        <f t="shared" ref="H62:Q62" si="5">H55+H56+H57+H59+H60</f>
        <v>14832.369188262717</v>
      </c>
      <c r="I62" s="8">
        <f t="shared" si="5"/>
        <v>16126.55795033367</v>
      </c>
      <c r="J62" s="8">
        <f t="shared" si="5"/>
        <v>18167.542426804623</v>
      </c>
      <c r="K62" s="8">
        <f t="shared" si="5"/>
        <v>21192.807000000001</v>
      </c>
      <c r="L62" s="8">
        <f t="shared" si="5"/>
        <v>21491675.396357648</v>
      </c>
      <c r="M62" s="8" t="e">
        <f t="shared" si="5"/>
        <v>#VALUE!</v>
      </c>
      <c r="N62" s="8">
        <f t="shared" si="5"/>
        <v>313885526.16928208</v>
      </c>
      <c r="O62" s="8">
        <f t="shared" si="5"/>
        <v>286334565.80676323</v>
      </c>
      <c r="P62" s="8">
        <f t="shared" si="5"/>
        <v>264885849</v>
      </c>
      <c r="Q62" s="8">
        <f t="shared" si="5"/>
        <v>260299175</v>
      </c>
    </row>
    <row r="63" spans="2:17">
      <c r="B63" s="1" t="s">
        <v>43</v>
      </c>
      <c r="M63" s="1"/>
    </row>
    <row r="64" spans="2:17">
      <c r="B64" s="42" t="s">
        <v>1598</v>
      </c>
    </row>
    <row r="65" spans="2:25">
      <c r="B65" t="s">
        <v>1091</v>
      </c>
      <c r="G65" s="8">
        <v>4217502.4880022118</v>
      </c>
      <c r="H65" s="8">
        <v>4394476.788326689</v>
      </c>
      <c r="I65" s="8">
        <v>4724751.8876781929</v>
      </c>
      <c r="J65" s="8">
        <v>4981986.045157657</v>
      </c>
      <c r="K65" s="8">
        <v>5319141.0906674797</v>
      </c>
      <c r="L65" s="60">
        <v>5833350750.2128172</v>
      </c>
      <c r="M65" s="60">
        <v>5983666284.3869858</v>
      </c>
      <c r="N65" s="60">
        <v>6082443295.085989</v>
      </c>
      <c r="O65" s="60">
        <v>6030010661.7457285</v>
      </c>
      <c r="P65" s="60">
        <v>6200897927.1198254</v>
      </c>
      <c r="Q65" s="60">
        <v>6317014245</v>
      </c>
    </row>
    <row r="66" spans="2:25">
      <c r="B66" t="s">
        <v>1589</v>
      </c>
      <c r="G66" s="8">
        <v>121805.12600728386</v>
      </c>
      <c r="H66" s="8">
        <v>146482.55961088912</v>
      </c>
      <c r="I66" s="8">
        <v>74868.733930385322</v>
      </c>
      <c r="J66" s="8">
        <v>124674.32545439567</v>
      </c>
      <c r="K66" s="8">
        <v>154632.76314485547</v>
      </c>
      <c r="L66" s="60">
        <v>100191138.83953248</v>
      </c>
      <c r="M66" s="60">
        <v>101037516.99715382</v>
      </c>
      <c r="N66" s="60">
        <v>89777760.81307745</v>
      </c>
      <c r="O66" s="60">
        <v>115118385.36060002</v>
      </c>
      <c r="P66" s="60">
        <v>110631541.96467197</v>
      </c>
      <c r="Q66" s="60">
        <v>116264066</v>
      </c>
    </row>
    <row r="67" spans="2:25">
      <c r="B67" t="s">
        <v>1590</v>
      </c>
      <c r="G67" s="8">
        <v>-178956.02871101134</v>
      </c>
      <c r="H67" s="8">
        <v>-181714.94605466677</v>
      </c>
      <c r="I67" s="8">
        <v>-184338.2857749275</v>
      </c>
      <c r="J67" s="8">
        <v>-199415.56154466461</v>
      </c>
      <c r="K67" s="8">
        <v>-222310.25735920473</v>
      </c>
      <c r="L67" s="60">
        <v>-244163230.08389488</v>
      </c>
      <c r="M67" s="60">
        <v>-261875062.3888979</v>
      </c>
      <c r="N67" s="60">
        <v>-279708002.9454124</v>
      </c>
      <c r="O67" s="60">
        <v>-265038966.94009852</v>
      </c>
      <c r="P67" s="60">
        <v>-255967763.14920798</v>
      </c>
      <c r="Q67" s="60">
        <v>-274692067</v>
      </c>
    </row>
    <row r="68" spans="2:25">
      <c r="B68" t="s">
        <v>1591</v>
      </c>
      <c r="G68" s="8">
        <v>-57150.902703727479</v>
      </c>
      <c r="H68" s="8">
        <v>-35232.38644377765</v>
      </c>
      <c r="I68" s="8">
        <v>-109469.55184454218</v>
      </c>
      <c r="J68" s="8">
        <v>-74741.23609026894</v>
      </c>
      <c r="K68" s="8">
        <v>-67677.494214349252</v>
      </c>
      <c r="L68" s="60">
        <v>-143972091.24436241</v>
      </c>
      <c r="M68" s="8"/>
      <c r="N68" s="8"/>
      <c r="O68" s="8"/>
      <c r="P68" s="8"/>
      <c r="Q68" s="8"/>
    </row>
    <row r="69" spans="2:25">
      <c r="B69" t="s">
        <v>1592</v>
      </c>
      <c r="G69" s="8">
        <v>240632.34056820587</v>
      </c>
      <c r="H69" s="8">
        <v>370580.90669528913</v>
      </c>
      <c r="I69" s="8">
        <v>377519.62609399756</v>
      </c>
      <c r="J69" s="8">
        <v>386404.8127500806</v>
      </c>
      <c r="K69" s="8">
        <v>599025.85733420495</v>
      </c>
      <c r="L69" s="60">
        <v>299576626.71298432</v>
      </c>
      <c r="M69" s="60">
        <v>262567913.78730142</v>
      </c>
      <c r="N69" s="60">
        <v>139468480.02247566</v>
      </c>
      <c r="O69" s="60">
        <v>239882389.90682527</v>
      </c>
      <c r="P69" s="60">
        <v>265754537.29379684</v>
      </c>
      <c r="Q69" s="60">
        <v>217115573</v>
      </c>
    </row>
    <row r="70" spans="2:25">
      <c r="B70" t="s">
        <v>1593</v>
      </c>
      <c r="G70" s="8">
        <v>-6507.1375399999997</v>
      </c>
      <c r="H70" s="8">
        <v>-5073.42089999994</v>
      </c>
      <c r="I70" s="8">
        <v>-10815.91676999994</v>
      </c>
      <c r="J70" s="8">
        <v>-5005.4340199999424</v>
      </c>
      <c r="K70" s="8">
        <v>-16614.093069999999</v>
      </c>
      <c r="L70" s="60">
        <v>-5289001.2944521951</v>
      </c>
      <c r="M70" s="60">
        <v>-2953357.6965551437</v>
      </c>
      <c r="N70" s="60">
        <v>-1970871.2304003076</v>
      </c>
      <c r="O70" s="60">
        <v>-66907169.057983384</v>
      </c>
      <c r="P70" s="60">
        <v>-4301998.3846726893</v>
      </c>
      <c r="Q70" s="60">
        <v>-2226854</v>
      </c>
    </row>
    <row r="71" spans="2:25">
      <c r="B71" t="s">
        <v>1094</v>
      </c>
      <c r="G71" s="59">
        <v>4394476.7883266909</v>
      </c>
      <c r="H71" s="59">
        <v>4724751.8876782004</v>
      </c>
      <c r="I71" s="59">
        <v>4981986.0451576486</v>
      </c>
      <c r="J71" s="59">
        <v>5288644.1877974691</v>
      </c>
      <c r="K71" s="59">
        <v>5833875.3607173348</v>
      </c>
      <c r="L71" s="61">
        <v>5983666284.3869867</v>
      </c>
      <c r="M71" s="61">
        <v>6082443295.085988</v>
      </c>
      <c r="N71" s="61">
        <v>6030010661.7457294</v>
      </c>
      <c r="O71" s="61">
        <v>6053065301.0150719</v>
      </c>
      <c r="P71" s="61">
        <v>6317014244.8444128</v>
      </c>
      <c r="Q71" s="61">
        <v>6373474963</v>
      </c>
    </row>
    <row r="72" spans="2:25">
      <c r="B72" s="200"/>
      <c r="G72" s="8">
        <f>G65+G66+G67+G69+G70</f>
        <v>4394476.7883266909</v>
      </c>
      <c r="H72" s="8">
        <f t="shared" ref="H72:Q72" si="6">H65+H66+H67+H69+H70</f>
        <v>4724751.8876782004</v>
      </c>
      <c r="I72" s="8">
        <f t="shared" si="6"/>
        <v>4981986.0451576486</v>
      </c>
      <c r="J72" s="8">
        <f t="shared" si="6"/>
        <v>5288644.1877974691</v>
      </c>
      <c r="K72" s="8">
        <f t="shared" si="6"/>
        <v>5833875.3607173348</v>
      </c>
      <c r="L72" s="8">
        <f t="shared" si="6"/>
        <v>5983666284.3869867</v>
      </c>
      <c r="M72" s="8">
        <f t="shared" si="6"/>
        <v>6082443295.085988</v>
      </c>
      <c r="N72" s="8">
        <f t="shared" si="6"/>
        <v>6030010661.7457294</v>
      </c>
      <c r="O72" s="8">
        <f t="shared" si="6"/>
        <v>6053065301.0150719</v>
      </c>
      <c r="P72" s="8">
        <f t="shared" si="6"/>
        <v>6317014244.8444128</v>
      </c>
      <c r="Q72" s="8">
        <f t="shared" si="6"/>
        <v>6373474963</v>
      </c>
    </row>
    <row r="73" spans="2:25">
      <c r="B73" s="1" t="s">
        <v>53</v>
      </c>
      <c r="C73" s="5" t="s">
        <v>1587</v>
      </c>
      <c r="D73" s="5"/>
      <c r="E73" s="5"/>
      <c r="F73" s="5"/>
    </row>
    <row r="74" spans="2:25">
      <c r="B74" s="42" t="s">
        <v>1598</v>
      </c>
    </row>
    <row r="75" spans="2:25">
      <c r="B75" t="s">
        <v>1091</v>
      </c>
      <c r="G75" s="8">
        <v>2706169.3553336705</v>
      </c>
      <c r="H75" s="8">
        <v>2723122.6196551505</v>
      </c>
      <c r="I75" s="8">
        <v>2909040.1003326164</v>
      </c>
      <c r="J75" s="8">
        <v>3092390.2859548749</v>
      </c>
      <c r="K75" s="62">
        <v>3296253.9034986207</v>
      </c>
      <c r="L75" s="8">
        <v>3456377697.9511766</v>
      </c>
      <c r="M75" s="8">
        <v>3572345661.0058537</v>
      </c>
      <c r="N75" s="8">
        <v>3670172554.2308435</v>
      </c>
      <c r="O75" s="8">
        <v>3714128826.4499998</v>
      </c>
      <c r="P75" s="8">
        <v>3866418420.8099999</v>
      </c>
      <c r="Q75" s="8">
        <v>4022737699.8499999</v>
      </c>
    </row>
    <row r="76" spans="2:25">
      <c r="B76" t="s">
        <v>1589</v>
      </c>
      <c r="G76" s="8">
        <v>78208.29436914307</v>
      </c>
      <c r="H76" s="8">
        <v>90679.983234516534</v>
      </c>
      <c r="I76" s="8">
        <v>45962.83358525535</v>
      </c>
      <c r="J76" s="8">
        <v>77331.734102713977</v>
      </c>
      <c r="K76" s="62">
        <v>96580.23937250959</v>
      </c>
      <c r="L76" s="8">
        <v>45969823.38275066</v>
      </c>
      <c r="M76" s="8">
        <v>60321033.675521374</v>
      </c>
      <c r="N76" s="8">
        <v>54172288.623333208</v>
      </c>
      <c r="O76" s="8">
        <v>70906095.780000001</v>
      </c>
      <c r="P76" s="8">
        <v>68638411.5</v>
      </c>
      <c r="Q76" s="8">
        <v>73445923.420000002</v>
      </c>
    </row>
    <row r="77" spans="2:25">
      <c r="B77" t="s">
        <v>1590</v>
      </c>
      <c r="G77" s="8">
        <v>-177952.34099040215</v>
      </c>
      <c r="H77" s="8">
        <v>-162869.21569505977</v>
      </c>
      <c r="I77" s="8">
        <v>-175375.96503988822</v>
      </c>
      <c r="J77" s="8">
        <v>-194921.96649557215</v>
      </c>
      <c r="K77" s="62">
        <v>-212850.37120522113</v>
      </c>
      <c r="L77" s="8">
        <v>-232846835.39084432</v>
      </c>
      <c r="M77" s="8">
        <v>-196888133.69932398</v>
      </c>
      <c r="N77" s="8">
        <v>-270405028.86535394</v>
      </c>
      <c r="O77" s="8">
        <v>-277563139.86000001</v>
      </c>
      <c r="P77" s="8">
        <v>-287660180.77999997</v>
      </c>
      <c r="Q77" s="8">
        <v>-301753316.18000001</v>
      </c>
    </row>
    <row r="78" spans="2:25">
      <c r="B78" t="s">
        <v>1591</v>
      </c>
      <c r="G78" s="8">
        <v>-99744.046621259055</v>
      </c>
      <c r="H78" s="8">
        <v>-72215.983314531244</v>
      </c>
      <c r="I78" s="8">
        <v>-129430.31378928659</v>
      </c>
      <c r="J78" s="8">
        <v>-117666.81472828316</v>
      </c>
      <c r="K78" s="62">
        <v>-116270.13183271154</v>
      </c>
      <c r="L78" s="8">
        <v>-186877012.00809366</v>
      </c>
      <c r="M78" s="8"/>
      <c r="N78" s="8"/>
      <c r="O78" s="8"/>
      <c r="P78" s="8"/>
      <c r="Q78" s="8"/>
      <c r="R78" s="4"/>
      <c r="S78" s="4"/>
      <c r="T78" s="4"/>
      <c r="U78" s="4"/>
      <c r="V78" s="4"/>
      <c r="W78" s="4"/>
      <c r="X78" s="4"/>
      <c r="Y78" s="4"/>
    </row>
    <row r="79" spans="2:25">
      <c r="B79" t="s">
        <v>1592</v>
      </c>
      <c r="G79" s="8">
        <v>118018.31094273907</v>
      </c>
      <c r="H79" s="8">
        <v>260457.71313800931</v>
      </c>
      <c r="I79" s="8">
        <v>314244.31707689143</v>
      </c>
      <c r="J79" s="8">
        <v>323359.84993660392</v>
      </c>
      <c r="K79" s="62">
        <v>278951.92628526775</v>
      </c>
      <c r="L79" s="8">
        <v>305232975.06277025</v>
      </c>
      <c r="M79" s="8">
        <v>236435436.05879238</v>
      </c>
      <c r="N79" s="8">
        <v>262623569.44000006</v>
      </c>
      <c r="O79" s="8">
        <v>361496634.82999998</v>
      </c>
      <c r="P79" s="8">
        <v>378582511.76999998</v>
      </c>
      <c r="Q79" s="8">
        <v>290679131.98000002</v>
      </c>
      <c r="R79" s="2"/>
      <c r="S79" s="2"/>
      <c r="T79" s="2"/>
      <c r="U79" s="2"/>
      <c r="V79" s="2"/>
      <c r="W79" s="2"/>
      <c r="X79" s="2"/>
      <c r="Y79" s="2"/>
    </row>
    <row r="80" spans="2:25">
      <c r="B80" t="s">
        <v>1593</v>
      </c>
      <c r="G80" s="8">
        <v>-1321</v>
      </c>
      <c r="H80" s="8">
        <v>-2351</v>
      </c>
      <c r="I80" s="8">
        <v>-1481</v>
      </c>
      <c r="J80" s="8">
        <v>-1906</v>
      </c>
      <c r="K80" s="62">
        <v>-2558</v>
      </c>
      <c r="L80" s="8">
        <v>-2388000</v>
      </c>
      <c r="M80" s="8">
        <v>-2041442.81</v>
      </c>
      <c r="N80" s="8">
        <v>-2434556.98</v>
      </c>
      <c r="O80" s="8">
        <v>-2549996.39</v>
      </c>
      <c r="P80" s="8">
        <v>-3241463.45</v>
      </c>
      <c r="Q80" s="8">
        <v>-9278609.75</v>
      </c>
      <c r="R80" s="3"/>
      <c r="S80" s="3"/>
      <c r="T80" s="3"/>
      <c r="U80" s="3"/>
      <c r="V80" s="3"/>
      <c r="W80" s="3"/>
      <c r="X80" s="3"/>
      <c r="Y80" s="3"/>
    </row>
    <row r="81" spans="2:17">
      <c r="B81" s="200" t="s">
        <v>1094</v>
      </c>
      <c r="G81" s="59">
        <v>2723122.6196551505</v>
      </c>
      <c r="H81" s="59">
        <v>2909040.1003326164</v>
      </c>
      <c r="I81" s="59">
        <v>3092390.2859548749</v>
      </c>
      <c r="J81" s="59">
        <v>3296253.9034986207</v>
      </c>
      <c r="K81" s="63">
        <v>3456377.6979511771</v>
      </c>
      <c r="L81" s="59">
        <v>3572345661.0058532</v>
      </c>
      <c r="M81" s="59">
        <v>3670172554.2308435</v>
      </c>
      <c r="N81" s="59">
        <v>3714128826.4488225</v>
      </c>
      <c r="O81" s="59">
        <v>3866418420.8099999</v>
      </c>
      <c r="P81" s="59">
        <v>4022737699.8499999</v>
      </c>
      <c r="Q81" s="59">
        <v>4075830829.3200002</v>
      </c>
    </row>
    <row r="82" spans="2:17">
      <c r="B82" s="200"/>
      <c r="G82" s="8">
        <f>G75+G76+G77+G79+G80</f>
        <v>2723122.6196551505</v>
      </c>
      <c r="H82" s="8">
        <f t="shared" ref="H82:Q82" si="7">H75+H76+H77+H79+H80</f>
        <v>2909040.1003326164</v>
      </c>
      <c r="I82" s="8">
        <f t="shared" si="7"/>
        <v>3092390.2859548749</v>
      </c>
      <c r="J82" s="8">
        <f t="shared" si="7"/>
        <v>3296253.9034986207</v>
      </c>
      <c r="K82" s="8">
        <f t="shared" si="7"/>
        <v>3456377.6979511771</v>
      </c>
      <c r="L82" s="8">
        <f t="shared" si="7"/>
        <v>3572345661.0058532</v>
      </c>
      <c r="M82" s="8">
        <f t="shared" si="7"/>
        <v>3670172554.2308435</v>
      </c>
      <c r="N82" s="8">
        <f t="shared" si="7"/>
        <v>3714128826.4488225</v>
      </c>
      <c r="O82" s="8">
        <f t="shared" si="7"/>
        <v>3866418420.8099999</v>
      </c>
      <c r="P82" s="8">
        <f t="shared" si="7"/>
        <v>4022737699.8499999</v>
      </c>
      <c r="Q82" s="8">
        <f t="shared" si="7"/>
        <v>4075830829.3200002</v>
      </c>
    </row>
    <row r="83" spans="2:17">
      <c r="C83" s="5" t="s">
        <v>1595</v>
      </c>
      <c r="D83" s="5"/>
      <c r="E83" s="5"/>
      <c r="F83" s="5"/>
    </row>
    <row r="85" spans="2:17">
      <c r="B85" t="s">
        <v>1091</v>
      </c>
      <c r="G85" s="62">
        <v>2850351.0851140339</v>
      </c>
      <c r="H85" s="62">
        <v>2874932.0166159612</v>
      </c>
      <c r="I85" s="62">
        <v>3069164.6989402194</v>
      </c>
      <c r="J85" s="62">
        <v>3257781.1372850863</v>
      </c>
      <c r="K85" s="62">
        <v>3469105.4255305734</v>
      </c>
      <c r="L85" s="8">
        <v>3638144379.4071307</v>
      </c>
      <c r="M85" s="8">
        <v>3761548687.7937403</v>
      </c>
      <c r="N85" s="8">
        <v>3863075380.4837403</v>
      </c>
      <c r="O85" s="8">
        <v>3909008814.7600002</v>
      </c>
      <c r="P85" s="8">
        <v>4065092915.9200001</v>
      </c>
      <c r="Q85" s="8">
        <v>4228083960.9400001</v>
      </c>
    </row>
    <row r="86" spans="2:17">
      <c r="B86" t="s">
        <v>1589</v>
      </c>
      <c r="G86" s="62">
        <v>82375.146359795574</v>
      </c>
      <c r="H86" s="62">
        <v>95735.236153311547</v>
      </c>
      <c r="I86" s="62">
        <v>48492.802243255494</v>
      </c>
      <c r="J86" s="62">
        <v>81526.808397988454</v>
      </c>
      <c r="K86" s="62">
        <v>101644.7889680458</v>
      </c>
      <c r="L86" s="8">
        <v>48387320.24611485</v>
      </c>
      <c r="M86" s="8">
        <v>63515831.501208067</v>
      </c>
      <c r="N86" s="8">
        <v>57019562.811567836</v>
      </c>
      <c r="O86" s="8">
        <v>74626531.920000002</v>
      </c>
      <c r="P86" s="8">
        <v>73028328.989999995</v>
      </c>
      <c r="Q86" s="8">
        <v>77938524.170000002</v>
      </c>
    </row>
    <row r="87" spans="2:17">
      <c r="B87" t="s">
        <v>1590</v>
      </c>
      <c r="G87" s="62">
        <v>-185414.47619924048</v>
      </c>
      <c r="H87" s="62">
        <v>-170687.19837036426</v>
      </c>
      <c r="I87" s="62">
        <v>-183583.7461041389</v>
      </c>
      <c r="J87" s="62">
        <v>-203257.45658076531</v>
      </c>
      <c r="K87" s="62">
        <v>-221528.03230492829</v>
      </c>
      <c r="L87" s="8">
        <v>-241985608.63989556</v>
      </c>
      <c r="M87" s="8">
        <v>-209730602.12000003</v>
      </c>
      <c r="N87" s="8">
        <v>-285990186.63999999</v>
      </c>
      <c r="O87" s="8">
        <v>-293369469.95999998</v>
      </c>
      <c r="P87" s="8">
        <v>-303723213.99000001</v>
      </c>
      <c r="Q87" s="8">
        <v>-318291867.60000002</v>
      </c>
    </row>
    <row r="88" spans="2:17">
      <c r="B88" t="s">
        <v>1591</v>
      </c>
      <c r="G88" s="62">
        <v>-103039.32983944491</v>
      </c>
      <c r="H88" s="62">
        <v>-74978.713071040707</v>
      </c>
      <c r="I88" s="62">
        <v>-135108.1261955371</v>
      </c>
      <c r="J88" s="62">
        <v>-121807.23051820185</v>
      </c>
      <c r="K88" s="62">
        <v>-119883.24333688249</v>
      </c>
      <c r="L88" s="8">
        <v>-193598288.39378071</v>
      </c>
      <c r="M88" s="8"/>
      <c r="N88" s="8"/>
      <c r="O88" s="8"/>
      <c r="P88" s="8"/>
      <c r="Q88" s="8"/>
    </row>
    <row r="89" spans="2:17">
      <c r="B89" t="s">
        <v>1592</v>
      </c>
      <c r="G89" s="62">
        <v>128941.26134137221</v>
      </c>
      <c r="H89" s="62">
        <v>271535.64454131114</v>
      </c>
      <c r="I89" s="62">
        <v>325188.38220575009</v>
      </c>
      <c r="J89" s="62">
        <v>334960.93642826349</v>
      </c>
      <c r="K89" s="62">
        <v>291480.19721344032</v>
      </c>
      <c r="L89" s="8">
        <v>319390596.78038996</v>
      </c>
      <c r="M89" s="8">
        <v>249782906.11879238</v>
      </c>
      <c r="N89" s="8">
        <v>277338615.08000004</v>
      </c>
      <c r="O89" s="8">
        <v>377377035.60000002</v>
      </c>
      <c r="P89" s="8">
        <v>396927393.45999998</v>
      </c>
      <c r="Q89" s="8">
        <v>307325333.36000001</v>
      </c>
    </row>
    <row r="90" spans="2:17">
      <c r="B90" t="s">
        <v>1593</v>
      </c>
      <c r="G90" s="62">
        <v>-1321</v>
      </c>
      <c r="H90" s="62">
        <v>-2351</v>
      </c>
      <c r="I90" s="62">
        <v>-1481</v>
      </c>
      <c r="J90" s="62">
        <v>-1906</v>
      </c>
      <c r="K90" s="62">
        <v>-2558</v>
      </c>
      <c r="L90" s="8">
        <v>-2388000</v>
      </c>
      <c r="M90" s="8">
        <v>-2041442.81</v>
      </c>
      <c r="N90" s="8">
        <v>-2434556.98</v>
      </c>
      <c r="O90" s="8">
        <v>-2549996.39</v>
      </c>
      <c r="P90" s="8">
        <v>-3241463.45</v>
      </c>
      <c r="Q90" s="8">
        <v>-9278609.75</v>
      </c>
    </row>
    <row r="91" spans="2:17">
      <c r="B91" t="s">
        <v>1094</v>
      </c>
      <c r="G91" s="63">
        <v>2874932.0166159612</v>
      </c>
      <c r="H91" s="63">
        <v>3069164.6989402194</v>
      </c>
      <c r="I91" s="63">
        <v>3257781.1372850863</v>
      </c>
      <c r="J91" s="63">
        <v>3469105.4255305729</v>
      </c>
      <c r="K91" s="63">
        <v>3638144.3794071311</v>
      </c>
      <c r="L91" s="59">
        <v>3761548687.7937398</v>
      </c>
      <c r="M91" s="59">
        <v>3863075380.4837413</v>
      </c>
      <c r="N91" s="59">
        <v>3909008814.7553082</v>
      </c>
      <c r="O91" s="59">
        <v>4065092915.9300003</v>
      </c>
      <c r="P91" s="59">
        <v>4228083960.9300003</v>
      </c>
      <c r="Q91" s="59">
        <v>4285777341.1199999</v>
      </c>
    </row>
    <row r="92" spans="2:17">
      <c r="B92" s="200"/>
      <c r="G92" s="8">
        <f>G85+G86+G87+G89+G90</f>
        <v>2874932.0166159612</v>
      </c>
      <c r="H92" s="8">
        <f t="shared" ref="H92:Q92" si="8">H85+H86+H87+H89+H90</f>
        <v>3069164.6989402194</v>
      </c>
      <c r="I92" s="8">
        <f t="shared" si="8"/>
        <v>3257781.1372850863</v>
      </c>
      <c r="J92" s="8">
        <f t="shared" si="8"/>
        <v>3469105.4255305729</v>
      </c>
      <c r="K92" s="8">
        <f t="shared" si="8"/>
        <v>3638144.3794071311</v>
      </c>
      <c r="L92" s="8">
        <f t="shared" si="8"/>
        <v>3761548687.7937398</v>
      </c>
      <c r="M92" s="8">
        <f t="shared" si="8"/>
        <v>3863075380.4837413</v>
      </c>
      <c r="N92" s="8">
        <f t="shared" si="8"/>
        <v>3909008814.7553082</v>
      </c>
      <c r="O92" s="8">
        <f t="shared" si="8"/>
        <v>4065092915.9300003</v>
      </c>
      <c r="P92" s="8">
        <f t="shared" si="8"/>
        <v>4228083960.9300003</v>
      </c>
      <c r="Q92" s="8">
        <f t="shared" si="8"/>
        <v>4285777341.1199999</v>
      </c>
    </row>
    <row r="93" spans="2:17">
      <c r="C93" s="5" t="s">
        <v>1596</v>
      </c>
      <c r="D93" s="5"/>
      <c r="E93" s="5"/>
      <c r="F93" s="5"/>
    </row>
    <row r="95" spans="2:17">
      <c r="B95" t="s">
        <v>1091</v>
      </c>
      <c r="G95" s="8">
        <v>40205.100137253932</v>
      </c>
      <c r="H95" s="8">
        <v>79147.994520192617</v>
      </c>
      <c r="I95" s="8">
        <v>80019.402538614682</v>
      </c>
      <c r="J95" s="8">
        <v>79252.623047895831</v>
      </c>
      <c r="K95" s="62">
        <v>78761.383681904757</v>
      </c>
      <c r="L95" s="8">
        <v>77811197.02100724</v>
      </c>
      <c r="M95" s="8">
        <v>75767642.783495113</v>
      </c>
      <c r="N95" s="8">
        <v>70704505.303495094</v>
      </c>
      <c r="O95" s="8">
        <v>62613396.829999998</v>
      </c>
      <c r="P95" s="8">
        <v>53964095.520000003</v>
      </c>
      <c r="Q95" s="8">
        <v>45932752.310000002</v>
      </c>
    </row>
    <row r="96" spans="2:17">
      <c r="B96" t="s">
        <v>1589</v>
      </c>
      <c r="G96" s="8">
        <v>1161.9273939666384</v>
      </c>
      <c r="H96" s="8">
        <v>2635.6282175224142</v>
      </c>
      <c r="I96" s="8">
        <v>1264.3065601101116</v>
      </c>
      <c r="J96" s="8">
        <v>1983.3442400854869</v>
      </c>
      <c r="K96" s="62">
        <v>2307.7085418798088</v>
      </c>
      <c r="L96" s="8">
        <v>1034888.9203793958</v>
      </c>
      <c r="M96" s="8">
        <v>1279378.5835862313</v>
      </c>
      <c r="N96" s="8">
        <v>1043608.9343689316</v>
      </c>
      <c r="O96" s="8">
        <v>1195346.67</v>
      </c>
      <c r="P96" s="8">
        <v>1136881.27</v>
      </c>
      <c r="Q96" s="8">
        <v>1008401.09</v>
      </c>
    </row>
    <row r="97" spans="2:17">
      <c r="B97" t="s">
        <v>1590</v>
      </c>
      <c r="G97" s="8">
        <v>-1540.6259124519056</v>
      </c>
      <c r="H97" s="8">
        <v>-5656.4018492107225</v>
      </c>
      <c r="I97" s="8">
        <v>-6120.4535753777291</v>
      </c>
      <c r="J97" s="8">
        <v>-6502.1863407755864</v>
      </c>
      <c r="K97" s="62">
        <v>-6949.1002007359721</v>
      </c>
      <c r="L97" s="8">
        <v>-7415922.2356680883</v>
      </c>
      <c r="M97" s="8">
        <v>-8298380.1399999997</v>
      </c>
      <c r="N97" s="8">
        <v>-8957888.879999999</v>
      </c>
      <c r="O97" s="8">
        <v>-9393948.9800000004</v>
      </c>
      <c r="P97" s="8">
        <v>-9901237.2599999998</v>
      </c>
      <c r="Q97" s="8">
        <v>-10095206.6</v>
      </c>
    </row>
    <row r="98" spans="2:17">
      <c r="B98" t="s">
        <v>1591</v>
      </c>
      <c r="G98" s="8">
        <v>-378.69851848526719</v>
      </c>
      <c r="H98" s="8">
        <v>-3020.7736316883083</v>
      </c>
      <c r="I98" s="8">
        <v>-4856.1470152676175</v>
      </c>
      <c r="J98" s="8">
        <v>-4518.842100690099</v>
      </c>
      <c r="K98" s="62">
        <v>-4641.3916588561633</v>
      </c>
      <c r="L98" s="8">
        <v>-6381033.3152886927</v>
      </c>
      <c r="M98" s="8"/>
      <c r="N98" s="8"/>
      <c r="O98" s="8"/>
      <c r="P98" s="8"/>
      <c r="Q98" s="8"/>
    </row>
    <row r="99" spans="2:17">
      <c r="B99" t="s">
        <v>1592</v>
      </c>
      <c r="G99" s="8">
        <v>39321.592901423952</v>
      </c>
      <c r="H99" s="8">
        <v>3892.1816501103685</v>
      </c>
      <c r="I99" s="8">
        <v>4089.3675245487616</v>
      </c>
      <c r="J99" s="8">
        <v>4027.6027346990336</v>
      </c>
      <c r="K99" s="62">
        <v>3691.2049979586391</v>
      </c>
      <c r="L99" s="8">
        <v>4337479.0777765475</v>
      </c>
      <c r="M99" s="8">
        <v>1955864.0764137621</v>
      </c>
      <c r="N99" s="8">
        <v>-176828.53000000003</v>
      </c>
      <c r="O99" s="8">
        <v>-450698.99</v>
      </c>
      <c r="P99" s="8">
        <v>733012.78</v>
      </c>
      <c r="Q99" s="8">
        <v>-2861006.34</v>
      </c>
    </row>
    <row r="100" spans="2:17">
      <c r="B100" t="s">
        <v>1593</v>
      </c>
      <c r="G100" s="8">
        <v>0</v>
      </c>
      <c r="H100" s="8">
        <v>0</v>
      </c>
      <c r="I100" s="8">
        <v>0</v>
      </c>
      <c r="J100" s="8">
        <v>0</v>
      </c>
      <c r="K100" s="62">
        <v>0</v>
      </c>
      <c r="L100" s="8">
        <v>0</v>
      </c>
      <c r="M100" s="8">
        <v>0</v>
      </c>
      <c r="N100" s="8">
        <v>0</v>
      </c>
      <c r="O100" s="8">
        <v>0</v>
      </c>
      <c r="P100" s="8">
        <v>0</v>
      </c>
      <c r="Q100" s="8">
        <v>0</v>
      </c>
    </row>
    <row r="101" spans="2:17">
      <c r="B101" t="s">
        <v>1094</v>
      </c>
      <c r="G101" s="59">
        <v>79147.994520192617</v>
      </c>
      <c r="H101" s="59">
        <v>80019.402538614682</v>
      </c>
      <c r="I101" s="59">
        <v>79252.623047895831</v>
      </c>
      <c r="J101" s="59">
        <v>78761.383681904757</v>
      </c>
      <c r="K101" s="63">
        <v>77811.197021007232</v>
      </c>
      <c r="L101" s="59">
        <v>75767642.783495098</v>
      </c>
      <c r="M101" s="59">
        <v>70704505.303495109</v>
      </c>
      <c r="N101" s="59">
        <v>62613396.827864036</v>
      </c>
      <c r="O101" s="59">
        <v>53964095.529999994</v>
      </c>
      <c r="P101" s="59">
        <v>45932752.31000001</v>
      </c>
      <c r="Q101" s="59">
        <v>33984940.460000008</v>
      </c>
    </row>
    <row r="102" spans="2:17">
      <c r="B102" s="200"/>
      <c r="G102" s="8">
        <f>G95+G96+G97+G99+G100</f>
        <v>79147.994520192617</v>
      </c>
      <c r="H102" s="8">
        <f t="shared" ref="H102:Q102" si="9">H95+H96+H97+H99+H100</f>
        <v>80019.402538614682</v>
      </c>
      <c r="I102" s="8">
        <f t="shared" si="9"/>
        <v>79252.623047895831</v>
      </c>
      <c r="J102" s="8">
        <f t="shared" si="9"/>
        <v>78761.383681904757</v>
      </c>
      <c r="K102" s="8">
        <f t="shared" si="9"/>
        <v>77811.197021007232</v>
      </c>
      <c r="L102" s="8">
        <f t="shared" si="9"/>
        <v>75767642.783495098</v>
      </c>
      <c r="M102" s="8">
        <f t="shared" si="9"/>
        <v>70704505.303495109</v>
      </c>
      <c r="N102" s="8">
        <f t="shared" si="9"/>
        <v>62613396.827864036</v>
      </c>
      <c r="O102" s="8">
        <f t="shared" si="9"/>
        <v>53964095.529999994</v>
      </c>
      <c r="P102" s="8">
        <f t="shared" si="9"/>
        <v>45932752.31000001</v>
      </c>
      <c r="Q102" s="8">
        <f t="shared" si="9"/>
        <v>33984940.460000008</v>
      </c>
    </row>
    <row r="103" spans="2:17">
      <c r="G103" s="5"/>
    </row>
    <row r="105" spans="2:17">
      <c r="B105" s="1" t="s">
        <v>1599</v>
      </c>
    </row>
    <row r="106" spans="2:17">
      <c r="B106" s="42" t="s">
        <v>1600</v>
      </c>
    </row>
    <row r="107" spans="2:17">
      <c r="B107" t="s">
        <v>1601</v>
      </c>
      <c r="H107" s="35">
        <v>992267535</v>
      </c>
      <c r="I107" s="35">
        <v>1034200000</v>
      </c>
      <c r="J107" s="35">
        <v>1055011412</v>
      </c>
      <c r="K107" s="35">
        <v>1087431691</v>
      </c>
      <c r="L107" s="35">
        <v>1108669276</v>
      </c>
      <c r="M107" s="35">
        <v>1135694043</v>
      </c>
      <c r="N107" s="35">
        <v>1161282529</v>
      </c>
      <c r="O107" s="35">
        <v>1177797954</v>
      </c>
      <c r="P107" s="35">
        <v>1235673280</v>
      </c>
    </row>
    <row r="108" spans="2:17">
      <c r="B108" t="s">
        <v>1602</v>
      </c>
      <c r="I108" t="s">
        <v>1603</v>
      </c>
      <c r="J108" s="35">
        <v>21142513</v>
      </c>
      <c r="K108" s="35">
        <v>23500488</v>
      </c>
      <c r="L108" s="35">
        <v>25584676</v>
      </c>
      <c r="M108" s="35">
        <v>17078106</v>
      </c>
      <c r="N108" s="35">
        <v>11882891</v>
      </c>
      <c r="O108" s="35">
        <v>22775099</v>
      </c>
      <c r="P108" s="35">
        <v>25673429</v>
      </c>
    </row>
    <row r="109" spans="2:17">
      <c r="B109" t="s">
        <v>1604</v>
      </c>
      <c r="H109" s="35">
        <v>-52504509</v>
      </c>
      <c r="I109" s="35">
        <v>-54900000</v>
      </c>
      <c r="J109" s="35">
        <v>-46014561</v>
      </c>
      <c r="K109" s="35">
        <v>-55276226</v>
      </c>
      <c r="L109" s="35">
        <v>-58693216</v>
      </c>
      <c r="M109" s="35">
        <v>-61463796</v>
      </c>
      <c r="N109" s="35">
        <v>-76575526</v>
      </c>
      <c r="O109" s="35">
        <v>-62871326</v>
      </c>
      <c r="P109" s="35">
        <v>-65790076</v>
      </c>
    </row>
    <row r="110" spans="2:17">
      <c r="B110" t="s">
        <v>1605</v>
      </c>
      <c r="H110" s="35">
        <v>60239980</v>
      </c>
      <c r="I110" s="35">
        <v>75700000</v>
      </c>
      <c r="J110" s="35">
        <v>57476280</v>
      </c>
      <c r="K110" s="35">
        <v>53028323</v>
      </c>
      <c r="L110" s="35">
        <v>60133308</v>
      </c>
      <c r="M110" s="35">
        <v>69974176</v>
      </c>
      <c r="N110" s="35">
        <v>81208060</v>
      </c>
      <c r="O110" s="35">
        <v>97992880</v>
      </c>
      <c r="P110" s="35">
        <v>88808931</v>
      </c>
    </row>
    <row r="111" spans="2:17">
      <c r="B111" t="s">
        <v>1606</v>
      </c>
      <c r="J111" s="35">
        <v>-183952</v>
      </c>
      <c r="K111" s="35">
        <v>-15000</v>
      </c>
      <c r="O111" s="35">
        <v>-21327</v>
      </c>
    </row>
    <row r="112" spans="2:17">
      <c r="B112" t="s">
        <v>1607</v>
      </c>
      <c r="G112" s="1"/>
      <c r="H112" s="141">
        <v>1000003006</v>
      </c>
      <c r="I112" s="141">
        <v>1055000000</v>
      </c>
      <c r="J112" s="141">
        <v>1087431691</v>
      </c>
      <c r="K112" s="141">
        <v>1108669276</v>
      </c>
      <c r="L112" s="141">
        <v>1135694043</v>
      </c>
      <c r="M112" s="141">
        <v>1161282529</v>
      </c>
      <c r="N112" s="141">
        <v>1177797954</v>
      </c>
      <c r="O112" s="141">
        <v>1235673280</v>
      </c>
      <c r="P112" s="141">
        <v>1284365564</v>
      </c>
      <c r="Q112" s="1"/>
    </row>
    <row r="115" spans="2:13">
      <c r="B115" s="1" t="s">
        <v>506</v>
      </c>
    </row>
    <row r="116" spans="2:13">
      <c r="B116" s="42" t="s">
        <v>1600</v>
      </c>
      <c r="C116" s="5" t="s">
        <v>1587</v>
      </c>
    </row>
    <row r="117" spans="2:13">
      <c r="B117" t="s">
        <v>1601</v>
      </c>
      <c r="H117" s="35">
        <v>1299933838</v>
      </c>
      <c r="I117" s="35">
        <v>1446378822</v>
      </c>
      <c r="J117" s="35">
        <v>1606124517</v>
      </c>
      <c r="K117" s="140">
        <v>1731497.8959999999</v>
      </c>
      <c r="L117" s="35">
        <v>1866881158</v>
      </c>
      <c r="M117" s="35">
        <v>2028283789</v>
      </c>
    </row>
    <row r="118" spans="2:13">
      <c r="B118" t="s">
        <v>1602</v>
      </c>
      <c r="H118" s="35">
        <v>36278451</v>
      </c>
      <c r="I118" s="35">
        <v>50962725</v>
      </c>
      <c r="J118" s="35">
        <v>32216307</v>
      </c>
      <c r="K118" s="140">
        <v>37450.940999999999</v>
      </c>
      <c r="L118" s="35">
        <v>44179471</v>
      </c>
      <c r="M118" s="35">
        <v>30446146</v>
      </c>
    </row>
    <row r="119" spans="2:13">
      <c r="B119" t="s">
        <v>1604</v>
      </c>
      <c r="H119" s="35">
        <v>-65682347</v>
      </c>
      <c r="I119" s="35">
        <v>-83380174</v>
      </c>
      <c r="J119" s="35">
        <v>-94034533</v>
      </c>
      <c r="K119" s="140">
        <v>-103287.303</v>
      </c>
      <c r="L119" s="35">
        <v>-118489525</v>
      </c>
      <c r="M119" s="35">
        <v>-137674963</v>
      </c>
    </row>
    <row r="120" spans="2:13">
      <c r="B120" t="s">
        <v>1608</v>
      </c>
      <c r="K120" s="140">
        <v>-65836.361999999994</v>
      </c>
    </row>
    <row r="121" spans="2:13">
      <c r="B121" t="s">
        <v>1605</v>
      </c>
      <c r="H121" s="35">
        <v>175848880</v>
      </c>
      <c r="I121" s="35">
        <v>192163145</v>
      </c>
      <c r="J121" s="35">
        <v>180154036</v>
      </c>
      <c r="K121" s="140">
        <v>205573.269</v>
      </c>
      <c r="L121" s="35">
        <v>204711741</v>
      </c>
      <c r="M121" s="35">
        <v>167086395</v>
      </c>
    </row>
    <row r="122" spans="2:13">
      <c r="B122" t="s">
        <v>1606</v>
      </c>
      <c r="H122">
        <v>0</v>
      </c>
      <c r="I122">
        <v>0</v>
      </c>
      <c r="J122">
        <v>0</v>
      </c>
      <c r="K122">
        <v>0</v>
      </c>
      <c r="L122">
        <v>0</v>
      </c>
    </row>
    <row r="123" spans="2:13">
      <c r="B123" t="s">
        <v>1607</v>
      </c>
      <c r="H123" s="141">
        <v>1446378822</v>
      </c>
      <c r="I123" s="141">
        <v>1606124517</v>
      </c>
      <c r="J123" s="141">
        <v>1724460326</v>
      </c>
      <c r="K123" s="187">
        <v>1871234.8030000001</v>
      </c>
      <c r="L123" s="141">
        <v>1997282845</v>
      </c>
      <c r="M123" s="141">
        <v>2088141367</v>
      </c>
    </row>
    <row r="125" spans="2:13">
      <c r="C125" s="5" t="s">
        <v>1595</v>
      </c>
    </row>
    <row r="126" spans="2:13">
      <c r="B126" t="s">
        <v>1601</v>
      </c>
      <c r="H126" s="35">
        <v>1380227518</v>
      </c>
      <c r="I126" s="35">
        <v>1521167113</v>
      </c>
      <c r="J126" s="35">
        <v>1676279986</v>
      </c>
      <c r="K126" s="140">
        <v>1795895.7520000001</v>
      </c>
      <c r="L126" s="35">
        <v>1924855770</v>
      </c>
      <c r="M126" s="35">
        <v>2083013610</v>
      </c>
    </row>
    <row r="127" spans="2:13">
      <c r="B127" t="s">
        <v>1602</v>
      </c>
      <c r="H127" s="35">
        <v>38476093</v>
      </c>
      <c r="I127" s="35">
        <v>53543678</v>
      </c>
      <c r="J127" s="35">
        <v>33592651</v>
      </c>
      <c r="K127" s="140">
        <v>38811.107000000004</v>
      </c>
      <c r="L127" s="35">
        <v>44419749</v>
      </c>
      <c r="M127" s="35">
        <v>31245204</v>
      </c>
    </row>
    <row r="128" spans="2:13">
      <c r="B128" t="s">
        <v>1604</v>
      </c>
      <c r="H128" s="35">
        <v>-76701237</v>
      </c>
      <c r="I128" s="35">
        <v>-94883329</v>
      </c>
      <c r="J128" s="35">
        <v>-105881032</v>
      </c>
      <c r="K128" s="140">
        <v>-115416.90700000001</v>
      </c>
      <c r="L128" s="35">
        <v>-129142790</v>
      </c>
      <c r="M128" s="35">
        <v>-141813136</v>
      </c>
    </row>
    <row r="129" spans="2:13">
      <c r="B129" t="s">
        <v>1608</v>
      </c>
      <c r="K129" s="140">
        <v>-76605.8</v>
      </c>
    </row>
    <row r="130" spans="2:13">
      <c r="B130" t="s">
        <v>1605</v>
      </c>
      <c r="H130" s="35">
        <v>179164738</v>
      </c>
      <c r="I130" s="35">
        <v>196452525</v>
      </c>
      <c r="J130" s="35">
        <v>184714887</v>
      </c>
      <c r="K130" s="140">
        <v>210562.5</v>
      </c>
      <c r="L130" s="35">
        <v>210520679</v>
      </c>
      <c r="M130" s="35">
        <v>171423346</v>
      </c>
    </row>
    <row r="131" spans="2:13">
      <c r="B131" t="s">
        <v>1606</v>
      </c>
      <c r="H131">
        <v>0</v>
      </c>
      <c r="I131">
        <v>0</v>
      </c>
      <c r="J131">
        <v>0</v>
      </c>
      <c r="K131">
        <v>0</v>
      </c>
      <c r="L131">
        <v>0</v>
      </c>
    </row>
    <row r="132" spans="2:13">
      <c r="B132" t="s">
        <v>1607</v>
      </c>
      <c r="H132" s="141">
        <v>1521167113</v>
      </c>
      <c r="I132" s="141">
        <v>1676279986</v>
      </c>
      <c r="J132" s="141">
        <v>1788706493</v>
      </c>
      <c r="K132" s="187">
        <v>1929852.452</v>
      </c>
      <c r="L132" s="141">
        <v>2050653408</v>
      </c>
      <c r="M132" s="141">
        <v>2143869024</v>
      </c>
    </row>
    <row r="134" spans="2:13">
      <c r="C134" s="5" t="s">
        <v>1596</v>
      </c>
    </row>
    <row r="135" spans="2:13">
      <c r="B135" t="s">
        <v>1601</v>
      </c>
      <c r="H135" s="35">
        <v>16405127</v>
      </c>
      <c r="I135" s="35">
        <v>17309784</v>
      </c>
      <c r="J135" s="35">
        <v>18472999</v>
      </c>
      <c r="K135" s="140">
        <v>17315.395</v>
      </c>
      <c r="L135" s="35">
        <v>19119229</v>
      </c>
      <c r="M135" s="35">
        <v>232004460</v>
      </c>
    </row>
    <row r="136" spans="2:13">
      <c r="B136" t="s">
        <v>1602</v>
      </c>
      <c r="H136" s="35">
        <v>515747</v>
      </c>
      <c r="I136" s="35">
        <v>609284</v>
      </c>
      <c r="J136" s="35">
        <v>370196</v>
      </c>
      <c r="K136">
        <v>374.2</v>
      </c>
      <c r="L136" s="35">
        <v>441210</v>
      </c>
      <c r="M136" s="35">
        <v>3207995</v>
      </c>
    </row>
    <row r="137" spans="2:13">
      <c r="B137" t="s">
        <v>1604</v>
      </c>
      <c r="H137" t="s">
        <v>1609</v>
      </c>
      <c r="I137" t="s">
        <v>1609</v>
      </c>
      <c r="J137" t="s">
        <v>1609</v>
      </c>
      <c r="K137">
        <v>0</v>
      </c>
      <c r="L137">
        <v>0</v>
      </c>
      <c r="M137" s="35">
        <v>-29829772</v>
      </c>
    </row>
    <row r="138" spans="2:13">
      <c r="B138" t="s">
        <v>1608</v>
      </c>
      <c r="K138">
        <v>374.2</v>
      </c>
    </row>
    <row r="139" spans="2:13">
      <c r="B139" t="s">
        <v>1605</v>
      </c>
      <c r="H139" s="35">
        <v>1399000</v>
      </c>
      <c r="I139" s="35">
        <v>1800846</v>
      </c>
      <c r="J139" s="35">
        <v>-144448</v>
      </c>
      <c r="K139" s="140">
        <v>2914.279</v>
      </c>
      <c r="L139" s="35">
        <v>642690</v>
      </c>
      <c r="M139" s="35">
        <v>9402453</v>
      </c>
    </row>
    <row r="140" spans="2:13">
      <c r="B140" t="s">
        <v>1606</v>
      </c>
      <c r="H140" t="s">
        <v>1609</v>
      </c>
      <c r="I140" t="s">
        <v>1609</v>
      </c>
      <c r="J140" t="s">
        <v>1609</v>
      </c>
      <c r="K140">
        <v>0</v>
      </c>
      <c r="L140">
        <v>0</v>
      </c>
    </row>
    <row r="141" spans="2:13">
      <c r="B141" t="s">
        <v>1607</v>
      </c>
      <c r="H141" s="141">
        <v>17309784</v>
      </c>
      <c r="I141" s="141">
        <v>18472999</v>
      </c>
      <c r="J141" s="141">
        <v>17315395</v>
      </c>
      <c r="K141" s="187">
        <v>20603.874</v>
      </c>
      <c r="L141" s="141">
        <v>20203130</v>
      </c>
      <c r="M141" s="141">
        <v>214785136</v>
      </c>
    </row>
    <row r="143" spans="2:13">
      <c r="B143" s="1" t="s">
        <v>1610</v>
      </c>
    </row>
    <row r="144" spans="2:13">
      <c r="B144" s="42" t="s">
        <v>1600</v>
      </c>
    </row>
    <row r="145" spans="2:2">
      <c r="B145" t="s">
        <v>1601</v>
      </c>
    </row>
    <row r="146" spans="2:2">
      <c r="B146" t="s">
        <v>1602</v>
      </c>
    </row>
    <row r="147" spans="2:2">
      <c r="B147" t="s">
        <v>1604</v>
      </c>
    </row>
    <row r="148" spans="2:2">
      <c r="B148" t="s">
        <v>1608</v>
      </c>
    </row>
    <row r="149" spans="2:2">
      <c r="B149" t="s">
        <v>1605</v>
      </c>
    </row>
    <row r="150" spans="2:2">
      <c r="B150" t="s">
        <v>1606</v>
      </c>
    </row>
    <row r="151" spans="2:2">
      <c r="B151" t="s">
        <v>1607</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90751-FE36-484F-8908-32D5F6557728}">
  <sheetPr codeName="Sheet19">
    <tabColor theme="0" tint="-0.249977111117893"/>
  </sheetPr>
  <dimension ref="B1:Q52"/>
  <sheetViews>
    <sheetView topLeftCell="A42" zoomScale="90" zoomScaleNormal="90" workbookViewId="0">
      <selection activeCell="G44" sqref="G44:G52"/>
    </sheetView>
  </sheetViews>
  <sheetFormatPr defaultRowHeight="14.25"/>
  <cols>
    <col min="2" max="2" width="38" bestFit="1" customWidth="1"/>
    <col min="7" max="7" width="25.75" bestFit="1" customWidth="1"/>
    <col min="8" max="10" width="13.58203125" bestFit="1" customWidth="1"/>
    <col min="11" max="11" width="15.25" bestFit="1" customWidth="1"/>
    <col min="12" max="12" width="17.5" bestFit="1" customWidth="1"/>
    <col min="13" max="16" width="13.58203125" bestFit="1" customWidth="1"/>
    <col min="17" max="17" width="12.5" bestFit="1" customWidth="1"/>
  </cols>
  <sheetData>
    <row r="1" spans="2:17">
      <c r="B1" t="s">
        <v>2013</v>
      </c>
      <c r="G1">
        <v>2010</v>
      </c>
      <c r="H1">
        <v>2011</v>
      </c>
      <c r="I1">
        <v>2012</v>
      </c>
      <c r="J1">
        <v>2013</v>
      </c>
      <c r="K1">
        <v>2014</v>
      </c>
      <c r="L1">
        <v>2015</v>
      </c>
      <c r="M1">
        <v>2016</v>
      </c>
      <c r="N1">
        <v>2017</v>
      </c>
      <c r="O1">
        <v>2018</v>
      </c>
      <c r="P1">
        <v>2019</v>
      </c>
      <c r="Q1">
        <v>2020</v>
      </c>
    </row>
    <row r="2" spans="2:17">
      <c r="B2" s="1" t="s">
        <v>2014</v>
      </c>
    </row>
    <row r="3" spans="2:17">
      <c r="B3" s="42" t="s">
        <v>2015</v>
      </c>
    </row>
    <row r="4" spans="2:17">
      <c r="B4" t="s">
        <v>1091</v>
      </c>
      <c r="G4" s="8">
        <v>2188157.5580000002</v>
      </c>
      <c r="H4" s="8">
        <v>2207940.7889999999</v>
      </c>
      <c r="I4" s="8">
        <v>2257868.0639999998</v>
      </c>
      <c r="J4" s="8">
        <v>2328015.8689999999</v>
      </c>
      <c r="K4" s="8">
        <v>2413683.3592545642</v>
      </c>
      <c r="L4" s="8">
        <v>2736994956.2066703</v>
      </c>
      <c r="M4">
        <v>2834135324.3016791</v>
      </c>
      <c r="N4">
        <v>2852809168.4860191</v>
      </c>
      <c r="O4">
        <v>2953237774.7254906</v>
      </c>
      <c r="P4">
        <v>2944047973.0995598</v>
      </c>
      <c r="Q4">
        <v>2944244235.546926</v>
      </c>
    </row>
    <row r="5" spans="2:17">
      <c r="B5" t="s">
        <v>1589</v>
      </c>
      <c r="G5">
        <v>46135.851999999999</v>
      </c>
      <c r="H5">
        <v>58617.896999999997</v>
      </c>
      <c r="I5">
        <v>70071.767999999996</v>
      </c>
      <c r="J5">
        <v>51318.987000000001</v>
      </c>
      <c r="K5">
        <v>66257.974567772195</v>
      </c>
      <c r="L5">
        <v>59149203.375782549</v>
      </c>
      <c r="M5">
        <v>65403122.868500687</v>
      </c>
      <c r="N5">
        <v>36980859.591485724</v>
      </c>
      <c r="O5">
        <v>53989721.658601202</v>
      </c>
      <c r="P5">
        <v>55498211.342092097</v>
      </c>
      <c r="Q5">
        <v>49286907.907834135</v>
      </c>
    </row>
    <row r="6" spans="2:17">
      <c r="B6" t="s">
        <v>1590</v>
      </c>
      <c r="G6">
        <v>-112873.439</v>
      </c>
      <c r="H6">
        <v>-118888.912</v>
      </c>
      <c r="I6">
        <v>-123748.05100000001</v>
      </c>
      <c r="J6">
        <v>-129632.00900000001</v>
      </c>
      <c r="K6">
        <v>-127428.17617868638</v>
      </c>
      <c r="L6">
        <v>-145677735.98860696</v>
      </c>
      <c r="M6">
        <v>-152613983.36791819</v>
      </c>
      <c r="N6">
        <v>-161231040.23911139</v>
      </c>
      <c r="O6">
        <v>-170906180.48810545</v>
      </c>
      <c r="P6">
        <v>-174346823.83437318</v>
      </c>
      <c r="Q6">
        <v>-182669677.24412391</v>
      </c>
    </row>
    <row r="7" spans="2:17">
      <c r="B7" t="s">
        <v>1591</v>
      </c>
      <c r="G7">
        <v>-66737.587</v>
      </c>
      <c r="H7">
        <v>-60271.014999999999</v>
      </c>
      <c r="I7">
        <v>-53676.283000000003</v>
      </c>
      <c r="J7">
        <v>-78313.021999999997</v>
      </c>
      <c r="K7">
        <v>-61170.201610914184</v>
      </c>
      <c r="L7">
        <v>-86528532.61282441</v>
      </c>
    </row>
    <row r="8" spans="2:17">
      <c r="B8" t="s">
        <v>1592</v>
      </c>
      <c r="G8">
        <v>86552.108999999997</v>
      </c>
      <c r="H8">
        <v>110822.41800000001</v>
      </c>
      <c r="I8">
        <v>124792.08900000001</v>
      </c>
      <c r="J8">
        <v>166090.78399999999</v>
      </c>
      <c r="K8">
        <v>176329.54932170166</v>
      </c>
      <c r="L8">
        <v>192954250.26138401</v>
      </c>
      <c r="M8">
        <v>133160817.65741587</v>
      </c>
      <c r="N8">
        <v>125721379.42957167</v>
      </c>
      <c r="O8">
        <v>113724564.13357373</v>
      </c>
      <c r="P8">
        <v>119668703.06964719</v>
      </c>
      <c r="Q8">
        <v>230006499.98383895</v>
      </c>
    </row>
    <row r="9" spans="2:17">
      <c r="B9" t="s">
        <v>1593</v>
      </c>
      <c r="G9">
        <v>-31.29</v>
      </c>
      <c r="H9">
        <v>-624.12900000000002</v>
      </c>
      <c r="I9">
        <v>-968</v>
      </c>
      <c r="J9">
        <v>-2110.2719999999999</v>
      </c>
      <c r="K9">
        <v>0</v>
      </c>
      <c r="L9">
        <v>0</v>
      </c>
      <c r="M9">
        <v>0</v>
      </c>
      <c r="N9">
        <v>-121138.95000000001</v>
      </c>
      <c r="O9">
        <v>-5997906.9299999997</v>
      </c>
      <c r="P9">
        <v>-623828.13</v>
      </c>
      <c r="Q9">
        <v>-2601809.4370554206</v>
      </c>
    </row>
    <row r="10" spans="2:17">
      <c r="B10" t="s">
        <v>2016</v>
      </c>
      <c r="N10">
        <v>99078546.407524884</v>
      </c>
    </row>
    <row r="11" spans="2:17">
      <c r="B11" t="s">
        <v>1094</v>
      </c>
      <c r="G11" s="1">
        <v>2207940.7889999999</v>
      </c>
      <c r="H11" s="1">
        <v>2257868.0639999998</v>
      </c>
      <c r="I11" s="1">
        <v>2328015.8689999999</v>
      </c>
      <c r="J11" s="1">
        <v>2413683.3590000002</v>
      </c>
      <c r="K11" s="59">
        <v>2539015.2627664483</v>
      </c>
      <c r="L11" s="1">
        <v>2843420673.8552299</v>
      </c>
      <c r="M11" s="1">
        <v>2880085281.4596777</v>
      </c>
      <c r="N11" s="1">
        <v>2953237774.7254901</v>
      </c>
      <c r="O11" s="1">
        <v>2944047973.0995603</v>
      </c>
      <c r="P11" s="1">
        <v>2944244235.546926</v>
      </c>
      <c r="Q11" s="1">
        <v>3038266156.7574196</v>
      </c>
    </row>
    <row r="13" spans="2:17">
      <c r="B13" s="1" t="s">
        <v>2017</v>
      </c>
      <c r="C13" s="5" t="s">
        <v>1587</v>
      </c>
      <c r="D13" s="5"/>
      <c r="E13" s="5"/>
      <c r="F13" s="5"/>
    </row>
    <row r="14" spans="2:17">
      <c r="B14" s="42" t="s">
        <v>2018</v>
      </c>
    </row>
    <row r="15" spans="2:17">
      <c r="B15" t="s">
        <v>1091</v>
      </c>
      <c r="G15">
        <v>1858761666.8045499</v>
      </c>
      <c r="H15">
        <v>2077259192.39292</v>
      </c>
      <c r="I15">
        <v>2276705563.2902899</v>
      </c>
      <c r="J15">
        <v>2562318006.9176297</v>
      </c>
      <c r="K15">
        <v>2857947864.4268498</v>
      </c>
      <c r="L15">
        <v>3196930336.3886833</v>
      </c>
      <c r="M15">
        <v>3440511510.8184352</v>
      </c>
      <c r="N15">
        <v>3598091360.6506681</v>
      </c>
      <c r="O15">
        <v>3797137200.6092525</v>
      </c>
      <c r="P15">
        <v>4055352631.8029866</v>
      </c>
      <c r="Q15">
        <v>4328499566.874136</v>
      </c>
    </row>
    <row r="16" spans="2:17">
      <c r="B16" t="s">
        <v>1589</v>
      </c>
      <c r="G16">
        <v>23443840.8425797</v>
      </c>
      <c r="H16">
        <v>57906988.162792303</v>
      </c>
      <c r="I16">
        <v>80137933.849225298</v>
      </c>
      <c r="J16">
        <v>51349058.254862301</v>
      </c>
      <c r="K16">
        <v>61763116.9129574</v>
      </c>
      <c r="L16">
        <v>73775315.455123916</v>
      </c>
      <c r="M16">
        <v>51737015.200276829</v>
      </c>
      <c r="N16">
        <v>36817679.039215952</v>
      </c>
      <c r="O16">
        <v>73425304.984156832</v>
      </c>
      <c r="P16">
        <v>84257552.422284588</v>
      </c>
      <c r="Q16">
        <v>68949550.622774139</v>
      </c>
    </row>
    <row r="17" spans="2:17">
      <c r="B17" t="s">
        <v>1590</v>
      </c>
      <c r="G17">
        <v>-88913315.487865999</v>
      </c>
      <c r="H17">
        <v>-130732864.021147</v>
      </c>
      <c r="I17">
        <v>-112282345.452292</v>
      </c>
      <c r="J17">
        <v>-129504237.72904</v>
      </c>
      <c r="K17">
        <v>-130471885.08236399</v>
      </c>
      <c r="L17">
        <v>-134583413.61783019</v>
      </c>
      <c r="M17">
        <v>-182299032.57606319</v>
      </c>
      <c r="N17">
        <v>-170305454.38059998</v>
      </c>
      <c r="O17">
        <v>-182526816.8346222</v>
      </c>
      <c r="P17">
        <v>-192754710.00095561</v>
      </c>
      <c r="Q17">
        <v>-207884821.88760993</v>
      </c>
    </row>
    <row r="18" spans="2:17">
      <c r="B18" t="s">
        <v>1591</v>
      </c>
      <c r="L18">
        <v>-60808098.162706271</v>
      </c>
    </row>
    <row r="19" spans="2:17">
      <c r="B19" t="s">
        <v>1592</v>
      </c>
      <c r="G19">
        <v>256945311.34784999</v>
      </c>
      <c r="H19">
        <v>272384929.105726</v>
      </c>
      <c r="I19">
        <v>322240395.99040198</v>
      </c>
      <c r="J19">
        <v>379421116.173406</v>
      </c>
      <c r="K19">
        <v>401205417.57601202</v>
      </c>
      <c r="L19">
        <v>328154167.91792583</v>
      </c>
      <c r="M19">
        <v>291506767.81074089</v>
      </c>
      <c r="N19">
        <v>332989806.60169786</v>
      </c>
      <c r="O19">
        <v>367853593.62890393</v>
      </c>
      <c r="P19">
        <v>395126617.34276366</v>
      </c>
      <c r="Q19">
        <v>351029084.75423056</v>
      </c>
    </row>
    <row r="20" spans="2:17">
      <c r="B20" t="s">
        <v>1593</v>
      </c>
      <c r="G20">
        <v>-814000</v>
      </c>
      <c r="H20">
        <v>-112682.35</v>
      </c>
      <c r="I20">
        <v>-4483540.76</v>
      </c>
      <c r="J20">
        <v>-5636079.1900000004</v>
      </c>
      <c r="K20">
        <v>-547266</v>
      </c>
      <c r="L20">
        <v>-99177.960228999989</v>
      </c>
      <c r="M20">
        <v>-3606491</v>
      </c>
      <c r="N20">
        <v>-377795.12999999989</v>
      </c>
      <c r="O20">
        <v>-487579.14000000007</v>
      </c>
      <c r="P20">
        <v>-13482524.692944583</v>
      </c>
      <c r="Q20">
        <v>-5199613.4097498432</v>
      </c>
    </row>
    <row r="21" spans="2:17">
      <c r="B21" t="s">
        <v>1094</v>
      </c>
      <c r="G21" s="1">
        <v>2077259192.39292</v>
      </c>
      <c r="H21" s="1">
        <v>2276705563.2902899</v>
      </c>
      <c r="I21" s="1">
        <v>2562318006.9176297</v>
      </c>
      <c r="J21" s="1">
        <v>2857947864.4268498</v>
      </c>
      <c r="K21" s="1">
        <v>3189897247.8334603</v>
      </c>
      <c r="L21" s="1">
        <v>3464177228.1836739</v>
      </c>
      <c r="M21" s="1">
        <v>3597849770.2533898</v>
      </c>
      <c r="N21" s="1">
        <v>3797215596.7809825</v>
      </c>
      <c r="O21" s="1">
        <v>4055401703.2476907</v>
      </c>
      <c r="P21" s="1">
        <v>4328499566.874135</v>
      </c>
      <c r="Q21" s="1">
        <v>4535393766.9537811</v>
      </c>
    </row>
    <row r="23" spans="2:17">
      <c r="C23" s="5" t="s">
        <v>1595</v>
      </c>
      <c r="D23" s="5"/>
      <c r="E23" s="5"/>
      <c r="F23" s="5"/>
    </row>
    <row r="25" spans="2:17">
      <c r="B25" t="s">
        <v>1091</v>
      </c>
      <c r="G25">
        <v>1879981443.8209898</v>
      </c>
      <c r="H25">
        <v>2093438548.03109</v>
      </c>
      <c r="I25">
        <v>2276705563.2902899</v>
      </c>
      <c r="J25">
        <v>2562318006.9176297</v>
      </c>
      <c r="K25">
        <v>2857947864.4268498</v>
      </c>
      <c r="L25">
        <v>3198499885.3550372</v>
      </c>
      <c r="M25">
        <v>3442080338.2263393</v>
      </c>
      <c r="N25">
        <v>3608589523.1580663</v>
      </c>
      <c r="O25">
        <v>3808919568.6961384</v>
      </c>
      <c r="P25">
        <v>4067620147.0200481</v>
      </c>
      <c r="Q25">
        <v>4340743714.3402224</v>
      </c>
    </row>
    <row r="26" spans="2:17">
      <c r="B26" t="s">
        <v>1589</v>
      </c>
      <c r="G26">
        <v>23711477.669814099</v>
      </c>
      <c r="H26">
        <v>58358014.091021404</v>
      </c>
      <c r="I26">
        <v>80137933.849225298</v>
      </c>
      <c r="J26">
        <v>51349058.254862301</v>
      </c>
      <c r="K26">
        <v>61763116.9129574</v>
      </c>
      <c r="L26">
        <v>73811535.815885857</v>
      </c>
      <c r="M26">
        <v>51760606.58986938</v>
      </c>
      <c r="N26">
        <v>36925102.097431183</v>
      </c>
      <c r="O26">
        <v>73653140.831140816</v>
      </c>
      <c r="P26">
        <v>84512433.045583963</v>
      </c>
      <c r="Q26">
        <v>69144590.13993302</v>
      </c>
    </row>
    <row r="27" spans="2:17">
      <c r="B27" t="s">
        <v>1590</v>
      </c>
      <c r="G27">
        <v>-109209320.21431001</v>
      </c>
      <c r="H27">
        <v>-147363245.587551</v>
      </c>
      <c r="I27">
        <v>-112282345.452292</v>
      </c>
      <c r="J27">
        <v>-129504237.72904</v>
      </c>
      <c r="K27">
        <v>-130471885.08236399</v>
      </c>
      <c r="L27">
        <v>-134620346.05495945</v>
      </c>
      <c r="M27">
        <v>-182336523.59640929</v>
      </c>
      <c r="N27">
        <v>-170531879.81233338</v>
      </c>
      <c r="O27">
        <v>-182788107.38349718</v>
      </c>
      <c r="P27">
        <v>-193032958.37523076</v>
      </c>
      <c r="Q27">
        <v>-208167502.53687352</v>
      </c>
    </row>
    <row r="28" spans="2:17">
      <c r="B28" t="s">
        <v>1591</v>
      </c>
      <c r="L28">
        <v>-60808810.239073589</v>
      </c>
    </row>
    <row r="29" spans="2:17">
      <c r="B29" t="s">
        <v>1592</v>
      </c>
      <c r="G29">
        <v>256945311.34784999</v>
      </c>
      <c r="H29">
        <v>272384929.105726</v>
      </c>
      <c r="I29">
        <v>322240395.99040198</v>
      </c>
      <c r="J29">
        <v>379421116.173406</v>
      </c>
      <c r="K29">
        <v>401205417.57601202</v>
      </c>
      <c r="L29">
        <v>328154167.91792583</v>
      </c>
      <c r="M29">
        <v>299519012.6555078</v>
      </c>
      <c r="N29">
        <v>332989806.6016978</v>
      </c>
      <c r="O29">
        <v>367853593.62890387</v>
      </c>
      <c r="P29">
        <v>395126617.34276366</v>
      </c>
      <c r="Q29">
        <v>351029084.75423056</v>
      </c>
    </row>
    <row r="30" spans="2:17">
      <c r="B30" t="s">
        <v>1593</v>
      </c>
      <c r="G30">
        <v>-814000</v>
      </c>
      <c r="H30">
        <v>-112682.35</v>
      </c>
      <c r="I30">
        <v>-4483540.76</v>
      </c>
      <c r="J30">
        <v>-5636079.1900000004</v>
      </c>
      <c r="K30">
        <v>-547266</v>
      </c>
      <c r="L30">
        <v>-99177.960228999989</v>
      </c>
      <c r="M30">
        <v>-3606491</v>
      </c>
      <c r="N30">
        <v>-377795.12999999989</v>
      </c>
      <c r="O30">
        <v>-487579.14000000007</v>
      </c>
      <c r="P30">
        <v>-13482524.692944583</v>
      </c>
      <c r="Q30">
        <v>-5199613.4097498432</v>
      </c>
    </row>
    <row r="31" spans="2:17">
      <c r="B31" t="s">
        <v>1094</v>
      </c>
      <c r="G31" s="1">
        <v>2093438548.03109</v>
      </c>
      <c r="H31" s="1">
        <v>2276705563.2902899</v>
      </c>
      <c r="I31" s="1">
        <v>2562318006.9176297</v>
      </c>
      <c r="J31" s="1">
        <v>2857947864.4268498</v>
      </c>
      <c r="K31" s="1">
        <v>3189897247.8334603</v>
      </c>
      <c r="L31" s="1">
        <v>3465746065.0736609</v>
      </c>
      <c r="M31" s="1">
        <v>3607416942.8753071</v>
      </c>
      <c r="N31" s="1">
        <v>3807594756.9148622</v>
      </c>
      <c r="O31" s="1">
        <v>4067150616.6326861</v>
      </c>
      <c r="P31" s="1">
        <v>4340743714.3402205</v>
      </c>
      <c r="Q31" s="1">
        <v>4547550273.2877626</v>
      </c>
    </row>
    <row r="33" spans="2:17">
      <c r="C33" s="5" t="s">
        <v>1596</v>
      </c>
      <c r="D33" s="5"/>
      <c r="E33" s="5"/>
      <c r="F33" s="5"/>
    </row>
    <row r="35" spans="2:17">
      <c r="B35" t="s">
        <v>1091</v>
      </c>
      <c r="G35">
        <v>4328281</v>
      </c>
      <c r="H35">
        <v>7454168.2120261304</v>
      </c>
      <c r="I35">
        <v>7194579.5255500898</v>
      </c>
      <c r="J35">
        <v>8065995.9352302505</v>
      </c>
      <c r="K35">
        <v>9076120.5962838195</v>
      </c>
      <c r="L35">
        <v>9152594.0110116694</v>
      </c>
      <c r="M35">
        <v>9558742.5389538202</v>
      </c>
      <c r="N35">
        <v>13318266.924811874</v>
      </c>
      <c r="O35">
        <v>337359127.49140769</v>
      </c>
      <c r="P35">
        <v>319732185.36489594</v>
      </c>
      <c r="Q35">
        <v>294764557.01076967</v>
      </c>
    </row>
    <row r="36" spans="2:17">
      <c r="B36" t="s">
        <v>1589</v>
      </c>
      <c r="G36">
        <v>0</v>
      </c>
      <c r="H36">
        <v>0</v>
      </c>
      <c r="I36">
        <v>0</v>
      </c>
      <c r="J36">
        <v>0</v>
      </c>
      <c r="K36">
        <v>0</v>
      </c>
      <c r="L36">
        <v>0</v>
      </c>
      <c r="M36">
        <v>0</v>
      </c>
      <c r="N36">
        <v>0</v>
      </c>
      <c r="O36">
        <v>6172067.9642880242</v>
      </c>
      <c r="P36">
        <v>6102971.3182774698</v>
      </c>
      <c r="Q36">
        <v>4239502.9172478747</v>
      </c>
    </row>
    <row r="37" spans="2:17">
      <c r="B37" t="s">
        <v>1590</v>
      </c>
      <c r="G37">
        <v>-191079.123930637</v>
      </c>
      <c r="H37">
        <v>-247498.043029302</v>
      </c>
      <c r="I37">
        <v>-312499.755074438</v>
      </c>
      <c r="J37">
        <v>-387278.13971080899</v>
      </c>
      <c r="K37">
        <v>-470982.58527214901</v>
      </c>
      <c r="L37">
        <v>-558283.48714758235</v>
      </c>
      <c r="M37">
        <v>-629615.53036642389</v>
      </c>
      <c r="N37">
        <v>-791300.8730720228</v>
      </c>
      <c r="O37">
        <v>-47677022.692635842</v>
      </c>
      <c r="P37">
        <v>-49738500.357053392</v>
      </c>
      <c r="Q37">
        <v>-35398107.860266246</v>
      </c>
    </row>
    <row r="38" spans="2:17">
      <c r="B38" t="s">
        <v>1591</v>
      </c>
      <c r="L38">
        <v>-558283.48714758235</v>
      </c>
    </row>
    <row r="39" spans="2:17">
      <c r="B39" t="s">
        <v>1592</v>
      </c>
      <c r="G39">
        <v>3316966.33595677</v>
      </c>
      <c r="H39">
        <v>-12090.6434467339</v>
      </c>
      <c r="I39">
        <v>1183916.16475459</v>
      </c>
      <c r="J39">
        <v>1397402.8007643798</v>
      </c>
      <c r="K39">
        <v>1604964</v>
      </c>
      <c r="L39">
        <v>1935710.149807658</v>
      </c>
      <c r="M39">
        <v>5283262.8326886045</v>
      </c>
      <c r="N39">
        <v>5648075.286487231</v>
      </c>
      <c r="O39">
        <v>21696822.60229123</v>
      </c>
      <c r="P39">
        <v>14395006.022503586</v>
      </c>
      <c r="Q39">
        <v>22151107.934135184</v>
      </c>
    </row>
    <row r="40" spans="2:17">
      <c r="B40" t="s">
        <v>1593</v>
      </c>
      <c r="G40">
        <v>0</v>
      </c>
      <c r="H40">
        <v>0</v>
      </c>
      <c r="I40">
        <v>0</v>
      </c>
      <c r="J40">
        <v>0</v>
      </c>
      <c r="K40">
        <v>-1057508</v>
      </c>
      <c r="L40">
        <v>-1345388.52</v>
      </c>
      <c r="M40">
        <v>0</v>
      </c>
      <c r="N40">
        <v>0</v>
      </c>
      <c r="O40">
        <v>0</v>
      </c>
      <c r="P40">
        <v>0</v>
      </c>
      <c r="Q40">
        <v>0</v>
      </c>
    </row>
    <row r="41" spans="2:17">
      <c r="B41" t="s">
        <v>1094</v>
      </c>
      <c r="G41" s="1">
        <v>7454168.2120261304</v>
      </c>
      <c r="H41" s="1">
        <v>7194579.5255500898</v>
      </c>
      <c r="I41" s="1">
        <v>8065995.9352302505</v>
      </c>
      <c r="J41" s="1">
        <v>9076120.5962838195</v>
      </c>
      <c r="K41" s="1">
        <v>9152594.0110116694</v>
      </c>
      <c r="L41" s="1">
        <v>9184632.1536717452</v>
      </c>
      <c r="M41" s="1">
        <v>14212389.841276001</v>
      </c>
      <c r="N41" s="1">
        <v>18175041.338227082</v>
      </c>
      <c r="O41" s="1">
        <v>317550995.36535108</v>
      </c>
      <c r="P41" s="1">
        <v>290491662.34862363</v>
      </c>
      <c r="Q41" s="1">
        <v>285757060.00188649</v>
      </c>
    </row>
    <row r="43" spans="2:17">
      <c r="B43" s="1" t="s">
        <v>2019</v>
      </c>
    </row>
    <row r="44" spans="2:17">
      <c r="B44" s="42" t="s">
        <v>2018</v>
      </c>
      <c r="G44" s="200"/>
    </row>
    <row r="45" spans="2:17">
      <c r="B45" t="s">
        <v>1091</v>
      </c>
      <c r="G45" s="200"/>
      <c r="H45">
        <v>1152303704.9825644</v>
      </c>
      <c r="I45">
        <v>1211543975.774878</v>
      </c>
      <c r="J45">
        <v>1287350987.4855974</v>
      </c>
      <c r="K45">
        <v>1351450756.8940611</v>
      </c>
      <c r="L45">
        <v>1419909936.7920811</v>
      </c>
      <c r="M45">
        <v>1483855739.1138794</v>
      </c>
      <c r="N45">
        <v>1523631042.9336932</v>
      </c>
      <c r="O45">
        <v>1558095802.9343717</v>
      </c>
      <c r="P45">
        <v>1606625186.4941211</v>
      </c>
      <c r="Q45">
        <v>1675511455.6634636</v>
      </c>
    </row>
    <row r="46" spans="2:17">
      <c r="B46" t="s">
        <v>1589</v>
      </c>
      <c r="G46" s="200"/>
      <c r="H46">
        <v>32122345.275314886</v>
      </c>
      <c r="I46">
        <v>42645229.383881949</v>
      </c>
      <c r="J46">
        <v>25798616.983679328</v>
      </c>
      <c r="K46">
        <v>29206204.962347038</v>
      </c>
      <c r="L46">
        <v>32767152.38750976</v>
      </c>
      <c r="M46">
        <v>22313620.137050655</v>
      </c>
      <c r="N46">
        <v>19750772.778770249</v>
      </c>
      <c r="O46">
        <v>30128924.366134271</v>
      </c>
      <c r="P46">
        <v>33380649.764557283</v>
      </c>
      <c r="Q46">
        <v>26689563.010568555</v>
      </c>
    </row>
    <row r="47" spans="2:17">
      <c r="B47" t="s">
        <v>1590</v>
      </c>
      <c r="G47" s="200"/>
      <c r="H47">
        <v>-52224677.082616143</v>
      </c>
      <c r="I47">
        <v>-55178418.523145266</v>
      </c>
      <c r="J47">
        <v>-48472675.921433993</v>
      </c>
      <c r="K47">
        <v>-54815094.842440769</v>
      </c>
      <c r="L47">
        <v>-61378882.815684818</v>
      </c>
      <c r="M47">
        <v>-66238616.495098159</v>
      </c>
      <c r="N47">
        <v>-70461747.703233168</v>
      </c>
      <c r="O47">
        <v>-79444828.621457994</v>
      </c>
      <c r="P47">
        <v>-70288123.792182207</v>
      </c>
      <c r="Q47">
        <v>-74267080.058534861</v>
      </c>
    </row>
    <row r="48" spans="2:17">
      <c r="B48" t="s">
        <v>1591</v>
      </c>
      <c r="G48" s="200"/>
    </row>
    <row r="49" spans="2:17">
      <c r="B49" t="s">
        <v>1592</v>
      </c>
      <c r="G49" s="200"/>
      <c r="H49">
        <v>79342602.599614471</v>
      </c>
      <c r="I49">
        <v>89369038.399982482</v>
      </c>
      <c r="J49">
        <v>86773828.346218452</v>
      </c>
      <c r="K49">
        <v>94068069.778113902</v>
      </c>
      <c r="L49">
        <v>92557532.74997355</v>
      </c>
      <c r="M49">
        <v>83700300.177860618</v>
      </c>
      <c r="N49">
        <v>85175734.925142035</v>
      </c>
      <c r="O49">
        <v>98440428.285072982</v>
      </c>
      <c r="P49">
        <v>105793743.19696765</v>
      </c>
      <c r="Q49">
        <v>95578323.522190928</v>
      </c>
    </row>
    <row r="50" spans="2:17">
      <c r="B50" t="s">
        <v>1593</v>
      </c>
      <c r="G50" s="200"/>
      <c r="H50">
        <v>0</v>
      </c>
      <c r="I50">
        <v>-1028837.55</v>
      </c>
      <c r="J50">
        <v>0</v>
      </c>
      <c r="K50">
        <v>0</v>
      </c>
      <c r="L50">
        <v>0</v>
      </c>
      <c r="M50">
        <v>0</v>
      </c>
      <c r="N50">
        <v>0</v>
      </c>
      <c r="O50">
        <v>-595140.47</v>
      </c>
      <c r="P50">
        <v>0</v>
      </c>
      <c r="Q50">
        <v>-1788857.9941699049</v>
      </c>
    </row>
    <row r="51" spans="2:17">
      <c r="B51" t="s">
        <v>1094</v>
      </c>
      <c r="G51" s="200"/>
      <c r="H51" s="1">
        <v>1211543975.7748775</v>
      </c>
      <c r="I51" s="1">
        <v>1287350987.4855974</v>
      </c>
      <c r="J51" s="1">
        <v>1351450756.8940611</v>
      </c>
      <c r="K51" s="1">
        <v>1419909936.7920811</v>
      </c>
      <c r="L51" s="1">
        <v>1483855739.1138797</v>
      </c>
      <c r="M51" s="1">
        <v>1523631042.9336925</v>
      </c>
      <c r="N51" s="1">
        <v>1558095802.9343722</v>
      </c>
      <c r="O51" s="1">
        <v>1606625186.4941208</v>
      </c>
      <c r="P51" s="1">
        <v>1675511455.6634638</v>
      </c>
      <c r="Q51" s="1">
        <v>1721723404.1435182</v>
      </c>
    </row>
    <row r="52" spans="2:17">
      <c r="G52" s="200"/>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BA5767-B66C-4970-9EF6-E5C6F283F875}">
  <sheetPr>
    <tabColor theme="3"/>
  </sheetPr>
  <dimension ref="A1"/>
  <sheetViews>
    <sheetView workbookViewId="0"/>
  </sheetViews>
  <sheetFormatPr defaultRowHeight="14.25"/>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9A026A-BA3D-4500-A410-F89DA786B84B}">
  <sheetPr codeName="Sheet16">
    <tabColor theme="0" tint="-0.249977111117893"/>
  </sheetPr>
  <dimension ref="A1:I4031"/>
  <sheetViews>
    <sheetView workbookViewId="0">
      <selection activeCell="B3" sqref="B3"/>
    </sheetView>
  </sheetViews>
  <sheetFormatPr defaultRowHeight="14.25"/>
  <cols>
    <col min="1" max="1" width="11.33203125" bestFit="1" customWidth="1"/>
    <col min="3" max="3" width="10.08203125" bestFit="1" customWidth="1"/>
  </cols>
  <sheetData>
    <row r="1" spans="1:9" ht="15.5">
      <c r="A1" s="28" t="s">
        <v>66</v>
      </c>
      <c r="B1" s="28" t="s">
        <v>1611</v>
      </c>
      <c r="C1" s="28" t="s">
        <v>1612</v>
      </c>
      <c r="I1" t="s">
        <v>1613</v>
      </c>
    </row>
    <row r="2" spans="1:9" ht="15.5">
      <c r="A2" s="28" t="s">
        <v>1136</v>
      </c>
      <c r="B2" s="28" t="s">
        <v>1614</v>
      </c>
      <c r="C2" s="28" t="s">
        <v>1615</v>
      </c>
    </row>
    <row r="3" spans="1:9" ht="15.5">
      <c r="A3" s="29">
        <v>44529</v>
      </c>
      <c r="B3" s="28">
        <v>2.75</v>
      </c>
      <c r="C3" s="28">
        <v>5036718783.6000004</v>
      </c>
    </row>
    <row r="4" spans="1:9" ht="15.5">
      <c r="A4" s="29">
        <v>44526</v>
      </c>
      <c r="B4" s="28">
        <v>2.7595999999999998</v>
      </c>
      <c r="C4" s="28">
        <v>5054268326.3999996</v>
      </c>
    </row>
    <row r="5" spans="1:9" ht="15.5">
      <c r="A5" s="29">
        <v>44525</v>
      </c>
      <c r="B5" s="28">
        <v>2.7595999999999998</v>
      </c>
      <c r="C5" s="28">
        <v>5054268326.3999996</v>
      </c>
    </row>
    <row r="6" spans="1:9" ht="15.5">
      <c r="A6" s="29">
        <v>44524</v>
      </c>
      <c r="B6" s="28">
        <v>2.75</v>
      </c>
      <c r="C6" s="28">
        <v>5036718783.6000004</v>
      </c>
    </row>
    <row r="7" spans="1:9" ht="15.5">
      <c r="A7" s="29">
        <v>44523</v>
      </c>
      <c r="B7" s="28">
        <v>2.7021000000000002</v>
      </c>
      <c r="C7" s="28">
        <v>4948971069.6000004</v>
      </c>
    </row>
    <row r="8" spans="1:9" ht="15.5">
      <c r="A8" s="29">
        <v>44522</v>
      </c>
      <c r="B8" s="28">
        <v>2.7021000000000002</v>
      </c>
      <c r="C8" s="28">
        <v>4948971069.6000004</v>
      </c>
    </row>
    <row r="9" spans="1:9" ht="15.5">
      <c r="A9" s="29">
        <v>44519</v>
      </c>
      <c r="B9" s="28">
        <v>2.7117</v>
      </c>
      <c r="C9" s="28">
        <v>4966520612.3999996</v>
      </c>
    </row>
    <row r="10" spans="1:9" ht="15.5">
      <c r="A10" s="29">
        <v>44518</v>
      </c>
      <c r="B10" s="28">
        <v>2.7212999999999998</v>
      </c>
      <c r="C10" s="28">
        <v>4984070155.1999998</v>
      </c>
    </row>
    <row r="11" spans="1:9" ht="15.5">
      <c r="A11" s="29">
        <v>44517</v>
      </c>
      <c r="B11" s="28">
        <v>2.7117</v>
      </c>
      <c r="C11" s="28">
        <v>4966520612.3999996</v>
      </c>
    </row>
    <row r="12" spans="1:9" ht="15.5">
      <c r="A12" s="29">
        <v>44516</v>
      </c>
      <c r="B12" s="28">
        <v>2.7117</v>
      </c>
      <c r="C12" s="28">
        <v>4966520612.3999996</v>
      </c>
    </row>
    <row r="13" spans="1:9" ht="15.5">
      <c r="A13" s="29">
        <v>44515</v>
      </c>
      <c r="B13" s="28">
        <v>2.7212999999999998</v>
      </c>
      <c r="C13" s="28">
        <v>4984070155.1999998</v>
      </c>
    </row>
    <row r="14" spans="1:9" ht="15.5">
      <c r="A14" s="29">
        <v>44512</v>
      </c>
      <c r="B14" s="28">
        <v>2.7117</v>
      </c>
      <c r="C14" s="28">
        <v>4966520612.3999996</v>
      </c>
    </row>
    <row r="15" spans="1:9" ht="15.5">
      <c r="A15" s="29">
        <v>44511</v>
      </c>
      <c r="B15" s="28">
        <v>2.7117</v>
      </c>
      <c r="C15" s="28">
        <v>4966520612.3999996</v>
      </c>
    </row>
    <row r="16" spans="1:9" ht="15.5">
      <c r="A16" s="29">
        <v>44510</v>
      </c>
      <c r="B16" s="28">
        <v>2.7021000000000002</v>
      </c>
      <c r="C16" s="28">
        <v>4948971069.6000004</v>
      </c>
    </row>
    <row r="17" spans="1:3" ht="15.5">
      <c r="A17" s="29">
        <v>44509</v>
      </c>
      <c r="B17" s="28">
        <v>2.7021000000000002</v>
      </c>
      <c r="C17" s="28">
        <v>4948971069.6000004</v>
      </c>
    </row>
    <row r="18" spans="1:3" ht="15.5">
      <c r="A18" s="29">
        <v>44508</v>
      </c>
      <c r="B18" s="28">
        <v>2.7117</v>
      </c>
      <c r="C18" s="28">
        <v>4966520612.3999996</v>
      </c>
    </row>
    <row r="19" spans="1:3" ht="15.5">
      <c r="A19" s="29">
        <v>44505</v>
      </c>
      <c r="B19" s="28">
        <v>2.7117</v>
      </c>
      <c r="C19" s="28">
        <v>4966520612.3999996</v>
      </c>
    </row>
    <row r="20" spans="1:3" ht="15.5">
      <c r="A20" s="29">
        <v>44504</v>
      </c>
      <c r="B20" s="28">
        <v>2.7117</v>
      </c>
      <c r="C20" s="28">
        <v>4966520612.3999996</v>
      </c>
    </row>
    <row r="21" spans="1:3" ht="15.5">
      <c r="A21" s="29">
        <v>44503</v>
      </c>
      <c r="B21" s="28">
        <v>2.7117</v>
      </c>
      <c r="C21" s="28">
        <v>4966520612.3999996</v>
      </c>
    </row>
    <row r="22" spans="1:3" ht="15.5">
      <c r="A22" s="29">
        <v>44502</v>
      </c>
      <c r="B22" s="28">
        <v>2.7117</v>
      </c>
      <c r="C22" s="28">
        <v>4966520612.3999996</v>
      </c>
    </row>
    <row r="23" spans="1:3" ht="15.5">
      <c r="A23" s="29">
        <v>44501</v>
      </c>
      <c r="B23" s="28">
        <v>2.7117</v>
      </c>
      <c r="C23" s="28">
        <v>4966520612.3999996</v>
      </c>
    </row>
    <row r="24" spans="1:3" ht="15.5">
      <c r="A24" s="29">
        <v>44498</v>
      </c>
      <c r="B24" s="28">
        <v>2.6924999999999999</v>
      </c>
      <c r="C24" s="28">
        <v>4931421526.8000002</v>
      </c>
    </row>
    <row r="25" spans="1:3" ht="15.5">
      <c r="A25" s="29">
        <v>44497</v>
      </c>
      <c r="B25" s="28">
        <v>2.7117</v>
      </c>
      <c r="C25" s="28">
        <v>4966520612.3999996</v>
      </c>
    </row>
    <row r="26" spans="1:3" ht="15.5">
      <c r="A26" s="29">
        <v>44496</v>
      </c>
      <c r="B26" s="28">
        <v>2.7117</v>
      </c>
      <c r="C26" s="28">
        <v>4966520612.3999996</v>
      </c>
    </row>
    <row r="27" spans="1:3" ht="15.5">
      <c r="A27" s="29">
        <v>44495</v>
      </c>
      <c r="B27" s="28">
        <v>2.7212999999999998</v>
      </c>
      <c r="C27" s="28">
        <v>4984070155.1999998</v>
      </c>
    </row>
    <row r="28" spans="1:3" ht="15.5">
      <c r="A28" s="29">
        <v>44494</v>
      </c>
      <c r="B28" s="28">
        <v>2.7212999999999998</v>
      </c>
      <c r="C28" s="28">
        <v>4984070155.1999998</v>
      </c>
    </row>
    <row r="29" spans="1:3" ht="15.5">
      <c r="A29" s="29">
        <v>44491</v>
      </c>
      <c r="B29" s="28">
        <v>2.7307999999999999</v>
      </c>
      <c r="C29" s="28">
        <v>5001619698</v>
      </c>
    </row>
    <row r="30" spans="1:3" ht="15.5">
      <c r="A30" s="29">
        <v>44490</v>
      </c>
      <c r="B30" s="28">
        <v>2.7212999999999998</v>
      </c>
      <c r="C30" s="28">
        <v>4984070155.1999998</v>
      </c>
    </row>
    <row r="31" spans="1:3" ht="15.5">
      <c r="A31" s="29">
        <v>44489</v>
      </c>
      <c r="B31" s="28">
        <v>2.7212999999999998</v>
      </c>
      <c r="C31" s="28">
        <v>4984070155.1999998</v>
      </c>
    </row>
    <row r="32" spans="1:3" ht="15.5">
      <c r="A32" s="29">
        <v>44488</v>
      </c>
      <c r="B32" s="28">
        <v>2.7117</v>
      </c>
      <c r="C32" s="28">
        <v>4966520612.3999996</v>
      </c>
    </row>
    <row r="33" spans="1:3" ht="15.5">
      <c r="A33" s="29">
        <v>44487</v>
      </c>
      <c r="B33" s="28">
        <v>2.7117</v>
      </c>
      <c r="C33" s="28">
        <v>4966520612.3999996</v>
      </c>
    </row>
    <row r="34" spans="1:3" ht="15.5">
      <c r="A34" s="29">
        <v>44484</v>
      </c>
      <c r="B34" s="28">
        <v>2.7212999999999998</v>
      </c>
      <c r="C34" s="28">
        <v>4984070155.1999998</v>
      </c>
    </row>
    <row r="35" spans="1:3" ht="15.5">
      <c r="A35" s="29">
        <v>44483</v>
      </c>
      <c r="B35" s="28">
        <v>2.7117</v>
      </c>
      <c r="C35" s="28">
        <v>4966520612.3999996</v>
      </c>
    </row>
    <row r="36" spans="1:3" ht="15.5">
      <c r="A36" s="29">
        <v>44482</v>
      </c>
      <c r="B36" s="28">
        <v>2.7021000000000002</v>
      </c>
      <c r="C36" s="28">
        <v>4948971069.6000004</v>
      </c>
    </row>
    <row r="37" spans="1:3" ht="15.5">
      <c r="A37" s="29">
        <v>44481</v>
      </c>
      <c r="B37" s="28">
        <v>2.7021000000000002</v>
      </c>
      <c r="C37" s="28">
        <v>4948971069.6000004</v>
      </c>
    </row>
    <row r="38" spans="1:3" ht="15.5">
      <c r="A38" s="29">
        <v>44480</v>
      </c>
      <c r="B38" s="28">
        <v>2.6924999999999999</v>
      </c>
      <c r="C38" s="28">
        <v>4931421526.8000002</v>
      </c>
    </row>
    <row r="39" spans="1:3" ht="15.5">
      <c r="A39" s="29">
        <v>44477</v>
      </c>
      <c r="B39" s="28">
        <v>2.6924999999999999</v>
      </c>
      <c r="C39" s="28">
        <v>4931421526.8000002</v>
      </c>
    </row>
    <row r="40" spans="1:3" ht="15.5">
      <c r="A40" s="29">
        <v>44476</v>
      </c>
      <c r="B40" s="28">
        <v>2.6924999999999999</v>
      </c>
      <c r="C40" s="28">
        <v>4931421526.8000002</v>
      </c>
    </row>
    <row r="41" spans="1:3" ht="15.5">
      <c r="A41" s="29">
        <v>44475</v>
      </c>
      <c r="B41" s="28">
        <v>2.6924999999999999</v>
      </c>
      <c r="C41" s="28">
        <v>4931421526.8000002</v>
      </c>
    </row>
    <row r="42" spans="1:3" ht="15.5">
      <c r="A42" s="29">
        <v>44474</v>
      </c>
      <c r="B42" s="28">
        <v>2.7021000000000002</v>
      </c>
      <c r="C42" s="28">
        <v>4948971069.6000004</v>
      </c>
    </row>
    <row r="43" spans="1:3" ht="15.5">
      <c r="A43" s="29">
        <v>44473</v>
      </c>
      <c r="B43" s="28">
        <v>2.7021000000000002</v>
      </c>
      <c r="C43" s="28">
        <v>4948971069.6000004</v>
      </c>
    </row>
    <row r="44" spans="1:3" ht="15.5">
      <c r="A44" s="29">
        <v>44470</v>
      </c>
      <c r="B44" s="28">
        <v>2.6829000000000001</v>
      </c>
      <c r="C44" s="28">
        <v>4913871984</v>
      </c>
    </row>
    <row r="45" spans="1:3" ht="15.5">
      <c r="A45" s="29">
        <v>44469</v>
      </c>
      <c r="B45" s="28">
        <v>2.7021000000000002</v>
      </c>
      <c r="C45" s="28">
        <v>4948971069.6000004</v>
      </c>
    </row>
    <row r="46" spans="1:3" ht="15.5">
      <c r="A46" s="29">
        <v>44468</v>
      </c>
      <c r="B46" s="28">
        <v>2.6829000000000001</v>
      </c>
      <c r="C46" s="28">
        <v>4913871984</v>
      </c>
    </row>
    <row r="47" spans="1:3" ht="15.5">
      <c r="A47" s="29">
        <v>44467</v>
      </c>
      <c r="B47" s="28">
        <v>2.6924999999999999</v>
      </c>
      <c r="C47" s="28">
        <v>4931421526.8000002</v>
      </c>
    </row>
    <row r="48" spans="1:3" ht="15.5">
      <c r="A48" s="29">
        <v>44466</v>
      </c>
      <c r="B48" s="28">
        <v>2.6829000000000001</v>
      </c>
      <c r="C48" s="28">
        <v>4913871984</v>
      </c>
    </row>
    <row r="49" spans="1:3" ht="15.5">
      <c r="A49" s="29">
        <v>44463</v>
      </c>
      <c r="B49" s="28">
        <v>2.6924999999999999</v>
      </c>
      <c r="C49" s="28">
        <v>4931421526.8000002</v>
      </c>
    </row>
    <row r="50" spans="1:3" ht="15.5">
      <c r="A50" s="29">
        <v>44462</v>
      </c>
      <c r="B50" s="28">
        <v>2.6829000000000001</v>
      </c>
      <c r="C50" s="28">
        <v>4913871984</v>
      </c>
    </row>
    <row r="51" spans="1:3" ht="15.5">
      <c r="A51" s="29">
        <v>44461</v>
      </c>
      <c r="B51" s="28">
        <v>2.6829000000000001</v>
      </c>
      <c r="C51" s="28">
        <v>4913871984</v>
      </c>
    </row>
    <row r="52" spans="1:3" ht="15.5">
      <c r="A52" s="29">
        <v>44460</v>
      </c>
      <c r="B52" s="28">
        <v>2.6924999999999999</v>
      </c>
      <c r="C52" s="28">
        <v>4931421526.8000002</v>
      </c>
    </row>
    <row r="53" spans="1:3" ht="15.5">
      <c r="A53" s="29">
        <v>44459</v>
      </c>
      <c r="B53" s="28">
        <v>2.6924999999999999</v>
      </c>
      <c r="C53" s="28">
        <v>4931421526.8000002</v>
      </c>
    </row>
    <row r="54" spans="1:3" ht="15.5">
      <c r="A54" s="29">
        <v>44456</v>
      </c>
      <c r="B54" s="28">
        <v>2.6924999999999999</v>
      </c>
      <c r="C54" s="28">
        <v>4931421526.8000002</v>
      </c>
    </row>
    <row r="55" spans="1:3" ht="15.5">
      <c r="A55" s="29">
        <v>44455</v>
      </c>
      <c r="B55" s="28">
        <v>2.7021000000000002</v>
      </c>
      <c r="C55" s="28">
        <v>4948971069.6000004</v>
      </c>
    </row>
    <row r="56" spans="1:3" ht="15.5">
      <c r="A56" s="29">
        <v>44454</v>
      </c>
      <c r="B56" s="28">
        <v>2.7021000000000002</v>
      </c>
      <c r="C56" s="28">
        <v>4948971069.6000004</v>
      </c>
    </row>
    <row r="57" spans="1:3" ht="15.5">
      <c r="A57" s="29">
        <v>44453</v>
      </c>
      <c r="B57" s="28">
        <v>2.7021000000000002</v>
      </c>
      <c r="C57" s="28">
        <v>4948971069.6000004</v>
      </c>
    </row>
    <row r="58" spans="1:3" ht="15.5">
      <c r="A58" s="29">
        <v>44452</v>
      </c>
      <c r="B58" s="28">
        <v>2.7021000000000002</v>
      </c>
      <c r="C58" s="28">
        <v>4948971069.6000004</v>
      </c>
    </row>
    <row r="59" spans="1:3" ht="15.5">
      <c r="A59" s="29">
        <v>44449</v>
      </c>
      <c r="B59" s="28">
        <v>2.7021000000000002</v>
      </c>
      <c r="C59" s="28">
        <v>4948971069.6000004</v>
      </c>
    </row>
    <row r="60" spans="1:3" ht="15.5">
      <c r="A60" s="29">
        <v>44448</v>
      </c>
      <c r="B60" s="28">
        <v>2.6924999999999999</v>
      </c>
      <c r="C60" s="28">
        <v>4931421526.8000002</v>
      </c>
    </row>
    <row r="61" spans="1:3" ht="15.5">
      <c r="A61" s="29">
        <v>44447</v>
      </c>
      <c r="B61" s="28">
        <v>2.7021000000000002</v>
      </c>
      <c r="C61" s="28">
        <v>4948971069.6000004</v>
      </c>
    </row>
    <row r="62" spans="1:3" ht="15.5">
      <c r="A62" s="29">
        <v>44446</v>
      </c>
      <c r="B62" s="28">
        <v>2.7117</v>
      </c>
      <c r="C62" s="28">
        <v>4966520612.3999996</v>
      </c>
    </row>
    <row r="63" spans="1:3" ht="15.5">
      <c r="A63" s="29">
        <v>44445</v>
      </c>
      <c r="B63" s="28">
        <v>2.7212999999999998</v>
      </c>
      <c r="C63" s="28">
        <v>4984070155.1999998</v>
      </c>
    </row>
    <row r="64" spans="1:3" ht="15.5">
      <c r="A64" s="29">
        <v>44442</v>
      </c>
      <c r="B64" s="28">
        <v>2.7212999999999998</v>
      </c>
      <c r="C64" s="28">
        <v>4984070155.1999998</v>
      </c>
    </row>
    <row r="65" spans="1:3" ht="15.5">
      <c r="A65" s="29">
        <v>44441</v>
      </c>
      <c r="B65" s="28">
        <v>2.7212999999999998</v>
      </c>
      <c r="C65" s="28">
        <v>4984070155.1999998</v>
      </c>
    </row>
    <row r="66" spans="1:3" ht="15.5">
      <c r="A66" s="29">
        <v>44440</v>
      </c>
      <c r="B66" s="28">
        <v>2.7117</v>
      </c>
      <c r="C66" s="28">
        <v>4966520612.3999996</v>
      </c>
    </row>
    <row r="67" spans="1:3" ht="15.5">
      <c r="A67" s="29">
        <v>44439</v>
      </c>
      <c r="B67" s="28">
        <v>2.7021000000000002</v>
      </c>
      <c r="C67" s="28">
        <v>4948971069.6000004</v>
      </c>
    </row>
    <row r="68" spans="1:3" ht="15.5">
      <c r="A68" s="29">
        <v>44438</v>
      </c>
      <c r="B68" s="28">
        <v>2.7117</v>
      </c>
      <c r="C68" s="28">
        <v>4966520612.3999996</v>
      </c>
    </row>
    <row r="69" spans="1:3" ht="15.5">
      <c r="A69" s="29">
        <v>44435</v>
      </c>
      <c r="B69" s="28">
        <v>2.7021000000000002</v>
      </c>
      <c r="C69" s="28">
        <v>4948971069.6000004</v>
      </c>
    </row>
    <row r="70" spans="1:3" ht="15.5">
      <c r="A70" s="29">
        <v>44434</v>
      </c>
      <c r="B70" s="28">
        <v>2.7212999999999998</v>
      </c>
      <c r="C70" s="28">
        <v>4984070155.1999998</v>
      </c>
    </row>
    <row r="71" spans="1:3" ht="15.5">
      <c r="A71" s="29">
        <v>44433</v>
      </c>
      <c r="B71" s="28">
        <v>2.7307999999999999</v>
      </c>
      <c r="C71" s="28">
        <v>5001619698</v>
      </c>
    </row>
    <row r="72" spans="1:3" ht="15.5">
      <c r="A72" s="29">
        <v>44432</v>
      </c>
      <c r="B72" s="28">
        <v>2.7117</v>
      </c>
      <c r="C72" s="28">
        <v>4966520612.3999996</v>
      </c>
    </row>
    <row r="73" spans="1:3" ht="15.5">
      <c r="A73" s="29">
        <v>44431</v>
      </c>
      <c r="B73" s="28">
        <v>2.7021000000000002</v>
      </c>
      <c r="C73" s="28">
        <v>4948971069.6000004</v>
      </c>
    </row>
    <row r="74" spans="1:3" ht="15.5">
      <c r="A74" s="29">
        <v>44428</v>
      </c>
      <c r="B74" s="28">
        <v>2.6541999999999999</v>
      </c>
      <c r="C74" s="28">
        <v>4861223355.6000004</v>
      </c>
    </row>
    <row r="75" spans="1:3" ht="15.5">
      <c r="A75" s="29">
        <v>44427</v>
      </c>
      <c r="B75" s="28">
        <v>2.6158999999999999</v>
      </c>
      <c r="C75" s="28">
        <v>4791025184.3999996</v>
      </c>
    </row>
    <row r="76" spans="1:3" ht="15.5">
      <c r="A76" s="29">
        <v>44426</v>
      </c>
      <c r="B76" s="28">
        <v>2.6638000000000002</v>
      </c>
      <c r="C76" s="28">
        <v>4878772898.3999996</v>
      </c>
    </row>
    <row r="77" spans="1:3" ht="15.5">
      <c r="A77" s="29">
        <v>44425</v>
      </c>
      <c r="B77" s="28">
        <v>2.6349999999999998</v>
      </c>
      <c r="C77" s="28">
        <v>4826124270</v>
      </c>
    </row>
    <row r="78" spans="1:3" ht="15.5">
      <c r="A78" s="29">
        <v>44424</v>
      </c>
      <c r="B78" s="28">
        <v>2.6349999999999998</v>
      </c>
      <c r="C78" s="28">
        <v>4826124270</v>
      </c>
    </row>
    <row r="79" spans="1:3" ht="15.5">
      <c r="A79" s="29">
        <v>44421</v>
      </c>
      <c r="B79" s="28">
        <v>2.6349999999999998</v>
      </c>
      <c r="C79" s="28">
        <v>4826124270</v>
      </c>
    </row>
    <row r="80" spans="1:3" ht="15.5">
      <c r="A80" s="29">
        <v>44420</v>
      </c>
      <c r="B80" s="28">
        <v>2.5966999999999998</v>
      </c>
      <c r="C80" s="28">
        <v>4755926098.8000002</v>
      </c>
    </row>
    <row r="81" spans="1:3" ht="15.5">
      <c r="A81" s="29">
        <v>44419</v>
      </c>
      <c r="B81" s="28">
        <v>2.5966999999999998</v>
      </c>
      <c r="C81" s="28">
        <v>4755926098.8000002</v>
      </c>
    </row>
    <row r="82" spans="1:3" ht="15.5">
      <c r="A82" s="29">
        <v>44418</v>
      </c>
      <c r="B82" s="28">
        <v>2.5678999999999998</v>
      </c>
      <c r="C82" s="28">
        <v>4703277470.3999996</v>
      </c>
    </row>
    <row r="83" spans="1:3" ht="15.5">
      <c r="A83" s="29">
        <v>44417</v>
      </c>
      <c r="B83" s="28">
        <v>2.5678999999999998</v>
      </c>
      <c r="C83" s="28">
        <v>4703277470.3999996</v>
      </c>
    </row>
    <row r="84" spans="1:3" ht="15.5">
      <c r="A84" s="29">
        <v>44414</v>
      </c>
      <c r="B84" s="28">
        <v>2.5775000000000001</v>
      </c>
      <c r="C84" s="28">
        <v>4720827013.1999998</v>
      </c>
    </row>
    <row r="85" spans="1:3" ht="15.5">
      <c r="A85" s="29">
        <v>44413</v>
      </c>
      <c r="B85" s="28">
        <v>2.5678999999999998</v>
      </c>
      <c r="C85" s="28">
        <v>4703277470.3999996</v>
      </c>
    </row>
    <row r="86" spans="1:3" ht="15.5">
      <c r="A86" s="29">
        <v>44412</v>
      </c>
      <c r="B86" s="28">
        <v>2.5871</v>
      </c>
      <c r="C86" s="28">
        <v>4738376556</v>
      </c>
    </row>
    <row r="87" spans="1:3" ht="15.5">
      <c r="A87" s="29">
        <v>44411</v>
      </c>
      <c r="B87" s="28">
        <v>2.5775000000000001</v>
      </c>
      <c r="C87" s="28">
        <v>4720827013.1999998</v>
      </c>
    </row>
    <row r="88" spans="1:3" ht="15.5">
      <c r="A88" s="29">
        <v>44410</v>
      </c>
      <c r="B88" s="28">
        <v>2.5775000000000001</v>
      </c>
      <c r="C88" s="28">
        <v>4720827013.1999998</v>
      </c>
    </row>
    <row r="89" spans="1:3" ht="15.5">
      <c r="A89" s="29">
        <v>44407</v>
      </c>
      <c r="B89" s="28">
        <v>2.5966999999999998</v>
      </c>
      <c r="C89" s="28">
        <v>4755926098.8000002</v>
      </c>
    </row>
    <row r="90" spans="1:3" ht="15.5">
      <c r="A90" s="29">
        <v>44406</v>
      </c>
      <c r="B90" s="28">
        <v>2.5871</v>
      </c>
      <c r="C90" s="28">
        <v>4738376556</v>
      </c>
    </row>
    <row r="91" spans="1:3" ht="15.5">
      <c r="A91" s="29">
        <v>44405</v>
      </c>
      <c r="B91" s="28">
        <v>2.6254</v>
      </c>
      <c r="C91" s="28">
        <v>4808574727.1999998</v>
      </c>
    </row>
    <row r="92" spans="1:3" ht="15.5">
      <c r="A92" s="29">
        <v>44404</v>
      </c>
      <c r="B92" s="28">
        <v>2.4912999999999998</v>
      </c>
      <c r="C92" s="28">
        <v>4562881128</v>
      </c>
    </row>
    <row r="93" spans="1:3" ht="15.5">
      <c r="A93" s="29">
        <v>44403</v>
      </c>
      <c r="B93" s="28">
        <v>2.4624999999999999</v>
      </c>
      <c r="C93" s="28">
        <v>4510232499.6000004</v>
      </c>
    </row>
    <row r="94" spans="1:3" ht="15.5">
      <c r="A94" s="29">
        <v>44400</v>
      </c>
      <c r="B94" s="28">
        <v>2.4529999999999998</v>
      </c>
      <c r="C94" s="28">
        <v>4492682956.8000002</v>
      </c>
    </row>
    <row r="95" spans="1:3" ht="15.5">
      <c r="A95" s="29">
        <v>44399</v>
      </c>
      <c r="B95" s="28">
        <v>2.4912999999999998</v>
      </c>
      <c r="C95" s="28">
        <v>4562881128</v>
      </c>
    </row>
    <row r="96" spans="1:3" ht="15.5">
      <c r="A96" s="29">
        <v>44398</v>
      </c>
      <c r="B96" s="28">
        <v>2.5009000000000001</v>
      </c>
      <c r="C96" s="28">
        <v>4580430670.8000002</v>
      </c>
    </row>
    <row r="97" spans="1:3" ht="15.5">
      <c r="A97" s="29">
        <v>44397</v>
      </c>
      <c r="B97" s="28">
        <v>2.5009000000000001</v>
      </c>
      <c r="C97" s="28">
        <v>4580430670.8000002</v>
      </c>
    </row>
    <row r="98" spans="1:3" ht="15.5">
      <c r="A98" s="29">
        <v>44396</v>
      </c>
      <c r="B98" s="28">
        <v>2.5392000000000001</v>
      </c>
      <c r="C98" s="28">
        <v>4650628842</v>
      </c>
    </row>
    <row r="99" spans="1:3" ht="15.5">
      <c r="A99" s="29">
        <v>44393</v>
      </c>
      <c r="B99" s="28">
        <v>2.52</v>
      </c>
      <c r="C99" s="28">
        <v>4615529756.3999996</v>
      </c>
    </row>
    <row r="100" spans="1:3" ht="15.5">
      <c r="A100" s="29">
        <v>44392</v>
      </c>
      <c r="B100" s="28">
        <v>2.52</v>
      </c>
      <c r="C100" s="28">
        <v>4615529756.3999996</v>
      </c>
    </row>
    <row r="101" spans="1:3" ht="15.5">
      <c r="A101" s="29">
        <v>44391</v>
      </c>
      <c r="B101" s="28">
        <v>2.3763000000000001</v>
      </c>
      <c r="C101" s="28">
        <v>4352286614.3999996</v>
      </c>
    </row>
    <row r="102" spans="1:3" ht="15.5">
      <c r="A102" s="29">
        <v>44390</v>
      </c>
      <c r="B102" s="28">
        <v>2.2038000000000002</v>
      </c>
      <c r="C102" s="28">
        <v>4036394844</v>
      </c>
    </row>
    <row r="103" spans="1:3" ht="15.5">
      <c r="A103" s="29">
        <v>44389</v>
      </c>
      <c r="B103" s="28">
        <v>2.1655000000000002</v>
      </c>
      <c r="C103" s="28">
        <v>3966196672.8000002</v>
      </c>
    </row>
    <row r="104" spans="1:3" ht="15.5">
      <c r="A104" s="29">
        <v>44386</v>
      </c>
      <c r="B104" s="28">
        <v>2.1463000000000001</v>
      </c>
      <c r="C104" s="28">
        <v>3931097587.1999998</v>
      </c>
    </row>
    <row r="105" spans="1:3" ht="15.5">
      <c r="A105" s="29">
        <v>44385</v>
      </c>
      <c r="B105" s="28">
        <v>2.2038000000000002</v>
      </c>
      <c r="C105" s="28">
        <v>4036394844</v>
      </c>
    </row>
    <row r="106" spans="1:3" ht="15.5">
      <c r="A106" s="29">
        <v>44384</v>
      </c>
      <c r="B106" s="28">
        <v>2.1846999999999999</v>
      </c>
      <c r="C106" s="28">
        <v>4001295758.4000001</v>
      </c>
    </row>
    <row r="107" spans="1:3" ht="15.5">
      <c r="A107" s="29">
        <v>44383</v>
      </c>
      <c r="B107" s="28">
        <v>2.2038000000000002</v>
      </c>
      <c r="C107" s="28">
        <v>4036394844</v>
      </c>
    </row>
    <row r="108" spans="1:3" ht="15.5">
      <c r="A108" s="29">
        <v>44382</v>
      </c>
      <c r="B108" s="28">
        <v>2.2038000000000002</v>
      </c>
      <c r="C108" s="28">
        <v>4036394844</v>
      </c>
    </row>
    <row r="109" spans="1:3" ht="15.5">
      <c r="A109" s="29">
        <v>44379</v>
      </c>
      <c r="B109" s="28">
        <v>2.1655000000000002</v>
      </c>
      <c r="C109" s="28">
        <v>3966196672.8000002</v>
      </c>
    </row>
    <row r="110" spans="1:3" ht="15.5">
      <c r="A110" s="29">
        <v>44378</v>
      </c>
      <c r="B110" s="28">
        <v>2.1655000000000002</v>
      </c>
      <c r="C110" s="28">
        <v>3966196672.8000002</v>
      </c>
    </row>
    <row r="111" spans="1:3" ht="15.5">
      <c r="A111" s="29">
        <v>44377</v>
      </c>
      <c r="B111" s="28">
        <v>2.1558999999999999</v>
      </c>
      <c r="C111" s="28">
        <v>3948647130</v>
      </c>
    </row>
    <row r="112" spans="1:3" ht="15.5">
      <c r="A112" s="29">
        <v>44376</v>
      </c>
      <c r="B112" s="28">
        <v>2.1846999999999999</v>
      </c>
      <c r="C112" s="28">
        <v>3962741667.48</v>
      </c>
    </row>
    <row r="113" spans="1:3" ht="15.5">
      <c r="A113" s="29">
        <v>44375</v>
      </c>
      <c r="B113" s="28">
        <v>2.1751</v>
      </c>
      <c r="C113" s="28">
        <v>3945361221.5700002</v>
      </c>
    </row>
    <row r="114" spans="1:3" ht="15.5">
      <c r="A114" s="29">
        <v>44372</v>
      </c>
      <c r="B114" s="28">
        <v>2.1463000000000001</v>
      </c>
      <c r="C114" s="28">
        <v>3893219883.8400002</v>
      </c>
    </row>
    <row r="115" spans="1:3" ht="15.5">
      <c r="A115" s="29">
        <v>44371</v>
      </c>
      <c r="B115" s="28">
        <v>2.1080000000000001</v>
      </c>
      <c r="C115" s="28">
        <v>3823698100.1999998</v>
      </c>
    </row>
    <row r="116" spans="1:3" ht="15.5">
      <c r="A116" s="29">
        <v>44370</v>
      </c>
      <c r="B116" s="28">
        <v>2.0983999999999998</v>
      </c>
      <c r="C116" s="28">
        <v>3806317654.29</v>
      </c>
    </row>
    <row r="117" spans="1:3" ht="15.5">
      <c r="A117" s="29">
        <v>44369</v>
      </c>
      <c r="B117" s="28">
        <v>2.1080000000000001</v>
      </c>
      <c r="C117" s="28">
        <v>3823698100.1999998</v>
      </c>
    </row>
    <row r="118" spans="1:3" ht="15.5">
      <c r="A118" s="29">
        <v>44368</v>
      </c>
      <c r="B118" s="28">
        <v>2.0792999999999999</v>
      </c>
      <c r="C118" s="28">
        <v>3771556762.4699998</v>
      </c>
    </row>
    <row r="119" spans="1:3" ht="15.5">
      <c r="A119" s="29">
        <v>44365</v>
      </c>
      <c r="B119" s="28">
        <v>2.1175999999999999</v>
      </c>
      <c r="C119" s="28">
        <v>3841078546.1100001</v>
      </c>
    </row>
    <row r="120" spans="1:3" ht="15.5">
      <c r="A120" s="29">
        <v>44364</v>
      </c>
      <c r="B120" s="28">
        <v>2.1080000000000001</v>
      </c>
      <c r="C120" s="28">
        <v>3823698100.1999998</v>
      </c>
    </row>
    <row r="121" spans="1:3" ht="15.5">
      <c r="A121" s="29">
        <v>44363</v>
      </c>
      <c r="B121" s="28">
        <v>2.1751</v>
      </c>
      <c r="C121" s="28">
        <v>3945361221.5700002</v>
      </c>
    </row>
    <row r="122" spans="1:3" ht="15.5">
      <c r="A122" s="29">
        <v>44362</v>
      </c>
      <c r="B122" s="28">
        <v>2.1368</v>
      </c>
      <c r="C122" s="28">
        <v>3875839437.9299998</v>
      </c>
    </row>
    <row r="123" spans="1:3" ht="15.5">
      <c r="A123" s="29">
        <v>44358</v>
      </c>
      <c r="B123" s="28">
        <v>2.1463000000000001</v>
      </c>
      <c r="C123" s="28">
        <v>3893219883.8400002</v>
      </c>
    </row>
    <row r="124" spans="1:3" ht="15.5">
      <c r="A124" s="29">
        <v>44357</v>
      </c>
      <c r="B124" s="28">
        <v>2.1368</v>
      </c>
      <c r="C124" s="28">
        <v>3875839437.9299998</v>
      </c>
    </row>
    <row r="125" spans="1:3" ht="15.5">
      <c r="A125" s="29">
        <v>44356</v>
      </c>
      <c r="B125" s="28">
        <v>2.1272000000000002</v>
      </c>
      <c r="C125" s="28">
        <v>3858458992.02</v>
      </c>
    </row>
    <row r="126" spans="1:3" ht="15.5">
      <c r="A126" s="29">
        <v>44355</v>
      </c>
      <c r="B126" s="28">
        <v>2.1175999999999999</v>
      </c>
      <c r="C126" s="28">
        <v>3841078546.1100001</v>
      </c>
    </row>
    <row r="127" spans="1:3" ht="15.5">
      <c r="A127" s="29">
        <v>44354</v>
      </c>
      <c r="B127" s="28">
        <v>2.0888</v>
      </c>
      <c r="C127" s="28">
        <v>3788937208.3800001</v>
      </c>
    </row>
    <row r="128" spans="1:3" ht="15.5">
      <c r="A128" s="29">
        <v>44351</v>
      </c>
      <c r="B128" s="28">
        <v>2.0888</v>
      </c>
      <c r="C128" s="28">
        <v>3788937208.3800001</v>
      </c>
    </row>
    <row r="129" spans="1:3" ht="15.5">
      <c r="A129" s="29">
        <v>44350</v>
      </c>
      <c r="B129" s="28">
        <v>2.0888</v>
      </c>
      <c r="C129" s="28">
        <v>3788937208.3800001</v>
      </c>
    </row>
    <row r="130" spans="1:3" ht="15.5">
      <c r="A130" s="29">
        <v>44349</v>
      </c>
      <c r="B130" s="28">
        <v>2.1080000000000001</v>
      </c>
      <c r="C130" s="28">
        <v>3823698100.1999998</v>
      </c>
    </row>
    <row r="131" spans="1:3" ht="15.5">
      <c r="A131" s="29">
        <v>44348</v>
      </c>
      <c r="B131" s="28">
        <v>2.0792999999999999</v>
      </c>
      <c r="C131" s="28">
        <v>3771556762.4699998</v>
      </c>
    </row>
    <row r="132" spans="1:3" ht="15.5">
      <c r="A132" s="29">
        <v>44347</v>
      </c>
      <c r="B132" s="28">
        <v>2.0888</v>
      </c>
      <c r="C132" s="28">
        <v>3788937208.3800001</v>
      </c>
    </row>
    <row r="133" spans="1:3" ht="15.5">
      <c r="A133" s="29">
        <v>44344</v>
      </c>
      <c r="B133" s="28">
        <v>2.0888</v>
      </c>
      <c r="C133" s="28">
        <v>3788937208.3800001</v>
      </c>
    </row>
    <row r="134" spans="1:3" ht="15.5">
      <c r="A134" s="29">
        <v>44343</v>
      </c>
      <c r="B134" s="28">
        <v>2.0600999999999998</v>
      </c>
      <c r="C134" s="28">
        <v>3736795870.6500001</v>
      </c>
    </row>
    <row r="135" spans="1:3" ht="15.5">
      <c r="A135" s="29">
        <v>44342</v>
      </c>
      <c r="B135" s="28">
        <v>2.0792999999999999</v>
      </c>
      <c r="C135" s="28">
        <v>3771556762.4699998</v>
      </c>
    </row>
    <row r="136" spans="1:3" ht="15.5">
      <c r="A136" s="29">
        <v>44341</v>
      </c>
      <c r="B136" s="28">
        <v>2.0792999999999999</v>
      </c>
      <c r="C136" s="28">
        <v>3771556762.4699998</v>
      </c>
    </row>
    <row r="137" spans="1:3" ht="15.5">
      <c r="A137" s="29">
        <v>44340</v>
      </c>
      <c r="B137" s="28">
        <v>2.0697000000000001</v>
      </c>
      <c r="C137" s="28">
        <v>3754176316.5599999</v>
      </c>
    </row>
    <row r="138" spans="1:3" ht="15.5">
      <c r="A138" s="29">
        <v>44337</v>
      </c>
      <c r="B138" s="28">
        <v>2.0505</v>
      </c>
      <c r="C138" s="28">
        <v>3719415424.7399998</v>
      </c>
    </row>
    <row r="139" spans="1:3" ht="15.5">
      <c r="A139" s="29">
        <v>44336</v>
      </c>
      <c r="B139" s="28">
        <v>2.0409000000000002</v>
      </c>
      <c r="C139" s="28">
        <v>3702034978.8299999</v>
      </c>
    </row>
    <row r="140" spans="1:3" ht="15.5">
      <c r="A140" s="29">
        <v>44335</v>
      </c>
      <c r="B140" s="28">
        <v>2.0122</v>
      </c>
      <c r="C140" s="28">
        <v>3649893641.0999999</v>
      </c>
    </row>
    <row r="141" spans="1:3" ht="15.5">
      <c r="A141" s="29">
        <v>44334</v>
      </c>
      <c r="B141" s="28">
        <v>2.0409000000000002</v>
      </c>
      <c r="C141" s="28">
        <v>3702034978.8299999</v>
      </c>
    </row>
    <row r="142" spans="1:3" ht="15.5">
      <c r="A142" s="29">
        <v>44333</v>
      </c>
      <c r="B142" s="28">
        <v>2.0697000000000001</v>
      </c>
      <c r="C142" s="28">
        <v>3754176316.5599999</v>
      </c>
    </row>
    <row r="143" spans="1:3" ht="15.5">
      <c r="A143" s="29">
        <v>44330</v>
      </c>
      <c r="B143" s="28">
        <v>2.0983999999999998</v>
      </c>
      <c r="C143" s="28">
        <v>3806317654.29</v>
      </c>
    </row>
    <row r="144" spans="1:3" ht="15.5">
      <c r="A144" s="29">
        <v>44329</v>
      </c>
      <c r="B144" s="28">
        <v>2.0505</v>
      </c>
      <c r="C144" s="28">
        <v>3719415424.7399998</v>
      </c>
    </row>
    <row r="145" spans="1:3" ht="15.5">
      <c r="A145" s="29">
        <v>44328</v>
      </c>
      <c r="B145" s="28">
        <v>2.0697000000000001</v>
      </c>
      <c r="C145" s="28">
        <v>3754176316.5599999</v>
      </c>
    </row>
    <row r="146" spans="1:3" ht="15.5">
      <c r="A146" s="29">
        <v>44327</v>
      </c>
      <c r="B146" s="28">
        <v>2.0983999999999998</v>
      </c>
      <c r="C146" s="28">
        <v>3806317654.29</v>
      </c>
    </row>
    <row r="147" spans="1:3" ht="15.5">
      <c r="A147" s="29">
        <v>44326</v>
      </c>
      <c r="B147" s="28">
        <v>2.1175999999999999</v>
      </c>
      <c r="C147" s="28">
        <v>3841078546.1100001</v>
      </c>
    </row>
    <row r="148" spans="1:3" ht="15.5">
      <c r="A148" s="29">
        <v>44323</v>
      </c>
      <c r="B148" s="28">
        <v>2.1080000000000001</v>
      </c>
      <c r="C148" s="28">
        <v>3823698100.1999998</v>
      </c>
    </row>
    <row r="149" spans="1:3" ht="15.5">
      <c r="A149" s="29">
        <v>44322</v>
      </c>
      <c r="B149" s="28">
        <v>2.1175999999999999</v>
      </c>
      <c r="C149" s="28">
        <v>3841078546.1100001</v>
      </c>
    </row>
    <row r="150" spans="1:3" ht="15.5">
      <c r="A150" s="29">
        <v>44321</v>
      </c>
      <c r="B150" s="28">
        <v>2.1368</v>
      </c>
      <c r="C150" s="28">
        <v>3875839437.9299998</v>
      </c>
    </row>
    <row r="151" spans="1:3" ht="15.5">
      <c r="A151" s="29">
        <v>44320</v>
      </c>
      <c r="B151" s="28">
        <v>2.1175999999999999</v>
      </c>
      <c r="C151" s="28">
        <v>3841078546.1100001</v>
      </c>
    </row>
    <row r="152" spans="1:3" ht="15.5">
      <c r="A152" s="29">
        <v>44319</v>
      </c>
      <c r="B152" s="28">
        <v>2.0888</v>
      </c>
      <c r="C152" s="28">
        <v>3788937208.3800001</v>
      </c>
    </row>
    <row r="153" spans="1:3" ht="15.5">
      <c r="A153" s="29">
        <v>44316</v>
      </c>
      <c r="B153" s="28">
        <v>2.0983999999999998</v>
      </c>
      <c r="C153" s="28">
        <v>3806317654.29</v>
      </c>
    </row>
    <row r="154" spans="1:3" ht="15.5">
      <c r="A154" s="29">
        <v>44315</v>
      </c>
      <c r="B154" s="28">
        <v>2.0983999999999998</v>
      </c>
      <c r="C154" s="28">
        <v>3806317654.29</v>
      </c>
    </row>
    <row r="155" spans="1:3" ht="15.5">
      <c r="A155" s="29">
        <v>44314</v>
      </c>
      <c r="B155" s="28">
        <v>2.0888</v>
      </c>
      <c r="C155" s="28">
        <v>3788937208.3800001</v>
      </c>
    </row>
    <row r="156" spans="1:3" ht="15.5">
      <c r="A156" s="29">
        <v>44313</v>
      </c>
      <c r="B156" s="28">
        <v>2.0697000000000001</v>
      </c>
      <c r="C156" s="28">
        <v>3754176316.5599999</v>
      </c>
    </row>
    <row r="157" spans="1:3" ht="15.5">
      <c r="A157" s="29">
        <v>44312</v>
      </c>
      <c r="B157" s="28">
        <v>2.0697000000000001</v>
      </c>
      <c r="C157" s="28">
        <v>3754176316.5599999</v>
      </c>
    </row>
    <row r="158" spans="1:3" ht="15.5">
      <c r="A158" s="29">
        <v>44309</v>
      </c>
      <c r="B158" s="28">
        <v>2.0505</v>
      </c>
      <c r="C158" s="28">
        <v>3719415424.7399998</v>
      </c>
    </row>
    <row r="159" spans="1:3" ht="15.5">
      <c r="A159" s="29">
        <v>44308</v>
      </c>
      <c r="B159" s="28">
        <v>2.0600999999999998</v>
      </c>
      <c r="C159" s="28">
        <v>3736795870.6500001</v>
      </c>
    </row>
    <row r="160" spans="1:3" ht="15.5">
      <c r="A160" s="29">
        <v>44307</v>
      </c>
      <c r="B160" s="28">
        <v>2.0409000000000002</v>
      </c>
      <c r="C160" s="28">
        <v>3702034978.8299999</v>
      </c>
    </row>
    <row r="161" spans="1:3" ht="15.5">
      <c r="A161" s="29">
        <v>44306</v>
      </c>
      <c r="B161" s="28">
        <v>2.0409000000000002</v>
      </c>
      <c r="C161" s="28">
        <v>3702034978.8299999</v>
      </c>
    </row>
    <row r="162" spans="1:3" ht="15.5">
      <c r="A162" s="29">
        <v>44305</v>
      </c>
      <c r="B162" s="28">
        <v>2.0505</v>
      </c>
      <c r="C162" s="28">
        <v>3719415424.7399998</v>
      </c>
    </row>
    <row r="163" spans="1:3" ht="15.5">
      <c r="A163" s="29">
        <v>44302</v>
      </c>
      <c r="B163" s="28">
        <v>2.0505</v>
      </c>
      <c r="C163" s="28">
        <v>3719415424.7399998</v>
      </c>
    </row>
    <row r="164" spans="1:3" ht="15.5">
      <c r="A164" s="29">
        <v>44301</v>
      </c>
      <c r="B164" s="28">
        <v>2.0697000000000001</v>
      </c>
      <c r="C164" s="28">
        <v>3754176316.5599999</v>
      </c>
    </row>
    <row r="165" spans="1:3" ht="15.5">
      <c r="A165" s="29">
        <v>44300</v>
      </c>
      <c r="B165" s="28">
        <v>2.0888</v>
      </c>
      <c r="C165" s="28">
        <v>3788937208.3800001</v>
      </c>
    </row>
    <row r="166" spans="1:3" ht="15.5">
      <c r="A166" s="29">
        <v>44299</v>
      </c>
      <c r="B166" s="28">
        <v>2.0888</v>
      </c>
      <c r="C166" s="28">
        <v>3788937208.3800001</v>
      </c>
    </row>
    <row r="167" spans="1:3" ht="15.5">
      <c r="A167" s="29">
        <v>44298</v>
      </c>
      <c r="B167" s="28">
        <v>2.0888</v>
      </c>
      <c r="C167" s="28">
        <v>3788937208.3800001</v>
      </c>
    </row>
    <row r="168" spans="1:3" ht="15.5">
      <c r="A168" s="29">
        <v>44295</v>
      </c>
      <c r="B168" s="28">
        <v>2.0888</v>
      </c>
      <c r="C168" s="28">
        <v>3788937208.3800001</v>
      </c>
    </row>
    <row r="169" spans="1:3" ht="15.5">
      <c r="A169" s="29">
        <v>44294</v>
      </c>
      <c r="B169" s="28">
        <v>2.0792999999999999</v>
      </c>
      <c r="C169" s="28">
        <v>3771556762.4699998</v>
      </c>
    </row>
    <row r="170" spans="1:3" ht="15.5">
      <c r="A170" s="29">
        <v>44293</v>
      </c>
      <c r="B170" s="28">
        <v>2.0888</v>
      </c>
      <c r="C170" s="28">
        <v>3788937208.3800001</v>
      </c>
    </row>
    <row r="171" spans="1:3" ht="15.5">
      <c r="A171" s="29">
        <v>44292</v>
      </c>
      <c r="B171" s="28">
        <v>2.0792999999999999</v>
      </c>
      <c r="C171" s="28">
        <v>3771556762.4699998</v>
      </c>
    </row>
    <row r="172" spans="1:3" ht="15.5">
      <c r="A172" s="29">
        <v>44287</v>
      </c>
      <c r="B172" s="28">
        <v>2.0888</v>
      </c>
      <c r="C172" s="28">
        <v>3788937208.3800001</v>
      </c>
    </row>
    <row r="173" spans="1:3" ht="15.5">
      <c r="A173" s="29">
        <v>44286</v>
      </c>
      <c r="B173" s="28">
        <v>2.0792999999999999</v>
      </c>
      <c r="C173" s="28">
        <v>3771556762.4699998</v>
      </c>
    </row>
    <row r="174" spans="1:3" ht="15.5">
      <c r="A174" s="29">
        <v>44285</v>
      </c>
      <c r="B174" s="28">
        <v>2.0505</v>
      </c>
      <c r="C174" s="28">
        <v>3719415424.7399998</v>
      </c>
    </row>
    <row r="175" spans="1:3" ht="15.5">
      <c r="A175" s="29">
        <v>44284</v>
      </c>
      <c r="B175" s="28">
        <v>2.1080000000000001</v>
      </c>
      <c r="C175" s="28">
        <v>3823698100.1999998</v>
      </c>
    </row>
    <row r="176" spans="1:3" ht="15.5">
      <c r="A176" s="29">
        <v>44281</v>
      </c>
      <c r="B176" s="28">
        <v>2.1175999999999999</v>
      </c>
      <c r="C176" s="28">
        <v>3841078546.1100001</v>
      </c>
    </row>
    <row r="177" spans="1:3" ht="15.5">
      <c r="A177" s="29">
        <v>44280</v>
      </c>
      <c r="B177" s="28">
        <v>2.0888</v>
      </c>
      <c r="C177" s="28">
        <v>3788937208.3800001</v>
      </c>
    </row>
    <row r="178" spans="1:3" ht="15.5">
      <c r="A178" s="29">
        <v>44279</v>
      </c>
      <c r="B178" s="28">
        <v>2.0888</v>
      </c>
      <c r="C178" s="28">
        <v>3788937208.3800001</v>
      </c>
    </row>
    <row r="179" spans="1:3" ht="15.5">
      <c r="A179" s="29">
        <v>44278</v>
      </c>
      <c r="B179" s="28">
        <v>2.1080000000000001</v>
      </c>
      <c r="C179" s="28">
        <v>3823698100.1999998</v>
      </c>
    </row>
    <row r="180" spans="1:3" ht="15.5">
      <c r="A180" s="29">
        <v>44277</v>
      </c>
      <c r="B180" s="28">
        <v>2.0983999999999998</v>
      </c>
      <c r="C180" s="28">
        <v>3806317654.29</v>
      </c>
    </row>
    <row r="181" spans="1:3" ht="15.5">
      <c r="A181" s="29">
        <v>44274</v>
      </c>
      <c r="B181" s="28">
        <v>2.0505</v>
      </c>
      <c r="C181" s="28">
        <v>3719415424.7399998</v>
      </c>
    </row>
    <row r="182" spans="1:3" ht="15.5">
      <c r="A182" s="29">
        <v>44273</v>
      </c>
      <c r="B182" s="28">
        <v>2.0314000000000001</v>
      </c>
      <c r="C182" s="28">
        <v>3684654532.9200001</v>
      </c>
    </row>
    <row r="183" spans="1:3" ht="15.5">
      <c r="A183" s="29">
        <v>44272</v>
      </c>
      <c r="B183" s="28">
        <v>2.0217999999999998</v>
      </c>
      <c r="C183" s="28">
        <v>3667274087.0100002</v>
      </c>
    </row>
    <row r="184" spans="1:3" ht="15.5">
      <c r="A184" s="29">
        <v>44271</v>
      </c>
      <c r="B184" s="28">
        <v>2.0409000000000002</v>
      </c>
      <c r="C184" s="28">
        <v>3702034978.8299999</v>
      </c>
    </row>
    <row r="185" spans="1:3" ht="15.5">
      <c r="A185" s="29">
        <v>44270</v>
      </c>
      <c r="B185" s="28">
        <v>1.9739</v>
      </c>
      <c r="C185" s="28">
        <v>3580371857.46</v>
      </c>
    </row>
    <row r="186" spans="1:3" ht="15.5">
      <c r="A186" s="29">
        <v>44267</v>
      </c>
      <c r="B186" s="28">
        <v>1.9930000000000001</v>
      </c>
      <c r="C186" s="28">
        <v>3615132749.2800002</v>
      </c>
    </row>
    <row r="187" spans="1:3" ht="15.5">
      <c r="A187" s="29">
        <v>44266</v>
      </c>
      <c r="B187" s="28">
        <v>1.9834000000000001</v>
      </c>
      <c r="C187" s="28">
        <v>3597752303.3699999</v>
      </c>
    </row>
    <row r="188" spans="1:3" ht="15.5">
      <c r="A188" s="29">
        <v>44265</v>
      </c>
      <c r="B188" s="28">
        <v>1.9547000000000001</v>
      </c>
      <c r="C188" s="28">
        <v>3545610965.6399999</v>
      </c>
    </row>
    <row r="189" spans="1:3" ht="15.5">
      <c r="A189" s="29">
        <v>44264</v>
      </c>
      <c r="B189" s="28">
        <v>1.9739</v>
      </c>
      <c r="C189" s="28">
        <v>3580371857.46</v>
      </c>
    </row>
    <row r="190" spans="1:3" ht="15.5">
      <c r="A190" s="29">
        <v>44263</v>
      </c>
      <c r="B190" s="28">
        <v>1.9739</v>
      </c>
      <c r="C190" s="28">
        <v>3580371857.46</v>
      </c>
    </row>
    <row r="191" spans="1:3" ht="15.5">
      <c r="A191" s="29">
        <v>44260</v>
      </c>
      <c r="B191" s="28">
        <v>1.9355</v>
      </c>
      <c r="C191" s="28">
        <v>3510850073.8200002</v>
      </c>
    </row>
    <row r="192" spans="1:3" ht="15.5">
      <c r="A192" s="29">
        <v>44259</v>
      </c>
      <c r="B192" s="28">
        <v>1.9547000000000001</v>
      </c>
      <c r="C192" s="28">
        <v>3545610965.6399999</v>
      </c>
    </row>
    <row r="193" spans="1:3" ht="15.5">
      <c r="A193" s="29">
        <v>44258</v>
      </c>
      <c r="B193" s="28">
        <v>1.9739</v>
      </c>
      <c r="C193" s="28">
        <v>3580371857.46</v>
      </c>
    </row>
    <row r="194" spans="1:3" ht="15.5">
      <c r="A194" s="29">
        <v>44257</v>
      </c>
      <c r="B194" s="28">
        <v>1.9642999999999999</v>
      </c>
      <c r="C194" s="28">
        <v>3562991411.5500002</v>
      </c>
    </row>
    <row r="195" spans="1:3" ht="15.5">
      <c r="A195" s="29">
        <v>44256</v>
      </c>
      <c r="B195" s="28">
        <v>1.9930000000000001</v>
      </c>
      <c r="C195" s="28">
        <v>3615132749.2800002</v>
      </c>
    </row>
    <row r="196" spans="1:3" ht="15.5">
      <c r="A196" s="29">
        <v>44253</v>
      </c>
      <c r="B196" s="28">
        <v>1.9547000000000001</v>
      </c>
      <c r="C196" s="28">
        <v>3545610965.6399999</v>
      </c>
    </row>
    <row r="197" spans="1:3" ht="15.5">
      <c r="A197" s="29">
        <v>44252</v>
      </c>
      <c r="B197" s="28">
        <v>1.9642999999999999</v>
      </c>
      <c r="C197" s="28">
        <v>3562991411.5500002</v>
      </c>
    </row>
    <row r="198" spans="1:3" ht="15.5">
      <c r="A198" s="29">
        <v>44251</v>
      </c>
      <c r="B198" s="28">
        <v>1.9642999999999999</v>
      </c>
      <c r="C198" s="28">
        <v>3562991411.5500002</v>
      </c>
    </row>
    <row r="199" spans="1:3" ht="15.5">
      <c r="A199" s="29">
        <v>44250</v>
      </c>
      <c r="B199" s="28">
        <v>1.9355</v>
      </c>
      <c r="C199" s="28">
        <v>3510850073.8200002</v>
      </c>
    </row>
    <row r="200" spans="1:3" ht="15.5">
      <c r="A200" s="29">
        <v>44249</v>
      </c>
      <c r="B200" s="28">
        <v>1.9739</v>
      </c>
      <c r="C200" s="28">
        <v>3580371857.46</v>
      </c>
    </row>
    <row r="201" spans="1:3" ht="15.5">
      <c r="A201" s="29">
        <v>44246</v>
      </c>
      <c r="B201" s="28">
        <v>1.9930000000000001</v>
      </c>
      <c r="C201" s="28">
        <v>3615132749.2800002</v>
      </c>
    </row>
    <row r="202" spans="1:3" ht="15.5">
      <c r="A202" s="29">
        <v>44245</v>
      </c>
      <c r="B202" s="28">
        <v>2.0026000000000002</v>
      </c>
      <c r="C202" s="28">
        <v>3632513195.1900001</v>
      </c>
    </row>
    <row r="203" spans="1:3" ht="15.5">
      <c r="A203" s="29">
        <v>44244</v>
      </c>
      <c r="B203" s="28">
        <v>2.0409000000000002</v>
      </c>
      <c r="C203" s="28">
        <v>3702034978.8299999</v>
      </c>
    </row>
    <row r="204" spans="1:3" ht="15.5">
      <c r="A204" s="29">
        <v>44243</v>
      </c>
      <c r="B204" s="28">
        <v>2.0409000000000002</v>
      </c>
      <c r="C204" s="28">
        <v>3702034978.8299999</v>
      </c>
    </row>
    <row r="205" spans="1:3" ht="15.5">
      <c r="A205" s="29">
        <v>44242</v>
      </c>
      <c r="B205" s="28">
        <v>2.0409000000000002</v>
      </c>
      <c r="C205" s="28">
        <v>3702034978.8299999</v>
      </c>
    </row>
    <row r="206" spans="1:3" ht="15.5">
      <c r="A206" s="29">
        <v>44239</v>
      </c>
      <c r="B206" s="28">
        <v>2.0600999999999998</v>
      </c>
      <c r="C206" s="28">
        <v>3736795870.6500001</v>
      </c>
    </row>
    <row r="207" spans="1:3" ht="15.5">
      <c r="A207" s="29">
        <v>44238</v>
      </c>
      <c r="B207" s="28">
        <v>2.0697000000000001</v>
      </c>
      <c r="C207" s="28">
        <v>3754176316.5599999</v>
      </c>
    </row>
    <row r="208" spans="1:3" ht="15.5">
      <c r="A208" s="29">
        <v>44237</v>
      </c>
      <c r="B208" s="28">
        <v>2.0600999999999998</v>
      </c>
      <c r="C208" s="28">
        <v>3736795870.6500001</v>
      </c>
    </row>
    <row r="209" spans="1:3" ht="15.5">
      <c r="A209" s="29">
        <v>44236</v>
      </c>
      <c r="B209" s="28">
        <v>2.0217999999999998</v>
      </c>
      <c r="C209" s="28">
        <v>3667274087.0100002</v>
      </c>
    </row>
    <row r="210" spans="1:3" ht="15.5">
      <c r="A210" s="29">
        <v>44235</v>
      </c>
      <c r="B210" s="28">
        <v>2.0505</v>
      </c>
      <c r="C210" s="28">
        <v>3719415424.7399998</v>
      </c>
    </row>
    <row r="211" spans="1:3" ht="15.5">
      <c r="A211" s="29">
        <v>44232</v>
      </c>
      <c r="B211" s="28">
        <v>2.0888</v>
      </c>
      <c r="C211" s="28">
        <v>3788937208.3800001</v>
      </c>
    </row>
    <row r="212" spans="1:3" ht="15.5">
      <c r="A212" s="29">
        <v>44231</v>
      </c>
      <c r="B212" s="28">
        <v>2.1080000000000001</v>
      </c>
      <c r="C212" s="28">
        <v>3823698100.1999998</v>
      </c>
    </row>
    <row r="213" spans="1:3" ht="15.5">
      <c r="A213" s="29">
        <v>44230</v>
      </c>
      <c r="B213" s="28">
        <v>2.1080000000000001</v>
      </c>
      <c r="C213" s="28">
        <v>3823698100.1999998</v>
      </c>
    </row>
    <row r="214" spans="1:3" ht="15.5">
      <c r="A214" s="29">
        <v>44229</v>
      </c>
      <c r="B214" s="28">
        <v>2.0888</v>
      </c>
      <c r="C214" s="28">
        <v>3788937208.3800001</v>
      </c>
    </row>
    <row r="215" spans="1:3" ht="15.5">
      <c r="A215" s="29">
        <v>44228</v>
      </c>
      <c r="B215" s="28">
        <v>2.0697000000000001</v>
      </c>
      <c r="C215" s="28">
        <v>3754176316.5599999</v>
      </c>
    </row>
    <row r="216" spans="1:3" ht="15.5">
      <c r="A216" s="29">
        <v>44225</v>
      </c>
      <c r="B216" s="28">
        <v>2.1080000000000001</v>
      </c>
      <c r="C216" s="28">
        <v>3823698100.1999998</v>
      </c>
    </row>
    <row r="217" spans="1:3" ht="15.5">
      <c r="A217" s="29">
        <v>44224</v>
      </c>
      <c r="B217" s="28">
        <v>2.0697000000000001</v>
      </c>
      <c r="C217" s="28">
        <v>3754176316.5599999</v>
      </c>
    </row>
    <row r="218" spans="1:3" ht="15.5">
      <c r="A218" s="29">
        <v>44223</v>
      </c>
      <c r="B218" s="28">
        <v>2.0888</v>
      </c>
      <c r="C218" s="28">
        <v>3788937208.3800001</v>
      </c>
    </row>
    <row r="219" spans="1:3" ht="15.5">
      <c r="A219" s="29">
        <v>44221</v>
      </c>
      <c r="B219" s="28">
        <v>2.0983999999999998</v>
      </c>
      <c r="C219" s="28">
        <v>3806317654.29</v>
      </c>
    </row>
    <row r="220" spans="1:3" ht="15.5">
      <c r="A220" s="29">
        <v>44218</v>
      </c>
      <c r="B220" s="28">
        <v>2.0600999999999998</v>
      </c>
      <c r="C220" s="28">
        <v>3736795870.6500001</v>
      </c>
    </row>
    <row r="221" spans="1:3" ht="15.5">
      <c r="A221" s="29">
        <v>44217</v>
      </c>
      <c r="B221" s="28">
        <v>2.0409000000000002</v>
      </c>
      <c r="C221" s="28">
        <v>3702034978.8299999</v>
      </c>
    </row>
    <row r="222" spans="1:3" ht="15.5">
      <c r="A222" s="29">
        <v>44216</v>
      </c>
      <c r="B222" s="28">
        <v>2.0505</v>
      </c>
      <c r="C222" s="28">
        <v>3719415424.7399998</v>
      </c>
    </row>
    <row r="223" spans="1:3" ht="15.5">
      <c r="A223" s="29">
        <v>44215</v>
      </c>
      <c r="B223" s="28">
        <v>2.0026000000000002</v>
      </c>
      <c r="C223" s="28">
        <v>3632513195.1900001</v>
      </c>
    </row>
    <row r="224" spans="1:3" ht="15.5">
      <c r="A224" s="29">
        <v>44214</v>
      </c>
      <c r="B224" s="28">
        <v>2.0122</v>
      </c>
      <c r="C224" s="28">
        <v>3649893641.0999999</v>
      </c>
    </row>
    <row r="225" spans="1:3" ht="15.5">
      <c r="A225" s="29">
        <v>44211</v>
      </c>
      <c r="B225" s="28">
        <v>2.0122</v>
      </c>
      <c r="C225" s="28">
        <v>3649893641.0999999</v>
      </c>
    </row>
    <row r="226" spans="1:3" ht="15.5">
      <c r="A226" s="29">
        <v>44210</v>
      </c>
      <c r="B226" s="28">
        <v>2.0409000000000002</v>
      </c>
      <c r="C226" s="28">
        <v>3702034978.8299999</v>
      </c>
    </row>
    <row r="227" spans="1:3" ht="15.5">
      <c r="A227" s="29">
        <v>44209</v>
      </c>
      <c r="B227" s="28">
        <v>2.0409000000000002</v>
      </c>
      <c r="C227" s="28">
        <v>3702034978.8299999</v>
      </c>
    </row>
    <row r="228" spans="1:3" ht="15.5">
      <c r="A228" s="29">
        <v>44208</v>
      </c>
      <c r="B228" s="28">
        <v>2.0217999999999998</v>
      </c>
      <c r="C228" s="28">
        <v>3667274087.0100002</v>
      </c>
    </row>
    <row r="229" spans="1:3" ht="15.5">
      <c r="A229" s="29">
        <v>44207</v>
      </c>
      <c r="B229" s="28">
        <v>2.0314000000000001</v>
      </c>
      <c r="C229" s="28">
        <v>3684654532.9200001</v>
      </c>
    </row>
    <row r="230" spans="1:3" ht="15.5">
      <c r="A230" s="29">
        <v>44204</v>
      </c>
      <c r="B230" s="28">
        <v>2.0600999999999998</v>
      </c>
      <c r="C230" s="28">
        <v>3736795870.6500001</v>
      </c>
    </row>
    <row r="231" spans="1:3" ht="15.5">
      <c r="A231" s="29">
        <v>44203</v>
      </c>
      <c r="B231" s="28">
        <v>2.0983999999999998</v>
      </c>
      <c r="C231" s="28">
        <v>3806317654.29</v>
      </c>
    </row>
    <row r="232" spans="1:3" ht="15.5">
      <c r="A232" s="29">
        <v>44202</v>
      </c>
      <c r="B232" s="28">
        <v>2.0600999999999998</v>
      </c>
      <c r="C232" s="28">
        <v>3736795870.6500001</v>
      </c>
    </row>
    <row r="233" spans="1:3" ht="15.5">
      <c r="A233" s="29">
        <v>44201</v>
      </c>
      <c r="B233" s="28">
        <v>2.0600999999999998</v>
      </c>
      <c r="C233" s="28">
        <v>3736795870.6500001</v>
      </c>
    </row>
    <row r="234" spans="1:3" ht="15.5">
      <c r="A234" s="29">
        <v>44200</v>
      </c>
      <c r="B234" s="28">
        <v>2.0505</v>
      </c>
      <c r="C234" s="28">
        <v>3719415424.7399998</v>
      </c>
    </row>
    <row r="235" spans="1:3" ht="15.5">
      <c r="A235" s="29">
        <v>44196</v>
      </c>
      <c r="B235" s="28">
        <v>2.0217999999999998</v>
      </c>
      <c r="C235" s="28">
        <v>3667274087.0100002</v>
      </c>
    </row>
    <row r="236" spans="1:3" ht="15.5">
      <c r="A236" s="29">
        <v>44195</v>
      </c>
      <c r="B236" s="28">
        <v>2.0409000000000002</v>
      </c>
      <c r="C236" s="28">
        <v>3667254068.25</v>
      </c>
    </row>
    <row r="237" spans="1:3" ht="15.5">
      <c r="A237" s="29">
        <v>44194</v>
      </c>
      <c r="B237" s="28">
        <v>2.1080000000000001</v>
      </c>
      <c r="C237" s="28">
        <v>3787774155</v>
      </c>
    </row>
    <row r="238" spans="1:3" ht="15.5">
      <c r="A238" s="29">
        <v>44189</v>
      </c>
      <c r="B238" s="28">
        <v>2.0983999999999998</v>
      </c>
      <c r="C238" s="28">
        <v>3770556999.75</v>
      </c>
    </row>
    <row r="239" spans="1:3" ht="15.5">
      <c r="A239" s="29">
        <v>44188</v>
      </c>
      <c r="B239" s="28">
        <v>2.0888</v>
      </c>
      <c r="C239" s="28">
        <v>3753339844.5</v>
      </c>
    </row>
    <row r="240" spans="1:3" ht="15.5">
      <c r="A240" s="29">
        <v>44187</v>
      </c>
      <c r="B240" s="28">
        <v>2.0697000000000001</v>
      </c>
      <c r="C240" s="28">
        <v>3718905534</v>
      </c>
    </row>
    <row r="241" spans="1:3" ht="15.5">
      <c r="A241" s="29">
        <v>44186</v>
      </c>
      <c r="B241" s="28">
        <v>2.0888</v>
      </c>
      <c r="C241" s="28">
        <v>3753339844.5</v>
      </c>
    </row>
    <row r="242" spans="1:3" ht="15.5">
      <c r="A242" s="29">
        <v>44183</v>
      </c>
      <c r="B242" s="28">
        <v>2.1080000000000001</v>
      </c>
      <c r="C242" s="28">
        <v>3787774155</v>
      </c>
    </row>
    <row r="243" spans="1:3" ht="15.5">
      <c r="A243" s="29">
        <v>44182</v>
      </c>
      <c r="B243" s="28">
        <v>2.0697000000000001</v>
      </c>
      <c r="C243" s="28">
        <v>3718905534</v>
      </c>
    </row>
    <row r="244" spans="1:3" ht="15.5">
      <c r="A244" s="29">
        <v>44181</v>
      </c>
      <c r="B244" s="28">
        <v>2.0505</v>
      </c>
      <c r="C244" s="28">
        <v>3684471223.5</v>
      </c>
    </row>
    <row r="245" spans="1:3" ht="15.5">
      <c r="A245" s="29">
        <v>44180</v>
      </c>
      <c r="B245" s="28">
        <v>2.0409000000000002</v>
      </c>
      <c r="C245" s="28">
        <v>3667254068.25</v>
      </c>
    </row>
    <row r="246" spans="1:3" ht="15.5">
      <c r="A246" s="29">
        <v>44179</v>
      </c>
      <c r="B246" s="28">
        <v>2.0409000000000002</v>
      </c>
      <c r="C246" s="28">
        <v>3667254068.25</v>
      </c>
    </row>
    <row r="247" spans="1:3" ht="15.5">
      <c r="A247" s="29">
        <v>44176</v>
      </c>
      <c r="B247" s="28">
        <v>2.0505</v>
      </c>
      <c r="C247" s="28">
        <v>3684471223.5</v>
      </c>
    </row>
    <row r="248" spans="1:3" ht="15.5">
      <c r="A248" s="29">
        <v>44175</v>
      </c>
      <c r="B248" s="28">
        <v>2.0409000000000002</v>
      </c>
      <c r="C248" s="28">
        <v>3667254068.25</v>
      </c>
    </row>
    <row r="249" spans="1:3" ht="15.5">
      <c r="A249" s="29">
        <v>44174</v>
      </c>
      <c r="B249" s="28">
        <v>2.0409000000000002</v>
      </c>
      <c r="C249" s="28">
        <v>3667254068.25</v>
      </c>
    </row>
    <row r="250" spans="1:3" ht="15.5">
      <c r="A250" s="29">
        <v>44173</v>
      </c>
      <c r="B250" s="28">
        <v>2.0409000000000002</v>
      </c>
      <c r="C250" s="28">
        <v>3667254068.25</v>
      </c>
    </row>
    <row r="251" spans="1:3" ht="15.5">
      <c r="A251" s="29">
        <v>44172</v>
      </c>
      <c r="B251" s="28">
        <v>2.0026000000000002</v>
      </c>
      <c r="C251" s="28">
        <v>3598385447.25</v>
      </c>
    </row>
    <row r="252" spans="1:3" ht="15.5">
      <c r="A252" s="29">
        <v>44169</v>
      </c>
      <c r="B252" s="28">
        <v>2.0026000000000002</v>
      </c>
      <c r="C252" s="28">
        <v>3598385447.25</v>
      </c>
    </row>
    <row r="253" spans="1:3" ht="15.5">
      <c r="A253" s="29">
        <v>44168</v>
      </c>
      <c r="B253" s="28">
        <v>2.0122</v>
      </c>
      <c r="C253" s="28">
        <v>3615602602.5</v>
      </c>
    </row>
    <row r="254" spans="1:3" ht="15.5">
      <c r="A254" s="29">
        <v>44167</v>
      </c>
      <c r="B254" s="28">
        <v>2.0026000000000002</v>
      </c>
      <c r="C254" s="28">
        <v>3598385447.25</v>
      </c>
    </row>
    <row r="255" spans="1:3" ht="15.5">
      <c r="A255" s="29">
        <v>44166</v>
      </c>
      <c r="B255" s="28">
        <v>2.0122</v>
      </c>
      <c r="C255" s="28">
        <v>3615602602.5</v>
      </c>
    </row>
    <row r="256" spans="1:3" ht="15.5">
      <c r="A256" s="29">
        <v>44165</v>
      </c>
      <c r="B256" s="28">
        <v>1.9642999999999999</v>
      </c>
      <c r="C256" s="28">
        <v>3529516826.25</v>
      </c>
    </row>
    <row r="257" spans="1:3" ht="15.5">
      <c r="A257" s="29">
        <v>44162</v>
      </c>
      <c r="B257" s="28">
        <v>2.0026000000000002</v>
      </c>
      <c r="C257" s="28">
        <v>3598385447.25</v>
      </c>
    </row>
    <row r="258" spans="1:3" ht="15.5">
      <c r="A258" s="29">
        <v>44161</v>
      </c>
      <c r="B258" s="28">
        <v>2.0122</v>
      </c>
      <c r="C258" s="28">
        <v>3615602602.5</v>
      </c>
    </row>
    <row r="259" spans="1:3" ht="15.5">
      <c r="A259" s="29">
        <v>44160</v>
      </c>
      <c r="B259" s="28">
        <v>2.0026000000000002</v>
      </c>
      <c r="C259" s="28">
        <v>3598385447.25</v>
      </c>
    </row>
    <row r="260" spans="1:3" ht="15.5">
      <c r="A260" s="29">
        <v>44159</v>
      </c>
      <c r="B260" s="28">
        <v>2.0217999999999998</v>
      </c>
      <c r="C260" s="28">
        <v>3632819757.75</v>
      </c>
    </row>
    <row r="261" spans="1:3" ht="15.5">
      <c r="A261" s="29">
        <v>44158</v>
      </c>
      <c r="B261" s="28">
        <v>1.9834000000000001</v>
      </c>
      <c r="C261" s="28">
        <v>3563951136.75</v>
      </c>
    </row>
    <row r="262" spans="1:3" ht="15.5">
      <c r="A262" s="29">
        <v>44155</v>
      </c>
      <c r="B262" s="28">
        <v>1.9834000000000001</v>
      </c>
      <c r="C262" s="28">
        <v>3563951136.75</v>
      </c>
    </row>
    <row r="263" spans="1:3" ht="15.5">
      <c r="A263" s="29">
        <v>44154</v>
      </c>
      <c r="B263" s="28">
        <v>1.9739</v>
      </c>
      <c r="C263" s="28">
        <v>3546733981.5</v>
      </c>
    </row>
    <row r="264" spans="1:3" ht="15.5">
      <c r="A264" s="29">
        <v>44153</v>
      </c>
      <c r="B264" s="28">
        <v>1.9930000000000001</v>
      </c>
      <c r="C264" s="28">
        <v>3581168292</v>
      </c>
    </row>
    <row r="265" spans="1:3" ht="15.5">
      <c r="A265" s="29">
        <v>44152</v>
      </c>
      <c r="B265" s="28">
        <v>1.9547000000000001</v>
      </c>
      <c r="C265" s="28">
        <v>3512299671</v>
      </c>
    </row>
    <row r="266" spans="1:3" ht="15.5">
      <c r="A266" s="29">
        <v>44151</v>
      </c>
      <c r="B266" s="28">
        <v>1.9930000000000001</v>
      </c>
      <c r="C266" s="28">
        <v>3581168292</v>
      </c>
    </row>
    <row r="267" spans="1:3" ht="15.5">
      <c r="A267" s="29">
        <v>44148</v>
      </c>
      <c r="B267" s="28">
        <v>1.9642999999999999</v>
      </c>
      <c r="C267" s="28">
        <v>3529516826.25</v>
      </c>
    </row>
    <row r="268" spans="1:3" ht="15.5">
      <c r="A268" s="29">
        <v>44147</v>
      </c>
      <c r="B268" s="28">
        <v>1.9930000000000001</v>
      </c>
      <c r="C268" s="28">
        <v>3581168292</v>
      </c>
    </row>
    <row r="269" spans="1:3" ht="15.5">
      <c r="A269" s="29">
        <v>44146</v>
      </c>
      <c r="B269" s="28">
        <v>2.0314000000000001</v>
      </c>
      <c r="C269" s="28">
        <v>3650036913</v>
      </c>
    </row>
    <row r="270" spans="1:3" ht="15.5">
      <c r="A270" s="29">
        <v>44145</v>
      </c>
      <c r="B270" s="28">
        <v>1.9739</v>
      </c>
      <c r="C270" s="28">
        <v>3546733981.5</v>
      </c>
    </row>
    <row r="271" spans="1:3" ht="15.5">
      <c r="A271" s="29">
        <v>44144</v>
      </c>
      <c r="B271" s="28">
        <v>1.9739</v>
      </c>
      <c r="C271" s="28">
        <v>3546733981.5</v>
      </c>
    </row>
    <row r="272" spans="1:3" ht="15.5">
      <c r="A272" s="29">
        <v>44141</v>
      </c>
      <c r="B272" s="28">
        <v>1.9739</v>
      </c>
      <c r="C272" s="28">
        <v>3546733981.5</v>
      </c>
    </row>
    <row r="273" spans="1:3" ht="15.5">
      <c r="A273" s="29">
        <v>44140</v>
      </c>
      <c r="B273" s="28">
        <v>1.9739</v>
      </c>
      <c r="C273" s="28">
        <v>3546733981.5</v>
      </c>
    </row>
    <row r="274" spans="1:3" ht="15.5">
      <c r="A274" s="29">
        <v>44139</v>
      </c>
      <c r="B274" s="28">
        <v>1.9547000000000001</v>
      </c>
      <c r="C274" s="28">
        <v>3512299671</v>
      </c>
    </row>
    <row r="275" spans="1:3" ht="15.5">
      <c r="A275" s="29">
        <v>44138</v>
      </c>
      <c r="B275" s="28">
        <v>1.9547000000000001</v>
      </c>
      <c r="C275" s="28">
        <v>3512299671</v>
      </c>
    </row>
    <row r="276" spans="1:3" ht="15.5">
      <c r="A276" s="29">
        <v>44137</v>
      </c>
      <c r="B276" s="28">
        <v>1.9355</v>
      </c>
      <c r="C276" s="28">
        <v>3477865360.5</v>
      </c>
    </row>
    <row r="277" spans="1:3" ht="15.5">
      <c r="A277" s="29">
        <v>44134</v>
      </c>
      <c r="B277" s="28">
        <v>1.9019999999999999</v>
      </c>
      <c r="C277" s="28">
        <v>3417605317.125</v>
      </c>
    </row>
    <row r="278" spans="1:3" ht="15.5">
      <c r="A278" s="29">
        <v>44133</v>
      </c>
      <c r="B278" s="28">
        <v>1.9164000000000001</v>
      </c>
      <c r="C278" s="28">
        <v>3443431050</v>
      </c>
    </row>
    <row r="279" spans="1:3" ht="15.5">
      <c r="A279" s="29">
        <v>44132</v>
      </c>
      <c r="B279" s="28">
        <v>1.9547000000000001</v>
      </c>
      <c r="C279" s="28">
        <v>3512299671</v>
      </c>
    </row>
    <row r="280" spans="1:3" ht="15.5">
      <c r="A280" s="29">
        <v>44131</v>
      </c>
      <c r="B280" s="28">
        <v>1.9547000000000001</v>
      </c>
      <c r="C280" s="28">
        <v>3512299671</v>
      </c>
    </row>
    <row r="281" spans="1:3" ht="15.5">
      <c r="A281" s="29">
        <v>44130</v>
      </c>
      <c r="B281" s="28">
        <v>1.9739</v>
      </c>
      <c r="C281" s="28">
        <v>3546733981.5</v>
      </c>
    </row>
    <row r="282" spans="1:3" ht="15.5">
      <c r="A282" s="29">
        <v>44127</v>
      </c>
      <c r="B282" s="28">
        <v>1.9930000000000001</v>
      </c>
      <c r="C282" s="28">
        <v>3581168292</v>
      </c>
    </row>
    <row r="283" spans="1:3" ht="15.5">
      <c r="A283" s="29">
        <v>44126</v>
      </c>
      <c r="B283" s="28">
        <v>1.9930000000000001</v>
      </c>
      <c r="C283" s="28">
        <v>3581168292</v>
      </c>
    </row>
    <row r="284" spans="1:3" ht="15.5">
      <c r="A284" s="29">
        <v>44125</v>
      </c>
      <c r="B284" s="28">
        <v>2.0122</v>
      </c>
      <c r="C284" s="28">
        <v>3615602602.5</v>
      </c>
    </row>
    <row r="285" spans="1:3" ht="15.5">
      <c r="A285" s="29">
        <v>44124</v>
      </c>
      <c r="B285" s="28">
        <v>2.0505</v>
      </c>
      <c r="C285" s="28">
        <v>3684471223.5</v>
      </c>
    </row>
    <row r="286" spans="1:3" ht="15.5">
      <c r="A286" s="29">
        <v>44123</v>
      </c>
      <c r="B286" s="28">
        <v>2.0697000000000001</v>
      </c>
      <c r="C286" s="28">
        <v>3718905534</v>
      </c>
    </row>
    <row r="287" spans="1:3" ht="15.5">
      <c r="A287" s="29">
        <v>44120</v>
      </c>
      <c r="B287" s="28">
        <v>2.0505</v>
      </c>
      <c r="C287" s="28">
        <v>3684471223.5</v>
      </c>
    </row>
    <row r="288" spans="1:3" ht="15.5">
      <c r="A288" s="29">
        <v>44119</v>
      </c>
      <c r="B288" s="28">
        <v>2.0600999999999998</v>
      </c>
      <c r="C288" s="28">
        <v>3701688378.75</v>
      </c>
    </row>
    <row r="289" spans="1:3" ht="15.5">
      <c r="A289" s="29">
        <v>44118</v>
      </c>
      <c r="B289" s="28">
        <v>2.0600999999999998</v>
      </c>
      <c r="C289" s="28">
        <v>3701688378.75</v>
      </c>
    </row>
    <row r="290" spans="1:3" ht="15.5">
      <c r="A290" s="29">
        <v>44117</v>
      </c>
      <c r="B290" s="28">
        <v>2.0409000000000002</v>
      </c>
      <c r="C290" s="28">
        <v>3667254068.25</v>
      </c>
    </row>
    <row r="291" spans="1:3" ht="15.5">
      <c r="A291" s="29">
        <v>44116</v>
      </c>
      <c r="B291" s="28">
        <v>2.0026000000000002</v>
      </c>
      <c r="C291" s="28">
        <v>3598385447.25</v>
      </c>
    </row>
    <row r="292" spans="1:3" ht="15.5">
      <c r="A292" s="29">
        <v>44113</v>
      </c>
      <c r="B292" s="28">
        <v>1.9930000000000001</v>
      </c>
      <c r="C292" s="28">
        <v>3581168292</v>
      </c>
    </row>
    <row r="293" spans="1:3" ht="15.5">
      <c r="A293" s="29">
        <v>44112</v>
      </c>
      <c r="B293" s="28">
        <v>2.0026000000000002</v>
      </c>
      <c r="C293" s="28">
        <v>3598385447.25</v>
      </c>
    </row>
    <row r="294" spans="1:3" ht="15.5">
      <c r="A294" s="29">
        <v>44111</v>
      </c>
      <c r="B294" s="28">
        <v>2.0314000000000001</v>
      </c>
      <c r="C294" s="28">
        <v>3650036913</v>
      </c>
    </row>
    <row r="295" spans="1:3" ht="15.5">
      <c r="A295" s="29">
        <v>44110</v>
      </c>
      <c r="B295" s="28">
        <v>2.0217999999999998</v>
      </c>
      <c r="C295" s="28">
        <v>3632819757.75</v>
      </c>
    </row>
    <row r="296" spans="1:3" ht="15.5">
      <c r="A296" s="29">
        <v>44109</v>
      </c>
      <c r="B296" s="28">
        <v>2.0314000000000001</v>
      </c>
      <c r="C296" s="28">
        <v>3650036913</v>
      </c>
    </row>
    <row r="297" spans="1:3" ht="15.5">
      <c r="A297" s="29">
        <v>44106</v>
      </c>
      <c r="B297" s="28">
        <v>1.9834000000000001</v>
      </c>
      <c r="C297" s="28">
        <v>3563951136.75</v>
      </c>
    </row>
    <row r="298" spans="1:3" ht="15.5">
      <c r="A298" s="29">
        <v>44105</v>
      </c>
      <c r="B298" s="28">
        <v>2.0122</v>
      </c>
      <c r="C298" s="28">
        <v>3615602602.5</v>
      </c>
    </row>
    <row r="299" spans="1:3" ht="15.5">
      <c r="A299" s="29">
        <v>44104</v>
      </c>
      <c r="B299" s="28">
        <v>1.9642999999999999</v>
      </c>
      <c r="C299" s="28">
        <v>3529516826.25</v>
      </c>
    </row>
    <row r="300" spans="1:3" ht="15.5">
      <c r="A300" s="29">
        <v>44103</v>
      </c>
      <c r="B300" s="28">
        <v>2.0314000000000001</v>
      </c>
      <c r="C300" s="28">
        <v>3650036913</v>
      </c>
    </row>
    <row r="301" spans="1:3" ht="15.5">
      <c r="A301" s="29">
        <v>44102</v>
      </c>
      <c r="B301" s="28">
        <v>2.0600999999999998</v>
      </c>
      <c r="C301" s="28">
        <v>3701688378.75</v>
      </c>
    </row>
    <row r="302" spans="1:3" ht="15.5">
      <c r="A302" s="29">
        <v>44099</v>
      </c>
      <c r="B302" s="28">
        <v>2.0697000000000001</v>
      </c>
      <c r="C302" s="28">
        <v>3718905534</v>
      </c>
    </row>
    <row r="303" spans="1:3" ht="15.5">
      <c r="A303" s="29">
        <v>44098</v>
      </c>
      <c r="B303" s="28">
        <v>2.0697000000000001</v>
      </c>
      <c r="C303" s="28">
        <v>3718905534</v>
      </c>
    </row>
    <row r="304" spans="1:3" ht="15.5">
      <c r="A304" s="29">
        <v>44097</v>
      </c>
      <c r="B304" s="28">
        <v>2.0983999999999998</v>
      </c>
      <c r="C304" s="28">
        <v>3770556999.75</v>
      </c>
    </row>
    <row r="305" spans="1:3" ht="15.5">
      <c r="A305" s="29">
        <v>44096</v>
      </c>
      <c r="B305" s="28">
        <v>2.0314000000000001</v>
      </c>
      <c r="C305" s="28">
        <v>3650036913</v>
      </c>
    </row>
    <row r="306" spans="1:3" ht="15.5">
      <c r="A306" s="29">
        <v>44095</v>
      </c>
      <c r="B306" s="28">
        <v>2.0409000000000002</v>
      </c>
      <c r="C306" s="28">
        <v>3667254068.25</v>
      </c>
    </row>
    <row r="307" spans="1:3" ht="15.5">
      <c r="A307" s="29">
        <v>44092</v>
      </c>
      <c r="B307" s="28">
        <v>2.0314000000000001</v>
      </c>
      <c r="C307" s="28">
        <v>3650036913</v>
      </c>
    </row>
    <row r="308" spans="1:3" ht="15.5">
      <c r="A308" s="29">
        <v>44091</v>
      </c>
      <c r="B308" s="28">
        <v>2.0600999999999998</v>
      </c>
      <c r="C308" s="28">
        <v>3701688378.75</v>
      </c>
    </row>
    <row r="309" spans="1:3" ht="15.5">
      <c r="A309" s="29">
        <v>44090</v>
      </c>
      <c r="B309" s="28">
        <v>2.0217999999999998</v>
      </c>
      <c r="C309" s="28">
        <v>3632819757.75</v>
      </c>
    </row>
    <row r="310" spans="1:3" ht="15.5">
      <c r="A310" s="29">
        <v>44089</v>
      </c>
      <c r="B310" s="28">
        <v>2.0314000000000001</v>
      </c>
      <c r="C310" s="28">
        <v>3650036913</v>
      </c>
    </row>
    <row r="311" spans="1:3" ht="15.5">
      <c r="A311" s="29">
        <v>44088</v>
      </c>
      <c r="B311" s="28">
        <v>2.0314000000000001</v>
      </c>
      <c r="C311" s="28">
        <v>3650036913</v>
      </c>
    </row>
    <row r="312" spans="1:3" ht="15.5">
      <c r="A312" s="29">
        <v>44085</v>
      </c>
      <c r="B312" s="28">
        <v>2.0217999999999998</v>
      </c>
      <c r="C312" s="28">
        <v>3632819757.75</v>
      </c>
    </row>
    <row r="313" spans="1:3" ht="15.5">
      <c r="A313" s="29">
        <v>44084</v>
      </c>
      <c r="B313" s="28">
        <v>2.0314000000000001</v>
      </c>
      <c r="C313" s="28">
        <v>3650036913</v>
      </c>
    </row>
    <row r="314" spans="1:3" ht="15.5">
      <c r="A314" s="29">
        <v>44083</v>
      </c>
      <c r="B314" s="28">
        <v>1.9834000000000001</v>
      </c>
      <c r="C314" s="28">
        <v>3563951136.75</v>
      </c>
    </row>
    <row r="315" spans="1:3" ht="15.5">
      <c r="A315" s="29">
        <v>44082</v>
      </c>
      <c r="B315" s="28">
        <v>2.0122</v>
      </c>
      <c r="C315" s="28">
        <v>3615602602.5</v>
      </c>
    </row>
    <row r="316" spans="1:3" ht="15.5">
      <c r="A316" s="29">
        <v>44081</v>
      </c>
      <c r="B316" s="28">
        <v>1.9930000000000001</v>
      </c>
      <c r="C316" s="28">
        <v>3581168292</v>
      </c>
    </row>
    <row r="317" spans="1:3" ht="15.5">
      <c r="A317" s="29">
        <v>44078</v>
      </c>
      <c r="B317" s="28">
        <v>2.0217999999999998</v>
      </c>
      <c r="C317" s="28">
        <v>3632819757.75</v>
      </c>
    </row>
    <row r="318" spans="1:3" ht="15.5">
      <c r="A318" s="29">
        <v>44077</v>
      </c>
      <c r="B318" s="28">
        <v>2.0792999999999999</v>
      </c>
      <c r="C318" s="28">
        <v>3736122689.25</v>
      </c>
    </row>
    <row r="319" spans="1:3" ht="15.5">
      <c r="A319" s="29">
        <v>44076</v>
      </c>
      <c r="B319" s="28">
        <v>2.2134</v>
      </c>
      <c r="C319" s="28">
        <v>3977162862.75</v>
      </c>
    </row>
    <row r="320" spans="1:3" ht="15.5">
      <c r="A320" s="29">
        <v>44075</v>
      </c>
      <c r="B320" s="28">
        <v>2.1175999999999999</v>
      </c>
      <c r="C320" s="28">
        <v>3804991310.25</v>
      </c>
    </row>
    <row r="321" spans="1:3" ht="15.5">
      <c r="A321" s="29">
        <v>44074</v>
      </c>
      <c r="B321" s="28">
        <v>2.1368</v>
      </c>
      <c r="C321" s="28">
        <v>3839425620.75</v>
      </c>
    </row>
    <row r="322" spans="1:3" ht="15.5">
      <c r="A322" s="29">
        <v>44071</v>
      </c>
      <c r="B322" s="28">
        <v>2.0983999999999998</v>
      </c>
      <c r="C322" s="28">
        <v>3770556999.75</v>
      </c>
    </row>
    <row r="323" spans="1:3" ht="15.5">
      <c r="A323" s="29">
        <v>44070</v>
      </c>
      <c r="B323" s="28">
        <v>2.0983999999999998</v>
      </c>
      <c r="C323" s="28">
        <v>3770556999.75</v>
      </c>
    </row>
    <row r="324" spans="1:3" ht="15.5">
      <c r="A324" s="29">
        <v>44069</v>
      </c>
      <c r="B324" s="28">
        <v>2.1368</v>
      </c>
      <c r="C324" s="28">
        <v>3839425620.75</v>
      </c>
    </row>
    <row r="325" spans="1:3" ht="15.5">
      <c r="A325" s="29">
        <v>44068</v>
      </c>
      <c r="B325" s="28">
        <v>2.1368</v>
      </c>
      <c r="C325" s="28">
        <v>3839425620.75</v>
      </c>
    </row>
    <row r="326" spans="1:3" ht="15.5">
      <c r="A326" s="29">
        <v>44067</v>
      </c>
      <c r="B326" s="28">
        <v>2.1175999999999999</v>
      </c>
      <c r="C326" s="28">
        <v>3804991310.25</v>
      </c>
    </row>
    <row r="327" spans="1:3" ht="15.5">
      <c r="A327" s="29">
        <v>44064</v>
      </c>
      <c r="B327" s="28">
        <v>2.0888</v>
      </c>
      <c r="C327" s="28">
        <v>3753339844.5</v>
      </c>
    </row>
    <row r="328" spans="1:3" ht="15.5">
      <c r="A328" s="29">
        <v>44063</v>
      </c>
      <c r="B328" s="28">
        <v>2.1272000000000002</v>
      </c>
      <c r="C328" s="28">
        <v>3822208465.5</v>
      </c>
    </row>
    <row r="329" spans="1:3" ht="15.5">
      <c r="A329" s="29">
        <v>44062</v>
      </c>
      <c r="B329" s="28">
        <v>2.0983999999999998</v>
      </c>
      <c r="C329" s="28">
        <v>3770556999.75</v>
      </c>
    </row>
    <row r="330" spans="1:3" ht="15.5">
      <c r="A330" s="29">
        <v>44061</v>
      </c>
      <c r="B330" s="28">
        <v>2.0983999999999998</v>
      </c>
      <c r="C330" s="28">
        <v>3770556999.75</v>
      </c>
    </row>
    <row r="331" spans="1:3" ht="15.5">
      <c r="A331" s="29">
        <v>44060</v>
      </c>
      <c r="B331" s="28">
        <v>2.0792999999999999</v>
      </c>
      <c r="C331" s="28">
        <v>3736122689.25</v>
      </c>
    </row>
    <row r="332" spans="1:3" ht="15.5">
      <c r="A332" s="29">
        <v>44057</v>
      </c>
      <c r="B332" s="28">
        <v>2.0983999999999998</v>
      </c>
      <c r="C332" s="28">
        <v>3770556999.75</v>
      </c>
    </row>
    <row r="333" spans="1:3" ht="15.5">
      <c r="A333" s="29">
        <v>44056</v>
      </c>
      <c r="B333" s="28">
        <v>2.1080000000000001</v>
      </c>
      <c r="C333" s="28">
        <v>3787774155</v>
      </c>
    </row>
    <row r="334" spans="1:3" ht="15.5">
      <c r="A334" s="29">
        <v>44055</v>
      </c>
      <c r="B334" s="28">
        <v>2.1558999999999999</v>
      </c>
      <c r="C334" s="28">
        <v>3873859931.25</v>
      </c>
    </row>
    <row r="335" spans="1:3" ht="15.5">
      <c r="A335" s="29">
        <v>44054</v>
      </c>
      <c r="B335" s="28">
        <v>2.1751</v>
      </c>
      <c r="C335" s="28">
        <v>3908294241.75</v>
      </c>
    </row>
    <row r="336" spans="1:3" ht="15.5">
      <c r="A336" s="29">
        <v>44053</v>
      </c>
      <c r="B336" s="28">
        <v>2.2134</v>
      </c>
      <c r="C336" s="28">
        <v>3977162862.75</v>
      </c>
    </row>
    <row r="337" spans="1:3" ht="15.5">
      <c r="A337" s="29">
        <v>44050</v>
      </c>
      <c r="B337" s="28">
        <v>2.1368</v>
      </c>
      <c r="C337" s="28">
        <v>3839425620.75</v>
      </c>
    </row>
    <row r="338" spans="1:3" ht="15.5">
      <c r="A338" s="29">
        <v>44049</v>
      </c>
      <c r="B338" s="28">
        <v>2.1751</v>
      </c>
      <c r="C338" s="28">
        <v>3908294241.75</v>
      </c>
    </row>
    <row r="339" spans="1:3" ht="15.5">
      <c r="A339" s="29">
        <v>44048</v>
      </c>
      <c r="B339" s="28">
        <v>2.1846999999999999</v>
      </c>
      <c r="C339" s="28">
        <v>3925511397</v>
      </c>
    </row>
    <row r="340" spans="1:3" ht="15.5">
      <c r="A340" s="29">
        <v>44047</v>
      </c>
      <c r="B340" s="28">
        <v>2.1558999999999999</v>
      </c>
      <c r="C340" s="28">
        <v>3873859931.25</v>
      </c>
    </row>
    <row r="341" spans="1:3" ht="15.5">
      <c r="A341" s="29">
        <v>44046</v>
      </c>
      <c r="B341" s="28">
        <v>2.1751</v>
      </c>
      <c r="C341" s="28">
        <v>3908294241.75</v>
      </c>
    </row>
    <row r="342" spans="1:3" ht="15.5">
      <c r="A342" s="29">
        <v>44043</v>
      </c>
      <c r="B342" s="28">
        <v>2.1655000000000002</v>
      </c>
      <c r="C342" s="28">
        <v>3891077086.5</v>
      </c>
    </row>
    <row r="343" spans="1:3" ht="15.5">
      <c r="A343" s="29">
        <v>44042</v>
      </c>
      <c r="B343" s="28">
        <v>2.2038000000000002</v>
      </c>
      <c r="C343" s="28">
        <v>3959945707.5</v>
      </c>
    </row>
    <row r="344" spans="1:3" ht="15.5">
      <c r="A344" s="29">
        <v>44041</v>
      </c>
      <c r="B344" s="28">
        <v>2.2229999999999999</v>
      </c>
      <c r="C344" s="28">
        <v>3994380018</v>
      </c>
    </row>
    <row r="345" spans="1:3" ht="15.5">
      <c r="A345" s="29">
        <v>44040</v>
      </c>
      <c r="B345" s="28">
        <v>2.1751</v>
      </c>
      <c r="C345" s="28">
        <v>3908294241.75</v>
      </c>
    </row>
    <row r="346" spans="1:3" ht="15.5">
      <c r="A346" s="29">
        <v>44039</v>
      </c>
      <c r="B346" s="28">
        <v>2.1463000000000001</v>
      </c>
      <c r="C346" s="28">
        <v>3856642776</v>
      </c>
    </row>
    <row r="347" spans="1:3" ht="15.5">
      <c r="A347" s="29">
        <v>44036</v>
      </c>
      <c r="B347" s="28">
        <v>2.1655000000000002</v>
      </c>
      <c r="C347" s="28">
        <v>3891077086.5</v>
      </c>
    </row>
    <row r="348" spans="1:3" ht="15.5">
      <c r="A348" s="29">
        <v>44035</v>
      </c>
      <c r="B348" s="28">
        <v>2.1655000000000002</v>
      </c>
      <c r="C348" s="28">
        <v>3891077086.5</v>
      </c>
    </row>
    <row r="349" spans="1:3" ht="15.5">
      <c r="A349" s="29">
        <v>44034</v>
      </c>
      <c r="B349" s="28">
        <v>2.1751</v>
      </c>
      <c r="C349" s="28">
        <v>3908294241.75</v>
      </c>
    </row>
    <row r="350" spans="1:3" ht="15.5">
      <c r="A350" s="29">
        <v>44033</v>
      </c>
      <c r="B350" s="28">
        <v>2.2326000000000001</v>
      </c>
      <c r="C350" s="28">
        <v>4011597173.25</v>
      </c>
    </row>
    <row r="351" spans="1:3" ht="15.5">
      <c r="A351" s="29">
        <v>44032</v>
      </c>
      <c r="B351" s="28">
        <v>2.2038000000000002</v>
      </c>
      <c r="C351" s="28">
        <v>3959945707.5</v>
      </c>
    </row>
    <row r="352" spans="1:3" ht="15.5">
      <c r="A352" s="29">
        <v>44029</v>
      </c>
      <c r="B352" s="28">
        <v>2.2038000000000002</v>
      </c>
      <c r="C352" s="28">
        <v>3959945707.5</v>
      </c>
    </row>
    <row r="353" spans="1:3" ht="15.5">
      <c r="A353" s="29">
        <v>44028</v>
      </c>
      <c r="B353" s="28">
        <v>2.1655000000000002</v>
      </c>
      <c r="C353" s="28">
        <v>3891077086.5</v>
      </c>
    </row>
    <row r="354" spans="1:3" ht="15.5">
      <c r="A354" s="29">
        <v>44027</v>
      </c>
      <c r="B354" s="28">
        <v>2.1751</v>
      </c>
      <c r="C354" s="28">
        <v>3908294241.75</v>
      </c>
    </row>
    <row r="355" spans="1:3" ht="15.5">
      <c r="A355" s="29">
        <v>44026</v>
      </c>
      <c r="B355" s="28">
        <v>2.1463000000000001</v>
      </c>
      <c r="C355" s="28">
        <v>3856642776</v>
      </c>
    </row>
    <row r="356" spans="1:3" ht="15.5">
      <c r="A356" s="29">
        <v>44025</v>
      </c>
      <c r="B356" s="28">
        <v>2.1751</v>
      </c>
      <c r="C356" s="28">
        <v>3908294241.75</v>
      </c>
    </row>
    <row r="357" spans="1:3" ht="15.5">
      <c r="A357" s="29">
        <v>44022</v>
      </c>
      <c r="B357" s="28">
        <v>2.1272000000000002</v>
      </c>
      <c r="C357" s="28">
        <v>3822208465.5</v>
      </c>
    </row>
    <row r="358" spans="1:3" ht="15.5">
      <c r="A358" s="29">
        <v>44021</v>
      </c>
      <c r="B358" s="28">
        <v>2.1175999999999999</v>
      </c>
      <c r="C358" s="28">
        <v>3804991310.25</v>
      </c>
    </row>
    <row r="359" spans="1:3" ht="15.5">
      <c r="A359" s="29">
        <v>44020</v>
      </c>
      <c r="B359" s="28">
        <v>2.0983999999999998</v>
      </c>
      <c r="C359" s="28">
        <v>3770556999.75</v>
      </c>
    </row>
    <row r="360" spans="1:3" ht="15.5">
      <c r="A360" s="29">
        <v>44019</v>
      </c>
      <c r="B360" s="28">
        <v>2.1463000000000001</v>
      </c>
      <c r="C360" s="28">
        <v>3856642776</v>
      </c>
    </row>
    <row r="361" spans="1:3" ht="15.5">
      <c r="A361" s="29">
        <v>44018</v>
      </c>
      <c r="B361" s="28">
        <v>2.1846999999999999</v>
      </c>
      <c r="C361" s="28">
        <v>3925511397</v>
      </c>
    </row>
    <row r="362" spans="1:3" ht="15.5">
      <c r="A362" s="29">
        <v>44015</v>
      </c>
      <c r="B362" s="28">
        <v>2.1175999999999999</v>
      </c>
      <c r="C362" s="28">
        <v>3804991310.25</v>
      </c>
    </row>
    <row r="363" spans="1:3" ht="15.5">
      <c r="A363" s="29">
        <v>44014</v>
      </c>
      <c r="B363" s="28">
        <v>2.0792999999999999</v>
      </c>
      <c r="C363" s="28">
        <v>3736122689.25</v>
      </c>
    </row>
    <row r="364" spans="1:3" ht="15.5">
      <c r="A364" s="29">
        <v>44013</v>
      </c>
      <c r="B364" s="28">
        <v>2.0505</v>
      </c>
      <c r="C364" s="28">
        <v>3684471223.5</v>
      </c>
    </row>
    <row r="365" spans="1:3" ht="15.5">
      <c r="A365" s="29">
        <v>44012</v>
      </c>
      <c r="B365" s="28">
        <v>2.0697000000000001</v>
      </c>
      <c r="C365" s="28">
        <v>3718905534</v>
      </c>
    </row>
    <row r="366" spans="1:3" ht="15.5">
      <c r="A366" s="29">
        <v>44011</v>
      </c>
      <c r="B366" s="28">
        <v>2.0600999999999998</v>
      </c>
      <c r="C366" s="28">
        <v>3652524728.6500001</v>
      </c>
    </row>
    <row r="367" spans="1:3" ht="15.5">
      <c r="A367" s="29">
        <v>44008</v>
      </c>
      <c r="B367" s="28">
        <v>2.0600999999999998</v>
      </c>
      <c r="C367" s="28">
        <v>3652524728.6500001</v>
      </c>
    </row>
    <row r="368" spans="1:3" ht="15.5">
      <c r="A368" s="29">
        <v>44007</v>
      </c>
      <c r="B368" s="28">
        <v>2.0505</v>
      </c>
      <c r="C368" s="28">
        <v>3635536241.54</v>
      </c>
    </row>
    <row r="369" spans="1:3" ht="15.5">
      <c r="A369" s="29">
        <v>44006</v>
      </c>
      <c r="B369" s="28">
        <v>2.1175999999999999</v>
      </c>
      <c r="C369" s="28">
        <v>3754455651.3099999</v>
      </c>
    </row>
    <row r="370" spans="1:3" ht="15.5">
      <c r="A370" s="29">
        <v>44005</v>
      </c>
      <c r="B370" s="28">
        <v>2.0409000000000002</v>
      </c>
      <c r="C370" s="28">
        <v>3618547754.4299998</v>
      </c>
    </row>
    <row r="371" spans="1:3" ht="15.5">
      <c r="A371" s="29">
        <v>44004</v>
      </c>
      <c r="B371" s="28">
        <v>2.0314000000000001</v>
      </c>
      <c r="C371" s="28">
        <v>3601559267.3200002</v>
      </c>
    </row>
    <row r="372" spans="1:3" ht="15.5">
      <c r="A372" s="29">
        <v>44001</v>
      </c>
      <c r="B372" s="28">
        <v>2.0792999999999999</v>
      </c>
      <c r="C372" s="28">
        <v>3686501702.8699999</v>
      </c>
    </row>
    <row r="373" spans="1:3" ht="15.5">
      <c r="A373" s="29">
        <v>44000</v>
      </c>
      <c r="B373" s="28">
        <v>2.0409000000000002</v>
      </c>
      <c r="C373" s="28">
        <v>3618547754.4299998</v>
      </c>
    </row>
    <row r="374" spans="1:3" ht="15.5">
      <c r="A374" s="29">
        <v>43999</v>
      </c>
      <c r="B374" s="28">
        <v>2.0409000000000002</v>
      </c>
      <c r="C374" s="28">
        <v>3618547754.4299998</v>
      </c>
    </row>
    <row r="375" spans="1:3" ht="15.5">
      <c r="A375" s="29">
        <v>43998</v>
      </c>
      <c r="B375" s="28">
        <v>2.0217999999999998</v>
      </c>
      <c r="C375" s="28">
        <v>3584570780.21</v>
      </c>
    </row>
    <row r="376" spans="1:3" ht="15.5">
      <c r="A376" s="29">
        <v>43997</v>
      </c>
      <c r="B376" s="28">
        <v>2.0026000000000002</v>
      </c>
      <c r="C376" s="28">
        <v>3550593805.9899998</v>
      </c>
    </row>
    <row r="377" spans="1:3" ht="15.5">
      <c r="A377" s="29">
        <v>43994</v>
      </c>
      <c r="B377" s="28">
        <v>2.0026000000000002</v>
      </c>
      <c r="C377" s="28">
        <v>3550593805.9899998</v>
      </c>
    </row>
    <row r="378" spans="1:3" ht="15.5">
      <c r="A378" s="29">
        <v>43993</v>
      </c>
      <c r="B378" s="28">
        <v>2.0122</v>
      </c>
      <c r="C378" s="28">
        <v>3567582293.0999999</v>
      </c>
    </row>
    <row r="379" spans="1:3" ht="15.5">
      <c r="A379" s="29">
        <v>43992</v>
      </c>
      <c r="B379" s="28">
        <v>2.0983999999999998</v>
      </c>
      <c r="C379" s="28">
        <v>3720478677.0900002</v>
      </c>
    </row>
    <row r="380" spans="1:3" ht="15.5">
      <c r="A380" s="29">
        <v>43991</v>
      </c>
      <c r="B380" s="28">
        <v>2.0314000000000001</v>
      </c>
      <c r="C380" s="28">
        <v>3601559267.3200002</v>
      </c>
    </row>
    <row r="381" spans="1:3" ht="15.5">
      <c r="A381" s="29">
        <v>43987</v>
      </c>
      <c r="B381" s="28">
        <v>1.9642999999999999</v>
      </c>
      <c r="C381" s="28">
        <v>3482639857.5500002</v>
      </c>
    </row>
    <row r="382" spans="1:3" ht="15.5">
      <c r="A382" s="29">
        <v>43986</v>
      </c>
      <c r="B382" s="28">
        <v>2.0026000000000002</v>
      </c>
      <c r="C382" s="28">
        <v>3550593805.9899998</v>
      </c>
    </row>
    <row r="383" spans="1:3" ht="15.5">
      <c r="A383" s="29">
        <v>43985</v>
      </c>
      <c r="B383" s="28">
        <v>2.0600999999999998</v>
      </c>
      <c r="C383" s="28">
        <v>3652524728.6500001</v>
      </c>
    </row>
    <row r="384" spans="1:3" ht="15.5">
      <c r="A384" s="29">
        <v>43984</v>
      </c>
      <c r="B384" s="28">
        <v>2.0314000000000001</v>
      </c>
      <c r="C384" s="28">
        <v>3601559267.3200002</v>
      </c>
    </row>
    <row r="385" spans="1:3" ht="15.5">
      <c r="A385" s="29">
        <v>43983</v>
      </c>
      <c r="B385" s="28">
        <v>2.0026000000000002</v>
      </c>
      <c r="C385" s="28">
        <v>3550593805.9899998</v>
      </c>
    </row>
    <row r="386" spans="1:3" ht="15.5">
      <c r="A386" s="29">
        <v>43980</v>
      </c>
      <c r="B386" s="28">
        <v>2.0217999999999998</v>
      </c>
      <c r="C386" s="28">
        <v>3584570780.21</v>
      </c>
    </row>
    <row r="387" spans="1:3" ht="15.5">
      <c r="A387" s="29">
        <v>43979</v>
      </c>
      <c r="B387" s="28">
        <v>1.9451000000000001</v>
      </c>
      <c r="C387" s="28">
        <v>3448662883.3299999</v>
      </c>
    </row>
    <row r="388" spans="1:3" ht="15.5">
      <c r="A388" s="29">
        <v>43978</v>
      </c>
      <c r="B388" s="28">
        <v>1.8636999999999999</v>
      </c>
      <c r="C388" s="28">
        <v>3304260742.895</v>
      </c>
    </row>
    <row r="389" spans="1:3" ht="15.5">
      <c r="A389" s="29">
        <v>43977</v>
      </c>
      <c r="B389" s="28">
        <v>1.8875999999999999</v>
      </c>
      <c r="C389" s="28">
        <v>3346731960.6700001</v>
      </c>
    </row>
    <row r="390" spans="1:3" ht="15.5">
      <c r="A390" s="29">
        <v>43976</v>
      </c>
      <c r="B390" s="28">
        <v>1.8636999999999999</v>
      </c>
      <c r="C390" s="28">
        <v>3304260742.895</v>
      </c>
    </row>
    <row r="391" spans="1:3" ht="15.5">
      <c r="A391" s="29">
        <v>43973</v>
      </c>
      <c r="B391" s="28">
        <v>1.8396999999999999</v>
      </c>
      <c r="C391" s="28">
        <v>3261789525.1199999</v>
      </c>
    </row>
    <row r="392" spans="1:3" ht="15.5">
      <c r="A392" s="29">
        <v>43972</v>
      </c>
      <c r="B392" s="28">
        <v>1.8396999999999999</v>
      </c>
      <c r="C392" s="28">
        <v>3261789525.1199999</v>
      </c>
    </row>
    <row r="393" spans="1:3" ht="15.5">
      <c r="A393" s="29">
        <v>43971</v>
      </c>
      <c r="B393" s="28">
        <v>1.9019999999999999</v>
      </c>
      <c r="C393" s="28">
        <v>3372214691.335</v>
      </c>
    </row>
    <row r="394" spans="1:3" ht="15.5">
      <c r="A394" s="29">
        <v>43970</v>
      </c>
      <c r="B394" s="28">
        <v>1.9259999999999999</v>
      </c>
      <c r="C394" s="28">
        <v>3414685909.1100001</v>
      </c>
    </row>
    <row r="395" spans="1:3" ht="15.5">
      <c r="A395" s="29">
        <v>43969</v>
      </c>
      <c r="B395" s="28">
        <v>1.9451000000000001</v>
      </c>
      <c r="C395" s="28">
        <v>3448662883.3299999</v>
      </c>
    </row>
    <row r="396" spans="1:3" ht="15.5">
      <c r="A396" s="29">
        <v>43966</v>
      </c>
      <c r="B396" s="28">
        <v>1.9355</v>
      </c>
      <c r="C396" s="28">
        <v>3431674396.2199998</v>
      </c>
    </row>
    <row r="397" spans="1:3" ht="15.5">
      <c r="A397" s="29">
        <v>43965</v>
      </c>
      <c r="B397" s="28">
        <v>1.9116</v>
      </c>
      <c r="C397" s="28">
        <v>3389203178.4450002</v>
      </c>
    </row>
    <row r="398" spans="1:3" ht="15.5">
      <c r="A398" s="29">
        <v>43964</v>
      </c>
      <c r="B398" s="28">
        <v>1.8589</v>
      </c>
      <c r="C398" s="28">
        <v>3295766499.3400002</v>
      </c>
    </row>
    <row r="399" spans="1:3" ht="15.5">
      <c r="A399" s="29">
        <v>43963</v>
      </c>
      <c r="B399" s="28">
        <v>1.8589</v>
      </c>
      <c r="C399" s="28">
        <v>3295766499.3400002</v>
      </c>
    </row>
    <row r="400" spans="1:3" ht="15.5">
      <c r="A400" s="29">
        <v>43962</v>
      </c>
      <c r="B400" s="28">
        <v>1.8875999999999999</v>
      </c>
      <c r="C400" s="28">
        <v>3346731960.6700001</v>
      </c>
    </row>
    <row r="401" spans="1:3" ht="15.5">
      <c r="A401" s="29">
        <v>43959</v>
      </c>
      <c r="B401" s="28">
        <v>1.9259999999999999</v>
      </c>
      <c r="C401" s="28">
        <v>3414685909.1100001</v>
      </c>
    </row>
    <row r="402" spans="1:3" ht="15.5">
      <c r="A402" s="29">
        <v>43958</v>
      </c>
      <c r="B402" s="28">
        <v>1.8972</v>
      </c>
      <c r="C402" s="28">
        <v>3363720447.7800002</v>
      </c>
    </row>
    <row r="403" spans="1:3" ht="15.5">
      <c r="A403" s="29">
        <v>43957</v>
      </c>
      <c r="B403" s="28">
        <v>1.8733</v>
      </c>
      <c r="C403" s="28">
        <v>3321249230.0050001</v>
      </c>
    </row>
    <row r="404" spans="1:3" ht="15.5">
      <c r="A404" s="29">
        <v>43956</v>
      </c>
      <c r="B404" s="28">
        <v>1.8492999999999999</v>
      </c>
      <c r="C404" s="28">
        <v>3278778012.23</v>
      </c>
    </row>
    <row r="405" spans="1:3" ht="15.5">
      <c r="A405" s="29">
        <v>43955</v>
      </c>
      <c r="B405" s="28">
        <v>1.8252999999999999</v>
      </c>
      <c r="C405" s="28">
        <v>3236306794.4549999</v>
      </c>
    </row>
    <row r="406" spans="1:3" ht="15.5">
      <c r="A406" s="29">
        <v>43952</v>
      </c>
      <c r="B406" s="28">
        <v>1.8206</v>
      </c>
      <c r="C406" s="28">
        <v>3227812550.9000001</v>
      </c>
    </row>
    <row r="407" spans="1:3" ht="15.5">
      <c r="A407" s="29">
        <v>43951</v>
      </c>
      <c r="B407" s="28">
        <v>1.8109999999999999</v>
      </c>
      <c r="C407" s="28">
        <v>3210824063.79</v>
      </c>
    </row>
    <row r="408" spans="1:3" ht="15.5">
      <c r="A408" s="29">
        <v>43950</v>
      </c>
      <c r="B408" s="28">
        <v>1.8636999999999999</v>
      </c>
      <c r="C408" s="28">
        <v>3304260742.895</v>
      </c>
    </row>
    <row r="409" spans="1:3" ht="15.5">
      <c r="A409" s="29">
        <v>43949</v>
      </c>
      <c r="B409" s="28">
        <v>1.9259999999999999</v>
      </c>
      <c r="C409" s="28">
        <v>3414685909.1100001</v>
      </c>
    </row>
    <row r="410" spans="1:3" ht="15.5">
      <c r="A410" s="29">
        <v>43948</v>
      </c>
      <c r="B410" s="28">
        <v>1.9164000000000001</v>
      </c>
      <c r="C410" s="28">
        <v>3397697422</v>
      </c>
    </row>
    <row r="411" spans="1:3" ht="15.5">
      <c r="A411" s="29">
        <v>43945</v>
      </c>
      <c r="B411" s="28">
        <v>1.9068000000000001</v>
      </c>
      <c r="C411" s="28">
        <v>3380708934.8899999</v>
      </c>
    </row>
    <row r="412" spans="1:3" ht="15.5">
      <c r="A412" s="29">
        <v>43944</v>
      </c>
      <c r="B412" s="28">
        <v>1.8924000000000001</v>
      </c>
      <c r="C412" s="28">
        <v>3355226204.2249999</v>
      </c>
    </row>
    <row r="413" spans="1:3" ht="15.5">
      <c r="A413" s="29">
        <v>43943</v>
      </c>
      <c r="B413" s="28">
        <v>1.8972</v>
      </c>
      <c r="C413" s="28">
        <v>3363720447.7800002</v>
      </c>
    </row>
    <row r="414" spans="1:3" ht="15.5">
      <c r="A414" s="29">
        <v>43942</v>
      </c>
      <c r="B414" s="28">
        <v>1.8779999999999999</v>
      </c>
      <c r="C414" s="28">
        <v>3329743473.5599999</v>
      </c>
    </row>
    <row r="415" spans="1:3" ht="15.5">
      <c r="A415" s="29">
        <v>43941</v>
      </c>
      <c r="B415" s="28">
        <v>1.8875999999999999</v>
      </c>
      <c r="C415" s="28">
        <v>3346731960.6700001</v>
      </c>
    </row>
    <row r="416" spans="1:3" ht="15.5">
      <c r="A416" s="29">
        <v>43938</v>
      </c>
      <c r="B416" s="28">
        <v>1.9068000000000001</v>
      </c>
      <c r="C416" s="28">
        <v>3380708934.8899999</v>
      </c>
    </row>
    <row r="417" spans="1:3" ht="15.5">
      <c r="A417" s="29">
        <v>43937</v>
      </c>
      <c r="B417" s="28">
        <v>1.8875999999999999</v>
      </c>
      <c r="C417" s="28">
        <v>3346731960.6700001</v>
      </c>
    </row>
    <row r="418" spans="1:3" ht="15.5">
      <c r="A418" s="29">
        <v>43936</v>
      </c>
      <c r="B418" s="28">
        <v>1.9068000000000001</v>
      </c>
      <c r="C418" s="28">
        <v>3380708934.8899999</v>
      </c>
    </row>
    <row r="419" spans="1:3" ht="15.5">
      <c r="A419" s="29">
        <v>43935</v>
      </c>
      <c r="B419" s="28">
        <v>1.8828</v>
      </c>
      <c r="C419" s="28">
        <v>3338237717.1149998</v>
      </c>
    </row>
    <row r="420" spans="1:3" ht="15.5">
      <c r="A420" s="29">
        <v>43930</v>
      </c>
      <c r="B420" s="28">
        <v>1.8685</v>
      </c>
      <c r="C420" s="28">
        <v>3312754986.4499998</v>
      </c>
    </row>
    <row r="421" spans="1:3" ht="15.5">
      <c r="A421" s="29">
        <v>43929</v>
      </c>
      <c r="B421" s="28">
        <v>1.8301000000000001</v>
      </c>
      <c r="C421" s="28">
        <v>3244801038.0100002</v>
      </c>
    </row>
    <row r="422" spans="1:3" ht="15.5">
      <c r="A422" s="29">
        <v>43928</v>
      </c>
      <c r="B422" s="28">
        <v>1.8158000000000001</v>
      </c>
      <c r="C422" s="28">
        <v>3219318307.3449998</v>
      </c>
    </row>
    <row r="423" spans="1:3" ht="15.5">
      <c r="A423" s="29">
        <v>43927</v>
      </c>
      <c r="B423" s="28">
        <v>1.8733</v>
      </c>
      <c r="C423" s="28">
        <v>3321249230.0050001</v>
      </c>
    </row>
    <row r="424" spans="1:3" ht="15.5">
      <c r="A424" s="29">
        <v>43924</v>
      </c>
      <c r="B424" s="28">
        <v>1.8158000000000001</v>
      </c>
      <c r="C424" s="28">
        <v>3219318307.3449998</v>
      </c>
    </row>
    <row r="425" spans="1:3" ht="15.5">
      <c r="A425" s="29">
        <v>43923</v>
      </c>
      <c r="B425" s="28">
        <v>1.8492999999999999</v>
      </c>
      <c r="C425" s="28">
        <v>3278778012.23</v>
      </c>
    </row>
    <row r="426" spans="1:3" ht="15.5">
      <c r="A426" s="29">
        <v>43922</v>
      </c>
      <c r="B426" s="28">
        <v>1.8779999999999999</v>
      </c>
      <c r="C426" s="28">
        <v>3329743473.5599999</v>
      </c>
    </row>
    <row r="427" spans="1:3" ht="15.5">
      <c r="A427" s="29">
        <v>43921</v>
      </c>
      <c r="B427" s="28">
        <v>1.8685</v>
      </c>
      <c r="C427" s="28">
        <v>3312754986.4499998</v>
      </c>
    </row>
    <row r="428" spans="1:3" ht="15.5">
      <c r="A428" s="29">
        <v>43920</v>
      </c>
      <c r="B428" s="28">
        <v>1.8875999999999999</v>
      </c>
      <c r="C428" s="28">
        <v>3346731960.6700001</v>
      </c>
    </row>
    <row r="429" spans="1:3" ht="15.5">
      <c r="A429" s="29">
        <v>43917</v>
      </c>
      <c r="B429" s="28">
        <v>1.7822</v>
      </c>
      <c r="C429" s="28">
        <v>3159858602.46</v>
      </c>
    </row>
    <row r="430" spans="1:3" ht="15.5">
      <c r="A430" s="29">
        <v>43916</v>
      </c>
      <c r="B430" s="28">
        <v>1.8109999999999999</v>
      </c>
      <c r="C430" s="28">
        <v>3210824063.79</v>
      </c>
    </row>
    <row r="431" spans="1:3" ht="15.5">
      <c r="A431" s="29">
        <v>43915</v>
      </c>
      <c r="B431" s="28">
        <v>1.7486999999999999</v>
      </c>
      <c r="C431" s="28">
        <v>3100398897.5749998</v>
      </c>
    </row>
    <row r="432" spans="1:3" ht="15.5">
      <c r="A432" s="29">
        <v>43914</v>
      </c>
      <c r="B432" s="28">
        <v>1.7486999999999999</v>
      </c>
      <c r="C432" s="28">
        <v>3100398897.5749998</v>
      </c>
    </row>
    <row r="433" spans="1:3" ht="15.5">
      <c r="A433" s="29">
        <v>43913</v>
      </c>
      <c r="B433" s="28">
        <v>1.7246999999999999</v>
      </c>
      <c r="C433" s="28">
        <v>3057927679.8000002</v>
      </c>
    </row>
    <row r="434" spans="1:3" ht="15.5">
      <c r="A434" s="29">
        <v>43910</v>
      </c>
      <c r="B434" s="28">
        <v>1.8445</v>
      </c>
      <c r="C434" s="28">
        <v>3270283768.6750002</v>
      </c>
    </row>
    <row r="435" spans="1:3" ht="15.5">
      <c r="A435" s="29">
        <v>43909</v>
      </c>
      <c r="B435" s="28">
        <v>1.8972</v>
      </c>
      <c r="C435" s="28">
        <v>3363720447.7800002</v>
      </c>
    </row>
    <row r="436" spans="1:3" ht="15.5">
      <c r="A436" s="29">
        <v>43908</v>
      </c>
      <c r="B436" s="28">
        <v>1.8733</v>
      </c>
      <c r="C436" s="28">
        <v>3321249230.0050001</v>
      </c>
    </row>
    <row r="437" spans="1:3" ht="15.5">
      <c r="A437" s="29">
        <v>43907</v>
      </c>
      <c r="B437" s="28">
        <v>1.7439</v>
      </c>
      <c r="C437" s="28">
        <v>3091904654.02</v>
      </c>
    </row>
    <row r="438" spans="1:3" ht="15.5">
      <c r="A438" s="29">
        <v>43906</v>
      </c>
      <c r="B438" s="28">
        <v>1.6480999999999999</v>
      </c>
      <c r="C438" s="28">
        <v>2922019782.9200001</v>
      </c>
    </row>
    <row r="439" spans="1:3" ht="15.5">
      <c r="A439" s="29">
        <v>43903</v>
      </c>
      <c r="B439" s="28">
        <v>1.7152000000000001</v>
      </c>
      <c r="C439" s="28">
        <v>3040939192.6900001</v>
      </c>
    </row>
    <row r="440" spans="1:3" ht="15.5">
      <c r="A440" s="29">
        <v>43902</v>
      </c>
      <c r="B440" s="28">
        <v>1.7918000000000001</v>
      </c>
      <c r="C440" s="28">
        <v>3176847089.5700002</v>
      </c>
    </row>
    <row r="441" spans="1:3" ht="15.5">
      <c r="A441" s="29">
        <v>43901</v>
      </c>
      <c r="B441" s="28">
        <v>1.8924000000000001</v>
      </c>
      <c r="C441" s="28">
        <v>3355226204.2249999</v>
      </c>
    </row>
    <row r="442" spans="1:3" ht="15.5">
      <c r="A442" s="29">
        <v>43900</v>
      </c>
      <c r="B442" s="28">
        <v>1.9642999999999999</v>
      </c>
      <c r="C442" s="28">
        <v>3482639857.5500002</v>
      </c>
    </row>
    <row r="443" spans="1:3" ht="15.5">
      <c r="A443" s="29">
        <v>43899</v>
      </c>
      <c r="B443" s="28">
        <v>1.9930000000000001</v>
      </c>
      <c r="C443" s="28">
        <v>3533605318.8800001</v>
      </c>
    </row>
    <row r="444" spans="1:3" ht="15.5">
      <c r="A444" s="29">
        <v>43896</v>
      </c>
      <c r="B444" s="28">
        <v>1.9834000000000001</v>
      </c>
      <c r="C444" s="28">
        <v>3516616831.77</v>
      </c>
    </row>
    <row r="445" spans="1:3" ht="15.5">
      <c r="A445" s="29">
        <v>43895</v>
      </c>
      <c r="B445" s="28">
        <v>2.0122</v>
      </c>
      <c r="C445" s="28">
        <v>3567582293.0999999</v>
      </c>
    </row>
    <row r="446" spans="1:3" ht="15.5">
      <c r="A446" s="29">
        <v>43894</v>
      </c>
      <c r="B446" s="28">
        <v>1.9547000000000001</v>
      </c>
      <c r="C446" s="28">
        <v>3465651370.4400001</v>
      </c>
    </row>
    <row r="447" spans="1:3" ht="15.5">
      <c r="A447" s="29">
        <v>43893</v>
      </c>
      <c r="B447" s="28">
        <v>1.9930000000000001</v>
      </c>
      <c r="C447" s="28">
        <v>3533605318.8800001</v>
      </c>
    </row>
    <row r="448" spans="1:3" ht="15.5">
      <c r="A448" s="29">
        <v>43892</v>
      </c>
      <c r="B448" s="28">
        <v>2.0217999999999998</v>
      </c>
      <c r="C448" s="28">
        <v>3584570780.21</v>
      </c>
    </row>
    <row r="449" spans="1:3" ht="15.5">
      <c r="A449" s="29">
        <v>43889</v>
      </c>
      <c r="B449" s="28">
        <v>2.0217999999999998</v>
      </c>
      <c r="C449" s="28">
        <v>3584570780.21</v>
      </c>
    </row>
    <row r="450" spans="1:3" ht="15.5">
      <c r="A450" s="29">
        <v>43888</v>
      </c>
      <c r="B450" s="28">
        <v>2.0122</v>
      </c>
      <c r="C450" s="28">
        <v>3567582293.0999999</v>
      </c>
    </row>
    <row r="451" spans="1:3" ht="15.5">
      <c r="A451" s="29">
        <v>43887</v>
      </c>
      <c r="B451" s="28">
        <v>1.9642999999999999</v>
      </c>
      <c r="C451" s="28">
        <v>3482639857.5500002</v>
      </c>
    </row>
    <row r="452" spans="1:3" ht="15.5">
      <c r="A452" s="29">
        <v>43886</v>
      </c>
      <c r="B452" s="28">
        <v>2.0026000000000002</v>
      </c>
      <c r="C452" s="28">
        <v>3550593805.9899998</v>
      </c>
    </row>
    <row r="453" spans="1:3" ht="15.5">
      <c r="A453" s="29">
        <v>43885</v>
      </c>
      <c r="B453" s="28">
        <v>1.9739</v>
      </c>
      <c r="C453" s="28">
        <v>3499628344.6599998</v>
      </c>
    </row>
    <row r="454" spans="1:3" ht="15.5">
      <c r="A454" s="29">
        <v>43882</v>
      </c>
      <c r="B454" s="28">
        <v>2.0888</v>
      </c>
      <c r="C454" s="28">
        <v>3703490189.98</v>
      </c>
    </row>
    <row r="455" spans="1:3" ht="15.5">
      <c r="A455" s="29">
        <v>43881</v>
      </c>
      <c r="B455" s="28">
        <v>2.0888</v>
      </c>
      <c r="C455" s="28">
        <v>3703490189.98</v>
      </c>
    </row>
    <row r="456" spans="1:3" ht="15.5">
      <c r="A456" s="29">
        <v>43880</v>
      </c>
      <c r="B456" s="28">
        <v>2.0983999999999998</v>
      </c>
      <c r="C456" s="28">
        <v>3720478677.0900002</v>
      </c>
    </row>
    <row r="457" spans="1:3" ht="15.5">
      <c r="A457" s="29">
        <v>43879</v>
      </c>
      <c r="B457" s="28">
        <v>2.0600999999999998</v>
      </c>
      <c r="C457" s="28">
        <v>3652524728.6500001</v>
      </c>
    </row>
    <row r="458" spans="1:3" ht="15.5">
      <c r="A458" s="29">
        <v>43878</v>
      </c>
      <c r="B458" s="28">
        <v>2.0600999999999998</v>
      </c>
      <c r="C458" s="28">
        <v>3652524728.6500001</v>
      </c>
    </row>
    <row r="459" spans="1:3" ht="15.5">
      <c r="A459" s="29">
        <v>43875</v>
      </c>
      <c r="B459" s="28">
        <v>2.0888</v>
      </c>
      <c r="C459" s="28">
        <v>3703490189.98</v>
      </c>
    </row>
    <row r="460" spans="1:3" ht="15.5">
      <c r="A460" s="29">
        <v>43874</v>
      </c>
      <c r="B460" s="28">
        <v>2.0505</v>
      </c>
      <c r="C460" s="28">
        <v>3635536241.54</v>
      </c>
    </row>
    <row r="461" spans="1:3" ht="15.5">
      <c r="A461" s="29">
        <v>43873</v>
      </c>
      <c r="B461" s="28">
        <v>2.0792999999999999</v>
      </c>
      <c r="C461" s="28">
        <v>3686501702.8699999</v>
      </c>
    </row>
    <row r="462" spans="1:3" ht="15.5">
      <c r="A462" s="29">
        <v>43872</v>
      </c>
      <c r="B462" s="28">
        <v>2.0600999999999998</v>
      </c>
      <c r="C462" s="28">
        <v>3652524728.6500001</v>
      </c>
    </row>
    <row r="463" spans="1:3" ht="15.5">
      <c r="A463" s="29">
        <v>43871</v>
      </c>
      <c r="B463" s="28">
        <v>2.0505</v>
      </c>
      <c r="C463" s="28">
        <v>3635536241.54</v>
      </c>
    </row>
    <row r="464" spans="1:3" ht="15.5">
      <c r="A464" s="29">
        <v>43868</v>
      </c>
      <c r="B464" s="28">
        <v>2.0505</v>
      </c>
      <c r="C464" s="28">
        <v>3635536241.54</v>
      </c>
    </row>
    <row r="465" spans="1:3" ht="15.5">
      <c r="A465" s="29">
        <v>43867</v>
      </c>
      <c r="B465" s="28">
        <v>2.0600999999999998</v>
      </c>
      <c r="C465" s="28">
        <v>3652524728.6500001</v>
      </c>
    </row>
    <row r="466" spans="1:3" ht="15.5">
      <c r="A466" s="29">
        <v>43866</v>
      </c>
      <c r="B466" s="28">
        <v>2.0792999999999999</v>
      </c>
      <c r="C466" s="28">
        <v>3686501702.8699999</v>
      </c>
    </row>
    <row r="467" spans="1:3" ht="15.5">
      <c r="A467" s="29">
        <v>43865</v>
      </c>
      <c r="B467" s="28">
        <v>2.0888</v>
      </c>
      <c r="C467" s="28">
        <v>3703490189.98</v>
      </c>
    </row>
    <row r="468" spans="1:3" ht="15.5">
      <c r="A468" s="29">
        <v>43864</v>
      </c>
      <c r="B468" s="28">
        <v>2.0983999999999998</v>
      </c>
      <c r="C468" s="28">
        <v>3720478677.0900002</v>
      </c>
    </row>
    <row r="469" spans="1:3" ht="15.5">
      <c r="A469" s="29">
        <v>43861</v>
      </c>
      <c r="B469" s="28">
        <v>2.1080000000000001</v>
      </c>
      <c r="C469" s="28">
        <v>3737467164.1999998</v>
      </c>
    </row>
    <row r="470" spans="1:3" ht="15.5">
      <c r="A470" s="29">
        <v>43860</v>
      </c>
      <c r="B470" s="28">
        <v>2.0409000000000002</v>
      </c>
      <c r="C470" s="28">
        <v>3618547754.4299998</v>
      </c>
    </row>
    <row r="471" spans="1:3" ht="15.5">
      <c r="A471" s="29">
        <v>43859</v>
      </c>
      <c r="B471" s="28">
        <v>2.0505</v>
      </c>
      <c r="C471" s="28">
        <v>3635536241.54</v>
      </c>
    </row>
    <row r="472" spans="1:3" ht="15.5">
      <c r="A472" s="29">
        <v>43858</v>
      </c>
      <c r="B472" s="28">
        <v>2.0505</v>
      </c>
      <c r="C472" s="28">
        <v>3635536241.54</v>
      </c>
    </row>
    <row r="473" spans="1:3" ht="15.5">
      <c r="A473" s="29">
        <v>43854</v>
      </c>
      <c r="B473" s="28">
        <v>2.0600999999999998</v>
      </c>
      <c r="C473" s="28">
        <v>3652524728.6500001</v>
      </c>
    </row>
    <row r="474" spans="1:3" ht="15.5">
      <c r="A474" s="29">
        <v>43853</v>
      </c>
      <c r="B474" s="28">
        <v>2.0505</v>
      </c>
      <c r="C474" s="28">
        <v>3635536241.54</v>
      </c>
    </row>
    <row r="475" spans="1:3" ht="15.5">
      <c r="A475" s="29">
        <v>43852</v>
      </c>
      <c r="B475" s="28">
        <v>2.0505</v>
      </c>
      <c r="C475" s="28">
        <v>3635536241.54</v>
      </c>
    </row>
    <row r="476" spans="1:3" ht="15.5">
      <c r="A476" s="29">
        <v>43851</v>
      </c>
      <c r="B476" s="28">
        <v>2.0505</v>
      </c>
      <c r="C476" s="28">
        <v>3635536241.54</v>
      </c>
    </row>
    <row r="477" spans="1:3" ht="15.5">
      <c r="A477" s="29">
        <v>43850</v>
      </c>
      <c r="B477" s="28">
        <v>2.0792999999999999</v>
      </c>
      <c r="C477" s="28">
        <v>3686501702.8699999</v>
      </c>
    </row>
    <row r="478" spans="1:3" ht="15.5">
      <c r="A478" s="29">
        <v>43847</v>
      </c>
      <c r="B478" s="28">
        <v>2.0600999999999998</v>
      </c>
      <c r="C478" s="28">
        <v>3652524728.6500001</v>
      </c>
    </row>
    <row r="479" spans="1:3" ht="15.5">
      <c r="A479" s="29">
        <v>43846</v>
      </c>
      <c r="B479" s="28">
        <v>2.0314000000000001</v>
      </c>
      <c r="C479" s="28">
        <v>3601559267.3200002</v>
      </c>
    </row>
    <row r="480" spans="1:3" ht="15.5">
      <c r="A480" s="29">
        <v>43845</v>
      </c>
      <c r="B480" s="28">
        <v>2.0314000000000001</v>
      </c>
      <c r="C480" s="28">
        <v>3601559267.3200002</v>
      </c>
    </row>
    <row r="481" spans="1:3" ht="15.5">
      <c r="A481" s="29">
        <v>43844</v>
      </c>
      <c r="B481" s="28">
        <v>2.0217999999999998</v>
      </c>
      <c r="C481" s="28">
        <v>3584570780.21</v>
      </c>
    </row>
    <row r="482" spans="1:3" ht="15.5">
      <c r="A482" s="29">
        <v>43843</v>
      </c>
      <c r="B482" s="28">
        <v>2.0122</v>
      </c>
      <c r="C482" s="28">
        <v>3567582293.0999999</v>
      </c>
    </row>
    <row r="483" spans="1:3" ht="15.5">
      <c r="A483" s="29">
        <v>43840</v>
      </c>
      <c r="B483" s="28">
        <v>2.0314000000000001</v>
      </c>
      <c r="C483" s="28">
        <v>3601559267.3200002</v>
      </c>
    </row>
    <row r="484" spans="1:3" ht="15.5">
      <c r="A484" s="29">
        <v>43839</v>
      </c>
      <c r="B484" s="28">
        <v>2.0217999999999998</v>
      </c>
      <c r="C484" s="28">
        <v>3584570780.21</v>
      </c>
    </row>
    <row r="485" spans="1:3" ht="15.5">
      <c r="A485" s="29">
        <v>43838</v>
      </c>
      <c r="B485" s="28">
        <v>1.9834000000000001</v>
      </c>
      <c r="C485" s="28">
        <v>3516616831.77</v>
      </c>
    </row>
    <row r="486" spans="1:3" ht="15.5">
      <c r="A486" s="29">
        <v>43837</v>
      </c>
      <c r="B486" s="28">
        <v>2.0026000000000002</v>
      </c>
      <c r="C486" s="28">
        <v>3550593805.9899998</v>
      </c>
    </row>
    <row r="487" spans="1:3" ht="15.5">
      <c r="A487" s="29">
        <v>43836</v>
      </c>
      <c r="B487" s="28">
        <v>1.9930000000000001</v>
      </c>
      <c r="C487" s="28">
        <v>3533605318.8800001</v>
      </c>
    </row>
    <row r="488" spans="1:3" ht="15.5">
      <c r="A488" s="29">
        <v>43833</v>
      </c>
      <c r="B488" s="28">
        <v>1.9930000000000001</v>
      </c>
      <c r="C488" s="28">
        <v>3533605318.8800001</v>
      </c>
    </row>
    <row r="489" spans="1:3" ht="15.5">
      <c r="A489" s="29">
        <v>43832</v>
      </c>
      <c r="B489" s="28">
        <v>2.0026000000000002</v>
      </c>
      <c r="C489" s="28">
        <v>3550593805.9899998</v>
      </c>
    </row>
    <row r="490" spans="1:3" ht="15.5">
      <c r="A490" s="29">
        <v>43830</v>
      </c>
      <c r="B490" s="28">
        <v>2.0026000000000002</v>
      </c>
      <c r="C490" s="28">
        <v>3550593805.9899998</v>
      </c>
    </row>
    <row r="491" spans="1:3" ht="15.5">
      <c r="A491" s="29">
        <v>43829</v>
      </c>
      <c r="B491" s="28">
        <v>2.0314000000000001</v>
      </c>
      <c r="C491" s="28">
        <v>3565863320</v>
      </c>
    </row>
    <row r="492" spans="1:3" ht="15.5">
      <c r="A492" s="29">
        <v>43826</v>
      </c>
      <c r="B492" s="28">
        <v>2.0314000000000001</v>
      </c>
      <c r="C492" s="28">
        <v>3565863320</v>
      </c>
    </row>
    <row r="493" spans="1:3" ht="15.5">
      <c r="A493" s="29">
        <v>43823</v>
      </c>
      <c r="B493" s="28">
        <v>2.0314000000000001</v>
      </c>
      <c r="C493" s="28">
        <v>3565863320</v>
      </c>
    </row>
    <row r="494" spans="1:3" ht="15.5">
      <c r="A494" s="29">
        <v>43822</v>
      </c>
      <c r="B494" s="28">
        <v>2.0409000000000002</v>
      </c>
      <c r="C494" s="28">
        <v>3582683430</v>
      </c>
    </row>
    <row r="495" spans="1:3" ht="15.5">
      <c r="A495" s="29">
        <v>43819</v>
      </c>
      <c r="B495" s="28">
        <v>2.0505</v>
      </c>
      <c r="C495" s="28">
        <v>3599503540</v>
      </c>
    </row>
    <row r="496" spans="1:3" ht="15.5">
      <c r="A496" s="29">
        <v>43818</v>
      </c>
      <c r="B496" s="28">
        <v>2.0505</v>
      </c>
      <c r="C496" s="28">
        <v>3599503540</v>
      </c>
    </row>
    <row r="497" spans="1:3" ht="15.5">
      <c r="A497" s="29">
        <v>43817</v>
      </c>
      <c r="B497" s="28">
        <v>2.1080000000000001</v>
      </c>
      <c r="C497" s="28">
        <v>3700424200</v>
      </c>
    </row>
    <row r="498" spans="1:3" ht="15.5">
      <c r="A498" s="29">
        <v>43816</v>
      </c>
      <c r="B498" s="28">
        <v>2.0792999999999999</v>
      </c>
      <c r="C498" s="28">
        <v>3649963870</v>
      </c>
    </row>
    <row r="499" spans="1:3" ht="15.5">
      <c r="A499" s="29">
        <v>43815</v>
      </c>
      <c r="B499" s="28">
        <v>2.0983999999999998</v>
      </c>
      <c r="C499" s="28">
        <v>3683604090</v>
      </c>
    </row>
    <row r="500" spans="1:3" ht="15.5">
      <c r="A500" s="29">
        <v>43812</v>
      </c>
      <c r="B500" s="28">
        <v>2.0505</v>
      </c>
      <c r="C500" s="28">
        <v>3599503540</v>
      </c>
    </row>
    <row r="501" spans="1:3" ht="15.5">
      <c r="A501" s="29">
        <v>43811</v>
      </c>
      <c r="B501" s="28">
        <v>2.0217999999999998</v>
      </c>
      <c r="C501" s="28">
        <v>3549043210</v>
      </c>
    </row>
    <row r="502" spans="1:3" ht="15.5">
      <c r="A502" s="29">
        <v>43810</v>
      </c>
      <c r="B502" s="28">
        <v>2.0600999999999998</v>
      </c>
      <c r="C502" s="28">
        <v>3616323650</v>
      </c>
    </row>
    <row r="503" spans="1:3" ht="15.5">
      <c r="A503" s="29">
        <v>43809</v>
      </c>
      <c r="B503" s="28">
        <v>2.0122</v>
      </c>
      <c r="C503" s="28">
        <v>3532223100</v>
      </c>
    </row>
    <row r="504" spans="1:3" ht="15.5">
      <c r="A504" s="29">
        <v>43808</v>
      </c>
      <c r="B504" s="28">
        <v>1.9739</v>
      </c>
      <c r="C504" s="28">
        <v>3464942660</v>
      </c>
    </row>
    <row r="505" spans="1:3" ht="15.5">
      <c r="A505" s="29">
        <v>43805</v>
      </c>
      <c r="B505" s="28">
        <v>1.9642999999999999</v>
      </c>
      <c r="C505" s="28">
        <v>3448122550</v>
      </c>
    </row>
    <row r="506" spans="1:3" ht="15.5">
      <c r="A506" s="29">
        <v>43804</v>
      </c>
      <c r="B506" s="28">
        <v>1.9547000000000001</v>
      </c>
      <c r="C506" s="28">
        <v>3431302440</v>
      </c>
    </row>
    <row r="507" spans="1:3" ht="15.5">
      <c r="A507" s="29">
        <v>43803</v>
      </c>
      <c r="B507" s="28">
        <v>1.9547000000000001</v>
      </c>
      <c r="C507" s="28">
        <v>3431302440</v>
      </c>
    </row>
    <row r="508" spans="1:3" ht="15.5">
      <c r="A508" s="29">
        <v>43802</v>
      </c>
      <c r="B508" s="28">
        <v>1.9930000000000001</v>
      </c>
      <c r="C508" s="28">
        <v>3498582880</v>
      </c>
    </row>
    <row r="509" spans="1:3" ht="15.5">
      <c r="A509" s="29">
        <v>43801</v>
      </c>
      <c r="B509" s="28">
        <v>2.0697000000000001</v>
      </c>
      <c r="C509" s="28">
        <v>3633143760</v>
      </c>
    </row>
    <row r="510" spans="1:3" ht="15.5">
      <c r="A510" s="29">
        <v>43798</v>
      </c>
      <c r="B510" s="28">
        <v>2.0792999999999999</v>
      </c>
      <c r="C510" s="28">
        <v>3649963870</v>
      </c>
    </row>
    <row r="511" spans="1:3" ht="15.5">
      <c r="A511" s="29">
        <v>43797</v>
      </c>
      <c r="B511" s="28">
        <v>2.0697000000000001</v>
      </c>
      <c r="C511" s="28">
        <v>3633143760</v>
      </c>
    </row>
    <row r="512" spans="1:3" ht="15.5">
      <c r="A512" s="29">
        <v>43796</v>
      </c>
      <c r="B512" s="28">
        <v>2.0600999999999998</v>
      </c>
      <c r="C512" s="28">
        <v>3616323650</v>
      </c>
    </row>
    <row r="513" spans="1:3" ht="15.5">
      <c r="A513" s="29">
        <v>43795</v>
      </c>
      <c r="B513" s="28">
        <v>2.0505</v>
      </c>
      <c r="C513" s="28">
        <v>3599503540</v>
      </c>
    </row>
    <row r="514" spans="1:3" ht="15.5">
      <c r="A514" s="29">
        <v>43794</v>
      </c>
      <c r="B514" s="28">
        <v>1.9834000000000001</v>
      </c>
      <c r="C514" s="28">
        <v>3481762770</v>
      </c>
    </row>
    <row r="515" spans="1:3" ht="15.5">
      <c r="A515" s="29">
        <v>43791</v>
      </c>
      <c r="B515" s="28">
        <v>1.9834000000000001</v>
      </c>
      <c r="C515" s="28">
        <v>3481762770</v>
      </c>
    </row>
    <row r="516" spans="1:3" ht="15.5">
      <c r="A516" s="29">
        <v>43790</v>
      </c>
      <c r="B516" s="28">
        <v>1.9642999999999999</v>
      </c>
      <c r="C516" s="28">
        <v>3448122550</v>
      </c>
    </row>
    <row r="517" spans="1:3" ht="15.5">
      <c r="A517" s="29">
        <v>43789</v>
      </c>
      <c r="B517" s="28">
        <v>1.9930000000000001</v>
      </c>
      <c r="C517" s="28">
        <v>3498582880</v>
      </c>
    </row>
    <row r="518" spans="1:3" ht="15.5">
      <c r="A518" s="29">
        <v>43788</v>
      </c>
      <c r="B518" s="28">
        <v>1.9834000000000001</v>
      </c>
      <c r="C518" s="28">
        <v>3481762770</v>
      </c>
    </row>
    <row r="519" spans="1:3" ht="15.5">
      <c r="A519" s="29">
        <v>43787</v>
      </c>
      <c r="B519" s="28">
        <v>1.9642999999999999</v>
      </c>
      <c r="C519" s="28">
        <v>3448122550</v>
      </c>
    </row>
    <row r="520" spans="1:3" ht="15.5">
      <c r="A520" s="29">
        <v>43784</v>
      </c>
      <c r="B520" s="28">
        <v>2.0026000000000002</v>
      </c>
      <c r="C520" s="28">
        <v>3515402990</v>
      </c>
    </row>
    <row r="521" spans="1:3" ht="15.5">
      <c r="A521" s="29">
        <v>43783</v>
      </c>
      <c r="B521" s="28">
        <v>1.9642999999999999</v>
      </c>
      <c r="C521" s="28">
        <v>3448122550</v>
      </c>
    </row>
    <row r="522" spans="1:3" ht="15.5">
      <c r="A522" s="29">
        <v>43782</v>
      </c>
      <c r="B522" s="28">
        <v>1.9355</v>
      </c>
      <c r="C522" s="28">
        <v>3397662220</v>
      </c>
    </row>
    <row r="523" spans="1:3" ht="15.5">
      <c r="A523" s="29">
        <v>43781</v>
      </c>
      <c r="B523" s="28">
        <v>1.9642999999999999</v>
      </c>
      <c r="C523" s="28">
        <v>3448122550</v>
      </c>
    </row>
    <row r="524" spans="1:3" ht="15.5">
      <c r="A524" s="29">
        <v>43780</v>
      </c>
      <c r="B524" s="28">
        <v>1.9451000000000001</v>
      </c>
      <c r="C524" s="28">
        <v>3414482330</v>
      </c>
    </row>
    <row r="525" spans="1:3" ht="15.5">
      <c r="A525" s="29">
        <v>43777</v>
      </c>
      <c r="B525" s="28">
        <v>1.9259999999999999</v>
      </c>
      <c r="C525" s="28">
        <v>3380842110</v>
      </c>
    </row>
    <row r="526" spans="1:3" ht="15.5">
      <c r="A526" s="29">
        <v>43776</v>
      </c>
      <c r="B526" s="28">
        <v>1.9355</v>
      </c>
      <c r="C526" s="28">
        <v>3397662220</v>
      </c>
    </row>
    <row r="527" spans="1:3" ht="15.5">
      <c r="A527" s="29">
        <v>43775</v>
      </c>
      <c r="B527" s="28">
        <v>1.9355</v>
      </c>
      <c r="C527" s="28">
        <v>3397662220</v>
      </c>
    </row>
    <row r="528" spans="1:3" ht="15.5">
      <c r="A528" s="29">
        <v>43774</v>
      </c>
      <c r="B528" s="28">
        <v>1.9547000000000001</v>
      </c>
      <c r="C528" s="28">
        <v>3431302440</v>
      </c>
    </row>
    <row r="529" spans="1:3" ht="15.5">
      <c r="A529" s="29">
        <v>43773</v>
      </c>
      <c r="B529" s="28">
        <v>1.9739</v>
      </c>
      <c r="C529" s="28">
        <v>3464942660</v>
      </c>
    </row>
    <row r="530" spans="1:3" ht="15.5">
      <c r="A530" s="29">
        <v>43770</v>
      </c>
      <c r="B530" s="28">
        <v>1.9355</v>
      </c>
      <c r="C530" s="28">
        <v>3397662220</v>
      </c>
    </row>
    <row r="531" spans="1:3" ht="15.5">
      <c r="A531" s="29">
        <v>43769</v>
      </c>
      <c r="B531" s="28">
        <v>1.9355</v>
      </c>
      <c r="C531" s="28">
        <v>3397662220</v>
      </c>
    </row>
    <row r="532" spans="1:3" ht="15.5">
      <c r="A532" s="29">
        <v>43768</v>
      </c>
      <c r="B532" s="28">
        <v>1.9259999999999999</v>
      </c>
      <c r="C532" s="28">
        <v>3380842110</v>
      </c>
    </row>
    <row r="533" spans="1:3" ht="15.5">
      <c r="A533" s="29">
        <v>43767</v>
      </c>
      <c r="B533" s="28">
        <v>1.9547000000000001</v>
      </c>
      <c r="C533" s="28">
        <v>3431302440</v>
      </c>
    </row>
    <row r="534" spans="1:3" ht="15.5">
      <c r="A534" s="29">
        <v>43766</v>
      </c>
      <c r="B534" s="28">
        <v>1.9642999999999999</v>
      </c>
      <c r="C534" s="28">
        <v>3448122550</v>
      </c>
    </row>
    <row r="535" spans="1:3" ht="15.5">
      <c r="A535" s="29">
        <v>43763</v>
      </c>
      <c r="B535" s="28">
        <v>1.9547000000000001</v>
      </c>
      <c r="C535" s="28">
        <v>3431302440</v>
      </c>
    </row>
    <row r="536" spans="1:3" ht="15.5">
      <c r="A536" s="29">
        <v>43762</v>
      </c>
      <c r="B536" s="28">
        <v>1.9547000000000001</v>
      </c>
      <c r="C536" s="28">
        <v>3431302440</v>
      </c>
    </row>
    <row r="537" spans="1:3" ht="15.5">
      <c r="A537" s="29">
        <v>43761</v>
      </c>
      <c r="B537" s="28">
        <v>1.9451000000000001</v>
      </c>
      <c r="C537" s="28">
        <v>3414482330</v>
      </c>
    </row>
    <row r="538" spans="1:3" ht="15.5">
      <c r="A538" s="29">
        <v>43760</v>
      </c>
      <c r="B538" s="28">
        <v>1.9547000000000001</v>
      </c>
      <c r="C538" s="28">
        <v>3431302440</v>
      </c>
    </row>
    <row r="539" spans="1:3" ht="15.5">
      <c r="A539" s="29">
        <v>43759</v>
      </c>
      <c r="B539" s="28">
        <v>1.9642999999999999</v>
      </c>
      <c r="C539" s="28">
        <v>3448122550</v>
      </c>
    </row>
    <row r="540" spans="1:3" ht="15.5">
      <c r="A540" s="29">
        <v>43756</v>
      </c>
      <c r="B540" s="28">
        <v>2.0122</v>
      </c>
      <c r="C540" s="28">
        <v>3532223100</v>
      </c>
    </row>
    <row r="541" spans="1:3" ht="15.5">
      <c r="A541" s="29">
        <v>43755</v>
      </c>
      <c r="B541" s="28">
        <v>2.0314000000000001</v>
      </c>
      <c r="C541" s="28">
        <v>3565863320</v>
      </c>
    </row>
    <row r="542" spans="1:3" ht="15.5">
      <c r="A542" s="29">
        <v>43754</v>
      </c>
      <c r="B542" s="28">
        <v>2.0505</v>
      </c>
      <c r="C542" s="28">
        <v>3599503540</v>
      </c>
    </row>
    <row r="543" spans="1:3" ht="15.5">
      <c r="A543" s="29">
        <v>43753</v>
      </c>
      <c r="B543" s="28">
        <v>2.0217999999999998</v>
      </c>
      <c r="C543" s="28">
        <v>3549043210</v>
      </c>
    </row>
    <row r="544" spans="1:3" ht="15.5">
      <c r="A544" s="29">
        <v>43752</v>
      </c>
      <c r="B544" s="28">
        <v>1.9930000000000001</v>
      </c>
      <c r="C544" s="28">
        <v>3498582880</v>
      </c>
    </row>
    <row r="545" spans="1:3" ht="15.5">
      <c r="A545" s="29">
        <v>43749</v>
      </c>
      <c r="B545" s="28">
        <v>2.0314000000000001</v>
      </c>
      <c r="C545" s="28">
        <v>3565863320</v>
      </c>
    </row>
    <row r="546" spans="1:3" ht="15.5">
      <c r="A546" s="29">
        <v>43748</v>
      </c>
      <c r="B546" s="28">
        <v>2.0314000000000001</v>
      </c>
      <c r="C546" s="28">
        <v>3565863320</v>
      </c>
    </row>
    <row r="547" spans="1:3" ht="15.5">
      <c r="A547" s="29">
        <v>43747</v>
      </c>
      <c r="B547" s="28">
        <v>2.0314000000000001</v>
      </c>
      <c r="C547" s="28">
        <v>3565863320</v>
      </c>
    </row>
    <row r="548" spans="1:3" ht="15.5">
      <c r="A548" s="29">
        <v>43746</v>
      </c>
      <c r="B548" s="28">
        <v>2.0314000000000001</v>
      </c>
      <c r="C548" s="28">
        <v>3565863320</v>
      </c>
    </row>
    <row r="549" spans="1:3" ht="15.5">
      <c r="A549" s="29">
        <v>43745</v>
      </c>
      <c r="B549" s="28">
        <v>2.0409000000000002</v>
      </c>
      <c r="C549" s="28">
        <v>3582683430</v>
      </c>
    </row>
    <row r="550" spans="1:3" ht="15.5">
      <c r="A550" s="29">
        <v>43742</v>
      </c>
      <c r="B550" s="28">
        <v>2.0505</v>
      </c>
      <c r="C550" s="28">
        <v>3599503540</v>
      </c>
    </row>
    <row r="551" spans="1:3" ht="15.5">
      <c r="A551" s="29">
        <v>43741</v>
      </c>
      <c r="B551" s="28">
        <v>2.0505</v>
      </c>
      <c r="C551" s="28">
        <v>3599503540</v>
      </c>
    </row>
    <row r="552" spans="1:3" ht="15.5">
      <c r="A552" s="29">
        <v>43740</v>
      </c>
      <c r="B552" s="28">
        <v>2.0792999999999999</v>
      </c>
      <c r="C552" s="28">
        <v>3649963870</v>
      </c>
    </row>
    <row r="553" spans="1:3" ht="15.5">
      <c r="A553" s="29">
        <v>43739</v>
      </c>
      <c r="B553" s="28">
        <v>2.1080000000000001</v>
      </c>
      <c r="C553" s="28">
        <v>3700424200</v>
      </c>
    </row>
    <row r="554" spans="1:3" ht="15.5">
      <c r="A554" s="29">
        <v>43738</v>
      </c>
      <c r="B554" s="28">
        <v>2.0697000000000001</v>
      </c>
      <c r="C554" s="28">
        <v>3633143760</v>
      </c>
    </row>
    <row r="555" spans="1:3" ht="15.5">
      <c r="A555" s="29">
        <v>43735</v>
      </c>
      <c r="B555" s="28">
        <v>2.0888</v>
      </c>
      <c r="C555" s="28">
        <v>3666783980</v>
      </c>
    </row>
    <row r="556" spans="1:3" ht="15.5">
      <c r="A556" s="29">
        <v>43734</v>
      </c>
      <c r="B556" s="28">
        <v>2.0697000000000001</v>
      </c>
      <c r="C556" s="28">
        <v>3633143760</v>
      </c>
    </row>
    <row r="557" spans="1:3" ht="15.5">
      <c r="A557" s="29">
        <v>43733</v>
      </c>
      <c r="B557" s="28">
        <v>2.0888</v>
      </c>
      <c r="C557" s="28">
        <v>3666783980</v>
      </c>
    </row>
    <row r="558" spans="1:3" ht="15.5">
      <c r="A558" s="29">
        <v>43732</v>
      </c>
      <c r="B558" s="28">
        <v>2.0600999999999998</v>
      </c>
      <c r="C558" s="28">
        <v>3616323650</v>
      </c>
    </row>
    <row r="559" spans="1:3" ht="15.5">
      <c r="A559" s="29">
        <v>43731</v>
      </c>
      <c r="B559" s="28">
        <v>2.0888</v>
      </c>
      <c r="C559" s="28">
        <v>3666783980</v>
      </c>
    </row>
    <row r="560" spans="1:3" ht="15.5">
      <c r="A560" s="29">
        <v>43728</v>
      </c>
      <c r="B560" s="28">
        <v>2.0983999999999998</v>
      </c>
      <c r="C560" s="28">
        <v>3683604090</v>
      </c>
    </row>
    <row r="561" spans="1:3" ht="15.5">
      <c r="A561" s="29">
        <v>43727</v>
      </c>
      <c r="B561" s="28">
        <v>2.0792999999999999</v>
      </c>
      <c r="C561" s="28">
        <v>3649963870</v>
      </c>
    </row>
    <row r="562" spans="1:3" ht="15.5">
      <c r="A562" s="29">
        <v>43726</v>
      </c>
      <c r="B562" s="28">
        <v>2.0697000000000001</v>
      </c>
      <c r="C562" s="28">
        <v>3633143760</v>
      </c>
    </row>
    <row r="563" spans="1:3" ht="15.5">
      <c r="A563" s="29">
        <v>43725</v>
      </c>
      <c r="B563" s="28">
        <v>2.0600999999999998</v>
      </c>
      <c r="C563" s="28">
        <v>3616323650</v>
      </c>
    </row>
    <row r="564" spans="1:3" ht="15.5">
      <c r="A564" s="29">
        <v>43724</v>
      </c>
      <c r="B564" s="28">
        <v>2.0505</v>
      </c>
      <c r="C564" s="28">
        <v>3599503540</v>
      </c>
    </row>
    <row r="565" spans="1:3" ht="15.5">
      <c r="A565" s="29">
        <v>43721</v>
      </c>
      <c r="B565" s="28">
        <v>2.0792999999999999</v>
      </c>
      <c r="C565" s="28">
        <v>3649963870</v>
      </c>
    </row>
    <row r="566" spans="1:3" ht="15.5">
      <c r="A566" s="29">
        <v>43720</v>
      </c>
      <c r="B566" s="28">
        <v>2.0697000000000001</v>
      </c>
      <c r="C566" s="28">
        <v>3633143760</v>
      </c>
    </row>
    <row r="567" spans="1:3" ht="15.5">
      <c r="A567" s="29">
        <v>43719</v>
      </c>
      <c r="B567" s="28">
        <v>2.0505</v>
      </c>
      <c r="C567" s="28">
        <v>3599503540</v>
      </c>
    </row>
    <row r="568" spans="1:3" ht="15.5">
      <c r="A568" s="29">
        <v>43718</v>
      </c>
      <c r="B568" s="28">
        <v>2.0217999999999998</v>
      </c>
      <c r="C568" s="28">
        <v>3549043210</v>
      </c>
    </row>
    <row r="569" spans="1:3" ht="15.5">
      <c r="A569" s="29">
        <v>43717</v>
      </c>
      <c r="B569" s="28">
        <v>2.0026000000000002</v>
      </c>
      <c r="C569" s="28">
        <v>3515402990</v>
      </c>
    </row>
    <row r="570" spans="1:3" ht="15.5">
      <c r="A570" s="29">
        <v>43714</v>
      </c>
      <c r="B570" s="28">
        <v>2.0600999999999998</v>
      </c>
      <c r="C570" s="28">
        <v>3616323650</v>
      </c>
    </row>
    <row r="571" spans="1:3" ht="15.5">
      <c r="A571" s="29">
        <v>43713</v>
      </c>
      <c r="B571" s="28">
        <v>2.0888</v>
      </c>
      <c r="C571" s="28">
        <v>3666783980</v>
      </c>
    </row>
    <row r="572" spans="1:3" ht="15.5">
      <c r="A572" s="29">
        <v>43712</v>
      </c>
      <c r="B572" s="28">
        <v>2.0792999999999999</v>
      </c>
      <c r="C572" s="28">
        <v>3649963870</v>
      </c>
    </row>
    <row r="573" spans="1:3" ht="15.5">
      <c r="A573" s="29">
        <v>43711</v>
      </c>
      <c r="B573" s="28">
        <v>2.1272000000000002</v>
      </c>
      <c r="C573" s="28">
        <v>3734064420</v>
      </c>
    </row>
    <row r="574" spans="1:3" ht="15.5">
      <c r="A574" s="29">
        <v>43710</v>
      </c>
      <c r="B574" s="28">
        <v>2.2229999999999999</v>
      </c>
      <c r="C574" s="28">
        <v>3902265520</v>
      </c>
    </row>
    <row r="575" spans="1:3" ht="15.5">
      <c r="A575" s="29">
        <v>43707</v>
      </c>
      <c r="B575" s="28">
        <v>2.2038000000000002</v>
      </c>
      <c r="C575" s="28">
        <v>3868625300</v>
      </c>
    </row>
    <row r="576" spans="1:3" ht="15.5">
      <c r="A576" s="29">
        <v>43706</v>
      </c>
      <c r="B576" s="28">
        <v>2.1846999999999999</v>
      </c>
      <c r="C576" s="28">
        <v>3834985080</v>
      </c>
    </row>
    <row r="577" spans="1:3" ht="15.5">
      <c r="A577" s="29">
        <v>43705</v>
      </c>
      <c r="B577" s="28">
        <v>2.1846999999999999</v>
      </c>
      <c r="C577" s="28">
        <v>3834985080</v>
      </c>
    </row>
    <row r="578" spans="1:3" ht="15.5">
      <c r="A578" s="29">
        <v>43704</v>
      </c>
      <c r="B578" s="28">
        <v>2.1943000000000001</v>
      </c>
      <c r="C578" s="28">
        <v>3851805190</v>
      </c>
    </row>
    <row r="579" spans="1:3" ht="15.5">
      <c r="A579" s="29">
        <v>43703</v>
      </c>
      <c r="B579" s="28">
        <v>2.2422</v>
      </c>
      <c r="C579" s="28">
        <v>3935905740</v>
      </c>
    </row>
    <row r="580" spans="1:3" ht="15.5">
      <c r="A580" s="29">
        <v>43700</v>
      </c>
      <c r="B580" s="28">
        <v>2.2612999999999999</v>
      </c>
      <c r="C580" s="28">
        <v>3969545960</v>
      </c>
    </row>
    <row r="581" spans="1:3" ht="15.5">
      <c r="A581" s="29">
        <v>43699</v>
      </c>
      <c r="B581" s="28">
        <v>2.2612999999999999</v>
      </c>
      <c r="C581" s="28">
        <v>3969545960</v>
      </c>
    </row>
    <row r="582" spans="1:3" ht="15.5">
      <c r="A582" s="29">
        <v>43698</v>
      </c>
      <c r="B582" s="28">
        <v>2.2422</v>
      </c>
      <c r="C582" s="28">
        <v>3935905740</v>
      </c>
    </row>
    <row r="583" spans="1:3" ht="15.5">
      <c r="A583" s="29">
        <v>43697</v>
      </c>
      <c r="B583" s="28">
        <v>2.2038000000000002</v>
      </c>
      <c r="C583" s="28">
        <v>3868625300</v>
      </c>
    </row>
    <row r="584" spans="1:3" ht="15.5">
      <c r="A584" s="29">
        <v>43696</v>
      </c>
      <c r="B584" s="28">
        <v>2.1846999999999999</v>
      </c>
      <c r="C584" s="28">
        <v>3834985080</v>
      </c>
    </row>
    <row r="585" spans="1:3" ht="15.5">
      <c r="A585" s="29">
        <v>43693</v>
      </c>
      <c r="B585" s="28">
        <v>2.1943000000000001</v>
      </c>
      <c r="C585" s="28">
        <v>3851805190</v>
      </c>
    </row>
    <row r="586" spans="1:3" ht="15.5">
      <c r="A586" s="29">
        <v>43692</v>
      </c>
      <c r="B586" s="28">
        <v>2.1943000000000001</v>
      </c>
      <c r="C586" s="28">
        <v>3851805190</v>
      </c>
    </row>
    <row r="587" spans="1:3" ht="15.5">
      <c r="A587" s="29">
        <v>43691</v>
      </c>
      <c r="B587" s="28">
        <v>2.2326000000000001</v>
      </c>
      <c r="C587" s="28">
        <v>3919085630</v>
      </c>
    </row>
    <row r="588" spans="1:3" ht="15.5">
      <c r="A588" s="29">
        <v>43690</v>
      </c>
      <c r="B588" s="28">
        <v>2.2326000000000001</v>
      </c>
      <c r="C588" s="28">
        <v>3919085630</v>
      </c>
    </row>
    <row r="589" spans="1:3" ht="15.5">
      <c r="A589" s="29">
        <v>43689</v>
      </c>
      <c r="B589" s="28">
        <v>2.2709000000000001</v>
      </c>
      <c r="C589" s="28">
        <v>3986366070</v>
      </c>
    </row>
    <row r="590" spans="1:3" ht="15.5">
      <c r="A590" s="29">
        <v>43686</v>
      </c>
      <c r="B590" s="28">
        <v>2.2422</v>
      </c>
      <c r="C590" s="28">
        <v>3935905740</v>
      </c>
    </row>
    <row r="591" spans="1:3" ht="15.5">
      <c r="A591" s="29">
        <v>43685</v>
      </c>
      <c r="B591" s="28">
        <v>2.2422</v>
      </c>
      <c r="C591" s="28">
        <v>3935905740</v>
      </c>
    </row>
    <row r="592" spans="1:3" ht="15.5">
      <c r="A592" s="29">
        <v>43684</v>
      </c>
      <c r="B592" s="28">
        <v>2.2422</v>
      </c>
      <c r="C592" s="28">
        <v>3935905740</v>
      </c>
    </row>
    <row r="593" spans="1:3" ht="15.5">
      <c r="A593" s="29">
        <v>43683</v>
      </c>
      <c r="B593" s="28">
        <v>2.2038000000000002</v>
      </c>
      <c r="C593" s="28">
        <v>3868625300</v>
      </c>
    </row>
    <row r="594" spans="1:3" ht="15.5">
      <c r="A594" s="29">
        <v>43682</v>
      </c>
      <c r="B594" s="28">
        <v>2.2709000000000001</v>
      </c>
      <c r="C594" s="28">
        <v>3986366070</v>
      </c>
    </row>
    <row r="595" spans="1:3" ht="15.5">
      <c r="A595" s="29">
        <v>43679</v>
      </c>
      <c r="B595" s="28">
        <v>2.2709000000000001</v>
      </c>
      <c r="C595" s="28">
        <v>3986366070</v>
      </c>
    </row>
    <row r="596" spans="1:3" ht="15.5">
      <c r="A596" s="29">
        <v>43678</v>
      </c>
      <c r="B596" s="28">
        <v>2.2900999999999998</v>
      </c>
      <c r="C596" s="28">
        <v>4020006290</v>
      </c>
    </row>
    <row r="597" spans="1:3" ht="15.5">
      <c r="A597" s="29">
        <v>43677</v>
      </c>
      <c r="B597" s="28">
        <v>2.2709000000000001</v>
      </c>
      <c r="C597" s="28">
        <v>3986366070</v>
      </c>
    </row>
    <row r="598" spans="1:3" ht="15.5">
      <c r="A598" s="29">
        <v>43676</v>
      </c>
      <c r="B598" s="28">
        <v>2.2805</v>
      </c>
      <c r="C598" s="28">
        <v>4003186180</v>
      </c>
    </row>
    <row r="599" spans="1:3" ht="15.5">
      <c r="A599" s="29">
        <v>43675</v>
      </c>
      <c r="B599" s="28">
        <v>2.2517</v>
      </c>
      <c r="C599" s="28">
        <v>3952725850</v>
      </c>
    </row>
    <row r="600" spans="1:3" ht="15.5">
      <c r="A600" s="29">
        <v>43672</v>
      </c>
      <c r="B600" s="28">
        <v>2.2517</v>
      </c>
      <c r="C600" s="28">
        <v>3952725850</v>
      </c>
    </row>
    <row r="601" spans="1:3" ht="15.5">
      <c r="A601" s="29">
        <v>43671</v>
      </c>
      <c r="B601" s="28">
        <v>2.2805</v>
      </c>
      <c r="C601" s="28">
        <v>4003186180</v>
      </c>
    </row>
    <row r="602" spans="1:3" ht="15.5">
      <c r="A602" s="29">
        <v>43670</v>
      </c>
      <c r="B602" s="28">
        <v>2.2517</v>
      </c>
      <c r="C602" s="28">
        <v>3952725850</v>
      </c>
    </row>
    <row r="603" spans="1:3" ht="15.5">
      <c r="A603" s="29">
        <v>43669</v>
      </c>
      <c r="B603" s="28">
        <v>2.2326000000000001</v>
      </c>
      <c r="C603" s="28">
        <v>3919085630</v>
      </c>
    </row>
    <row r="604" spans="1:3" ht="15.5">
      <c r="A604" s="29">
        <v>43668</v>
      </c>
      <c r="B604" s="28">
        <v>2.2326000000000001</v>
      </c>
      <c r="C604" s="28">
        <v>3919085630</v>
      </c>
    </row>
    <row r="605" spans="1:3" ht="15.5">
      <c r="A605" s="29">
        <v>43665</v>
      </c>
      <c r="B605" s="28">
        <v>2.2517</v>
      </c>
      <c r="C605" s="28">
        <v>3952725850</v>
      </c>
    </row>
    <row r="606" spans="1:3" ht="15.5">
      <c r="A606" s="29">
        <v>43664</v>
      </c>
      <c r="B606" s="28">
        <v>2.2612999999999999</v>
      </c>
      <c r="C606" s="28">
        <v>3969545960</v>
      </c>
    </row>
    <row r="607" spans="1:3" ht="15.5">
      <c r="A607" s="29">
        <v>43663</v>
      </c>
      <c r="B607" s="28">
        <v>2.2612999999999999</v>
      </c>
      <c r="C607" s="28">
        <v>3969545960</v>
      </c>
    </row>
    <row r="608" spans="1:3" ht="15.5">
      <c r="A608" s="29">
        <v>43662</v>
      </c>
      <c r="B608" s="28">
        <v>2.2709000000000001</v>
      </c>
      <c r="C608" s="28">
        <v>3986366070</v>
      </c>
    </row>
    <row r="609" spans="1:3" ht="15.5">
      <c r="A609" s="29">
        <v>43661</v>
      </c>
      <c r="B609" s="28">
        <v>2.2612999999999999</v>
      </c>
      <c r="C609" s="28">
        <v>3969545960</v>
      </c>
    </row>
    <row r="610" spans="1:3" ht="15.5">
      <c r="A610" s="29">
        <v>43658</v>
      </c>
      <c r="B610" s="28">
        <v>2.3092000000000001</v>
      </c>
      <c r="C610" s="28">
        <v>4053646510</v>
      </c>
    </row>
    <row r="611" spans="1:3" ht="15.5">
      <c r="A611" s="29">
        <v>43657</v>
      </c>
      <c r="B611" s="28">
        <v>2.3283999999999998</v>
      </c>
      <c r="C611" s="28">
        <v>4087286730</v>
      </c>
    </row>
    <row r="612" spans="1:3" ht="15.5">
      <c r="A612" s="29">
        <v>43656</v>
      </c>
      <c r="B612" s="28">
        <v>2.3380000000000001</v>
      </c>
      <c r="C612" s="28">
        <v>4104106840</v>
      </c>
    </row>
    <row r="613" spans="1:3" ht="15.5">
      <c r="A613" s="29">
        <v>43655</v>
      </c>
      <c r="B613" s="28">
        <v>2.3380000000000001</v>
      </c>
      <c r="C613" s="28">
        <v>4104106840</v>
      </c>
    </row>
    <row r="614" spans="1:3" ht="15.5">
      <c r="A614" s="29">
        <v>43654</v>
      </c>
      <c r="B614" s="28">
        <v>2.3283999999999998</v>
      </c>
      <c r="C614" s="28">
        <v>4087286730</v>
      </c>
    </row>
    <row r="615" spans="1:3" ht="15.5">
      <c r="A615" s="29">
        <v>43651</v>
      </c>
      <c r="B615" s="28">
        <v>2.3666999999999998</v>
      </c>
      <c r="C615" s="28">
        <v>4154567170</v>
      </c>
    </row>
    <row r="616" spans="1:3" ht="15.5">
      <c r="A616" s="29">
        <v>43650</v>
      </c>
      <c r="B616" s="28">
        <v>2.3955000000000002</v>
      </c>
      <c r="C616" s="28">
        <v>4205027500</v>
      </c>
    </row>
    <row r="617" spans="1:3" ht="15.5">
      <c r="A617" s="29">
        <v>43649</v>
      </c>
      <c r="B617" s="28">
        <v>2.3763000000000001</v>
      </c>
      <c r="C617" s="28">
        <v>4171387280</v>
      </c>
    </row>
    <row r="618" spans="1:3" ht="15.5">
      <c r="A618" s="29">
        <v>43648</v>
      </c>
      <c r="B618" s="28">
        <v>2.3666999999999998</v>
      </c>
      <c r="C618" s="28">
        <v>4154567170</v>
      </c>
    </row>
    <row r="619" spans="1:3" ht="15.5">
      <c r="A619" s="29">
        <v>43647</v>
      </c>
      <c r="B619" s="28">
        <v>2.3380000000000001</v>
      </c>
      <c r="C619" s="28">
        <v>4104106840</v>
      </c>
    </row>
    <row r="620" spans="1:3" ht="15.5">
      <c r="A620" s="29">
        <v>43644</v>
      </c>
      <c r="B620" s="28">
        <v>2.3283999999999998</v>
      </c>
      <c r="C620" s="28">
        <v>4087286730</v>
      </c>
    </row>
    <row r="621" spans="1:3" ht="15.5">
      <c r="A621" s="29">
        <v>43643</v>
      </c>
      <c r="B621" s="28">
        <v>2.3571</v>
      </c>
      <c r="C621" s="28">
        <v>4137747060</v>
      </c>
    </row>
    <row r="622" spans="1:3" ht="15.5">
      <c r="A622" s="29">
        <v>43642</v>
      </c>
      <c r="B622" s="28">
        <v>2.3763000000000001</v>
      </c>
      <c r="C622" s="28">
        <v>4171387280</v>
      </c>
    </row>
    <row r="623" spans="1:3" ht="15.5">
      <c r="A623" s="29">
        <v>43641</v>
      </c>
      <c r="B623" s="28">
        <v>2.4146000000000001</v>
      </c>
      <c r="C623" s="28">
        <v>4238667720</v>
      </c>
    </row>
    <row r="624" spans="1:3" ht="15.5">
      <c r="A624" s="29">
        <v>43640</v>
      </c>
      <c r="B624" s="28">
        <v>2.4146000000000001</v>
      </c>
      <c r="C624" s="28">
        <v>4238667720</v>
      </c>
    </row>
    <row r="625" spans="1:3" ht="15.5">
      <c r="A625" s="29">
        <v>43637</v>
      </c>
      <c r="B625" s="28">
        <v>2.4051</v>
      </c>
      <c r="C625" s="28">
        <v>4221847610</v>
      </c>
    </row>
    <row r="626" spans="1:3" ht="15.5">
      <c r="A626" s="29">
        <v>43636</v>
      </c>
      <c r="B626" s="28">
        <v>2.4338000000000002</v>
      </c>
      <c r="C626" s="28">
        <v>4272307940</v>
      </c>
    </row>
    <row r="627" spans="1:3" ht="15.5">
      <c r="A627" s="29">
        <v>43635</v>
      </c>
      <c r="B627" s="28">
        <v>2.4051</v>
      </c>
      <c r="C627" s="28">
        <v>4221847610</v>
      </c>
    </row>
    <row r="628" spans="1:3" ht="15.5">
      <c r="A628" s="29">
        <v>43634</v>
      </c>
      <c r="B628" s="28">
        <v>2.3571</v>
      </c>
      <c r="C628" s="28">
        <v>4137747060</v>
      </c>
    </row>
    <row r="629" spans="1:3" ht="15.5">
      <c r="A629" s="29">
        <v>43633</v>
      </c>
      <c r="B629" s="28">
        <v>2.3571</v>
      </c>
      <c r="C629" s="28">
        <v>4137747060</v>
      </c>
    </row>
    <row r="630" spans="1:3" ht="15.5">
      <c r="A630" s="29">
        <v>43630</v>
      </c>
      <c r="B630" s="28">
        <v>2.3763000000000001</v>
      </c>
      <c r="C630" s="28">
        <v>4171387280</v>
      </c>
    </row>
    <row r="631" spans="1:3" ht="15.5">
      <c r="A631" s="29">
        <v>43629</v>
      </c>
      <c r="B631" s="28">
        <v>2.3380000000000001</v>
      </c>
      <c r="C631" s="28">
        <v>4104106840</v>
      </c>
    </row>
    <row r="632" spans="1:3" ht="15.5">
      <c r="A632" s="29">
        <v>43628</v>
      </c>
      <c r="B632" s="28">
        <v>2.3380000000000001</v>
      </c>
      <c r="C632" s="28">
        <v>4104106840</v>
      </c>
    </row>
    <row r="633" spans="1:3" ht="15.5">
      <c r="A633" s="29">
        <v>43627</v>
      </c>
      <c r="B633" s="28">
        <v>2.3283999999999998</v>
      </c>
      <c r="C633" s="28">
        <v>4087286730</v>
      </c>
    </row>
    <row r="634" spans="1:3" ht="15.5">
      <c r="A634" s="29">
        <v>43623</v>
      </c>
      <c r="B634" s="28">
        <v>2.3283999999999998</v>
      </c>
      <c r="C634" s="28">
        <v>4087286730</v>
      </c>
    </row>
    <row r="635" spans="1:3" ht="15.5">
      <c r="A635" s="29">
        <v>43622</v>
      </c>
      <c r="B635" s="28">
        <v>2.3380000000000001</v>
      </c>
      <c r="C635" s="28">
        <v>4104106840</v>
      </c>
    </row>
    <row r="636" spans="1:3" ht="15.5">
      <c r="A636" s="29">
        <v>43621</v>
      </c>
      <c r="B636" s="28">
        <v>2.2805</v>
      </c>
      <c r="C636" s="28">
        <v>4003186180</v>
      </c>
    </row>
    <row r="637" spans="1:3" ht="15.5">
      <c r="A637" s="29">
        <v>43620</v>
      </c>
      <c r="B637" s="28">
        <v>2.2805</v>
      </c>
      <c r="C637" s="28">
        <v>4003186180</v>
      </c>
    </row>
    <row r="638" spans="1:3" ht="15.5">
      <c r="A638" s="29">
        <v>43619</v>
      </c>
      <c r="B638" s="28">
        <v>2.2612999999999999</v>
      </c>
      <c r="C638" s="28">
        <v>3969545960</v>
      </c>
    </row>
    <row r="639" spans="1:3" ht="15.5">
      <c r="A639" s="29">
        <v>43616</v>
      </c>
      <c r="B639" s="28">
        <v>2.2422</v>
      </c>
      <c r="C639" s="28">
        <v>3935905740</v>
      </c>
    </row>
    <row r="640" spans="1:3" ht="15.5">
      <c r="A640" s="29">
        <v>43615</v>
      </c>
      <c r="B640" s="28">
        <v>2.2134</v>
      </c>
      <c r="C640" s="28">
        <v>3885445410</v>
      </c>
    </row>
    <row r="641" spans="1:3" ht="15.5">
      <c r="A641" s="29">
        <v>43614</v>
      </c>
      <c r="B641" s="28">
        <v>2.2229999999999999</v>
      </c>
      <c r="C641" s="28">
        <v>3902265520</v>
      </c>
    </row>
    <row r="642" spans="1:3" ht="15.5">
      <c r="A642" s="29">
        <v>43613</v>
      </c>
      <c r="B642" s="28">
        <v>2.2422</v>
      </c>
      <c r="C642" s="28">
        <v>3935905740</v>
      </c>
    </row>
    <row r="643" spans="1:3" ht="15.5">
      <c r="A643" s="29">
        <v>43612</v>
      </c>
      <c r="B643" s="28">
        <v>2.2326000000000001</v>
      </c>
      <c r="C643" s="28">
        <v>3919085630</v>
      </c>
    </row>
    <row r="644" spans="1:3" ht="15.5">
      <c r="A644" s="29">
        <v>43609</v>
      </c>
      <c r="B644" s="28">
        <v>2.2422</v>
      </c>
      <c r="C644" s="28">
        <v>3935905740</v>
      </c>
    </row>
    <row r="645" spans="1:3" ht="15.5">
      <c r="A645" s="29">
        <v>43608</v>
      </c>
      <c r="B645" s="28">
        <v>2.2517</v>
      </c>
      <c r="C645" s="28">
        <v>3952725850</v>
      </c>
    </row>
    <row r="646" spans="1:3" ht="15.5">
      <c r="A646" s="29">
        <v>43607</v>
      </c>
      <c r="B646" s="28">
        <v>2.2326000000000001</v>
      </c>
      <c r="C646" s="28">
        <v>3919085630</v>
      </c>
    </row>
    <row r="647" spans="1:3" ht="15.5">
      <c r="A647" s="29">
        <v>43606</v>
      </c>
      <c r="B647" s="28">
        <v>2.2134</v>
      </c>
      <c r="C647" s="28">
        <v>3885445410</v>
      </c>
    </row>
    <row r="648" spans="1:3" ht="15.5">
      <c r="A648" s="29">
        <v>43605</v>
      </c>
      <c r="B648" s="28">
        <v>2.2134</v>
      </c>
      <c r="C648" s="28">
        <v>3885445410</v>
      </c>
    </row>
    <row r="649" spans="1:3" ht="15.5">
      <c r="A649" s="29">
        <v>43602</v>
      </c>
      <c r="B649" s="28">
        <v>2.2517</v>
      </c>
      <c r="C649" s="28">
        <v>3952725850</v>
      </c>
    </row>
    <row r="650" spans="1:3" ht="15.5">
      <c r="A650" s="29">
        <v>43601</v>
      </c>
      <c r="B650" s="28">
        <v>2.2134</v>
      </c>
      <c r="C650" s="28">
        <v>3885445410</v>
      </c>
    </row>
    <row r="651" spans="1:3" ht="15.5">
      <c r="A651" s="29">
        <v>43600</v>
      </c>
      <c r="B651" s="28">
        <v>2.1655000000000002</v>
      </c>
      <c r="C651" s="28">
        <v>3801344860</v>
      </c>
    </row>
    <row r="652" spans="1:3" ht="15.5">
      <c r="A652" s="29">
        <v>43599</v>
      </c>
      <c r="B652" s="28">
        <v>2.1558999999999999</v>
      </c>
      <c r="C652" s="28">
        <v>3784524750</v>
      </c>
    </row>
    <row r="653" spans="1:3" ht="15.5">
      <c r="A653" s="29">
        <v>43598</v>
      </c>
      <c r="B653" s="28">
        <v>2.1846999999999999</v>
      </c>
      <c r="C653" s="28">
        <v>3834985080</v>
      </c>
    </row>
    <row r="654" spans="1:3" ht="15.5">
      <c r="A654" s="29">
        <v>43595</v>
      </c>
      <c r="B654" s="28">
        <v>2.1846999999999999</v>
      </c>
      <c r="C654" s="28">
        <v>3834985080</v>
      </c>
    </row>
    <row r="655" spans="1:3" ht="15.5">
      <c r="A655" s="29">
        <v>43594</v>
      </c>
      <c r="B655" s="28">
        <v>2.1080000000000001</v>
      </c>
      <c r="C655" s="28">
        <v>3700424200</v>
      </c>
    </row>
    <row r="656" spans="1:3" ht="15.5">
      <c r="A656" s="29">
        <v>43593</v>
      </c>
      <c r="B656" s="28">
        <v>2.0983999999999998</v>
      </c>
      <c r="C656" s="28">
        <v>3683604090</v>
      </c>
    </row>
    <row r="657" spans="1:3" ht="15.5">
      <c r="A657" s="29">
        <v>43592</v>
      </c>
      <c r="B657" s="28">
        <v>2.1272000000000002</v>
      </c>
      <c r="C657" s="28">
        <v>3734064420</v>
      </c>
    </row>
    <row r="658" spans="1:3" ht="15.5">
      <c r="A658" s="29">
        <v>43591</v>
      </c>
      <c r="B658" s="28">
        <v>2.1368</v>
      </c>
      <c r="C658" s="28">
        <v>3750884530</v>
      </c>
    </row>
    <row r="659" spans="1:3" ht="15.5">
      <c r="A659" s="29">
        <v>43588</v>
      </c>
      <c r="B659" s="28">
        <v>2.1368</v>
      </c>
      <c r="C659" s="28">
        <v>3750884530</v>
      </c>
    </row>
    <row r="660" spans="1:3" ht="15.5">
      <c r="A660" s="29">
        <v>43587</v>
      </c>
      <c r="B660" s="28">
        <v>2.1558999999999999</v>
      </c>
      <c r="C660" s="28">
        <v>3784524750</v>
      </c>
    </row>
    <row r="661" spans="1:3" ht="15.5">
      <c r="A661" s="29">
        <v>43586</v>
      </c>
      <c r="B661" s="28">
        <v>2.1751</v>
      </c>
      <c r="C661" s="28">
        <v>3818164970</v>
      </c>
    </row>
    <row r="662" spans="1:3" ht="15.5">
      <c r="A662" s="29">
        <v>43585</v>
      </c>
      <c r="B662" s="28">
        <v>2.1655000000000002</v>
      </c>
      <c r="C662" s="28">
        <v>3801344860</v>
      </c>
    </row>
    <row r="663" spans="1:3" ht="15.5">
      <c r="A663" s="29">
        <v>43584</v>
      </c>
      <c r="B663" s="28">
        <v>2.1751</v>
      </c>
      <c r="C663" s="28">
        <v>3818164970</v>
      </c>
    </row>
    <row r="664" spans="1:3" ht="15.5">
      <c r="A664" s="29">
        <v>43581</v>
      </c>
      <c r="B664" s="28">
        <v>2.1846999999999999</v>
      </c>
      <c r="C664" s="28">
        <v>3834985080</v>
      </c>
    </row>
    <row r="665" spans="1:3" ht="15.5">
      <c r="A665" s="29">
        <v>43579</v>
      </c>
      <c r="B665" s="28">
        <v>2.1655000000000002</v>
      </c>
      <c r="C665" s="28">
        <v>3801344860</v>
      </c>
    </row>
    <row r="666" spans="1:3" ht="15.5">
      <c r="A666" s="29">
        <v>43578</v>
      </c>
      <c r="B666" s="28">
        <v>2.1463000000000001</v>
      </c>
      <c r="C666" s="28">
        <v>3767704640</v>
      </c>
    </row>
    <row r="667" spans="1:3" ht="15.5">
      <c r="A667" s="29">
        <v>43573</v>
      </c>
      <c r="B667" s="28">
        <v>2.1080000000000001</v>
      </c>
      <c r="C667" s="28">
        <v>3700424200</v>
      </c>
    </row>
    <row r="668" spans="1:3" ht="15.5">
      <c r="A668" s="29">
        <v>43572</v>
      </c>
      <c r="B668" s="28">
        <v>2.0983999999999998</v>
      </c>
      <c r="C668" s="28">
        <v>3683604090</v>
      </c>
    </row>
    <row r="669" spans="1:3" ht="15.5">
      <c r="A669" s="29">
        <v>43571</v>
      </c>
      <c r="B669" s="28">
        <v>2.1368</v>
      </c>
      <c r="C669" s="28">
        <v>3750884530</v>
      </c>
    </row>
    <row r="670" spans="1:3" ht="15.5">
      <c r="A670" s="29">
        <v>43570</v>
      </c>
      <c r="B670" s="28">
        <v>2.1080000000000001</v>
      </c>
      <c r="C670" s="28">
        <v>3700424200</v>
      </c>
    </row>
    <row r="671" spans="1:3" ht="15.5">
      <c r="A671" s="29">
        <v>43567</v>
      </c>
      <c r="B671" s="28">
        <v>2.1175999999999999</v>
      </c>
      <c r="C671" s="28">
        <v>3717244310</v>
      </c>
    </row>
    <row r="672" spans="1:3" ht="15.5">
      <c r="A672" s="29">
        <v>43566</v>
      </c>
      <c r="B672" s="28">
        <v>2.0888</v>
      </c>
      <c r="C672" s="28">
        <v>3666783980</v>
      </c>
    </row>
    <row r="673" spans="1:3" ht="15.5">
      <c r="A673" s="29">
        <v>43565</v>
      </c>
      <c r="B673" s="28">
        <v>2.0792999999999999</v>
      </c>
      <c r="C673" s="28">
        <v>3649963870</v>
      </c>
    </row>
    <row r="674" spans="1:3" ht="15.5">
      <c r="A674" s="29">
        <v>43564</v>
      </c>
      <c r="B674" s="28">
        <v>2.1080000000000001</v>
      </c>
      <c r="C674" s="28">
        <v>3700424200</v>
      </c>
    </row>
    <row r="675" spans="1:3" ht="15.5">
      <c r="A675" s="29">
        <v>43563</v>
      </c>
      <c r="B675" s="28">
        <v>2.1080000000000001</v>
      </c>
      <c r="C675" s="28">
        <v>3700424200</v>
      </c>
    </row>
    <row r="676" spans="1:3" ht="15.5">
      <c r="A676" s="29">
        <v>43560</v>
      </c>
      <c r="B676" s="28">
        <v>2.0983999999999998</v>
      </c>
      <c r="C676" s="28">
        <v>3683604090</v>
      </c>
    </row>
    <row r="677" spans="1:3" ht="15.5">
      <c r="A677" s="29">
        <v>43559</v>
      </c>
      <c r="B677" s="28">
        <v>2.1272000000000002</v>
      </c>
      <c r="C677" s="28">
        <v>3734064420</v>
      </c>
    </row>
    <row r="678" spans="1:3" ht="15.5">
      <c r="A678" s="29">
        <v>43558</v>
      </c>
      <c r="B678" s="28">
        <v>2.1558999999999999</v>
      </c>
      <c r="C678" s="28">
        <v>3784524750</v>
      </c>
    </row>
    <row r="679" spans="1:3" ht="15.5">
      <c r="A679" s="29">
        <v>43557</v>
      </c>
      <c r="B679" s="28">
        <v>2.1368</v>
      </c>
      <c r="C679" s="28">
        <v>3750884530</v>
      </c>
    </row>
    <row r="680" spans="1:3" ht="15.5">
      <c r="A680" s="29">
        <v>43556</v>
      </c>
      <c r="B680" s="28">
        <v>2.1655000000000002</v>
      </c>
      <c r="C680" s="28">
        <v>3801344860</v>
      </c>
    </row>
    <row r="681" spans="1:3" ht="15.5">
      <c r="A681" s="29">
        <v>43553</v>
      </c>
      <c r="B681" s="28">
        <v>2.1846999999999999</v>
      </c>
      <c r="C681" s="28">
        <v>3834985080</v>
      </c>
    </row>
    <row r="682" spans="1:3" ht="15.5">
      <c r="A682" s="29">
        <v>43552</v>
      </c>
      <c r="B682" s="28">
        <v>2.1943000000000001</v>
      </c>
      <c r="C682" s="28">
        <v>3851805190</v>
      </c>
    </row>
    <row r="683" spans="1:3" ht="15.5">
      <c r="A683" s="29">
        <v>43551</v>
      </c>
      <c r="B683" s="28">
        <v>2.1846999999999999</v>
      </c>
      <c r="C683" s="28">
        <v>3834985080</v>
      </c>
    </row>
    <row r="684" spans="1:3" ht="15.5">
      <c r="A684" s="29">
        <v>43550</v>
      </c>
      <c r="B684" s="28">
        <v>2.1846999999999999</v>
      </c>
      <c r="C684" s="28">
        <v>3834985080</v>
      </c>
    </row>
    <row r="685" spans="1:3" ht="15.5">
      <c r="A685" s="29">
        <v>43549</v>
      </c>
      <c r="B685" s="28">
        <v>2.1272000000000002</v>
      </c>
      <c r="C685" s="28">
        <v>3734064420</v>
      </c>
    </row>
    <row r="686" spans="1:3" ht="15.5">
      <c r="A686" s="29">
        <v>43546</v>
      </c>
      <c r="B686" s="28">
        <v>2.1463000000000001</v>
      </c>
      <c r="C686" s="28">
        <v>3767704640</v>
      </c>
    </row>
    <row r="687" spans="1:3" ht="15.5">
      <c r="A687" s="29">
        <v>43545</v>
      </c>
      <c r="B687" s="28">
        <v>2.1080000000000001</v>
      </c>
      <c r="C687" s="28">
        <v>3700424200</v>
      </c>
    </row>
    <row r="688" spans="1:3" ht="15.5">
      <c r="A688" s="29">
        <v>43544</v>
      </c>
      <c r="B688" s="28">
        <v>2.1080000000000001</v>
      </c>
      <c r="C688" s="28">
        <v>3700424200</v>
      </c>
    </row>
    <row r="689" spans="1:3" ht="15.5">
      <c r="A689" s="29">
        <v>43543</v>
      </c>
      <c r="B689" s="28">
        <v>2.1368</v>
      </c>
      <c r="C689" s="28">
        <v>3750884530</v>
      </c>
    </row>
    <row r="690" spans="1:3" ht="15.5">
      <c r="A690" s="29">
        <v>43542</v>
      </c>
      <c r="B690" s="28">
        <v>2.1368</v>
      </c>
      <c r="C690" s="28">
        <v>3750884530</v>
      </c>
    </row>
    <row r="691" spans="1:3" ht="15.5">
      <c r="A691" s="29">
        <v>43539</v>
      </c>
      <c r="B691" s="28">
        <v>2.1463000000000001</v>
      </c>
      <c r="C691" s="28">
        <v>3767704640</v>
      </c>
    </row>
    <row r="692" spans="1:3" ht="15.5">
      <c r="A692" s="29">
        <v>43538</v>
      </c>
      <c r="B692" s="28">
        <v>2.1463000000000001</v>
      </c>
      <c r="C692" s="28">
        <v>3767704640</v>
      </c>
    </row>
    <row r="693" spans="1:3" ht="15.5">
      <c r="A693" s="29">
        <v>43537</v>
      </c>
      <c r="B693" s="28">
        <v>2.1655000000000002</v>
      </c>
      <c r="C693" s="28">
        <v>3801344860</v>
      </c>
    </row>
    <row r="694" spans="1:3" ht="15.5">
      <c r="A694" s="29">
        <v>43536</v>
      </c>
      <c r="B694" s="28">
        <v>2.1751</v>
      </c>
      <c r="C694" s="28">
        <v>3818164970</v>
      </c>
    </row>
    <row r="695" spans="1:3" ht="15.5">
      <c r="A695" s="29">
        <v>43535</v>
      </c>
      <c r="B695" s="28">
        <v>2.1558999999999999</v>
      </c>
      <c r="C695" s="28">
        <v>3784524750</v>
      </c>
    </row>
    <row r="696" spans="1:3" ht="15.5">
      <c r="A696" s="29">
        <v>43532</v>
      </c>
      <c r="B696" s="28">
        <v>2.1846999999999999</v>
      </c>
      <c r="C696" s="28">
        <v>3834985080</v>
      </c>
    </row>
    <row r="697" spans="1:3" ht="15.5">
      <c r="A697" s="29">
        <v>43531</v>
      </c>
      <c r="B697" s="28">
        <v>2.1943000000000001</v>
      </c>
      <c r="C697" s="28">
        <v>3851805190</v>
      </c>
    </row>
    <row r="698" spans="1:3" ht="15.5">
      <c r="A698" s="29">
        <v>43530</v>
      </c>
      <c r="B698" s="28">
        <v>2.1943000000000001</v>
      </c>
      <c r="C698" s="28">
        <v>3851805190</v>
      </c>
    </row>
    <row r="699" spans="1:3" ht="15.5">
      <c r="A699" s="29">
        <v>43529</v>
      </c>
      <c r="B699" s="28">
        <v>2.1751</v>
      </c>
      <c r="C699" s="28">
        <v>3818164970</v>
      </c>
    </row>
    <row r="700" spans="1:3" ht="15.5">
      <c r="A700" s="29">
        <v>43528</v>
      </c>
      <c r="B700" s="28">
        <v>2.2517</v>
      </c>
      <c r="C700" s="28">
        <v>3952725850</v>
      </c>
    </row>
    <row r="701" spans="1:3" ht="15.5">
      <c r="A701" s="29">
        <v>43525</v>
      </c>
      <c r="B701" s="28">
        <v>2.2612999999999999</v>
      </c>
      <c r="C701" s="28">
        <v>3969545960</v>
      </c>
    </row>
    <row r="702" spans="1:3" ht="15.5">
      <c r="A702" s="29">
        <v>43524</v>
      </c>
      <c r="B702" s="28">
        <v>2.2326000000000001</v>
      </c>
      <c r="C702" s="28">
        <v>3919085630</v>
      </c>
    </row>
    <row r="703" spans="1:3" ht="15.5">
      <c r="A703" s="29">
        <v>43523</v>
      </c>
      <c r="B703" s="28">
        <v>2.2517</v>
      </c>
      <c r="C703" s="28">
        <v>3952725850</v>
      </c>
    </row>
    <row r="704" spans="1:3" ht="15.5">
      <c r="A704" s="29">
        <v>43522</v>
      </c>
      <c r="B704" s="28">
        <v>2.2709000000000001</v>
      </c>
      <c r="C704" s="28">
        <v>3986366070</v>
      </c>
    </row>
    <row r="705" spans="1:3" ht="15.5">
      <c r="A705" s="29">
        <v>43521</v>
      </c>
      <c r="B705" s="28">
        <v>2.2517</v>
      </c>
      <c r="C705" s="28">
        <v>3952725850</v>
      </c>
    </row>
    <row r="706" spans="1:3" ht="15.5">
      <c r="A706" s="29">
        <v>43518</v>
      </c>
      <c r="B706" s="28">
        <v>2.2517</v>
      </c>
      <c r="C706" s="28">
        <v>3952725850</v>
      </c>
    </row>
    <row r="707" spans="1:3" ht="15.5">
      <c r="A707" s="29">
        <v>43517</v>
      </c>
      <c r="B707" s="28">
        <v>2.2229999999999999</v>
      </c>
      <c r="C707" s="28">
        <v>3902265520</v>
      </c>
    </row>
    <row r="708" spans="1:3" ht="15.5">
      <c r="A708" s="29">
        <v>43516</v>
      </c>
      <c r="B708" s="28">
        <v>2.2038000000000002</v>
      </c>
      <c r="C708" s="28">
        <v>3868625300</v>
      </c>
    </row>
    <row r="709" spans="1:3" ht="15.5">
      <c r="A709" s="29">
        <v>43515</v>
      </c>
      <c r="B709" s="28">
        <v>2.1751</v>
      </c>
      <c r="C709" s="28">
        <v>3818164970</v>
      </c>
    </row>
    <row r="710" spans="1:3" ht="15.5">
      <c r="A710" s="29">
        <v>43514</v>
      </c>
      <c r="B710" s="28">
        <v>2.1558999999999999</v>
      </c>
      <c r="C710" s="28">
        <v>3784524750</v>
      </c>
    </row>
    <row r="711" spans="1:3" ht="15.5">
      <c r="A711" s="29">
        <v>43511</v>
      </c>
      <c r="B711" s="28">
        <v>2.1463000000000001</v>
      </c>
      <c r="C711" s="28">
        <v>3767704640</v>
      </c>
    </row>
    <row r="712" spans="1:3" ht="15.5">
      <c r="A712" s="29">
        <v>43510</v>
      </c>
      <c r="B712" s="28">
        <v>2.1463000000000001</v>
      </c>
      <c r="C712" s="28">
        <v>3767704640</v>
      </c>
    </row>
    <row r="713" spans="1:3" ht="15.5">
      <c r="A713" s="29">
        <v>43509</v>
      </c>
      <c r="B713" s="28">
        <v>2.1463000000000001</v>
      </c>
      <c r="C713" s="28">
        <v>3767704640</v>
      </c>
    </row>
    <row r="714" spans="1:3" ht="15.5">
      <c r="A714" s="29">
        <v>43508</v>
      </c>
      <c r="B714" s="28">
        <v>2.1943000000000001</v>
      </c>
      <c r="C714" s="28">
        <v>3851805190</v>
      </c>
    </row>
    <row r="715" spans="1:3" ht="15.5">
      <c r="A715" s="29">
        <v>43507</v>
      </c>
      <c r="B715" s="28">
        <v>2.2517</v>
      </c>
      <c r="C715" s="28">
        <v>3952725850</v>
      </c>
    </row>
    <row r="716" spans="1:3" ht="15.5">
      <c r="A716" s="29">
        <v>43502</v>
      </c>
      <c r="B716" s="28">
        <v>2.4051</v>
      </c>
      <c r="C716" s="28">
        <v>4221847610</v>
      </c>
    </row>
    <row r="717" spans="1:3" ht="15.5">
      <c r="A717" s="29">
        <v>43501</v>
      </c>
      <c r="B717" s="28">
        <v>2.4051</v>
      </c>
      <c r="C717" s="28">
        <v>4221847610</v>
      </c>
    </row>
    <row r="718" spans="1:3" ht="15.5">
      <c r="A718" s="29">
        <v>43500</v>
      </c>
      <c r="B718" s="28">
        <v>2.4051</v>
      </c>
      <c r="C718" s="28">
        <v>4221847610</v>
      </c>
    </row>
    <row r="719" spans="1:3" ht="15.5">
      <c r="A719" s="29">
        <v>43497</v>
      </c>
      <c r="B719" s="28">
        <v>2.3475999999999999</v>
      </c>
      <c r="C719" s="28">
        <v>4120926950</v>
      </c>
    </row>
    <row r="720" spans="1:3" ht="15.5">
      <c r="A720" s="29">
        <v>43496</v>
      </c>
      <c r="B720" s="28">
        <v>2.3092000000000001</v>
      </c>
      <c r="C720" s="28">
        <v>4053646510</v>
      </c>
    </row>
    <row r="721" spans="1:3" ht="15.5">
      <c r="A721" s="29">
        <v>43495</v>
      </c>
      <c r="B721" s="28">
        <v>2.3571</v>
      </c>
      <c r="C721" s="28">
        <v>4137747060</v>
      </c>
    </row>
    <row r="722" spans="1:3" ht="15.5">
      <c r="A722" s="29">
        <v>43494</v>
      </c>
      <c r="B722" s="28">
        <v>2.3475999999999999</v>
      </c>
      <c r="C722" s="28">
        <v>4120926950</v>
      </c>
    </row>
    <row r="723" spans="1:3" ht="15.5">
      <c r="A723" s="29">
        <v>43490</v>
      </c>
      <c r="B723" s="28">
        <v>2.3283999999999998</v>
      </c>
      <c r="C723" s="28">
        <v>4087286730</v>
      </c>
    </row>
    <row r="724" spans="1:3" ht="15.5">
      <c r="A724" s="29">
        <v>43489</v>
      </c>
      <c r="B724" s="28">
        <v>2.2709000000000001</v>
      </c>
      <c r="C724" s="28">
        <v>3986366070</v>
      </c>
    </row>
    <row r="725" spans="1:3" ht="15.5">
      <c r="A725" s="29">
        <v>43488</v>
      </c>
      <c r="B725" s="28">
        <v>2.2805</v>
      </c>
      <c r="C725" s="28">
        <v>4003186180</v>
      </c>
    </row>
    <row r="726" spans="1:3" ht="15.5">
      <c r="A726" s="29">
        <v>43487</v>
      </c>
      <c r="B726" s="28">
        <v>2.2709000000000001</v>
      </c>
      <c r="C726" s="28">
        <v>3986366070</v>
      </c>
    </row>
    <row r="727" spans="1:3" ht="15.5">
      <c r="A727" s="29">
        <v>43486</v>
      </c>
      <c r="B727" s="28">
        <v>2.2517</v>
      </c>
      <c r="C727" s="28">
        <v>3952725850</v>
      </c>
    </row>
    <row r="728" spans="1:3" ht="15.5">
      <c r="A728" s="29">
        <v>43483</v>
      </c>
      <c r="B728" s="28">
        <v>2.2612999999999999</v>
      </c>
      <c r="C728" s="28">
        <v>3969545960</v>
      </c>
    </row>
    <row r="729" spans="1:3" ht="15.5">
      <c r="A729" s="29">
        <v>43482</v>
      </c>
      <c r="B729" s="28">
        <v>2.2612999999999999</v>
      </c>
      <c r="C729" s="28">
        <v>3969545960</v>
      </c>
    </row>
    <row r="730" spans="1:3" ht="15.5">
      <c r="A730" s="29">
        <v>43481</v>
      </c>
      <c r="B730" s="28">
        <v>2.2612999999999999</v>
      </c>
      <c r="C730" s="28">
        <v>3969545960</v>
      </c>
    </row>
    <row r="731" spans="1:3" ht="15.5">
      <c r="A731" s="29">
        <v>43480</v>
      </c>
      <c r="B731" s="28">
        <v>2.2229999999999999</v>
      </c>
      <c r="C731" s="28">
        <v>3902265520</v>
      </c>
    </row>
    <row r="732" spans="1:3" ht="15.5">
      <c r="A732" s="29">
        <v>43479</v>
      </c>
      <c r="B732" s="28">
        <v>2.2422</v>
      </c>
      <c r="C732" s="28">
        <v>3935905740</v>
      </c>
    </row>
    <row r="733" spans="1:3" ht="15.5">
      <c r="A733" s="29">
        <v>43476</v>
      </c>
      <c r="B733" s="28">
        <v>2.2517</v>
      </c>
      <c r="C733" s="28">
        <v>3952725850</v>
      </c>
    </row>
    <row r="734" spans="1:3" ht="15.5">
      <c r="A734" s="29">
        <v>43475</v>
      </c>
      <c r="B734" s="28">
        <v>2.2709000000000001</v>
      </c>
      <c r="C734" s="28">
        <v>3986366070</v>
      </c>
    </row>
    <row r="735" spans="1:3" ht="15.5">
      <c r="A735" s="29">
        <v>43474</v>
      </c>
      <c r="B735" s="28">
        <v>2.2517</v>
      </c>
      <c r="C735" s="28">
        <v>3952725850</v>
      </c>
    </row>
    <row r="736" spans="1:3" ht="15.5">
      <c r="A736" s="29">
        <v>43473</v>
      </c>
      <c r="B736" s="28">
        <v>2.2134</v>
      </c>
      <c r="C736" s="28">
        <v>3885445410</v>
      </c>
    </row>
    <row r="737" spans="1:3" ht="15.5">
      <c r="A737" s="29">
        <v>43472</v>
      </c>
      <c r="B737" s="28">
        <v>2.2134</v>
      </c>
      <c r="C737" s="28">
        <v>3885445410</v>
      </c>
    </row>
    <row r="738" spans="1:3" ht="15.5">
      <c r="A738" s="29">
        <v>43469</v>
      </c>
      <c r="B738" s="28">
        <v>2.1558999999999999</v>
      </c>
      <c r="C738" s="28">
        <v>3784524750</v>
      </c>
    </row>
    <row r="739" spans="1:3" ht="15.5">
      <c r="A739" s="29">
        <v>43468</v>
      </c>
      <c r="B739" s="28">
        <v>2.0983999999999998</v>
      </c>
      <c r="C739" s="28">
        <v>3683604090</v>
      </c>
    </row>
    <row r="740" spans="1:3" ht="15.5">
      <c r="A740" s="29">
        <v>43467</v>
      </c>
      <c r="B740" s="28">
        <v>2.0792999999999999</v>
      </c>
      <c r="C740" s="28">
        <v>3649963870</v>
      </c>
    </row>
    <row r="741" spans="1:3" ht="15.5">
      <c r="A741" s="29">
        <v>43465</v>
      </c>
      <c r="B741" s="28">
        <v>2.1175999999999999</v>
      </c>
      <c r="C741" s="28">
        <v>3717244310</v>
      </c>
    </row>
    <row r="742" spans="1:3" ht="15.5">
      <c r="A742" s="29">
        <v>43462</v>
      </c>
      <c r="B742" s="28">
        <v>2.1368</v>
      </c>
      <c r="C742" s="28">
        <v>3750884530</v>
      </c>
    </row>
    <row r="743" spans="1:3" ht="15.5">
      <c r="A743" s="29">
        <v>43461</v>
      </c>
      <c r="B743" s="28">
        <v>2.1368</v>
      </c>
      <c r="C743" s="28">
        <v>3750884530</v>
      </c>
    </row>
    <row r="744" spans="1:3" ht="15.5">
      <c r="A744" s="29">
        <v>43458</v>
      </c>
      <c r="B744" s="28">
        <v>2.0697000000000001</v>
      </c>
      <c r="C744" s="28">
        <v>3633143760</v>
      </c>
    </row>
    <row r="745" spans="1:3" ht="15.5">
      <c r="A745" s="29">
        <v>43455</v>
      </c>
      <c r="B745" s="28">
        <v>2.0983999999999998</v>
      </c>
      <c r="C745" s="28">
        <v>3683604090</v>
      </c>
    </row>
    <row r="746" spans="1:3" ht="15.5">
      <c r="A746" s="29">
        <v>43454</v>
      </c>
      <c r="B746" s="28">
        <v>2.1368</v>
      </c>
      <c r="C746" s="28">
        <v>3750884530</v>
      </c>
    </row>
    <row r="747" spans="1:3" ht="15.5">
      <c r="A747" s="29">
        <v>43453</v>
      </c>
      <c r="B747" s="28">
        <v>2.1558999999999999</v>
      </c>
      <c r="C747" s="28">
        <v>3784524750</v>
      </c>
    </row>
    <row r="748" spans="1:3" ht="15.5">
      <c r="A748" s="29">
        <v>43452</v>
      </c>
      <c r="B748" s="28">
        <v>2.1846999999999999</v>
      </c>
      <c r="C748" s="28">
        <v>3834985080</v>
      </c>
    </row>
    <row r="749" spans="1:3" ht="15.5">
      <c r="A749" s="29">
        <v>43451</v>
      </c>
      <c r="B749" s="28">
        <v>2.2038000000000002</v>
      </c>
      <c r="C749" s="28">
        <v>3868625300</v>
      </c>
    </row>
    <row r="750" spans="1:3" ht="15.5">
      <c r="A750" s="29">
        <v>43448</v>
      </c>
      <c r="B750" s="28">
        <v>2.1751</v>
      </c>
      <c r="C750" s="28">
        <v>3818164970</v>
      </c>
    </row>
    <row r="751" spans="1:3" ht="15.5">
      <c r="A751" s="29">
        <v>43447</v>
      </c>
      <c r="B751" s="28">
        <v>2.1846999999999999</v>
      </c>
      <c r="C751" s="28">
        <v>3834985080</v>
      </c>
    </row>
    <row r="752" spans="1:3" ht="15.5">
      <c r="A752" s="29">
        <v>43446</v>
      </c>
      <c r="B752" s="28">
        <v>2.2422</v>
      </c>
      <c r="C752" s="28">
        <v>3935905740</v>
      </c>
    </row>
    <row r="753" spans="1:3" ht="15.5">
      <c r="A753" s="29">
        <v>43445</v>
      </c>
      <c r="B753" s="28">
        <v>2.1943000000000001</v>
      </c>
      <c r="C753" s="28">
        <v>3851805190</v>
      </c>
    </row>
    <row r="754" spans="1:3" ht="15.5">
      <c r="A754" s="29">
        <v>43444</v>
      </c>
      <c r="B754" s="28">
        <v>2.2038000000000002</v>
      </c>
      <c r="C754" s="28">
        <v>3868625300</v>
      </c>
    </row>
    <row r="755" spans="1:3" ht="15.5">
      <c r="A755" s="29">
        <v>43441</v>
      </c>
      <c r="B755" s="28">
        <v>2.2422</v>
      </c>
      <c r="C755" s="28">
        <v>3935905740</v>
      </c>
    </row>
    <row r="756" spans="1:3" ht="15.5">
      <c r="A756" s="29">
        <v>43440</v>
      </c>
      <c r="B756" s="28">
        <v>2.2517</v>
      </c>
      <c r="C756" s="28">
        <v>3952725850</v>
      </c>
    </row>
    <row r="757" spans="1:3" ht="15.5">
      <c r="A757" s="29">
        <v>43439</v>
      </c>
      <c r="B757" s="28">
        <v>2.2134</v>
      </c>
      <c r="C757" s="28">
        <v>3885445410</v>
      </c>
    </row>
    <row r="758" spans="1:3" ht="15.5">
      <c r="A758" s="29">
        <v>43438</v>
      </c>
      <c r="B758" s="28">
        <v>2.2038000000000002</v>
      </c>
      <c r="C758" s="28">
        <v>3868625300</v>
      </c>
    </row>
    <row r="759" spans="1:3" ht="15.5">
      <c r="A759" s="29">
        <v>43437</v>
      </c>
      <c r="B759" s="28">
        <v>2.2422</v>
      </c>
      <c r="C759" s="28">
        <v>3935905740</v>
      </c>
    </row>
    <row r="760" spans="1:3" ht="15.5">
      <c r="A760" s="29">
        <v>43434</v>
      </c>
      <c r="B760" s="28">
        <v>2.2517</v>
      </c>
      <c r="C760" s="28">
        <v>3952725850</v>
      </c>
    </row>
    <row r="761" spans="1:3" ht="15.5">
      <c r="A761" s="29">
        <v>43433</v>
      </c>
      <c r="B761" s="28">
        <v>2.2612999999999999</v>
      </c>
      <c r="C761" s="28">
        <v>3969545960</v>
      </c>
    </row>
    <row r="762" spans="1:3" ht="15.5">
      <c r="A762" s="29">
        <v>43432</v>
      </c>
      <c r="B762" s="28">
        <v>2.2709000000000001</v>
      </c>
      <c r="C762" s="28">
        <v>3986366070</v>
      </c>
    </row>
    <row r="763" spans="1:3" ht="15.5">
      <c r="A763" s="29">
        <v>43431</v>
      </c>
      <c r="B763" s="28">
        <v>2.2709000000000001</v>
      </c>
      <c r="C763" s="28">
        <v>3986366070</v>
      </c>
    </row>
    <row r="764" spans="1:3" ht="15.5">
      <c r="A764" s="29">
        <v>43430</v>
      </c>
      <c r="B764" s="28">
        <v>2.2612999999999999</v>
      </c>
      <c r="C764" s="28">
        <v>3969545960</v>
      </c>
    </row>
    <row r="765" spans="1:3" ht="15.5">
      <c r="A765" s="29">
        <v>43427</v>
      </c>
      <c r="B765" s="28">
        <v>2.2612999999999999</v>
      </c>
      <c r="C765" s="28">
        <v>3969545960</v>
      </c>
    </row>
    <row r="766" spans="1:3" ht="15.5">
      <c r="A766" s="29">
        <v>43426</v>
      </c>
      <c r="B766" s="28">
        <v>2.2805</v>
      </c>
      <c r="C766" s="28">
        <v>4003186180</v>
      </c>
    </row>
    <row r="767" spans="1:3" ht="15.5">
      <c r="A767" s="29">
        <v>43425</v>
      </c>
      <c r="B767" s="28">
        <v>2.2709000000000001</v>
      </c>
      <c r="C767" s="28">
        <v>3986366070</v>
      </c>
    </row>
    <row r="768" spans="1:3" ht="15.5">
      <c r="A768" s="29">
        <v>43424</v>
      </c>
      <c r="B768" s="28">
        <v>2.2229999999999999</v>
      </c>
      <c r="C768" s="28">
        <v>3902265520</v>
      </c>
    </row>
    <row r="769" spans="1:3" ht="15.5">
      <c r="A769" s="29">
        <v>43423</v>
      </c>
      <c r="B769" s="28">
        <v>2.2134</v>
      </c>
      <c r="C769" s="28">
        <v>3885445410</v>
      </c>
    </row>
    <row r="770" spans="1:3" ht="15.5">
      <c r="A770" s="29">
        <v>43420</v>
      </c>
      <c r="B770" s="28">
        <v>2.2038000000000002</v>
      </c>
      <c r="C770" s="28">
        <v>3868625300</v>
      </c>
    </row>
    <row r="771" spans="1:3" ht="15.5">
      <c r="A771" s="29">
        <v>43419</v>
      </c>
      <c r="B771" s="28">
        <v>2.2229999999999999</v>
      </c>
      <c r="C771" s="28">
        <v>3902265520</v>
      </c>
    </row>
    <row r="772" spans="1:3" ht="15.5">
      <c r="A772" s="29">
        <v>43418</v>
      </c>
      <c r="B772" s="28">
        <v>2.2134</v>
      </c>
      <c r="C772" s="28">
        <v>3885445410</v>
      </c>
    </row>
    <row r="773" spans="1:3" ht="15.5">
      <c r="A773" s="29">
        <v>43417</v>
      </c>
      <c r="B773" s="28">
        <v>2.2326000000000001</v>
      </c>
      <c r="C773" s="28">
        <v>3919085630</v>
      </c>
    </row>
    <row r="774" spans="1:3" ht="15.5">
      <c r="A774" s="29">
        <v>43416</v>
      </c>
      <c r="B774" s="28">
        <v>2.2422</v>
      </c>
      <c r="C774" s="28">
        <v>3935905740</v>
      </c>
    </row>
    <row r="775" spans="1:3" ht="15.5">
      <c r="A775" s="29">
        <v>43413</v>
      </c>
      <c r="B775" s="28">
        <v>2.1846999999999999</v>
      </c>
      <c r="C775" s="28">
        <v>3834985080</v>
      </c>
    </row>
    <row r="776" spans="1:3" ht="15.5">
      <c r="A776" s="29">
        <v>43412</v>
      </c>
      <c r="B776" s="28">
        <v>2.1943000000000001</v>
      </c>
      <c r="C776" s="28">
        <v>3851805190</v>
      </c>
    </row>
    <row r="777" spans="1:3" ht="15.5">
      <c r="A777" s="29">
        <v>43411</v>
      </c>
      <c r="B777" s="28">
        <v>2.1846999999999999</v>
      </c>
      <c r="C777" s="28">
        <v>3834985080</v>
      </c>
    </row>
    <row r="778" spans="1:3" ht="15.5">
      <c r="A778" s="29">
        <v>43410</v>
      </c>
      <c r="B778" s="28">
        <v>2.1846999999999999</v>
      </c>
      <c r="C778" s="28">
        <v>3834985080</v>
      </c>
    </row>
    <row r="779" spans="1:3" ht="15.5">
      <c r="A779" s="29">
        <v>43409</v>
      </c>
      <c r="B779" s="28">
        <v>2.1368</v>
      </c>
      <c r="C779" s="28">
        <v>3750884530</v>
      </c>
    </row>
    <row r="780" spans="1:3" ht="15.5">
      <c r="A780" s="29">
        <v>43406</v>
      </c>
      <c r="B780" s="28">
        <v>2.1655000000000002</v>
      </c>
      <c r="C780" s="28">
        <v>3801344860</v>
      </c>
    </row>
    <row r="781" spans="1:3" ht="15.5">
      <c r="A781" s="29">
        <v>43405</v>
      </c>
      <c r="B781" s="28">
        <v>2.1943000000000001</v>
      </c>
      <c r="C781" s="28">
        <v>3851805190</v>
      </c>
    </row>
    <row r="782" spans="1:3" ht="15.5">
      <c r="A782" s="29">
        <v>43404</v>
      </c>
      <c r="B782" s="28">
        <v>2.2038000000000002</v>
      </c>
      <c r="C782" s="28">
        <v>3868625300</v>
      </c>
    </row>
    <row r="783" spans="1:3" ht="15.5">
      <c r="A783" s="29">
        <v>43403</v>
      </c>
      <c r="B783" s="28">
        <v>2.2134</v>
      </c>
      <c r="C783" s="28">
        <v>3885445410</v>
      </c>
    </row>
    <row r="784" spans="1:3" ht="15.5">
      <c r="A784" s="29">
        <v>43402</v>
      </c>
      <c r="B784" s="28">
        <v>2.1846999999999999</v>
      </c>
      <c r="C784" s="28">
        <v>3834985080</v>
      </c>
    </row>
    <row r="785" spans="1:3" ht="15.5">
      <c r="A785" s="29">
        <v>43399</v>
      </c>
      <c r="B785" s="28">
        <v>2.1175999999999999</v>
      </c>
      <c r="C785" s="28">
        <v>3717244310</v>
      </c>
    </row>
    <row r="786" spans="1:3" ht="15.5">
      <c r="A786" s="29">
        <v>43398</v>
      </c>
      <c r="B786" s="28">
        <v>2.1080000000000001</v>
      </c>
      <c r="C786" s="28">
        <v>3700424200</v>
      </c>
    </row>
    <row r="787" spans="1:3" ht="15.5">
      <c r="A787" s="29">
        <v>43397</v>
      </c>
      <c r="B787" s="28">
        <v>2.0888</v>
      </c>
      <c r="C787" s="28">
        <v>3666783980</v>
      </c>
    </row>
    <row r="788" spans="1:3" ht="15.5">
      <c r="A788" s="29">
        <v>43396</v>
      </c>
      <c r="B788" s="28">
        <v>2.0983999999999998</v>
      </c>
      <c r="C788" s="28">
        <v>3683604090</v>
      </c>
    </row>
    <row r="789" spans="1:3" ht="15.5">
      <c r="A789" s="29">
        <v>43395</v>
      </c>
      <c r="B789" s="28">
        <v>2.1272000000000002</v>
      </c>
      <c r="C789" s="28">
        <v>3734064420</v>
      </c>
    </row>
    <row r="790" spans="1:3" ht="15.5">
      <c r="A790" s="29">
        <v>43392</v>
      </c>
      <c r="B790" s="28">
        <v>2.1272000000000002</v>
      </c>
      <c r="C790" s="28">
        <v>3734064420</v>
      </c>
    </row>
    <row r="791" spans="1:3" ht="15.5">
      <c r="A791" s="29">
        <v>43391</v>
      </c>
      <c r="B791" s="28">
        <v>2.1175999999999999</v>
      </c>
      <c r="C791" s="28">
        <v>3717244310</v>
      </c>
    </row>
    <row r="792" spans="1:3" ht="15.5">
      <c r="A792" s="29">
        <v>43390</v>
      </c>
      <c r="B792" s="28">
        <v>2.0983999999999998</v>
      </c>
      <c r="C792" s="28">
        <v>3683604090</v>
      </c>
    </row>
    <row r="793" spans="1:3" ht="15.5">
      <c r="A793" s="29">
        <v>43389</v>
      </c>
      <c r="B793" s="28">
        <v>2.0888</v>
      </c>
      <c r="C793" s="28">
        <v>3666783980</v>
      </c>
    </row>
    <row r="794" spans="1:3" ht="15.5">
      <c r="A794" s="29">
        <v>43388</v>
      </c>
      <c r="B794" s="28">
        <v>2.0600999999999998</v>
      </c>
      <c r="C794" s="28">
        <v>3616323650</v>
      </c>
    </row>
    <row r="795" spans="1:3" ht="15.5">
      <c r="A795" s="29">
        <v>43385</v>
      </c>
      <c r="B795" s="28">
        <v>2.0983999999999998</v>
      </c>
      <c r="C795" s="28">
        <v>3683604090</v>
      </c>
    </row>
    <row r="796" spans="1:3" ht="15.5">
      <c r="A796" s="29">
        <v>43384</v>
      </c>
      <c r="B796" s="28">
        <v>2.1368</v>
      </c>
      <c r="C796" s="28">
        <v>3750884530</v>
      </c>
    </row>
    <row r="797" spans="1:3" ht="15.5">
      <c r="A797" s="29">
        <v>43383</v>
      </c>
      <c r="B797" s="28">
        <v>2.1463000000000001</v>
      </c>
      <c r="C797" s="28">
        <v>3767704640</v>
      </c>
    </row>
    <row r="798" spans="1:3" ht="15.5">
      <c r="A798" s="29">
        <v>43382</v>
      </c>
      <c r="B798" s="28">
        <v>2.1751</v>
      </c>
      <c r="C798" s="28">
        <v>3818164970</v>
      </c>
    </row>
    <row r="799" spans="1:3" ht="15.5">
      <c r="A799" s="29">
        <v>43381</v>
      </c>
      <c r="B799" s="28">
        <v>2.1846999999999999</v>
      </c>
      <c r="C799" s="28">
        <v>3834985080</v>
      </c>
    </row>
    <row r="800" spans="1:3" ht="15.5">
      <c r="A800" s="29">
        <v>43378</v>
      </c>
      <c r="B800" s="28">
        <v>2.1846999999999999</v>
      </c>
      <c r="C800" s="28">
        <v>3834985080</v>
      </c>
    </row>
    <row r="801" spans="1:3" ht="15.5">
      <c r="A801" s="29">
        <v>43377</v>
      </c>
      <c r="B801" s="28">
        <v>2.1655000000000002</v>
      </c>
      <c r="C801" s="28">
        <v>3801344860</v>
      </c>
    </row>
    <row r="802" spans="1:3" ht="15.5">
      <c r="A802" s="29">
        <v>43376</v>
      </c>
      <c r="B802" s="28">
        <v>2.1655000000000002</v>
      </c>
      <c r="C802" s="28">
        <v>3801344860</v>
      </c>
    </row>
    <row r="803" spans="1:3" ht="15.5">
      <c r="A803" s="29">
        <v>43375</v>
      </c>
      <c r="B803" s="28">
        <v>2.1463000000000001</v>
      </c>
      <c r="C803" s="28">
        <v>3767704640</v>
      </c>
    </row>
    <row r="804" spans="1:3" ht="15.5">
      <c r="A804" s="29">
        <v>43374</v>
      </c>
      <c r="B804" s="28">
        <v>2.1368</v>
      </c>
      <c r="C804" s="28">
        <v>3750884530</v>
      </c>
    </row>
    <row r="805" spans="1:3" ht="15.5">
      <c r="A805" s="29">
        <v>43371</v>
      </c>
      <c r="B805" s="28">
        <v>2.1463000000000001</v>
      </c>
      <c r="C805" s="28">
        <v>3767704640</v>
      </c>
    </row>
    <row r="806" spans="1:3" ht="15.5">
      <c r="A806" s="29">
        <v>43370</v>
      </c>
      <c r="B806" s="28">
        <v>2.0888</v>
      </c>
      <c r="C806" s="28">
        <v>3666783980</v>
      </c>
    </row>
    <row r="807" spans="1:3" ht="15.5">
      <c r="A807" s="29">
        <v>43369</v>
      </c>
      <c r="B807" s="28">
        <v>2.1175999999999999</v>
      </c>
      <c r="C807" s="28">
        <v>3717244310</v>
      </c>
    </row>
    <row r="808" spans="1:3" ht="15.5">
      <c r="A808" s="29">
        <v>43368</v>
      </c>
      <c r="B808" s="28">
        <v>2.1175999999999999</v>
      </c>
      <c r="C808" s="28">
        <v>3717244310</v>
      </c>
    </row>
    <row r="809" spans="1:3" ht="15.5">
      <c r="A809" s="29">
        <v>43367</v>
      </c>
      <c r="B809" s="28">
        <v>2.1463000000000001</v>
      </c>
      <c r="C809" s="28">
        <v>3767704640</v>
      </c>
    </row>
    <row r="810" spans="1:3" ht="15.5">
      <c r="A810" s="29">
        <v>43364</v>
      </c>
      <c r="B810" s="28">
        <v>2.1175999999999999</v>
      </c>
      <c r="C810" s="28">
        <v>3717244310</v>
      </c>
    </row>
    <row r="811" spans="1:3" ht="15.5">
      <c r="A811" s="29">
        <v>43363</v>
      </c>
      <c r="B811" s="28">
        <v>2.1846999999999999</v>
      </c>
      <c r="C811" s="28">
        <v>3834985080</v>
      </c>
    </row>
    <row r="812" spans="1:3" ht="15.5">
      <c r="A812" s="29">
        <v>43362</v>
      </c>
      <c r="B812" s="28">
        <v>2.1751</v>
      </c>
      <c r="C812" s="28">
        <v>3818164970</v>
      </c>
    </row>
    <row r="813" spans="1:3" ht="15.5">
      <c r="A813" s="29">
        <v>43361</v>
      </c>
      <c r="B813" s="28">
        <v>2.1846999999999999</v>
      </c>
      <c r="C813" s="28">
        <v>3834985080</v>
      </c>
    </row>
    <row r="814" spans="1:3" ht="15.5">
      <c r="A814" s="29">
        <v>43360</v>
      </c>
      <c r="B814" s="28">
        <v>2.1751</v>
      </c>
      <c r="C814" s="28">
        <v>3818164970</v>
      </c>
    </row>
    <row r="815" spans="1:3" ht="15.5">
      <c r="A815" s="29">
        <v>43357</v>
      </c>
      <c r="B815" s="28">
        <v>2.1751</v>
      </c>
      <c r="C815" s="28">
        <v>3818164970</v>
      </c>
    </row>
    <row r="816" spans="1:3" ht="15.5">
      <c r="A816" s="29">
        <v>43356</v>
      </c>
      <c r="B816" s="28">
        <v>2.1751</v>
      </c>
      <c r="C816" s="28">
        <v>3818164970</v>
      </c>
    </row>
    <row r="817" spans="1:3" ht="15.5">
      <c r="A817" s="29">
        <v>43355</v>
      </c>
      <c r="B817" s="28">
        <v>2.2038000000000002</v>
      </c>
      <c r="C817" s="28">
        <v>3868625300</v>
      </c>
    </row>
    <row r="818" spans="1:3" ht="15.5">
      <c r="A818" s="29">
        <v>43354</v>
      </c>
      <c r="B818" s="28">
        <v>2.2134</v>
      </c>
      <c r="C818" s="28">
        <v>3885445410</v>
      </c>
    </row>
    <row r="819" spans="1:3" ht="15.5">
      <c r="A819" s="29">
        <v>43353</v>
      </c>
      <c r="B819" s="28">
        <v>2.2038000000000002</v>
      </c>
      <c r="C819" s="28">
        <v>3868625300</v>
      </c>
    </row>
    <row r="820" spans="1:3" ht="15.5">
      <c r="A820" s="29">
        <v>43350</v>
      </c>
      <c r="B820" s="28">
        <v>2.1943000000000001</v>
      </c>
      <c r="C820" s="28">
        <v>3851805190</v>
      </c>
    </row>
    <row r="821" spans="1:3" ht="15.5">
      <c r="A821" s="29">
        <v>43349</v>
      </c>
      <c r="B821" s="28">
        <v>2.1751</v>
      </c>
      <c r="C821" s="28">
        <v>3818164970</v>
      </c>
    </row>
    <row r="822" spans="1:3" ht="15.5">
      <c r="A822" s="29">
        <v>43348</v>
      </c>
      <c r="B822" s="28">
        <v>2.1943000000000001</v>
      </c>
      <c r="C822" s="28">
        <v>3851805190</v>
      </c>
    </row>
    <row r="823" spans="1:3" ht="15.5">
      <c r="A823" s="29">
        <v>43347</v>
      </c>
      <c r="B823" s="28">
        <v>2.2134</v>
      </c>
      <c r="C823" s="28">
        <v>3885445410</v>
      </c>
    </row>
    <row r="824" spans="1:3" ht="15.5">
      <c r="A824" s="29">
        <v>43346</v>
      </c>
      <c r="B824" s="28">
        <v>2.2997000000000001</v>
      </c>
      <c r="C824" s="28">
        <v>4036826400</v>
      </c>
    </row>
    <row r="825" spans="1:3" ht="15.5">
      <c r="A825" s="29">
        <v>43343</v>
      </c>
      <c r="B825" s="28">
        <v>2.2997000000000001</v>
      </c>
      <c r="C825" s="28">
        <v>4036826400</v>
      </c>
    </row>
    <row r="826" spans="1:3" ht="15.5">
      <c r="A826" s="29">
        <v>43342</v>
      </c>
      <c r="B826" s="28">
        <v>2.3092000000000001</v>
      </c>
      <c r="C826" s="28">
        <v>4053646510</v>
      </c>
    </row>
    <row r="827" spans="1:3" ht="15.5">
      <c r="A827" s="29">
        <v>43341</v>
      </c>
      <c r="B827" s="28">
        <v>2.3283999999999998</v>
      </c>
      <c r="C827" s="28">
        <v>4087286730</v>
      </c>
    </row>
    <row r="828" spans="1:3" ht="15.5">
      <c r="A828" s="29">
        <v>43340</v>
      </c>
      <c r="B828" s="28">
        <v>2.3283999999999998</v>
      </c>
      <c r="C828" s="28">
        <v>4087286730</v>
      </c>
    </row>
    <row r="829" spans="1:3" ht="15.5">
      <c r="A829" s="29">
        <v>43339</v>
      </c>
      <c r="B829" s="28">
        <v>2.2997000000000001</v>
      </c>
      <c r="C829" s="28">
        <v>4036826400</v>
      </c>
    </row>
    <row r="830" spans="1:3" ht="15.5">
      <c r="A830" s="29">
        <v>43336</v>
      </c>
      <c r="B830" s="28">
        <v>2.3092000000000001</v>
      </c>
      <c r="C830" s="28">
        <v>4053646510</v>
      </c>
    </row>
    <row r="831" spans="1:3" ht="15.5">
      <c r="A831" s="29">
        <v>43335</v>
      </c>
      <c r="B831" s="28">
        <v>2.2805</v>
      </c>
      <c r="C831" s="28">
        <v>4003186180</v>
      </c>
    </row>
    <row r="832" spans="1:3" ht="15.5">
      <c r="A832" s="29">
        <v>43334</v>
      </c>
      <c r="B832" s="28">
        <v>2.2997000000000001</v>
      </c>
      <c r="C832" s="28">
        <v>4036826400</v>
      </c>
    </row>
    <row r="833" spans="1:3" ht="15.5">
      <c r="A833" s="29">
        <v>43333</v>
      </c>
      <c r="B833" s="28">
        <v>2.2997000000000001</v>
      </c>
      <c r="C833" s="28">
        <v>4036826400</v>
      </c>
    </row>
    <row r="834" spans="1:3" ht="15.5">
      <c r="A834" s="29">
        <v>43332</v>
      </c>
      <c r="B834" s="28">
        <v>2.3092000000000001</v>
      </c>
      <c r="C834" s="28">
        <v>4053646510</v>
      </c>
    </row>
    <row r="835" spans="1:3" ht="15.5">
      <c r="A835" s="29">
        <v>43329</v>
      </c>
      <c r="B835" s="28">
        <v>2.2805</v>
      </c>
      <c r="C835" s="28">
        <v>4003186180</v>
      </c>
    </row>
    <row r="836" spans="1:3" ht="15.5">
      <c r="A836" s="29">
        <v>43328</v>
      </c>
      <c r="B836" s="28">
        <v>2.2709000000000001</v>
      </c>
      <c r="C836" s="28">
        <v>3986366070</v>
      </c>
    </row>
    <row r="837" spans="1:3" ht="15.5">
      <c r="A837" s="29">
        <v>43327</v>
      </c>
      <c r="B837" s="28">
        <v>2.2612999999999999</v>
      </c>
      <c r="C837" s="28">
        <v>3969545960</v>
      </c>
    </row>
    <row r="838" spans="1:3" ht="15.5">
      <c r="A838" s="29">
        <v>43326</v>
      </c>
      <c r="B838" s="28">
        <v>2.2229999999999999</v>
      </c>
      <c r="C838" s="28">
        <v>3902265520</v>
      </c>
    </row>
    <row r="839" spans="1:3" ht="15.5">
      <c r="A839" s="29">
        <v>43325</v>
      </c>
      <c r="B839" s="28">
        <v>2.2134</v>
      </c>
      <c r="C839" s="28">
        <v>3885445410</v>
      </c>
    </row>
    <row r="840" spans="1:3" ht="15.5">
      <c r="A840" s="29">
        <v>43322</v>
      </c>
      <c r="B840" s="28">
        <v>2.1943000000000001</v>
      </c>
      <c r="C840" s="28">
        <v>3851805190</v>
      </c>
    </row>
    <row r="841" spans="1:3" ht="15.5">
      <c r="A841" s="29">
        <v>43321</v>
      </c>
      <c r="B841" s="28">
        <v>2.2229999999999999</v>
      </c>
      <c r="C841" s="28">
        <v>3902265520</v>
      </c>
    </row>
    <row r="842" spans="1:3" ht="15.5">
      <c r="A842" s="29">
        <v>43320</v>
      </c>
      <c r="B842" s="28">
        <v>2.2134</v>
      </c>
      <c r="C842" s="28">
        <v>3885445410</v>
      </c>
    </row>
    <row r="843" spans="1:3" ht="15.5">
      <c r="A843" s="29">
        <v>43319</v>
      </c>
      <c r="B843" s="28">
        <v>2.2422</v>
      </c>
      <c r="C843" s="28">
        <v>3935905740</v>
      </c>
    </row>
    <row r="844" spans="1:3" ht="15.5">
      <c r="A844" s="29">
        <v>43318</v>
      </c>
      <c r="B844" s="28">
        <v>2.2134</v>
      </c>
      <c r="C844" s="28">
        <v>3885445410</v>
      </c>
    </row>
    <row r="845" spans="1:3" ht="15.5">
      <c r="A845" s="29">
        <v>43315</v>
      </c>
      <c r="B845" s="28">
        <v>2.1943000000000001</v>
      </c>
      <c r="C845" s="28">
        <v>3851805190</v>
      </c>
    </row>
    <row r="846" spans="1:3" ht="15.5">
      <c r="A846" s="29">
        <v>43314</v>
      </c>
      <c r="B846" s="28">
        <v>2.2134</v>
      </c>
      <c r="C846" s="28">
        <v>3885445410</v>
      </c>
    </row>
    <row r="847" spans="1:3" ht="15.5">
      <c r="A847" s="29">
        <v>43313</v>
      </c>
      <c r="B847" s="28">
        <v>2.2134</v>
      </c>
      <c r="C847" s="28">
        <v>3885445410</v>
      </c>
    </row>
    <row r="848" spans="1:3" ht="15.5">
      <c r="A848" s="29">
        <v>43312</v>
      </c>
      <c r="B848" s="28">
        <v>2.2038000000000002</v>
      </c>
      <c r="C848" s="28">
        <v>3868625300</v>
      </c>
    </row>
    <row r="849" spans="1:3" ht="15.5">
      <c r="A849" s="29">
        <v>43311</v>
      </c>
      <c r="B849" s="28">
        <v>2.2038000000000002</v>
      </c>
      <c r="C849" s="28">
        <v>3868625300</v>
      </c>
    </row>
    <row r="850" spans="1:3" ht="15.5">
      <c r="A850" s="29">
        <v>43308</v>
      </c>
      <c r="B850" s="28">
        <v>2.1943000000000001</v>
      </c>
      <c r="C850" s="28">
        <v>3851805190</v>
      </c>
    </row>
    <row r="851" spans="1:3" ht="15.5">
      <c r="A851" s="29">
        <v>43307</v>
      </c>
      <c r="B851" s="28">
        <v>2.1655000000000002</v>
      </c>
      <c r="C851" s="28">
        <v>3801344860</v>
      </c>
    </row>
    <row r="852" spans="1:3" ht="15.5">
      <c r="A852" s="29">
        <v>43306</v>
      </c>
      <c r="B852" s="28">
        <v>2.1558999999999999</v>
      </c>
      <c r="C852" s="28">
        <v>3784524750</v>
      </c>
    </row>
    <row r="853" spans="1:3" ht="15.5">
      <c r="A853" s="29">
        <v>43305</v>
      </c>
      <c r="B853" s="28">
        <v>2.1655000000000002</v>
      </c>
      <c r="C853" s="28">
        <v>3801344860</v>
      </c>
    </row>
    <row r="854" spans="1:3" ht="15.5">
      <c r="A854" s="29">
        <v>43304</v>
      </c>
      <c r="B854" s="28">
        <v>2.1558999999999999</v>
      </c>
      <c r="C854" s="28">
        <v>3784524750</v>
      </c>
    </row>
    <row r="855" spans="1:3" ht="15.5">
      <c r="A855" s="29">
        <v>43301</v>
      </c>
      <c r="B855" s="28">
        <v>2.1751</v>
      </c>
      <c r="C855" s="28">
        <v>3818164970</v>
      </c>
    </row>
    <row r="856" spans="1:3" ht="15.5">
      <c r="A856" s="29">
        <v>43300</v>
      </c>
      <c r="B856" s="28">
        <v>2.1558999999999999</v>
      </c>
      <c r="C856" s="28">
        <v>3784524750</v>
      </c>
    </row>
    <row r="857" spans="1:3" ht="15.5">
      <c r="A857" s="29">
        <v>43299</v>
      </c>
      <c r="B857" s="28">
        <v>2.1368</v>
      </c>
      <c r="C857" s="28">
        <v>3750884530</v>
      </c>
    </row>
    <row r="858" spans="1:3" ht="15.5">
      <c r="A858" s="29">
        <v>43298</v>
      </c>
      <c r="B858" s="28">
        <v>2.1463000000000001</v>
      </c>
      <c r="C858" s="28">
        <v>3767704640</v>
      </c>
    </row>
    <row r="859" spans="1:3" ht="15.5">
      <c r="A859" s="29">
        <v>43297</v>
      </c>
      <c r="B859" s="28">
        <v>2.1463000000000001</v>
      </c>
      <c r="C859" s="28">
        <v>3767704640</v>
      </c>
    </row>
    <row r="860" spans="1:3" ht="15.5">
      <c r="A860" s="29">
        <v>43294</v>
      </c>
      <c r="B860" s="28">
        <v>2.1175999999999999</v>
      </c>
      <c r="C860" s="28">
        <v>3717244310</v>
      </c>
    </row>
    <row r="861" spans="1:3" ht="15.5">
      <c r="A861" s="29">
        <v>43293</v>
      </c>
      <c r="B861" s="28">
        <v>2.0888</v>
      </c>
      <c r="C861" s="28">
        <v>3666783980</v>
      </c>
    </row>
    <row r="862" spans="1:3" ht="15.5">
      <c r="A862" s="29">
        <v>43292</v>
      </c>
      <c r="B862" s="28">
        <v>2.1558999999999999</v>
      </c>
      <c r="C862" s="28">
        <v>3784524750</v>
      </c>
    </row>
    <row r="863" spans="1:3" ht="15.5">
      <c r="A863" s="29">
        <v>43291</v>
      </c>
      <c r="B863" s="28">
        <v>2.2326000000000001</v>
      </c>
      <c r="C863" s="28">
        <v>3919085630</v>
      </c>
    </row>
    <row r="864" spans="1:3" ht="15.5">
      <c r="A864" s="29">
        <v>43290</v>
      </c>
      <c r="B864" s="28">
        <v>2.2612999999999999</v>
      </c>
      <c r="C864" s="28">
        <v>3969545960</v>
      </c>
    </row>
    <row r="865" spans="1:3" ht="15.5">
      <c r="A865" s="29">
        <v>43287</v>
      </c>
      <c r="B865" s="28">
        <v>2.2900999999999998</v>
      </c>
      <c r="C865" s="28">
        <v>4020006290</v>
      </c>
    </row>
    <row r="866" spans="1:3" ht="15.5">
      <c r="A866" s="29">
        <v>43286</v>
      </c>
      <c r="B866" s="28">
        <v>2.2709000000000001</v>
      </c>
      <c r="C866" s="28">
        <v>3986366070</v>
      </c>
    </row>
    <row r="867" spans="1:3" ht="15.5">
      <c r="A867" s="29">
        <v>43285</v>
      </c>
      <c r="B867" s="28">
        <v>2.2422</v>
      </c>
      <c r="C867" s="28">
        <v>3935905740</v>
      </c>
    </row>
    <row r="868" spans="1:3" ht="15.5">
      <c r="A868" s="29">
        <v>43284</v>
      </c>
      <c r="B868" s="28">
        <v>2.2422</v>
      </c>
      <c r="C868" s="28">
        <v>3935905740</v>
      </c>
    </row>
    <row r="869" spans="1:3" ht="15.5">
      <c r="A869" s="29">
        <v>43283</v>
      </c>
      <c r="B869" s="28">
        <v>2.1943000000000001</v>
      </c>
      <c r="C869" s="28">
        <v>3851805190</v>
      </c>
    </row>
    <row r="870" spans="1:3" ht="15.5">
      <c r="A870" s="29">
        <v>43280</v>
      </c>
      <c r="B870" s="28">
        <v>2.1846999999999999</v>
      </c>
      <c r="C870" s="28">
        <v>3834985080</v>
      </c>
    </row>
    <row r="871" spans="1:3" ht="15.5">
      <c r="A871" s="29">
        <v>43279</v>
      </c>
      <c r="B871" s="28">
        <v>2.2134</v>
      </c>
      <c r="C871" s="28">
        <v>3885445410</v>
      </c>
    </row>
    <row r="872" spans="1:3" ht="15.5">
      <c r="A872" s="29">
        <v>43278</v>
      </c>
      <c r="B872" s="28">
        <v>2.2038000000000002</v>
      </c>
      <c r="C872" s="28">
        <v>3868625300</v>
      </c>
    </row>
    <row r="873" spans="1:3" ht="15.5">
      <c r="A873" s="29">
        <v>43277</v>
      </c>
      <c r="B873" s="28">
        <v>2.2134</v>
      </c>
      <c r="C873" s="28">
        <v>3885445410</v>
      </c>
    </row>
    <row r="874" spans="1:3" ht="15.5">
      <c r="A874" s="29">
        <v>43276</v>
      </c>
      <c r="B874" s="28">
        <v>2.2134</v>
      </c>
      <c r="C874" s="28">
        <v>3885445410</v>
      </c>
    </row>
    <row r="875" spans="1:3" ht="15.5">
      <c r="A875" s="29">
        <v>43273</v>
      </c>
      <c r="B875" s="28">
        <v>2.1751</v>
      </c>
      <c r="C875" s="28">
        <v>3818164970</v>
      </c>
    </row>
    <row r="876" spans="1:3" ht="15.5">
      <c r="A876" s="29">
        <v>43272</v>
      </c>
      <c r="B876" s="28">
        <v>2.1943000000000001</v>
      </c>
      <c r="C876" s="28">
        <v>3851805190</v>
      </c>
    </row>
    <row r="877" spans="1:3" ht="15.5">
      <c r="A877" s="29">
        <v>43271</v>
      </c>
      <c r="B877" s="28">
        <v>2.2038000000000002</v>
      </c>
      <c r="C877" s="28">
        <v>3868625300</v>
      </c>
    </row>
    <row r="878" spans="1:3" ht="15.5">
      <c r="A878" s="29">
        <v>43270</v>
      </c>
      <c r="B878" s="28">
        <v>2.1943000000000001</v>
      </c>
      <c r="C878" s="28">
        <v>3851805190</v>
      </c>
    </row>
    <row r="879" spans="1:3" ht="15.5">
      <c r="A879" s="29">
        <v>43269</v>
      </c>
      <c r="B879" s="28">
        <v>2.2326000000000001</v>
      </c>
      <c r="C879" s="28">
        <v>3919085630</v>
      </c>
    </row>
    <row r="880" spans="1:3" ht="15.5">
      <c r="A880" s="29">
        <v>43266</v>
      </c>
      <c r="B880" s="28">
        <v>2.2134</v>
      </c>
      <c r="C880" s="28">
        <v>3885445410</v>
      </c>
    </row>
    <row r="881" spans="1:3" ht="15.5">
      <c r="A881" s="29">
        <v>43265</v>
      </c>
      <c r="B881" s="28">
        <v>2.1751</v>
      </c>
      <c r="C881" s="28">
        <v>3818164970</v>
      </c>
    </row>
    <row r="882" spans="1:3" ht="15.5">
      <c r="A882" s="29">
        <v>43264</v>
      </c>
      <c r="B882" s="28">
        <v>2.1368</v>
      </c>
      <c r="C882" s="28">
        <v>3750884530</v>
      </c>
    </row>
    <row r="883" spans="1:3" ht="15.5">
      <c r="A883" s="29">
        <v>43263</v>
      </c>
      <c r="B883" s="28">
        <v>2.0792999999999999</v>
      </c>
      <c r="C883" s="28">
        <v>3649963870</v>
      </c>
    </row>
    <row r="884" spans="1:3" ht="15.5">
      <c r="A884" s="29">
        <v>43259</v>
      </c>
      <c r="B884" s="28">
        <v>2.0792999999999999</v>
      </c>
      <c r="C884" s="28">
        <v>3649963870</v>
      </c>
    </row>
    <row r="885" spans="1:3" ht="15.5">
      <c r="A885" s="29">
        <v>43258</v>
      </c>
      <c r="B885" s="28">
        <v>2.0792999999999999</v>
      </c>
      <c r="C885" s="28">
        <v>3649963870</v>
      </c>
    </row>
    <row r="886" spans="1:3" ht="15.5">
      <c r="A886" s="29">
        <v>43257</v>
      </c>
      <c r="B886" s="28">
        <v>2.0888</v>
      </c>
      <c r="C886" s="28">
        <v>3666783980</v>
      </c>
    </row>
    <row r="887" spans="1:3" ht="15.5">
      <c r="A887" s="29">
        <v>43256</v>
      </c>
      <c r="B887" s="28">
        <v>2.0697000000000001</v>
      </c>
      <c r="C887" s="28">
        <v>3633143760</v>
      </c>
    </row>
    <row r="888" spans="1:3" ht="15.5">
      <c r="A888" s="29">
        <v>43255</v>
      </c>
      <c r="B888" s="28">
        <v>2.1080000000000001</v>
      </c>
      <c r="C888" s="28">
        <v>3700424200</v>
      </c>
    </row>
    <row r="889" spans="1:3" ht="15.5">
      <c r="A889" s="29">
        <v>43252</v>
      </c>
      <c r="B889" s="28">
        <v>2.0888</v>
      </c>
      <c r="C889" s="28">
        <v>3666783980</v>
      </c>
    </row>
    <row r="890" spans="1:3" ht="15.5">
      <c r="A890" s="29">
        <v>43251</v>
      </c>
      <c r="B890" s="28">
        <v>2.1080000000000001</v>
      </c>
      <c r="C890" s="28">
        <v>3700424200</v>
      </c>
    </row>
    <row r="891" spans="1:3" ht="15.5">
      <c r="A891" s="29">
        <v>43250</v>
      </c>
      <c r="B891" s="28">
        <v>2.1463000000000001</v>
      </c>
      <c r="C891" s="28">
        <v>3767704640</v>
      </c>
    </row>
    <row r="892" spans="1:3" ht="15.5">
      <c r="A892" s="29">
        <v>43249</v>
      </c>
      <c r="B892" s="28">
        <v>2.0888</v>
      </c>
      <c r="C892" s="28">
        <v>3666783980</v>
      </c>
    </row>
    <row r="893" spans="1:3" ht="15.5">
      <c r="A893" s="29">
        <v>43248</v>
      </c>
      <c r="B893" s="28">
        <v>2.0888</v>
      </c>
      <c r="C893" s="28">
        <v>3666783980</v>
      </c>
    </row>
    <row r="894" spans="1:3" ht="15.5">
      <c r="A894" s="29">
        <v>43245</v>
      </c>
      <c r="B894" s="28">
        <v>2.0983999999999998</v>
      </c>
      <c r="C894" s="28">
        <v>3683604090</v>
      </c>
    </row>
    <row r="895" spans="1:3" ht="15.5">
      <c r="A895" s="29">
        <v>43244</v>
      </c>
      <c r="B895" s="28">
        <v>2.1272000000000002</v>
      </c>
      <c r="C895" s="28">
        <v>3734064420</v>
      </c>
    </row>
    <row r="896" spans="1:3" ht="15.5">
      <c r="A896" s="29">
        <v>43243</v>
      </c>
      <c r="B896" s="28">
        <v>2.1558999999999999</v>
      </c>
      <c r="C896" s="28">
        <v>3784524750</v>
      </c>
    </row>
    <row r="897" spans="1:3" ht="15.5">
      <c r="A897" s="29">
        <v>43242</v>
      </c>
      <c r="B897" s="28">
        <v>2.1272000000000002</v>
      </c>
      <c r="C897" s="28">
        <v>3734064420</v>
      </c>
    </row>
    <row r="898" spans="1:3" ht="15.5">
      <c r="A898" s="29">
        <v>43241</v>
      </c>
      <c r="B898" s="28">
        <v>2.1272000000000002</v>
      </c>
      <c r="C898" s="28">
        <v>3734064420</v>
      </c>
    </row>
    <row r="899" spans="1:3" ht="15.5">
      <c r="A899" s="29">
        <v>43238</v>
      </c>
      <c r="B899" s="28">
        <v>2.0792999999999999</v>
      </c>
      <c r="C899" s="28">
        <v>3649963870</v>
      </c>
    </row>
    <row r="900" spans="1:3" ht="15.5">
      <c r="A900" s="29">
        <v>43237</v>
      </c>
      <c r="B900" s="28">
        <v>2.0697000000000001</v>
      </c>
      <c r="C900" s="28">
        <v>3633143760</v>
      </c>
    </row>
    <row r="901" spans="1:3" ht="15.5">
      <c r="A901" s="29">
        <v>43236</v>
      </c>
      <c r="B901" s="28">
        <v>2.0792999999999999</v>
      </c>
      <c r="C901" s="28">
        <v>3649963870</v>
      </c>
    </row>
    <row r="902" spans="1:3" ht="15.5">
      <c r="A902" s="29">
        <v>43235</v>
      </c>
      <c r="B902" s="28">
        <v>2.1368</v>
      </c>
      <c r="C902" s="28">
        <v>3750884530</v>
      </c>
    </row>
    <row r="903" spans="1:3" ht="15.5">
      <c r="A903" s="29">
        <v>43234</v>
      </c>
      <c r="B903" s="28">
        <v>2.2326000000000001</v>
      </c>
      <c r="C903" s="28">
        <v>3919085630</v>
      </c>
    </row>
    <row r="904" spans="1:3" ht="15.5">
      <c r="A904" s="29">
        <v>43231</v>
      </c>
      <c r="B904" s="28">
        <v>2.2422</v>
      </c>
      <c r="C904" s="28">
        <v>3935905740</v>
      </c>
    </row>
    <row r="905" spans="1:3" ht="15.5">
      <c r="A905" s="29">
        <v>43230</v>
      </c>
      <c r="B905" s="28">
        <v>2.2422</v>
      </c>
      <c r="C905" s="28">
        <v>3935905740</v>
      </c>
    </row>
    <row r="906" spans="1:3" ht="15.5">
      <c r="A906" s="29">
        <v>43229</v>
      </c>
      <c r="B906" s="28">
        <v>2.2709000000000001</v>
      </c>
      <c r="C906" s="28">
        <v>3986366070</v>
      </c>
    </row>
    <row r="907" spans="1:3" ht="15.5">
      <c r="A907" s="29">
        <v>43228</v>
      </c>
      <c r="B907" s="28">
        <v>2.2900999999999998</v>
      </c>
      <c r="C907" s="28">
        <v>4020006290</v>
      </c>
    </row>
    <row r="908" spans="1:3" ht="15.5">
      <c r="A908" s="29">
        <v>43227</v>
      </c>
      <c r="B908" s="28">
        <v>2.2709000000000001</v>
      </c>
      <c r="C908" s="28">
        <v>3986366070</v>
      </c>
    </row>
    <row r="909" spans="1:3" ht="15.5">
      <c r="A909" s="29">
        <v>43224</v>
      </c>
      <c r="B909" s="28">
        <v>2.2709000000000001</v>
      </c>
      <c r="C909" s="28">
        <v>3986366070</v>
      </c>
    </row>
    <row r="910" spans="1:3" ht="15.5">
      <c r="A910" s="29">
        <v>43223</v>
      </c>
      <c r="B910" s="28">
        <v>2.2805</v>
      </c>
      <c r="C910" s="28">
        <v>4003186180</v>
      </c>
    </row>
    <row r="911" spans="1:3" ht="15.5">
      <c r="A911" s="29">
        <v>43222</v>
      </c>
      <c r="B911" s="28">
        <v>2.2422</v>
      </c>
      <c r="C911" s="28">
        <v>3935905740</v>
      </c>
    </row>
    <row r="912" spans="1:3" ht="15.5">
      <c r="A912" s="29">
        <v>43221</v>
      </c>
      <c r="B912" s="28">
        <v>2.2422</v>
      </c>
      <c r="C912" s="28">
        <v>3935905740</v>
      </c>
    </row>
    <row r="913" spans="1:3" ht="15.5">
      <c r="A913" s="29">
        <v>43220</v>
      </c>
      <c r="B913" s="28">
        <v>2.2517</v>
      </c>
      <c r="C913" s="28">
        <v>3952725850</v>
      </c>
    </row>
    <row r="914" spans="1:3" ht="15.5">
      <c r="A914" s="29">
        <v>43217</v>
      </c>
      <c r="B914" s="28">
        <v>2.2229999999999999</v>
      </c>
      <c r="C914" s="28">
        <v>3902265520</v>
      </c>
    </row>
    <row r="915" spans="1:3" ht="15.5">
      <c r="A915" s="29">
        <v>43216</v>
      </c>
      <c r="B915" s="28">
        <v>2.1751</v>
      </c>
      <c r="C915" s="28">
        <v>3818164970</v>
      </c>
    </row>
    <row r="916" spans="1:3" ht="15.5">
      <c r="A916" s="29">
        <v>43214</v>
      </c>
      <c r="B916" s="28">
        <v>2.1846999999999999</v>
      </c>
      <c r="C916" s="28">
        <v>3834985080</v>
      </c>
    </row>
    <row r="917" spans="1:3" ht="15.5">
      <c r="A917" s="29">
        <v>43213</v>
      </c>
      <c r="B917" s="28">
        <v>2.1943000000000001</v>
      </c>
      <c r="C917" s="28">
        <v>3851805190</v>
      </c>
    </row>
    <row r="918" spans="1:3" ht="15.5">
      <c r="A918" s="29">
        <v>43210</v>
      </c>
      <c r="B918" s="28">
        <v>2.2134</v>
      </c>
      <c r="C918" s="28">
        <v>3885445410</v>
      </c>
    </row>
    <row r="919" spans="1:3" ht="15.5">
      <c r="A919" s="29">
        <v>43209</v>
      </c>
      <c r="B919" s="28">
        <v>2.2038000000000002</v>
      </c>
      <c r="C919" s="28">
        <v>3868625300</v>
      </c>
    </row>
    <row r="920" spans="1:3" ht="15.5">
      <c r="A920" s="29">
        <v>43208</v>
      </c>
      <c r="B920" s="28">
        <v>2.1943000000000001</v>
      </c>
      <c r="C920" s="28">
        <v>3851805190</v>
      </c>
    </row>
    <row r="921" spans="1:3" ht="15.5">
      <c r="A921" s="29">
        <v>43207</v>
      </c>
      <c r="B921" s="28">
        <v>2.1655000000000002</v>
      </c>
      <c r="C921" s="28">
        <v>3801344860</v>
      </c>
    </row>
    <row r="922" spans="1:3" ht="15.5">
      <c r="A922" s="29">
        <v>43206</v>
      </c>
      <c r="B922" s="28">
        <v>2.1751</v>
      </c>
      <c r="C922" s="28">
        <v>3818164970</v>
      </c>
    </row>
    <row r="923" spans="1:3" ht="15.5">
      <c r="A923" s="29">
        <v>43203</v>
      </c>
      <c r="B923" s="28">
        <v>2.1655000000000002</v>
      </c>
      <c r="C923" s="28">
        <v>3801344860</v>
      </c>
    </row>
    <row r="924" spans="1:3" ht="15.5">
      <c r="A924" s="29">
        <v>43202</v>
      </c>
      <c r="B924" s="28">
        <v>2.1751</v>
      </c>
      <c r="C924" s="28">
        <v>3818164970</v>
      </c>
    </row>
    <row r="925" spans="1:3" ht="15.5">
      <c r="A925" s="29">
        <v>43201</v>
      </c>
      <c r="B925" s="28">
        <v>2.1846999999999999</v>
      </c>
      <c r="C925" s="28">
        <v>3834985080</v>
      </c>
    </row>
    <row r="926" spans="1:3" ht="15.5">
      <c r="A926" s="29">
        <v>43200</v>
      </c>
      <c r="B926" s="28">
        <v>2.2422</v>
      </c>
      <c r="C926" s="28">
        <v>3935905740</v>
      </c>
    </row>
    <row r="927" spans="1:3" ht="15.5">
      <c r="A927" s="29">
        <v>43199</v>
      </c>
      <c r="B927" s="28">
        <v>2.2326000000000001</v>
      </c>
      <c r="C927" s="28">
        <v>3919085630</v>
      </c>
    </row>
    <row r="928" spans="1:3" ht="15.5">
      <c r="A928" s="29">
        <v>43196</v>
      </c>
      <c r="B928" s="28">
        <v>2.2422</v>
      </c>
      <c r="C928" s="28">
        <v>3935905740</v>
      </c>
    </row>
    <row r="929" spans="1:3" ht="15.5">
      <c r="A929" s="29">
        <v>43195</v>
      </c>
      <c r="B929" s="28">
        <v>2.2422</v>
      </c>
      <c r="C929" s="28">
        <v>3935905740</v>
      </c>
    </row>
    <row r="930" spans="1:3" ht="15.5">
      <c r="A930" s="29">
        <v>43194</v>
      </c>
      <c r="B930" s="28">
        <v>2.2422</v>
      </c>
      <c r="C930" s="28">
        <v>3935905740</v>
      </c>
    </row>
    <row r="931" spans="1:3" ht="15.5">
      <c r="A931" s="29">
        <v>43193</v>
      </c>
      <c r="B931" s="28">
        <v>2.2612999999999999</v>
      </c>
      <c r="C931" s="28">
        <v>3969545960</v>
      </c>
    </row>
    <row r="932" spans="1:3" ht="15.5">
      <c r="A932" s="29">
        <v>43188</v>
      </c>
      <c r="B932" s="28">
        <v>2.2900999999999998</v>
      </c>
      <c r="C932" s="28">
        <v>4020006290</v>
      </c>
    </row>
    <row r="933" spans="1:3" ht="15.5">
      <c r="A933" s="29">
        <v>43187</v>
      </c>
      <c r="B933" s="28">
        <v>2.2900999999999998</v>
      </c>
      <c r="C933" s="28">
        <v>4020006290</v>
      </c>
    </row>
    <row r="934" spans="1:3" ht="15.5">
      <c r="A934" s="29">
        <v>43186</v>
      </c>
      <c r="B934" s="28">
        <v>2.2517</v>
      </c>
      <c r="C934" s="28">
        <v>3952725850</v>
      </c>
    </row>
    <row r="935" spans="1:3" ht="15.5">
      <c r="A935" s="29">
        <v>43185</v>
      </c>
      <c r="B935" s="28">
        <v>2.2517</v>
      </c>
      <c r="C935" s="28">
        <v>3952725850</v>
      </c>
    </row>
    <row r="936" spans="1:3" ht="15.5">
      <c r="A936" s="29">
        <v>43182</v>
      </c>
      <c r="B936" s="28">
        <v>2.2517</v>
      </c>
      <c r="C936" s="28">
        <v>3952725850</v>
      </c>
    </row>
    <row r="937" spans="1:3" ht="15.5">
      <c r="A937" s="29">
        <v>43181</v>
      </c>
      <c r="B937" s="28">
        <v>2.2709000000000001</v>
      </c>
      <c r="C937" s="28">
        <v>3986366070</v>
      </c>
    </row>
    <row r="938" spans="1:3" ht="15.5">
      <c r="A938" s="29">
        <v>43180</v>
      </c>
      <c r="B938" s="28">
        <v>2.2805</v>
      </c>
      <c r="C938" s="28">
        <v>4003186180</v>
      </c>
    </row>
    <row r="939" spans="1:3" ht="15.5">
      <c r="A939" s="29">
        <v>43179</v>
      </c>
      <c r="B939" s="28">
        <v>2.2709000000000001</v>
      </c>
      <c r="C939" s="28">
        <v>3986366070</v>
      </c>
    </row>
    <row r="940" spans="1:3" ht="15.5">
      <c r="A940" s="29">
        <v>43178</v>
      </c>
      <c r="B940" s="28">
        <v>2.2709000000000001</v>
      </c>
      <c r="C940" s="28">
        <v>3986366070</v>
      </c>
    </row>
    <row r="941" spans="1:3" ht="15.5">
      <c r="A941" s="29">
        <v>43175</v>
      </c>
      <c r="B941" s="28">
        <v>2.2709000000000001</v>
      </c>
      <c r="C941" s="28">
        <v>3986366070</v>
      </c>
    </row>
    <row r="942" spans="1:3" ht="15.5">
      <c r="A942" s="29">
        <v>43174</v>
      </c>
      <c r="B942" s="28">
        <v>2.2422</v>
      </c>
      <c r="C942" s="28">
        <v>3935905740</v>
      </c>
    </row>
    <row r="943" spans="1:3" ht="15.5">
      <c r="A943" s="29">
        <v>43173</v>
      </c>
      <c r="B943" s="28">
        <v>2.2422</v>
      </c>
      <c r="C943" s="28">
        <v>3935905740</v>
      </c>
    </row>
    <row r="944" spans="1:3" ht="15.5">
      <c r="A944" s="29">
        <v>43172</v>
      </c>
      <c r="B944" s="28">
        <v>2.2422</v>
      </c>
      <c r="C944" s="28">
        <v>3935905740</v>
      </c>
    </row>
    <row r="945" spans="1:3" ht="15.5">
      <c r="A945" s="29">
        <v>43171</v>
      </c>
      <c r="B945" s="28">
        <v>2.2326000000000001</v>
      </c>
      <c r="C945" s="28">
        <v>3919085630</v>
      </c>
    </row>
    <row r="946" spans="1:3" ht="15.5">
      <c r="A946" s="29">
        <v>43168</v>
      </c>
      <c r="B946" s="28">
        <v>2.2326000000000001</v>
      </c>
      <c r="C946" s="28">
        <v>3919085630</v>
      </c>
    </row>
    <row r="947" spans="1:3" ht="15.5">
      <c r="A947" s="29">
        <v>43167</v>
      </c>
      <c r="B947" s="28">
        <v>2.2134</v>
      </c>
      <c r="C947" s="28">
        <v>3885445410</v>
      </c>
    </row>
    <row r="948" spans="1:3" ht="15.5">
      <c r="A948" s="29">
        <v>43166</v>
      </c>
      <c r="B948" s="28">
        <v>2.2038000000000002</v>
      </c>
      <c r="C948" s="28">
        <v>3868625300</v>
      </c>
    </row>
    <row r="949" spans="1:3" ht="15.5">
      <c r="A949" s="29">
        <v>43165</v>
      </c>
      <c r="B949" s="28">
        <v>2.2229999999999999</v>
      </c>
      <c r="C949" s="28">
        <v>3902265520</v>
      </c>
    </row>
    <row r="950" spans="1:3" ht="15.5">
      <c r="A950" s="29">
        <v>43164</v>
      </c>
      <c r="B950" s="28">
        <v>2.1655000000000002</v>
      </c>
      <c r="C950" s="28">
        <v>3801344860</v>
      </c>
    </row>
    <row r="951" spans="1:3" ht="15.5">
      <c r="A951" s="29">
        <v>43161</v>
      </c>
      <c r="B951" s="28">
        <v>2.3092000000000001</v>
      </c>
      <c r="C951" s="28">
        <v>4053646510</v>
      </c>
    </row>
    <row r="952" spans="1:3" ht="15.5">
      <c r="A952" s="29">
        <v>43160</v>
      </c>
      <c r="B952" s="28">
        <v>2.2900999999999998</v>
      </c>
      <c r="C952" s="28">
        <v>4020006290</v>
      </c>
    </row>
    <row r="953" spans="1:3" ht="15.5">
      <c r="A953" s="29">
        <v>43159</v>
      </c>
      <c r="B953" s="28">
        <v>2.3092000000000001</v>
      </c>
      <c r="C953" s="28">
        <v>4053646510</v>
      </c>
    </row>
    <row r="954" spans="1:3" ht="15.5">
      <c r="A954" s="29">
        <v>43158</v>
      </c>
      <c r="B954" s="28">
        <v>2.3092000000000001</v>
      </c>
      <c r="C954" s="28">
        <v>4053646510</v>
      </c>
    </row>
    <row r="955" spans="1:3" ht="15.5">
      <c r="A955" s="29">
        <v>43157</v>
      </c>
      <c r="B955" s="28">
        <v>2.3380000000000001</v>
      </c>
      <c r="C955" s="28">
        <v>4104106840</v>
      </c>
    </row>
    <row r="956" spans="1:3" ht="15.5">
      <c r="A956" s="29">
        <v>43154</v>
      </c>
      <c r="B956" s="28">
        <v>2.2997000000000001</v>
      </c>
      <c r="C956" s="28">
        <v>4036826400</v>
      </c>
    </row>
    <row r="957" spans="1:3" ht="15.5">
      <c r="A957" s="29">
        <v>43153</v>
      </c>
      <c r="B957" s="28">
        <v>2.2422</v>
      </c>
      <c r="C957" s="28">
        <v>3935905740</v>
      </c>
    </row>
    <row r="958" spans="1:3" ht="15.5">
      <c r="A958" s="29">
        <v>43152</v>
      </c>
      <c r="B958" s="28">
        <v>2.2422</v>
      </c>
      <c r="C958" s="28">
        <v>3935905740</v>
      </c>
    </row>
    <row r="959" spans="1:3" ht="15.5">
      <c r="A959" s="29">
        <v>43151</v>
      </c>
      <c r="B959" s="28">
        <v>2.2900999999999998</v>
      </c>
      <c r="C959" s="28">
        <v>4020006290</v>
      </c>
    </row>
    <row r="960" spans="1:3" ht="15.5">
      <c r="A960" s="29">
        <v>43150</v>
      </c>
      <c r="B960" s="28">
        <v>2.2805</v>
      </c>
      <c r="C960" s="28">
        <v>4003186180</v>
      </c>
    </row>
    <row r="961" spans="1:3" ht="15.5">
      <c r="A961" s="29">
        <v>43147</v>
      </c>
      <c r="B961" s="28">
        <v>2.2038000000000002</v>
      </c>
      <c r="C961" s="28">
        <v>3868625300</v>
      </c>
    </row>
    <row r="962" spans="1:3" ht="15.5">
      <c r="A962" s="29">
        <v>43146</v>
      </c>
      <c r="B962" s="28">
        <v>2.1558999999999999</v>
      </c>
      <c r="C962" s="28">
        <v>3784524750</v>
      </c>
    </row>
    <row r="963" spans="1:3" ht="15.5">
      <c r="A963" s="29">
        <v>43145</v>
      </c>
      <c r="B963" s="28">
        <v>2.1368</v>
      </c>
      <c r="C963" s="28">
        <v>3750884530</v>
      </c>
    </row>
    <row r="964" spans="1:3" ht="15.5">
      <c r="A964" s="29">
        <v>43144</v>
      </c>
      <c r="B964" s="28">
        <v>2.1655000000000002</v>
      </c>
      <c r="C964" s="28">
        <v>3801344860</v>
      </c>
    </row>
    <row r="965" spans="1:3" ht="15.5">
      <c r="A965" s="29">
        <v>43143</v>
      </c>
      <c r="B965" s="28">
        <v>2.1080000000000001</v>
      </c>
      <c r="C965" s="28">
        <v>3700424200</v>
      </c>
    </row>
    <row r="966" spans="1:3" ht="15.5">
      <c r="A966" s="29">
        <v>43140</v>
      </c>
      <c r="B966" s="28">
        <v>2.1655000000000002</v>
      </c>
      <c r="C966" s="28">
        <v>3801344860</v>
      </c>
    </row>
    <row r="967" spans="1:3" ht="15.5">
      <c r="A967" s="29">
        <v>43139</v>
      </c>
      <c r="B967" s="28">
        <v>2.1463000000000001</v>
      </c>
      <c r="C967" s="28">
        <v>3767704640</v>
      </c>
    </row>
    <row r="968" spans="1:3" ht="15.5">
      <c r="A968" s="29">
        <v>43138</v>
      </c>
      <c r="B968" s="28">
        <v>2.1751</v>
      </c>
      <c r="C968" s="28">
        <v>3818164970</v>
      </c>
    </row>
    <row r="969" spans="1:3" ht="15.5">
      <c r="A969" s="29">
        <v>43137</v>
      </c>
      <c r="B969" s="28">
        <v>2.1751</v>
      </c>
      <c r="C969" s="28">
        <v>3818164970</v>
      </c>
    </row>
    <row r="970" spans="1:3" ht="15.5">
      <c r="A970" s="29">
        <v>43136</v>
      </c>
      <c r="B970" s="28">
        <v>2.2134</v>
      </c>
      <c r="C970" s="28">
        <v>3885445410</v>
      </c>
    </row>
    <row r="971" spans="1:3" ht="15.5">
      <c r="A971" s="29">
        <v>43133</v>
      </c>
      <c r="B971" s="28">
        <v>2.2229999999999999</v>
      </c>
      <c r="C971" s="28">
        <v>3902265520</v>
      </c>
    </row>
    <row r="972" spans="1:3" ht="15.5">
      <c r="A972" s="29">
        <v>43132</v>
      </c>
      <c r="B972" s="28">
        <v>2.2229999999999999</v>
      </c>
      <c r="C972" s="28">
        <v>3902265520</v>
      </c>
    </row>
    <row r="973" spans="1:3" ht="15.5">
      <c r="A973" s="29">
        <v>43131</v>
      </c>
      <c r="B973" s="28">
        <v>2.2134</v>
      </c>
      <c r="C973" s="28">
        <v>3885445410</v>
      </c>
    </row>
    <row r="974" spans="1:3" ht="15.5">
      <c r="A974" s="29">
        <v>43130</v>
      </c>
      <c r="B974" s="28">
        <v>2.2038000000000002</v>
      </c>
      <c r="C974" s="28">
        <v>3868625300</v>
      </c>
    </row>
    <row r="975" spans="1:3" ht="15.5">
      <c r="A975" s="29">
        <v>43129</v>
      </c>
      <c r="B975" s="28">
        <v>2.2134</v>
      </c>
      <c r="C975" s="28">
        <v>3885445410</v>
      </c>
    </row>
    <row r="976" spans="1:3" ht="15.5">
      <c r="A976" s="29">
        <v>43125</v>
      </c>
      <c r="B976" s="28">
        <v>2.2038000000000002</v>
      </c>
      <c r="C976" s="28">
        <v>3868625300</v>
      </c>
    </row>
    <row r="977" spans="1:3" ht="15.5">
      <c r="A977" s="29">
        <v>43124</v>
      </c>
      <c r="B977" s="28">
        <v>2.2326000000000001</v>
      </c>
      <c r="C977" s="28">
        <v>3919085630</v>
      </c>
    </row>
    <row r="978" spans="1:3" ht="15.5">
      <c r="A978" s="29">
        <v>43123</v>
      </c>
      <c r="B978" s="28">
        <v>2.2517</v>
      </c>
      <c r="C978" s="28">
        <v>3952725850</v>
      </c>
    </row>
    <row r="979" spans="1:3" ht="15.5">
      <c r="A979" s="29">
        <v>43122</v>
      </c>
      <c r="B979" s="28">
        <v>2.2422</v>
      </c>
      <c r="C979" s="28">
        <v>3935905740</v>
      </c>
    </row>
    <row r="980" spans="1:3" ht="15.5">
      <c r="A980" s="29">
        <v>43119</v>
      </c>
      <c r="B980" s="28">
        <v>2.2422</v>
      </c>
      <c r="C980" s="28">
        <v>3935905740</v>
      </c>
    </row>
    <row r="981" spans="1:3" ht="15.5">
      <c r="A981" s="29">
        <v>43118</v>
      </c>
      <c r="B981" s="28">
        <v>2.3188</v>
      </c>
      <c r="C981" s="28">
        <v>4070466620</v>
      </c>
    </row>
    <row r="982" spans="1:3" ht="15.5">
      <c r="A982" s="29">
        <v>43117</v>
      </c>
      <c r="B982" s="28">
        <v>2.2900999999999998</v>
      </c>
      <c r="C982" s="28">
        <v>4020006290</v>
      </c>
    </row>
    <row r="983" spans="1:3" ht="15.5">
      <c r="A983" s="29">
        <v>43116</v>
      </c>
      <c r="B983" s="28">
        <v>2.2805</v>
      </c>
      <c r="C983" s="28">
        <v>4003186180</v>
      </c>
    </row>
    <row r="984" spans="1:3" ht="15.5">
      <c r="A984" s="29">
        <v>43115</v>
      </c>
      <c r="B984" s="28">
        <v>2.3092000000000001</v>
      </c>
      <c r="C984" s="28">
        <v>4053646510</v>
      </c>
    </row>
    <row r="985" spans="1:3" ht="15.5">
      <c r="A985" s="29">
        <v>43112</v>
      </c>
      <c r="B985" s="28">
        <v>2.2805</v>
      </c>
      <c r="C985" s="28">
        <v>4003186180</v>
      </c>
    </row>
    <row r="986" spans="1:3" ht="15.5">
      <c r="A986" s="29">
        <v>43111</v>
      </c>
      <c r="B986" s="28">
        <v>2.3092000000000001</v>
      </c>
      <c r="C986" s="28">
        <v>4053646510</v>
      </c>
    </row>
    <row r="987" spans="1:3" ht="15.5">
      <c r="A987" s="29">
        <v>43110</v>
      </c>
      <c r="B987" s="28">
        <v>2.3188</v>
      </c>
      <c r="C987" s="28">
        <v>4070466620</v>
      </c>
    </row>
    <row r="988" spans="1:3" ht="15.5">
      <c r="A988" s="29">
        <v>43109</v>
      </c>
      <c r="B988" s="28">
        <v>2.3475999999999999</v>
      </c>
      <c r="C988" s="28">
        <v>4120926950</v>
      </c>
    </row>
    <row r="989" spans="1:3" ht="15.5">
      <c r="A989" s="29">
        <v>43108</v>
      </c>
      <c r="B989" s="28">
        <v>2.3571</v>
      </c>
      <c r="C989" s="28">
        <v>4137747060</v>
      </c>
    </row>
    <row r="990" spans="1:3" ht="15.5">
      <c r="A990" s="29">
        <v>43105</v>
      </c>
      <c r="B990" s="28">
        <v>2.3380000000000001</v>
      </c>
      <c r="C990" s="28">
        <v>4104106840</v>
      </c>
    </row>
    <row r="991" spans="1:3" ht="15.5">
      <c r="A991" s="29">
        <v>43104</v>
      </c>
      <c r="B991" s="28">
        <v>2.3571</v>
      </c>
      <c r="C991" s="28">
        <v>4137747060</v>
      </c>
    </row>
    <row r="992" spans="1:3" ht="15.5">
      <c r="A992" s="29">
        <v>43103</v>
      </c>
      <c r="B992" s="28">
        <v>2.3666999999999998</v>
      </c>
      <c r="C992" s="28">
        <v>4154567170</v>
      </c>
    </row>
    <row r="993" spans="1:3" ht="15.5">
      <c r="A993" s="29">
        <v>43102</v>
      </c>
      <c r="B993" s="28">
        <v>2.3858999999999999</v>
      </c>
      <c r="C993" s="28">
        <v>4188207390</v>
      </c>
    </row>
    <row r="994" spans="1:3" ht="15.5">
      <c r="A994" s="29">
        <v>43098</v>
      </c>
      <c r="B994" s="28">
        <v>2.4051</v>
      </c>
      <c r="C994" s="28">
        <v>4221847610</v>
      </c>
    </row>
    <row r="995" spans="1:3" ht="15.5">
      <c r="A995" s="29">
        <v>43097</v>
      </c>
      <c r="B995" s="28">
        <v>2.4241999999999999</v>
      </c>
      <c r="C995" s="28">
        <v>4255487830</v>
      </c>
    </row>
    <row r="996" spans="1:3" ht="15.5">
      <c r="A996" s="29">
        <v>43096</v>
      </c>
      <c r="B996" s="28">
        <v>2.4051</v>
      </c>
      <c r="C996" s="28">
        <v>4221847610</v>
      </c>
    </row>
    <row r="997" spans="1:3" ht="15.5">
      <c r="A997" s="29">
        <v>43091</v>
      </c>
      <c r="B997" s="28">
        <v>2.4146000000000001</v>
      </c>
      <c r="C997" s="28">
        <v>4238667720</v>
      </c>
    </row>
    <row r="998" spans="1:3" ht="15.5">
      <c r="A998" s="29">
        <v>43090</v>
      </c>
      <c r="B998" s="28">
        <v>2.4146000000000001</v>
      </c>
      <c r="C998" s="28">
        <v>4238667720</v>
      </c>
    </row>
    <row r="999" spans="1:3" ht="15.5">
      <c r="A999" s="29">
        <v>43089</v>
      </c>
      <c r="B999" s="28">
        <v>2.4624999999999999</v>
      </c>
      <c r="C999" s="28">
        <v>4322768270</v>
      </c>
    </row>
    <row r="1000" spans="1:3" ht="15.5">
      <c r="A1000" s="29">
        <v>43088</v>
      </c>
      <c r="B1000" s="28">
        <v>2.4721000000000002</v>
      </c>
      <c r="C1000" s="28">
        <v>4339588380</v>
      </c>
    </row>
    <row r="1001" spans="1:3" ht="15.5">
      <c r="A1001" s="29">
        <v>43087</v>
      </c>
      <c r="B1001" s="28">
        <v>2.4817</v>
      </c>
      <c r="C1001" s="28">
        <v>4356408490</v>
      </c>
    </row>
    <row r="1002" spans="1:3" ht="15.5">
      <c r="A1002" s="29">
        <v>43084</v>
      </c>
      <c r="B1002" s="28">
        <v>2.4912999999999998</v>
      </c>
      <c r="C1002" s="28">
        <v>4373228600</v>
      </c>
    </row>
    <row r="1003" spans="1:3" ht="15.5">
      <c r="A1003" s="29">
        <v>43083</v>
      </c>
      <c r="B1003" s="28">
        <v>2.52</v>
      </c>
      <c r="C1003" s="28">
        <v>4423688930</v>
      </c>
    </row>
    <row r="1004" spans="1:3" ht="15.5">
      <c r="A1004" s="29">
        <v>43082</v>
      </c>
      <c r="B1004" s="28">
        <v>2.5678999999999998</v>
      </c>
      <c r="C1004" s="28">
        <v>4507789480</v>
      </c>
    </row>
    <row r="1005" spans="1:3" ht="15.5">
      <c r="A1005" s="29">
        <v>43081</v>
      </c>
      <c r="B1005" s="28">
        <v>2.5871</v>
      </c>
      <c r="C1005" s="28">
        <v>4541429700</v>
      </c>
    </row>
    <row r="1006" spans="1:3" ht="15.5">
      <c r="A1006" s="29">
        <v>43080</v>
      </c>
      <c r="B1006" s="28">
        <v>2.5871</v>
      </c>
      <c r="C1006" s="28">
        <v>4541429700</v>
      </c>
    </row>
    <row r="1007" spans="1:3" ht="15.5">
      <c r="A1007" s="29">
        <v>43077</v>
      </c>
      <c r="B1007" s="28">
        <v>2.6063000000000001</v>
      </c>
      <c r="C1007" s="28">
        <v>4575069920</v>
      </c>
    </row>
    <row r="1008" spans="1:3" ht="15.5">
      <c r="A1008" s="29">
        <v>43076</v>
      </c>
      <c r="B1008" s="28">
        <v>2.5966999999999998</v>
      </c>
      <c r="C1008" s="28">
        <v>4558249810</v>
      </c>
    </row>
    <row r="1009" spans="1:3" ht="15.5">
      <c r="A1009" s="29">
        <v>43075</v>
      </c>
      <c r="B1009" s="28">
        <v>2.5583999999999998</v>
      </c>
      <c r="C1009" s="28">
        <v>4490969370</v>
      </c>
    </row>
    <row r="1010" spans="1:3" ht="15.5">
      <c r="A1010" s="29">
        <v>43074</v>
      </c>
      <c r="B1010" s="28">
        <v>2.5583999999999998</v>
      </c>
      <c r="C1010" s="28">
        <v>4490969370</v>
      </c>
    </row>
    <row r="1011" spans="1:3" ht="15.5">
      <c r="A1011" s="29">
        <v>43073</v>
      </c>
      <c r="B1011" s="28">
        <v>2.5105</v>
      </c>
      <c r="C1011" s="28">
        <v>4406868820</v>
      </c>
    </row>
    <row r="1012" spans="1:3" ht="15.5">
      <c r="A1012" s="29">
        <v>43070</v>
      </c>
      <c r="B1012" s="28">
        <v>2.5009000000000001</v>
      </c>
      <c r="C1012" s="28">
        <v>4390048710</v>
      </c>
    </row>
    <row r="1013" spans="1:3" ht="15.5">
      <c r="A1013" s="29">
        <v>43069</v>
      </c>
      <c r="B1013" s="28">
        <v>2.5009000000000001</v>
      </c>
      <c r="C1013" s="28">
        <v>4390048710</v>
      </c>
    </row>
    <row r="1014" spans="1:3" ht="15.5">
      <c r="A1014" s="29">
        <v>43068</v>
      </c>
      <c r="B1014" s="28">
        <v>2.4817</v>
      </c>
      <c r="C1014" s="28">
        <v>4356408490</v>
      </c>
    </row>
    <row r="1015" spans="1:3" ht="15.5">
      <c r="A1015" s="29">
        <v>43067</v>
      </c>
      <c r="B1015" s="28">
        <v>2.5295999999999998</v>
      </c>
      <c r="C1015" s="28">
        <v>4440509040</v>
      </c>
    </row>
    <row r="1016" spans="1:3" ht="15.5">
      <c r="A1016" s="29">
        <v>43066</v>
      </c>
      <c r="B1016" s="28">
        <v>2.5105</v>
      </c>
      <c r="C1016" s="28">
        <v>4406868820</v>
      </c>
    </row>
    <row r="1017" spans="1:3" ht="15.5">
      <c r="A1017" s="29">
        <v>43063</v>
      </c>
      <c r="B1017" s="28">
        <v>2.4721000000000002</v>
      </c>
      <c r="C1017" s="28">
        <v>4339588380</v>
      </c>
    </row>
    <row r="1018" spans="1:3" ht="15.5">
      <c r="A1018" s="29">
        <v>43062</v>
      </c>
      <c r="B1018" s="28">
        <v>2.4624999999999999</v>
      </c>
      <c r="C1018" s="28">
        <v>4322768270</v>
      </c>
    </row>
    <row r="1019" spans="1:3" ht="15.5">
      <c r="A1019" s="29">
        <v>43061</v>
      </c>
      <c r="B1019" s="28">
        <v>2.4817</v>
      </c>
      <c r="C1019" s="28">
        <v>4356408490</v>
      </c>
    </row>
    <row r="1020" spans="1:3" ht="15.5">
      <c r="A1020" s="29">
        <v>43060</v>
      </c>
      <c r="B1020" s="28">
        <v>2.4817</v>
      </c>
      <c r="C1020" s="28">
        <v>4356408490</v>
      </c>
    </row>
    <row r="1021" spans="1:3" ht="15.5">
      <c r="A1021" s="29">
        <v>43059</v>
      </c>
      <c r="B1021" s="28">
        <v>2.4624999999999999</v>
      </c>
      <c r="C1021" s="28">
        <v>4322768270</v>
      </c>
    </row>
    <row r="1022" spans="1:3" ht="15.5">
      <c r="A1022" s="29">
        <v>43056</v>
      </c>
      <c r="B1022" s="28">
        <v>2.5392000000000001</v>
      </c>
      <c r="C1022" s="28">
        <v>4457329150</v>
      </c>
    </row>
    <row r="1023" spans="1:3" ht="15.5">
      <c r="A1023" s="29">
        <v>43055</v>
      </c>
      <c r="B1023" s="28">
        <v>2.5392000000000001</v>
      </c>
      <c r="C1023" s="28">
        <v>4457329150</v>
      </c>
    </row>
    <row r="1024" spans="1:3" ht="15.5">
      <c r="A1024" s="29">
        <v>43054</v>
      </c>
      <c r="B1024" s="28">
        <v>2.5392000000000001</v>
      </c>
      <c r="C1024" s="28">
        <v>4457329150</v>
      </c>
    </row>
    <row r="1025" spans="1:3" ht="15.5">
      <c r="A1025" s="29">
        <v>43053</v>
      </c>
      <c r="B1025" s="28">
        <v>2.5583999999999998</v>
      </c>
      <c r="C1025" s="28">
        <v>4490969370</v>
      </c>
    </row>
    <row r="1026" spans="1:3" ht="15.5">
      <c r="A1026" s="29">
        <v>43052</v>
      </c>
      <c r="B1026" s="28">
        <v>2.5678999999999998</v>
      </c>
      <c r="C1026" s="28">
        <v>4507789480</v>
      </c>
    </row>
    <row r="1027" spans="1:3" ht="15.5">
      <c r="A1027" s="29">
        <v>43049</v>
      </c>
      <c r="B1027" s="28">
        <v>2.5678999999999998</v>
      </c>
      <c r="C1027" s="28">
        <v>4507789480</v>
      </c>
    </row>
    <row r="1028" spans="1:3" ht="15.5">
      <c r="A1028" s="29">
        <v>43048</v>
      </c>
      <c r="B1028" s="28">
        <v>2.5678999999999998</v>
      </c>
      <c r="C1028" s="28">
        <v>4507789480</v>
      </c>
    </row>
    <row r="1029" spans="1:3" ht="15.5">
      <c r="A1029" s="29">
        <v>43047</v>
      </c>
      <c r="B1029" s="28">
        <v>2.5392000000000001</v>
      </c>
      <c r="C1029" s="28">
        <v>4457329150</v>
      </c>
    </row>
    <row r="1030" spans="1:3" ht="15.5">
      <c r="A1030" s="29">
        <v>43046</v>
      </c>
      <c r="B1030" s="28">
        <v>2.5488</v>
      </c>
      <c r="C1030" s="28">
        <v>4474149260</v>
      </c>
    </row>
    <row r="1031" spans="1:3" ht="15.5">
      <c r="A1031" s="29">
        <v>43045</v>
      </c>
      <c r="B1031" s="28">
        <v>2.5105</v>
      </c>
      <c r="C1031" s="28">
        <v>4406868820</v>
      </c>
    </row>
    <row r="1032" spans="1:3" ht="15.5">
      <c r="A1032" s="29">
        <v>43042</v>
      </c>
      <c r="B1032" s="28">
        <v>2.52</v>
      </c>
      <c r="C1032" s="28">
        <v>4423688930</v>
      </c>
    </row>
    <row r="1033" spans="1:3" ht="15.5">
      <c r="A1033" s="29">
        <v>43041</v>
      </c>
      <c r="B1033" s="28">
        <v>2.4912999999999998</v>
      </c>
      <c r="C1033" s="28">
        <v>4373228600</v>
      </c>
    </row>
    <row r="1034" spans="1:3" ht="15.5">
      <c r="A1034" s="29">
        <v>43040</v>
      </c>
      <c r="B1034" s="28">
        <v>2.4912999999999998</v>
      </c>
      <c r="C1034" s="28">
        <v>4373228600</v>
      </c>
    </row>
    <row r="1035" spans="1:3" ht="15.5">
      <c r="A1035" s="29">
        <v>43039</v>
      </c>
      <c r="B1035" s="28">
        <v>2.4338000000000002</v>
      </c>
      <c r="C1035" s="28">
        <v>4272307940</v>
      </c>
    </row>
    <row r="1036" spans="1:3" ht="15.5">
      <c r="A1036" s="29">
        <v>43038</v>
      </c>
      <c r="B1036" s="28">
        <v>2.4434</v>
      </c>
      <c r="C1036" s="28">
        <v>4289128050</v>
      </c>
    </row>
    <row r="1037" spans="1:3" ht="15.5">
      <c r="A1037" s="29">
        <v>43035</v>
      </c>
      <c r="B1037" s="28">
        <v>2.4624999999999999</v>
      </c>
      <c r="C1037" s="28">
        <v>4322768270</v>
      </c>
    </row>
    <row r="1038" spans="1:3" ht="15.5">
      <c r="A1038" s="29">
        <v>43034</v>
      </c>
      <c r="B1038" s="28">
        <v>2.4624999999999999</v>
      </c>
      <c r="C1038" s="28">
        <v>4322768270</v>
      </c>
    </row>
    <row r="1039" spans="1:3" ht="15.5">
      <c r="A1039" s="29">
        <v>43033</v>
      </c>
      <c r="B1039" s="28">
        <v>2.4624999999999999</v>
      </c>
      <c r="C1039" s="28">
        <v>4322768270</v>
      </c>
    </row>
    <row r="1040" spans="1:3" ht="15.5">
      <c r="A1040" s="29">
        <v>43032</v>
      </c>
      <c r="B1040" s="28">
        <v>2.4721000000000002</v>
      </c>
      <c r="C1040" s="28">
        <v>4339588380</v>
      </c>
    </row>
    <row r="1041" spans="1:3" ht="15.5">
      <c r="A1041" s="29">
        <v>43031</v>
      </c>
      <c r="B1041" s="28">
        <v>2.4624999999999999</v>
      </c>
      <c r="C1041" s="28">
        <v>4322768270</v>
      </c>
    </row>
    <row r="1042" spans="1:3" ht="15.5">
      <c r="A1042" s="29">
        <v>43028</v>
      </c>
      <c r="B1042" s="28">
        <v>2.5105</v>
      </c>
      <c r="C1042" s="28">
        <v>4406868820</v>
      </c>
    </row>
    <row r="1043" spans="1:3" ht="15.5">
      <c r="A1043" s="29">
        <v>43027</v>
      </c>
      <c r="B1043" s="28">
        <v>2.4624999999999999</v>
      </c>
      <c r="C1043" s="28">
        <v>4322768270</v>
      </c>
    </row>
    <row r="1044" spans="1:3" ht="15.5">
      <c r="A1044" s="29">
        <v>43026</v>
      </c>
      <c r="B1044" s="28">
        <v>2.4721000000000002</v>
      </c>
      <c r="C1044" s="28">
        <v>4339588380</v>
      </c>
    </row>
    <row r="1045" spans="1:3" ht="15.5">
      <c r="A1045" s="29">
        <v>43025</v>
      </c>
      <c r="B1045" s="28">
        <v>2.4624999999999999</v>
      </c>
      <c r="C1045" s="28">
        <v>4322768270</v>
      </c>
    </row>
    <row r="1046" spans="1:3" ht="15.5">
      <c r="A1046" s="29">
        <v>43024</v>
      </c>
      <c r="B1046" s="28">
        <v>2.4338000000000002</v>
      </c>
      <c r="C1046" s="28">
        <v>4272307940</v>
      </c>
    </row>
    <row r="1047" spans="1:3" ht="15.5">
      <c r="A1047" s="29">
        <v>43021</v>
      </c>
      <c r="B1047" s="28">
        <v>2.4241999999999999</v>
      </c>
      <c r="C1047" s="28">
        <v>4255487830</v>
      </c>
    </row>
    <row r="1048" spans="1:3" ht="15.5">
      <c r="A1048" s="29">
        <v>43020</v>
      </c>
      <c r="B1048" s="28">
        <v>2.4338000000000002</v>
      </c>
      <c r="C1048" s="28">
        <v>4272307940</v>
      </c>
    </row>
    <row r="1049" spans="1:3" ht="15.5">
      <c r="A1049" s="29">
        <v>43019</v>
      </c>
      <c r="B1049" s="28">
        <v>2.3955000000000002</v>
      </c>
      <c r="C1049" s="28">
        <v>4205027500</v>
      </c>
    </row>
    <row r="1050" spans="1:3" ht="15.5">
      <c r="A1050" s="29">
        <v>43018</v>
      </c>
      <c r="B1050" s="28">
        <v>2.3475999999999999</v>
      </c>
      <c r="C1050" s="28">
        <v>4120926950</v>
      </c>
    </row>
    <row r="1051" spans="1:3" ht="15.5">
      <c r="A1051" s="29">
        <v>43017</v>
      </c>
      <c r="B1051" s="28">
        <v>2.3475999999999999</v>
      </c>
      <c r="C1051" s="28">
        <v>4120926950</v>
      </c>
    </row>
    <row r="1052" spans="1:3" ht="15.5">
      <c r="A1052" s="29">
        <v>43014</v>
      </c>
      <c r="B1052" s="28">
        <v>2.3571</v>
      </c>
      <c r="C1052" s="28">
        <v>4137747060</v>
      </c>
    </row>
    <row r="1053" spans="1:3" ht="15.5">
      <c r="A1053" s="29">
        <v>43013</v>
      </c>
      <c r="B1053" s="28">
        <v>2.3571</v>
      </c>
      <c r="C1053" s="28">
        <v>4137747060</v>
      </c>
    </row>
    <row r="1054" spans="1:3" ht="15.5">
      <c r="A1054" s="29">
        <v>43012</v>
      </c>
      <c r="B1054" s="28">
        <v>2.3955000000000002</v>
      </c>
      <c r="C1054" s="28">
        <v>4205027500</v>
      </c>
    </row>
    <row r="1055" spans="1:3" ht="15.5">
      <c r="A1055" s="29">
        <v>43011</v>
      </c>
      <c r="B1055" s="28">
        <v>2.4241999999999999</v>
      </c>
      <c r="C1055" s="28">
        <v>4255487830</v>
      </c>
    </row>
    <row r="1056" spans="1:3" ht="15.5">
      <c r="A1056" s="29">
        <v>43010</v>
      </c>
      <c r="B1056" s="28">
        <v>2.4338000000000002</v>
      </c>
      <c r="C1056" s="28">
        <v>4272307940</v>
      </c>
    </row>
    <row r="1057" spans="1:3" ht="15.5">
      <c r="A1057" s="29">
        <v>43007</v>
      </c>
      <c r="B1057" s="28">
        <v>2.4146000000000001</v>
      </c>
      <c r="C1057" s="28">
        <v>4238667720</v>
      </c>
    </row>
    <row r="1058" spans="1:3" ht="15.5">
      <c r="A1058" s="29">
        <v>43006</v>
      </c>
      <c r="B1058" s="28">
        <v>2.3955000000000002</v>
      </c>
      <c r="C1058" s="28">
        <v>4205027500</v>
      </c>
    </row>
    <row r="1059" spans="1:3" ht="15.5">
      <c r="A1059" s="29">
        <v>43005</v>
      </c>
      <c r="B1059" s="28">
        <v>2.3666999999999998</v>
      </c>
      <c r="C1059" s="28">
        <v>4154567170</v>
      </c>
    </row>
    <row r="1060" spans="1:3" ht="15.5">
      <c r="A1060" s="29">
        <v>43004</v>
      </c>
      <c r="B1060" s="28">
        <v>2.3763000000000001</v>
      </c>
      <c r="C1060" s="28">
        <v>4171387280</v>
      </c>
    </row>
    <row r="1061" spans="1:3" ht="15.5">
      <c r="A1061" s="29">
        <v>43003</v>
      </c>
      <c r="B1061" s="28">
        <v>2.3475999999999999</v>
      </c>
      <c r="C1061" s="28">
        <v>4120926950</v>
      </c>
    </row>
    <row r="1062" spans="1:3" ht="15.5">
      <c r="A1062" s="29">
        <v>43000</v>
      </c>
      <c r="B1062" s="28">
        <v>2.3188</v>
      </c>
      <c r="C1062" s="28">
        <v>4070466620</v>
      </c>
    </row>
    <row r="1063" spans="1:3" ht="15.5">
      <c r="A1063" s="29">
        <v>42999</v>
      </c>
      <c r="B1063" s="28">
        <v>2.3188</v>
      </c>
      <c r="C1063" s="28">
        <v>4070466620</v>
      </c>
    </row>
    <row r="1064" spans="1:3" ht="15.5">
      <c r="A1064" s="29">
        <v>42998</v>
      </c>
      <c r="B1064" s="28">
        <v>2.3763000000000001</v>
      </c>
      <c r="C1064" s="28">
        <v>4171387280</v>
      </c>
    </row>
    <row r="1065" spans="1:3" ht="15.5">
      <c r="A1065" s="29">
        <v>42997</v>
      </c>
      <c r="B1065" s="28">
        <v>2.3666999999999998</v>
      </c>
      <c r="C1065" s="28">
        <v>4154567170</v>
      </c>
    </row>
    <row r="1066" spans="1:3" ht="15.5">
      <c r="A1066" s="29">
        <v>42996</v>
      </c>
      <c r="B1066" s="28">
        <v>2.3571</v>
      </c>
      <c r="C1066" s="28">
        <v>4137747060</v>
      </c>
    </row>
    <row r="1067" spans="1:3" ht="15.5">
      <c r="A1067" s="29">
        <v>42993</v>
      </c>
      <c r="B1067" s="28">
        <v>2.3571</v>
      </c>
      <c r="C1067" s="28">
        <v>4137747060</v>
      </c>
    </row>
    <row r="1068" spans="1:3" ht="15.5">
      <c r="A1068" s="29">
        <v>42992</v>
      </c>
      <c r="B1068" s="28">
        <v>2.4051</v>
      </c>
      <c r="C1068" s="28">
        <v>4221847610</v>
      </c>
    </row>
    <row r="1069" spans="1:3" ht="15.5">
      <c r="A1069" s="29">
        <v>42991</v>
      </c>
      <c r="B1069" s="28">
        <v>2.4338000000000002</v>
      </c>
      <c r="C1069" s="28">
        <v>4272307940</v>
      </c>
    </row>
    <row r="1070" spans="1:3" ht="15.5">
      <c r="A1070" s="29">
        <v>42990</v>
      </c>
      <c r="B1070" s="28">
        <v>2.4624999999999999</v>
      </c>
      <c r="C1070" s="28">
        <v>4322768270</v>
      </c>
    </row>
    <row r="1071" spans="1:3" ht="15.5">
      <c r="A1071" s="29">
        <v>42989</v>
      </c>
      <c r="B1071" s="28">
        <v>2.4721000000000002</v>
      </c>
      <c r="C1071" s="28">
        <v>4339588380</v>
      </c>
    </row>
    <row r="1072" spans="1:3" ht="15.5">
      <c r="A1072" s="29">
        <v>42986</v>
      </c>
      <c r="B1072" s="28">
        <v>2.4624999999999999</v>
      </c>
      <c r="C1072" s="28">
        <v>4322768270</v>
      </c>
    </row>
    <row r="1073" spans="1:3" ht="15.5">
      <c r="A1073" s="29">
        <v>42985</v>
      </c>
      <c r="B1073" s="28">
        <v>2.4624999999999999</v>
      </c>
      <c r="C1073" s="28">
        <v>4322768270</v>
      </c>
    </row>
    <row r="1074" spans="1:3" ht="15.5">
      <c r="A1074" s="29">
        <v>42984</v>
      </c>
      <c r="B1074" s="28">
        <v>2.4529999999999998</v>
      </c>
      <c r="C1074" s="28">
        <v>4305948160</v>
      </c>
    </row>
    <row r="1075" spans="1:3" ht="15.5">
      <c r="A1075" s="29">
        <v>42983</v>
      </c>
      <c r="B1075" s="28">
        <v>2.4624999999999999</v>
      </c>
      <c r="C1075" s="28">
        <v>4322768270</v>
      </c>
    </row>
    <row r="1076" spans="1:3" ht="15.5">
      <c r="A1076" s="29">
        <v>42982</v>
      </c>
      <c r="B1076" s="28">
        <v>2.5775000000000001</v>
      </c>
      <c r="C1076" s="28">
        <v>4524609590</v>
      </c>
    </row>
    <row r="1077" spans="1:3" ht="15.5">
      <c r="A1077" s="29">
        <v>42979</v>
      </c>
      <c r="B1077" s="28">
        <v>2.6063000000000001</v>
      </c>
      <c r="C1077" s="28">
        <v>4575069920</v>
      </c>
    </row>
    <row r="1078" spans="1:3" ht="15.5">
      <c r="A1078" s="29">
        <v>42978</v>
      </c>
      <c r="B1078" s="28">
        <v>2.5871</v>
      </c>
      <c r="C1078" s="28">
        <v>4541429700</v>
      </c>
    </row>
    <row r="1079" spans="1:3" ht="15.5">
      <c r="A1079" s="29">
        <v>42977</v>
      </c>
      <c r="B1079" s="28">
        <v>2.5392000000000001</v>
      </c>
      <c r="C1079" s="28">
        <v>4457329150</v>
      </c>
    </row>
    <row r="1080" spans="1:3" ht="15.5">
      <c r="A1080" s="29">
        <v>42976</v>
      </c>
      <c r="B1080" s="28">
        <v>2.5105</v>
      </c>
      <c r="C1080" s="28">
        <v>4406868820</v>
      </c>
    </row>
    <row r="1081" spans="1:3" ht="15.5">
      <c r="A1081" s="29">
        <v>42975</v>
      </c>
      <c r="B1081" s="28">
        <v>2.52</v>
      </c>
      <c r="C1081" s="28">
        <v>4423688930</v>
      </c>
    </row>
    <row r="1082" spans="1:3" ht="15.5">
      <c r="A1082" s="29">
        <v>42972</v>
      </c>
      <c r="B1082" s="28">
        <v>2.4721000000000002</v>
      </c>
      <c r="C1082" s="28">
        <v>4339588380</v>
      </c>
    </row>
    <row r="1083" spans="1:3" ht="15.5">
      <c r="A1083" s="29">
        <v>42971</v>
      </c>
      <c r="B1083" s="28">
        <v>2.5009000000000001</v>
      </c>
      <c r="C1083" s="28">
        <v>4390048710</v>
      </c>
    </row>
    <row r="1084" spans="1:3" ht="15.5">
      <c r="A1084" s="29">
        <v>42970</v>
      </c>
      <c r="B1084" s="28">
        <v>2.4721000000000002</v>
      </c>
      <c r="C1084" s="28">
        <v>4339588380</v>
      </c>
    </row>
    <row r="1085" spans="1:3" ht="15.5">
      <c r="A1085" s="29">
        <v>42969</v>
      </c>
      <c r="B1085" s="28">
        <v>2.4912999999999998</v>
      </c>
      <c r="C1085" s="28">
        <v>4373228600</v>
      </c>
    </row>
    <row r="1086" spans="1:3" ht="15.5">
      <c r="A1086" s="29">
        <v>42968</v>
      </c>
      <c r="B1086" s="28">
        <v>2.4434</v>
      </c>
      <c r="C1086" s="28">
        <v>4289128050</v>
      </c>
    </row>
    <row r="1087" spans="1:3" ht="15.5">
      <c r="A1087" s="29">
        <v>42965</v>
      </c>
      <c r="B1087" s="28">
        <v>2.4146000000000001</v>
      </c>
      <c r="C1087" s="28">
        <v>4238667720</v>
      </c>
    </row>
    <row r="1088" spans="1:3" ht="15.5">
      <c r="A1088" s="29">
        <v>42964</v>
      </c>
      <c r="B1088" s="28">
        <v>2.3955000000000002</v>
      </c>
      <c r="C1088" s="28">
        <v>4205027500</v>
      </c>
    </row>
    <row r="1089" spans="1:3" ht="15.5">
      <c r="A1089" s="29">
        <v>42963</v>
      </c>
      <c r="B1089" s="28">
        <v>2.4051</v>
      </c>
      <c r="C1089" s="28">
        <v>4221847610</v>
      </c>
    </row>
    <row r="1090" spans="1:3" ht="15.5">
      <c r="A1090" s="29">
        <v>42962</v>
      </c>
      <c r="B1090" s="28">
        <v>2.3955000000000002</v>
      </c>
      <c r="C1090" s="28">
        <v>4205027500</v>
      </c>
    </row>
    <row r="1091" spans="1:3" ht="15.5">
      <c r="A1091" s="29">
        <v>42961</v>
      </c>
      <c r="B1091" s="28">
        <v>2.3666999999999998</v>
      </c>
      <c r="C1091" s="28">
        <v>4154567170</v>
      </c>
    </row>
    <row r="1092" spans="1:3" ht="15.5">
      <c r="A1092" s="29">
        <v>42958</v>
      </c>
      <c r="B1092" s="28">
        <v>2.3666999999999998</v>
      </c>
      <c r="C1092" s="28">
        <v>4154567170</v>
      </c>
    </row>
    <row r="1093" spans="1:3" ht="15.5">
      <c r="A1093" s="29">
        <v>42957</v>
      </c>
      <c r="B1093" s="28">
        <v>2.3763000000000001</v>
      </c>
      <c r="C1093" s="28">
        <v>4171387280</v>
      </c>
    </row>
    <row r="1094" spans="1:3" ht="15.5">
      <c r="A1094" s="29">
        <v>42956</v>
      </c>
      <c r="B1094" s="28">
        <v>2.3763000000000001</v>
      </c>
      <c r="C1094" s="28">
        <v>4171387280</v>
      </c>
    </row>
    <row r="1095" spans="1:3" ht="15.5">
      <c r="A1095" s="29">
        <v>42955</v>
      </c>
      <c r="B1095" s="28">
        <v>2.3763000000000001</v>
      </c>
      <c r="C1095" s="28">
        <v>4171387280</v>
      </c>
    </row>
    <row r="1096" spans="1:3" ht="15.5">
      <c r="A1096" s="29">
        <v>42954</v>
      </c>
      <c r="B1096" s="28">
        <v>2.4051</v>
      </c>
      <c r="C1096" s="28">
        <v>4221847610</v>
      </c>
    </row>
    <row r="1097" spans="1:3" ht="15.5">
      <c r="A1097" s="29">
        <v>42951</v>
      </c>
      <c r="B1097" s="28">
        <v>2.4051</v>
      </c>
      <c r="C1097" s="28">
        <v>4221847610</v>
      </c>
    </row>
    <row r="1098" spans="1:3" ht="15.5">
      <c r="A1098" s="29">
        <v>42950</v>
      </c>
      <c r="B1098" s="28">
        <v>2.3955000000000002</v>
      </c>
      <c r="C1098" s="28">
        <v>4205027500</v>
      </c>
    </row>
    <row r="1099" spans="1:3" ht="15.5">
      <c r="A1099" s="29">
        <v>42949</v>
      </c>
      <c r="B1099" s="28">
        <v>2.3955000000000002</v>
      </c>
      <c r="C1099" s="28">
        <v>4205027500</v>
      </c>
    </row>
    <row r="1100" spans="1:3" ht="15.5">
      <c r="A1100" s="29">
        <v>42948</v>
      </c>
      <c r="B1100" s="28">
        <v>2.4051</v>
      </c>
      <c r="C1100" s="28">
        <v>4221847610</v>
      </c>
    </row>
    <row r="1101" spans="1:3" ht="15.5">
      <c r="A1101" s="29">
        <v>42947</v>
      </c>
      <c r="B1101" s="28">
        <v>2.3955000000000002</v>
      </c>
      <c r="C1101" s="28">
        <v>4205027500</v>
      </c>
    </row>
    <row r="1102" spans="1:3" ht="15.5">
      <c r="A1102" s="29">
        <v>42944</v>
      </c>
      <c r="B1102" s="28">
        <v>2.3858999999999999</v>
      </c>
      <c r="C1102" s="28">
        <v>4188207390</v>
      </c>
    </row>
    <row r="1103" spans="1:3" ht="15.5">
      <c r="A1103" s="29">
        <v>42943</v>
      </c>
      <c r="B1103" s="28">
        <v>2.4146000000000001</v>
      </c>
      <c r="C1103" s="28">
        <v>4238667720</v>
      </c>
    </row>
    <row r="1104" spans="1:3" ht="15.5">
      <c r="A1104" s="29">
        <v>42942</v>
      </c>
      <c r="B1104" s="28">
        <v>2.4338000000000002</v>
      </c>
      <c r="C1104" s="28">
        <v>4272307940</v>
      </c>
    </row>
    <row r="1105" spans="1:3" ht="15.5">
      <c r="A1105" s="29">
        <v>42941</v>
      </c>
      <c r="B1105" s="28">
        <v>2.4529999999999998</v>
      </c>
      <c r="C1105" s="28">
        <v>4305948160</v>
      </c>
    </row>
    <row r="1106" spans="1:3" ht="15.5">
      <c r="A1106" s="29">
        <v>42940</v>
      </c>
      <c r="B1106" s="28">
        <v>2.4146000000000001</v>
      </c>
      <c r="C1106" s="28">
        <v>4238667720</v>
      </c>
    </row>
    <row r="1107" spans="1:3" ht="15.5">
      <c r="A1107" s="29">
        <v>42937</v>
      </c>
      <c r="B1107" s="28">
        <v>2.4146000000000001</v>
      </c>
      <c r="C1107" s="28">
        <v>4238667720</v>
      </c>
    </row>
    <row r="1108" spans="1:3" ht="15.5">
      <c r="A1108" s="29">
        <v>42936</v>
      </c>
      <c r="B1108" s="28">
        <v>2.4338000000000002</v>
      </c>
      <c r="C1108" s="28">
        <v>4272307940</v>
      </c>
    </row>
    <row r="1109" spans="1:3" ht="15.5">
      <c r="A1109" s="29">
        <v>42935</v>
      </c>
      <c r="B1109" s="28">
        <v>2.4146000000000001</v>
      </c>
      <c r="C1109" s="28">
        <v>4238667720</v>
      </c>
    </row>
    <row r="1110" spans="1:3" ht="15.5">
      <c r="A1110" s="29">
        <v>42934</v>
      </c>
      <c r="B1110" s="28">
        <v>2.3763000000000001</v>
      </c>
      <c r="C1110" s="28">
        <v>4171387280</v>
      </c>
    </row>
    <row r="1111" spans="1:3" ht="15.5">
      <c r="A1111" s="29">
        <v>42933</v>
      </c>
      <c r="B1111" s="28">
        <v>2.4338000000000002</v>
      </c>
      <c r="C1111" s="28">
        <v>4272307940</v>
      </c>
    </row>
    <row r="1112" spans="1:3" ht="15.5">
      <c r="A1112" s="29">
        <v>42930</v>
      </c>
      <c r="B1112" s="28">
        <v>2.4529999999999998</v>
      </c>
      <c r="C1112" s="28">
        <v>4305948160</v>
      </c>
    </row>
    <row r="1113" spans="1:3" ht="15.5">
      <c r="A1113" s="29">
        <v>42929</v>
      </c>
      <c r="B1113" s="28">
        <v>2.4434</v>
      </c>
      <c r="C1113" s="28">
        <v>4289128050</v>
      </c>
    </row>
    <row r="1114" spans="1:3" ht="15.5">
      <c r="A1114" s="29">
        <v>42928</v>
      </c>
      <c r="B1114" s="28">
        <v>2.4146000000000001</v>
      </c>
      <c r="C1114" s="28">
        <v>4238667720</v>
      </c>
    </row>
    <row r="1115" spans="1:3" ht="15.5">
      <c r="A1115" s="29">
        <v>42927</v>
      </c>
      <c r="B1115" s="28">
        <v>2.4338000000000002</v>
      </c>
      <c r="C1115" s="28">
        <v>4272307940</v>
      </c>
    </row>
    <row r="1116" spans="1:3" ht="15.5">
      <c r="A1116" s="29">
        <v>42926</v>
      </c>
      <c r="B1116" s="28">
        <v>2.4817</v>
      </c>
      <c r="C1116" s="28">
        <v>4356408490</v>
      </c>
    </row>
    <row r="1117" spans="1:3" ht="15.5">
      <c r="A1117" s="29">
        <v>42923</v>
      </c>
      <c r="B1117" s="28">
        <v>2.4434</v>
      </c>
      <c r="C1117" s="28">
        <v>4289128050</v>
      </c>
    </row>
    <row r="1118" spans="1:3" ht="15.5">
      <c r="A1118" s="29">
        <v>42922</v>
      </c>
      <c r="B1118" s="28">
        <v>2.4721000000000002</v>
      </c>
      <c r="C1118" s="28">
        <v>4339588380</v>
      </c>
    </row>
    <row r="1119" spans="1:3" ht="15.5">
      <c r="A1119" s="29">
        <v>42921</v>
      </c>
      <c r="B1119" s="28">
        <v>2.4529999999999998</v>
      </c>
      <c r="C1119" s="28">
        <v>4305948160</v>
      </c>
    </row>
    <row r="1120" spans="1:3" ht="15.5">
      <c r="A1120" s="29">
        <v>42920</v>
      </c>
      <c r="B1120" s="28">
        <v>2.4817</v>
      </c>
      <c r="C1120" s="28">
        <v>4356408490</v>
      </c>
    </row>
    <row r="1121" spans="1:3" ht="15.5">
      <c r="A1121" s="29">
        <v>42919</v>
      </c>
      <c r="B1121" s="28">
        <v>2.4817</v>
      </c>
      <c r="C1121" s="28">
        <v>4356408490</v>
      </c>
    </row>
    <row r="1122" spans="1:3" ht="15.5">
      <c r="A1122" s="29">
        <v>42916</v>
      </c>
      <c r="B1122" s="28">
        <v>2.5105</v>
      </c>
      <c r="C1122" s="28">
        <v>4406868820</v>
      </c>
    </row>
    <row r="1123" spans="1:3" ht="15.5">
      <c r="A1123" s="29">
        <v>42915</v>
      </c>
      <c r="B1123" s="28">
        <v>2.5488</v>
      </c>
      <c r="C1123" s="28">
        <v>4474149260</v>
      </c>
    </row>
    <row r="1124" spans="1:3" ht="15.5">
      <c r="A1124" s="29">
        <v>42914</v>
      </c>
      <c r="B1124" s="28">
        <v>2.5678999999999998</v>
      </c>
      <c r="C1124" s="28">
        <v>4507789480</v>
      </c>
    </row>
    <row r="1125" spans="1:3" ht="15.5">
      <c r="A1125" s="29">
        <v>42913</v>
      </c>
      <c r="B1125" s="28">
        <v>2.5775000000000001</v>
      </c>
      <c r="C1125" s="28">
        <v>4524609590</v>
      </c>
    </row>
    <row r="1126" spans="1:3" ht="15.5">
      <c r="A1126" s="29">
        <v>42912</v>
      </c>
      <c r="B1126" s="28">
        <v>2.6063000000000001</v>
      </c>
      <c r="C1126" s="28">
        <v>4575069920</v>
      </c>
    </row>
    <row r="1127" spans="1:3" ht="15.5">
      <c r="A1127" s="29">
        <v>42909</v>
      </c>
      <c r="B1127" s="28">
        <v>2.6063000000000001</v>
      </c>
      <c r="C1127" s="28">
        <v>4575069920</v>
      </c>
    </row>
    <row r="1128" spans="1:3" ht="15.5">
      <c r="A1128" s="29">
        <v>42908</v>
      </c>
      <c r="B1128" s="28">
        <v>2.5966999999999998</v>
      </c>
      <c r="C1128" s="28">
        <v>4558249810</v>
      </c>
    </row>
    <row r="1129" spans="1:3" ht="15.5">
      <c r="A1129" s="29">
        <v>42907</v>
      </c>
      <c r="B1129" s="28">
        <v>2.6349999999999998</v>
      </c>
      <c r="C1129" s="28">
        <v>4625530250</v>
      </c>
    </row>
    <row r="1130" spans="1:3" ht="15.5">
      <c r="A1130" s="29">
        <v>42906</v>
      </c>
      <c r="B1130" s="28">
        <v>2.6924999999999999</v>
      </c>
      <c r="C1130" s="28">
        <v>4726450910</v>
      </c>
    </row>
    <row r="1131" spans="1:3" ht="15.5">
      <c r="A1131" s="29">
        <v>42905</v>
      </c>
      <c r="B1131" s="28">
        <v>2.75</v>
      </c>
      <c r="C1131" s="28">
        <v>4827371570</v>
      </c>
    </row>
    <row r="1132" spans="1:3" ht="15.5">
      <c r="A1132" s="29">
        <v>42902</v>
      </c>
      <c r="B1132" s="28">
        <v>2.7212999999999998</v>
      </c>
      <c r="C1132" s="28">
        <v>4776911240</v>
      </c>
    </row>
    <row r="1133" spans="1:3" ht="15.5">
      <c r="A1133" s="29">
        <v>42901</v>
      </c>
      <c r="B1133" s="28">
        <v>2.7212999999999998</v>
      </c>
      <c r="C1133" s="28">
        <v>4776911240</v>
      </c>
    </row>
    <row r="1134" spans="1:3" ht="15.5">
      <c r="A1134" s="29">
        <v>42900</v>
      </c>
      <c r="B1134" s="28">
        <v>2.7117</v>
      </c>
      <c r="C1134" s="28">
        <v>4760091130</v>
      </c>
    </row>
    <row r="1135" spans="1:3" ht="15.5">
      <c r="A1135" s="29">
        <v>42899</v>
      </c>
      <c r="B1135" s="28">
        <v>2.6732999999999998</v>
      </c>
      <c r="C1135" s="28">
        <v>4692810690</v>
      </c>
    </row>
    <row r="1136" spans="1:3" ht="15.5">
      <c r="A1136" s="29">
        <v>42895</v>
      </c>
      <c r="B1136" s="28">
        <v>2.6446000000000001</v>
      </c>
      <c r="C1136" s="28">
        <v>4642350360</v>
      </c>
    </row>
    <row r="1137" spans="1:3" ht="15.5">
      <c r="A1137" s="29">
        <v>42894</v>
      </c>
      <c r="B1137" s="28">
        <v>2.6446000000000001</v>
      </c>
      <c r="C1137" s="28">
        <v>4642350360</v>
      </c>
    </row>
    <row r="1138" spans="1:3" ht="15.5">
      <c r="A1138" s="29">
        <v>42893</v>
      </c>
      <c r="B1138" s="28">
        <v>2.6349999999999998</v>
      </c>
      <c r="C1138" s="28">
        <v>4625530250</v>
      </c>
    </row>
    <row r="1139" spans="1:3" ht="15.5">
      <c r="A1139" s="29">
        <v>42892</v>
      </c>
      <c r="B1139" s="28">
        <v>2.6063000000000001</v>
      </c>
      <c r="C1139" s="28">
        <v>4575069920</v>
      </c>
    </row>
    <row r="1140" spans="1:3" ht="15.5">
      <c r="A1140" s="29">
        <v>42888</v>
      </c>
      <c r="B1140" s="28">
        <v>2.6446000000000001</v>
      </c>
      <c r="C1140" s="28">
        <v>4642350360</v>
      </c>
    </row>
    <row r="1141" spans="1:3" ht="15.5">
      <c r="A1141" s="29">
        <v>42887</v>
      </c>
      <c r="B1141" s="28">
        <v>2.6349999999999998</v>
      </c>
      <c r="C1141" s="28">
        <v>4625530250</v>
      </c>
    </row>
    <row r="1142" spans="1:3" ht="15.5">
      <c r="A1142" s="29">
        <v>42886</v>
      </c>
      <c r="B1142" s="28">
        <v>2.5871</v>
      </c>
      <c r="C1142" s="28">
        <v>4541429700</v>
      </c>
    </row>
    <row r="1143" spans="1:3" ht="15.5">
      <c r="A1143" s="29">
        <v>42885</v>
      </c>
      <c r="B1143" s="28">
        <v>2.5678999999999998</v>
      </c>
      <c r="C1143" s="28">
        <v>4507789480</v>
      </c>
    </row>
    <row r="1144" spans="1:3" ht="15.5">
      <c r="A1144" s="29">
        <v>42884</v>
      </c>
      <c r="B1144" s="28">
        <v>2.5775000000000001</v>
      </c>
      <c r="C1144" s="28">
        <v>4524609590</v>
      </c>
    </row>
    <row r="1145" spans="1:3" ht="15.5">
      <c r="A1145" s="29">
        <v>42881</v>
      </c>
      <c r="B1145" s="28">
        <v>2.5775000000000001</v>
      </c>
      <c r="C1145" s="28">
        <v>4524609590</v>
      </c>
    </row>
    <row r="1146" spans="1:3" ht="15.5">
      <c r="A1146" s="29">
        <v>42880</v>
      </c>
      <c r="B1146" s="28">
        <v>2.5678999999999998</v>
      </c>
      <c r="C1146" s="28">
        <v>4507789480</v>
      </c>
    </row>
    <row r="1147" spans="1:3" ht="15.5">
      <c r="A1147" s="29">
        <v>42879</v>
      </c>
      <c r="B1147" s="28">
        <v>2.5583999999999998</v>
      </c>
      <c r="C1147" s="28">
        <v>4490969370</v>
      </c>
    </row>
    <row r="1148" spans="1:3" ht="15.5">
      <c r="A1148" s="29">
        <v>42878</v>
      </c>
      <c r="B1148" s="28">
        <v>2.5775000000000001</v>
      </c>
      <c r="C1148" s="28">
        <v>4524609590</v>
      </c>
    </row>
    <row r="1149" spans="1:3" ht="15.5">
      <c r="A1149" s="29">
        <v>42877</v>
      </c>
      <c r="B1149" s="28">
        <v>2.5392000000000001</v>
      </c>
      <c r="C1149" s="28">
        <v>4457329150</v>
      </c>
    </row>
    <row r="1150" spans="1:3" ht="15.5">
      <c r="A1150" s="29">
        <v>42874</v>
      </c>
      <c r="B1150" s="28">
        <v>2.5105</v>
      </c>
      <c r="C1150" s="28">
        <v>4406868820</v>
      </c>
    </row>
    <row r="1151" spans="1:3" ht="15.5">
      <c r="A1151" s="29">
        <v>42873</v>
      </c>
      <c r="B1151" s="28">
        <v>2.4912999999999998</v>
      </c>
      <c r="C1151" s="28">
        <v>4373228600</v>
      </c>
    </row>
    <row r="1152" spans="1:3" ht="15.5">
      <c r="A1152" s="29">
        <v>42872</v>
      </c>
      <c r="B1152" s="28">
        <v>2.5295999999999998</v>
      </c>
      <c r="C1152" s="28">
        <v>4440509040</v>
      </c>
    </row>
    <row r="1153" spans="1:3" ht="15.5">
      <c r="A1153" s="29">
        <v>42871</v>
      </c>
      <c r="B1153" s="28">
        <v>2.5295999999999998</v>
      </c>
      <c r="C1153" s="28">
        <v>4440509040</v>
      </c>
    </row>
    <row r="1154" spans="1:3" ht="15.5">
      <c r="A1154" s="29">
        <v>42870</v>
      </c>
      <c r="B1154" s="28">
        <v>2.5105</v>
      </c>
      <c r="C1154" s="28">
        <v>4406868820</v>
      </c>
    </row>
    <row r="1155" spans="1:3" ht="15.5">
      <c r="A1155" s="29">
        <v>42867</v>
      </c>
      <c r="B1155" s="28">
        <v>2.4529999999999998</v>
      </c>
      <c r="C1155" s="28">
        <v>4305948160</v>
      </c>
    </row>
    <row r="1156" spans="1:3" ht="15.5">
      <c r="A1156" s="29">
        <v>42866</v>
      </c>
      <c r="B1156" s="28">
        <v>2.4338000000000002</v>
      </c>
      <c r="C1156" s="28">
        <v>4272307940</v>
      </c>
    </row>
    <row r="1157" spans="1:3" ht="15.5">
      <c r="A1157" s="29">
        <v>42865</v>
      </c>
      <c r="B1157" s="28">
        <v>2.4529999999999998</v>
      </c>
      <c r="C1157" s="28">
        <v>4305948160</v>
      </c>
    </row>
    <row r="1158" spans="1:3" ht="15.5">
      <c r="A1158" s="29">
        <v>42864</v>
      </c>
      <c r="B1158" s="28">
        <v>2.4338000000000002</v>
      </c>
      <c r="C1158" s="28">
        <v>4272307940</v>
      </c>
    </row>
    <row r="1159" spans="1:3" ht="15.5">
      <c r="A1159" s="29">
        <v>42863</v>
      </c>
      <c r="B1159" s="28">
        <v>2.4338000000000002</v>
      </c>
      <c r="C1159" s="28">
        <v>4272307940</v>
      </c>
    </row>
    <row r="1160" spans="1:3" ht="15.5">
      <c r="A1160" s="29">
        <v>42860</v>
      </c>
      <c r="B1160" s="28">
        <v>2.4241999999999999</v>
      </c>
      <c r="C1160" s="28">
        <v>4255487830</v>
      </c>
    </row>
    <row r="1161" spans="1:3" ht="15.5">
      <c r="A1161" s="29">
        <v>42859</v>
      </c>
      <c r="B1161" s="28">
        <v>2.4624999999999999</v>
      </c>
      <c r="C1161" s="28">
        <v>4322768270</v>
      </c>
    </row>
    <row r="1162" spans="1:3" ht="15.5">
      <c r="A1162" s="29">
        <v>42858</v>
      </c>
      <c r="B1162" s="28">
        <v>2.4146000000000001</v>
      </c>
      <c r="C1162" s="28">
        <v>4238667720</v>
      </c>
    </row>
    <row r="1163" spans="1:3" ht="15.5">
      <c r="A1163" s="29">
        <v>42857</v>
      </c>
      <c r="B1163" s="28">
        <v>2.4241999999999999</v>
      </c>
      <c r="C1163" s="28">
        <v>4255487830</v>
      </c>
    </row>
    <row r="1164" spans="1:3" ht="15.5">
      <c r="A1164" s="29">
        <v>42856</v>
      </c>
      <c r="B1164" s="28">
        <v>2.4624999999999999</v>
      </c>
      <c r="C1164" s="28">
        <v>4322768270</v>
      </c>
    </row>
    <row r="1165" spans="1:3" ht="15.5">
      <c r="A1165" s="29">
        <v>42853</v>
      </c>
      <c r="B1165" s="28">
        <v>2.3858999999999999</v>
      </c>
      <c r="C1165" s="28">
        <v>4188207390</v>
      </c>
    </row>
    <row r="1166" spans="1:3" ht="15.5">
      <c r="A1166" s="29">
        <v>42852</v>
      </c>
      <c r="B1166" s="28">
        <v>2.3763000000000001</v>
      </c>
      <c r="C1166" s="28">
        <v>4171387280</v>
      </c>
    </row>
    <row r="1167" spans="1:3" ht="15.5">
      <c r="A1167" s="29">
        <v>42851</v>
      </c>
      <c r="B1167" s="28">
        <v>2.3858999999999999</v>
      </c>
      <c r="C1167" s="28">
        <v>4188207390</v>
      </c>
    </row>
    <row r="1168" spans="1:3" ht="15.5">
      <c r="A1168" s="29">
        <v>42849</v>
      </c>
      <c r="B1168" s="28">
        <v>2.3666999999999998</v>
      </c>
      <c r="C1168" s="28">
        <v>4154567170</v>
      </c>
    </row>
    <row r="1169" spans="1:3" ht="15.5">
      <c r="A1169" s="29">
        <v>42846</v>
      </c>
      <c r="B1169" s="28">
        <v>2.3188</v>
      </c>
      <c r="C1169" s="28">
        <v>4070466620</v>
      </c>
    </row>
    <row r="1170" spans="1:3" ht="15.5">
      <c r="A1170" s="29">
        <v>42845</v>
      </c>
      <c r="B1170" s="28">
        <v>2.3092000000000001</v>
      </c>
      <c r="C1170" s="28">
        <v>4053646510</v>
      </c>
    </row>
    <row r="1171" spans="1:3" ht="15.5">
      <c r="A1171" s="29">
        <v>42844</v>
      </c>
      <c r="B1171" s="28">
        <v>2.3092000000000001</v>
      </c>
      <c r="C1171" s="28">
        <v>4053646510</v>
      </c>
    </row>
    <row r="1172" spans="1:3" ht="15.5">
      <c r="A1172" s="29">
        <v>42843</v>
      </c>
      <c r="B1172" s="28">
        <v>2.3475999999999999</v>
      </c>
      <c r="C1172" s="28">
        <v>4120926950</v>
      </c>
    </row>
    <row r="1173" spans="1:3" ht="15.5">
      <c r="A1173" s="29">
        <v>42838</v>
      </c>
      <c r="B1173" s="28">
        <v>2.3283999999999998</v>
      </c>
      <c r="C1173" s="28">
        <v>4087286730</v>
      </c>
    </row>
    <row r="1174" spans="1:3" ht="15.5">
      <c r="A1174" s="29">
        <v>42837</v>
      </c>
      <c r="B1174" s="28">
        <v>2.3092000000000001</v>
      </c>
      <c r="C1174" s="28">
        <v>4053646510</v>
      </c>
    </row>
    <row r="1175" spans="1:3" ht="15.5">
      <c r="A1175" s="29">
        <v>42836</v>
      </c>
      <c r="B1175" s="28">
        <v>2.2517</v>
      </c>
      <c r="C1175" s="28">
        <v>3952725850</v>
      </c>
    </row>
    <row r="1176" spans="1:3" ht="15.5">
      <c r="A1176" s="29">
        <v>42835</v>
      </c>
      <c r="B1176" s="28">
        <v>2.2517</v>
      </c>
      <c r="C1176" s="28">
        <v>3952725850</v>
      </c>
    </row>
    <row r="1177" spans="1:3" ht="15.5">
      <c r="A1177" s="29">
        <v>42832</v>
      </c>
      <c r="B1177" s="28">
        <v>2.2422</v>
      </c>
      <c r="C1177" s="28">
        <v>3935905740</v>
      </c>
    </row>
    <row r="1178" spans="1:3" ht="15.5">
      <c r="A1178" s="29">
        <v>42831</v>
      </c>
      <c r="B1178" s="28">
        <v>2.2422</v>
      </c>
      <c r="C1178" s="28">
        <v>3935905740</v>
      </c>
    </row>
    <row r="1179" spans="1:3" ht="15.5">
      <c r="A1179" s="29">
        <v>42830</v>
      </c>
      <c r="B1179" s="28">
        <v>2.2517</v>
      </c>
      <c r="C1179" s="28">
        <v>3952725850</v>
      </c>
    </row>
    <row r="1180" spans="1:3" ht="15.5">
      <c r="A1180" s="29">
        <v>42829</v>
      </c>
      <c r="B1180" s="28">
        <v>2.2517</v>
      </c>
      <c r="C1180" s="28">
        <v>3952725850</v>
      </c>
    </row>
    <row r="1181" spans="1:3" ht="15.5">
      <c r="A1181" s="29">
        <v>42828</v>
      </c>
      <c r="B1181" s="28">
        <v>2.2709000000000001</v>
      </c>
      <c r="C1181" s="28">
        <v>3986366070</v>
      </c>
    </row>
    <row r="1182" spans="1:3" ht="15.5">
      <c r="A1182" s="29">
        <v>42825</v>
      </c>
      <c r="B1182" s="28">
        <v>2.2709000000000001</v>
      </c>
      <c r="C1182" s="28">
        <v>3986366070</v>
      </c>
    </row>
    <row r="1183" spans="1:3" ht="15.5">
      <c r="A1183" s="29">
        <v>42824</v>
      </c>
      <c r="B1183" s="28">
        <v>2.2900999999999998</v>
      </c>
      <c r="C1183" s="28">
        <v>4020006290</v>
      </c>
    </row>
    <row r="1184" spans="1:3" ht="15.5">
      <c r="A1184" s="29">
        <v>42823</v>
      </c>
      <c r="B1184" s="28">
        <v>2.3092000000000001</v>
      </c>
      <c r="C1184" s="28">
        <v>4053646510</v>
      </c>
    </row>
    <row r="1185" spans="1:3" ht="15.5">
      <c r="A1185" s="29">
        <v>42822</v>
      </c>
      <c r="B1185" s="28">
        <v>2.3188</v>
      </c>
      <c r="C1185" s="28">
        <v>4070466620</v>
      </c>
    </row>
    <row r="1186" spans="1:3" ht="15.5">
      <c r="A1186" s="29">
        <v>42821</v>
      </c>
      <c r="B1186" s="28">
        <v>2.2997000000000001</v>
      </c>
      <c r="C1186" s="28">
        <v>4036826400</v>
      </c>
    </row>
    <row r="1187" spans="1:3" ht="15.5">
      <c r="A1187" s="29">
        <v>42818</v>
      </c>
      <c r="B1187" s="28">
        <v>2.2805</v>
      </c>
      <c r="C1187" s="28">
        <v>4003186180</v>
      </c>
    </row>
    <row r="1188" spans="1:3" ht="15.5">
      <c r="A1188" s="29">
        <v>42817</v>
      </c>
      <c r="B1188" s="28">
        <v>2.2517</v>
      </c>
      <c r="C1188" s="28">
        <v>3952725850</v>
      </c>
    </row>
    <row r="1189" spans="1:3" ht="15.5">
      <c r="A1189" s="29">
        <v>42816</v>
      </c>
      <c r="B1189" s="28">
        <v>2.2422</v>
      </c>
      <c r="C1189" s="28">
        <v>3935905740</v>
      </c>
    </row>
    <row r="1190" spans="1:3" ht="15.5">
      <c r="A1190" s="29">
        <v>42815</v>
      </c>
      <c r="B1190" s="28">
        <v>2.2326000000000001</v>
      </c>
      <c r="C1190" s="28">
        <v>3919085630</v>
      </c>
    </row>
    <row r="1191" spans="1:3" ht="15.5">
      <c r="A1191" s="29">
        <v>42814</v>
      </c>
      <c r="B1191" s="28">
        <v>2.2134</v>
      </c>
      <c r="C1191" s="28">
        <v>3885445410</v>
      </c>
    </row>
    <row r="1192" spans="1:3" ht="15.5">
      <c r="A1192" s="29">
        <v>42811</v>
      </c>
      <c r="B1192" s="28">
        <v>2.2229999999999999</v>
      </c>
      <c r="C1192" s="28">
        <v>3902265520</v>
      </c>
    </row>
    <row r="1193" spans="1:3" ht="15.5">
      <c r="A1193" s="29">
        <v>42810</v>
      </c>
      <c r="B1193" s="28">
        <v>2.2038000000000002</v>
      </c>
      <c r="C1193" s="28">
        <v>3868625300</v>
      </c>
    </row>
    <row r="1194" spans="1:3" ht="15.5">
      <c r="A1194" s="29">
        <v>42809</v>
      </c>
      <c r="B1194" s="28">
        <v>2.1943000000000001</v>
      </c>
      <c r="C1194" s="28">
        <v>3851805190</v>
      </c>
    </row>
    <row r="1195" spans="1:3" ht="15.5">
      <c r="A1195" s="29">
        <v>42808</v>
      </c>
      <c r="B1195" s="28">
        <v>2.1558999999999999</v>
      </c>
      <c r="C1195" s="28">
        <v>3784524750</v>
      </c>
    </row>
    <row r="1196" spans="1:3" ht="15.5">
      <c r="A1196" s="29">
        <v>42807</v>
      </c>
      <c r="B1196" s="28">
        <v>2.1558999999999999</v>
      </c>
      <c r="C1196" s="28">
        <v>3784524750</v>
      </c>
    </row>
    <row r="1197" spans="1:3" ht="15.5">
      <c r="A1197" s="29">
        <v>42804</v>
      </c>
      <c r="B1197" s="28">
        <v>2.1655000000000002</v>
      </c>
      <c r="C1197" s="28">
        <v>3801344860</v>
      </c>
    </row>
    <row r="1198" spans="1:3" ht="15.5">
      <c r="A1198" s="29">
        <v>42803</v>
      </c>
      <c r="B1198" s="28">
        <v>2.1272000000000002</v>
      </c>
      <c r="C1198" s="28">
        <v>3734064420</v>
      </c>
    </row>
    <row r="1199" spans="1:3" ht="15.5">
      <c r="A1199" s="29">
        <v>42802</v>
      </c>
      <c r="B1199" s="28">
        <v>2.1368</v>
      </c>
      <c r="C1199" s="28">
        <v>3750884530</v>
      </c>
    </row>
    <row r="1200" spans="1:3" ht="15.5">
      <c r="A1200" s="29">
        <v>42801</v>
      </c>
      <c r="B1200" s="28">
        <v>2.1463000000000001</v>
      </c>
      <c r="C1200" s="28">
        <v>3767704640</v>
      </c>
    </row>
    <row r="1201" spans="1:3" ht="15.5">
      <c r="A1201" s="29">
        <v>42800</v>
      </c>
      <c r="B1201" s="28">
        <v>2.1463000000000001</v>
      </c>
      <c r="C1201" s="28">
        <v>3767704640</v>
      </c>
    </row>
    <row r="1202" spans="1:3" ht="15.5">
      <c r="A1202" s="29">
        <v>42797</v>
      </c>
      <c r="B1202" s="28">
        <v>2.1558999999999999</v>
      </c>
      <c r="C1202" s="28">
        <v>3784524750</v>
      </c>
    </row>
    <row r="1203" spans="1:3" ht="15.5">
      <c r="A1203" s="29">
        <v>42796</v>
      </c>
      <c r="B1203" s="28">
        <v>2.2229999999999999</v>
      </c>
      <c r="C1203" s="28">
        <v>3902265520</v>
      </c>
    </row>
    <row r="1204" spans="1:3" ht="15.5">
      <c r="A1204" s="29">
        <v>42795</v>
      </c>
      <c r="B1204" s="28">
        <v>2.2326000000000001</v>
      </c>
      <c r="C1204" s="28">
        <v>3919085630</v>
      </c>
    </row>
    <row r="1205" spans="1:3" ht="15.5">
      <c r="A1205" s="29">
        <v>42794</v>
      </c>
      <c r="B1205" s="28">
        <v>2.2229999999999999</v>
      </c>
      <c r="C1205" s="28">
        <v>3902265520</v>
      </c>
    </row>
    <row r="1206" spans="1:3" ht="15.5">
      <c r="A1206" s="29">
        <v>42793</v>
      </c>
      <c r="B1206" s="28">
        <v>2.2422</v>
      </c>
      <c r="C1206" s="28">
        <v>3935905740</v>
      </c>
    </row>
    <row r="1207" spans="1:3" ht="15.5">
      <c r="A1207" s="29">
        <v>42790</v>
      </c>
      <c r="B1207" s="28">
        <v>2.2517</v>
      </c>
      <c r="C1207" s="28">
        <v>3952725850</v>
      </c>
    </row>
    <row r="1208" spans="1:3" ht="15.5">
      <c r="A1208" s="29">
        <v>42789</v>
      </c>
      <c r="B1208" s="28">
        <v>2.2517</v>
      </c>
      <c r="C1208" s="28">
        <v>3952725850</v>
      </c>
    </row>
    <row r="1209" spans="1:3" ht="15.5">
      <c r="A1209" s="29">
        <v>42788</v>
      </c>
      <c r="B1209" s="28">
        <v>2.2517</v>
      </c>
      <c r="C1209" s="28">
        <v>3952725850</v>
      </c>
    </row>
    <row r="1210" spans="1:3" ht="15.5">
      <c r="A1210" s="29">
        <v>42787</v>
      </c>
      <c r="B1210" s="28">
        <v>2.2709000000000001</v>
      </c>
      <c r="C1210" s="28">
        <v>3986366070</v>
      </c>
    </row>
    <row r="1211" spans="1:3" ht="15.5">
      <c r="A1211" s="29">
        <v>42786</v>
      </c>
      <c r="B1211" s="28">
        <v>2.2900999999999998</v>
      </c>
      <c r="C1211" s="28">
        <v>4020006290</v>
      </c>
    </row>
    <row r="1212" spans="1:3" ht="15.5">
      <c r="A1212" s="29">
        <v>42783</v>
      </c>
      <c r="B1212" s="28">
        <v>2.2805</v>
      </c>
      <c r="C1212" s="28">
        <v>4003186180</v>
      </c>
    </row>
    <row r="1213" spans="1:3" ht="15.5">
      <c r="A1213" s="29">
        <v>42782</v>
      </c>
      <c r="B1213" s="28">
        <v>2.2709000000000001</v>
      </c>
      <c r="C1213" s="28">
        <v>3986366070</v>
      </c>
    </row>
    <row r="1214" spans="1:3" ht="15.5">
      <c r="A1214" s="29">
        <v>42781</v>
      </c>
      <c r="B1214" s="28">
        <v>2.2900999999999998</v>
      </c>
      <c r="C1214" s="28">
        <v>4020006290</v>
      </c>
    </row>
    <row r="1215" spans="1:3" ht="15.5">
      <c r="A1215" s="29">
        <v>42780</v>
      </c>
      <c r="B1215" s="28">
        <v>2.3283999999999998</v>
      </c>
      <c r="C1215" s="28">
        <v>4087286730</v>
      </c>
    </row>
    <row r="1216" spans="1:3" ht="15.5">
      <c r="A1216" s="29">
        <v>42779</v>
      </c>
      <c r="B1216" s="28">
        <v>2.3092000000000001</v>
      </c>
      <c r="C1216" s="28">
        <v>4053646510</v>
      </c>
    </row>
    <row r="1217" spans="1:3" ht="15.5">
      <c r="A1217" s="29">
        <v>42776</v>
      </c>
      <c r="B1217" s="28">
        <v>2.2900999999999998</v>
      </c>
      <c r="C1217" s="28">
        <v>4020006290</v>
      </c>
    </row>
    <row r="1218" spans="1:3" ht="15.5">
      <c r="A1218" s="29">
        <v>42775</v>
      </c>
      <c r="B1218" s="28">
        <v>2.2709000000000001</v>
      </c>
      <c r="C1218" s="28">
        <v>3986366070</v>
      </c>
    </row>
    <row r="1219" spans="1:3" ht="15.5">
      <c r="A1219" s="29">
        <v>42774</v>
      </c>
      <c r="B1219" s="28">
        <v>2.2612999999999999</v>
      </c>
      <c r="C1219" s="28">
        <v>3969545960</v>
      </c>
    </row>
    <row r="1220" spans="1:3" ht="15.5">
      <c r="A1220" s="29">
        <v>42773</v>
      </c>
      <c r="B1220" s="28">
        <v>2.2612999999999999</v>
      </c>
      <c r="C1220" s="28">
        <v>3969545960</v>
      </c>
    </row>
    <row r="1221" spans="1:3" ht="15.5">
      <c r="A1221" s="29">
        <v>42772</v>
      </c>
      <c r="B1221" s="28">
        <v>2.2422</v>
      </c>
      <c r="C1221" s="28">
        <v>3935905740</v>
      </c>
    </row>
    <row r="1222" spans="1:3" ht="15.5">
      <c r="A1222" s="29">
        <v>42769</v>
      </c>
      <c r="B1222" s="28">
        <v>2.2612999999999999</v>
      </c>
      <c r="C1222" s="28">
        <v>3969545960</v>
      </c>
    </row>
    <row r="1223" spans="1:3" ht="15.5">
      <c r="A1223" s="29">
        <v>42768</v>
      </c>
      <c r="B1223" s="28">
        <v>2.2612999999999999</v>
      </c>
      <c r="C1223" s="28">
        <v>3969545960</v>
      </c>
    </row>
    <row r="1224" spans="1:3" ht="15.5">
      <c r="A1224" s="29">
        <v>42767</v>
      </c>
      <c r="B1224" s="28">
        <v>2.2612999999999999</v>
      </c>
      <c r="C1224" s="28">
        <v>3969545960</v>
      </c>
    </row>
    <row r="1225" spans="1:3" ht="15.5">
      <c r="A1225" s="29">
        <v>42766</v>
      </c>
      <c r="B1225" s="28">
        <v>2.2422</v>
      </c>
      <c r="C1225" s="28">
        <v>3935905740</v>
      </c>
    </row>
    <row r="1226" spans="1:3" ht="15.5">
      <c r="A1226" s="29">
        <v>42765</v>
      </c>
      <c r="B1226" s="28">
        <v>2.2422</v>
      </c>
      <c r="C1226" s="28">
        <v>3935905740</v>
      </c>
    </row>
    <row r="1227" spans="1:3" ht="15.5">
      <c r="A1227" s="29">
        <v>42762</v>
      </c>
      <c r="B1227" s="28">
        <v>2.2517</v>
      </c>
      <c r="C1227" s="28">
        <v>3952725850</v>
      </c>
    </row>
    <row r="1228" spans="1:3" ht="15.5">
      <c r="A1228" s="29">
        <v>42760</v>
      </c>
      <c r="B1228" s="28">
        <v>2.2134</v>
      </c>
      <c r="C1228" s="28">
        <v>3885445410</v>
      </c>
    </row>
    <row r="1229" spans="1:3" ht="15.5">
      <c r="A1229" s="29">
        <v>42759</v>
      </c>
      <c r="B1229" s="28">
        <v>2.2422</v>
      </c>
      <c r="C1229" s="28">
        <v>3935905740</v>
      </c>
    </row>
    <row r="1230" spans="1:3" ht="15.5">
      <c r="A1230" s="29">
        <v>42758</v>
      </c>
      <c r="B1230" s="28">
        <v>2.2612999999999999</v>
      </c>
      <c r="C1230" s="28">
        <v>3969545960</v>
      </c>
    </row>
    <row r="1231" spans="1:3" ht="15.5">
      <c r="A1231" s="29">
        <v>42755</v>
      </c>
      <c r="B1231" s="28">
        <v>2.2900999999999998</v>
      </c>
      <c r="C1231" s="28">
        <v>4020006290</v>
      </c>
    </row>
    <row r="1232" spans="1:3" ht="15.5">
      <c r="A1232" s="29">
        <v>42754</v>
      </c>
      <c r="B1232" s="28">
        <v>2.2422</v>
      </c>
      <c r="C1232" s="28">
        <v>3935905740</v>
      </c>
    </row>
    <row r="1233" spans="1:3" ht="15.5">
      <c r="A1233" s="29">
        <v>42753</v>
      </c>
      <c r="B1233" s="28">
        <v>2.2326000000000001</v>
      </c>
      <c r="C1233" s="28">
        <v>3919085630</v>
      </c>
    </row>
    <row r="1234" spans="1:3" ht="15.5">
      <c r="A1234" s="29">
        <v>42752</v>
      </c>
      <c r="B1234" s="28">
        <v>2.2326000000000001</v>
      </c>
      <c r="C1234" s="28">
        <v>3919085630</v>
      </c>
    </row>
    <row r="1235" spans="1:3" ht="15.5">
      <c r="A1235" s="29">
        <v>42751</v>
      </c>
      <c r="B1235" s="28">
        <v>2.2612999999999999</v>
      </c>
      <c r="C1235" s="28">
        <v>3969545960</v>
      </c>
    </row>
    <row r="1236" spans="1:3" ht="15.5">
      <c r="A1236" s="29">
        <v>42748</v>
      </c>
      <c r="B1236" s="28">
        <v>2.2612999999999999</v>
      </c>
      <c r="C1236" s="28">
        <v>3969545960</v>
      </c>
    </row>
    <row r="1237" spans="1:3" ht="15.5">
      <c r="A1237" s="29">
        <v>42747</v>
      </c>
      <c r="B1237" s="28">
        <v>2.2612999999999999</v>
      </c>
      <c r="C1237" s="28">
        <v>3969545960</v>
      </c>
    </row>
    <row r="1238" spans="1:3" ht="15.5">
      <c r="A1238" s="29">
        <v>42746</v>
      </c>
      <c r="B1238" s="28">
        <v>2.2709000000000001</v>
      </c>
      <c r="C1238" s="28">
        <v>3986366070</v>
      </c>
    </row>
    <row r="1239" spans="1:3" ht="15.5">
      <c r="A1239" s="29">
        <v>42745</v>
      </c>
      <c r="B1239" s="28">
        <v>2.2900999999999998</v>
      </c>
      <c r="C1239" s="28">
        <v>4020006290</v>
      </c>
    </row>
    <row r="1240" spans="1:3" ht="15.5">
      <c r="A1240" s="29">
        <v>42744</v>
      </c>
      <c r="B1240" s="28">
        <v>2.3092000000000001</v>
      </c>
      <c r="C1240" s="28">
        <v>4053646510</v>
      </c>
    </row>
    <row r="1241" spans="1:3" ht="15.5">
      <c r="A1241" s="29">
        <v>42741</v>
      </c>
      <c r="B1241" s="28">
        <v>2.3092000000000001</v>
      </c>
      <c r="C1241" s="28">
        <v>4053646510</v>
      </c>
    </row>
    <row r="1242" spans="1:3" ht="15.5">
      <c r="A1242" s="29">
        <v>42740</v>
      </c>
      <c r="B1242" s="28">
        <v>2.2612999999999999</v>
      </c>
      <c r="C1242" s="28">
        <v>3969545960</v>
      </c>
    </row>
    <row r="1243" spans="1:3" ht="15.5">
      <c r="A1243" s="29">
        <v>42739</v>
      </c>
      <c r="B1243" s="28">
        <v>2.2805</v>
      </c>
      <c r="C1243" s="28">
        <v>4003186180</v>
      </c>
    </row>
    <row r="1244" spans="1:3" ht="15.5">
      <c r="A1244" s="29">
        <v>42738</v>
      </c>
      <c r="B1244" s="28">
        <v>2.2900999999999998</v>
      </c>
      <c r="C1244" s="28">
        <v>4020006290</v>
      </c>
    </row>
    <row r="1245" spans="1:3" ht="15.5">
      <c r="A1245" s="29">
        <v>42734</v>
      </c>
      <c r="B1245" s="28">
        <v>2.2805</v>
      </c>
      <c r="C1245" s="28">
        <v>4003186180</v>
      </c>
    </row>
    <row r="1246" spans="1:3" ht="15.5">
      <c r="A1246" s="29">
        <v>42733</v>
      </c>
      <c r="B1246" s="28">
        <v>2.2709000000000001</v>
      </c>
      <c r="C1246" s="28">
        <v>3986366070</v>
      </c>
    </row>
    <row r="1247" spans="1:3" ht="15.5">
      <c r="A1247" s="29">
        <v>42732</v>
      </c>
      <c r="B1247" s="28">
        <v>2.2612999999999999</v>
      </c>
      <c r="C1247" s="28">
        <v>3969545960</v>
      </c>
    </row>
    <row r="1248" spans="1:3" ht="15.5">
      <c r="A1248" s="29">
        <v>42727</v>
      </c>
      <c r="B1248" s="28">
        <v>2.2709000000000001</v>
      </c>
      <c r="C1248" s="28">
        <v>3986366070</v>
      </c>
    </row>
    <row r="1249" spans="1:3" ht="15.5">
      <c r="A1249" s="29">
        <v>42726</v>
      </c>
      <c r="B1249" s="28">
        <v>2.2517</v>
      </c>
      <c r="C1249" s="28">
        <v>3952725850</v>
      </c>
    </row>
    <row r="1250" spans="1:3" ht="15.5">
      <c r="A1250" s="29">
        <v>42725</v>
      </c>
      <c r="B1250" s="28">
        <v>2.2422</v>
      </c>
      <c r="C1250" s="28">
        <v>3935905740</v>
      </c>
    </row>
    <row r="1251" spans="1:3" ht="15.5">
      <c r="A1251" s="29">
        <v>42724</v>
      </c>
      <c r="B1251" s="28">
        <v>2.2326000000000001</v>
      </c>
      <c r="C1251" s="28">
        <v>3919085630</v>
      </c>
    </row>
    <row r="1252" spans="1:3" ht="15.5">
      <c r="A1252" s="29">
        <v>42723</v>
      </c>
      <c r="B1252" s="28">
        <v>2.2134</v>
      </c>
      <c r="C1252" s="28">
        <v>3885445410</v>
      </c>
    </row>
    <row r="1253" spans="1:3" ht="15.5">
      <c r="A1253" s="29">
        <v>42720</v>
      </c>
      <c r="B1253" s="28">
        <v>2.2038000000000002</v>
      </c>
      <c r="C1253" s="28">
        <v>3868625300</v>
      </c>
    </row>
    <row r="1254" spans="1:3" ht="15.5">
      <c r="A1254" s="29">
        <v>42719</v>
      </c>
      <c r="B1254" s="28">
        <v>2.1751</v>
      </c>
      <c r="C1254" s="28">
        <v>3818164970</v>
      </c>
    </row>
    <row r="1255" spans="1:3" ht="15.5">
      <c r="A1255" s="29">
        <v>42718</v>
      </c>
      <c r="B1255" s="28">
        <v>2.2422</v>
      </c>
      <c r="C1255" s="28">
        <v>3935905740</v>
      </c>
    </row>
    <row r="1256" spans="1:3" ht="15.5">
      <c r="A1256" s="29">
        <v>42717</v>
      </c>
      <c r="B1256" s="28">
        <v>2.1943000000000001</v>
      </c>
      <c r="C1256" s="28">
        <v>3851805190</v>
      </c>
    </row>
    <row r="1257" spans="1:3" ht="15.5">
      <c r="A1257" s="29">
        <v>42716</v>
      </c>
      <c r="B1257" s="28">
        <v>2.2134</v>
      </c>
      <c r="C1257" s="28">
        <v>3885445410</v>
      </c>
    </row>
    <row r="1258" spans="1:3" ht="15.5">
      <c r="A1258" s="29">
        <v>42713</v>
      </c>
      <c r="B1258" s="28">
        <v>2.1943000000000001</v>
      </c>
      <c r="C1258" s="28">
        <v>3851805190</v>
      </c>
    </row>
    <row r="1259" spans="1:3" ht="15.5">
      <c r="A1259" s="29">
        <v>42712</v>
      </c>
      <c r="B1259" s="28">
        <v>2.1846999999999999</v>
      </c>
      <c r="C1259" s="28">
        <v>3834985080</v>
      </c>
    </row>
    <row r="1260" spans="1:3" ht="15.5">
      <c r="A1260" s="29">
        <v>42711</v>
      </c>
      <c r="B1260" s="28">
        <v>2.1558999999999999</v>
      </c>
      <c r="C1260" s="28">
        <v>3784524750</v>
      </c>
    </row>
    <row r="1261" spans="1:3" ht="15.5">
      <c r="A1261" s="29">
        <v>42710</v>
      </c>
      <c r="B1261" s="28">
        <v>2.1558999999999999</v>
      </c>
      <c r="C1261" s="28">
        <v>3784524750</v>
      </c>
    </row>
    <row r="1262" spans="1:3" ht="15.5">
      <c r="A1262" s="29">
        <v>42709</v>
      </c>
      <c r="B1262" s="28">
        <v>2.1463000000000001</v>
      </c>
      <c r="C1262" s="28">
        <v>3767704640</v>
      </c>
    </row>
    <row r="1263" spans="1:3" ht="15.5">
      <c r="A1263" s="29">
        <v>42706</v>
      </c>
      <c r="B1263" s="28">
        <v>2.0983999999999998</v>
      </c>
      <c r="C1263" s="28">
        <v>3683604090</v>
      </c>
    </row>
    <row r="1264" spans="1:3" ht="15.5">
      <c r="A1264" s="29">
        <v>42705</v>
      </c>
      <c r="B1264" s="28">
        <v>2.1463000000000001</v>
      </c>
      <c r="C1264" s="28">
        <v>3767704640</v>
      </c>
    </row>
    <row r="1265" spans="1:3" ht="15.5">
      <c r="A1265" s="29">
        <v>42704</v>
      </c>
      <c r="B1265" s="28">
        <v>2.1558999999999999</v>
      </c>
      <c r="C1265" s="28">
        <v>3784524750</v>
      </c>
    </row>
    <row r="1266" spans="1:3" ht="15.5">
      <c r="A1266" s="29">
        <v>42703</v>
      </c>
      <c r="B1266" s="28">
        <v>2.1368</v>
      </c>
      <c r="C1266" s="28">
        <v>3750884530</v>
      </c>
    </row>
    <row r="1267" spans="1:3" ht="15.5">
      <c r="A1267" s="29">
        <v>42702</v>
      </c>
      <c r="B1267" s="28">
        <v>2.1368</v>
      </c>
      <c r="C1267" s="28">
        <v>3750884530</v>
      </c>
    </row>
    <row r="1268" spans="1:3" ht="15.5">
      <c r="A1268" s="29">
        <v>42699</v>
      </c>
      <c r="B1268" s="28">
        <v>2.1463000000000001</v>
      </c>
      <c r="C1268" s="28">
        <v>3767704640</v>
      </c>
    </row>
    <row r="1269" spans="1:3" ht="15.5">
      <c r="A1269" s="29">
        <v>42698</v>
      </c>
      <c r="B1269" s="28">
        <v>2.1272000000000002</v>
      </c>
      <c r="C1269" s="28">
        <v>3734064420</v>
      </c>
    </row>
    <row r="1270" spans="1:3" ht="15.5">
      <c r="A1270" s="29">
        <v>42697</v>
      </c>
      <c r="B1270" s="28">
        <v>2.1080000000000001</v>
      </c>
      <c r="C1270" s="28">
        <v>3700424200</v>
      </c>
    </row>
    <row r="1271" spans="1:3" ht="15.5">
      <c r="A1271" s="29">
        <v>42696</v>
      </c>
      <c r="B1271" s="28">
        <v>2.0792999999999999</v>
      </c>
      <c r="C1271" s="28">
        <v>3649963870</v>
      </c>
    </row>
    <row r="1272" spans="1:3" ht="15.5">
      <c r="A1272" s="29">
        <v>42695</v>
      </c>
      <c r="B1272" s="28">
        <v>2.0217999999999998</v>
      </c>
      <c r="C1272" s="28">
        <v>3549043210</v>
      </c>
    </row>
    <row r="1273" spans="1:3" ht="15.5">
      <c r="A1273" s="29">
        <v>42692</v>
      </c>
      <c r="B1273" s="28">
        <v>2.0217999999999998</v>
      </c>
      <c r="C1273" s="28">
        <v>3549043210</v>
      </c>
    </row>
    <row r="1274" spans="1:3" ht="15.5">
      <c r="A1274" s="29">
        <v>42691</v>
      </c>
      <c r="B1274" s="28">
        <v>1.9739</v>
      </c>
      <c r="C1274" s="28">
        <v>3464942660</v>
      </c>
    </row>
    <row r="1275" spans="1:3" ht="15.5">
      <c r="A1275" s="29">
        <v>42690</v>
      </c>
      <c r="B1275" s="28">
        <v>1.9164000000000001</v>
      </c>
      <c r="C1275" s="28">
        <v>3364022000</v>
      </c>
    </row>
    <row r="1276" spans="1:3" ht="15.5">
      <c r="A1276" s="29">
        <v>42689</v>
      </c>
      <c r="B1276" s="28">
        <v>1.8685</v>
      </c>
      <c r="C1276" s="28">
        <v>3279921450</v>
      </c>
    </row>
    <row r="1277" spans="1:3" ht="15.5">
      <c r="A1277" s="29">
        <v>42688</v>
      </c>
      <c r="B1277" s="28">
        <v>1.9019999999999999</v>
      </c>
      <c r="C1277" s="28">
        <v>3338791835</v>
      </c>
    </row>
    <row r="1278" spans="1:3" ht="15.5">
      <c r="A1278" s="29">
        <v>42685</v>
      </c>
      <c r="B1278" s="28">
        <v>1.9355</v>
      </c>
      <c r="C1278" s="28">
        <v>3397662220</v>
      </c>
    </row>
    <row r="1279" spans="1:3" ht="15.5">
      <c r="A1279" s="29">
        <v>42684</v>
      </c>
      <c r="B1279" s="28">
        <v>2.0122</v>
      </c>
      <c r="C1279" s="28">
        <v>3532223100</v>
      </c>
    </row>
    <row r="1280" spans="1:3" ht="15.5">
      <c r="A1280" s="29">
        <v>42683</v>
      </c>
      <c r="B1280" s="28">
        <v>2.0697000000000001</v>
      </c>
      <c r="C1280" s="28">
        <v>3633143760</v>
      </c>
    </row>
    <row r="1281" spans="1:3" ht="15.5">
      <c r="A1281" s="29">
        <v>42682</v>
      </c>
      <c r="B1281" s="28">
        <v>2.1080000000000001</v>
      </c>
      <c r="C1281" s="28">
        <v>3700424200</v>
      </c>
    </row>
    <row r="1282" spans="1:3" ht="15.5">
      <c r="A1282" s="29">
        <v>42681</v>
      </c>
      <c r="B1282" s="28">
        <v>2.1272000000000002</v>
      </c>
      <c r="C1282" s="28">
        <v>3734064420</v>
      </c>
    </row>
    <row r="1283" spans="1:3" ht="15.5">
      <c r="A1283" s="29">
        <v>42678</v>
      </c>
      <c r="B1283" s="28">
        <v>2.1272000000000002</v>
      </c>
      <c r="C1283" s="28">
        <v>3734064420</v>
      </c>
    </row>
    <row r="1284" spans="1:3" ht="15.5">
      <c r="A1284" s="29">
        <v>42677</v>
      </c>
      <c r="B1284" s="28">
        <v>2.1272000000000002</v>
      </c>
      <c r="C1284" s="28">
        <v>3734064420</v>
      </c>
    </row>
    <row r="1285" spans="1:3" ht="15.5">
      <c r="A1285" s="29">
        <v>42676</v>
      </c>
      <c r="B1285" s="28">
        <v>2.1368</v>
      </c>
      <c r="C1285" s="28">
        <v>3750884530</v>
      </c>
    </row>
    <row r="1286" spans="1:3" ht="15.5">
      <c r="A1286" s="29">
        <v>42675</v>
      </c>
      <c r="B1286" s="28">
        <v>2.1463000000000001</v>
      </c>
      <c r="C1286" s="28">
        <v>3767704640</v>
      </c>
    </row>
    <row r="1287" spans="1:3" ht="15.5">
      <c r="A1287" s="29">
        <v>42674</v>
      </c>
      <c r="B1287" s="28">
        <v>2.1272000000000002</v>
      </c>
      <c r="C1287" s="28">
        <v>3734064420</v>
      </c>
    </row>
    <row r="1288" spans="1:3" ht="15.5">
      <c r="A1288" s="29">
        <v>42671</v>
      </c>
      <c r="B1288" s="28">
        <v>2.0983999999999998</v>
      </c>
      <c r="C1288" s="28">
        <v>3683604090</v>
      </c>
    </row>
    <row r="1289" spans="1:3" ht="15.5">
      <c r="A1289" s="29">
        <v>42670</v>
      </c>
      <c r="B1289" s="28">
        <v>2.0983999999999998</v>
      </c>
      <c r="C1289" s="28">
        <v>3683604090</v>
      </c>
    </row>
    <row r="1290" spans="1:3" ht="15.5">
      <c r="A1290" s="29">
        <v>42669</v>
      </c>
      <c r="B1290" s="28">
        <v>2.0888</v>
      </c>
      <c r="C1290" s="28">
        <v>3666783980</v>
      </c>
    </row>
    <row r="1291" spans="1:3" ht="15.5">
      <c r="A1291" s="29">
        <v>42668</v>
      </c>
      <c r="B1291" s="28">
        <v>2.1080000000000001</v>
      </c>
      <c r="C1291" s="28">
        <v>3700424200</v>
      </c>
    </row>
    <row r="1292" spans="1:3" ht="15.5">
      <c r="A1292" s="29">
        <v>42667</v>
      </c>
      <c r="B1292" s="28">
        <v>2.0792999999999999</v>
      </c>
      <c r="C1292" s="28">
        <v>3649963870</v>
      </c>
    </row>
    <row r="1293" spans="1:3" ht="15.5">
      <c r="A1293" s="29">
        <v>42664</v>
      </c>
      <c r="B1293" s="28">
        <v>2.1272000000000002</v>
      </c>
      <c r="C1293" s="28">
        <v>3734064420</v>
      </c>
    </row>
    <row r="1294" spans="1:3" ht="15.5">
      <c r="A1294" s="29">
        <v>42663</v>
      </c>
      <c r="B1294" s="28">
        <v>2.1558999999999999</v>
      </c>
      <c r="C1294" s="28">
        <v>3784524750</v>
      </c>
    </row>
    <row r="1295" spans="1:3" ht="15.5">
      <c r="A1295" s="29">
        <v>42662</v>
      </c>
      <c r="B1295" s="28">
        <v>2.1558999999999999</v>
      </c>
      <c r="C1295" s="28">
        <v>3784524750</v>
      </c>
    </row>
    <row r="1296" spans="1:3" ht="15.5">
      <c r="A1296" s="29">
        <v>42661</v>
      </c>
      <c r="B1296" s="28">
        <v>2.1463000000000001</v>
      </c>
      <c r="C1296" s="28">
        <v>3767704640</v>
      </c>
    </row>
    <row r="1297" spans="1:3" ht="15.5">
      <c r="A1297" s="29">
        <v>42660</v>
      </c>
      <c r="B1297" s="28">
        <v>2.1175999999999999</v>
      </c>
      <c r="C1297" s="28">
        <v>3717244310</v>
      </c>
    </row>
    <row r="1298" spans="1:3" ht="15.5">
      <c r="A1298" s="29">
        <v>42657</v>
      </c>
      <c r="B1298" s="28">
        <v>2.1558999999999999</v>
      </c>
      <c r="C1298" s="28">
        <v>3784524750</v>
      </c>
    </row>
    <row r="1299" spans="1:3" ht="15.5">
      <c r="A1299" s="29">
        <v>42656</v>
      </c>
      <c r="B1299" s="28">
        <v>2.1272000000000002</v>
      </c>
      <c r="C1299" s="28">
        <v>3734064420</v>
      </c>
    </row>
    <row r="1300" spans="1:3" ht="15.5">
      <c r="A1300" s="29">
        <v>42655</v>
      </c>
      <c r="B1300" s="28">
        <v>2.0983999999999998</v>
      </c>
      <c r="C1300" s="28">
        <v>3683604090</v>
      </c>
    </row>
    <row r="1301" spans="1:3" ht="15.5">
      <c r="A1301" s="29">
        <v>42654</v>
      </c>
      <c r="B1301" s="28">
        <v>2.1463000000000001</v>
      </c>
      <c r="C1301" s="28">
        <v>3767704640</v>
      </c>
    </row>
    <row r="1302" spans="1:3" ht="15.5">
      <c r="A1302" s="29">
        <v>42653</v>
      </c>
      <c r="B1302" s="28">
        <v>2.1272000000000002</v>
      </c>
      <c r="C1302" s="28">
        <v>3734064420</v>
      </c>
    </row>
    <row r="1303" spans="1:3" ht="15.5">
      <c r="A1303" s="29">
        <v>42650</v>
      </c>
      <c r="B1303" s="28">
        <v>2.1463000000000001</v>
      </c>
      <c r="C1303" s="28">
        <v>3767704640</v>
      </c>
    </row>
    <row r="1304" spans="1:3" ht="15.5">
      <c r="A1304" s="29">
        <v>42649</v>
      </c>
      <c r="B1304" s="28">
        <v>2.1943000000000001</v>
      </c>
      <c r="C1304" s="28">
        <v>3851805190</v>
      </c>
    </row>
    <row r="1305" spans="1:3" ht="15.5">
      <c r="A1305" s="29">
        <v>42648</v>
      </c>
      <c r="B1305" s="28">
        <v>2.1558999999999999</v>
      </c>
      <c r="C1305" s="28">
        <v>3784524750</v>
      </c>
    </row>
    <row r="1306" spans="1:3" ht="15.5">
      <c r="A1306" s="29">
        <v>42647</v>
      </c>
      <c r="B1306" s="28">
        <v>2.1943000000000001</v>
      </c>
      <c r="C1306" s="28">
        <v>3851805190</v>
      </c>
    </row>
    <row r="1307" spans="1:3" ht="15.5">
      <c r="A1307" s="29">
        <v>42646</v>
      </c>
      <c r="B1307" s="28">
        <v>2.2326000000000001</v>
      </c>
      <c r="C1307" s="28">
        <v>3919085630</v>
      </c>
    </row>
    <row r="1308" spans="1:3" ht="15.5">
      <c r="A1308" s="29">
        <v>42643</v>
      </c>
      <c r="B1308" s="28">
        <v>2.2134</v>
      </c>
      <c r="C1308" s="28">
        <v>3885445410</v>
      </c>
    </row>
    <row r="1309" spans="1:3" ht="15.5">
      <c r="A1309" s="29">
        <v>42642</v>
      </c>
      <c r="B1309" s="28">
        <v>2.2326000000000001</v>
      </c>
      <c r="C1309" s="28">
        <v>3919085630</v>
      </c>
    </row>
    <row r="1310" spans="1:3" ht="15.5">
      <c r="A1310" s="29">
        <v>42641</v>
      </c>
      <c r="B1310" s="28">
        <v>2.2422</v>
      </c>
      <c r="C1310" s="28">
        <v>3935905740</v>
      </c>
    </row>
    <row r="1311" spans="1:3" ht="15.5">
      <c r="A1311" s="29">
        <v>42640</v>
      </c>
      <c r="B1311" s="28">
        <v>2.2229999999999999</v>
      </c>
      <c r="C1311" s="28">
        <v>3902265520</v>
      </c>
    </row>
    <row r="1312" spans="1:3" ht="15.5">
      <c r="A1312" s="29">
        <v>42639</v>
      </c>
      <c r="B1312" s="28">
        <v>2.2612999999999999</v>
      </c>
      <c r="C1312" s="28">
        <v>3969545960</v>
      </c>
    </row>
    <row r="1313" spans="1:3" ht="15.5">
      <c r="A1313" s="29">
        <v>42636</v>
      </c>
      <c r="B1313" s="28">
        <v>2.2709000000000001</v>
      </c>
      <c r="C1313" s="28">
        <v>3986366070</v>
      </c>
    </row>
    <row r="1314" spans="1:3" ht="15.5">
      <c r="A1314" s="29">
        <v>42635</v>
      </c>
      <c r="B1314" s="28">
        <v>2.2805</v>
      </c>
      <c r="C1314" s="28">
        <v>4003186180</v>
      </c>
    </row>
    <row r="1315" spans="1:3" ht="15.5">
      <c r="A1315" s="29">
        <v>42634</v>
      </c>
      <c r="B1315" s="28">
        <v>2.2900999999999998</v>
      </c>
      <c r="C1315" s="28">
        <v>4020006290</v>
      </c>
    </row>
    <row r="1316" spans="1:3" ht="15.5">
      <c r="A1316" s="29">
        <v>42633</v>
      </c>
      <c r="B1316" s="28">
        <v>2.2997000000000001</v>
      </c>
      <c r="C1316" s="28">
        <v>4036826400</v>
      </c>
    </row>
    <row r="1317" spans="1:3" ht="15.5">
      <c r="A1317" s="29">
        <v>42632</v>
      </c>
      <c r="B1317" s="28">
        <v>2.2805</v>
      </c>
      <c r="C1317" s="28">
        <v>4003186180</v>
      </c>
    </row>
    <row r="1318" spans="1:3" ht="15.5">
      <c r="A1318" s="29">
        <v>42629</v>
      </c>
      <c r="B1318" s="28">
        <v>2.2805</v>
      </c>
      <c r="C1318" s="28">
        <v>4003186180</v>
      </c>
    </row>
    <row r="1319" spans="1:3" ht="15.5">
      <c r="A1319" s="29">
        <v>42628</v>
      </c>
      <c r="B1319" s="28">
        <v>2.2038000000000002</v>
      </c>
      <c r="C1319" s="28">
        <v>3868625300</v>
      </c>
    </row>
    <row r="1320" spans="1:3" ht="15.5">
      <c r="A1320" s="29">
        <v>42627</v>
      </c>
      <c r="B1320" s="28">
        <v>2.2134</v>
      </c>
      <c r="C1320" s="28">
        <v>3885445410</v>
      </c>
    </row>
    <row r="1321" spans="1:3" ht="15.5">
      <c r="A1321" s="29">
        <v>42626</v>
      </c>
      <c r="B1321" s="28">
        <v>2.2134</v>
      </c>
      <c r="C1321" s="28">
        <v>3885445410</v>
      </c>
    </row>
    <row r="1322" spans="1:3" ht="15.5">
      <c r="A1322" s="29">
        <v>42625</v>
      </c>
      <c r="B1322" s="28">
        <v>2.2326000000000001</v>
      </c>
      <c r="C1322" s="28">
        <v>3919085630</v>
      </c>
    </row>
    <row r="1323" spans="1:3" ht="15.5">
      <c r="A1323" s="29">
        <v>42622</v>
      </c>
      <c r="B1323" s="28">
        <v>2.2997000000000001</v>
      </c>
      <c r="C1323" s="28">
        <v>4036826400</v>
      </c>
    </row>
    <row r="1324" spans="1:3" ht="15.5">
      <c r="A1324" s="29">
        <v>42621</v>
      </c>
      <c r="B1324" s="28">
        <v>2.2805</v>
      </c>
      <c r="C1324" s="28">
        <v>4003186180</v>
      </c>
    </row>
    <row r="1325" spans="1:3" ht="15.5">
      <c r="A1325" s="29">
        <v>42620</v>
      </c>
      <c r="B1325" s="28">
        <v>2.2997000000000001</v>
      </c>
      <c r="C1325" s="28">
        <v>4036826400</v>
      </c>
    </row>
    <row r="1326" spans="1:3" ht="15.5">
      <c r="A1326" s="29">
        <v>42619</v>
      </c>
      <c r="B1326" s="28">
        <v>2.3092000000000001</v>
      </c>
      <c r="C1326" s="28">
        <v>4053646510</v>
      </c>
    </row>
    <row r="1327" spans="1:3" ht="15.5">
      <c r="A1327" s="29">
        <v>42618</v>
      </c>
      <c r="B1327" s="28">
        <v>2.3092000000000001</v>
      </c>
      <c r="C1327" s="28">
        <v>4053646510</v>
      </c>
    </row>
    <row r="1328" spans="1:3" ht="15.5">
      <c r="A1328" s="29">
        <v>42615</v>
      </c>
      <c r="B1328" s="28">
        <v>2.3955000000000002</v>
      </c>
      <c r="C1328" s="28">
        <v>4205027500</v>
      </c>
    </row>
    <row r="1329" spans="1:3" ht="15.5">
      <c r="A1329" s="29">
        <v>42614</v>
      </c>
      <c r="B1329" s="28">
        <v>2.4241999999999999</v>
      </c>
      <c r="C1329" s="28">
        <v>4255487830</v>
      </c>
    </row>
    <row r="1330" spans="1:3" ht="15.5">
      <c r="A1330" s="29">
        <v>42613</v>
      </c>
      <c r="B1330" s="28">
        <v>2.4338000000000002</v>
      </c>
      <c r="C1330" s="28">
        <v>4272307940</v>
      </c>
    </row>
    <row r="1331" spans="1:3" ht="15.5">
      <c r="A1331" s="29">
        <v>42612</v>
      </c>
      <c r="B1331" s="28">
        <v>2.4434</v>
      </c>
      <c r="C1331" s="28">
        <v>4289128050</v>
      </c>
    </row>
    <row r="1332" spans="1:3" ht="15.5">
      <c r="A1332" s="29">
        <v>42611</v>
      </c>
      <c r="B1332" s="28">
        <v>2.4338000000000002</v>
      </c>
      <c r="C1332" s="28">
        <v>4272307940</v>
      </c>
    </row>
    <row r="1333" spans="1:3" ht="15.5">
      <c r="A1333" s="29">
        <v>42608</v>
      </c>
      <c r="B1333" s="28">
        <v>2.4624999999999999</v>
      </c>
      <c r="C1333" s="28">
        <v>4322768270</v>
      </c>
    </row>
    <row r="1334" spans="1:3" ht="15.5">
      <c r="A1334" s="29">
        <v>42607</v>
      </c>
      <c r="B1334" s="28">
        <v>2.4817</v>
      </c>
      <c r="C1334" s="28">
        <v>4356408490</v>
      </c>
    </row>
    <row r="1335" spans="1:3" ht="15.5">
      <c r="A1335" s="29">
        <v>42606</v>
      </c>
      <c r="B1335" s="28">
        <v>2.4434</v>
      </c>
      <c r="C1335" s="28">
        <v>4289128050</v>
      </c>
    </row>
    <row r="1336" spans="1:3" ht="15.5">
      <c r="A1336" s="29">
        <v>42605</v>
      </c>
      <c r="B1336" s="28">
        <v>2.4529999999999998</v>
      </c>
      <c r="C1336" s="28">
        <v>4305948160</v>
      </c>
    </row>
    <row r="1337" spans="1:3" ht="15.5">
      <c r="A1337" s="29">
        <v>42604</v>
      </c>
      <c r="B1337" s="28">
        <v>2.4051</v>
      </c>
      <c r="C1337" s="28">
        <v>4221847610</v>
      </c>
    </row>
    <row r="1338" spans="1:3" ht="15.5">
      <c r="A1338" s="29">
        <v>42601</v>
      </c>
      <c r="B1338" s="28">
        <v>2.3666999999999998</v>
      </c>
      <c r="C1338" s="28">
        <v>4154567170</v>
      </c>
    </row>
    <row r="1339" spans="1:3" ht="15.5">
      <c r="A1339" s="29">
        <v>42600</v>
      </c>
      <c r="B1339" s="28">
        <v>2.3380000000000001</v>
      </c>
      <c r="C1339" s="28">
        <v>4104106840</v>
      </c>
    </row>
    <row r="1340" spans="1:3" ht="15.5">
      <c r="A1340" s="29">
        <v>42599</v>
      </c>
      <c r="B1340" s="28">
        <v>2.3571</v>
      </c>
      <c r="C1340" s="28">
        <v>4137747060</v>
      </c>
    </row>
    <row r="1341" spans="1:3" ht="15.5">
      <c r="A1341" s="29">
        <v>42598</v>
      </c>
      <c r="B1341" s="28">
        <v>2.3475999999999999</v>
      </c>
      <c r="C1341" s="28">
        <v>4120926950</v>
      </c>
    </row>
    <row r="1342" spans="1:3" ht="15.5">
      <c r="A1342" s="29">
        <v>42597</v>
      </c>
      <c r="B1342" s="28">
        <v>2.3666999999999998</v>
      </c>
      <c r="C1342" s="28">
        <v>4154567170</v>
      </c>
    </row>
    <row r="1343" spans="1:3" ht="15.5">
      <c r="A1343" s="29">
        <v>42594</v>
      </c>
      <c r="B1343" s="28">
        <v>2.3666999999999998</v>
      </c>
      <c r="C1343" s="28">
        <v>4154567170</v>
      </c>
    </row>
    <row r="1344" spans="1:3" ht="15.5">
      <c r="A1344" s="29">
        <v>42593</v>
      </c>
      <c r="B1344" s="28">
        <v>2.3955000000000002</v>
      </c>
      <c r="C1344" s="28">
        <v>4205027500</v>
      </c>
    </row>
    <row r="1345" spans="1:3" ht="15.5">
      <c r="A1345" s="29">
        <v>42592</v>
      </c>
      <c r="B1345" s="28">
        <v>2.4338000000000002</v>
      </c>
      <c r="C1345" s="28">
        <v>4272307940</v>
      </c>
    </row>
    <row r="1346" spans="1:3" ht="15.5">
      <c r="A1346" s="29">
        <v>42591</v>
      </c>
      <c r="B1346" s="28">
        <v>2.4338000000000002</v>
      </c>
      <c r="C1346" s="28">
        <v>4272307940</v>
      </c>
    </row>
    <row r="1347" spans="1:3" ht="15.5">
      <c r="A1347" s="29">
        <v>42590</v>
      </c>
      <c r="B1347" s="28">
        <v>2.4624999999999999</v>
      </c>
      <c r="C1347" s="28">
        <v>4322768270</v>
      </c>
    </row>
    <row r="1348" spans="1:3" ht="15.5">
      <c r="A1348" s="29">
        <v>42587</v>
      </c>
      <c r="B1348" s="28">
        <v>2.4912999999999998</v>
      </c>
      <c r="C1348" s="28">
        <v>4373228600</v>
      </c>
    </row>
    <row r="1349" spans="1:3" ht="15.5">
      <c r="A1349" s="29">
        <v>42586</v>
      </c>
      <c r="B1349" s="28">
        <v>2.4912999999999998</v>
      </c>
      <c r="C1349" s="28">
        <v>4373228600</v>
      </c>
    </row>
    <row r="1350" spans="1:3" ht="15.5">
      <c r="A1350" s="29">
        <v>42585</v>
      </c>
      <c r="B1350" s="28">
        <v>2.5009000000000001</v>
      </c>
      <c r="C1350" s="28">
        <v>4390048710</v>
      </c>
    </row>
    <row r="1351" spans="1:3" ht="15.5">
      <c r="A1351" s="29">
        <v>42584</v>
      </c>
      <c r="B1351" s="28">
        <v>2.5295999999999998</v>
      </c>
      <c r="C1351" s="28">
        <v>4440509040</v>
      </c>
    </row>
    <row r="1352" spans="1:3" ht="15.5">
      <c r="A1352" s="29">
        <v>42583</v>
      </c>
      <c r="B1352" s="28">
        <v>2.5488</v>
      </c>
      <c r="C1352" s="28">
        <v>4474149260</v>
      </c>
    </row>
    <row r="1353" spans="1:3" ht="15.5">
      <c r="A1353" s="29">
        <v>42580</v>
      </c>
      <c r="B1353" s="28">
        <v>2.5105</v>
      </c>
      <c r="C1353" s="28">
        <v>4406868820</v>
      </c>
    </row>
    <row r="1354" spans="1:3" ht="15.5">
      <c r="A1354" s="29">
        <v>42579</v>
      </c>
      <c r="B1354" s="28">
        <v>2.4721000000000002</v>
      </c>
      <c r="C1354" s="28">
        <v>4339588380</v>
      </c>
    </row>
    <row r="1355" spans="1:3" ht="15.5">
      <c r="A1355" s="29">
        <v>42578</v>
      </c>
      <c r="B1355" s="28">
        <v>2.4912999999999998</v>
      </c>
      <c r="C1355" s="28">
        <v>4373228600</v>
      </c>
    </row>
    <row r="1356" spans="1:3" ht="15.5">
      <c r="A1356" s="29">
        <v>42577</v>
      </c>
      <c r="B1356" s="28">
        <v>2.5009000000000001</v>
      </c>
      <c r="C1356" s="28">
        <v>4390048710</v>
      </c>
    </row>
    <row r="1357" spans="1:3" ht="15.5">
      <c r="A1357" s="29">
        <v>42576</v>
      </c>
      <c r="B1357" s="28">
        <v>2.5009000000000001</v>
      </c>
      <c r="C1357" s="28">
        <v>4390048710</v>
      </c>
    </row>
    <row r="1358" spans="1:3" ht="15.5">
      <c r="A1358" s="29">
        <v>42573</v>
      </c>
      <c r="B1358" s="28">
        <v>2.5009000000000001</v>
      </c>
      <c r="C1358" s="28">
        <v>4390048710</v>
      </c>
    </row>
    <row r="1359" spans="1:3" ht="15.5">
      <c r="A1359" s="29">
        <v>42572</v>
      </c>
      <c r="B1359" s="28">
        <v>2.5009000000000001</v>
      </c>
      <c r="C1359" s="28">
        <v>4390048710</v>
      </c>
    </row>
    <row r="1360" spans="1:3" ht="15.5">
      <c r="A1360" s="29">
        <v>42571</v>
      </c>
      <c r="B1360" s="28">
        <v>2.4624999999999999</v>
      </c>
      <c r="C1360" s="28">
        <v>4322768270</v>
      </c>
    </row>
    <row r="1361" spans="1:3" ht="15.5">
      <c r="A1361" s="29">
        <v>42570</v>
      </c>
      <c r="B1361" s="28">
        <v>2.4624999999999999</v>
      </c>
      <c r="C1361" s="28">
        <v>4322768270</v>
      </c>
    </row>
    <row r="1362" spans="1:3" ht="15.5">
      <c r="A1362" s="29">
        <v>42569</v>
      </c>
      <c r="B1362" s="28">
        <v>2.4146000000000001</v>
      </c>
      <c r="C1362" s="28">
        <v>4238667720</v>
      </c>
    </row>
    <row r="1363" spans="1:3" ht="15.5">
      <c r="A1363" s="29">
        <v>42566</v>
      </c>
      <c r="B1363" s="28">
        <v>2.3955000000000002</v>
      </c>
      <c r="C1363" s="28">
        <v>4205027500</v>
      </c>
    </row>
    <row r="1364" spans="1:3" ht="15.5">
      <c r="A1364" s="29">
        <v>42565</v>
      </c>
      <c r="B1364" s="28">
        <v>2.4051</v>
      </c>
      <c r="C1364" s="28">
        <v>4221847610</v>
      </c>
    </row>
    <row r="1365" spans="1:3" ht="15.5">
      <c r="A1365" s="29">
        <v>42564</v>
      </c>
      <c r="B1365" s="28">
        <v>2.3666999999999998</v>
      </c>
      <c r="C1365" s="28">
        <v>4154567170</v>
      </c>
    </row>
    <row r="1366" spans="1:3" ht="15.5">
      <c r="A1366" s="29">
        <v>42563</v>
      </c>
      <c r="B1366" s="28">
        <v>2.3283999999999998</v>
      </c>
      <c r="C1366" s="28">
        <v>4087286730</v>
      </c>
    </row>
    <row r="1367" spans="1:3" ht="15.5">
      <c r="A1367" s="29">
        <v>42562</v>
      </c>
      <c r="B1367" s="28">
        <v>2.3475999999999999</v>
      </c>
      <c r="C1367" s="28">
        <v>4120926950</v>
      </c>
    </row>
    <row r="1368" spans="1:3" ht="15.5">
      <c r="A1368" s="29">
        <v>42559</v>
      </c>
      <c r="B1368" s="28">
        <v>2.3380000000000001</v>
      </c>
      <c r="C1368" s="28">
        <v>4104106840</v>
      </c>
    </row>
    <row r="1369" spans="1:3" ht="15.5">
      <c r="A1369" s="29">
        <v>42558</v>
      </c>
      <c r="B1369" s="28">
        <v>2.3666999999999998</v>
      </c>
      <c r="C1369" s="28">
        <v>4154567170</v>
      </c>
    </row>
    <row r="1370" spans="1:3" ht="15.5">
      <c r="A1370" s="29">
        <v>42557</v>
      </c>
      <c r="B1370" s="28">
        <v>2.4146000000000001</v>
      </c>
      <c r="C1370" s="28">
        <v>4238667720</v>
      </c>
    </row>
    <row r="1371" spans="1:3" ht="15.5">
      <c r="A1371" s="29">
        <v>42556</v>
      </c>
      <c r="B1371" s="28">
        <v>2.4146000000000001</v>
      </c>
      <c r="C1371" s="28">
        <v>4238667720</v>
      </c>
    </row>
    <row r="1372" spans="1:3" ht="15.5">
      <c r="A1372" s="29">
        <v>42555</v>
      </c>
      <c r="B1372" s="28">
        <v>2.4146000000000001</v>
      </c>
      <c r="C1372" s="28">
        <v>4238667720</v>
      </c>
    </row>
    <row r="1373" spans="1:3" ht="15.5">
      <c r="A1373" s="29">
        <v>42552</v>
      </c>
      <c r="B1373" s="28">
        <v>2.3380000000000001</v>
      </c>
      <c r="C1373" s="28">
        <v>4104106840</v>
      </c>
    </row>
    <row r="1374" spans="1:3" ht="15.5">
      <c r="A1374" s="29">
        <v>42551</v>
      </c>
      <c r="B1374" s="28">
        <v>2.3380000000000001</v>
      </c>
      <c r="C1374" s="28">
        <v>4104106840</v>
      </c>
    </row>
    <row r="1375" spans="1:3" ht="15.5">
      <c r="A1375" s="29">
        <v>42550</v>
      </c>
      <c r="B1375" s="28">
        <v>2.3283999999999998</v>
      </c>
      <c r="C1375" s="28">
        <v>4133582859.1500001</v>
      </c>
    </row>
    <row r="1376" spans="1:3" ht="15.5">
      <c r="A1376" s="29">
        <v>42549</v>
      </c>
      <c r="B1376" s="28">
        <v>2.3666999999999998</v>
      </c>
      <c r="C1376" s="28">
        <v>4201625375.3499999</v>
      </c>
    </row>
    <row r="1377" spans="1:3" ht="15.5">
      <c r="A1377" s="29">
        <v>42548</v>
      </c>
      <c r="B1377" s="28">
        <v>2.3763000000000001</v>
      </c>
      <c r="C1377" s="28">
        <v>4218636004.4000001</v>
      </c>
    </row>
    <row r="1378" spans="1:3" ht="15.5">
      <c r="A1378" s="29">
        <v>42545</v>
      </c>
      <c r="B1378" s="28">
        <v>2.3092000000000001</v>
      </c>
      <c r="C1378" s="28">
        <v>4099561601.0500002</v>
      </c>
    </row>
    <row r="1379" spans="1:3" ht="15.5">
      <c r="A1379" s="29">
        <v>42544</v>
      </c>
      <c r="B1379" s="28">
        <v>2.3475999999999999</v>
      </c>
      <c r="C1379" s="28">
        <v>4167604117.25</v>
      </c>
    </row>
    <row r="1380" spans="1:3" ht="15.5">
      <c r="A1380" s="29">
        <v>42543</v>
      </c>
      <c r="B1380" s="28">
        <v>2.3666999999999998</v>
      </c>
      <c r="C1380" s="28">
        <v>4201625375.3499999</v>
      </c>
    </row>
    <row r="1381" spans="1:3" ht="15.5">
      <c r="A1381" s="29">
        <v>42542</v>
      </c>
      <c r="B1381" s="28">
        <v>2.3380000000000001</v>
      </c>
      <c r="C1381" s="28">
        <v>4150593488.1999998</v>
      </c>
    </row>
    <row r="1382" spans="1:3" ht="15.5">
      <c r="A1382" s="29">
        <v>42541</v>
      </c>
      <c r="B1382" s="28">
        <v>2.2997000000000001</v>
      </c>
      <c r="C1382" s="28">
        <v>4082550972</v>
      </c>
    </row>
    <row r="1383" spans="1:3" ht="15.5">
      <c r="A1383" s="29">
        <v>42538</v>
      </c>
      <c r="B1383" s="28">
        <v>2.2900999999999998</v>
      </c>
      <c r="C1383" s="28">
        <v>4065540342.9499998</v>
      </c>
    </row>
    <row r="1384" spans="1:3" ht="15.5">
      <c r="A1384" s="29">
        <v>42537</v>
      </c>
      <c r="B1384" s="28">
        <v>2.2805</v>
      </c>
      <c r="C1384" s="28">
        <v>4048529713.9000001</v>
      </c>
    </row>
    <row r="1385" spans="1:3" ht="15.5">
      <c r="A1385" s="29">
        <v>42536</v>
      </c>
      <c r="B1385" s="28">
        <v>2.2612999999999999</v>
      </c>
      <c r="C1385" s="28">
        <v>4014508455.8000002</v>
      </c>
    </row>
    <row r="1386" spans="1:3" ht="15.5">
      <c r="A1386" s="29">
        <v>42535</v>
      </c>
      <c r="B1386" s="28">
        <v>2.2709000000000001</v>
      </c>
      <c r="C1386" s="28">
        <v>4031519084.8499999</v>
      </c>
    </row>
    <row r="1387" spans="1:3" ht="15.5">
      <c r="A1387" s="29">
        <v>42531</v>
      </c>
      <c r="B1387" s="28">
        <v>2.2709000000000001</v>
      </c>
      <c r="C1387" s="28">
        <v>4031519084.8499999</v>
      </c>
    </row>
    <row r="1388" spans="1:3" ht="15.5">
      <c r="A1388" s="29">
        <v>42530</v>
      </c>
      <c r="B1388" s="28">
        <v>2.2517</v>
      </c>
      <c r="C1388" s="28">
        <v>3997497826.75</v>
      </c>
    </row>
    <row r="1389" spans="1:3" ht="15.5">
      <c r="A1389" s="29">
        <v>42529</v>
      </c>
      <c r="B1389" s="28">
        <v>2.2038000000000002</v>
      </c>
      <c r="C1389" s="28">
        <v>3912444681.5</v>
      </c>
    </row>
    <row r="1390" spans="1:3" ht="15.5">
      <c r="A1390" s="29">
        <v>42528</v>
      </c>
      <c r="B1390" s="28">
        <v>2.1943000000000001</v>
      </c>
      <c r="C1390" s="28">
        <v>3895434052.4499998</v>
      </c>
    </row>
    <row r="1391" spans="1:3" ht="15.5">
      <c r="A1391" s="29">
        <v>42527</v>
      </c>
      <c r="B1391" s="28">
        <v>2.2134</v>
      </c>
      <c r="C1391" s="28">
        <v>3929455310.5500002</v>
      </c>
    </row>
    <row r="1392" spans="1:3" ht="15.5">
      <c r="A1392" s="29">
        <v>42524</v>
      </c>
      <c r="B1392" s="28">
        <v>2.1655000000000002</v>
      </c>
      <c r="C1392" s="28">
        <v>3844402165.3000002</v>
      </c>
    </row>
    <row r="1393" spans="1:3" ht="15.5">
      <c r="A1393" s="29">
        <v>42523</v>
      </c>
      <c r="B1393" s="28">
        <v>2.1558999999999999</v>
      </c>
      <c r="C1393" s="28">
        <v>3827391536.25</v>
      </c>
    </row>
    <row r="1394" spans="1:3" ht="15.5">
      <c r="A1394" s="29">
        <v>42522</v>
      </c>
      <c r="B1394" s="28">
        <v>2.1558999999999999</v>
      </c>
      <c r="C1394" s="28">
        <v>3827391536.25</v>
      </c>
    </row>
    <row r="1395" spans="1:3" ht="15.5">
      <c r="A1395" s="29">
        <v>42521</v>
      </c>
      <c r="B1395" s="28">
        <v>2.2038000000000002</v>
      </c>
      <c r="C1395" s="28">
        <v>3912444681.5</v>
      </c>
    </row>
    <row r="1396" spans="1:3" ht="15.5">
      <c r="A1396" s="29">
        <v>42520</v>
      </c>
      <c r="B1396" s="28">
        <v>2.2038000000000002</v>
      </c>
      <c r="C1396" s="28">
        <v>3912444681.5</v>
      </c>
    </row>
    <row r="1397" spans="1:3" ht="15.5">
      <c r="A1397" s="29">
        <v>42517</v>
      </c>
      <c r="B1397" s="28">
        <v>2.2038000000000002</v>
      </c>
      <c r="C1397" s="28">
        <v>3912444681.5</v>
      </c>
    </row>
    <row r="1398" spans="1:3" ht="15.5">
      <c r="A1398" s="29">
        <v>42516</v>
      </c>
      <c r="B1398" s="28">
        <v>2.1943000000000001</v>
      </c>
      <c r="C1398" s="28">
        <v>3895434052.4499998</v>
      </c>
    </row>
    <row r="1399" spans="1:3" ht="15.5">
      <c r="A1399" s="29">
        <v>42515</v>
      </c>
      <c r="B1399" s="28">
        <v>2.1558999999999999</v>
      </c>
      <c r="C1399" s="28">
        <v>3827391536.25</v>
      </c>
    </row>
    <row r="1400" spans="1:3" ht="15.5">
      <c r="A1400" s="29">
        <v>42514</v>
      </c>
      <c r="B1400" s="28">
        <v>2.1272000000000002</v>
      </c>
      <c r="C1400" s="28">
        <v>3776359649.0999999</v>
      </c>
    </row>
    <row r="1401" spans="1:3" ht="15.5">
      <c r="A1401" s="29">
        <v>42513</v>
      </c>
      <c r="B1401" s="28">
        <v>2.0888</v>
      </c>
      <c r="C1401" s="28">
        <v>3708317132.9000001</v>
      </c>
    </row>
    <row r="1402" spans="1:3" ht="15.5">
      <c r="A1402" s="29">
        <v>42510</v>
      </c>
      <c r="B1402" s="28">
        <v>2.0888</v>
      </c>
      <c r="C1402" s="28">
        <v>3708317132.9000001</v>
      </c>
    </row>
    <row r="1403" spans="1:3" ht="15.5">
      <c r="A1403" s="29">
        <v>42509</v>
      </c>
      <c r="B1403" s="28">
        <v>2.0792999999999999</v>
      </c>
      <c r="C1403" s="28">
        <v>3691306503.8499999</v>
      </c>
    </row>
    <row r="1404" spans="1:3" ht="15.5">
      <c r="A1404" s="29">
        <v>42508</v>
      </c>
      <c r="B1404" s="28">
        <v>2.0888</v>
      </c>
      <c r="C1404" s="28">
        <v>3708317132.9000001</v>
      </c>
    </row>
    <row r="1405" spans="1:3" ht="15.5">
      <c r="A1405" s="29">
        <v>42507</v>
      </c>
      <c r="B1405" s="28">
        <v>2.0888</v>
      </c>
      <c r="C1405" s="28">
        <v>3708317132.9000001</v>
      </c>
    </row>
    <row r="1406" spans="1:3" ht="15.5">
      <c r="A1406" s="29">
        <v>42506</v>
      </c>
      <c r="B1406" s="28">
        <v>2.0888</v>
      </c>
      <c r="C1406" s="28">
        <v>3708317132.9000001</v>
      </c>
    </row>
    <row r="1407" spans="1:3" ht="15.5">
      <c r="A1407" s="29">
        <v>42503</v>
      </c>
      <c r="B1407" s="28">
        <v>2.0983999999999998</v>
      </c>
      <c r="C1407" s="28">
        <v>3725327761.9499998</v>
      </c>
    </row>
    <row r="1408" spans="1:3" ht="15.5">
      <c r="A1408" s="29">
        <v>42502</v>
      </c>
      <c r="B1408" s="28">
        <v>2.0983999999999998</v>
      </c>
      <c r="C1408" s="28">
        <v>3725327761.9499998</v>
      </c>
    </row>
    <row r="1409" spans="1:3" ht="15.5">
      <c r="A1409" s="29">
        <v>42501</v>
      </c>
      <c r="B1409" s="28">
        <v>2.1368</v>
      </c>
      <c r="C1409" s="28">
        <v>3793370278.1500001</v>
      </c>
    </row>
    <row r="1410" spans="1:3" ht="15.5">
      <c r="A1410" s="29">
        <v>42500</v>
      </c>
      <c r="B1410" s="28">
        <v>2.1368</v>
      </c>
      <c r="C1410" s="28">
        <v>3793370278.1500001</v>
      </c>
    </row>
    <row r="1411" spans="1:3" ht="15.5">
      <c r="A1411" s="29">
        <v>42499</v>
      </c>
      <c r="B1411" s="28">
        <v>2.1272000000000002</v>
      </c>
      <c r="C1411" s="28">
        <v>3776359649.0999999</v>
      </c>
    </row>
    <row r="1412" spans="1:3" ht="15.5">
      <c r="A1412" s="29">
        <v>42496</v>
      </c>
      <c r="B1412" s="28">
        <v>2.1080000000000001</v>
      </c>
      <c r="C1412" s="28">
        <v>3742338391</v>
      </c>
    </row>
    <row r="1413" spans="1:3" ht="15.5">
      <c r="A1413" s="29">
        <v>42495</v>
      </c>
      <c r="B1413" s="28">
        <v>2.0697000000000001</v>
      </c>
      <c r="C1413" s="28">
        <v>3674295874.8000002</v>
      </c>
    </row>
    <row r="1414" spans="1:3" ht="15.5">
      <c r="A1414" s="29">
        <v>42494</v>
      </c>
      <c r="B1414" s="28">
        <v>2.0314000000000001</v>
      </c>
      <c r="C1414" s="28">
        <v>3606253358.5999999</v>
      </c>
    </row>
    <row r="1415" spans="1:3" ht="15.5">
      <c r="A1415" s="29">
        <v>42493</v>
      </c>
      <c r="B1415" s="28">
        <v>2.0314000000000001</v>
      </c>
      <c r="C1415" s="28">
        <v>3606253358.5999999</v>
      </c>
    </row>
    <row r="1416" spans="1:3" ht="15.5">
      <c r="A1416" s="29">
        <v>42492</v>
      </c>
      <c r="B1416" s="28">
        <v>1.9739</v>
      </c>
      <c r="C1416" s="28">
        <v>3504189584.3000002</v>
      </c>
    </row>
    <row r="1417" spans="1:3" ht="15.5">
      <c r="A1417" s="29">
        <v>42489</v>
      </c>
      <c r="B1417" s="28">
        <v>1.9834000000000001</v>
      </c>
      <c r="C1417" s="28">
        <v>3521200213.3499999</v>
      </c>
    </row>
    <row r="1418" spans="1:3" ht="15.5">
      <c r="A1418" s="29">
        <v>42488</v>
      </c>
      <c r="B1418" s="28">
        <v>1.9834000000000001</v>
      </c>
      <c r="C1418" s="28">
        <v>3521200213.3499999</v>
      </c>
    </row>
    <row r="1419" spans="1:3" ht="15.5">
      <c r="A1419" s="29">
        <v>42487</v>
      </c>
      <c r="B1419" s="28">
        <v>1.9834000000000001</v>
      </c>
      <c r="C1419" s="28">
        <v>3521200213.3499999</v>
      </c>
    </row>
    <row r="1420" spans="1:3" ht="15.5">
      <c r="A1420" s="29">
        <v>42486</v>
      </c>
      <c r="B1420" s="28">
        <v>2.0217999999999998</v>
      </c>
      <c r="C1420" s="28">
        <v>3589242729.5500002</v>
      </c>
    </row>
    <row r="1421" spans="1:3" ht="15.5">
      <c r="A1421" s="29">
        <v>42482</v>
      </c>
      <c r="B1421" s="28">
        <v>2.0122</v>
      </c>
      <c r="C1421" s="28">
        <v>3572232100.5</v>
      </c>
    </row>
    <row r="1422" spans="1:3" ht="15.5">
      <c r="A1422" s="29">
        <v>42481</v>
      </c>
      <c r="B1422" s="28">
        <v>2.0122</v>
      </c>
      <c r="C1422" s="28">
        <v>3572232100.5</v>
      </c>
    </row>
    <row r="1423" spans="1:3" ht="15.5">
      <c r="A1423" s="29">
        <v>42480</v>
      </c>
      <c r="B1423" s="28">
        <v>2.0026000000000002</v>
      </c>
      <c r="C1423" s="28">
        <v>3555221471.4499998</v>
      </c>
    </row>
    <row r="1424" spans="1:3" ht="15.5">
      <c r="A1424" s="29">
        <v>42479</v>
      </c>
      <c r="B1424" s="28">
        <v>2.0026000000000002</v>
      </c>
      <c r="C1424" s="28">
        <v>3555221471.4499998</v>
      </c>
    </row>
    <row r="1425" spans="1:3" ht="15.5">
      <c r="A1425" s="29">
        <v>42478</v>
      </c>
      <c r="B1425" s="28">
        <v>1.9547000000000001</v>
      </c>
      <c r="C1425" s="28">
        <v>3470168326.1999998</v>
      </c>
    </row>
    <row r="1426" spans="1:3" ht="15.5">
      <c r="A1426" s="29">
        <v>42475</v>
      </c>
      <c r="B1426" s="28">
        <v>1.9259999999999999</v>
      </c>
      <c r="C1426" s="28">
        <v>3419136439.0500002</v>
      </c>
    </row>
    <row r="1427" spans="1:3" ht="15.5">
      <c r="A1427" s="29">
        <v>42474</v>
      </c>
      <c r="B1427" s="28">
        <v>1.9451000000000001</v>
      </c>
      <c r="C1427" s="28">
        <v>3453157697.1500001</v>
      </c>
    </row>
    <row r="1428" spans="1:3" ht="15.5">
      <c r="A1428" s="29">
        <v>42473</v>
      </c>
      <c r="B1428" s="28">
        <v>1.9259999999999999</v>
      </c>
      <c r="C1428" s="28">
        <v>3419136439.0500002</v>
      </c>
    </row>
    <row r="1429" spans="1:3" ht="15.5">
      <c r="A1429" s="29">
        <v>42472</v>
      </c>
      <c r="B1429" s="28">
        <v>1.9355</v>
      </c>
      <c r="C1429" s="28">
        <v>3436147068.0999999</v>
      </c>
    </row>
    <row r="1430" spans="1:3" ht="15.5">
      <c r="A1430" s="29">
        <v>42471</v>
      </c>
      <c r="B1430" s="28">
        <v>1.9355</v>
      </c>
      <c r="C1430" s="28">
        <v>3436147068.0999999</v>
      </c>
    </row>
    <row r="1431" spans="1:3" ht="15.5">
      <c r="A1431" s="29">
        <v>42468</v>
      </c>
      <c r="B1431" s="28">
        <v>1.9355</v>
      </c>
      <c r="C1431" s="28">
        <v>3436147068.0999999</v>
      </c>
    </row>
    <row r="1432" spans="1:3" ht="15.5">
      <c r="A1432" s="29">
        <v>42467</v>
      </c>
      <c r="B1432" s="28">
        <v>1.9164000000000001</v>
      </c>
      <c r="C1432" s="28">
        <v>3402125810</v>
      </c>
    </row>
    <row r="1433" spans="1:3" ht="15.5">
      <c r="A1433" s="29">
        <v>42466</v>
      </c>
      <c r="B1433" s="28">
        <v>1.9355</v>
      </c>
      <c r="C1433" s="28">
        <v>3436147068.0999999</v>
      </c>
    </row>
    <row r="1434" spans="1:3" ht="15.5">
      <c r="A1434" s="29">
        <v>42465</v>
      </c>
      <c r="B1434" s="28">
        <v>1.9547000000000001</v>
      </c>
      <c r="C1434" s="28">
        <v>3470168326.1999998</v>
      </c>
    </row>
    <row r="1435" spans="1:3" ht="15.5">
      <c r="A1435" s="29">
        <v>42464</v>
      </c>
      <c r="B1435" s="28">
        <v>1.9739</v>
      </c>
      <c r="C1435" s="28">
        <v>3504189584.3000002</v>
      </c>
    </row>
    <row r="1436" spans="1:3" ht="15.5">
      <c r="A1436" s="29">
        <v>42461</v>
      </c>
      <c r="B1436" s="28">
        <v>1.9451000000000001</v>
      </c>
      <c r="C1436" s="28">
        <v>3453157697.1500001</v>
      </c>
    </row>
    <row r="1437" spans="1:3" ht="15.5">
      <c r="A1437" s="29">
        <v>42460</v>
      </c>
      <c r="B1437" s="28">
        <v>1.9834000000000001</v>
      </c>
      <c r="C1437" s="28">
        <v>3521200213.3499999</v>
      </c>
    </row>
    <row r="1438" spans="1:3" ht="15.5">
      <c r="A1438" s="29">
        <v>42459</v>
      </c>
      <c r="B1438" s="28">
        <v>2.0026000000000002</v>
      </c>
      <c r="C1438" s="28">
        <v>3555221471.4499998</v>
      </c>
    </row>
    <row r="1439" spans="1:3" ht="15.5">
      <c r="A1439" s="29">
        <v>42458</v>
      </c>
      <c r="B1439" s="28">
        <v>1.9739</v>
      </c>
      <c r="C1439" s="28">
        <v>3504189584.3000002</v>
      </c>
    </row>
    <row r="1440" spans="1:3" ht="15.5">
      <c r="A1440" s="29">
        <v>42453</v>
      </c>
      <c r="B1440" s="28">
        <v>1.9834000000000001</v>
      </c>
      <c r="C1440" s="28">
        <v>3521200213.3499999</v>
      </c>
    </row>
    <row r="1441" spans="1:3" ht="15.5">
      <c r="A1441" s="29">
        <v>42452</v>
      </c>
      <c r="B1441" s="28">
        <v>1.9642999999999999</v>
      </c>
      <c r="C1441" s="28">
        <v>3487178955.25</v>
      </c>
    </row>
    <row r="1442" spans="1:3" ht="15.5">
      <c r="A1442" s="29">
        <v>42451</v>
      </c>
      <c r="B1442" s="28">
        <v>1.9834000000000001</v>
      </c>
      <c r="C1442" s="28">
        <v>3521200213.3499999</v>
      </c>
    </row>
    <row r="1443" spans="1:3" ht="15.5">
      <c r="A1443" s="29">
        <v>42450</v>
      </c>
      <c r="B1443" s="28">
        <v>1.9642999999999999</v>
      </c>
      <c r="C1443" s="28">
        <v>3487178955.25</v>
      </c>
    </row>
    <row r="1444" spans="1:3" ht="15.5">
      <c r="A1444" s="29">
        <v>42447</v>
      </c>
      <c r="B1444" s="28">
        <v>1.9642999999999999</v>
      </c>
      <c r="C1444" s="28">
        <v>3487178955.25</v>
      </c>
    </row>
    <row r="1445" spans="1:3" ht="15.5">
      <c r="A1445" s="29">
        <v>42446</v>
      </c>
      <c r="B1445" s="28">
        <v>1.9259999999999999</v>
      </c>
      <c r="C1445" s="28">
        <v>3419136439.0500002</v>
      </c>
    </row>
    <row r="1446" spans="1:3" ht="15.5">
      <c r="A1446" s="29">
        <v>42445</v>
      </c>
      <c r="B1446" s="28">
        <v>1.9355</v>
      </c>
      <c r="C1446" s="28">
        <v>3436147068.0999999</v>
      </c>
    </row>
    <row r="1447" spans="1:3" ht="15.5">
      <c r="A1447" s="29">
        <v>42444</v>
      </c>
      <c r="B1447" s="28">
        <v>1.9259999999999999</v>
      </c>
      <c r="C1447" s="28">
        <v>3419136439.0500002</v>
      </c>
    </row>
    <row r="1448" spans="1:3" ht="15.5">
      <c r="A1448" s="29">
        <v>42443</v>
      </c>
      <c r="B1448" s="28">
        <v>1.9739</v>
      </c>
      <c r="C1448" s="28">
        <v>3504189584.3000002</v>
      </c>
    </row>
    <row r="1449" spans="1:3" ht="15.5">
      <c r="A1449" s="29">
        <v>42440</v>
      </c>
      <c r="B1449" s="28">
        <v>1.9739</v>
      </c>
      <c r="C1449" s="28">
        <v>3504189584.3000002</v>
      </c>
    </row>
    <row r="1450" spans="1:3" ht="15.5">
      <c r="A1450" s="29">
        <v>42439</v>
      </c>
      <c r="B1450" s="28">
        <v>1.9739</v>
      </c>
      <c r="C1450" s="28">
        <v>3504189584.3000002</v>
      </c>
    </row>
    <row r="1451" spans="1:3" ht="15.5">
      <c r="A1451" s="29">
        <v>42438</v>
      </c>
      <c r="B1451" s="28">
        <v>1.9739</v>
      </c>
      <c r="C1451" s="28">
        <v>3504189584.3000002</v>
      </c>
    </row>
    <row r="1452" spans="1:3" ht="15.5">
      <c r="A1452" s="29">
        <v>42437</v>
      </c>
      <c r="B1452" s="28">
        <v>1.9547000000000001</v>
      </c>
      <c r="C1452" s="28">
        <v>3470168326.1999998</v>
      </c>
    </row>
    <row r="1453" spans="1:3" ht="15.5">
      <c r="A1453" s="29">
        <v>42436</v>
      </c>
      <c r="B1453" s="28">
        <v>1.9642999999999999</v>
      </c>
      <c r="C1453" s="28">
        <v>3487178955.25</v>
      </c>
    </row>
    <row r="1454" spans="1:3" ht="15.5">
      <c r="A1454" s="29">
        <v>42433</v>
      </c>
      <c r="B1454" s="28">
        <v>1.9451000000000001</v>
      </c>
      <c r="C1454" s="28">
        <v>3453157697.1500001</v>
      </c>
    </row>
    <row r="1455" spans="1:3" ht="15.5">
      <c r="A1455" s="29">
        <v>42432</v>
      </c>
      <c r="B1455" s="28">
        <v>1.9739</v>
      </c>
      <c r="C1455" s="28">
        <v>3504189584.3000002</v>
      </c>
    </row>
    <row r="1456" spans="1:3" ht="15.5">
      <c r="A1456" s="29">
        <v>42431</v>
      </c>
      <c r="B1456" s="28">
        <v>1.9547000000000001</v>
      </c>
      <c r="C1456" s="28">
        <v>3470168326.1999998</v>
      </c>
    </row>
    <row r="1457" spans="1:3" ht="15.5">
      <c r="A1457" s="29">
        <v>42430</v>
      </c>
      <c r="B1457" s="28">
        <v>1.9791000000000001</v>
      </c>
      <c r="C1457" s="28">
        <v>3555221471.4499998</v>
      </c>
    </row>
    <row r="1458" spans="1:3" ht="15.5">
      <c r="A1458" s="29">
        <v>42429</v>
      </c>
      <c r="B1458" s="28">
        <v>1.9791000000000001</v>
      </c>
      <c r="C1458" s="28">
        <v>3555221471.4499998</v>
      </c>
    </row>
    <row r="1459" spans="1:3" ht="15.5">
      <c r="A1459" s="29">
        <v>42426</v>
      </c>
      <c r="B1459" s="28">
        <v>1.9601999999999999</v>
      </c>
      <c r="C1459" s="28">
        <v>3521200213.3499999</v>
      </c>
    </row>
    <row r="1460" spans="1:3" ht="15.5">
      <c r="A1460" s="29">
        <v>42425</v>
      </c>
      <c r="B1460" s="28">
        <v>1.9222999999999999</v>
      </c>
      <c r="C1460" s="28">
        <v>3453157697.1500001</v>
      </c>
    </row>
    <row r="1461" spans="1:3" ht="15.5">
      <c r="A1461" s="29">
        <v>42424</v>
      </c>
      <c r="B1461" s="28">
        <v>1.8654999999999999</v>
      </c>
      <c r="C1461" s="28">
        <v>3351093922.8499999</v>
      </c>
    </row>
    <row r="1462" spans="1:3" ht="15.5">
      <c r="A1462" s="29">
        <v>42423</v>
      </c>
      <c r="B1462" s="28">
        <v>1.8418000000000001</v>
      </c>
      <c r="C1462" s="28">
        <v>3308567350.2249999</v>
      </c>
    </row>
    <row r="1463" spans="1:3" ht="15.5">
      <c r="A1463" s="29">
        <v>42422</v>
      </c>
      <c r="B1463" s="28">
        <v>1.7897000000000001</v>
      </c>
      <c r="C1463" s="28">
        <v>3215008890.4499998</v>
      </c>
    </row>
    <row r="1464" spans="1:3" ht="15.5">
      <c r="A1464" s="29">
        <v>42419</v>
      </c>
      <c r="B1464" s="28">
        <v>1.7945</v>
      </c>
      <c r="C1464" s="28">
        <v>3223514204.9749999</v>
      </c>
    </row>
    <row r="1465" spans="1:3" ht="15.5">
      <c r="A1465" s="29">
        <v>42418</v>
      </c>
      <c r="B1465" s="28">
        <v>1.7755000000000001</v>
      </c>
      <c r="C1465" s="28">
        <v>3189492946.875</v>
      </c>
    </row>
    <row r="1466" spans="1:3" ht="15.5">
      <c r="A1466" s="29">
        <v>42417</v>
      </c>
      <c r="B1466" s="28">
        <v>1.7755000000000001</v>
      </c>
      <c r="C1466" s="28">
        <v>3189492946.875</v>
      </c>
    </row>
    <row r="1467" spans="1:3" ht="15.5">
      <c r="A1467" s="29">
        <v>42416</v>
      </c>
      <c r="B1467" s="28">
        <v>1.7991999999999999</v>
      </c>
      <c r="C1467" s="28">
        <v>3232019519.5</v>
      </c>
    </row>
    <row r="1468" spans="1:3" ht="15.5">
      <c r="A1468" s="29">
        <v>42415</v>
      </c>
      <c r="B1468" s="28">
        <v>1.8039000000000001</v>
      </c>
      <c r="C1468" s="28">
        <v>3240524834.0250001</v>
      </c>
    </row>
    <row r="1469" spans="1:3" ht="15.5">
      <c r="A1469" s="29">
        <v>42412</v>
      </c>
      <c r="B1469" s="28">
        <v>1.7755000000000001</v>
      </c>
      <c r="C1469" s="28">
        <v>3189492946.875</v>
      </c>
    </row>
    <row r="1470" spans="1:3" ht="15.5">
      <c r="A1470" s="29">
        <v>42411</v>
      </c>
      <c r="B1470" s="28">
        <v>1.7991999999999999</v>
      </c>
      <c r="C1470" s="28">
        <v>3232019519.5</v>
      </c>
    </row>
    <row r="1471" spans="1:3" ht="15.5">
      <c r="A1471" s="29">
        <v>42410</v>
      </c>
      <c r="B1471" s="28">
        <v>1.7991999999999999</v>
      </c>
      <c r="C1471" s="28">
        <v>3232019519.5</v>
      </c>
    </row>
    <row r="1472" spans="1:3" ht="15.5">
      <c r="A1472" s="29">
        <v>42409</v>
      </c>
      <c r="B1472" s="28">
        <v>1.8182</v>
      </c>
      <c r="C1472" s="28">
        <v>3266040777.5999999</v>
      </c>
    </row>
    <row r="1473" spans="1:3" ht="15.5">
      <c r="A1473" s="29">
        <v>42408</v>
      </c>
      <c r="B1473" s="28">
        <v>1.8418000000000001</v>
      </c>
      <c r="C1473" s="28">
        <v>3308567350.2249999</v>
      </c>
    </row>
    <row r="1474" spans="1:3" ht="15.5">
      <c r="A1474" s="29">
        <v>42405</v>
      </c>
      <c r="B1474" s="28">
        <v>1.8608</v>
      </c>
      <c r="C1474" s="28">
        <v>3342588608.3249998</v>
      </c>
    </row>
    <row r="1475" spans="1:3" ht="15.5">
      <c r="A1475" s="29">
        <v>42404</v>
      </c>
      <c r="B1475" s="28">
        <v>1.8608</v>
      </c>
      <c r="C1475" s="28">
        <v>3342588608.3249998</v>
      </c>
    </row>
    <row r="1476" spans="1:3" ht="15.5">
      <c r="A1476" s="29">
        <v>42403</v>
      </c>
      <c r="B1476" s="28">
        <v>1.875</v>
      </c>
      <c r="C1476" s="28">
        <v>3368104551.9000001</v>
      </c>
    </row>
    <row r="1477" spans="1:3" ht="15.5">
      <c r="A1477" s="29">
        <v>42402</v>
      </c>
      <c r="B1477" s="28">
        <v>1.9034</v>
      </c>
      <c r="C1477" s="28">
        <v>3419136439.0500002</v>
      </c>
    </row>
    <row r="1478" spans="1:3" ht="15.5">
      <c r="A1478" s="29">
        <v>42401</v>
      </c>
      <c r="B1478" s="28">
        <v>1.9318</v>
      </c>
      <c r="C1478" s="28">
        <v>3470168326.1999998</v>
      </c>
    </row>
    <row r="1479" spans="1:3" ht="15.5">
      <c r="A1479" s="29">
        <v>42398</v>
      </c>
      <c r="B1479" s="28">
        <v>1.8702000000000001</v>
      </c>
      <c r="C1479" s="28">
        <v>3359599237.375</v>
      </c>
    </row>
    <row r="1480" spans="1:3" ht="15.5">
      <c r="A1480" s="29">
        <v>42397</v>
      </c>
      <c r="B1480" s="28">
        <v>1.875</v>
      </c>
      <c r="C1480" s="28">
        <v>3368104551.9000001</v>
      </c>
    </row>
    <row r="1481" spans="1:3" ht="15.5">
      <c r="A1481" s="29">
        <v>42396</v>
      </c>
      <c r="B1481" s="28">
        <v>1.8608</v>
      </c>
      <c r="C1481" s="28">
        <v>3342588608.3249998</v>
      </c>
    </row>
    <row r="1482" spans="1:3" ht="15.5">
      <c r="A1482" s="29">
        <v>42394</v>
      </c>
      <c r="B1482" s="28">
        <v>1.875</v>
      </c>
      <c r="C1482" s="28">
        <v>3368104551.9000001</v>
      </c>
    </row>
    <row r="1483" spans="1:3" ht="15.5">
      <c r="A1483" s="29">
        <v>42391</v>
      </c>
      <c r="B1483" s="28">
        <v>1.8418000000000001</v>
      </c>
      <c r="C1483" s="28">
        <v>3308567350.2249999</v>
      </c>
    </row>
    <row r="1484" spans="1:3" ht="15.5">
      <c r="A1484" s="29">
        <v>42390</v>
      </c>
      <c r="B1484" s="28">
        <v>1.7897000000000001</v>
      </c>
      <c r="C1484" s="28">
        <v>3215008890.4499998</v>
      </c>
    </row>
    <row r="1485" spans="1:3" ht="15.5">
      <c r="A1485" s="29">
        <v>42389</v>
      </c>
      <c r="B1485" s="28">
        <v>1.7613000000000001</v>
      </c>
      <c r="C1485" s="28">
        <v>3163977003.3000002</v>
      </c>
    </row>
    <row r="1486" spans="1:3" ht="15.5">
      <c r="A1486" s="29">
        <v>42388</v>
      </c>
      <c r="B1486" s="28">
        <v>1.7707999999999999</v>
      </c>
      <c r="C1486" s="28">
        <v>3180987632.3499999</v>
      </c>
    </row>
    <row r="1487" spans="1:3" ht="15.5">
      <c r="A1487" s="29">
        <v>42387</v>
      </c>
      <c r="B1487" s="28">
        <v>1.7423999999999999</v>
      </c>
      <c r="C1487" s="28">
        <v>3129955745.1999998</v>
      </c>
    </row>
    <row r="1488" spans="1:3" ht="15.5">
      <c r="A1488" s="29">
        <v>42384</v>
      </c>
      <c r="B1488" s="28">
        <v>1.7471000000000001</v>
      </c>
      <c r="C1488" s="28">
        <v>3138461059.7249999</v>
      </c>
    </row>
    <row r="1489" spans="1:3" ht="15.5">
      <c r="A1489" s="29">
        <v>42383</v>
      </c>
      <c r="B1489" s="28">
        <v>1.7093</v>
      </c>
      <c r="C1489" s="28">
        <v>3070418543.5250001</v>
      </c>
    </row>
    <row r="1490" spans="1:3" ht="15.5">
      <c r="A1490" s="29">
        <v>42382</v>
      </c>
      <c r="B1490" s="28">
        <v>1.7329000000000001</v>
      </c>
      <c r="C1490" s="28">
        <v>3112945116.1500001</v>
      </c>
    </row>
    <row r="1491" spans="1:3" ht="15.5">
      <c r="A1491" s="29">
        <v>42381</v>
      </c>
      <c r="B1491" s="28">
        <v>1.7282</v>
      </c>
      <c r="C1491" s="28">
        <v>3104439801.625</v>
      </c>
    </row>
    <row r="1492" spans="1:3" ht="15.5">
      <c r="A1492" s="29">
        <v>42380</v>
      </c>
      <c r="B1492" s="28">
        <v>1.7423999999999999</v>
      </c>
      <c r="C1492" s="28">
        <v>3129955745.1999998</v>
      </c>
    </row>
    <row r="1493" spans="1:3" ht="15.5">
      <c r="A1493" s="29">
        <v>42377</v>
      </c>
      <c r="B1493" s="28">
        <v>1.7613000000000001</v>
      </c>
      <c r="C1493" s="28">
        <v>3163977003.3000002</v>
      </c>
    </row>
    <row r="1494" spans="1:3" ht="15.5">
      <c r="A1494" s="29">
        <v>42376</v>
      </c>
      <c r="B1494" s="28">
        <v>1.7613000000000001</v>
      </c>
      <c r="C1494" s="28">
        <v>3163977003.3000002</v>
      </c>
    </row>
    <row r="1495" spans="1:3" ht="15.5">
      <c r="A1495" s="29">
        <v>42375</v>
      </c>
      <c r="B1495" s="28">
        <v>1.7945</v>
      </c>
      <c r="C1495" s="28">
        <v>3223514204.9749999</v>
      </c>
    </row>
    <row r="1496" spans="1:3" ht="15.5">
      <c r="A1496" s="29">
        <v>42374</v>
      </c>
      <c r="B1496" s="28">
        <v>1.7803</v>
      </c>
      <c r="C1496" s="28">
        <v>3197998261.4000001</v>
      </c>
    </row>
    <row r="1497" spans="1:3" ht="15.5">
      <c r="A1497" s="29">
        <v>42373</v>
      </c>
      <c r="B1497" s="28">
        <v>1.8182</v>
      </c>
      <c r="C1497" s="28">
        <v>3266040777.5999999</v>
      </c>
    </row>
    <row r="1498" spans="1:3" ht="15.5">
      <c r="A1498" s="29">
        <v>42369</v>
      </c>
      <c r="B1498" s="28">
        <v>1.8182</v>
      </c>
      <c r="C1498" s="28">
        <v>3266040777.5999999</v>
      </c>
    </row>
    <row r="1499" spans="1:3" ht="15.5">
      <c r="A1499" s="29">
        <v>42368</v>
      </c>
      <c r="B1499" s="28">
        <v>1.8087</v>
      </c>
      <c r="C1499" s="28">
        <v>3212543600</v>
      </c>
    </row>
    <row r="1500" spans="1:3" ht="15.5">
      <c r="A1500" s="29">
        <v>42367</v>
      </c>
      <c r="B1500" s="28">
        <v>1.7991999999999999</v>
      </c>
      <c r="C1500" s="28">
        <v>3195724000</v>
      </c>
    </row>
    <row r="1501" spans="1:3" ht="15.5">
      <c r="A1501" s="29">
        <v>42362</v>
      </c>
      <c r="B1501" s="28">
        <v>1.7707999999999999</v>
      </c>
      <c r="C1501" s="28">
        <v>3145265200</v>
      </c>
    </row>
    <row r="1502" spans="1:3" ht="15.5">
      <c r="A1502" s="29">
        <v>42361</v>
      </c>
      <c r="B1502" s="28">
        <v>1.7377</v>
      </c>
      <c r="C1502" s="28">
        <v>3086396600</v>
      </c>
    </row>
    <row r="1503" spans="1:3" ht="15.5">
      <c r="A1503" s="29">
        <v>42360</v>
      </c>
      <c r="B1503" s="28">
        <v>1.7519</v>
      </c>
      <c r="C1503" s="28">
        <v>3111626000</v>
      </c>
    </row>
    <row r="1504" spans="1:3" ht="15.5">
      <c r="A1504" s="29">
        <v>42359</v>
      </c>
      <c r="B1504" s="28">
        <v>1.7707999999999999</v>
      </c>
      <c r="C1504" s="28">
        <v>3145265200</v>
      </c>
    </row>
    <row r="1505" spans="1:3" ht="15.5">
      <c r="A1505" s="29">
        <v>42356</v>
      </c>
      <c r="B1505" s="28">
        <v>1.7661</v>
      </c>
      <c r="C1505" s="28">
        <v>3136855400</v>
      </c>
    </row>
    <row r="1506" spans="1:3" ht="15.5">
      <c r="A1506" s="29">
        <v>42355</v>
      </c>
      <c r="B1506" s="28">
        <v>1.7755000000000001</v>
      </c>
      <c r="C1506" s="28">
        <v>3153675000</v>
      </c>
    </row>
    <row r="1507" spans="1:3" ht="15.5">
      <c r="A1507" s="29">
        <v>42354</v>
      </c>
      <c r="B1507" s="28">
        <v>1.7613000000000001</v>
      </c>
      <c r="C1507" s="28">
        <v>3128445600</v>
      </c>
    </row>
    <row r="1508" spans="1:3" ht="15.5">
      <c r="A1508" s="29">
        <v>42353</v>
      </c>
      <c r="B1508" s="28">
        <v>1.7707999999999999</v>
      </c>
      <c r="C1508" s="28">
        <v>3145265200</v>
      </c>
    </row>
    <row r="1509" spans="1:3" ht="15.5">
      <c r="A1509" s="29">
        <v>42352</v>
      </c>
      <c r="B1509" s="28">
        <v>1.7707999999999999</v>
      </c>
      <c r="C1509" s="28">
        <v>3145265200</v>
      </c>
    </row>
    <row r="1510" spans="1:3" ht="15.5">
      <c r="A1510" s="29">
        <v>42349</v>
      </c>
      <c r="B1510" s="28">
        <v>1.7991999999999999</v>
      </c>
      <c r="C1510" s="28">
        <v>3195724000</v>
      </c>
    </row>
    <row r="1511" spans="1:3" ht="15.5">
      <c r="A1511" s="29">
        <v>42348</v>
      </c>
      <c r="B1511" s="28">
        <v>1.8039000000000001</v>
      </c>
      <c r="C1511" s="28">
        <v>3204133800</v>
      </c>
    </row>
    <row r="1512" spans="1:3" ht="15.5">
      <c r="A1512" s="29">
        <v>42347</v>
      </c>
      <c r="B1512" s="28">
        <v>1.8418000000000001</v>
      </c>
      <c r="C1512" s="28">
        <v>3271412200</v>
      </c>
    </row>
    <row r="1513" spans="1:3" ht="15.5">
      <c r="A1513" s="29">
        <v>42346</v>
      </c>
      <c r="B1513" s="28">
        <v>1.8418000000000001</v>
      </c>
      <c r="C1513" s="28">
        <v>3271412200</v>
      </c>
    </row>
    <row r="1514" spans="1:3" ht="15.5">
      <c r="A1514" s="29">
        <v>42345</v>
      </c>
      <c r="B1514" s="28">
        <v>1.8608</v>
      </c>
      <c r="C1514" s="28">
        <v>3305051400</v>
      </c>
    </row>
    <row r="1515" spans="1:3" ht="15.5">
      <c r="A1515" s="29">
        <v>42342</v>
      </c>
      <c r="B1515" s="28">
        <v>1.8182</v>
      </c>
      <c r="C1515" s="28">
        <v>3229363200</v>
      </c>
    </row>
    <row r="1516" spans="1:3" ht="15.5">
      <c r="A1516" s="29">
        <v>42341</v>
      </c>
      <c r="B1516" s="28">
        <v>1.8371</v>
      </c>
      <c r="C1516" s="28">
        <v>3263002400</v>
      </c>
    </row>
    <row r="1517" spans="1:3" ht="15.5">
      <c r="A1517" s="29">
        <v>42340</v>
      </c>
      <c r="B1517" s="28">
        <v>1.8371</v>
      </c>
      <c r="C1517" s="28">
        <v>3263002400</v>
      </c>
    </row>
    <row r="1518" spans="1:3" ht="15.5">
      <c r="A1518" s="29">
        <v>42339</v>
      </c>
      <c r="B1518" s="28">
        <v>1.8182</v>
      </c>
      <c r="C1518" s="28">
        <v>3229363200</v>
      </c>
    </row>
    <row r="1519" spans="1:3" ht="15.5">
      <c r="A1519" s="29">
        <v>42338</v>
      </c>
      <c r="B1519" s="28">
        <v>1.7991999999999999</v>
      </c>
      <c r="C1519" s="28">
        <v>3195724000</v>
      </c>
    </row>
    <row r="1520" spans="1:3" ht="15.5">
      <c r="A1520" s="29">
        <v>42335</v>
      </c>
      <c r="B1520" s="28">
        <v>1.7803</v>
      </c>
      <c r="C1520" s="28">
        <v>3162084800</v>
      </c>
    </row>
    <row r="1521" spans="1:3" ht="15.5">
      <c r="A1521" s="29">
        <v>42332</v>
      </c>
      <c r="B1521" s="28">
        <v>1.9289000000000001</v>
      </c>
      <c r="C1521" s="28">
        <v>3020701600</v>
      </c>
    </row>
    <row r="1522" spans="1:3" ht="15.5">
      <c r="A1522" s="29">
        <v>42331</v>
      </c>
      <c r="B1522" s="28">
        <v>1.9476</v>
      </c>
      <c r="C1522" s="28">
        <v>3050028800</v>
      </c>
    </row>
    <row r="1523" spans="1:3" ht="15.5">
      <c r="A1523" s="29">
        <v>42328</v>
      </c>
      <c r="B1523" s="28">
        <v>1.9381999999999999</v>
      </c>
      <c r="C1523" s="28">
        <v>3035365200</v>
      </c>
    </row>
    <row r="1524" spans="1:3" ht="15.5">
      <c r="A1524" s="29">
        <v>42327</v>
      </c>
      <c r="B1524" s="28">
        <v>1.9757</v>
      </c>
      <c r="C1524" s="28">
        <v>3094019600</v>
      </c>
    </row>
    <row r="1525" spans="1:3" ht="15.5">
      <c r="A1525" s="29">
        <v>42326</v>
      </c>
      <c r="B1525" s="28">
        <v>1.9662999999999999</v>
      </c>
      <c r="C1525" s="28">
        <v>3079356000</v>
      </c>
    </row>
    <row r="1526" spans="1:3" ht="15.5">
      <c r="A1526" s="29">
        <v>42325</v>
      </c>
      <c r="B1526" s="28">
        <v>1.9289000000000001</v>
      </c>
      <c r="C1526" s="28">
        <v>3020701600</v>
      </c>
    </row>
    <row r="1527" spans="1:3" ht="15.5">
      <c r="A1527" s="29">
        <v>42324</v>
      </c>
      <c r="B1527" s="28">
        <v>1.8727</v>
      </c>
      <c r="C1527" s="28">
        <v>2932720000</v>
      </c>
    </row>
    <row r="1528" spans="1:3" ht="15.5">
      <c r="A1528" s="29">
        <v>42321</v>
      </c>
      <c r="B1528" s="28">
        <v>1.8727</v>
      </c>
      <c r="C1528" s="28">
        <v>2932720000</v>
      </c>
    </row>
    <row r="1529" spans="1:3" ht="15.5">
      <c r="A1529" s="29">
        <v>42320</v>
      </c>
      <c r="B1529" s="28">
        <v>1.8727</v>
      </c>
      <c r="C1529" s="28">
        <v>2932720000</v>
      </c>
    </row>
    <row r="1530" spans="1:3" ht="15.5">
      <c r="A1530" s="29">
        <v>42319</v>
      </c>
      <c r="B1530" s="28">
        <v>1.8821000000000001</v>
      </c>
      <c r="C1530" s="28">
        <v>2947383600</v>
      </c>
    </row>
    <row r="1531" spans="1:3" ht="15.5">
      <c r="A1531" s="29">
        <v>42318</v>
      </c>
      <c r="B1531" s="28">
        <v>1.8821000000000001</v>
      </c>
      <c r="C1531" s="28">
        <v>2947383600</v>
      </c>
    </row>
    <row r="1532" spans="1:3" ht="15.5">
      <c r="A1532" s="29">
        <v>42317</v>
      </c>
      <c r="B1532" s="28">
        <v>1.9008</v>
      </c>
      <c r="C1532" s="28">
        <v>2976710800</v>
      </c>
    </row>
    <row r="1533" spans="1:3" ht="15.5">
      <c r="A1533" s="29">
        <v>42314</v>
      </c>
      <c r="B1533" s="28">
        <v>1.9381999999999999</v>
      </c>
      <c r="C1533" s="28">
        <v>3035365200</v>
      </c>
    </row>
    <row r="1534" spans="1:3" ht="15.5">
      <c r="A1534" s="29">
        <v>42313</v>
      </c>
      <c r="B1534" s="28">
        <v>1.9476</v>
      </c>
      <c r="C1534" s="28">
        <v>3050028800</v>
      </c>
    </row>
    <row r="1535" spans="1:3" ht="15.5">
      <c r="A1535" s="29">
        <v>42312</v>
      </c>
      <c r="B1535" s="28">
        <v>1.9476</v>
      </c>
      <c r="C1535" s="28">
        <v>3050028800</v>
      </c>
    </row>
    <row r="1536" spans="1:3" ht="15.5">
      <c r="A1536" s="29">
        <v>42311</v>
      </c>
      <c r="B1536" s="28">
        <v>1.9757</v>
      </c>
      <c r="C1536" s="28">
        <v>3094019600</v>
      </c>
    </row>
    <row r="1537" spans="1:3" ht="15.5">
      <c r="A1537" s="29">
        <v>42310</v>
      </c>
      <c r="B1537" s="28">
        <v>1.9570000000000001</v>
      </c>
      <c r="C1537" s="28">
        <v>3064692400</v>
      </c>
    </row>
    <row r="1538" spans="1:3" ht="15.5">
      <c r="A1538" s="29">
        <v>42307</v>
      </c>
      <c r="B1538" s="28">
        <v>1.9476</v>
      </c>
      <c r="C1538" s="28">
        <v>3050028800</v>
      </c>
    </row>
    <row r="1539" spans="1:3" ht="15.5">
      <c r="A1539" s="29">
        <v>42306</v>
      </c>
      <c r="B1539" s="28">
        <v>1.9100999999999999</v>
      </c>
      <c r="C1539" s="28">
        <v>2991374400</v>
      </c>
    </row>
    <row r="1540" spans="1:3" ht="15.5">
      <c r="A1540" s="29">
        <v>42305</v>
      </c>
      <c r="B1540" s="28">
        <v>1.8492999999999999</v>
      </c>
      <c r="C1540" s="28">
        <v>2896061000</v>
      </c>
    </row>
    <row r="1541" spans="1:3" ht="15.5">
      <c r="A1541" s="29">
        <v>42304</v>
      </c>
      <c r="B1541" s="28">
        <v>1.8259000000000001</v>
      </c>
      <c r="C1541" s="28">
        <v>2859402000</v>
      </c>
    </row>
    <row r="1542" spans="1:3" ht="15.5">
      <c r="A1542" s="29">
        <v>42303</v>
      </c>
      <c r="B1542" s="28">
        <v>1.8399000000000001</v>
      </c>
      <c r="C1542" s="28">
        <v>2881397400</v>
      </c>
    </row>
    <row r="1543" spans="1:3" ht="15.5">
      <c r="A1543" s="29">
        <v>42300</v>
      </c>
      <c r="B1543" s="28">
        <v>1.8586</v>
      </c>
      <c r="C1543" s="28">
        <v>2910724600</v>
      </c>
    </row>
    <row r="1544" spans="1:3" ht="15.5">
      <c r="A1544" s="29">
        <v>42299</v>
      </c>
      <c r="B1544" s="28">
        <v>1.7930999999999999</v>
      </c>
      <c r="C1544" s="28">
        <v>2808079400</v>
      </c>
    </row>
    <row r="1545" spans="1:3" ht="15.5">
      <c r="A1545" s="29">
        <v>42298</v>
      </c>
      <c r="B1545" s="28">
        <v>1.7790999999999999</v>
      </c>
      <c r="C1545" s="28">
        <v>2786084000</v>
      </c>
    </row>
    <row r="1546" spans="1:3" ht="15.5">
      <c r="A1546" s="29">
        <v>42297</v>
      </c>
      <c r="B1546" s="28">
        <v>1.7790999999999999</v>
      </c>
      <c r="C1546" s="28">
        <v>2786084000</v>
      </c>
    </row>
    <row r="1547" spans="1:3" ht="15.5">
      <c r="A1547" s="29">
        <v>42296</v>
      </c>
      <c r="B1547" s="28">
        <v>1.7744</v>
      </c>
      <c r="C1547" s="28">
        <v>2778752200</v>
      </c>
    </row>
    <row r="1548" spans="1:3" ht="15.5">
      <c r="A1548" s="29">
        <v>42293</v>
      </c>
      <c r="B1548" s="28">
        <v>1.7884</v>
      </c>
      <c r="C1548" s="28">
        <v>2800747600</v>
      </c>
    </row>
    <row r="1549" spans="1:3" ht="15.5">
      <c r="A1549" s="29">
        <v>42292</v>
      </c>
      <c r="B1549" s="28">
        <v>1.7884</v>
      </c>
      <c r="C1549" s="28">
        <v>2800747600</v>
      </c>
    </row>
    <row r="1550" spans="1:3" ht="15.5">
      <c r="A1550" s="29">
        <v>42291</v>
      </c>
      <c r="B1550" s="28">
        <v>1.7884</v>
      </c>
      <c r="C1550" s="28">
        <v>2800747600</v>
      </c>
    </row>
    <row r="1551" spans="1:3" ht="15.5">
      <c r="A1551" s="29">
        <v>42290</v>
      </c>
      <c r="B1551" s="28">
        <v>1.7978000000000001</v>
      </c>
      <c r="C1551" s="28">
        <v>2815411200</v>
      </c>
    </row>
    <row r="1552" spans="1:3" ht="15.5">
      <c r="A1552" s="29">
        <v>42289</v>
      </c>
      <c r="B1552" s="28">
        <v>1.7930999999999999</v>
      </c>
      <c r="C1552" s="28">
        <v>2808079400</v>
      </c>
    </row>
    <row r="1553" spans="1:3" ht="15.5">
      <c r="A1553" s="29">
        <v>42286</v>
      </c>
      <c r="B1553" s="28">
        <v>1.8306</v>
      </c>
      <c r="C1553" s="28">
        <v>2866733800</v>
      </c>
    </row>
    <row r="1554" spans="1:3" ht="15.5">
      <c r="A1554" s="29">
        <v>42285</v>
      </c>
      <c r="B1554" s="28">
        <v>1.8071999999999999</v>
      </c>
      <c r="C1554" s="28">
        <v>2830074800</v>
      </c>
    </row>
    <row r="1555" spans="1:3" ht="15.5">
      <c r="A1555" s="29">
        <v>42284</v>
      </c>
      <c r="B1555" s="28">
        <v>1.8071999999999999</v>
      </c>
      <c r="C1555" s="28">
        <v>2830074800</v>
      </c>
    </row>
    <row r="1556" spans="1:3" ht="15.5">
      <c r="A1556" s="29">
        <v>42283</v>
      </c>
      <c r="B1556" s="28">
        <v>1.7884</v>
      </c>
      <c r="C1556" s="28">
        <v>2800747600</v>
      </c>
    </row>
    <row r="1557" spans="1:3" ht="15.5">
      <c r="A1557" s="29">
        <v>42282</v>
      </c>
      <c r="B1557" s="28">
        <v>1.7884</v>
      </c>
      <c r="C1557" s="28">
        <v>2800747600</v>
      </c>
    </row>
    <row r="1558" spans="1:3" ht="15.5">
      <c r="A1558" s="29">
        <v>42279</v>
      </c>
      <c r="B1558" s="28">
        <v>1.7463</v>
      </c>
      <c r="C1558" s="28">
        <v>2734761400</v>
      </c>
    </row>
    <row r="1559" spans="1:3" ht="15.5">
      <c r="A1559" s="29">
        <v>42278</v>
      </c>
      <c r="B1559" s="28">
        <v>1.7978000000000001</v>
      </c>
      <c r="C1559" s="28">
        <v>2815411200</v>
      </c>
    </row>
    <row r="1560" spans="1:3" ht="15.5">
      <c r="A1560" s="29">
        <v>42277</v>
      </c>
      <c r="B1560" s="28">
        <v>1.7509999999999999</v>
      </c>
      <c r="C1560" s="28">
        <v>2742093200</v>
      </c>
    </row>
    <row r="1561" spans="1:3" ht="15.5">
      <c r="A1561" s="29">
        <v>42276</v>
      </c>
      <c r="B1561" s="28">
        <v>1.7416</v>
      </c>
      <c r="C1561" s="28">
        <v>2727429600</v>
      </c>
    </row>
    <row r="1562" spans="1:3" ht="15.5">
      <c r="A1562" s="29">
        <v>42275</v>
      </c>
      <c r="B1562" s="28">
        <v>1.7978000000000001</v>
      </c>
      <c r="C1562" s="28">
        <v>2815411200</v>
      </c>
    </row>
    <row r="1563" spans="1:3" ht="15.5">
      <c r="A1563" s="29">
        <v>42272</v>
      </c>
      <c r="B1563" s="28">
        <v>1.7837000000000001</v>
      </c>
      <c r="C1563" s="28">
        <v>2793415800</v>
      </c>
    </row>
    <row r="1564" spans="1:3" ht="15.5">
      <c r="A1564" s="29">
        <v>42271</v>
      </c>
      <c r="B1564" s="28">
        <v>1.7837000000000001</v>
      </c>
      <c r="C1564" s="28">
        <v>2793415800</v>
      </c>
    </row>
    <row r="1565" spans="1:3" ht="15.5">
      <c r="A1565" s="29">
        <v>42270</v>
      </c>
      <c r="B1565" s="28">
        <v>1.7603</v>
      </c>
      <c r="C1565" s="28">
        <v>2756756800</v>
      </c>
    </row>
    <row r="1566" spans="1:3" ht="15.5">
      <c r="A1566" s="29">
        <v>42269</v>
      </c>
      <c r="B1566" s="28">
        <v>1.7884</v>
      </c>
      <c r="C1566" s="28">
        <v>2800747600</v>
      </c>
    </row>
    <row r="1567" spans="1:3" ht="15.5">
      <c r="A1567" s="29">
        <v>42268</v>
      </c>
      <c r="B1567" s="28">
        <v>1.7322</v>
      </c>
      <c r="C1567" s="28">
        <v>2712766000</v>
      </c>
    </row>
    <row r="1568" spans="1:3" ht="15.5">
      <c r="A1568" s="29">
        <v>42265</v>
      </c>
      <c r="B1568" s="28">
        <v>1.7603</v>
      </c>
      <c r="C1568" s="28">
        <v>2756756800</v>
      </c>
    </row>
    <row r="1569" spans="1:3" ht="15.5">
      <c r="A1569" s="29">
        <v>42264</v>
      </c>
      <c r="B1569" s="28">
        <v>1.7649999999999999</v>
      </c>
      <c r="C1569" s="28">
        <v>2764088600</v>
      </c>
    </row>
    <row r="1570" spans="1:3" ht="15.5">
      <c r="A1570" s="29">
        <v>42263</v>
      </c>
      <c r="B1570" s="28">
        <v>1.7369000000000001</v>
      </c>
      <c r="C1570" s="28">
        <v>2720097800</v>
      </c>
    </row>
    <row r="1571" spans="1:3" ht="15.5">
      <c r="A1571" s="29">
        <v>42262</v>
      </c>
      <c r="B1571" s="28">
        <v>1.7135</v>
      </c>
      <c r="C1571" s="28">
        <v>2683438800</v>
      </c>
    </row>
    <row r="1572" spans="1:3" ht="15.5">
      <c r="A1572" s="29">
        <v>42261</v>
      </c>
      <c r="B1572" s="28">
        <v>1.7135</v>
      </c>
      <c r="C1572" s="28">
        <v>2683438800</v>
      </c>
    </row>
    <row r="1573" spans="1:3" ht="15.5">
      <c r="A1573" s="29">
        <v>42258</v>
      </c>
      <c r="B1573" s="28">
        <v>1.6948000000000001</v>
      </c>
      <c r="C1573" s="28">
        <v>2654111600</v>
      </c>
    </row>
    <row r="1574" spans="1:3" ht="15.5">
      <c r="A1574" s="29">
        <v>42257</v>
      </c>
      <c r="B1574" s="28">
        <v>1.6854</v>
      </c>
      <c r="C1574" s="28">
        <v>2639448000</v>
      </c>
    </row>
    <row r="1575" spans="1:3" ht="15.5">
      <c r="A1575" s="29">
        <v>42256</v>
      </c>
      <c r="B1575" s="28">
        <v>1.7463</v>
      </c>
      <c r="C1575" s="28">
        <v>2734761400</v>
      </c>
    </row>
    <row r="1576" spans="1:3" ht="15.5">
      <c r="A1576" s="29">
        <v>42255</v>
      </c>
      <c r="B1576" s="28">
        <v>1.7744</v>
      </c>
      <c r="C1576" s="28">
        <v>2778752200</v>
      </c>
    </row>
    <row r="1577" spans="1:3" ht="15.5">
      <c r="A1577" s="29">
        <v>42254</v>
      </c>
      <c r="B1577" s="28">
        <v>1.7509999999999999</v>
      </c>
      <c r="C1577" s="28">
        <v>2742093200</v>
      </c>
    </row>
    <row r="1578" spans="1:3" ht="15.5">
      <c r="A1578" s="29">
        <v>42251</v>
      </c>
      <c r="B1578" s="28">
        <v>1.7416</v>
      </c>
      <c r="C1578" s="28">
        <v>2727429600</v>
      </c>
    </row>
    <row r="1579" spans="1:3" ht="15.5">
      <c r="A1579" s="29">
        <v>42250</v>
      </c>
      <c r="B1579" s="28">
        <v>1.7276</v>
      </c>
      <c r="C1579" s="28">
        <v>2705434200</v>
      </c>
    </row>
    <row r="1580" spans="1:3" ht="15.5">
      <c r="A1580" s="29">
        <v>42249</v>
      </c>
      <c r="B1580" s="28">
        <v>1.7557</v>
      </c>
      <c r="C1580" s="28">
        <v>2749425000</v>
      </c>
    </row>
    <row r="1581" spans="1:3" ht="15.5">
      <c r="A1581" s="29">
        <v>42248</v>
      </c>
      <c r="B1581" s="28">
        <v>1.8259000000000001</v>
      </c>
      <c r="C1581" s="28">
        <v>2859402000</v>
      </c>
    </row>
    <row r="1582" spans="1:3" ht="15.5">
      <c r="A1582" s="29">
        <v>42247</v>
      </c>
      <c r="B1582" s="28">
        <v>1.8633</v>
      </c>
      <c r="C1582" s="28">
        <v>2918056400</v>
      </c>
    </row>
    <row r="1583" spans="1:3" ht="15.5">
      <c r="A1583" s="29">
        <v>42244</v>
      </c>
      <c r="B1583" s="28">
        <v>1.8446</v>
      </c>
      <c r="C1583" s="28">
        <v>2888729200</v>
      </c>
    </row>
    <row r="1584" spans="1:3" ht="15.5">
      <c r="A1584" s="29">
        <v>42243</v>
      </c>
      <c r="B1584" s="28">
        <v>1.8540000000000001</v>
      </c>
      <c r="C1584" s="28">
        <v>2903392800</v>
      </c>
    </row>
    <row r="1585" spans="1:3" ht="15.5">
      <c r="A1585" s="29">
        <v>42242</v>
      </c>
      <c r="B1585" s="28">
        <v>1.8351999999999999</v>
      </c>
      <c r="C1585" s="28">
        <v>2874065600</v>
      </c>
    </row>
    <row r="1586" spans="1:3" ht="15.5">
      <c r="A1586" s="29">
        <v>42241</v>
      </c>
      <c r="B1586" s="28">
        <v>1.8071999999999999</v>
      </c>
      <c r="C1586" s="28">
        <v>2830074800</v>
      </c>
    </row>
    <row r="1587" spans="1:3" ht="15.5">
      <c r="A1587" s="29">
        <v>42240</v>
      </c>
      <c r="B1587" s="28">
        <v>1.7135</v>
      </c>
      <c r="C1587" s="28">
        <v>2683438800</v>
      </c>
    </row>
    <row r="1588" spans="1:3" ht="15.5">
      <c r="A1588" s="29">
        <v>42237</v>
      </c>
      <c r="B1588" s="28">
        <v>1.6948000000000001</v>
      </c>
      <c r="C1588" s="28">
        <v>2654111600</v>
      </c>
    </row>
    <row r="1589" spans="1:3" ht="15.5">
      <c r="A1589" s="29">
        <v>42236</v>
      </c>
      <c r="B1589" s="28">
        <v>1.7416</v>
      </c>
      <c r="C1589" s="28">
        <v>2727429600</v>
      </c>
    </row>
    <row r="1590" spans="1:3" ht="15.5">
      <c r="A1590" s="29">
        <v>42235</v>
      </c>
      <c r="B1590" s="28">
        <v>1.7744</v>
      </c>
      <c r="C1590" s="28">
        <v>2778752200</v>
      </c>
    </row>
    <row r="1591" spans="1:3" ht="15.5">
      <c r="A1591" s="29">
        <v>42234</v>
      </c>
      <c r="B1591" s="28">
        <v>1.7790999999999999</v>
      </c>
      <c r="C1591" s="28">
        <v>2786084000</v>
      </c>
    </row>
    <row r="1592" spans="1:3" ht="15.5">
      <c r="A1592" s="29">
        <v>42233</v>
      </c>
      <c r="B1592" s="28">
        <v>1.7744</v>
      </c>
      <c r="C1592" s="28">
        <v>2778752200</v>
      </c>
    </row>
    <row r="1593" spans="1:3" ht="15.5">
      <c r="A1593" s="29">
        <v>42230</v>
      </c>
      <c r="B1593" s="28">
        <v>1.7697000000000001</v>
      </c>
      <c r="C1593" s="28">
        <v>2771420400</v>
      </c>
    </row>
    <row r="1594" spans="1:3" ht="15.5">
      <c r="A1594" s="29">
        <v>42229</v>
      </c>
      <c r="B1594" s="28">
        <v>1.7837000000000001</v>
      </c>
      <c r="C1594" s="28">
        <v>2793415800</v>
      </c>
    </row>
    <row r="1595" spans="1:3" ht="15.5">
      <c r="A1595" s="29">
        <v>42228</v>
      </c>
      <c r="B1595" s="28">
        <v>1.7697000000000001</v>
      </c>
      <c r="C1595" s="28">
        <v>2771420400</v>
      </c>
    </row>
    <row r="1596" spans="1:3" ht="15.5">
      <c r="A1596" s="29">
        <v>42227</v>
      </c>
      <c r="B1596" s="28">
        <v>1.7837000000000001</v>
      </c>
      <c r="C1596" s="28">
        <v>2793415800</v>
      </c>
    </row>
    <row r="1597" spans="1:3" ht="15.5">
      <c r="A1597" s="29">
        <v>42226</v>
      </c>
      <c r="B1597" s="28">
        <v>1.8118000000000001</v>
      </c>
      <c r="C1597" s="28">
        <v>2837406600</v>
      </c>
    </row>
    <row r="1598" spans="1:3" ht="15.5">
      <c r="A1598" s="29">
        <v>42223</v>
      </c>
      <c r="B1598" s="28">
        <v>1.7744</v>
      </c>
      <c r="C1598" s="28">
        <v>2778752200</v>
      </c>
    </row>
    <row r="1599" spans="1:3" ht="15.5">
      <c r="A1599" s="29">
        <v>42222</v>
      </c>
      <c r="B1599" s="28">
        <v>1.7837000000000001</v>
      </c>
      <c r="C1599" s="28">
        <v>2793415800</v>
      </c>
    </row>
    <row r="1600" spans="1:3" ht="15.5">
      <c r="A1600" s="29">
        <v>42221</v>
      </c>
      <c r="B1600" s="28">
        <v>1.7930999999999999</v>
      </c>
      <c r="C1600" s="28">
        <v>2808079400</v>
      </c>
    </row>
    <row r="1601" spans="1:3" ht="15.5">
      <c r="A1601" s="29">
        <v>42220</v>
      </c>
      <c r="B1601" s="28">
        <v>1.8306</v>
      </c>
      <c r="C1601" s="28">
        <v>2866733800</v>
      </c>
    </row>
    <row r="1602" spans="1:3" ht="15.5">
      <c r="A1602" s="29">
        <v>42219</v>
      </c>
      <c r="B1602" s="28">
        <v>1.7978000000000001</v>
      </c>
      <c r="C1602" s="28">
        <v>2815411200</v>
      </c>
    </row>
    <row r="1603" spans="1:3" ht="15.5">
      <c r="A1603" s="29">
        <v>42216</v>
      </c>
      <c r="B1603" s="28">
        <v>1.8118000000000001</v>
      </c>
      <c r="C1603" s="28">
        <v>2837406600</v>
      </c>
    </row>
    <row r="1604" spans="1:3" ht="15.5">
      <c r="A1604" s="29">
        <v>42215</v>
      </c>
      <c r="B1604" s="28">
        <v>1.7790999999999999</v>
      </c>
      <c r="C1604" s="28">
        <v>2786084000</v>
      </c>
    </row>
    <row r="1605" spans="1:3" ht="15.5">
      <c r="A1605" s="29">
        <v>42214</v>
      </c>
      <c r="B1605" s="28">
        <v>1.7322</v>
      </c>
      <c r="C1605" s="28">
        <v>2712766000</v>
      </c>
    </row>
    <row r="1606" spans="1:3" ht="15.5">
      <c r="A1606" s="29">
        <v>42213</v>
      </c>
      <c r="B1606" s="28">
        <v>1.7276</v>
      </c>
      <c r="C1606" s="28">
        <v>2705434200</v>
      </c>
    </row>
    <row r="1607" spans="1:3" ht="15.5">
      <c r="A1607" s="29">
        <v>42212</v>
      </c>
      <c r="B1607" s="28">
        <v>1.7229000000000001</v>
      </c>
      <c r="C1607" s="28">
        <v>2698102400</v>
      </c>
    </row>
    <row r="1608" spans="1:3" ht="15.5">
      <c r="A1608" s="29">
        <v>42209</v>
      </c>
      <c r="B1608" s="28">
        <v>1.7041999999999999</v>
      </c>
      <c r="C1608" s="28">
        <v>2668775200</v>
      </c>
    </row>
    <row r="1609" spans="1:3" ht="15.5">
      <c r="A1609" s="29">
        <v>42208</v>
      </c>
      <c r="B1609" s="28">
        <v>1.7416</v>
      </c>
      <c r="C1609" s="28">
        <v>2727429600</v>
      </c>
    </row>
    <row r="1610" spans="1:3" ht="15.5">
      <c r="A1610" s="29">
        <v>42207</v>
      </c>
      <c r="B1610" s="28">
        <v>1.7229000000000001</v>
      </c>
      <c r="C1610" s="28">
        <v>2698102400</v>
      </c>
    </row>
    <row r="1611" spans="1:3" ht="15.5">
      <c r="A1611" s="29">
        <v>42206</v>
      </c>
      <c r="B1611" s="28">
        <v>1.7837000000000001</v>
      </c>
      <c r="C1611" s="28">
        <v>2793415800</v>
      </c>
    </row>
    <row r="1612" spans="1:3" ht="15.5">
      <c r="A1612" s="29">
        <v>42205</v>
      </c>
      <c r="B1612" s="28">
        <v>1.7790999999999999</v>
      </c>
      <c r="C1612" s="28">
        <v>2786084000</v>
      </c>
    </row>
    <row r="1613" spans="1:3" ht="15.5">
      <c r="A1613" s="29">
        <v>42202</v>
      </c>
      <c r="B1613" s="28">
        <v>1.7744</v>
      </c>
      <c r="C1613" s="28">
        <v>2778752200</v>
      </c>
    </row>
    <row r="1614" spans="1:3" ht="15.5">
      <c r="A1614" s="29">
        <v>42201</v>
      </c>
      <c r="B1614" s="28">
        <v>1.8025</v>
      </c>
      <c r="C1614" s="28">
        <v>2822743000</v>
      </c>
    </row>
    <row r="1615" spans="1:3" ht="15.5">
      <c r="A1615" s="29">
        <v>42200</v>
      </c>
      <c r="B1615" s="28">
        <v>1.7978000000000001</v>
      </c>
      <c r="C1615" s="28">
        <v>2815411200</v>
      </c>
    </row>
    <row r="1616" spans="1:3" ht="15.5">
      <c r="A1616" s="29">
        <v>42199</v>
      </c>
      <c r="B1616" s="28">
        <v>1.7884</v>
      </c>
      <c r="C1616" s="28">
        <v>2800747600</v>
      </c>
    </row>
    <row r="1617" spans="1:3" ht="15.5">
      <c r="A1617" s="29">
        <v>42198</v>
      </c>
      <c r="B1617" s="28">
        <v>1.7603</v>
      </c>
      <c r="C1617" s="28">
        <v>2756756800</v>
      </c>
    </row>
    <row r="1618" spans="1:3" ht="15.5">
      <c r="A1618" s="29">
        <v>42195</v>
      </c>
      <c r="B1618" s="28">
        <v>1.7603</v>
      </c>
      <c r="C1618" s="28">
        <v>2756756800</v>
      </c>
    </row>
    <row r="1619" spans="1:3" ht="15.5">
      <c r="A1619" s="29">
        <v>42194</v>
      </c>
      <c r="B1619" s="28">
        <v>1.7744</v>
      </c>
      <c r="C1619" s="28">
        <v>2778752200</v>
      </c>
    </row>
    <row r="1620" spans="1:3" ht="15.5">
      <c r="A1620" s="29">
        <v>42193</v>
      </c>
      <c r="B1620" s="28">
        <v>1.8025</v>
      </c>
      <c r="C1620" s="28">
        <v>2822743000</v>
      </c>
    </row>
    <row r="1621" spans="1:3" ht="15.5">
      <c r="A1621" s="29">
        <v>42192</v>
      </c>
      <c r="B1621" s="28">
        <v>1.7837000000000001</v>
      </c>
      <c r="C1621" s="28">
        <v>2793415800</v>
      </c>
    </row>
    <row r="1622" spans="1:3" ht="15.5">
      <c r="A1622" s="29">
        <v>42191</v>
      </c>
      <c r="B1622" s="28">
        <v>1.7790999999999999</v>
      </c>
      <c r="C1622" s="28">
        <v>2786084000</v>
      </c>
    </row>
    <row r="1623" spans="1:3" ht="15.5">
      <c r="A1623" s="29">
        <v>42188</v>
      </c>
      <c r="B1623" s="28">
        <v>1.7884</v>
      </c>
      <c r="C1623" s="28">
        <v>2800747600</v>
      </c>
    </row>
    <row r="1624" spans="1:3" ht="15.5">
      <c r="A1624" s="29">
        <v>42187</v>
      </c>
      <c r="B1624" s="28">
        <v>1.8118000000000001</v>
      </c>
      <c r="C1624" s="28">
        <v>2837406600</v>
      </c>
    </row>
    <row r="1625" spans="1:3" ht="15.5">
      <c r="A1625" s="29">
        <v>42186</v>
      </c>
      <c r="B1625" s="28">
        <v>1.7884</v>
      </c>
      <c r="C1625" s="28">
        <v>2800747600</v>
      </c>
    </row>
    <row r="1626" spans="1:3" ht="15.5">
      <c r="A1626" s="29">
        <v>42185</v>
      </c>
      <c r="B1626" s="28">
        <v>1.8306</v>
      </c>
      <c r="C1626" s="28">
        <v>2866733800</v>
      </c>
    </row>
    <row r="1627" spans="1:3" ht="15.5">
      <c r="A1627" s="29">
        <v>42184</v>
      </c>
      <c r="B1627" s="28">
        <v>1.8306</v>
      </c>
      <c r="C1627" s="28">
        <v>2866733800</v>
      </c>
    </row>
    <row r="1628" spans="1:3" ht="15.5">
      <c r="A1628" s="29">
        <v>42181</v>
      </c>
      <c r="B1628" s="28">
        <v>1.8351999999999999</v>
      </c>
      <c r="C1628" s="28">
        <v>2874065600</v>
      </c>
    </row>
    <row r="1629" spans="1:3" ht="15.5">
      <c r="A1629" s="29">
        <v>42180</v>
      </c>
      <c r="B1629" s="28">
        <v>1.8821000000000001</v>
      </c>
      <c r="C1629" s="28">
        <v>2947383600</v>
      </c>
    </row>
    <row r="1630" spans="1:3" ht="15.5">
      <c r="A1630" s="29">
        <v>42179</v>
      </c>
      <c r="B1630" s="28">
        <v>1.8540000000000001</v>
      </c>
      <c r="C1630" s="28">
        <v>2903392800</v>
      </c>
    </row>
    <row r="1631" spans="1:3" ht="15.5">
      <c r="A1631" s="29">
        <v>42178</v>
      </c>
      <c r="B1631" s="28">
        <v>1.8492999999999999</v>
      </c>
      <c r="C1631" s="28">
        <v>2896061000</v>
      </c>
    </row>
    <row r="1632" spans="1:3" ht="15.5">
      <c r="A1632" s="29">
        <v>42177</v>
      </c>
      <c r="B1632" s="28">
        <v>1.8259000000000001</v>
      </c>
      <c r="C1632" s="28">
        <v>2859402000</v>
      </c>
    </row>
    <row r="1633" spans="1:3" ht="15.5">
      <c r="A1633" s="29">
        <v>42174</v>
      </c>
      <c r="B1633" s="28">
        <v>1.7930999999999999</v>
      </c>
      <c r="C1633" s="28">
        <v>2808079400</v>
      </c>
    </row>
    <row r="1634" spans="1:3" ht="15.5">
      <c r="A1634" s="29">
        <v>42173</v>
      </c>
      <c r="B1634" s="28">
        <v>1.7884</v>
      </c>
      <c r="C1634" s="28">
        <v>2800747600</v>
      </c>
    </row>
    <row r="1635" spans="1:3" ht="15.5">
      <c r="A1635" s="29">
        <v>42172</v>
      </c>
      <c r="B1635" s="28">
        <v>1.8071999999999999</v>
      </c>
      <c r="C1635" s="28">
        <v>2830074800</v>
      </c>
    </row>
    <row r="1636" spans="1:3" ht="15.5">
      <c r="A1636" s="29">
        <v>42171</v>
      </c>
      <c r="B1636" s="28">
        <v>1.7978000000000001</v>
      </c>
      <c r="C1636" s="28">
        <v>2815411200</v>
      </c>
    </row>
    <row r="1637" spans="1:3" ht="15.5">
      <c r="A1637" s="29">
        <v>42170</v>
      </c>
      <c r="B1637" s="28">
        <v>1.7978000000000001</v>
      </c>
      <c r="C1637" s="28">
        <v>2815411200</v>
      </c>
    </row>
    <row r="1638" spans="1:3" ht="15.5">
      <c r="A1638" s="29">
        <v>42167</v>
      </c>
      <c r="B1638" s="28">
        <v>1.8165</v>
      </c>
      <c r="C1638" s="28">
        <v>2844738400</v>
      </c>
    </row>
    <row r="1639" spans="1:3" ht="15.5">
      <c r="A1639" s="29">
        <v>42166</v>
      </c>
      <c r="B1639" s="28">
        <v>1.8118000000000001</v>
      </c>
      <c r="C1639" s="28">
        <v>2837406600</v>
      </c>
    </row>
    <row r="1640" spans="1:3" ht="15.5">
      <c r="A1640" s="29">
        <v>42165</v>
      </c>
      <c r="B1640" s="28">
        <v>1.7930999999999999</v>
      </c>
      <c r="C1640" s="28">
        <v>2808079400</v>
      </c>
    </row>
    <row r="1641" spans="1:3" ht="15.5">
      <c r="A1641" s="29">
        <v>42164</v>
      </c>
      <c r="B1641" s="28">
        <v>1.7603</v>
      </c>
      <c r="C1641" s="28">
        <v>2756756800</v>
      </c>
    </row>
    <row r="1642" spans="1:3" ht="15.5">
      <c r="A1642" s="29">
        <v>42160</v>
      </c>
      <c r="B1642" s="28">
        <v>1.7884</v>
      </c>
      <c r="C1642" s="28">
        <v>2800747600</v>
      </c>
    </row>
    <row r="1643" spans="1:3" ht="15.5">
      <c r="A1643" s="29">
        <v>42159</v>
      </c>
      <c r="B1643" s="28">
        <v>1.7790999999999999</v>
      </c>
      <c r="C1643" s="28">
        <v>2786084000</v>
      </c>
    </row>
    <row r="1644" spans="1:3" ht="15.5">
      <c r="A1644" s="29">
        <v>42158</v>
      </c>
      <c r="B1644" s="28">
        <v>1.8259000000000001</v>
      </c>
      <c r="C1644" s="28">
        <v>2859402000</v>
      </c>
    </row>
    <row r="1645" spans="1:3" ht="15.5">
      <c r="A1645" s="29">
        <v>42157</v>
      </c>
      <c r="B1645" s="28">
        <v>1.8540000000000001</v>
      </c>
      <c r="C1645" s="28">
        <v>2903392800</v>
      </c>
    </row>
    <row r="1646" spans="1:3" ht="15.5">
      <c r="A1646" s="29">
        <v>42156</v>
      </c>
      <c r="B1646" s="28">
        <v>1.8680000000000001</v>
      </c>
      <c r="C1646" s="28">
        <v>2925388200</v>
      </c>
    </row>
    <row r="1647" spans="1:3" ht="15.5">
      <c r="A1647" s="29">
        <v>42153</v>
      </c>
      <c r="B1647" s="28">
        <v>1.8680000000000001</v>
      </c>
      <c r="C1647" s="28">
        <v>2925388200</v>
      </c>
    </row>
    <row r="1648" spans="1:3" ht="15.5">
      <c r="A1648" s="29">
        <v>42152</v>
      </c>
      <c r="B1648" s="28">
        <v>1.8727</v>
      </c>
      <c r="C1648" s="28">
        <v>2932720000</v>
      </c>
    </row>
    <row r="1649" spans="1:3" ht="15.5">
      <c r="A1649" s="29">
        <v>42151</v>
      </c>
      <c r="B1649" s="28">
        <v>1.8446</v>
      </c>
      <c r="C1649" s="28">
        <v>2888729200</v>
      </c>
    </row>
    <row r="1650" spans="1:3" ht="15.5">
      <c r="A1650" s="29">
        <v>42150</v>
      </c>
      <c r="B1650" s="28">
        <v>1.8727</v>
      </c>
      <c r="C1650" s="28">
        <v>2932720000</v>
      </c>
    </row>
    <row r="1651" spans="1:3" ht="15.5">
      <c r="A1651" s="29">
        <v>42149</v>
      </c>
      <c r="B1651" s="28">
        <v>1.8633</v>
      </c>
      <c r="C1651" s="28">
        <v>2918056400</v>
      </c>
    </row>
    <row r="1652" spans="1:3" ht="15.5">
      <c r="A1652" s="29">
        <v>42146</v>
      </c>
      <c r="B1652" s="28">
        <v>1.8492999999999999</v>
      </c>
      <c r="C1652" s="28">
        <v>2896061000</v>
      </c>
    </row>
    <row r="1653" spans="1:3" ht="15.5">
      <c r="A1653" s="29">
        <v>42145</v>
      </c>
      <c r="B1653" s="28">
        <v>1.8025</v>
      </c>
      <c r="C1653" s="28">
        <v>2822743000</v>
      </c>
    </row>
    <row r="1654" spans="1:3" ht="15.5">
      <c r="A1654" s="29">
        <v>42144</v>
      </c>
      <c r="B1654" s="28">
        <v>1.8025</v>
      </c>
      <c r="C1654" s="28">
        <v>2822743000</v>
      </c>
    </row>
    <row r="1655" spans="1:3" ht="15.5">
      <c r="A1655" s="29">
        <v>42143</v>
      </c>
      <c r="B1655" s="28">
        <v>1.8351999999999999</v>
      </c>
      <c r="C1655" s="28">
        <v>2874065600</v>
      </c>
    </row>
    <row r="1656" spans="1:3" ht="15.5">
      <c r="A1656" s="29">
        <v>42142</v>
      </c>
      <c r="B1656" s="28">
        <v>1.8259000000000001</v>
      </c>
      <c r="C1656" s="28">
        <v>2859402000</v>
      </c>
    </row>
    <row r="1657" spans="1:3" ht="15.5">
      <c r="A1657" s="29">
        <v>42139</v>
      </c>
      <c r="B1657" s="28">
        <v>1.8727</v>
      </c>
      <c r="C1657" s="28">
        <v>2932720000</v>
      </c>
    </row>
    <row r="1658" spans="1:3" ht="15.5">
      <c r="A1658" s="29">
        <v>42138</v>
      </c>
      <c r="B1658" s="28">
        <v>1.8259000000000001</v>
      </c>
      <c r="C1658" s="28">
        <v>2859402000</v>
      </c>
    </row>
    <row r="1659" spans="1:3" ht="15.5">
      <c r="A1659" s="29">
        <v>42137</v>
      </c>
      <c r="B1659" s="28">
        <v>1.8118000000000001</v>
      </c>
      <c r="C1659" s="28">
        <v>2837406600</v>
      </c>
    </row>
    <row r="1660" spans="1:3" ht="15.5">
      <c r="A1660" s="29">
        <v>42136</v>
      </c>
      <c r="B1660" s="28">
        <v>1.8025</v>
      </c>
      <c r="C1660" s="28">
        <v>2822743000</v>
      </c>
    </row>
    <row r="1661" spans="1:3" ht="15.5">
      <c r="A1661" s="29">
        <v>42135</v>
      </c>
      <c r="B1661" s="28">
        <v>1.7837000000000001</v>
      </c>
      <c r="C1661" s="28">
        <v>2793415800</v>
      </c>
    </row>
    <row r="1662" spans="1:3" ht="15.5">
      <c r="A1662" s="29">
        <v>42132</v>
      </c>
      <c r="B1662" s="28">
        <v>1.7837000000000001</v>
      </c>
      <c r="C1662" s="28">
        <v>2793415800</v>
      </c>
    </row>
    <row r="1663" spans="1:3" ht="15.5">
      <c r="A1663" s="29">
        <v>42131</v>
      </c>
      <c r="B1663" s="28">
        <v>1.7509999999999999</v>
      </c>
      <c r="C1663" s="28">
        <v>2742093200</v>
      </c>
    </row>
    <row r="1664" spans="1:3" ht="15.5">
      <c r="A1664" s="29">
        <v>42130</v>
      </c>
      <c r="B1664" s="28">
        <v>1.8259000000000001</v>
      </c>
      <c r="C1664" s="28">
        <v>2859402000</v>
      </c>
    </row>
    <row r="1665" spans="1:3" ht="15.5">
      <c r="A1665" s="29">
        <v>42129</v>
      </c>
      <c r="B1665" s="28">
        <v>1.8492999999999999</v>
      </c>
      <c r="C1665" s="28">
        <v>2896061000</v>
      </c>
    </row>
    <row r="1666" spans="1:3" ht="15.5">
      <c r="A1666" s="29">
        <v>42128</v>
      </c>
      <c r="B1666" s="28">
        <v>1.8399000000000001</v>
      </c>
      <c r="C1666" s="28">
        <v>2881397400</v>
      </c>
    </row>
    <row r="1667" spans="1:3" ht="15.5">
      <c r="A1667" s="29">
        <v>42125</v>
      </c>
      <c r="B1667" s="28">
        <v>1.8211999999999999</v>
      </c>
      <c r="C1667" s="28">
        <v>2852070200</v>
      </c>
    </row>
    <row r="1668" spans="1:3" ht="15.5">
      <c r="A1668" s="29">
        <v>42124</v>
      </c>
      <c r="B1668" s="28">
        <v>1.8259000000000001</v>
      </c>
      <c r="C1668" s="28">
        <v>2859402000</v>
      </c>
    </row>
    <row r="1669" spans="1:3" ht="15.5">
      <c r="A1669" s="29">
        <v>42123</v>
      </c>
      <c r="B1669" s="28">
        <v>1.8914</v>
      </c>
      <c r="C1669" s="28">
        <v>2962047200</v>
      </c>
    </row>
    <row r="1670" spans="1:3" ht="15.5">
      <c r="A1670" s="29">
        <v>42122</v>
      </c>
      <c r="B1670" s="28">
        <v>1.9289000000000001</v>
      </c>
      <c r="C1670" s="28">
        <v>3020701600</v>
      </c>
    </row>
    <row r="1671" spans="1:3" ht="15.5">
      <c r="A1671" s="29">
        <v>42121</v>
      </c>
      <c r="B1671" s="28">
        <v>1.9008</v>
      </c>
      <c r="C1671" s="28">
        <v>2976710800</v>
      </c>
    </row>
    <row r="1672" spans="1:3" ht="15.5">
      <c r="A1672" s="29">
        <v>42118</v>
      </c>
      <c r="B1672" s="28">
        <v>1.8727</v>
      </c>
      <c r="C1672" s="28">
        <v>2932720000</v>
      </c>
    </row>
    <row r="1673" spans="1:3" ht="15.5">
      <c r="A1673" s="29">
        <v>42117</v>
      </c>
      <c r="B1673" s="28">
        <v>1.8540000000000001</v>
      </c>
      <c r="C1673" s="28">
        <v>2903392800</v>
      </c>
    </row>
    <row r="1674" spans="1:3" ht="15.5">
      <c r="A1674" s="29">
        <v>42116</v>
      </c>
      <c r="B1674" s="28">
        <v>1.8118000000000001</v>
      </c>
      <c r="C1674" s="28">
        <v>2837406600</v>
      </c>
    </row>
    <row r="1675" spans="1:3" ht="15.5">
      <c r="A1675" s="29">
        <v>42115</v>
      </c>
      <c r="B1675" s="28">
        <v>1.8306</v>
      </c>
      <c r="C1675" s="28">
        <v>2866733800</v>
      </c>
    </row>
    <row r="1676" spans="1:3" ht="15.5">
      <c r="A1676" s="29">
        <v>42114</v>
      </c>
      <c r="B1676" s="28">
        <v>1.8306</v>
      </c>
      <c r="C1676" s="28">
        <v>2866733800</v>
      </c>
    </row>
    <row r="1677" spans="1:3" ht="15.5">
      <c r="A1677" s="29">
        <v>42111</v>
      </c>
      <c r="B1677" s="28">
        <v>1.8259000000000001</v>
      </c>
      <c r="C1677" s="28">
        <v>2859402000</v>
      </c>
    </row>
    <row r="1678" spans="1:3" ht="15.5">
      <c r="A1678" s="29">
        <v>42110</v>
      </c>
      <c r="B1678" s="28">
        <v>1.8540000000000001</v>
      </c>
      <c r="C1678" s="28">
        <v>2903392800</v>
      </c>
    </row>
    <row r="1679" spans="1:3" ht="15.5">
      <c r="A1679" s="29">
        <v>42109</v>
      </c>
      <c r="B1679" s="28">
        <v>1.8540000000000001</v>
      </c>
      <c r="C1679" s="28">
        <v>2903392800</v>
      </c>
    </row>
    <row r="1680" spans="1:3" ht="15.5">
      <c r="A1680" s="29">
        <v>42108</v>
      </c>
      <c r="B1680" s="28">
        <v>1.8821000000000001</v>
      </c>
      <c r="C1680" s="28">
        <v>2947383600</v>
      </c>
    </row>
    <row r="1681" spans="1:3" ht="15.5">
      <c r="A1681" s="29">
        <v>42107</v>
      </c>
      <c r="B1681" s="28">
        <v>1.9100999999999999</v>
      </c>
      <c r="C1681" s="28">
        <v>2991374400</v>
      </c>
    </row>
    <row r="1682" spans="1:3" ht="15.5">
      <c r="A1682" s="29">
        <v>42104</v>
      </c>
      <c r="B1682" s="28">
        <v>1.8633</v>
      </c>
      <c r="C1682" s="28">
        <v>2918056400</v>
      </c>
    </row>
    <row r="1683" spans="1:3" ht="15.5">
      <c r="A1683" s="29">
        <v>42103</v>
      </c>
      <c r="B1683" s="28">
        <v>1.8306</v>
      </c>
      <c r="C1683" s="28">
        <v>2866733800</v>
      </c>
    </row>
    <row r="1684" spans="1:3" ht="15.5">
      <c r="A1684" s="29">
        <v>42102</v>
      </c>
      <c r="B1684" s="28">
        <v>1.7930999999999999</v>
      </c>
      <c r="C1684" s="28">
        <v>2808079400</v>
      </c>
    </row>
    <row r="1685" spans="1:3" ht="15.5">
      <c r="A1685" s="29">
        <v>42101</v>
      </c>
      <c r="B1685" s="28">
        <v>1.8025</v>
      </c>
      <c r="C1685" s="28">
        <v>2822743000</v>
      </c>
    </row>
    <row r="1686" spans="1:3" ht="15.5">
      <c r="A1686" s="29">
        <v>42096</v>
      </c>
      <c r="B1686" s="28">
        <v>1.8306</v>
      </c>
      <c r="C1686" s="28">
        <v>2866733800</v>
      </c>
    </row>
    <row r="1687" spans="1:3" ht="15.5">
      <c r="A1687" s="29">
        <v>42095</v>
      </c>
      <c r="B1687" s="28">
        <v>1.8351999999999999</v>
      </c>
      <c r="C1687" s="28">
        <v>2874065600</v>
      </c>
    </row>
    <row r="1688" spans="1:3" ht="15.5">
      <c r="A1688" s="29">
        <v>42094</v>
      </c>
      <c r="B1688" s="28">
        <v>1.8540000000000001</v>
      </c>
      <c r="C1688" s="28">
        <v>2903392800</v>
      </c>
    </row>
    <row r="1689" spans="1:3" ht="15.5">
      <c r="A1689" s="29">
        <v>42093</v>
      </c>
      <c r="B1689" s="28">
        <v>1.8306</v>
      </c>
      <c r="C1689" s="28">
        <v>2866733800</v>
      </c>
    </row>
    <row r="1690" spans="1:3" ht="15.5">
      <c r="A1690" s="29">
        <v>42090</v>
      </c>
      <c r="B1690" s="28">
        <v>1.8633</v>
      </c>
      <c r="C1690" s="28">
        <v>2918056400</v>
      </c>
    </row>
    <row r="1691" spans="1:3" ht="15.5">
      <c r="A1691" s="29">
        <v>42089</v>
      </c>
      <c r="B1691" s="28">
        <v>1.8259000000000001</v>
      </c>
      <c r="C1691" s="28">
        <v>2859402000</v>
      </c>
    </row>
    <row r="1692" spans="1:3" ht="15.5">
      <c r="A1692" s="29">
        <v>42088</v>
      </c>
      <c r="B1692" s="28">
        <v>1.8633</v>
      </c>
      <c r="C1692" s="28">
        <v>2918056400</v>
      </c>
    </row>
    <row r="1693" spans="1:3" ht="15.5">
      <c r="A1693" s="29">
        <v>42087</v>
      </c>
      <c r="B1693" s="28">
        <v>1.8680000000000001</v>
      </c>
      <c r="C1693" s="28">
        <v>2925388200</v>
      </c>
    </row>
    <row r="1694" spans="1:3" ht="15.5">
      <c r="A1694" s="29">
        <v>42086</v>
      </c>
      <c r="B1694" s="28">
        <v>1.8680000000000001</v>
      </c>
      <c r="C1694" s="28">
        <v>2925388200</v>
      </c>
    </row>
    <row r="1695" spans="1:3" ht="15.5">
      <c r="A1695" s="29">
        <v>42083</v>
      </c>
      <c r="B1695" s="28">
        <v>1.8727</v>
      </c>
      <c r="C1695" s="28">
        <v>2932720000</v>
      </c>
    </row>
    <row r="1696" spans="1:3" ht="15.5">
      <c r="A1696" s="29">
        <v>42082</v>
      </c>
      <c r="B1696" s="28">
        <v>1.9100999999999999</v>
      </c>
      <c r="C1696" s="28">
        <v>2991374400</v>
      </c>
    </row>
    <row r="1697" spans="1:3" ht="15.5">
      <c r="A1697" s="29">
        <v>42081</v>
      </c>
      <c r="B1697" s="28">
        <v>1.8727</v>
      </c>
      <c r="C1697" s="28">
        <v>2932720000</v>
      </c>
    </row>
    <row r="1698" spans="1:3" ht="15.5">
      <c r="A1698" s="29">
        <v>42080</v>
      </c>
      <c r="B1698" s="28">
        <v>1.8680000000000001</v>
      </c>
      <c r="C1698" s="28">
        <v>2925388200</v>
      </c>
    </row>
    <row r="1699" spans="1:3" ht="15.5">
      <c r="A1699" s="29">
        <v>42079</v>
      </c>
      <c r="B1699" s="28">
        <v>1.8821000000000001</v>
      </c>
      <c r="C1699" s="28">
        <v>2947383600</v>
      </c>
    </row>
    <row r="1700" spans="1:3" ht="15.5">
      <c r="A1700" s="29">
        <v>42076</v>
      </c>
      <c r="B1700" s="28">
        <v>1.9195</v>
      </c>
      <c r="C1700" s="28">
        <v>3006038000</v>
      </c>
    </row>
    <row r="1701" spans="1:3" ht="15.5">
      <c r="A1701" s="29">
        <v>42075</v>
      </c>
      <c r="B1701" s="28">
        <v>1.9195</v>
      </c>
      <c r="C1701" s="28">
        <v>3006038000</v>
      </c>
    </row>
    <row r="1702" spans="1:3" ht="15.5">
      <c r="A1702" s="29">
        <v>42074</v>
      </c>
      <c r="B1702" s="28">
        <v>1.9195</v>
      </c>
      <c r="C1702" s="28">
        <v>3006038000</v>
      </c>
    </row>
    <row r="1703" spans="1:3" ht="15.5">
      <c r="A1703" s="29">
        <v>42073</v>
      </c>
      <c r="B1703" s="28">
        <v>1.9195</v>
      </c>
      <c r="C1703" s="28">
        <v>3006038000</v>
      </c>
    </row>
    <row r="1704" spans="1:3" ht="15.5">
      <c r="A1704" s="29">
        <v>42072</v>
      </c>
      <c r="B1704" s="28">
        <v>1.9008</v>
      </c>
      <c r="C1704" s="28">
        <v>2976710800</v>
      </c>
    </row>
    <row r="1705" spans="1:3" ht="15.5">
      <c r="A1705" s="29">
        <v>42069</v>
      </c>
      <c r="B1705" s="28">
        <v>1.9195</v>
      </c>
      <c r="C1705" s="28">
        <v>3006038000</v>
      </c>
    </row>
    <row r="1706" spans="1:3" ht="15.5">
      <c r="A1706" s="29">
        <v>42068</v>
      </c>
      <c r="B1706" s="28">
        <v>1.9100999999999999</v>
      </c>
      <c r="C1706" s="28">
        <v>2991374400</v>
      </c>
    </row>
    <row r="1707" spans="1:3" ht="15.5">
      <c r="A1707" s="29">
        <v>42067</v>
      </c>
      <c r="B1707" s="28">
        <v>1.9008</v>
      </c>
      <c r="C1707" s="28">
        <v>2976710800</v>
      </c>
    </row>
    <row r="1708" spans="1:3" ht="15.5">
      <c r="A1708" s="29">
        <v>42066</v>
      </c>
      <c r="B1708" s="28">
        <v>1.8914</v>
      </c>
      <c r="C1708" s="28">
        <v>2962047200</v>
      </c>
    </row>
    <row r="1709" spans="1:3" ht="15.5">
      <c r="A1709" s="29">
        <v>42065</v>
      </c>
      <c r="B1709" s="28">
        <v>1.9381999999999999</v>
      </c>
      <c r="C1709" s="28">
        <v>3035365200</v>
      </c>
    </row>
    <row r="1710" spans="1:3" ht="15.5">
      <c r="A1710" s="29">
        <v>42062</v>
      </c>
      <c r="B1710" s="28">
        <v>2.0038</v>
      </c>
      <c r="C1710" s="28">
        <v>3138010400</v>
      </c>
    </row>
    <row r="1711" spans="1:3" ht="15.5">
      <c r="A1711" s="29">
        <v>42061</v>
      </c>
      <c r="B1711" s="28">
        <v>2.06</v>
      </c>
      <c r="C1711" s="28">
        <v>3225992000</v>
      </c>
    </row>
    <row r="1712" spans="1:3" ht="15.5">
      <c r="A1712" s="29">
        <v>42060</v>
      </c>
      <c r="B1712" s="28">
        <v>2.0506000000000002</v>
      </c>
      <c r="C1712" s="28">
        <v>3211328400</v>
      </c>
    </row>
    <row r="1713" spans="1:3" ht="15.5">
      <c r="A1713" s="29">
        <v>42059</v>
      </c>
      <c r="B1713" s="28">
        <v>2.0506000000000002</v>
      </c>
      <c r="C1713" s="28">
        <v>3211328400</v>
      </c>
    </row>
    <row r="1714" spans="1:3" ht="15.5">
      <c r="A1714" s="29">
        <v>42058</v>
      </c>
      <c r="B1714" s="28">
        <v>2.0506000000000002</v>
      </c>
      <c r="C1714" s="28">
        <v>3211328400</v>
      </c>
    </row>
    <row r="1715" spans="1:3" ht="15.5">
      <c r="A1715" s="29">
        <v>42055</v>
      </c>
      <c r="B1715" s="28">
        <v>2.0318999999999998</v>
      </c>
      <c r="C1715" s="28">
        <v>3182001200</v>
      </c>
    </row>
    <row r="1716" spans="1:3" ht="15.5">
      <c r="A1716" s="29">
        <v>42054</v>
      </c>
      <c r="B1716" s="28">
        <v>2.0693000000000001</v>
      </c>
      <c r="C1716" s="28">
        <v>3240655600</v>
      </c>
    </row>
    <row r="1717" spans="1:3" ht="15.5">
      <c r="A1717" s="29">
        <v>42053</v>
      </c>
      <c r="B1717" s="28">
        <v>2.0880999999999998</v>
      </c>
      <c r="C1717" s="28">
        <v>3269982800</v>
      </c>
    </row>
    <row r="1718" spans="1:3" ht="15.5">
      <c r="A1718" s="29">
        <v>42052</v>
      </c>
      <c r="B1718" s="28">
        <v>2.0787</v>
      </c>
      <c r="C1718" s="28">
        <v>3255319200</v>
      </c>
    </row>
    <row r="1719" spans="1:3" ht="15.5">
      <c r="A1719" s="29">
        <v>42051</v>
      </c>
      <c r="B1719" s="28">
        <v>2.0693000000000001</v>
      </c>
      <c r="C1719" s="28">
        <v>3240655600</v>
      </c>
    </row>
    <row r="1720" spans="1:3" ht="15.5">
      <c r="A1720" s="29">
        <v>42048</v>
      </c>
      <c r="B1720" s="28">
        <v>2.1067999999999998</v>
      </c>
      <c r="C1720" s="28">
        <v>3299310000</v>
      </c>
    </row>
    <row r="1721" spans="1:3" ht="15.5">
      <c r="A1721" s="29">
        <v>42047</v>
      </c>
      <c r="B1721" s="28">
        <v>2.0973999999999999</v>
      </c>
      <c r="C1721" s="28">
        <v>3284646400</v>
      </c>
    </row>
    <row r="1722" spans="1:3" ht="15.5">
      <c r="A1722" s="29">
        <v>42046</v>
      </c>
      <c r="B1722" s="28">
        <v>2.0973999999999999</v>
      </c>
      <c r="C1722" s="28">
        <v>3284646400</v>
      </c>
    </row>
    <row r="1723" spans="1:3" ht="15.5">
      <c r="A1723" s="29">
        <v>42045</v>
      </c>
      <c r="B1723" s="28">
        <v>2.0973999999999999</v>
      </c>
      <c r="C1723" s="28">
        <v>3284646400</v>
      </c>
    </row>
    <row r="1724" spans="1:3" ht="15.5">
      <c r="A1724" s="29">
        <v>42044</v>
      </c>
      <c r="B1724" s="28">
        <v>2.1160999999999999</v>
      </c>
      <c r="C1724" s="28">
        <v>3313973600</v>
      </c>
    </row>
    <row r="1725" spans="1:3" ht="15.5">
      <c r="A1725" s="29">
        <v>42041</v>
      </c>
      <c r="B1725" s="28">
        <v>2.1160999999999999</v>
      </c>
      <c r="C1725" s="28">
        <v>3313973600</v>
      </c>
    </row>
    <row r="1726" spans="1:3" ht="15.5">
      <c r="A1726" s="29">
        <v>42040</v>
      </c>
      <c r="B1726" s="28">
        <v>2.0973999999999999</v>
      </c>
      <c r="C1726" s="28">
        <v>3284646400</v>
      </c>
    </row>
    <row r="1727" spans="1:3" ht="15.5">
      <c r="A1727" s="29">
        <v>42039</v>
      </c>
      <c r="B1727" s="28">
        <v>2.06</v>
      </c>
      <c r="C1727" s="28">
        <v>3225992000</v>
      </c>
    </row>
    <row r="1728" spans="1:3" ht="15.5">
      <c r="A1728" s="29">
        <v>42038</v>
      </c>
      <c r="B1728" s="28">
        <v>2.06</v>
      </c>
      <c r="C1728" s="28">
        <v>3225992000</v>
      </c>
    </row>
    <row r="1729" spans="1:3" ht="15.5">
      <c r="A1729" s="29">
        <v>42037</v>
      </c>
      <c r="B1729" s="28">
        <v>2.0411999999999999</v>
      </c>
      <c r="C1729" s="28">
        <v>3196664800</v>
      </c>
    </row>
    <row r="1730" spans="1:3" ht="15.5">
      <c r="A1730" s="29">
        <v>42034</v>
      </c>
      <c r="B1730" s="28">
        <v>2.0038</v>
      </c>
      <c r="C1730" s="28">
        <v>3138010400</v>
      </c>
    </row>
    <row r="1731" spans="1:3" ht="15.5">
      <c r="A1731" s="29">
        <v>42033</v>
      </c>
      <c r="B1731" s="28">
        <v>2.0318999999999998</v>
      </c>
      <c r="C1731" s="28">
        <v>3182001200</v>
      </c>
    </row>
    <row r="1732" spans="1:3" ht="15.5">
      <c r="A1732" s="29">
        <v>42032</v>
      </c>
      <c r="B1732" s="28">
        <v>2.0411999999999999</v>
      </c>
      <c r="C1732" s="28">
        <v>3196664800</v>
      </c>
    </row>
    <row r="1733" spans="1:3" ht="15.5">
      <c r="A1733" s="29">
        <v>42031</v>
      </c>
      <c r="B1733" s="28">
        <v>2.0411999999999999</v>
      </c>
      <c r="C1733" s="28">
        <v>3196664800</v>
      </c>
    </row>
    <row r="1734" spans="1:3" ht="15.5">
      <c r="A1734" s="29">
        <v>42027</v>
      </c>
      <c r="B1734" s="28">
        <v>2.0411999999999999</v>
      </c>
      <c r="C1734" s="28">
        <v>3196664800</v>
      </c>
    </row>
    <row r="1735" spans="1:3" ht="15.5">
      <c r="A1735" s="29">
        <v>42026</v>
      </c>
      <c r="B1735" s="28">
        <v>2.0038</v>
      </c>
      <c r="C1735" s="28">
        <v>3138010400</v>
      </c>
    </row>
    <row r="1736" spans="1:3" ht="15.5">
      <c r="A1736" s="29">
        <v>42025</v>
      </c>
      <c r="B1736" s="28">
        <v>2.0131000000000001</v>
      </c>
      <c r="C1736" s="28">
        <v>3152674000</v>
      </c>
    </row>
    <row r="1737" spans="1:3" ht="15.5">
      <c r="A1737" s="29">
        <v>42024</v>
      </c>
      <c r="B1737" s="28">
        <v>1.9944</v>
      </c>
      <c r="C1737" s="28">
        <v>3123346800</v>
      </c>
    </row>
    <row r="1738" spans="1:3" ht="15.5">
      <c r="A1738" s="29">
        <v>42023</v>
      </c>
      <c r="B1738" s="28">
        <v>2.0038</v>
      </c>
      <c r="C1738" s="28">
        <v>3138010400</v>
      </c>
    </row>
    <row r="1739" spans="1:3" ht="15.5">
      <c r="A1739" s="29">
        <v>42020</v>
      </c>
      <c r="B1739" s="28">
        <v>2.0038</v>
      </c>
      <c r="C1739" s="28">
        <v>3138010400</v>
      </c>
    </row>
    <row r="1740" spans="1:3" ht="15.5">
      <c r="A1740" s="29">
        <v>42019</v>
      </c>
      <c r="B1740" s="28">
        <v>2.0225</v>
      </c>
      <c r="C1740" s="28">
        <v>3167337600</v>
      </c>
    </row>
    <row r="1741" spans="1:3" ht="15.5">
      <c r="A1741" s="29">
        <v>42018</v>
      </c>
      <c r="B1741" s="28">
        <v>1.9944</v>
      </c>
      <c r="C1741" s="28">
        <v>3123346800</v>
      </c>
    </row>
    <row r="1742" spans="1:3" ht="15.5">
      <c r="A1742" s="29">
        <v>42017</v>
      </c>
      <c r="B1742" s="28">
        <v>2.0411999999999999</v>
      </c>
      <c r="C1742" s="28">
        <v>3196664800</v>
      </c>
    </row>
    <row r="1743" spans="1:3" ht="15.5">
      <c r="A1743" s="29">
        <v>42016</v>
      </c>
      <c r="B1743" s="28">
        <v>2.0225</v>
      </c>
      <c r="C1743" s="28">
        <v>3167337600</v>
      </c>
    </row>
    <row r="1744" spans="1:3" ht="15.5">
      <c r="A1744" s="29">
        <v>42013</v>
      </c>
      <c r="B1744" s="28">
        <v>2.0131000000000001</v>
      </c>
      <c r="C1744" s="28">
        <v>3152674000</v>
      </c>
    </row>
    <row r="1745" spans="1:3" ht="15.5">
      <c r="A1745" s="29">
        <v>42012</v>
      </c>
      <c r="B1745" s="28">
        <v>1.9944</v>
      </c>
      <c r="C1745" s="28">
        <v>3123346800</v>
      </c>
    </row>
    <row r="1746" spans="1:3" ht="15.5">
      <c r="A1746" s="29">
        <v>42011</v>
      </c>
      <c r="B1746" s="28">
        <v>1.9757</v>
      </c>
      <c r="C1746" s="28">
        <v>3094019600</v>
      </c>
    </row>
    <row r="1747" spans="1:3" ht="15.5">
      <c r="A1747" s="29">
        <v>42010</v>
      </c>
      <c r="B1747" s="28">
        <v>1.9662999999999999</v>
      </c>
      <c r="C1747" s="28">
        <v>3079356000</v>
      </c>
    </row>
    <row r="1748" spans="1:3" ht="15.5">
      <c r="A1748" s="29">
        <v>42009</v>
      </c>
      <c r="B1748" s="28">
        <v>1.9851000000000001</v>
      </c>
      <c r="C1748" s="28">
        <v>3108683200</v>
      </c>
    </row>
    <row r="1749" spans="1:3" ht="15.5">
      <c r="A1749" s="29">
        <v>42006</v>
      </c>
      <c r="B1749" s="28">
        <v>1.9944</v>
      </c>
      <c r="C1749" s="28">
        <v>3123346800</v>
      </c>
    </row>
    <row r="1750" spans="1:3" ht="15.5">
      <c r="A1750" s="29">
        <v>42004</v>
      </c>
      <c r="B1750" s="28">
        <v>1.9944</v>
      </c>
      <c r="C1750" s="28">
        <v>3123346800</v>
      </c>
    </row>
    <row r="1751" spans="1:3" ht="15.5">
      <c r="A1751" s="29">
        <v>42003</v>
      </c>
      <c r="B1751" s="28">
        <v>1.9851000000000001</v>
      </c>
      <c r="C1751" s="28">
        <v>3108683200</v>
      </c>
    </row>
    <row r="1752" spans="1:3" ht="15.5">
      <c r="A1752" s="29">
        <v>42002</v>
      </c>
      <c r="B1752" s="28">
        <v>1.9757</v>
      </c>
      <c r="C1752" s="28">
        <v>3094019600</v>
      </c>
    </row>
    <row r="1753" spans="1:3" ht="15.5">
      <c r="A1753" s="29">
        <v>41997</v>
      </c>
      <c r="B1753" s="28">
        <v>1.9289000000000001</v>
      </c>
      <c r="C1753" s="28">
        <v>3020701600</v>
      </c>
    </row>
    <row r="1754" spans="1:3" ht="15.5">
      <c r="A1754" s="29">
        <v>41996</v>
      </c>
      <c r="B1754" s="28">
        <v>1.9381999999999999</v>
      </c>
      <c r="C1754" s="28">
        <v>3035365200</v>
      </c>
    </row>
    <row r="1755" spans="1:3" ht="15.5">
      <c r="A1755" s="29">
        <v>41995</v>
      </c>
      <c r="B1755" s="28">
        <v>1.9289000000000001</v>
      </c>
      <c r="C1755" s="28">
        <v>3020701600</v>
      </c>
    </row>
    <row r="1756" spans="1:3" ht="15.5">
      <c r="A1756" s="29">
        <v>41992</v>
      </c>
      <c r="B1756" s="28">
        <v>1.8821000000000001</v>
      </c>
      <c r="C1756" s="28">
        <v>2947383600</v>
      </c>
    </row>
    <row r="1757" spans="1:3" ht="15.5">
      <c r="A1757" s="29">
        <v>41991</v>
      </c>
      <c r="B1757" s="28">
        <v>1.8540000000000001</v>
      </c>
      <c r="C1757" s="28">
        <v>2903392800</v>
      </c>
    </row>
    <row r="1758" spans="1:3" ht="15.5">
      <c r="A1758" s="29">
        <v>41990</v>
      </c>
      <c r="B1758" s="28">
        <v>1.8306</v>
      </c>
      <c r="C1758" s="28">
        <v>2866733800</v>
      </c>
    </row>
    <row r="1759" spans="1:3" ht="15.5">
      <c r="A1759" s="29">
        <v>41989</v>
      </c>
      <c r="B1759" s="28">
        <v>1.8446</v>
      </c>
      <c r="C1759" s="28">
        <v>2888729200</v>
      </c>
    </row>
    <row r="1760" spans="1:3" ht="15.5">
      <c r="A1760" s="29">
        <v>41988</v>
      </c>
      <c r="B1760" s="28">
        <v>1.8446</v>
      </c>
      <c r="C1760" s="28">
        <v>2888729200</v>
      </c>
    </row>
    <row r="1761" spans="1:3" ht="15.5">
      <c r="A1761" s="29">
        <v>41985</v>
      </c>
      <c r="B1761" s="28">
        <v>1.8492999999999999</v>
      </c>
      <c r="C1761" s="28">
        <v>2896061000</v>
      </c>
    </row>
    <row r="1762" spans="1:3" ht="15.5">
      <c r="A1762" s="29">
        <v>41984</v>
      </c>
      <c r="B1762" s="28">
        <v>1.8211999999999999</v>
      </c>
      <c r="C1762" s="28">
        <v>2852070200</v>
      </c>
    </row>
    <row r="1763" spans="1:3" ht="15.5">
      <c r="A1763" s="29">
        <v>41983</v>
      </c>
      <c r="B1763" s="28">
        <v>1.8071999999999999</v>
      </c>
      <c r="C1763" s="28">
        <v>2830074800</v>
      </c>
    </row>
    <row r="1764" spans="1:3" ht="15.5">
      <c r="A1764" s="29">
        <v>41982</v>
      </c>
      <c r="B1764" s="28">
        <v>1.8259000000000001</v>
      </c>
      <c r="C1764" s="28">
        <v>2859402000</v>
      </c>
    </row>
    <row r="1765" spans="1:3" ht="15.5">
      <c r="A1765" s="29">
        <v>41981</v>
      </c>
      <c r="B1765" s="28">
        <v>1.8540000000000001</v>
      </c>
      <c r="C1765" s="28">
        <v>2903392800</v>
      </c>
    </row>
    <row r="1766" spans="1:3" ht="15.5">
      <c r="A1766" s="29">
        <v>41978</v>
      </c>
      <c r="B1766" s="28">
        <v>1.8821000000000001</v>
      </c>
      <c r="C1766" s="28">
        <v>2947383600</v>
      </c>
    </row>
    <row r="1767" spans="1:3" ht="15.5">
      <c r="A1767" s="29">
        <v>41977</v>
      </c>
      <c r="B1767" s="28">
        <v>1.8727</v>
      </c>
      <c r="C1767" s="28">
        <v>2932720000</v>
      </c>
    </row>
    <row r="1768" spans="1:3" ht="15.5">
      <c r="A1768" s="29">
        <v>41976</v>
      </c>
      <c r="B1768" s="28">
        <v>1.8821000000000001</v>
      </c>
      <c r="C1768" s="28">
        <v>2947383600</v>
      </c>
    </row>
    <row r="1769" spans="1:3" ht="15.5">
      <c r="A1769" s="29">
        <v>41975</v>
      </c>
      <c r="B1769" s="28">
        <v>1.8399000000000001</v>
      </c>
      <c r="C1769" s="28">
        <v>2881397400</v>
      </c>
    </row>
    <row r="1770" spans="1:3" ht="15.5">
      <c r="A1770" s="29">
        <v>41974</v>
      </c>
      <c r="B1770" s="28">
        <v>1.8071999999999999</v>
      </c>
      <c r="C1770" s="28">
        <v>2830074800</v>
      </c>
    </row>
    <row r="1771" spans="1:3" ht="15.5">
      <c r="A1771" s="29">
        <v>41971</v>
      </c>
      <c r="B1771" s="28">
        <v>1.8259000000000001</v>
      </c>
      <c r="C1771" s="28">
        <v>2859402000</v>
      </c>
    </row>
    <row r="1772" spans="1:3" ht="15.5">
      <c r="A1772" s="29">
        <v>41970</v>
      </c>
      <c r="B1772" s="28">
        <v>1.8259000000000001</v>
      </c>
      <c r="C1772" s="28">
        <v>2859402000</v>
      </c>
    </row>
    <row r="1773" spans="1:3" ht="15.5">
      <c r="A1773" s="29">
        <v>41969</v>
      </c>
      <c r="B1773" s="28">
        <v>1.8351999999999999</v>
      </c>
      <c r="C1773" s="28">
        <v>2874065600</v>
      </c>
    </row>
    <row r="1774" spans="1:3" ht="15.5">
      <c r="A1774" s="29">
        <v>41968</v>
      </c>
      <c r="B1774" s="28">
        <v>1.8025</v>
      </c>
      <c r="C1774" s="28">
        <v>2822743000</v>
      </c>
    </row>
    <row r="1775" spans="1:3" ht="15.5">
      <c r="A1775" s="29">
        <v>41967</v>
      </c>
      <c r="B1775" s="28">
        <v>1.8071999999999999</v>
      </c>
      <c r="C1775" s="28">
        <v>2830074800</v>
      </c>
    </row>
    <row r="1776" spans="1:3" ht="15.5">
      <c r="A1776" s="29">
        <v>41964</v>
      </c>
      <c r="B1776" s="28">
        <v>1.7930999999999999</v>
      </c>
      <c r="C1776" s="28">
        <v>2808079400</v>
      </c>
    </row>
    <row r="1777" spans="1:3" ht="15.5">
      <c r="A1777" s="29">
        <v>41963</v>
      </c>
      <c r="B1777" s="28">
        <v>1.7930999999999999</v>
      </c>
      <c r="C1777" s="28">
        <v>2808079400</v>
      </c>
    </row>
    <row r="1778" spans="1:3" ht="15.5">
      <c r="A1778" s="29">
        <v>41962</v>
      </c>
      <c r="B1778" s="28">
        <v>1.7978000000000001</v>
      </c>
      <c r="C1778" s="28">
        <v>2815411200</v>
      </c>
    </row>
    <row r="1779" spans="1:3" ht="15.5">
      <c r="A1779" s="29">
        <v>41961</v>
      </c>
      <c r="B1779" s="28">
        <v>1.7837000000000001</v>
      </c>
      <c r="C1779" s="28">
        <v>2793415800</v>
      </c>
    </row>
    <row r="1780" spans="1:3" ht="15.5">
      <c r="A1780" s="29">
        <v>41960</v>
      </c>
      <c r="B1780" s="28">
        <v>1.7930999999999999</v>
      </c>
      <c r="C1780" s="28">
        <v>2808079400</v>
      </c>
    </row>
    <row r="1781" spans="1:3" ht="15.5">
      <c r="A1781" s="29">
        <v>41957</v>
      </c>
      <c r="B1781" s="28">
        <v>1.7978000000000001</v>
      </c>
      <c r="C1781" s="28">
        <v>2815411200</v>
      </c>
    </row>
    <row r="1782" spans="1:3" ht="15.5">
      <c r="A1782" s="29">
        <v>41956</v>
      </c>
      <c r="B1782" s="28">
        <v>1.8118000000000001</v>
      </c>
      <c r="C1782" s="28">
        <v>2837406600</v>
      </c>
    </row>
    <row r="1783" spans="1:3" ht="15.5">
      <c r="A1783" s="29">
        <v>41955</v>
      </c>
      <c r="B1783" s="28">
        <v>1.8165</v>
      </c>
      <c r="C1783" s="28">
        <v>2844738400</v>
      </c>
    </row>
    <row r="1784" spans="1:3" ht="15.5">
      <c r="A1784" s="29">
        <v>41954</v>
      </c>
      <c r="B1784" s="28">
        <v>1.8118000000000001</v>
      </c>
      <c r="C1784" s="28">
        <v>2837406600</v>
      </c>
    </row>
    <row r="1785" spans="1:3" ht="15.5">
      <c r="A1785" s="29">
        <v>41953</v>
      </c>
      <c r="B1785" s="28">
        <v>1.8118000000000001</v>
      </c>
      <c r="C1785" s="28">
        <v>2837406600</v>
      </c>
    </row>
    <row r="1786" spans="1:3" ht="15.5">
      <c r="A1786" s="29">
        <v>41950</v>
      </c>
      <c r="B1786" s="28">
        <v>1.8071999999999999</v>
      </c>
      <c r="C1786" s="28">
        <v>2830074800</v>
      </c>
    </row>
    <row r="1787" spans="1:3" ht="15.5">
      <c r="A1787" s="29">
        <v>41949</v>
      </c>
      <c r="B1787" s="28">
        <v>1.7930999999999999</v>
      </c>
      <c r="C1787" s="28">
        <v>2808079400</v>
      </c>
    </row>
    <row r="1788" spans="1:3" ht="15.5">
      <c r="A1788" s="29">
        <v>41948</v>
      </c>
      <c r="B1788" s="28">
        <v>1.7930999999999999</v>
      </c>
      <c r="C1788" s="28">
        <v>2808079400</v>
      </c>
    </row>
    <row r="1789" spans="1:3" ht="15.5">
      <c r="A1789" s="29">
        <v>41947</v>
      </c>
      <c r="B1789" s="28">
        <v>1.8025</v>
      </c>
      <c r="C1789" s="28">
        <v>2822743000</v>
      </c>
    </row>
    <row r="1790" spans="1:3" ht="15.5">
      <c r="A1790" s="29">
        <v>41946</v>
      </c>
      <c r="B1790" s="28">
        <v>1.7884</v>
      </c>
      <c r="C1790" s="28">
        <v>2800747600</v>
      </c>
    </row>
    <row r="1791" spans="1:3" ht="15.5">
      <c r="A1791" s="29">
        <v>41943</v>
      </c>
      <c r="B1791" s="28">
        <v>1.7790999999999999</v>
      </c>
      <c r="C1791" s="28">
        <v>2786084000</v>
      </c>
    </row>
    <row r="1792" spans="1:3" ht="15.5">
      <c r="A1792" s="29">
        <v>41942</v>
      </c>
      <c r="B1792" s="28">
        <v>1.7463</v>
      </c>
      <c r="C1792" s="28">
        <v>2734761400</v>
      </c>
    </row>
    <row r="1793" spans="1:3" ht="15.5">
      <c r="A1793" s="29">
        <v>41941</v>
      </c>
      <c r="B1793" s="28">
        <v>1.7509999999999999</v>
      </c>
      <c r="C1793" s="28">
        <v>2742093200</v>
      </c>
    </row>
    <row r="1794" spans="1:3" ht="15.5">
      <c r="A1794" s="29">
        <v>41940</v>
      </c>
      <c r="B1794" s="28">
        <v>1.7416</v>
      </c>
      <c r="C1794" s="28">
        <v>2727429600</v>
      </c>
    </row>
    <row r="1795" spans="1:3" ht="15.5">
      <c r="A1795" s="29">
        <v>41939</v>
      </c>
      <c r="B1795" s="28">
        <v>1.7509999999999999</v>
      </c>
      <c r="C1795" s="28">
        <v>2742093200</v>
      </c>
    </row>
    <row r="1796" spans="1:3" ht="15.5">
      <c r="A1796" s="29">
        <v>41936</v>
      </c>
      <c r="B1796" s="28">
        <v>1.7416</v>
      </c>
      <c r="C1796" s="28">
        <v>2727429600</v>
      </c>
    </row>
    <row r="1797" spans="1:3" ht="15.5">
      <c r="A1797" s="29">
        <v>41935</v>
      </c>
      <c r="B1797" s="28">
        <v>1.7369000000000001</v>
      </c>
      <c r="C1797" s="28">
        <v>2720097800</v>
      </c>
    </row>
    <row r="1798" spans="1:3" ht="15.5">
      <c r="A1798" s="29">
        <v>41934</v>
      </c>
      <c r="B1798" s="28">
        <v>1.7322</v>
      </c>
      <c r="C1798" s="28">
        <v>2712766000</v>
      </c>
    </row>
    <row r="1799" spans="1:3" ht="15.5">
      <c r="A1799" s="29">
        <v>41933</v>
      </c>
      <c r="B1799" s="28">
        <v>1.7276</v>
      </c>
      <c r="C1799" s="28">
        <v>2705434200</v>
      </c>
    </row>
    <row r="1800" spans="1:3" ht="15.5">
      <c r="A1800" s="29">
        <v>41932</v>
      </c>
      <c r="B1800" s="28">
        <v>1.7181999999999999</v>
      </c>
      <c r="C1800" s="28">
        <v>2690770600</v>
      </c>
    </row>
    <row r="1801" spans="1:3" ht="15.5">
      <c r="A1801" s="29">
        <v>41929</v>
      </c>
      <c r="B1801" s="28">
        <v>1.7088000000000001</v>
      </c>
      <c r="C1801" s="28">
        <v>2676107000</v>
      </c>
    </row>
    <row r="1802" spans="1:3" ht="15.5">
      <c r="A1802" s="29">
        <v>41928</v>
      </c>
      <c r="B1802" s="28">
        <v>1.7041999999999999</v>
      </c>
      <c r="C1802" s="28">
        <v>2668775200</v>
      </c>
    </row>
    <row r="1803" spans="1:3" ht="15.5">
      <c r="A1803" s="29">
        <v>41927</v>
      </c>
      <c r="B1803" s="28">
        <v>1.7088000000000001</v>
      </c>
      <c r="C1803" s="28">
        <v>2676107000</v>
      </c>
    </row>
    <row r="1804" spans="1:3" ht="15.5">
      <c r="A1804" s="29">
        <v>41926</v>
      </c>
      <c r="B1804" s="28">
        <v>1.7229000000000001</v>
      </c>
      <c r="C1804" s="28">
        <v>2698102400</v>
      </c>
    </row>
    <row r="1805" spans="1:3" ht="15.5">
      <c r="A1805" s="29">
        <v>41925</v>
      </c>
      <c r="B1805" s="28">
        <v>1.6948000000000001</v>
      </c>
      <c r="C1805" s="28">
        <v>2654111600</v>
      </c>
    </row>
    <row r="1806" spans="1:3" ht="15.5">
      <c r="A1806" s="29">
        <v>41922</v>
      </c>
      <c r="B1806" s="28">
        <v>1.6854</v>
      </c>
      <c r="C1806" s="28">
        <v>2639448000</v>
      </c>
    </row>
    <row r="1807" spans="1:3" ht="15.5">
      <c r="A1807" s="29">
        <v>41921</v>
      </c>
      <c r="B1807" s="28">
        <v>1.7181999999999999</v>
      </c>
      <c r="C1807" s="28">
        <v>2690770600</v>
      </c>
    </row>
    <row r="1808" spans="1:3" ht="15.5">
      <c r="A1808" s="29">
        <v>41920</v>
      </c>
      <c r="B1808" s="28">
        <v>1.7181999999999999</v>
      </c>
      <c r="C1808" s="28">
        <v>2690770600</v>
      </c>
    </row>
    <row r="1809" spans="1:3" ht="15.5">
      <c r="A1809" s="29">
        <v>41919</v>
      </c>
      <c r="B1809" s="28">
        <v>1.7088000000000001</v>
      </c>
      <c r="C1809" s="28">
        <v>2676107000</v>
      </c>
    </row>
    <row r="1810" spans="1:3" ht="15.5">
      <c r="A1810" s="29">
        <v>41918</v>
      </c>
      <c r="B1810" s="28">
        <v>1.6948000000000001</v>
      </c>
      <c r="C1810" s="28">
        <v>2654111600</v>
      </c>
    </row>
    <row r="1811" spans="1:3" ht="15.5">
      <c r="A1811" s="29">
        <v>41915</v>
      </c>
      <c r="B1811" s="28">
        <v>1.6995</v>
      </c>
      <c r="C1811" s="28">
        <v>2661443400</v>
      </c>
    </row>
    <row r="1812" spans="1:3" ht="15.5">
      <c r="A1812" s="29">
        <v>41914</v>
      </c>
      <c r="B1812" s="28">
        <v>1.7041999999999999</v>
      </c>
      <c r="C1812" s="28">
        <v>2668775200</v>
      </c>
    </row>
    <row r="1813" spans="1:3" ht="15.5">
      <c r="A1813" s="29">
        <v>41913</v>
      </c>
      <c r="B1813" s="28">
        <v>1.7135</v>
      </c>
      <c r="C1813" s="28">
        <v>2683438800</v>
      </c>
    </row>
    <row r="1814" spans="1:3" ht="15.5">
      <c r="A1814" s="29">
        <v>41912</v>
      </c>
      <c r="B1814" s="28">
        <v>1.7229000000000001</v>
      </c>
      <c r="C1814" s="28">
        <v>2698102400</v>
      </c>
    </row>
    <row r="1815" spans="1:3" ht="15.5">
      <c r="A1815" s="29">
        <v>41911</v>
      </c>
      <c r="B1815" s="28">
        <v>1.7041999999999999</v>
      </c>
      <c r="C1815" s="28">
        <v>2668775200</v>
      </c>
    </row>
    <row r="1816" spans="1:3" ht="15.5">
      <c r="A1816" s="29">
        <v>41908</v>
      </c>
      <c r="B1816" s="28">
        <v>1.7181999999999999</v>
      </c>
      <c r="C1816" s="28">
        <v>2690770600</v>
      </c>
    </row>
    <row r="1817" spans="1:3" ht="15.5">
      <c r="A1817" s="29">
        <v>41907</v>
      </c>
      <c r="B1817" s="28">
        <v>1.7181999999999999</v>
      </c>
      <c r="C1817" s="28">
        <v>2690770600</v>
      </c>
    </row>
    <row r="1818" spans="1:3" ht="15.5">
      <c r="A1818" s="29">
        <v>41906</v>
      </c>
      <c r="B1818" s="28">
        <v>1.6948000000000001</v>
      </c>
      <c r="C1818" s="28">
        <v>2654111600</v>
      </c>
    </row>
    <row r="1819" spans="1:3" ht="15.5">
      <c r="A1819" s="29">
        <v>41905</v>
      </c>
      <c r="B1819" s="28">
        <v>1.7229000000000001</v>
      </c>
      <c r="C1819" s="28">
        <v>2698102400</v>
      </c>
    </row>
    <row r="1820" spans="1:3" ht="15.5">
      <c r="A1820" s="29">
        <v>41904</v>
      </c>
      <c r="B1820" s="28">
        <v>1.6995</v>
      </c>
      <c r="C1820" s="28">
        <v>2661443400</v>
      </c>
    </row>
    <row r="1821" spans="1:3" ht="15.5">
      <c r="A1821" s="29">
        <v>41901</v>
      </c>
      <c r="B1821" s="28">
        <v>1.7135</v>
      </c>
      <c r="C1821" s="28">
        <v>2683438800</v>
      </c>
    </row>
    <row r="1822" spans="1:3" ht="15.5">
      <c r="A1822" s="29">
        <v>41900</v>
      </c>
      <c r="B1822" s="28">
        <v>1.6948000000000001</v>
      </c>
      <c r="C1822" s="28">
        <v>2654111600</v>
      </c>
    </row>
    <row r="1823" spans="1:3" ht="15.5">
      <c r="A1823" s="29">
        <v>41899</v>
      </c>
      <c r="B1823" s="28">
        <v>1.7041999999999999</v>
      </c>
      <c r="C1823" s="28">
        <v>2668775200</v>
      </c>
    </row>
    <row r="1824" spans="1:3" ht="15.5">
      <c r="A1824" s="29">
        <v>41898</v>
      </c>
      <c r="B1824" s="28">
        <v>1.7322</v>
      </c>
      <c r="C1824" s="28">
        <v>2712766000</v>
      </c>
    </row>
    <row r="1825" spans="1:3" ht="15.5">
      <c r="A1825" s="29">
        <v>41897</v>
      </c>
      <c r="B1825" s="28">
        <v>1.7229000000000001</v>
      </c>
      <c r="C1825" s="28">
        <v>2698102400</v>
      </c>
    </row>
    <row r="1826" spans="1:3" ht="15.5">
      <c r="A1826" s="29">
        <v>41894</v>
      </c>
      <c r="B1826" s="28">
        <v>1.7416</v>
      </c>
      <c r="C1826" s="28">
        <v>2727429600</v>
      </c>
    </row>
    <row r="1827" spans="1:3" ht="15.5">
      <c r="A1827" s="29">
        <v>41893</v>
      </c>
      <c r="B1827" s="28">
        <v>1.7181999999999999</v>
      </c>
      <c r="C1827" s="28">
        <v>2690770600</v>
      </c>
    </row>
    <row r="1828" spans="1:3" ht="15.5">
      <c r="A1828" s="29">
        <v>41892</v>
      </c>
      <c r="B1828" s="28">
        <v>1.7229000000000001</v>
      </c>
      <c r="C1828" s="28">
        <v>2698102400</v>
      </c>
    </row>
    <row r="1829" spans="1:3" ht="15.5">
      <c r="A1829" s="29">
        <v>41891</v>
      </c>
      <c r="B1829" s="28">
        <v>1.7463</v>
      </c>
      <c r="C1829" s="28">
        <v>2734761400</v>
      </c>
    </row>
    <row r="1830" spans="1:3" ht="15.5">
      <c r="A1830" s="29">
        <v>41890</v>
      </c>
      <c r="B1830" s="28">
        <v>1.7369000000000001</v>
      </c>
      <c r="C1830" s="28">
        <v>2720097800</v>
      </c>
    </row>
    <row r="1831" spans="1:3" ht="15.5">
      <c r="A1831" s="29">
        <v>41887</v>
      </c>
      <c r="B1831" s="28">
        <v>1.7557</v>
      </c>
      <c r="C1831" s="28">
        <v>2749425000</v>
      </c>
    </row>
    <row r="1832" spans="1:3" ht="15.5">
      <c r="A1832" s="29">
        <v>41886</v>
      </c>
      <c r="B1832" s="28">
        <v>1.7509999999999999</v>
      </c>
      <c r="C1832" s="28">
        <v>2742093200</v>
      </c>
    </row>
    <row r="1833" spans="1:3" ht="15.5">
      <c r="A1833" s="29">
        <v>41885</v>
      </c>
      <c r="B1833" s="28">
        <v>1.7884</v>
      </c>
      <c r="C1833" s="28">
        <v>2800747600</v>
      </c>
    </row>
    <row r="1834" spans="1:3" ht="15.5">
      <c r="A1834" s="29">
        <v>41884</v>
      </c>
      <c r="B1834" s="28">
        <v>1.7790999999999999</v>
      </c>
      <c r="C1834" s="28">
        <v>2786084000</v>
      </c>
    </row>
    <row r="1835" spans="1:3" ht="15.5">
      <c r="A1835" s="29">
        <v>41883</v>
      </c>
      <c r="B1835" s="28">
        <v>1.7744</v>
      </c>
      <c r="C1835" s="28">
        <v>2778752200</v>
      </c>
    </row>
    <row r="1836" spans="1:3" ht="15.5">
      <c r="A1836" s="29">
        <v>41880</v>
      </c>
      <c r="B1836" s="28">
        <v>1.8446</v>
      </c>
      <c r="C1836" s="28">
        <v>2888729200</v>
      </c>
    </row>
    <row r="1837" spans="1:3" ht="15.5">
      <c r="A1837" s="29">
        <v>41879</v>
      </c>
      <c r="B1837" s="28">
        <v>1.8399000000000001</v>
      </c>
      <c r="C1837" s="28">
        <v>2881397400</v>
      </c>
    </row>
    <row r="1838" spans="1:3" ht="15.5">
      <c r="A1838" s="29">
        <v>41878</v>
      </c>
      <c r="B1838" s="28">
        <v>1.8306</v>
      </c>
      <c r="C1838" s="28">
        <v>2866733800</v>
      </c>
    </row>
    <row r="1839" spans="1:3" ht="15.5">
      <c r="A1839" s="29">
        <v>41877</v>
      </c>
      <c r="B1839" s="28">
        <v>1.8259000000000001</v>
      </c>
      <c r="C1839" s="28">
        <v>2859402000</v>
      </c>
    </row>
    <row r="1840" spans="1:3" ht="15.5">
      <c r="A1840" s="29">
        <v>41876</v>
      </c>
      <c r="B1840" s="28">
        <v>1.8399000000000001</v>
      </c>
      <c r="C1840" s="28">
        <v>2881397400</v>
      </c>
    </row>
    <row r="1841" spans="1:3" ht="15.5">
      <c r="A1841" s="29">
        <v>41873</v>
      </c>
      <c r="B1841" s="28">
        <v>1.8306</v>
      </c>
      <c r="C1841" s="28">
        <v>2866733800</v>
      </c>
    </row>
    <row r="1842" spans="1:3" ht="15.5">
      <c r="A1842" s="29">
        <v>41872</v>
      </c>
      <c r="B1842" s="28">
        <v>1.8540000000000001</v>
      </c>
      <c r="C1842" s="28">
        <v>2903392800</v>
      </c>
    </row>
    <row r="1843" spans="1:3" ht="15.5">
      <c r="A1843" s="29">
        <v>41871</v>
      </c>
      <c r="B1843" s="28">
        <v>1.8633</v>
      </c>
      <c r="C1843" s="28">
        <v>2918056400</v>
      </c>
    </row>
    <row r="1844" spans="1:3" ht="15.5">
      <c r="A1844" s="29">
        <v>41870</v>
      </c>
      <c r="B1844" s="28">
        <v>1.8399000000000001</v>
      </c>
      <c r="C1844" s="28">
        <v>2881397400</v>
      </c>
    </row>
    <row r="1845" spans="1:3" ht="15.5">
      <c r="A1845" s="29">
        <v>41869</v>
      </c>
      <c r="B1845" s="28">
        <v>1.8399000000000001</v>
      </c>
      <c r="C1845" s="28">
        <v>2881397400</v>
      </c>
    </row>
    <row r="1846" spans="1:3" ht="15.5">
      <c r="A1846" s="29">
        <v>41866</v>
      </c>
      <c r="B1846" s="28">
        <v>1.8446</v>
      </c>
      <c r="C1846" s="28">
        <v>2888729200</v>
      </c>
    </row>
    <row r="1847" spans="1:3" ht="15.5">
      <c r="A1847" s="29">
        <v>41865</v>
      </c>
      <c r="B1847" s="28">
        <v>1.8165</v>
      </c>
      <c r="C1847" s="28">
        <v>2844738400</v>
      </c>
    </row>
    <row r="1848" spans="1:3" ht="15.5">
      <c r="A1848" s="29">
        <v>41864</v>
      </c>
      <c r="B1848" s="28">
        <v>1.8118000000000001</v>
      </c>
      <c r="C1848" s="28">
        <v>2837406600</v>
      </c>
    </row>
    <row r="1849" spans="1:3" ht="15.5">
      <c r="A1849" s="29">
        <v>41863</v>
      </c>
      <c r="B1849" s="28">
        <v>1.8211999999999999</v>
      </c>
      <c r="C1849" s="28">
        <v>2852070200</v>
      </c>
    </row>
    <row r="1850" spans="1:3" ht="15.5">
      <c r="A1850" s="29">
        <v>41862</v>
      </c>
      <c r="B1850" s="28">
        <v>1.7930999999999999</v>
      </c>
      <c r="C1850" s="28">
        <v>2808079400</v>
      </c>
    </row>
    <row r="1851" spans="1:3" ht="15.5">
      <c r="A1851" s="29">
        <v>41859</v>
      </c>
      <c r="B1851" s="28">
        <v>1.7837000000000001</v>
      </c>
      <c r="C1851" s="28">
        <v>2793415800</v>
      </c>
    </row>
    <row r="1852" spans="1:3" ht="15.5">
      <c r="A1852" s="29">
        <v>41858</v>
      </c>
      <c r="B1852" s="28">
        <v>1.7790999999999999</v>
      </c>
      <c r="C1852" s="28">
        <v>2786084000</v>
      </c>
    </row>
    <row r="1853" spans="1:3" ht="15.5">
      <c r="A1853" s="29">
        <v>41857</v>
      </c>
      <c r="B1853" s="28">
        <v>1.7837000000000001</v>
      </c>
      <c r="C1853" s="28">
        <v>2793415800</v>
      </c>
    </row>
    <row r="1854" spans="1:3" ht="15.5">
      <c r="A1854" s="29">
        <v>41856</v>
      </c>
      <c r="B1854" s="28">
        <v>1.7744</v>
      </c>
      <c r="C1854" s="28">
        <v>2778752200</v>
      </c>
    </row>
    <row r="1855" spans="1:3" ht="15.5">
      <c r="A1855" s="29">
        <v>41855</v>
      </c>
      <c r="B1855" s="28">
        <v>1.7649999999999999</v>
      </c>
      <c r="C1855" s="28">
        <v>2764088600</v>
      </c>
    </row>
    <row r="1856" spans="1:3" ht="15.5">
      <c r="A1856" s="29">
        <v>41852</v>
      </c>
      <c r="B1856" s="28">
        <v>1.7649999999999999</v>
      </c>
      <c r="C1856" s="28">
        <v>2764088600</v>
      </c>
    </row>
    <row r="1857" spans="1:3" ht="15.5">
      <c r="A1857" s="29">
        <v>41851</v>
      </c>
      <c r="B1857" s="28">
        <v>1.7649999999999999</v>
      </c>
      <c r="C1857" s="28">
        <v>2764088600</v>
      </c>
    </row>
    <row r="1858" spans="1:3" ht="15.5">
      <c r="A1858" s="29">
        <v>41850</v>
      </c>
      <c r="B1858" s="28">
        <v>1.8071999999999999</v>
      </c>
      <c r="C1858" s="28">
        <v>2830074800</v>
      </c>
    </row>
    <row r="1859" spans="1:3" ht="15.5">
      <c r="A1859" s="29">
        <v>41849</v>
      </c>
      <c r="B1859" s="28">
        <v>1.7930999999999999</v>
      </c>
      <c r="C1859" s="28">
        <v>2808079400</v>
      </c>
    </row>
    <row r="1860" spans="1:3" ht="15.5">
      <c r="A1860" s="29">
        <v>41848</v>
      </c>
      <c r="B1860" s="28">
        <v>1.7884</v>
      </c>
      <c r="C1860" s="28">
        <v>2800747600</v>
      </c>
    </row>
    <row r="1861" spans="1:3" ht="15.5">
      <c r="A1861" s="29">
        <v>41845</v>
      </c>
      <c r="B1861" s="28">
        <v>1.7978000000000001</v>
      </c>
      <c r="C1861" s="28">
        <v>2815411200</v>
      </c>
    </row>
    <row r="1862" spans="1:3" ht="15.5">
      <c r="A1862" s="29">
        <v>41844</v>
      </c>
      <c r="B1862" s="28">
        <v>1.7884</v>
      </c>
      <c r="C1862" s="28">
        <v>2800747600</v>
      </c>
    </row>
    <row r="1863" spans="1:3" ht="15.5">
      <c r="A1863" s="29">
        <v>41843</v>
      </c>
      <c r="B1863" s="28">
        <v>1.8025</v>
      </c>
      <c r="C1863" s="28">
        <v>2822743000</v>
      </c>
    </row>
    <row r="1864" spans="1:3" ht="15.5">
      <c r="A1864" s="29">
        <v>41842</v>
      </c>
      <c r="B1864" s="28">
        <v>1.7930999999999999</v>
      </c>
      <c r="C1864" s="28">
        <v>2808079400</v>
      </c>
    </row>
    <row r="1865" spans="1:3" ht="15.5">
      <c r="A1865" s="29">
        <v>41841</v>
      </c>
      <c r="B1865" s="28">
        <v>1.7884</v>
      </c>
      <c r="C1865" s="28">
        <v>2800747600</v>
      </c>
    </row>
    <row r="1866" spans="1:3" ht="15.5">
      <c r="A1866" s="29">
        <v>41838</v>
      </c>
      <c r="B1866" s="28">
        <v>1.8025</v>
      </c>
      <c r="C1866" s="28">
        <v>2822743000</v>
      </c>
    </row>
    <row r="1867" spans="1:3" ht="15.5">
      <c r="A1867" s="29">
        <v>41837</v>
      </c>
      <c r="B1867" s="28">
        <v>1.8025</v>
      </c>
      <c r="C1867" s="28">
        <v>2822743000</v>
      </c>
    </row>
    <row r="1868" spans="1:3" ht="15.5">
      <c r="A1868" s="29">
        <v>41836</v>
      </c>
      <c r="B1868" s="28">
        <v>1.7930999999999999</v>
      </c>
      <c r="C1868" s="28">
        <v>2808079400</v>
      </c>
    </row>
    <row r="1869" spans="1:3" ht="15.5">
      <c r="A1869" s="29">
        <v>41835</v>
      </c>
      <c r="B1869" s="28">
        <v>1.7930999999999999</v>
      </c>
      <c r="C1869" s="28">
        <v>2808079400</v>
      </c>
    </row>
    <row r="1870" spans="1:3" ht="15.5">
      <c r="A1870" s="29">
        <v>41834</v>
      </c>
      <c r="B1870" s="28">
        <v>1.7837000000000001</v>
      </c>
      <c r="C1870" s="28">
        <v>2793415800</v>
      </c>
    </row>
    <row r="1871" spans="1:3" ht="15.5">
      <c r="A1871" s="29">
        <v>41831</v>
      </c>
      <c r="B1871" s="28">
        <v>1.7884</v>
      </c>
      <c r="C1871" s="28">
        <v>2800747600</v>
      </c>
    </row>
    <row r="1872" spans="1:3" ht="15.5">
      <c r="A1872" s="29">
        <v>41830</v>
      </c>
      <c r="B1872" s="28">
        <v>1.7790999999999999</v>
      </c>
      <c r="C1872" s="28">
        <v>2786084000</v>
      </c>
    </row>
    <row r="1873" spans="1:3" ht="15.5">
      <c r="A1873" s="29">
        <v>41829</v>
      </c>
      <c r="B1873" s="28">
        <v>1.7509999999999999</v>
      </c>
      <c r="C1873" s="28">
        <v>2742093200</v>
      </c>
    </row>
    <row r="1874" spans="1:3" ht="15.5">
      <c r="A1874" s="29">
        <v>41828</v>
      </c>
      <c r="B1874" s="28">
        <v>1.7557</v>
      </c>
      <c r="C1874" s="28">
        <v>2749425000</v>
      </c>
    </row>
    <row r="1875" spans="1:3" ht="15.5">
      <c r="A1875" s="29">
        <v>41827</v>
      </c>
      <c r="B1875" s="28">
        <v>1.7509999999999999</v>
      </c>
      <c r="C1875" s="28">
        <v>2742093200</v>
      </c>
    </row>
    <row r="1876" spans="1:3" ht="15.5">
      <c r="A1876" s="29">
        <v>41824</v>
      </c>
      <c r="B1876" s="28">
        <v>1.7649999999999999</v>
      </c>
      <c r="C1876" s="28">
        <v>2764088600</v>
      </c>
    </row>
    <row r="1877" spans="1:3" ht="15.5">
      <c r="A1877" s="29">
        <v>41823</v>
      </c>
      <c r="B1877" s="28">
        <v>1.7557</v>
      </c>
      <c r="C1877" s="28">
        <v>2749425000</v>
      </c>
    </row>
    <row r="1878" spans="1:3" ht="15.5">
      <c r="A1878" s="29">
        <v>41822</v>
      </c>
      <c r="B1878" s="28">
        <v>1.7322</v>
      </c>
      <c r="C1878" s="28">
        <v>2712766000</v>
      </c>
    </row>
    <row r="1879" spans="1:3" ht="15.5">
      <c r="A1879" s="29">
        <v>41821</v>
      </c>
      <c r="B1879" s="28">
        <v>1.7322</v>
      </c>
      <c r="C1879" s="28">
        <v>2712766000</v>
      </c>
    </row>
    <row r="1880" spans="1:3" ht="15.5">
      <c r="A1880" s="29">
        <v>41820</v>
      </c>
      <c r="B1880" s="28">
        <v>1.7322</v>
      </c>
      <c r="C1880" s="28">
        <v>2712766000</v>
      </c>
    </row>
    <row r="1881" spans="1:3" ht="15.5">
      <c r="A1881" s="29">
        <v>41817</v>
      </c>
      <c r="B1881" s="28">
        <v>1.7135</v>
      </c>
      <c r="C1881" s="28">
        <v>2427923220</v>
      </c>
    </row>
    <row r="1882" spans="1:3" ht="15.5">
      <c r="A1882" s="29">
        <v>41816</v>
      </c>
      <c r="B1882" s="28">
        <v>1.7276</v>
      </c>
      <c r="C1882" s="28">
        <v>2447824230</v>
      </c>
    </row>
    <row r="1883" spans="1:3" ht="15.5">
      <c r="A1883" s="29">
        <v>41815</v>
      </c>
      <c r="B1883" s="28">
        <v>1.6948000000000001</v>
      </c>
      <c r="C1883" s="28">
        <v>2401388540</v>
      </c>
    </row>
    <row r="1884" spans="1:3" ht="15.5">
      <c r="A1884" s="29">
        <v>41814</v>
      </c>
      <c r="B1884" s="28">
        <v>1.7041999999999999</v>
      </c>
      <c r="C1884" s="28">
        <v>2414655880</v>
      </c>
    </row>
    <row r="1885" spans="1:3" ht="15.5">
      <c r="A1885" s="29">
        <v>41813</v>
      </c>
      <c r="B1885" s="28">
        <v>1.7181999999999999</v>
      </c>
      <c r="C1885" s="28">
        <v>2434556890</v>
      </c>
    </row>
    <row r="1886" spans="1:3" ht="15.5">
      <c r="A1886" s="29">
        <v>41810</v>
      </c>
      <c r="B1886" s="28">
        <v>1.7276</v>
      </c>
      <c r="C1886" s="28">
        <v>2447824230</v>
      </c>
    </row>
    <row r="1887" spans="1:3" ht="15.5">
      <c r="A1887" s="29">
        <v>41809</v>
      </c>
      <c r="B1887" s="28">
        <v>1.7322</v>
      </c>
      <c r="C1887" s="28">
        <v>2454457900</v>
      </c>
    </row>
    <row r="1888" spans="1:3" ht="15.5">
      <c r="A1888" s="29">
        <v>41808</v>
      </c>
      <c r="B1888" s="28">
        <v>1.7041999999999999</v>
      </c>
      <c r="C1888" s="28">
        <v>2414655880</v>
      </c>
    </row>
    <row r="1889" spans="1:3" ht="15.5">
      <c r="A1889" s="29">
        <v>41807</v>
      </c>
      <c r="B1889" s="28">
        <v>1.6948000000000001</v>
      </c>
      <c r="C1889" s="28">
        <v>2401388540</v>
      </c>
    </row>
    <row r="1890" spans="1:3" ht="15.5">
      <c r="A1890" s="29">
        <v>41806</v>
      </c>
      <c r="B1890" s="28">
        <v>1.6714</v>
      </c>
      <c r="C1890" s="28">
        <v>2368220190</v>
      </c>
    </row>
    <row r="1891" spans="1:3" ht="15.5">
      <c r="A1891" s="29">
        <v>41803</v>
      </c>
      <c r="B1891" s="28">
        <v>1.6760999999999999</v>
      </c>
      <c r="C1891" s="28">
        <v>2374853860</v>
      </c>
    </row>
    <row r="1892" spans="1:3" ht="15.5">
      <c r="A1892" s="29">
        <v>41802</v>
      </c>
      <c r="B1892" s="28">
        <v>1.6714</v>
      </c>
      <c r="C1892" s="28">
        <v>2368220190</v>
      </c>
    </row>
    <row r="1893" spans="1:3" ht="15.5">
      <c r="A1893" s="29">
        <v>41801</v>
      </c>
      <c r="B1893" s="28">
        <v>1.6714</v>
      </c>
      <c r="C1893" s="28">
        <v>2368220190</v>
      </c>
    </row>
    <row r="1894" spans="1:3" ht="15.5">
      <c r="A1894" s="29">
        <v>41800</v>
      </c>
      <c r="B1894" s="28">
        <v>1.6900999999999999</v>
      </c>
      <c r="C1894" s="28">
        <v>2394754870</v>
      </c>
    </row>
    <row r="1895" spans="1:3" ht="15.5">
      <c r="A1895" s="29">
        <v>41796</v>
      </c>
      <c r="B1895" s="28">
        <v>1.6854</v>
      </c>
      <c r="C1895" s="28">
        <v>2388121200</v>
      </c>
    </row>
    <row r="1896" spans="1:3" ht="15.5">
      <c r="A1896" s="29">
        <v>41795</v>
      </c>
      <c r="B1896" s="28">
        <v>1.7088000000000001</v>
      </c>
      <c r="C1896" s="28">
        <v>2421289550</v>
      </c>
    </row>
    <row r="1897" spans="1:3" ht="15.5">
      <c r="A1897" s="29">
        <v>41794</v>
      </c>
      <c r="B1897" s="28">
        <v>1.7088000000000001</v>
      </c>
      <c r="C1897" s="28">
        <v>2421289550</v>
      </c>
    </row>
    <row r="1898" spans="1:3" ht="15.5">
      <c r="A1898" s="29">
        <v>41793</v>
      </c>
      <c r="B1898" s="28">
        <v>1.7041999999999999</v>
      </c>
      <c r="C1898" s="28">
        <v>2414655880</v>
      </c>
    </row>
    <row r="1899" spans="1:3" ht="15.5">
      <c r="A1899" s="29">
        <v>41792</v>
      </c>
      <c r="B1899" s="28">
        <v>1.6995</v>
      </c>
      <c r="C1899" s="28">
        <v>2408022210</v>
      </c>
    </row>
    <row r="1900" spans="1:3" ht="15.5">
      <c r="A1900" s="29">
        <v>41789</v>
      </c>
      <c r="B1900" s="28">
        <v>1.6854</v>
      </c>
      <c r="C1900" s="28">
        <v>2388121200</v>
      </c>
    </row>
    <row r="1901" spans="1:3" ht="15.5">
      <c r="A1901" s="29">
        <v>41788</v>
      </c>
      <c r="B1901" s="28">
        <v>1.6900999999999999</v>
      </c>
      <c r="C1901" s="28">
        <v>2394754870</v>
      </c>
    </row>
    <row r="1902" spans="1:3" ht="15.5">
      <c r="A1902" s="29">
        <v>41787</v>
      </c>
      <c r="B1902" s="28">
        <v>1.6948000000000001</v>
      </c>
      <c r="C1902" s="28">
        <v>2401388540</v>
      </c>
    </row>
    <row r="1903" spans="1:3" ht="15.5">
      <c r="A1903" s="29">
        <v>41786</v>
      </c>
      <c r="B1903" s="28">
        <v>1.6807000000000001</v>
      </c>
      <c r="C1903" s="28">
        <v>2381487530</v>
      </c>
    </row>
    <row r="1904" spans="1:3" ht="15.5">
      <c r="A1904" s="29">
        <v>41785</v>
      </c>
      <c r="B1904" s="28">
        <v>1.6900999999999999</v>
      </c>
      <c r="C1904" s="28">
        <v>2394754870</v>
      </c>
    </row>
    <row r="1905" spans="1:3" ht="15.5">
      <c r="A1905" s="29">
        <v>41782</v>
      </c>
      <c r="B1905" s="28">
        <v>1.6854</v>
      </c>
      <c r="C1905" s="28">
        <v>2388121200</v>
      </c>
    </row>
    <row r="1906" spans="1:3" ht="15.5">
      <c r="A1906" s="29">
        <v>41781</v>
      </c>
      <c r="B1906" s="28">
        <v>1.6760999999999999</v>
      </c>
      <c r="C1906" s="28">
        <v>2374853860</v>
      </c>
    </row>
    <row r="1907" spans="1:3" ht="15.5">
      <c r="A1907" s="29">
        <v>41780</v>
      </c>
      <c r="B1907" s="28">
        <v>1.6714</v>
      </c>
      <c r="C1907" s="28">
        <v>2368220190</v>
      </c>
    </row>
    <row r="1908" spans="1:3" ht="15.5">
      <c r="A1908" s="29">
        <v>41778</v>
      </c>
      <c r="B1908" s="28">
        <v>1.7603</v>
      </c>
      <c r="C1908" s="28">
        <v>2494259920</v>
      </c>
    </row>
    <row r="1909" spans="1:3" ht="15.5">
      <c r="A1909" s="29">
        <v>41775</v>
      </c>
      <c r="B1909" s="28">
        <v>1.7463</v>
      </c>
      <c r="C1909" s="28">
        <v>2474358910</v>
      </c>
    </row>
    <row r="1910" spans="1:3" ht="15.5">
      <c r="A1910" s="29">
        <v>41774</v>
      </c>
      <c r="B1910" s="28">
        <v>1.7369000000000001</v>
      </c>
      <c r="C1910" s="28">
        <v>2461091570</v>
      </c>
    </row>
    <row r="1911" spans="1:3" ht="15.5">
      <c r="A1911" s="29">
        <v>41773</v>
      </c>
      <c r="B1911" s="28">
        <v>1.6760999999999999</v>
      </c>
      <c r="C1911" s="28">
        <v>2374853860</v>
      </c>
    </row>
    <row r="1912" spans="1:3" ht="15.5">
      <c r="A1912" s="29">
        <v>41772</v>
      </c>
      <c r="B1912" s="28">
        <v>1.6807000000000001</v>
      </c>
      <c r="C1912" s="28">
        <v>2381487530</v>
      </c>
    </row>
    <row r="1913" spans="1:3" ht="15.5">
      <c r="A1913" s="29">
        <v>41771</v>
      </c>
      <c r="B1913" s="28">
        <v>1.6807000000000001</v>
      </c>
      <c r="C1913" s="28">
        <v>2381487530</v>
      </c>
    </row>
    <row r="1914" spans="1:3" ht="15.5">
      <c r="A1914" s="29">
        <v>41768</v>
      </c>
      <c r="B1914" s="28">
        <v>1.6760999999999999</v>
      </c>
      <c r="C1914" s="28">
        <v>2374853860</v>
      </c>
    </row>
    <row r="1915" spans="1:3" ht="15.5">
      <c r="A1915" s="29">
        <v>41767</v>
      </c>
      <c r="B1915" s="28">
        <v>1.6760999999999999</v>
      </c>
      <c r="C1915" s="28">
        <v>2374853860</v>
      </c>
    </row>
    <row r="1916" spans="1:3" ht="15.5">
      <c r="A1916" s="29">
        <v>41766</v>
      </c>
      <c r="B1916" s="28">
        <v>1.6760999999999999</v>
      </c>
      <c r="C1916" s="28">
        <v>2374853860</v>
      </c>
    </row>
    <row r="1917" spans="1:3" ht="15.5">
      <c r="A1917" s="29">
        <v>41765</v>
      </c>
      <c r="B1917" s="28">
        <v>1.6714</v>
      </c>
      <c r="C1917" s="28">
        <v>2368220190</v>
      </c>
    </row>
    <row r="1918" spans="1:3" ht="15.5">
      <c r="A1918" s="29">
        <v>41764</v>
      </c>
      <c r="B1918" s="28">
        <v>1.6619999999999999</v>
      </c>
      <c r="C1918" s="28">
        <v>2354952850</v>
      </c>
    </row>
    <row r="1919" spans="1:3" ht="15.5">
      <c r="A1919" s="29">
        <v>41761</v>
      </c>
      <c r="B1919" s="28">
        <v>1.6619999999999999</v>
      </c>
      <c r="C1919" s="28">
        <v>2354952850</v>
      </c>
    </row>
    <row r="1920" spans="1:3" ht="15.5">
      <c r="A1920" s="29">
        <v>41760</v>
      </c>
      <c r="B1920" s="28">
        <v>1.6527000000000001</v>
      </c>
      <c r="C1920" s="28">
        <v>2341685510</v>
      </c>
    </row>
    <row r="1921" spans="1:3" ht="15.5">
      <c r="A1921" s="29">
        <v>41759</v>
      </c>
      <c r="B1921" s="28">
        <v>1.6527000000000001</v>
      </c>
      <c r="C1921" s="28">
        <v>2341685510</v>
      </c>
    </row>
    <row r="1922" spans="1:3" ht="15.5">
      <c r="A1922" s="29">
        <v>41758</v>
      </c>
      <c r="B1922" s="28">
        <v>1.6573</v>
      </c>
      <c r="C1922" s="28">
        <v>2348319180</v>
      </c>
    </row>
    <row r="1923" spans="1:3" ht="15.5">
      <c r="A1923" s="29">
        <v>41757</v>
      </c>
      <c r="B1923" s="28">
        <v>1.6479999999999999</v>
      </c>
      <c r="C1923" s="28">
        <v>2335051840</v>
      </c>
    </row>
    <row r="1924" spans="1:3" ht="15.5">
      <c r="A1924" s="29">
        <v>41753</v>
      </c>
      <c r="B1924" s="28">
        <v>1.6573</v>
      </c>
      <c r="C1924" s="28">
        <v>2348319180</v>
      </c>
    </row>
    <row r="1925" spans="1:3" ht="15.5">
      <c r="A1925" s="29">
        <v>41752</v>
      </c>
      <c r="B1925" s="28">
        <v>1.6338999999999999</v>
      </c>
      <c r="C1925" s="28">
        <v>2315150830</v>
      </c>
    </row>
    <row r="1926" spans="1:3" ht="15.5">
      <c r="A1926" s="29">
        <v>41751</v>
      </c>
      <c r="B1926" s="28">
        <v>1.6338999999999999</v>
      </c>
      <c r="C1926" s="28">
        <v>2315150830</v>
      </c>
    </row>
    <row r="1927" spans="1:3" ht="15.5">
      <c r="A1927" s="29">
        <v>41746</v>
      </c>
      <c r="B1927" s="28">
        <v>1.6292</v>
      </c>
      <c r="C1927" s="28">
        <v>2308517160</v>
      </c>
    </row>
    <row r="1928" spans="1:3" ht="15.5">
      <c r="A1928" s="29">
        <v>41745</v>
      </c>
      <c r="B1928" s="28">
        <v>1.6152</v>
      </c>
      <c r="C1928" s="28">
        <v>2288616150</v>
      </c>
    </row>
    <row r="1929" spans="1:3" ht="15.5">
      <c r="A1929" s="29">
        <v>41744</v>
      </c>
      <c r="B1929" s="28">
        <v>1.6292</v>
      </c>
      <c r="C1929" s="28">
        <v>2308517160</v>
      </c>
    </row>
    <row r="1930" spans="1:3" ht="15.5">
      <c r="A1930" s="29">
        <v>41743</v>
      </c>
      <c r="B1930" s="28">
        <v>1.5965</v>
      </c>
      <c r="C1930" s="28">
        <v>2262081470</v>
      </c>
    </row>
    <row r="1931" spans="1:3" ht="15.5">
      <c r="A1931" s="29">
        <v>41740</v>
      </c>
      <c r="B1931" s="28">
        <v>1.6057999999999999</v>
      </c>
      <c r="C1931" s="28">
        <v>2275348810</v>
      </c>
    </row>
    <row r="1932" spans="1:3" ht="15.5">
      <c r="A1932" s="29">
        <v>41739</v>
      </c>
      <c r="B1932" s="28">
        <v>1.6246</v>
      </c>
      <c r="C1932" s="28">
        <v>2301883490</v>
      </c>
    </row>
    <row r="1933" spans="1:3" ht="15.5">
      <c r="A1933" s="29">
        <v>41738</v>
      </c>
      <c r="B1933" s="28">
        <v>1.6057999999999999</v>
      </c>
      <c r="C1933" s="28">
        <v>2275348810</v>
      </c>
    </row>
    <row r="1934" spans="1:3" ht="15.5">
      <c r="A1934" s="29">
        <v>41737</v>
      </c>
      <c r="B1934" s="28">
        <v>1.5965</v>
      </c>
      <c r="C1934" s="28">
        <v>2262081470</v>
      </c>
    </row>
    <row r="1935" spans="1:3" ht="15.5">
      <c r="A1935" s="29">
        <v>41736</v>
      </c>
      <c r="B1935" s="28">
        <v>1.5871</v>
      </c>
      <c r="C1935" s="28">
        <v>2248814130</v>
      </c>
    </row>
    <row r="1936" spans="1:3" ht="15.5">
      <c r="A1936" s="29">
        <v>41733</v>
      </c>
      <c r="B1936" s="28">
        <v>1.5871</v>
      </c>
      <c r="C1936" s="28">
        <v>2248814130</v>
      </c>
    </row>
    <row r="1937" spans="1:3" ht="15.5">
      <c r="A1937" s="29">
        <v>41732</v>
      </c>
      <c r="B1937" s="28">
        <v>1.5871</v>
      </c>
      <c r="C1937" s="28">
        <v>2248814130</v>
      </c>
    </row>
    <row r="1938" spans="1:3" ht="15.5">
      <c r="A1938" s="29">
        <v>41731</v>
      </c>
      <c r="B1938" s="28">
        <v>1.5918000000000001</v>
      </c>
      <c r="C1938" s="28">
        <v>2255447800</v>
      </c>
    </row>
    <row r="1939" spans="1:3" ht="15.5">
      <c r="A1939" s="29">
        <v>41730</v>
      </c>
      <c r="B1939" s="28">
        <v>1.5871</v>
      </c>
      <c r="C1939" s="28">
        <v>2248814130</v>
      </c>
    </row>
    <row r="1940" spans="1:3" ht="15.5">
      <c r="A1940" s="29">
        <v>41729</v>
      </c>
      <c r="B1940" s="28">
        <v>1.6012</v>
      </c>
      <c r="C1940" s="28">
        <v>2268715140</v>
      </c>
    </row>
    <row r="1941" spans="1:3" ht="15.5">
      <c r="A1941" s="29">
        <v>41726</v>
      </c>
      <c r="B1941" s="28">
        <v>1.5918000000000001</v>
      </c>
      <c r="C1941" s="28">
        <v>2255447800</v>
      </c>
    </row>
    <row r="1942" spans="1:3" ht="15.5">
      <c r="A1942" s="29">
        <v>41725</v>
      </c>
      <c r="B1942" s="28">
        <v>1.5965</v>
      </c>
      <c r="C1942" s="28">
        <v>2262081470</v>
      </c>
    </row>
    <row r="1943" spans="1:3" ht="15.5">
      <c r="A1943" s="29">
        <v>41724</v>
      </c>
      <c r="B1943" s="28">
        <v>1.6198999999999999</v>
      </c>
      <c r="C1943" s="28">
        <v>2295249820</v>
      </c>
    </row>
    <row r="1944" spans="1:3" ht="15.5">
      <c r="A1944" s="29">
        <v>41723</v>
      </c>
      <c r="B1944" s="28">
        <v>1.6105</v>
      </c>
      <c r="C1944" s="28">
        <v>2281982480</v>
      </c>
    </row>
    <row r="1945" spans="1:3" ht="15.5">
      <c r="A1945" s="29">
        <v>41722</v>
      </c>
      <c r="B1945" s="28">
        <v>1.6012</v>
      </c>
      <c r="C1945" s="28">
        <v>2268715140</v>
      </c>
    </row>
    <row r="1946" spans="1:3" ht="15.5">
      <c r="A1946" s="29">
        <v>41719</v>
      </c>
      <c r="B1946" s="28">
        <v>1.5730999999999999</v>
      </c>
      <c r="C1946" s="28">
        <v>2228913120</v>
      </c>
    </row>
    <row r="1947" spans="1:3" ht="15.5">
      <c r="A1947" s="29">
        <v>41718</v>
      </c>
      <c r="B1947" s="28">
        <v>1.5777000000000001</v>
      </c>
      <c r="C1947" s="28">
        <v>2235546790</v>
      </c>
    </row>
    <row r="1948" spans="1:3" ht="15.5">
      <c r="A1948" s="29">
        <v>41717</v>
      </c>
      <c r="B1948" s="28">
        <v>1.5777000000000001</v>
      </c>
      <c r="C1948" s="28">
        <v>2235546790</v>
      </c>
    </row>
    <row r="1949" spans="1:3" ht="15.5">
      <c r="A1949" s="29">
        <v>41716</v>
      </c>
      <c r="B1949" s="28">
        <v>1.5684</v>
      </c>
      <c r="C1949" s="28">
        <v>2222279450</v>
      </c>
    </row>
    <row r="1950" spans="1:3" ht="15.5">
      <c r="A1950" s="29">
        <v>41715</v>
      </c>
      <c r="B1950" s="28">
        <v>1.5543</v>
      </c>
      <c r="C1950" s="28">
        <v>2202378440</v>
      </c>
    </row>
    <row r="1951" spans="1:3" ht="15.5">
      <c r="A1951" s="29">
        <v>41712</v>
      </c>
      <c r="B1951" s="28">
        <v>1.5543</v>
      </c>
      <c r="C1951" s="28">
        <v>2202378440</v>
      </c>
    </row>
    <row r="1952" spans="1:3" ht="15.5">
      <c r="A1952" s="29">
        <v>41711</v>
      </c>
      <c r="B1952" s="28">
        <v>1.5543</v>
      </c>
      <c r="C1952" s="28">
        <v>2202378440</v>
      </c>
    </row>
    <row r="1953" spans="1:3" ht="15.5">
      <c r="A1953" s="29">
        <v>41710</v>
      </c>
      <c r="B1953" s="28">
        <v>1.5543</v>
      </c>
      <c r="C1953" s="28">
        <v>2202378440</v>
      </c>
    </row>
    <row r="1954" spans="1:3" ht="15.5">
      <c r="A1954" s="29">
        <v>41709</v>
      </c>
      <c r="B1954" s="28">
        <v>1.5543</v>
      </c>
      <c r="C1954" s="28">
        <v>2202378440</v>
      </c>
    </row>
    <row r="1955" spans="1:3" ht="15.5">
      <c r="A1955" s="29">
        <v>41708</v>
      </c>
      <c r="B1955" s="28">
        <v>1.5637000000000001</v>
      </c>
      <c r="C1955" s="28">
        <v>2215645780</v>
      </c>
    </row>
    <row r="1956" spans="1:3" ht="15.5">
      <c r="A1956" s="29">
        <v>41705</v>
      </c>
      <c r="B1956" s="28">
        <v>1.5730999999999999</v>
      </c>
      <c r="C1956" s="28">
        <v>2228913120</v>
      </c>
    </row>
    <row r="1957" spans="1:3" ht="15.5">
      <c r="A1957" s="29">
        <v>41704</v>
      </c>
      <c r="B1957" s="28">
        <v>1.5777000000000001</v>
      </c>
      <c r="C1957" s="28">
        <v>2235546790</v>
      </c>
    </row>
    <row r="1958" spans="1:3" ht="15.5">
      <c r="A1958" s="29">
        <v>41703</v>
      </c>
      <c r="B1958" s="28">
        <v>1.5824</v>
      </c>
      <c r="C1958" s="28">
        <v>2242180460</v>
      </c>
    </row>
    <row r="1959" spans="1:3" ht="15.5">
      <c r="A1959" s="29">
        <v>41702</v>
      </c>
      <c r="B1959" s="28">
        <v>1.5684</v>
      </c>
      <c r="C1959" s="28">
        <v>2222279450</v>
      </c>
    </row>
    <row r="1960" spans="1:3" ht="15.5">
      <c r="A1960" s="29">
        <v>41701</v>
      </c>
      <c r="B1960" s="28">
        <v>1.5965</v>
      </c>
      <c r="C1960" s="28">
        <v>2262081470</v>
      </c>
    </row>
    <row r="1961" spans="1:3" ht="15.5">
      <c r="A1961" s="29">
        <v>41698</v>
      </c>
      <c r="B1961" s="28">
        <v>1.6012</v>
      </c>
      <c r="C1961" s="28">
        <v>2268715140</v>
      </c>
    </row>
    <row r="1962" spans="1:3" ht="15.5">
      <c r="A1962" s="29">
        <v>41697</v>
      </c>
      <c r="B1962" s="28">
        <v>1.5871</v>
      </c>
      <c r="C1962" s="28">
        <v>2248814130</v>
      </c>
    </row>
    <row r="1963" spans="1:3" ht="15.5">
      <c r="A1963" s="29">
        <v>41696</v>
      </c>
      <c r="B1963" s="28">
        <v>1.6760999999999999</v>
      </c>
      <c r="C1963" s="28">
        <v>2374853860</v>
      </c>
    </row>
    <row r="1964" spans="1:3" ht="15.5">
      <c r="A1964" s="29">
        <v>41695</v>
      </c>
      <c r="B1964" s="28">
        <v>1.7041999999999999</v>
      </c>
      <c r="C1964" s="28">
        <v>2414655880</v>
      </c>
    </row>
    <row r="1965" spans="1:3" ht="15.5">
      <c r="A1965" s="29">
        <v>41694</v>
      </c>
      <c r="B1965" s="28">
        <v>1.6760999999999999</v>
      </c>
      <c r="C1965" s="28">
        <v>2374853860</v>
      </c>
    </row>
    <row r="1966" spans="1:3" ht="15.5">
      <c r="A1966" s="29">
        <v>41691</v>
      </c>
      <c r="B1966" s="28">
        <v>1.6479999999999999</v>
      </c>
      <c r="C1966" s="28">
        <v>2335051840</v>
      </c>
    </row>
    <row r="1967" spans="1:3" ht="15.5">
      <c r="A1967" s="29">
        <v>41690</v>
      </c>
      <c r="B1967" s="28">
        <v>1.6479999999999999</v>
      </c>
      <c r="C1967" s="28">
        <v>2335051840</v>
      </c>
    </row>
    <row r="1968" spans="1:3" ht="15.5">
      <c r="A1968" s="29">
        <v>41689</v>
      </c>
      <c r="B1968" s="28">
        <v>1.6386000000000001</v>
      </c>
      <c r="C1968" s="28">
        <v>2321784500</v>
      </c>
    </row>
    <row r="1969" spans="1:3" ht="15.5">
      <c r="A1969" s="29">
        <v>41688</v>
      </c>
      <c r="B1969" s="28">
        <v>1.6246</v>
      </c>
      <c r="C1969" s="28">
        <v>2301883490</v>
      </c>
    </row>
    <row r="1970" spans="1:3" ht="15.5">
      <c r="A1970" s="29">
        <v>41687</v>
      </c>
      <c r="B1970" s="28">
        <v>1.6246</v>
      </c>
      <c r="C1970" s="28">
        <v>2301883490</v>
      </c>
    </row>
    <row r="1971" spans="1:3" ht="15.5">
      <c r="A1971" s="29">
        <v>41684</v>
      </c>
      <c r="B1971" s="28">
        <v>1.6152</v>
      </c>
      <c r="C1971" s="28">
        <v>2288616150</v>
      </c>
    </row>
    <row r="1972" spans="1:3" ht="15.5">
      <c r="A1972" s="29">
        <v>41683</v>
      </c>
      <c r="B1972" s="28">
        <v>1.6057999999999999</v>
      </c>
      <c r="C1972" s="28">
        <v>2275348810</v>
      </c>
    </row>
    <row r="1973" spans="1:3" ht="15.5">
      <c r="A1973" s="29">
        <v>41682</v>
      </c>
      <c r="B1973" s="28">
        <v>1.6057999999999999</v>
      </c>
      <c r="C1973" s="28">
        <v>2275348810</v>
      </c>
    </row>
    <row r="1974" spans="1:3" ht="15.5">
      <c r="A1974" s="29">
        <v>41681</v>
      </c>
      <c r="B1974" s="28">
        <v>1.5824</v>
      </c>
      <c r="C1974" s="28">
        <v>2242180460</v>
      </c>
    </row>
    <row r="1975" spans="1:3" ht="15.5">
      <c r="A1975" s="29">
        <v>41680</v>
      </c>
      <c r="B1975" s="28">
        <v>1.5684</v>
      </c>
      <c r="C1975" s="28">
        <v>2222279450</v>
      </c>
    </row>
    <row r="1976" spans="1:3" ht="15.5">
      <c r="A1976" s="29">
        <v>41677</v>
      </c>
      <c r="B1976" s="28">
        <v>1.5543</v>
      </c>
      <c r="C1976" s="28">
        <v>2202378440</v>
      </c>
    </row>
    <row r="1977" spans="1:3" ht="15.5">
      <c r="A1977" s="29">
        <v>41676</v>
      </c>
      <c r="B1977" s="28">
        <v>1.5543</v>
      </c>
      <c r="C1977" s="28">
        <v>2202378440</v>
      </c>
    </row>
    <row r="1978" spans="1:3" ht="15.5">
      <c r="A1978" s="29">
        <v>41675</v>
      </c>
      <c r="B1978" s="28">
        <v>1.5497000000000001</v>
      </c>
      <c r="C1978" s="28">
        <v>2195744770</v>
      </c>
    </row>
    <row r="1979" spans="1:3" ht="15.5">
      <c r="A1979" s="29">
        <v>41674</v>
      </c>
      <c r="B1979" s="28">
        <v>1.5403</v>
      </c>
      <c r="C1979" s="28">
        <v>2182477430</v>
      </c>
    </row>
    <row r="1980" spans="1:3" ht="15.5">
      <c r="A1980" s="29">
        <v>41673</v>
      </c>
      <c r="B1980" s="28">
        <v>1.5497000000000001</v>
      </c>
      <c r="C1980" s="28">
        <v>2195744770</v>
      </c>
    </row>
    <row r="1981" spans="1:3" ht="15.5">
      <c r="A1981" s="29">
        <v>41670</v>
      </c>
      <c r="B1981" s="28">
        <v>1.5356000000000001</v>
      </c>
      <c r="C1981" s="28">
        <v>2175843760</v>
      </c>
    </row>
    <row r="1982" spans="1:3" ht="15.5">
      <c r="A1982" s="29">
        <v>41669</v>
      </c>
      <c r="B1982" s="28">
        <v>1.5262</v>
      </c>
      <c r="C1982" s="28">
        <v>2162576420</v>
      </c>
    </row>
    <row r="1983" spans="1:3" ht="15.5">
      <c r="A1983" s="29">
        <v>41668</v>
      </c>
      <c r="B1983" s="28">
        <v>1.5356000000000001</v>
      </c>
      <c r="C1983" s="28">
        <v>2175843760</v>
      </c>
    </row>
    <row r="1984" spans="1:3" ht="15.5">
      <c r="A1984" s="29">
        <v>41667</v>
      </c>
      <c r="B1984" s="28">
        <v>1.5356000000000001</v>
      </c>
      <c r="C1984" s="28">
        <v>2175843760</v>
      </c>
    </row>
    <row r="1985" spans="1:3" ht="15.5">
      <c r="A1985" s="29">
        <v>41663</v>
      </c>
      <c r="B1985" s="28">
        <v>1.5589999999999999</v>
      </c>
      <c r="C1985" s="28">
        <v>2209012110</v>
      </c>
    </row>
    <row r="1986" spans="1:3" ht="15.5">
      <c r="A1986" s="29">
        <v>41662</v>
      </c>
      <c r="B1986" s="28">
        <v>1.5589999999999999</v>
      </c>
      <c r="C1986" s="28">
        <v>2209012110</v>
      </c>
    </row>
    <row r="1987" spans="1:3" ht="15.5">
      <c r="A1987" s="29">
        <v>41661</v>
      </c>
      <c r="B1987" s="28">
        <v>1.5684</v>
      </c>
      <c r="C1987" s="28">
        <v>2222279450</v>
      </c>
    </row>
    <row r="1988" spans="1:3" ht="15.5">
      <c r="A1988" s="29">
        <v>41660</v>
      </c>
      <c r="B1988" s="28">
        <v>1.5824</v>
      </c>
      <c r="C1988" s="28">
        <v>2242180460</v>
      </c>
    </row>
    <row r="1989" spans="1:3" ht="15.5">
      <c r="A1989" s="29">
        <v>41659</v>
      </c>
      <c r="B1989" s="28">
        <v>1.5730999999999999</v>
      </c>
      <c r="C1989" s="28">
        <v>2228913120</v>
      </c>
    </row>
    <row r="1990" spans="1:3" ht="15.5">
      <c r="A1990" s="29">
        <v>41656</v>
      </c>
      <c r="B1990" s="28">
        <v>1.5637000000000001</v>
      </c>
      <c r="C1990" s="28">
        <v>2215645780</v>
      </c>
    </row>
    <row r="1991" spans="1:3" ht="15.5">
      <c r="A1991" s="29">
        <v>41655</v>
      </c>
      <c r="B1991" s="28">
        <v>1.5589999999999999</v>
      </c>
      <c r="C1991" s="28">
        <v>2209012110</v>
      </c>
    </row>
    <row r="1992" spans="1:3" ht="15.5">
      <c r="A1992" s="29">
        <v>41654</v>
      </c>
      <c r="B1992" s="28">
        <v>1.5403</v>
      </c>
      <c r="C1992" s="28">
        <v>2182477430</v>
      </c>
    </row>
    <row r="1993" spans="1:3" ht="15.5">
      <c r="A1993" s="29">
        <v>41653</v>
      </c>
      <c r="B1993" s="28">
        <v>1.5449999999999999</v>
      </c>
      <c r="C1993" s="28">
        <v>2189111100</v>
      </c>
    </row>
    <row r="1994" spans="1:3" ht="15.5">
      <c r="A1994" s="29">
        <v>41652</v>
      </c>
      <c r="B1994" s="28">
        <v>1.5589999999999999</v>
      </c>
      <c r="C1994" s="28">
        <v>2209012110</v>
      </c>
    </row>
    <row r="1995" spans="1:3" ht="15.5">
      <c r="A1995" s="29">
        <v>41649</v>
      </c>
      <c r="B1995" s="28">
        <v>1.5449999999999999</v>
      </c>
      <c r="C1995" s="28">
        <v>2189111100</v>
      </c>
    </row>
    <row r="1996" spans="1:3" ht="15.5">
      <c r="A1996" s="29">
        <v>41648</v>
      </c>
      <c r="B1996" s="28">
        <v>1.5262</v>
      </c>
      <c r="C1996" s="28">
        <v>2162576420</v>
      </c>
    </row>
    <row r="1997" spans="1:3" ht="15.5">
      <c r="A1997" s="29">
        <v>41647</v>
      </c>
      <c r="B1997" s="28">
        <v>1.5403</v>
      </c>
      <c r="C1997" s="28">
        <v>2182477430</v>
      </c>
    </row>
    <row r="1998" spans="1:3" ht="15.5">
      <c r="A1998" s="29">
        <v>41646</v>
      </c>
      <c r="B1998" s="28">
        <v>1.5262</v>
      </c>
      <c r="C1998" s="28">
        <v>2162576420</v>
      </c>
    </row>
    <row r="1999" spans="1:3" ht="15.5">
      <c r="A1999" s="29">
        <v>41645</v>
      </c>
      <c r="B1999" s="28">
        <v>1.5122</v>
      </c>
      <c r="C1999" s="28">
        <v>2142675410</v>
      </c>
    </row>
    <row r="2000" spans="1:3" ht="15.5">
      <c r="A2000" s="29">
        <v>41642</v>
      </c>
      <c r="B2000" s="28">
        <v>1.5075000000000001</v>
      </c>
      <c r="C2000" s="28">
        <v>2136041740</v>
      </c>
    </row>
    <row r="2001" spans="1:3" ht="15.5">
      <c r="A2001" s="29">
        <v>41641</v>
      </c>
      <c r="B2001" s="28">
        <v>1.5168999999999999</v>
      </c>
      <c r="C2001" s="28">
        <v>2149309080</v>
      </c>
    </row>
    <row r="2002" spans="1:3" ht="15.5">
      <c r="A2002" s="29">
        <v>41639</v>
      </c>
      <c r="B2002" s="28">
        <v>1.5216000000000001</v>
      </c>
      <c r="C2002" s="28">
        <v>2155942750</v>
      </c>
    </row>
    <row r="2003" spans="1:3" ht="15.5">
      <c r="A2003" s="29">
        <v>41638</v>
      </c>
      <c r="B2003" s="28">
        <v>1.5168999999999999</v>
      </c>
      <c r="C2003" s="28">
        <v>2149309080</v>
      </c>
    </row>
    <row r="2004" spans="1:3" ht="15.5">
      <c r="A2004" s="29">
        <v>41635</v>
      </c>
      <c r="B2004" s="28">
        <v>1.5027999999999999</v>
      </c>
      <c r="C2004" s="28">
        <v>2129408070</v>
      </c>
    </row>
    <row r="2005" spans="1:3" ht="15.5">
      <c r="A2005" s="29">
        <v>41632</v>
      </c>
      <c r="B2005" s="28">
        <v>1.4887999999999999</v>
      </c>
      <c r="C2005" s="28">
        <v>2109507060</v>
      </c>
    </row>
    <row r="2006" spans="1:3" ht="15.5">
      <c r="A2006" s="29">
        <v>41631</v>
      </c>
      <c r="B2006" s="28">
        <v>1.4841</v>
      </c>
      <c r="C2006" s="28">
        <v>2102873390</v>
      </c>
    </row>
    <row r="2007" spans="1:3" ht="15.5">
      <c r="A2007" s="29">
        <v>41628</v>
      </c>
      <c r="B2007" s="28">
        <v>1.456</v>
      </c>
      <c r="C2007" s="28">
        <v>2063071370</v>
      </c>
    </row>
    <row r="2008" spans="1:3" ht="15.5">
      <c r="A2008" s="29">
        <v>41627</v>
      </c>
      <c r="B2008" s="28">
        <v>1.4841</v>
      </c>
      <c r="C2008" s="28">
        <v>2102873390</v>
      </c>
    </row>
    <row r="2009" spans="1:3" ht="15.5">
      <c r="A2009" s="29">
        <v>41626</v>
      </c>
      <c r="B2009" s="28">
        <v>1.4607000000000001</v>
      </c>
      <c r="C2009" s="28">
        <v>2069705040</v>
      </c>
    </row>
    <row r="2010" spans="1:3" ht="15.5">
      <c r="A2010" s="29">
        <v>41625</v>
      </c>
      <c r="B2010" s="28">
        <v>1.4794</v>
      </c>
      <c r="C2010" s="28">
        <v>2096239720</v>
      </c>
    </row>
    <row r="2011" spans="1:3" ht="15.5">
      <c r="A2011" s="29">
        <v>41624</v>
      </c>
      <c r="B2011" s="28">
        <v>1.4794</v>
      </c>
      <c r="C2011" s="28">
        <v>2096239720</v>
      </c>
    </row>
    <row r="2012" spans="1:3" ht="15.5">
      <c r="A2012" s="29">
        <v>41621</v>
      </c>
      <c r="B2012" s="28">
        <v>1.4607000000000001</v>
      </c>
      <c r="C2012" s="28">
        <v>2069705040</v>
      </c>
    </row>
    <row r="2013" spans="1:3" ht="15.5">
      <c r="A2013" s="29">
        <v>41620</v>
      </c>
      <c r="B2013" s="28">
        <v>1.4654</v>
      </c>
      <c r="C2013" s="28">
        <v>2076338710</v>
      </c>
    </row>
    <row r="2014" spans="1:3" ht="15.5">
      <c r="A2014" s="29">
        <v>41619</v>
      </c>
      <c r="B2014" s="28">
        <v>1.4513</v>
      </c>
      <c r="C2014" s="28">
        <v>2056437700</v>
      </c>
    </row>
    <row r="2015" spans="1:3" ht="15.5">
      <c r="A2015" s="29">
        <v>41618</v>
      </c>
      <c r="B2015" s="28">
        <v>1.4467000000000001</v>
      </c>
      <c r="C2015" s="28">
        <v>2049804030</v>
      </c>
    </row>
    <row r="2016" spans="1:3" ht="15.5">
      <c r="A2016" s="29">
        <v>41617</v>
      </c>
      <c r="B2016" s="28">
        <v>1.4513</v>
      </c>
      <c r="C2016" s="28">
        <v>2056437700</v>
      </c>
    </row>
    <row r="2017" spans="1:3" ht="15.5">
      <c r="A2017" s="29">
        <v>41614</v>
      </c>
      <c r="B2017" s="28">
        <v>1.4701</v>
      </c>
      <c r="C2017" s="28">
        <v>2082972380</v>
      </c>
    </row>
    <row r="2018" spans="1:3" ht="15.5">
      <c r="A2018" s="29">
        <v>41613</v>
      </c>
      <c r="B2018" s="28">
        <v>1.4887999999999999</v>
      </c>
      <c r="C2018" s="28">
        <v>2109507060</v>
      </c>
    </row>
    <row r="2019" spans="1:3" ht="15.5">
      <c r="A2019" s="29">
        <v>41612</v>
      </c>
      <c r="B2019" s="28">
        <v>1.4841</v>
      </c>
      <c r="C2019" s="28">
        <v>2102873390</v>
      </c>
    </row>
    <row r="2020" spans="1:3" ht="15.5">
      <c r="A2020" s="29">
        <v>41611</v>
      </c>
      <c r="B2020" s="28">
        <v>1.4654</v>
      </c>
      <c r="C2020" s="28">
        <v>2076338710</v>
      </c>
    </row>
    <row r="2021" spans="1:3" ht="15.5">
      <c r="A2021" s="29">
        <v>41610</v>
      </c>
      <c r="B2021" s="28">
        <v>1.4841</v>
      </c>
      <c r="C2021" s="28">
        <v>2102873390</v>
      </c>
    </row>
    <row r="2022" spans="1:3" ht="15.5">
      <c r="A2022" s="29">
        <v>41607</v>
      </c>
      <c r="B2022" s="28">
        <v>1.5216000000000001</v>
      </c>
      <c r="C2022" s="28">
        <v>2155942750</v>
      </c>
    </row>
    <row r="2023" spans="1:3" ht="15.5">
      <c r="A2023" s="29">
        <v>41606</v>
      </c>
      <c r="B2023" s="28">
        <v>1.5216000000000001</v>
      </c>
      <c r="C2023" s="28">
        <v>2155942750</v>
      </c>
    </row>
    <row r="2024" spans="1:3" ht="15.5">
      <c r="A2024" s="29">
        <v>41605</v>
      </c>
      <c r="B2024" s="28">
        <v>1.5262</v>
      </c>
      <c r="C2024" s="28">
        <v>2162576420</v>
      </c>
    </row>
    <row r="2025" spans="1:3" ht="15.5">
      <c r="A2025" s="29">
        <v>41604</v>
      </c>
      <c r="B2025" s="28">
        <v>1.5403</v>
      </c>
      <c r="C2025" s="28">
        <v>2182477430</v>
      </c>
    </row>
    <row r="2026" spans="1:3" ht="15.5">
      <c r="A2026" s="29">
        <v>41603</v>
      </c>
      <c r="B2026" s="28">
        <v>1.5168999999999999</v>
      </c>
      <c r="C2026" s="28">
        <v>2149309080</v>
      </c>
    </row>
    <row r="2027" spans="1:3" ht="15.5">
      <c r="A2027" s="29">
        <v>41600</v>
      </c>
      <c r="B2027" s="28">
        <v>1.5308999999999999</v>
      </c>
      <c r="C2027" s="28">
        <v>2169210090</v>
      </c>
    </row>
    <row r="2028" spans="1:3" ht="15.5">
      <c r="A2028" s="29">
        <v>41599</v>
      </c>
      <c r="B2028" s="28">
        <v>1.5075000000000001</v>
      </c>
      <c r="C2028" s="28">
        <v>2136041740</v>
      </c>
    </row>
    <row r="2029" spans="1:3" ht="15.5">
      <c r="A2029" s="29">
        <v>41598</v>
      </c>
      <c r="B2029" s="28">
        <v>1.5168999999999999</v>
      </c>
      <c r="C2029" s="28">
        <v>2149309080</v>
      </c>
    </row>
    <row r="2030" spans="1:3" ht="15.5">
      <c r="A2030" s="29">
        <v>41597</v>
      </c>
      <c r="B2030" s="28">
        <v>1.5168999999999999</v>
      </c>
      <c r="C2030" s="28">
        <v>2149309080</v>
      </c>
    </row>
    <row r="2031" spans="1:3" ht="15.5">
      <c r="A2031" s="29">
        <v>41596</v>
      </c>
      <c r="B2031" s="28">
        <v>1.5262</v>
      </c>
      <c r="C2031" s="28">
        <v>2162576420</v>
      </c>
    </row>
    <row r="2032" spans="1:3" ht="15.5">
      <c r="A2032" s="29">
        <v>41593</v>
      </c>
      <c r="B2032" s="28">
        <v>1.5356000000000001</v>
      </c>
      <c r="C2032" s="28">
        <v>2175843760</v>
      </c>
    </row>
    <row r="2033" spans="1:3" ht="15.5">
      <c r="A2033" s="29">
        <v>41592</v>
      </c>
      <c r="B2033" s="28">
        <v>1.5262</v>
      </c>
      <c r="C2033" s="28">
        <v>2162576420</v>
      </c>
    </row>
    <row r="2034" spans="1:3" ht="15.5">
      <c r="A2034" s="29">
        <v>41591</v>
      </c>
      <c r="B2034" s="28">
        <v>1.5168999999999999</v>
      </c>
      <c r="C2034" s="28">
        <v>2149309080</v>
      </c>
    </row>
    <row r="2035" spans="1:3" ht="15.5">
      <c r="A2035" s="29">
        <v>41590</v>
      </c>
      <c r="B2035" s="28">
        <v>1.5403</v>
      </c>
      <c r="C2035" s="28">
        <v>2182477430</v>
      </c>
    </row>
    <row r="2036" spans="1:3" ht="15.5">
      <c r="A2036" s="29">
        <v>41589</v>
      </c>
      <c r="B2036" s="28">
        <v>1.5449999999999999</v>
      </c>
      <c r="C2036" s="28">
        <v>2189111100</v>
      </c>
    </row>
    <row r="2037" spans="1:3" ht="15.5">
      <c r="A2037" s="29">
        <v>41586</v>
      </c>
      <c r="B2037" s="28">
        <v>1.5497000000000001</v>
      </c>
      <c r="C2037" s="28">
        <v>2195744770</v>
      </c>
    </row>
    <row r="2038" spans="1:3" ht="15.5">
      <c r="A2038" s="29">
        <v>41585</v>
      </c>
      <c r="B2038" s="28">
        <v>1.5730999999999999</v>
      </c>
      <c r="C2038" s="28">
        <v>2228913120</v>
      </c>
    </row>
    <row r="2039" spans="1:3" ht="15.5">
      <c r="A2039" s="29">
        <v>41584</v>
      </c>
      <c r="B2039" s="28">
        <v>1.5684</v>
      </c>
      <c r="C2039" s="28">
        <v>2222279450</v>
      </c>
    </row>
    <row r="2040" spans="1:3" ht="15.5">
      <c r="A2040" s="29">
        <v>41583</v>
      </c>
      <c r="B2040" s="28">
        <v>1.5871</v>
      </c>
      <c r="C2040" s="28">
        <v>2248814130</v>
      </c>
    </row>
    <row r="2041" spans="1:3" ht="15.5">
      <c r="A2041" s="29">
        <v>41582</v>
      </c>
      <c r="B2041" s="28">
        <v>1.5684</v>
      </c>
      <c r="C2041" s="28">
        <v>2222279450</v>
      </c>
    </row>
    <row r="2042" spans="1:3" ht="15.5">
      <c r="A2042" s="29">
        <v>41579</v>
      </c>
      <c r="B2042" s="28">
        <v>1.5824</v>
      </c>
      <c r="C2042" s="28">
        <v>2242180460</v>
      </c>
    </row>
    <row r="2043" spans="1:3" ht="15.5">
      <c r="A2043" s="29">
        <v>41578</v>
      </c>
      <c r="B2043" s="28">
        <v>1.5871</v>
      </c>
      <c r="C2043" s="28">
        <v>2248814130</v>
      </c>
    </row>
    <row r="2044" spans="1:3" ht="15.5">
      <c r="A2044" s="29">
        <v>41577</v>
      </c>
      <c r="B2044" s="28">
        <v>1.5637000000000001</v>
      </c>
      <c r="C2044" s="28">
        <v>2215645780</v>
      </c>
    </row>
    <row r="2045" spans="1:3" ht="15.5">
      <c r="A2045" s="29">
        <v>41576</v>
      </c>
      <c r="B2045" s="28">
        <v>1.5637000000000001</v>
      </c>
      <c r="C2045" s="28">
        <v>2215645780</v>
      </c>
    </row>
    <row r="2046" spans="1:3" ht="15.5">
      <c r="A2046" s="29">
        <v>41575</v>
      </c>
      <c r="B2046" s="28">
        <v>1.5637000000000001</v>
      </c>
      <c r="C2046" s="28">
        <v>2215645780</v>
      </c>
    </row>
    <row r="2047" spans="1:3" ht="15.5">
      <c r="A2047" s="29">
        <v>41572</v>
      </c>
      <c r="B2047" s="28">
        <v>1.5684</v>
      </c>
      <c r="C2047" s="28">
        <v>2222279450</v>
      </c>
    </row>
    <row r="2048" spans="1:3" ht="15.5">
      <c r="A2048" s="29">
        <v>41571</v>
      </c>
      <c r="B2048" s="28">
        <v>1.5543</v>
      </c>
      <c r="C2048" s="28">
        <v>2202378440</v>
      </c>
    </row>
    <row r="2049" spans="1:3" ht="15.5">
      <c r="A2049" s="29">
        <v>41570</v>
      </c>
      <c r="B2049" s="28">
        <v>1.5589999999999999</v>
      </c>
      <c r="C2049" s="28">
        <v>2209012110</v>
      </c>
    </row>
    <row r="2050" spans="1:3" ht="15.5">
      <c r="A2050" s="29">
        <v>41569</v>
      </c>
      <c r="B2050" s="28">
        <v>1.5684</v>
      </c>
      <c r="C2050" s="28">
        <v>2222279450</v>
      </c>
    </row>
    <row r="2051" spans="1:3" ht="15.5">
      <c r="A2051" s="29">
        <v>41568</v>
      </c>
      <c r="B2051" s="28">
        <v>1.5637000000000001</v>
      </c>
      <c r="C2051" s="28">
        <v>2215645780</v>
      </c>
    </row>
    <row r="2052" spans="1:3" ht="15.5">
      <c r="A2052" s="29">
        <v>41565</v>
      </c>
      <c r="B2052" s="28">
        <v>1.5637000000000001</v>
      </c>
      <c r="C2052" s="28">
        <v>2215645780</v>
      </c>
    </row>
    <row r="2053" spans="1:3" ht="15.5">
      <c r="A2053" s="29">
        <v>41564</v>
      </c>
      <c r="B2053" s="28">
        <v>1.5543</v>
      </c>
      <c r="C2053" s="28">
        <v>2202378440</v>
      </c>
    </row>
    <row r="2054" spans="1:3" ht="15.5">
      <c r="A2054" s="29">
        <v>41563</v>
      </c>
      <c r="B2054" s="28">
        <v>1.5497000000000001</v>
      </c>
      <c r="C2054" s="28">
        <v>2195744770</v>
      </c>
    </row>
    <row r="2055" spans="1:3" ht="15.5">
      <c r="A2055" s="29">
        <v>41562</v>
      </c>
      <c r="B2055" s="28">
        <v>1.5637000000000001</v>
      </c>
      <c r="C2055" s="28">
        <v>2215645780</v>
      </c>
    </row>
    <row r="2056" spans="1:3" ht="15.5">
      <c r="A2056" s="29">
        <v>41561</v>
      </c>
      <c r="B2056" s="28">
        <v>1.5589999999999999</v>
      </c>
      <c r="C2056" s="28">
        <v>2209012110</v>
      </c>
    </row>
    <row r="2057" spans="1:3" ht="15.5">
      <c r="A2057" s="29">
        <v>41558</v>
      </c>
      <c r="B2057" s="28">
        <v>1.5777000000000001</v>
      </c>
      <c r="C2057" s="28">
        <v>2235546790</v>
      </c>
    </row>
    <row r="2058" spans="1:3" ht="15.5">
      <c r="A2058" s="29">
        <v>41557</v>
      </c>
      <c r="B2058" s="28">
        <v>1.5637000000000001</v>
      </c>
      <c r="C2058" s="28">
        <v>2215645780</v>
      </c>
    </row>
    <row r="2059" spans="1:3" ht="15.5">
      <c r="A2059" s="29">
        <v>41556</v>
      </c>
      <c r="B2059" s="28">
        <v>1.5589999999999999</v>
      </c>
      <c r="C2059" s="28">
        <v>2209012110</v>
      </c>
    </row>
    <row r="2060" spans="1:3" ht="15.5">
      <c r="A2060" s="29">
        <v>41555</v>
      </c>
      <c r="B2060" s="28">
        <v>1.5684</v>
      </c>
      <c r="C2060" s="28">
        <v>2222279450</v>
      </c>
    </row>
    <row r="2061" spans="1:3" ht="15.5">
      <c r="A2061" s="29">
        <v>41554</v>
      </c>
      <c r="B2061" s="28">
        <v>1.5684</v>
      </c>
      <c r="C2061" s="28">
        <v>2222279450</v>
      </c>
    </row>
    <row r="2062" spans="1:3" ht="15.5">
      <c r="A2062" s="29">
        <v>41551</v>
      </c>
      <c r="B2062" s="28">
        <v>1.5871</v>
      </c>
      <c r="C2062" s="28">
        <v>2248814130</v>
      </c>
    </row>
    <row r="2063" spans="1:3" ht="15.5">
      <c r="A2063" s="29">
        <v>41550</v>
      </c>
      <c r="B2063" s="28">
        <v>1.6012</v>
      </c>
      <c r="C2063" s="28">
        <v>2268715140</v>
      </c>
    </row>
    <row r="2064" spans="1:3" ht="15.5">
      <c r="A2064" s="29">
        <v>41549</v>
      </c>
      <c r="B2064" s="28">
        <v>1.5730999999999999</v>
      </c>
      <c r="C2064" s="28">
        <v>2228913120</v>
      </c>
    </row>
    <row r="2065" spans="1:3" ht="15.5">
      <c r="A2065" s="29">
        <v>41548</v>
      </c>
      <c r="B2065" s="28">
        <v>1.5684</v>
      </c>
      <c r="C2065" s="28">
        <v>2222279450</v>
      </c>
    </row>
    <row r="2066" spans="1:3" ht="15.5">
      <c r="A2066" s="29">
        <v>41547</v>
      </c>
      <c r="B2066" s="28">
        <v>1.5543</v>
      </c>
      <c r="C2066" s="28">
        <v>2202378440</v>
      </c>
    </row>
    <row r="2067" spans="1:3" ht="15.5">
      <c r="A2067" s="29">
        <v>41544</v>
      </c>
      <c r="B2067" s="28">
        <v>1.5730999999999999</v>
      </c>
      <c r="C2067" s="28">
        <v>2228913120</v>
      </c>
    </row>
    <row r="2068" spans="1:3" ht="15.5">
      <c r="A2068" s="29">
        <v>41543</v>
      </c>
      <c r="B2068" s="28">
        <v>1.5637000000000001</v>
      </c>
      <c r="C2068" s="28">
        <v>2215645780</v>
      </c>
    </row>
    <row r="2069" spans="1:3" ht="15.5">
      <c r="A2069" s="29">
        <v>41542</v>
      </c>
      <c r="B2069" s="28">
        <v>1.5543</v>
      </c>
      <c r="C2069" s="28">
        <v>2202378440</v>
      </c>
    </row>
    <row r="2070" spans="1:3" ht="15.5">
      <c r="A2070" s="29">
        <v>41541</v>
      </c>
      <c r="B2070" s="28">
        <v>1.5168999999999999</v>
      </c>
      <c r="C2070" s="28">
        <v>2149309080</v>
      </c>
    </row>
    <row r="2071" spans="1:3" ht="15.5">
      <c r="A2071" s="29">
        <v>41540</v>
      </c>
      <c r="B2071" s="28">
        <v>1.5027999999999999</v>
      </c>
      <c r="C2071" s="28">
        <v>2129408070</v>
      </c>
    </row>
    <row r="2072" spans="1:3" ht="15.5">
      <c r="A2072" s="29">
        <v>41537</v>
      </c>
      <c r="B2072" s="28">
        <v>1.4982</v>
      </c>
      <c r="C2072" s="28">
        <v>2122774400</v>
      </c>
    </row>
    <row r="2073" spans="1:3" ht="15.5">
      <c r="A2073" s="29">
        <v>41536</v>
      </c>
      <c r="B2073" s="28">
        <v>1.5262</v>
      </c>
      <c r="C2073" s="28">
        <v>2162576420</v>
      </c>
    </row>
    <row r="2074" spans="1:3" ht="15.5">
      <c r="A2074" s="29">
        <v>41535</v>
      </c>
      <c r="B2074" s="28">
        <v>1.5122</v>
      </c>
      <c r="C2074" s="28">
        <v>2142675410</v>
      </c>
    </row>
    <row r="2075" spans="1:3" ht="15.5">
      <c r="A2075" s="29">
        <v>41534</v>
      </c>
      <c r="B2075" s="28">
        <v>1.5216000000000001</v>
      </c>
      <c r="C2075" s="28">
        <v>2155942750</v>
      </c>
    </row>
    <row r="2076" spans="1:3" ht="15.5">
      <c r="A2076" s="29">
        <v>41533</v>
      </c>
      <c r="B2076" s="28">
        <v>1.5168999999999999</v>
      </c>
      <c r="C2076" s="28">
        <v>2149309080</v>
      </c>
    </row>
    <row r="2077" spans="1:3" ht="15.5">
      <c r="A2077" s="29">
        <v>41530</v>
      </c>
      <c r="B2077" s="28">
        <v>1.5168999999999999</v>
      </c>
      <c r="C2077" s="28">
        <v>2149309080</v>
      </c>
    </row>
    <row r="2078" spans="1:3" ht="15.5">
      <c r="A2078" s="29">
        <v>41529</v>
      </c>
      <c r="B2078" s="28">
        <v>1.5122</v>
      </c>
      <c r="C2078" s="28">
        <v>2142675410</v>
      </c>
    </row>
    <row r="2079" spans="1:3" ht="15.5">
      <c r="A2079" s="29">
        <v>41528</v>
      </c>
      <c r="B2079" s="28">
        <v>1.5122</v>
      </c>
      <c r="C2079" s="28">
        <v>2142675410</v>
      </c>
    </row>
    <row r="2080" spans="1:3" ht="15.5">
      <c r="A2080" s="29">
        <v>41527</v>
      </c>
      <c r="B2080" s="28">
        <v>1.5216000000000001</v>
      </c>
      <c r="C2080" s="28">
        <v>2155942750</v>
      </c>
    </row>
    <row r="2081" spans="1:3" ht="15.5">
      <c r="A2081" s="29">
        <v>41526</v>
      </c>
      <c r="B2081" s="28">
        <v>1.5262</v>
      </c>
      <c r="C2081" s="28">
        <v>2162576420</v>
      </c>
    </row>
    <row r="2082" spans="1:3" ht="15.5">
      <c r="A2082" s="29">
        <v>41523</v>
      </c>
      <c r="B2082" s="28">
        <v>1.5168999999999999</v>
      </c>
      <c r="C2082" s="28">
        <v>2149309080</v>
      </c>
    </row>
    <row r="2083" spans="1:3" ht="15.5">
      <c r="A2083" s="29">
        <v>41522</v>
      </c>
      <c r="B2083" s="28">
        <v>1.5122</v>
      </c>
      <c r="C2083" s="28">
        <v>2142675410</v>
      </c>
    </row>
    <row r="2084" spans="1:3" ht="15.5">
      <c r="A2084" s="29">
        <v>41521</v>
      </c>
      <c r="B2084" s="28">
        <v>1.5168999999999999</v>
      </c>
      <c r="C2084" s="28">
        <v>2149309080</v>
      </c>
    </row>
    <row r="2085" spans="1:3" ht="15.5">
      <c r="A2085" s="29">
        <v>41520</v>
      </c>
      <c r="B2085" s="28">
        <v>1.5356000000000001</v>
      </c>
      <c r="C2085" s="28">
        <v>2175843760</v>
      </c>
    </row>
    <row r="2086" spans="1:3" ht="15.5">
      <c r="A2086" s="29">
        <v>41519</v>
      </c>
      <c r="B2086" s="28">
        <v>1.5168999999999999</v>
      </c>
      <c r="C2086" s="28">
        <v>2149309080</v>
      </c>
    </row>
    <row r="2087" spans="1:3" ht="15.5">
      <c r="A2087" s="29">
        <v>41516</v>
      </c>
      <c r="B2087" s="28">
        <v>1.5168999999999999</v>
      </c>
      <c r="C2087" s="28">
        <v>2149309080</v>
      </c>
    </row>
    <row r="2088" spans="1:3" ht="15.5">
      <c r="A2088" s="29">
        <v>41515</v>
      </c>
      <c r="B2088" s="28">
        <v>1.5075000000000001</v>
      </c>
      <c r="C2088" s="28">
        <v>2136041740</v>
      </c>
    </row>
    <row r="2089" spans="1:3" ht="15.5">
      <c r="A2089" s="29">
        <v>41514</v>
      </c>
      <c r="B2089" s="28">
        <v>1.5824</v>
      </c>
      <c r="C2089" s="28">
        <v>2242180460</v>
      </c>
    </row>
    <row r="2090" spans="1:3" ht="15.5">
      <c r="A2090" s="29">
        <v>41513</v>
      </c>
      <c r="B2090" s="28">
        <v>1.6012</v>
      </c>
      <c r="C2090" s="28">
        <v>2268715140</v>
      </c>
    </row>
    <row r="2091" spans="1:3" ht="15.5">
      <c r="A2091" s="29">
        <v>41512</v>
      </c>
      <c r="B2091" s="28">
        <v>1.6105</v>
      </c>
      <c r="C2091" s="28">
        <v>2281982480</v>
      </c>
    </row>
    <row r="2092" spans="1:3" ht="15.5">
      <c r="A2092" s="29">
        <v>41509</v>
      </c>
      <c r="B2092" s="28">
        <v>1.5730999999999999</v>
      </c>
      <c r="C2092" s="28">
        <v>2228913120</v>
      </c>
    </row>
    <row r="2093" spans="1:3" ht="15.5">
      <c r="A2093" s="29">
        <v>41508</v>
      </c>
      <c r="B2093" s="28">
        <v>1.6527000000000001</v>
      </c>
      <c r="C2093" s="28">
        <v>2341685510</v>
      </c>
    </row>
    <row r="2094" spans="1:3" ht="15.5">
      <c r="A2094" s="29">
        <v>41507</v>
      </c>
      <c r="B2094" s="28">
        <v>1.6667000000000001</v>
      </c>
      <c r="C2094" s="28">
        <v>2361586520</v>
      </c>
    </row>
    <row r="2095" spans="1:3" ht="15.5">
      <c r="A2095" s="29">
        <v>41506</v>
      </c>
      <c r="B2095" s="28">
        <v>1.6386000000000001</v>
      </c>
      <c r="C2095" s="28">
        <v>2321784500</v>
      </c>
    </row>
    <row r="2096" spans="1:3" ht="15.5">
      <c r="A2096" s="29">
        <v>41505</v>
      </c>
      <c r="B2096" s="28">
        <v>1.6573</v>
      </c>
      <c r="C2096" s="28">
        <v>2348319180</v>
      </c>
    </row>
    <row r="2097" spans="1:3" ht="15.5">
      <c r="A2097" s="29">
        <v>41502</v>
      </c>
      <c r="B2097" s="28">
        <v>1.6386000000000001</v>
      </c>
      <c r="C2097" s="28">
        <v>2321784500</v>
      </c>
    </row>
    <row r="2098" spans="1:3" ht="15.5">
      <c r="A2098" s="29">
        <v>41501</v>
      </c>
      <c r="B2098" s="28">
        <v>1.6386000000000001</v>
      </c>
      <c r="C2098" s="28">
        <v>2321784500</v>
      </c>
    </row>
    <row r="2099" spans="1:3" ht="15.5">
      <c r="A2099" s="29">
        <v>41500</v>
      </c>
      <c r="B2099" s="28">
        <v>1.6667000000000001</v>
      </c>
      <c r="C2099" s="28">
        <v>2361586520</v>
      </c>
    </row>
    <row r="2100" spans="1:3" ht="15.5">
      <c r="A2100" s="29">
        <v>41499</v>
      </c>
      <c r="B2100" s="28">
        <v>1.6807000000000001</v>
      </c>
      <c r="C2100" s="28">
        <v>2381487530</v>
      </c>
    </row>
    <row r="2101" spans="1:3" ht="15.5">
      <c r="A2101" s="29">
        <v>41498</v>
      </c>
      <c r="B2101" s="28">
        <v>1.6807000000000001</v>
      </c>
      <c r="C2101" s="28">
        <v>2381487530</v>
      </c>
    </row>
    <row r="2102" spans="1:3" ht="15.5">
      <c r="A2102" s="29">
        <v>41495</v>
      </c>
      <c r="B2102" s="28">
        <v>1.6714</v>
      </c>
      <c r="C2102" s="28">
        <v>2368220190</v>
      </c>
    </row>
    <row r="2103" spans="1:3" ht="15.5">
      <c r="A2103" s="29">
        <v>41494</v>
      </c>
      <c r="B2103" s="28">
        <v>1.6479999999999999</v>
      </c>
      <c r="C2103" s="28">
        <v>2335051840</v>
      </c>
    </row>
    <row r="2104" spans="1:3" ht="15.5">
      <c r="A2104" s="29">
        <v>41493</v>
      </c>
      <c r="B2104" s="28">
        <v>1.6292</v>
      </c>
      <c r="C2104" s="28">
        <v>2308517160</v>
      </c>
    </row>
    <row r="2105" spans="1:3" ht="15.5">
      <c r="A2105" s="29">
        <v>41492</v>
      </c>
      <c r="B2105" s="28">
        <v>1.6714</v>
      </c>
      <c r="C2105" s="28">
        <v>2368220190</v>
      </c>
    </row>
    <row r="2106" spans="1:3" ht="15.5">
      <c r="A2106" s="29">
        <v>41491</v>
      </c>
      <c r="B2106" s="28">
        <v>1.6807000000000001</v>
      </c>
      <c r="C2106" s="28">
        <v>2381487530</v>
      </c>
    </row>
    <row r="2107" spans="1:3" ht="15.5">
      <c r="A2107" s="29">
        <v>41488</v>
      </c>
      <c r="B2107" s="28">
        <v>1.7041999999999999</v>
      </c>
      <c r="C2107" s="28">
        <v>2414655880</v>
      </c>
    </row>
    <row r="2108" spans="1:3" ht="15.5">
      <c r="A2108" s="29">
        <v>41487</v>
      </c>
      <c r="B2108" s="28">
        <v>1.6948000000000001</v>
      </c>
      <c r="C2108" s="28">
        <v>2401388540</v>
      </c>
    </row>
    <row r="2109" spans="1:3" ht="15.5">
      <c r="A2109" s="29">
        <v>41486</v>
      </c>
      <c r="B2109" s="28">
        <v>1.6714</v>
      </c>
      <c r="C2109" s="28">
        <v>2368220190</v>
      </c>
    </row>
    <row r="2110" spans="1:3" ht="15.5">
      <c r="A2110" s="29">
        <v>41485</v>
      </c>
      <c r="B2110" s="28">
        <v>1.6527000000000001</v>
      </c>
      <c r="C2110" s="28">
        <v>2341685510</v>
      </c>
    </row>
    <row r="2111" spans="1:3" ht="15.5">
      <c r="A2111" s="29">
        <v>41484</v>
      </c>
      <c r="B2111" s="28">
        <v>1.6667000000000001</v>
      </c>
      <c r="C2111" s="28">
        <v>2361586520</v>
      </c>
    </row>
    <row r="2112" spans="1:3" ht="15.5">
      <c r="A2112" s="29">
        <v>41481</v>
      </c>
      <c r="B2112" s="28">
        <v>1.6527000000000001</v>
      </c>
      <c r="C2112" s="28">
        <v>2341685510</v>
      </c>
    </row>
    <row r="2113" spans="1:3" ht="15.5">
      <c r="A2113" s="29">
        <v>41480</v>
      </c>
      <c r="B2113" s="28">
        <v>1.6433</v>
      </c>
      <c r="C2113" s="28">
        <v>2328418170</v>
      </c>
    </row>
    <row r="2114" spans="1:3" ht="15.5">
      <c r="A2114" s="29">
        <v>41479</v>
      </c>
      <c r="B2114" s="28">
        <v>1.7041999999999999</v>
      </c>
      <c r="C2114" s="28">
        <v>2414655880</v>
      </c>
    </row>
    <row r="2115" spans="1:3" ht="15.5">
      <c r="A2115" s="29">
        <v>41478</v>
      </c>
      <c r="B2115" s="28">
        <v>1.7041999999999999</v>
      </c>
      <c r="C2115" s="28">
        <v>2414655880</v>
      </c>
    </row>
    <row r="2116" spans="1:3" ht="15.5">
      <c r="A2116" s="29">
        <v>41477</v>
      </c>
      <c r="B2116" s="28">
        <v>1.7088000000000001</v>
      </c>
      <c r="C2116" s="28">
        <v>2421289550</v>
      </c>
    </row>
    <row r="2117" spans="1:3" ht="15.5">
      <c r="A2117" s="29">
        <v>41474</v>
      </c>
      <c r="B2117" s="28">
        <v>1.7229000000000001</v>
      </c>
      <c r="C2117" s="28">
        <v>2441190560</v>
      </c>
    </row>
    <row r="2118" spans="1:3" ht="15.5">
      <c r="A2118" s="29">
        <v>41473</v>
      </c>
      <c r="B2118" s="28">
        <v>1.6948000000000001</v>
      </c>
      <c r="C2118" s="28">
        <v>2401388540</v>
      </c>
    </row>
    <row r="2119" spans="1:3" ht="15.5">
      <c r="A2119" s="29">
        <v>41472</v>
      </c>
      <c r="B2119" s="28">
        <v>1.7041999999999999</v>
      </c>
      <c r="C2119" s="28">
        <v>2414655880</v>
      </c>
    </row>
    <row r="2120" spans="1:3" ht="15.5">
      <c r="A2120" s="29">
        <v>41471</v>
      </c>
      <c r="B2120" s="28">
        <v>1.6900999999999999</v>
      </c>
      <c r="C2120" s="28">
        <v>2394754870</v>
      </c>
    </row>
    <row r="2121" spans="1:3" ht="15.5">
      <c r="A2121" s="29">
        <v>41470</v>
      </c>
      <c r="B2121" s="28">
        <v>1.6854</v>
      </c>
      <c r="C2121" s="28">
        <v>2388121200</v>
      </c>
    </row>
    <row r="2122" spans="1:3" ht="15.5">
      <c r="A2122" s="29">
        <v>41467</v>
      </c>
      <c r="B2122" s="28">
        <v>1.6900999999999999</v>
      </c>
      <c r="C2122" s="28">
        <v>2394754870</v>
      </c>
    </row>
    <row r="2123" spans="1:3" ht="15.5">
      <c r="A2123" s="29">
        <v>41466</v>
      </c>
      <c r="B2123" s="28">
        <v>1.6714</v>
      </c>
      <c r="C2123" s="28">
        <v>2368220190</v>
      </c>
    </row>
    <row r="2124" spans="1:3" ht="15.5">
      <c r="A2124" s="29">
        <v>41465</v>
      </c>
      <c r="B2124" s="28">
        <v>1.6433</v>
      </c>
      <c r="C2124" s="28">
        <v>2328418170</v>
      </c>
    </row>
    <row r="2125" spans="1:3" ht="15.5">
      <c r="A2125" s="29">
        <v>41464</v>
      </c>
      <c r="B2125" s="28">
        <v>1.6573</v>
      </c>
      <c r="C2125" s="28">
        <v>2348319180</v>
      </c>
    </row>
    <row r="2126" spans="1:3" ht="15.5">
      <c r="A2126" s="29">
        <v>41463</v>
      </c>
      <c r="B2126" s="28">
        <v>1.6433</v>
      </c>
      <c r="C2126" s="28">
        <v>2328418170</v>
      </c>
    </row>
    <row r="2127" spans="1:3" ht="15.5">
      <c r="A2127" s="29">
        <v>41460</v>
      </c>
      <c r="B2127" s="28">
        <v>1.6527000000000001</v>
      </c>
      <c r="C2127" s="28">
        <v>2341685510</v>
      </c>
    </row>
    <row r="2128" spans="1:3" ht="15.5">
      <c r="A2128" s="29">
        <v>41459</v>
      </c>
      <c r="B2128" s="28">
        <v>1.6527000000000001</v>
      </c>
      <c r="C2128" s="28">
        <v>2341685510</v>
      </c>
    </row>
    <row r="2129" spans="1:3" ht="15.5">
      <c r="A2129" s="29">
        <v>41458</v>
      </c>
      <c r="B2129" s="28">
        <v>1.6433</v>
      </c>
      <c r="C2129" s="28">
        <v>2328418170</v>
      </c>
    </row>
    <row r="2130" spans="1:3" ht="15.5">
      <c r="A2130" s="29">
        <v>41457</v>
      </c>
      <c r="B2130" s="28">
        <v>1.6386000000000001</v>
      </c>
      <c r="C2130" s="28">
        <v>2321784500</v>
      </c>
    </row>
    <row r="2131" spans="1:3" ht="15.5">
      <c r="A2131" s="29">
        <v>41456</v>
      </c>
      <c r="B2131" s="28">
        <v>1.5965</v>
      </c>
      <c r="C2131" s="28">
        <v>2262081470</v>
      </c>
    </row>
    <row r="2132" spans="1:3" ht="15.5">
      <c r="A2132" s="29">
        <v>41453</v>
      </c>
      <c r="B2132" s="28">
        <v>1.6246</v>
      </c>
      <c r="C2132" s="28">
        <v>2301883490</v>
      </c>
    </row>
    <row r="2133" spans="1:3" ht="15.5">
      <c r="A2133" s="29">
        <v>41452</v>
      </c>
      <c r="B2133" s="28">
        <v>1.6433</v>
      </c>
      <c r="C2133" s="28">
        <v>2328418170</v>
      </c>
    </row>
    <row r="2134" spans="1:3" ht="15.5">
      <c r="A2134" s="29">
        <v>41451</v>
      </c>
      <c r="B2134" s="28">
        <v>1.5871</v>
      </c>
      <c r="C2134" s="28">
        <v>2248814130</v>
      </c>
    </row>
    <row r="2135" spans="1:3" ht="15.5">
      <c r="A2135" s="29">
        <v>41450</v>
      </c>
      <c r="B2135" s="28">
        <v>1.5637000000000001</v>
      </c>
      <c r="C2135" s="28">
        <v>2215645780</v>
      </c>
    </row>
    <row r="2136" spans="1:3" ht="15.5">
      <c r="A2136" s="29">
        <v>41449</v>
      </c>
      <c r="B2136" s="28">
        <v>1.5777000000000001</v>
      </c>
      <c r="C2136" s="28">
        <v>2235546790</v>
      </c>
    </row>
    <row r="2137" spans="1:3" ht="15.5">
      <c r="A2137" s="29">
        <v>41446</v>
      </c>
      <c r="B2137" s="28">
        <v>1.5965</v>
      </c>
      <c r="C2137" s="28">
        <v>2262081470</v>
      </c>
    </row>
    <row r="2138" spans="1:3" ht="15.5">
      <c r="A2138" s="29">
        <v>41445</v>
      </c>
      <c r="B2138" s="28">
        <v>1.5965</v>
      </c>
      <c r="C2138" s="28">
        <v>2262081470</v>
      </c>
    </row>
    <row r="2139" spans="1:3" ht="15.5">
      <c r="A2139" s="29">
        <v>41444</v>
      </c>
      <c r="B2139" s="28">
        <v>1.6198999999999999</v>
      </c>
      <c r="C2139" s="28">
        <v>2295249820</v>
      </c>
    </row>
    <row r="2140" spans="1:3" ht="15.5">
      <c r="A2140" s="29">
        <v>41443</v>
      </c>
      <c r="B2140" s="28">
        <v>1.5918000000000001</v>
      </c>
      <c r="C2140" s="28">
        <v>2255447800</v>
      </c>
    </row>
    <row r="2141" spans="1:3" ht="15.5">
      <c r="A2141" s="29">
        <v>41442</v>
      </c>
      <c r="B2141" s="28">
        <v>1.5824</v>
      </c>
      <c r="C2141" s="28">
        <v>2242180460</v>
      </c>
    </row>
    <row r="2142" spans="1:3" ht="15.5">
      <c r="A2142" s="29">
        <v>41439</v>
      </c>
      <c r="B2142" s="28">
        <v>1.5497000000000001</v>
      </c>
      <c r="C2142" s="28">
        <v>2195744770</v>
      </c>
    </row>
    <row r="2143" spans="1:3" ht="15.5">
      <c r="A2143" s="29">
        <v>41438</v>
      </c>
      <c r="B2143" s="28">
        <v>1.5589999999999999</v>
      </c>
      <c r="C2143" s="28">
        <v>2209012110</v>
      </c>
    </row>
    <row r="2144" spans="1:3" ht="15.5">
      <c r="A2144" s="29">
        <v>41437</v>
      </c>
      <c r="B2144" s="28">
        <v>1.5637000000000001</v>
      </c>
      <c r="C2144" s="28">
        <v>2215645780</v>
      </c>
    </row>
    <row r="2145" spans="1:3" ht="15.5">
      <c r="A2145" s="29">
        <v>41436</v>
      </c>
      <c r="B2145" s="28">
        <v>1.5589999999999999</v>
      </c>
      <c r="C2145" s="28">
        <v>2209012110</v>
      </c>
    </row>
    <row r="2146" spans="1:3" ht="15.5">
      <c r="A2146" s="29">
        <v>41432</v>
      </c>
      <c r="B2146" s="28">
        <v>1.5589999999999999</v>
      </c>
      <c r="C2146" s="28">
        <v>2209012110</v>
      </c>
    </row>
    <row r="2147" spans="1:3" ht="15.5">
      <c r="A2147" s="29">
        <v>41431</v>
      </c>
      <c r="B2147" s="28">
        <v>1.5684</v>
      </c>
      <c r="C2147" s="28">
        <v>2222279450</v>
      </c>
    </row>
    <row r="2148" spans="1:3" ht="15.5">
      <c r="A2148" s="29">
        <v>41430</v>
      </c>
      <c r="B2148" s="28">
        <v>1.5730999999999999</v>
      </c>
      <c r="C2148" s="28">
        <v>2228913120</v>
      </c>
    </row>
    <row r="2149" spans="1:3" ht="15.5">
      <c r="A2149" s="29">
        <v>41429</v>
      </c>
      <c r="B2149" s="28">
        <v>1.5918000000000001</v>
      </c>
      <c r="C2149" s="28">
        <v>2255447800</v>
      </c>
    </row>
    <row r="2150" spans="1:3" ht="15.5">
      <c r="A2150" s="29">
        <v>41428</v>
      </c>
      <c r="B2150" s="28">
        <v>1.6198999999999999</v>
      </c>
      <c r="C2150" s="28">
        <v>2295249820</v>
      </c>
    </row>
    <row r="2151" spans="1:3" ht="15.5">
      <c r="A2151" s="29">
        <v>41425</v>
      </c>
      <c r="B2151" s="28">
        <v>1.6386000000000001</v>
      </c>
      <c r="C2151" s="28">
        <v>2321784500</v>
      </c>
    </row>
    <row r="2152" spans="1:3" ht="15.5">
      <c r="A2152" s="29">
        <v>41424</v>
      </c>
      <c r="B2152" s="28">
        <v>1.6105</v>
      </c>
      <c r="C2152" s="28">
        <v>2281982480</v>
      </c>
    </row>
    <row r="2153" spans="1:3" ht="15.5">
      <c r="A2153" s="29">
        <v>41423</v>
      </c>
      <c r="B2153" s="28">
        <v>1.6198999999999999</v>
      </c>
      <c r="C2153" s="28">
        <v>2295249820</v>
      </c>
    </row>
    <row r="2154" spans="1:3" ht="15.5">
      <c r="A2154" s="29">
        <v>41422</v>
      </c>
      <c r="B2154" s="28">
        <v>1.6246</v>
      </c>
      <c r="C2154" s="28">
        <v>2301883490</v>
      </c>
    </row>
    <row r="2155" spans="1:3" ht="15.5">
      <c r="A2155" s="29">
        <v>41421</v>
      </c>
      <c r="B2155" s="28">
        <v>1.6479999999999999</v>
      </c>
      <c r="C2155" s="28">
        <v>2335051840</v>
      </c>
    </row>
    <row r="2156" spans="1:3" ht="15.5">
      <c r="A2156" s="29">
        <v>41418</v>
      </c>
      <c r="B2156" s="28">
        <v>1.7041999999999999</v>
      </c>
      <c r="C2156" s="28">
        <v>2414655880</v>
      </c>
    </row>
    <row r="2157" spans="1:3" ht="15.5">
      <c r="A2157" s="29">
        <v>41417</v>
      </c>
      <c r="B2157" s="28">
        <v>1.6807000000000001</v>
      </c>
      <c r="C2157" s="28">
        <v>2381487530</v>
      </c>
    </row>
    <row r="2158" spans="1:3" ht="15.5">
      <c r="A2158" s="29">
        <v>41416</v>
      </c>
      <c r="B2158" s="28">
        <v>1.7276</v>
      </c>
      <c r="C2158" s="28">
        <v>2447824230</v>
      </c>
    </row>
    <row r="2159" spans="1:3" ht="15.5">
      <c r="A2159" s="29">
        <v>41415</v>
      </c>
      <c r="B2159" s="28">
        <v>1.7229000000000001</v>
      </c>
      <c r="C2159" s="28">
        <v>2441190560</v>
      </c>
    </row>
    <row r="2160" spans="1:3" ht="15.5">
      <c r="A2160" s="29">
        <v>41414</v>
      </c>
      <c r="B2160" s="28">
        <v>1.7181999999999999</v>
      </c>
      <c r="C2160" s="28">
        <v>2434556890</v>
      </c>
    </row>
    <row r="2161" spans="1:3" ht="15.5">
      <c r="A2161" s="29">
        <v>41411</v>
      </c>
      <c r="B2161" s="28">
        <v>1.6807000000000001</v>
      </c>
      <c r="C2161" s="28">
        <v>2381487530</v>
      </c>
    </row>
    <row r="2162" spans="1:3" ht="15.5">
      <c r="A2162" s="29">
        <v>41410</v>
      </c>
      <c r="B2162" s="28">
        <v>1.6854</v>
      </c>
      <c r="C2162" s="28">
        <v>2388121200</v>
      </c>
    </row>
    <row r="2163" spans="1:3" ht="15.5">
      <c r="A2163" s="29">
        <v>41409</v>
      </c>
      <c r="B2163" s="28">
        <v>1.6995</v>
      </c>
      <c r="C2163" s="28">
        <v>2408022210</v>
      </c>
    </row>
    <row r="2164" spans="1:3" ht="15.5">
      <c r="A2164" s="29">
        <v>41408</v>
      </c>
      <c r="B2164" s="28">
        <v>1.6995</v>
      </c>
      <c r="C2164" s="28">
        <v>2408022210</v>
      </c>
    </row>
    <row r="2165" spans="1:3" ht="15.5">
      <c r="A2165" s="29">
        <v>41407</v>
      </c>
      <c r="B2165" s="28">
        <v>1.6995</v>
      </c>
      <c r="C2165" s="28">
        <v>2408022210</v>
      </c>
    </row>
    <row r="2166" spans="1:3" ht="15.5">
      <c r="A2166" s="29">
        <v>41404</v>
      </c>
      <c r="B2166" s="28">
        <v>1.7088000000000001</v>
      </c>
      <c r="C2166" s="28">
        <v>2421289550</v>
      </c>
    </row>
    <row r="2167" spans="1:3" ht="15.5">
      <c r="A2167" s="29">
        <v>41403</v>
      </c>
      <c r="B2167" s="28">
        <v>1.7135</v>
      </c>
      <c r="C2167" s="28">
        <v>2427923220</v>
      </c>
    </row>
    <row r="2168" spans="1:3" ht="15.5">
      <c r="A2168" s="29">
        <v>41402</v>
      </c>
      <c r="B2168" s="28">
        <v>1.7088000000000001</v>
      </c>
      <c r="C2168" s="28">
        <v>2421289550</v>
      </c>
    </row>
    <row r="2169" spans="1:3" ht="15.5">
      <c r="A2169" s="29">
        <v>41401</v>
      </c>
      <c r="B2169" s="28">
        <v>1.6948000000000001</v>
      </c>
      <c r="C2169" s="28">
        <v>2401388540</v>
      </c>
    </row>
    <row r="2170" spans="1:3" ht="15.5">
      <c r="A2170" s="29">
        <v>41400</v>
      </c>
      <c r="B2170" s="28">
        <v>1.6900999999999999</v>
      </c>
      <c r="C2170" s="28">
        <v>2394754870</v>
      </c>
    </row>
    <row r="2171" spans="1:3" ht="15.5">
      <c r="A2171" s="29">
        <v>41397</v>
      </c>
      <c r="B2171" s="28">
        <v>1.6948000000000001</v>
      </c>
      <c r="C2171" s="28">
        <v>2401388540</v>
      </c>
    </row>
    <row r="2172" spans="1:3" ht="15.5">
      <c r="A2172" s="29">
        <v>41396</v>
      </c>
      <c r="B2172" s="28">
        <v>1.6760999999999999</v>
      </c>
      <c r="C2172" s="28">
        <v>2374853860</v>
      </c>
    </row>
    <row r="2173" spans="1:3" ht="15.5">
      <c r="A2173" s="29">
        <v>41395</v>
      </c>
      <c r="B2173" s="28">
        <v>1.6807000000000001</v>
      </c>
      <c r="C2173" s="28">
        <v>2381487530</v>
      </c>
    </row>
    <row r="2174" spans="1:3" ht="15.5">
      <c r="A2174" s="29">
        <v>41394</v>
      </c>
      <c r="B2174" s="28">
        <v>1.6760999999999999</v>
      </c>
      <c r="C2174" s="28">
        <v>2374853860</v>
      </c>
    </row>
    <row r="2175" spans="1:3" ht="15.5">
      <c r="A2175" s="29">
        <v>41393</v>
      </c>
      <c r="B2175" s="28">
        <v>1.6900999999999999</v>
      </c>
      <c r="C2175" s="28">
        <v>2394754870</v>
      </c>
    </row>
    <row r="2176" spans="1:3" ht="15.5">
      <c r="A2176" s="29">
        <v>41390</v>
      </c>
      <c r="B2176" s="28">
        <v>1.7135</v>
      </c>
      <c r="C2176" s="28">
        <v>2427923220</v>
      </c>
    </row>
    <row r="2177" spans="1:3" ht="15.5">
      <c r="A2177" s="29">
        <v>41388</v>
      </c>
      <c r="B2177" s="28">
        <v>1.6900999999999999</v>
      </c>
      <c r="C2177" s="28">
        <v>2394754870</v>
      </c>
    </row>
    <row r="2178" spans="1:3" ht="15.5">
      <c r="A2178" s="29">
        <v>41387</v>
      </c>
      <c r="B2178" s="28">
        <v>1.6714</v>
      </c>
      <c r="C2178" s="28">
        <v>2368220190</v>
      </c>
    </row>
    <row r="2179" spans="1:3" ht="15.5">
      <c r="A2179" s="29">
        <v>41386</v>
      </c>
      <c r="B2179" s="28">
        <v>1.6619999999999999</v>
      </c>
      <c r="C2179" s="28">
        <v>2354952850</v>
      </c>
    </row>
    <row r="2180" spans="1:3" ht="15.5">
      <c r="A2180" s="29">
        <v>41383</v>
      </c>
      <c r="B2180" s="28">
        <v>1.6292</v>
      </c>
      <c r="C2180" s="28">
        <v>2308517160</v>
      </c>
    </row>
    <row r="2181" spans="1:3" ht="15.5">
      <c r="A2181" s="29">
        <v>41382</v>
      </c>
      <c r="B2181" s="28">
        <v>1.6152</v>
      </c>
      <c r="C2181" s="28">
        <v>2288616150</v>
      </c>
    </row>
    <row r="2182" spans="1:3" ht="15.5">
      <c r="A2182" s="29">
        <v>41381</v>
      </c>
      <c r="B2182" s="28">
        <v>1.6527000000000001</v>
      </c>
      <c r="C2182" s="28">
        <v>2341685510</v>
      </c>
    </row>
    <row r="2183" spans="1:3" ht="15.5">
      <c r="A2183" s="29">
        <v>41380</v>
      </c>
      <c r="B2183" s="28">
        <v>1.6527000000000001</v>
      </c>
      <c r="C2183" s="28">
        <v>2341685510</v>
      </c>
    </row>
    <row r="2184" spans="1:3" ht="15.5">
      <c r="A2184" s="29">
        <v>41379</v>
      </c>
      <c r="B2184" s="28">
        <v>1.6246</v>
      </c>
      <c r="C2184" s="28">
        <v>2301883490</v>
      </c>
    </row>
    <row r="2185" spans="1:3" ht="15.5">
      <c r="A2185" s="29">
        <v>41376</v>
      </c>
      <c r="B2185" s="28">
        <v>1.6105</v>
      </c>
      <c r="C2185" s="28">
        <v>2281982480</v>
      </c>
    </row>
    <row r="2186" spans="1:3" ht="15.5">
      <c r="A2186" s="29">
        <v>41375</v>
      </c>
      <c r="B2186" s="28">
        <v>1.6012</v>
      </c>
      <c r="C2186" s="28">
        <v>2268715140</v>
      </c>
    </row>
    <row r="2187" spans="1:3" ht="15.5">
      <c r="A2187" s="29">
        <v>41374</v>
      </c>
      <c r="B2187" s="28">
        <v>1.6012</v>
      </c>
      <c r="C2187" s="28">
        <v>2268715140</v>
      </c>
    </row>
    <row r="2188" spans="1:3" ht="15.5">
      <c r="A2188" s="29">
        <v>41373</v>
      </c>
      <c r="B2188" s="28">
        <v>1.6012</v>
      </c>
      <c r="C2188" s="28">
        <v>2268715140</v>
      </c>
    </row>
    <row r="2189" spans="1:3" ht="15.5">
      <c r="A2189" s="29">
        <v>41372</v>
      </c>
      <c r="B2189" s="28">
        <v>1.5684</v>
      </c>
      <c r="C2189" s="28">
        <v>2222279450</v>
      </c>
    </row>
    <row r="2190" spans="1:3" ht="15.5">
      <c r="A2190" s="29">
        <v>41369</v>
      </c>
      <c r="B2190" s="28">
        <v>1.5730999999999999</v>
      </c>
      <c r="C2190" s="28">
        <v>2228913120</v>
      </c>
    </row>
    <row r="2191" spans="1:3" ht="15.5">
      <c r="A2191" s="29">
        <v>41368</v>
      </c>
      <c r="B2191" s="28">
        <v>1.5871</v>
      </c>
      <c r="C2191" s="28">
        <v>2248814130</v>
      </c>
    </row>
    <row r="2192" spans="1:3" ht="15.5">
      <c r="A2192" s="29">
        <v>41367</v>
      </c>
      <c r="B2192" s="28">
        <v>1.5777000000000001</v>
      </c>
      <c r="C2192" s="28">
        <v>2235546790</v>
      </c>
    </row>
    <row r="2193" spans="1:3" ht="15.5">
      <c r="A2193" s="29">
        <v>41366</v>
      </c>
      <c r="B2193" s="28">
        <v>1.5824</v>
      </c>
      <c r="C2193" s="28">
        <v>2242180460</v>
      </c>
    </row>
    <row r="2194" spans="1:3" ht="15.5">
      <c r="A2194" s="29">
        <v>41361</v>
      </c>
      <c r="B2194" s="28">
        <v>1.5543</v>
      </c>
      <c r="C2194" s="28">
        <v>2202378440</v>
      </c>
    </row>
    <row r="2195" spans="1:3" ht="15.5">
      <c r="A2195" s="29">
        <v>41360</v>
      </c>
      <c r="B2195" s="28">
        <v>1.5637000000000001</v>
      </c>
      <c r="C2195" s="28">
        <v>2215645780</v>
      </c>
    </row>
    <row r="2196" spans="1:3" ht="15.5">
      <c r="A2196" s="29">
        <v>41359</v>
      </c>
      <c r="B2196" s="28">
        <v>1.5497000000000001</v>
      </c>
      <c r="C2196" s="28">
        <v>2195744770</v>
      </c>
    </row>
    <row r="2197" spans="1:3" ht="15.5">
      <c r="A2197" s="29">
        <v>41358</v>
      </c>
      <c r="B2197" s="28">
        <v>1.5589999999999999</v>
      </c>
      <c r="C2197" s="28">
        <v>2209012110</v>
      </c>
    </row>
    <row r="2198" spans="1:3" ht="15.5">
      <c r="A2198" s="29">
        <v>41355</v>
      </c>
      <c r="B2198" s="28">
        <v>1.5730999999999999</v>
      </c>
      <c r="C2198" s="28">
        <v>2228913120</v>
      </c>
    </row>
    <row r="2199" spans="1:3" ht="15.5">
      <c r="A2199" s="29">
        <v>41354</v>
      </c>
      <c r="B2199" s="28">
        <v>1.5589999999999999</v>
      </c>
      <c r="C2199" s="28">
        <v>2209012110</v>
      </c>
    </row>
    <row r="2200" spans="1:3" ht="15.5">
      <c r="A2200" s="29">
        <v>41353</v>
      </c>
      <c r="B2200" s="28">
        <v>1.5730999999999999</v>
      </c>
      <c r="C2200" s="28">
        <v>2228913120</v>
      </c>
    </row>
    <row r="2201" spans="1:3" ht="15.5">
      <c r="A2201" s="29">
        <v>41352</v>
      </c>
      <c r="B2201" s="28">
        <v>1.5449999999999999</v>
      </c>
      <c r="C2201" s="28">
        <v>2189111100</v>
      </c>
    </row>
    <row r="2202" spans="1:3" ht="15.5">
      <c r="A2202" s="29">
        <v>41351</v>
      </c>
      <c r="B2202" s="28">
        <v>1.5497000000000001</v>
      </c>
      <c r="C2202" s="28">
        <v>2195744770</v>
      </c>
    </row>
    <row r="2203" spans="1:3" ht="15.5">
      <c r="A2203" s="29">
        <v>41348</v>
      </c>
      <c r="B2203" s="28">
        <v>1.5637000000000001</v>
      </c>
      <c r="C2203" s="28">
        <v>2215645780</v>
      </c>
    </row>
    <row r="2204" spans="1:3" ht="15.5">
      <c r="A2204" s="29">
        <v>41347</v>
      </c>
      <c r="B2204" s="28">
        <v>1.4887999999999999</v>
      </c>
      <c r="C2204" s="28">
        <v>2109507060</v>
      </c>
    </row>
    <row r="2205" spans="1:3" ht="15.5">
      <c r="A2205" s="29">
        <v>41346</v>
      </c>
      <c r="B2205" s="28">
        <v>1.4982</v>
      </c>
      <c r="C2205" s="28">
        <v>2122774400</v>
      </c>
    </row>
    <row r="2206" spans="1:3" ht="15.5">
      <c r="A2206" s="29">
        <v>41345</v>
      </c>
      <c r="B2206" s="28">
        <v>1.4982</v>
      </c>
      <c r="C2206" s="28">
        <v>2122774400</v>
      </c>
    </row>
    <row r="2207" spans="1:3" ht="15.5">
      <c r="A2207" s="29">
        <v>41344</v>
      </c>
      <c r="B2207" s="28">
        <v>1.5168999999999999</v>
      </c>
      <c r="C2207" s="28">
        <v>2149309080</v>
      </c>
    </row>
    <row r="2208" spans="1:3" ht="15.5">
      <c r="A2208" s="29">
        <v>41341</v>
      </c>
      <c r="B2208" s="28">
        <v>1.5122</v>
      </c>
      <c r="C2208" s="28">
        <v>2142675410</v>
      </c>
    </row>
    <row r="2209" spans="1:3" ht="15.5">
      <c r="A2209" s="29">
        <v>41340</v>
      </c>
      <c r="B2209" s="28">
        <v>1.5075000000000001</v>
      </c>
      <c r="C2209" s="28">
        <v>2136041740</v>
      </c>
    </row>
    <row r="2210" spans="1:3" ht="15.5">
      <c r="A2210" s="29">
        <v>41339</v>
      </c>
      <c r="B2210" s="28">
        <v>1.5027999999999999</v>
      </c>
      <c r="C2210" s="28">
        <v>2129408070</v>
      </c>
    </row>
    <row r="2211" spans="1:3" ht="15.5">
      <c r="A2211" s="29">
        <v>41338</v>
      </c>
      <c r="B2211" s="28">
        <v>1.4982</v>
      </c>
      <c r="C2211" s="28">
        <v>2122774400</v>
      </c>
    </row>
    <row r="2212" spans="1:3" ht="15.5">
      <c r="A2212" s="29">
        <v>41337</v>
      </c>
      <c r="B2212" s="28">
        <v>1.5075000000000001</v>
      </c>
      <c r="C2212" s="28">
        <v>2136041740</v>
      </c>
    </row>
    <row r="2213" spans="1:3" ht="15.5">
      <c r="A2213" s="29">
        <v>41334</v>
      </c>
      <c r="B2213" s="28">
        <v>1.4935</v>
      </c>
      <c r="C2213" s="28">
        <v>2116140730</v>
      </c>
    </row>
    <row r="2214" spans="1:3" ht="15.5">
      <c r="A2214" s="29">
        <v>41333</v>
      </c>
      <c r="B2214" s="28">
        <v>1.5356000000000001</v>
      </c>
      <c r="C2214" s="28">
        <v>2175843760</v>
      </c>
    </row>
    <row r="2215" spans="1:3" ht="15.5">
      <c r="A2215" s="29">
        <v>41332</v>
      </c>
      <c r="B2215" s="28">
        <v>1.5684</v>
      </c>
      <c r="C2215" s="28">
        <v>2222279450</v>
      </c>
    </row>
    <row r="2216" spans="1:3" ht="15.5">
      <c r="A2216" s="29">
        <v>41331</v>
      </c>
      <c r="B2216" s="28">
        <v>1.5543</v>
      </c>
      <c r="C2216" s="28">
        <v>2202378440</v>
      </c>
    </row>
    <row r="2217" spans="1:3" ht="15.5">
      <c r="A2217" s="29">
        <v>41330</v>
      </c>
      <c r="B2217" s="28">
        <v>1.5449999999999999</v>
      </c>
      <c r="C2217" s="28">
        <v>2189111100</v>
      </c>
    </row>
    <row r="2218" spans="1:3" ht="15.5">
      <c r="A2218" s="29">
        <v>41327</v>
      </c>
      <c r="B2218" s="28">
        <v>1.5356000000000001</v>
      </c>
      <c r="C2218" s="28">
        <v>2175843760</v>
      </c>
    </row>
    <row r="2219" spans="1:3" ht="15.5">
      <c r="A2219" s="29">
        <v>41326</v>
      </c>
      <c r="B2219" s="28">
        <v>1.5730999999999999</v>
      </c>
      <c r="C2219" s="28">
        <v>2228913120</v>
      </c>
    </row>
    <row r="2220" spans="1:3" ht="15.5">
      <c r="A2220" s="29">
        <v>41325</v>
      </c>
      <c r="B2220" s="28">
        <v>1.5497000000000001</v>
      </c>
      <c r="C2220" s="28">
        <v>2195744770</v>
      </c>
    </row>
    <row r="2221" spans="1:3" ht="15.5">
      <c r="A2221" s="29">
        <v>41324</v>
      </c>
      <c r="B2221" s="28">
        <v>1.5871</v>
      </c>
      <c r="C2221" s="28">
        <v>2248814130</v>
      </c>
    </row>
    <row r="2222" spans="1:3" ht="15.5">
      <c r="A2222" s="29">
        <v>41323</v>
      </c>
      <c r="B2222" s="28">
        <v>1.5824</v>
      </c>
      <c r="C2222" s="28">
        <v>2242180460</v>
      </c>
    </row>
    <row r="2223" spans="1:3" ht="15.5">
      <c r="A2223" s="29">
        <v>41320</v>
      </c>
      <c r="B2223" s="28">
        <v>1.5637000000000001</v>
      </c>
      <c r="C2223" s="28">
        <v>2215645780</v>
      </c>
    </row>
    <row r="2224" spans="1:3" ht="15.5">
      <c r="A2224" s="29">
        <v>41319</v>
      </c>
      <c r="B2224" s="28">
        <v>1.5356000000000001</v>
      </c>
      <c r="C2224" s="28">
        <v>2175843760</v>
      </c>
    </row>
    <row r="2225" spans="1:3" ht="15.5">
      <c r="A2225" s="29">
        <v>41318</v>
      </c>
      <c r="B2225" s="28">
        <v>1.5356000000000001</v>
      </c>
      <c r="C2225" s="28">
        <v>2175843760</v>
      </c>
    </row>
    <row r="2226" spans="1:3" ht="15.5">
      <c r="A2226" s="29">
        <v>41317</v>
      </c>
      <c r="B2226" s="28">
        <v>1.5684</v>
      </c>
      <c r="C2226" s="28">
        <v>2222279450</v>
      </c>
    </row>
    <row r="2227" spans="1:3" ht="15.5">
      <c r="A2227" s="29">
        <v>41316</v>
      </c>
      <c r="B2227" s="28">
        <v>1.5730999999999999</v>
      </c>
      <c r="C2227" s="28">
        <v>2228913120</v>
      </c>
    </row>
    <row r="2228" spans="1:3" ht="15.5">
      <c r="A2228" s="29">
        <v>41313</v>
      </c>
      <c r="B2228" s="28">
        <v>1.5637000000000001</v>
      </c>
      <c r="C2228" s="28">
        <v>2215645780</v>
      </c>
    </row>
    <row r="2229" spans="1:3" ht="15.5">
      <c r="A2229" s="29">
        <v>41312</v>
      </c>
      <c r="B2229" s="28">
        <v>1.5824</v>
      </c>
      <c r="C2229" s="28">
        <v>2242180460</v>
      </c>
    </row>
    <row r="2230" spans="1:3" ht="15.5">
      <c r="A2230" s="29">
        <v>41311</v>
      </c>
      <c r="B2230" s="28">
        <v>1.5918000000000001</v>
      </c>
      <c r="C2230" s="28">
        <v>2255447800</v>
      </c>
    </row>
    <row r="2231" spans="1:3" ht="15.5">
      <c r="A2231" s="29">
        <v>41310</v>
      </c>
      <c r="B2231" s="28">
        <v>1.5965</v>
      </c>
      <c r="C2231" s="28">
        <v>2262081470</v>
      </c>
    </row>
    <row r="2232" spans="1:3" ht="15.5">
      <c r="A2232" s="29">
        <v>41309</v>
      </c>
      <c r="B2232" s="28">
        <v>1.6057999999999999</v>
      </c>
      <c r="C2232" s="28">
        <v>2275348810</v>
      </c>
    </row>
    <row r="2233" spans="1:3" ht="15.5">
      <c r="A2233" s="29">
        <v>41306</v>
      </c>
      <c r="B2233" s="28">
        <v>1.6152</v>
      </c>
      <c r="C2233" s="28">
        <v>2288616150</v>
      </c>
    </row>
    <row r="2234" spans="1:3" ht="15.5">
      <c r="A2234" s="29">
        <v>41305</v>
      </c>
      <c r="B2234" s="28">
        <v>1.6433</v>
      </c>
      <c r="C2234" s="28">
        <v>2328418170</v>
      </c>
    </row>
    <row r="2235" spans="1:3" ht="15.5">
      <c r="A2235" s="29">
        <v>41304</v>
      </c>
      <c r="B2235" s="28">
        <v>1.6386000000000001</v>
      </c>
      <c r="C2235" s="28">
        <v>2321784500</v>
      </c>
    </row>
    <row r="2236" spans="1:3" ht="15.5">
      <c r="A2236" s="29">
        <v>41303</v>
      </c>
      <c r="B2236" s="28">
        <v>1.6479999999999999</v>
      </c>
      <c r="C2236" s="28">
        <v>2335051840</v>
      </c>
    </row>
    <row r="2237" spans="1:3" ht="15.5">
      <c r="A2237" s="29">
        <v>41299</v>
      </c>
      <c r="B2237" s="28">
        <v>1.6152</v>
      </c>
      <c r="C2237" s="28">
        <v>2288616150</v>
      </c>
    </row>
    <row r="2238" spans="1:3" ht="15.5">
      <c r="A2238" s="29">
        <v>41298</v>
      </c>
      <c r="B2238" s="28">
        <v>1.6292</v>
      </c>
      <c r="C2238" s="28">
        <v>2308517160</v>
      </c>
    </row>
    <row r="2239" spans="1:3" ht="15.5">
      <c r="A2239" s="29">
        <v>41297</v>
      </c>
      <c r="B2239" s="28">
        <v>1.6292</v>
      </c>
      <c r="C2239" s="28">
        <v>2308517160</v>
      </c>
    </row>
    <row r="2240" spans="1:3" ht="15.5">
      <c r="A2240" s="29">
        <v>41296</v>
      </c>
      <c r="B2240" s="28">
        <v>1.6527000000000001</v>
      </c>
      <c r="C2240" s="28">
        <v>2341685510</v>
      </c>
    </row>
    <row r="2241" spans="1:3" ht="15.5">
      <c r="A2241" s="29">
        <v>41295</v>
      </c>
      <c r="B2241" s="28">
        <v>1.6479999999999999</v>
      </c>
      <c r="C2241" s="28">
        <v>2335051840</v>
      </c>
    </row>
    <row r="2242" spans="1:3" ht="15.5">
      <c r="A2242" s="29">
        <v>41292</v>
      </c>
      <c r="B2242" s="28">
        <v>1.6433</v>
      </c>
      <c r="C2242" s="28">
        <v>2328418170</v>
      </c>
    </row>
    <row r="2243" spans="1:3" ht="15.5">
      <c r="A2243" s="29">
        <v>41291</v>
      </c>
      <c r="B2243" s="28">
        <v>1.6479999999999999</v>
      </c>
      <c r="C2243" s="28">
        <v>2335051840</v>
      </c>
    </row>
    <row r="2244" spans="1:3" ht="15.5">
      <c r="A2244" s="29">
        <v>41290</v>
      </c>
      <c r="B2244" s="28">
        <v>1.6527000000000001</v>
      </c>
      <c r="C2244" s="28">
        <v>2341685510</v>
      </c>
    </row>
    <row r="2245" spans="1:3" ht="15.5">
      <c r="A2245" s="29">
        <v>41289</v>
      </c>
      <c r="B2245" s="28">
        <v>1.6386000000000001</v>
      </c>
      <c r="C2245" s="28">
        <v>2321784500</v>
      </c>
    </row>
    <row r="2246" spans="1:3" ht="15.5">
      <c r="A2246" s="29">
        <v>41288</v>
      </c>
      <c r="B2246" s="28">
        <v>1.6433</v>
      </c>
      <c r="C2246" s="28">
        <v>2328418170</v>
      </c>
    </row>
    <row r="2247" spans="1:3" ht="15.5">
      <c r="A2247" s="29">
        <v>41285</v>
      </c>
      <c r="B2247" s="28">
        <v>1.6012</v>
      </c>
      <c r="C2247" s="28">
        <v>2268715140</v>
      </c>
    </row>
    <row r="2248" spans="1:3" ht="15.5">
      <c r="A2248" s="29">
        <v>41284</v>
      </c>
      <c r="B2248" s="28">
        <v>1.6152</v>
      </c>
      <c r="C2248" s="28">
        <v>2288616150</v>
      </c>
    </row>
    <row r="2249" spans="1:3" ht="15.5">
      <c r="A2249" s="29">
        <v>41283</v>
      </c>
      <c r="B2249" s="28">
        <v>1.5918000000000001</v>
      </c>
      <c r="C2249" s="28">
        <v>2255447800</v>
      </c>
    </row>
    <row r="2250" spans="1:3" ht="15.5">
      <c r="A2250" s="29">
        <v>41282</v>
      </c>
      <c r="B2250" s="28">
        <v>1.5871</v>
      </c>
      <c r="C2250" s="28">
        <v>2248814130</v>
      </c>
    </row>
    <row r="2251" spans="1:3" ht="15.5">
      <c r="A2251" s="29">
        <v>41281</v>
      </c>
      <c r="B2251" s="28">
        <v>1.5824</v>
      </c>
      <c r="C2251" s="28">
        <v>2242180460</v>
      </c>
    </row>
    <row r="2252" spans="1:3" ht="15.5">
      <c r="A2252" s="29">
        <v>41278</v>
      </c>
      <c r="B2252" s="28">
        <v>1.5965</v>
      </c>
      <c r="C2252" s="28">
        <v>2262081470</v>
      </c>
    </row>
    <row r="2253" spans="1:3" ht="15.5">
      <c r="A2253" s="29">
        <v>41277</v>
      </c>
      <c r="B2253" s="28">
        <v>1.5918000000000001</v>
      </c>
      <c r="C2253" s="28">
        <v>2255447800</v>
      </c>
    </row>
    <row r="2254" spans="1:3" ht="15.5">
      <c r="A2254" s="29">
        <v>41276</v>
      </c>
      <c r="B2254" s="28">
        <v>1.5730999999999999</v>
      </c>
      <c r="C2254" s="28">
        <v>2228913120</v>
      </c>
    </row>
    <row r="2255" spans="1:3" ht="15.5">
      <c r="A2255" s="29">
        <v>41274</v>
      </c>
      <c r="B2255" s="28">
        <v>1.5637000000000001</v>
      </c>
      <c r="C2255" s="28">
        <v>2215645780</v>
      </c>
    </row>
    <row r="2256" spans="1:3" ht="15.5">
      <c r="A2256" s="29">
        <v>41271</v>
      </c>
      <c r="B2256" s="28">
        <v>1.5871</v>
      </c>
      <c r="C2256" s="28">
        <v>2248814130</v>
      </c>
    </row>
    <row r="2257" spans="1:3" ht="15.5">
      <c r="A2257" s="29">
        <v>41270</v>
      </c>
      <c r="B2257" s="28">
        <v>1.6057999999999999</v>
      </c>
      <c r="C2257" s="28">
        <v>2275348810</v>
      </c>
    </row>
    <row r="2258" spans="1:3" ht="15.5">
      <c r="A2258" s="29">
        <v>41267</v>
      </c>
      <c r="B2258" s="28">
        <v>1.6057999999999999</v>
      </c>
      <c r="C2258" s="28">
        <v>2275348810</v>
      </c>
    </row>
    <row r="2259" spans="1:3" ht="15.5">
      <c r="A2259" s="29">
        <v>41264</v>
      </c>
      <c r="B2259" s="28">
        <v>1.5777000000000001</v>
      </c>
      <c r="C2259" s="28">
        <v>2235546790</v>
      </c>
    </row>
    <row r="2260" spans="1:3" ht="15.5">
      <c r="A2260" s="29">
        <v>41263</v>
      </c>
      <c r="B2260" s="28">
        <v>1.6152</v>
      </c>
      <c r="C2260" s="28">
        <v>2288616150</v>
      </c>
    </row>
    <row r="2261" spans="1:3" ht="15.5">
      <c r="A2261" s="29">
        <v>41262</v>
      </c>
      <c r="B2261" s="28">
        <v>1.5965</v>
      </c>
      <c r="C2261" s="28">
        <v>2262081470</v>
      </c>
    </row>
    <row r="2262" spans="1:3" ht="15.5">
      <c r="A2262" s="29">
        <v>41261</v>
      </c>
      <c r="B2262" s="28">
        <v>1.5637000000000001</v>
      </c>
      <c r="C2262" s="28">
        <v>2215645780</v>
      </c>
    </row>
    <row r="2263" spans="1:3" ht="15.5">
      <c r="A2263" s="29">
        <v>41260</v>
      </c>
      <c r="B2263" s="28">
        <v>1.5308999999999999</v>
      </c>
      <c r="C2263" s="28">
        <v>2169210090</v>
      </c>
    </row>
    <row r="2264" spans="1:3" ht="15.5">
      <c r="A2264" s="29">
        <v>41257</v>
      </c>
      <c r="B2264" s="28">
        <v>1.5497000000000001</v>
      </c>
      <c r="C2264" s="28">
        <v>2195744770</v>
      </c>
    </row>
    <row r="2265" spans="1:3" ht="15.5">
      <c r="A2265" s="29">
        <v>41256</v>
      </c>
      <c r="B2265" s="28">
        <v>1.5777000000000001</v>
      </c>
      <c r="C2265" s="28">
        <v>2235546790</v>
      </c>
    </row>
    <row r="2266" spans="1:3" ht="15.5">
      <c r="A2266" s="29">
        <v>41255</v>
      </c>
      <c r="B2266" s="28">
        <v>1.5777000000000001</v>
      </c>
      <c r="C2266" s="28">
        <v>2235546790</v>
      </c>
    </row>
    <row r="2267" spans="1:3" ht="15.5">
      <c r="A2267" s="29">
        <v>41254</v>
      </c>
      <c r="B2267" s="28">
        <v>1.5824</v>
      </c>
      <c r="C2267" s="28">
        <v>2242180460</v>
      </c>
    </row>
    <row r="2268" spans="1:3" ht="15.5">
      <c r="A2268" s="29">
        <v>41253</v>
      </c>
      <c r="B2268" s="28">
        <v>1.5497000000000001</v>
      </c>
      <c r="C2268" s="28">
        <v>2195744770</v>
      </c>
    </row>
    <row r="2269" spans="1:3" ht="15.5">
      <c r="A2269" s="29">
        <v>41250</v>
      </c>
      <c r="B2269" s="28">
        <v>1.5449999999999999</v>
      </c>
      <c r="C2269" s="28">
        <v>2189111100</v>
      </c>
    </row>
    <row r="2270" spans="1:3" ht="15.5">
      <c r="A2270" s="29">
        <v>41249</v>
      </c>
      <c r="B2270" s="28">
        <v>1.5356000000000001</v>
      </c>
      <c r="C2270" s="28">
        <v>2175843760</v>
      </c>
    </row>
    <row r="2271" spans="1:3" ht="15.5">
      <c r="A2271" s="29">
        <v>41248</v>
      </c>
      <c r="B2271" s="28">
        <v>1.5027999999999999</v>
      </c>
      <c r="C2271" s="28">
        <v>2129408070</v>
      </c>
    </row>
    <row r="2272" spans="1:3" ht="15.5">
      <c r="A2272" s="29">
        <v>41247</v>
      </c>
      <c r="B2272" s="28">
        <v>1.4982</v>
      </c>
      <c r="C2272" s="28">
        <v>2122774400</v>
      </c>
    </row>
    <row r="2273" spans="1:3" ht="15.5">
      <c r="A2273" s="29">
        <v>41246</v>
      </c>
      <c r="B2273" s="28">
        <v>1.5403</v>
      </c>
      <c r="C2273" s="28">
        <v>2182477430</v>
      </c>
    </row>
    <row r="2274" spans="1:3" ht="15.5">
      <c r="A2274" s="29">
        <v>41243</v>
      </c>
      <c r="B2274" s="28">
        <v>1.5308999999999999</v>
      </c>
      <c r="C2274" s="28">
        <v>2169210090</v>
      </c>
    </row>
    <row r="2275" spans="1:3" ht="15.5">
      <c r="A2275" s="29">
        <v>41242</v>
      </c>
      <c r="B2275" s="28">
        <v>1.5027999999999999</v>
      </c>
      <c r="C2275" s="28">
        <v>2129408070</v>
      </c>
    </row>
    <row r="2276" spans="1:3" ht="15.5">
      <c r="A2276" s="29">
        <v>41241</v>
      </c>
      <c r="B2276" s="28">
        <v>1.5027999999999999</v>
      </c>
      <c r="C2276" s="28">
        <v>2129408070</v>
      </c>
    </row>
    <row r="2277" spans="1:3" ht="15.5">
      <c r="A2277" s="29">
        <v>41240</v>
      </c>
      <c r="B2277" s="28">
        <v>1.5027999999999999</v>
      </c>
      <c r="C2277" s="28">
        <v>2129408070</v>
      </c>
    </row>
    <row r="2278" spans="1:3" ht="15.5">
      <c r="A2278" s="29">
        <v>41239</v>
      </c>
      <c r="B2278" s="28">
        <v>1.5075000000000001</v>
      </c>
      <c r="C2278" s="28">
        <v>2136041740</v>
      </c>
    </row>
    <row r="2279" spans="1:3" ht="15.5">
      <c r="A2279" s="29">
        <v>41236</v>
      </c>
      <c r="B2279" s="28">
        <v>1.5168999999999999</v>
      </c>
      <c r="C2279" s="28">
        <v>2149309080</v>
      </c>
    </row>
    <row r="2280" spans="1:3" ht="15.5">
      <c r="A2280" s="29">
        <v>41235</v>
      </c>
      <c r="B2280" s="28">
        <v>1.5075000000000001</v>
      </c>
      <c r="C2280" s="28">
        <v>2136041740</v>
      </c>
    </row>
    <row r="2281" spans="1:3" ht="15.5">
      <c r="A2281" s="29">
        <v>41234</v>
      </c>
      <c r="B2281" s="28">
        <v>1.5027999999999999</v>
      </c>
      <c r="C2281" s="28">
        <v>2129408070</v>
      </c>
    </row>
    <row r="2282" spans="1:3" ht="15.5">
      <c r="A2282" s="29">
        <v>41233</v>
      </c>
      <c r="B2282" s="28">
        <v>1.5122</v>
      </c>
      <c r="C2282" s="28">
        <v>2142675410</v>
      </c>
    </row>
    <row r="2283" spans="1:3" ht="15.5">
      <c r="A2283" s="29">
        <v>41232</v>
      </c>
      <c r="B2283" s="28">
        <v>1.5075000000000001</v>
      </c>
      <c r="C2283" s="28">
        <v>2136041740</v>
      </c>
    </row>
    <row r="2284" spans="1:3" ht="15.5">
      <c r="A2284" s="29">
        <v>41229</v>
      </c>
      <c r="B2284" s="28">
        <v>1.5168999999999999</v>
      </c>
      <c r="C2284" s="28">
        <v>2149309080</v>
      </c>
    </row>
    <row r="2285" spans="1:3" ht="15.5">
      <c r="A2285" s="29">
        <v>41228</v>
      </c>
      <c r="B2285" s="28">
        <v>1.5075000000000001</v>
      </c>
      <c r="C2285" s="28">
        <v>2136041740</v>
      </c>
    </row>
    <row r="2286" spans="1:3" ht="15.5">
      <c r="A2286" s="29">
        <v>41227</v>
      </c>
      <c r="B2286" s="28">
        <v>1.5449999999999999</v>
      </c>
      <c r="C2286" s="28">
        <v>2189111100</v>
      </c>
    </row>
    <row r="2287" spans="1:3" ht="15.5">
      <c r="A2287" s="29">
        <v>41226</v>
      </c>
      <c r="B2287" s="28">
        <v>1.5075000000000001</v>
      </c>
      <c r="C2287" s="28">
        <v>2136041740</v>
      </c>
    </row>
    <row r="2288" spans="1:3" ht="15.5">
      <c r="A2288" s="29">
        <v>41225</v>
      </c>
      <c r="B2288" s="28">
        <v>1.5449999999999999</v>
      </c>
      <c r="C2288" s="28">
        <v>2189111100</v>
      </c>
    </row>
    <row r="2289" spans="1:3" ht="15.5">
      <c r="A2289" s="29">
        <v>41222</v>
      </c>
      <c r="B2289" s="28">
        <v>1.5543</v>
      </c>
      <c r="C2289" s="28">
        <v>2202378440</v>
      </c>
    </row>
    <row r="2290" spans="1:3" ht="15.5">
      <c r="A2290" s="29">
        <v>41221</v>
      </c>
      <c r="B2290" s="28">
        <v>1.5543</v>
      </c>
      <c r="C2290" s="28">
        <v>2202378440</v>
      </c>
    </row>
    <row r="2291" spans="1:3" ht="15.5">
      <c r="A2291" s="29">
        <v>41220</v>
      </c>
      <c r="B2291" s="28">
        <v>1.5730999999999999</v>
      </c>
      <c r="C2291" s="28">
        <v>2228913120</v>
      </c>
    </row>
    <row r="2292" spans="1:3" ht="15.5">
      <c r="A2292" s="29">
        <v>41219</v>
      </c>
      <c r="B2292" s="28">
        <v>1.5589999999999999</v>
      </c>
      <c r="C2292" s="28">
        <v>2209012110</v>
      </c>
    </row>
    <row r="2293" spans="1:3" ht="15.5">
      <c r="A2293" s="29">
        <v>41218</v>
      </c>
      <c r="B2293" s="28">
        <v>1.5497000000000001</v>
      </c>
      <c r="C2293" s="28">
        <v>2195744770</v>
      </c>
    </row>
    <row r="2294" spans="1:3" ht="15.5">
      <c r="A2294" s="29">
        <v>41215</v>
      </c>
      <c r="B2294" s="28">
        <v>1.5497000000000001</v>
      </c>
      <c r="C2294" s="28">
        <v>2195744770</v>
      </c>
    </row>
    <row r="2295" spans="1:3" ht="15.5">
      <c r="A2295" s="29">
        <v>41214</v>
      </c>
      <c r="B2295" s="28">
        <v>1.5497000000000001</v>
      </c>
      <c r="C2295" s="28">
        <v>2195744770</v>
      </c>
    </row>
    <row r="2296" spans="1:3" ht="15.5">
      <c r="A2296" s="29">
        <v>41213</v>
      </c>
      <c r="B2296" s="28">
        <v>1.5824</v>
      </c>
      <c r="C2296" s="28">
        <v>2242180460</v>
      </c>
    </row>
    <row r="2297" spans="1:3" ht="15.5">
      <c r="A2297" s="29">
        <v>41212</v>
      </c>
      <c r="B2297" s="28">
        <v>1.5497000000000001</v>
      </c>
      <c r="C2297" s="28">
        <v>2195744770</v>
      </c>
    </row>
    <row r="2298" spans="1:3" ht="15.5">
      <c r="A2298" s="29">
        <v>41211</v>
      </c>
      <c r="B2298" s="28">
        <v>1.5262</v>
      </c>
      <c r="C2298" s="28">
        <v>2162576420</v>
      </c>
    </row>
    <row r="2299" spans="1:3" ht="15.5">
      <c r="A2299" s="29">
        <v>41208</v>
      </c>
      <c r="B2299" s="28">
        <v>1.5027999999999999</v>
      </c>
      <c r="C2299" s="28">
        <v>2129408070</v>
      </c>
    </row>
    <row r="2300" spans="1:3" ht="15.5">
      <c r="A2300" s="29">
        <v>41207</v>
      </c>
      <c r="B2300" s="28">
        <v>1.5262</v>
      </c>
      <c r="C2300" s="28">
        <v>2162576420</v>
      </c>
    </row>
    <row r="2301" spans="1:3" ht="15.5">
      <c r="A2301" s="29">
        <v>41206</v>
      </c>
      <c r="B2301" s="28">
        <v>1.5168999999999999</v>
      </c>
      <c r="C2301" s="28">
        <v>2149309080</v>
      </c>
    </row>
    <row r="2302" spans="1:3" ht="15.5">
      <c r="A2302" s="29">
        <v>41205</v>
      </c>
      <c r="B2302" s="28">
        <v>1.5168999999999999</v>
      </c>
      <c r="C2302" s="28">
        <v>2149309080</v>
      </c>
    </row>
    <row r="2303" spans="1:3" ht="15.5">
      <c r="A2303" s="29">
        <v>41204</v>
      </c>
      <c r="B2303" s="28">
        <v>1.5356000000000001</v>
      </c>
      <c r="C2303" s="28">
        <v>2175843760</v>
      </c>
    </row>
    <row r="2304" spans="1:3" ht="15.5">
      <c r="A2304" s="29">
        <v>41201</v>
      </c>
      <c r="B2304" s="28">
        <v>1.5730999999999999</v>
      </c>
      <c r="C2304" s="28">
        <v>2228913120</v>
      </c>
    </row>
    <row r="2305" spans="1:3" ht="15.5">
      <c r="A2305" s="29">
        <v>41200</v>
      </c>
      <c r="B2305" s="28">
        <v>1.5543</v>
      </c>
      <c r="C2305" s="28">
        <v>2202378440</v>
      </c>
    </row>
    <row r="2306" spans="1:3" ht="15.5">
      <c r="A2306" s="29">
        <v>41199</v>
      </c>
      <c r="B2306" s="28">
        <v>1.6057999999999999</v>
      </c>
      <c r="C2306" s="28">
        <v>2275348810</v>
      </c>
    </row>
    <row r="2307" spans="1:3" ht="15.5">
      <c r="A2307" s="29">
        <v>41198</v>
      </c>
      <c r="B2307" s="28">
        <v>1.6105</v>
      </c>
      <c r="C2307" s="28">
        <v>2281982480</v>
      </c>
    </row>
    <row r="2308" spans="1:3" ht="15.5">
      <c r="A2308" s="29">
        <v>41197</v>
      </c>
      <c r="B2308" s="28">
        <v>1.6012</v>
      </c>
      <c r="C2308" s="28">
        <v>2268715140</v>
      </c>
    </row>
    <row r="2309" spans="1:3" ht="15.5">
      <c r="A2309" s="29">
        <v>41194</v>
      </c>
      <c r="B2309" s="28">
        <v>1.6105</v>
      </c>
      <c r="C2309" s="28">
        <v>2281982480</v>
      </c>
    </row>
    <row r="2310" spans="1:3" ht="15.5">
      <c r="A2310" s="29">
        <v>41193</v>
      </c>
      <c r="B2310" s="28">
        <v>1.6105</v>
      </c>
      <c r="C2310" s="28">
        <v>2281982480</v>
      </c>
    </row>
    <row r="2311" spans="1:3" ht="15.5">
      <c r="A2311" s="29">
        <v>41192</v>
      </c>
      <c r="B2311" s="28">
        <v>1.5637000000000001</v>
      </c>
      <c r="C2311" s="28">
        <v>2215645780</v>
      </c>
    </row>
    <row r="2312" spans="1:3" ht="15.5">
      <c r="A2312" s="29">
        <v>41191</v>
      </c>
      <c r="B2312" s="28">
        <v>1.5637000000000001</v>
      </c>
      <c r="C2312" s="28">
        <v>2215645780</v>
      </c>
    </row>
    <row r="2313" spans="1:3" ht="15.5">
      <c r="A2313" s="29">
        <v>41190</v>
      </c>
      <c r="B2313" s="28">
        <v>1.5216000000000001</v>
      </c>
      <c r="C2313" s="28">
        <v>2155942750</v>
      </c>
    </row>
    <row r="2314" spans="1:3" ht="15.5">
      <c r="A2314" s="29">
        <v>41187</v>
      </c>
      <c r="B2314" s="28">
        <v>1.5777000000000001</v>
      </c>
      <c r="C2314" s="28">
        <v>2235546790</v>
      </c>
    </row>
    <row r="2315" spans="1:3" ht="15.5">
      <c r="A2315" s="29">
        <v>41186</v>
      </c>
      <c r="B2315" s="28">
        <v>1.5543</v>
      </c>
      <c r="C2315" s="28">
        <v>2202378440</v>
      </c>
    </row>
    <row r="2316" spans="1:3" ht="15.5">
      <c r="A2316" s="29">
        <v>41185</v>
      </c>
      <c r="B2316" s="28">
        <v>1.5403</v>
      </c>
      <c r="C2316" s="28">
        <v>2182477430</v>
      </c>
    </row>
    <row r="2317" spans="1:3" ht="15.5">
      <c r="A2317" s="29">
        <v>41184</v>
      </c>
      <c r="B2317" s="28">
        <v>1.5637000000000001</v>
      </c>
      <c r="C2317" s="28">
        <v>2215645780</v>
      </c>
    </row>
    <row r="2318" spans="1:3" ht="15.5">
      <c r="A2318" s="29">
        <v>41183</v>
      </c>
      <c r="B2318" s="28">
        <v>1.5403</v>
      </c>
      <c r="C2318" s="28">
        <v>2182477430</v>
      </c>
    </row>
    <row r="2319" spans="1:3" ht="15.5">
      <c r="A2319" s="29">
        <v>41180</v>
      </c>
      <c r="B2319" s="28">
        <v>1.5262</v>
      </c>
      <c r="C2319" s="28">
        <v>2162576420</v>
      </c>
    </row>
    <row r="2320" spans="1:3" ht="15.5">
      <c r="A2320" s="29">
        <v>41179</v>
      </c>
      <c r="B2320" s="28">
        <v>1.5543</v>
      </c>
      <c r="C2320" s="28">
        <v>2202378440</v>
      </c>
    </row>
    <row r="2321" spans="1:3" ht="15.5">
      <c r="A2321" s="29">
        <v>41178</v>
      </c>
      <c r="B2321" s="28">
        <v>1.5497000000000001</v>
      </c>
      <c r="C2321" s="28">
        <v>2195744770</v>
      </c>
    </row>
    <row r="2322" spans="1:3" ht="15.5">
      <c r="A2322" s="29">
        <v>41177</v>
      </c>
      <c r="B2322" s="28">
        <v>1.5168999999999999</v>
      </c>
      <c r="C2322" s="28">
        <v>2149309080</v>
      </c>
    </row>
    <row r="2323" spans="1:3" ht="15.5">
      <c r="A2323" s="29">
        <v>41176</v>
      </c>
      <c r="B2323" s="28">
        <v>1.5075000000000001</v>
      </c>
      <c r="C2323" s="28">
        <v>2136041740</v>
      </c>
    </row>
    <row r="2324" spans="1:3" ht="15.5">
      <c r="A2324" s="29">
        <v>41173</v>
      </c>
      <c r="B2324" s="28">
        <v>1.5356000000000001</v>
      </c>
      <c r="C2324" s="28">
        <v>2175843760</v>
      </c>
    </row>
    <row r="2325" spans="1:3" ht="15.5">
      <c r="A2325" s="29">
        <v>41172</v>
      </c>
      <c r="B2325" s="28">
        <v>1.4982</v>
      </c>
      <c r="C2325" s="28">
        <v>2122774400</v>
      </c>
    </row>
    <row r="2326" spans="1:3" ht="15.5">
      <c r="A2326" s="29">
        <v>41171</v>
      </c>
      <c r="B2326" s="28">
        <v>1.4887999999999999</v>
      </c>
      <c r="C2326" s="28">
        <v>2109507060</v>
      </c>
    </row>
    <row r="2327" spans="1:3" ht="15.5">
      <c r="A2327" s="29">
        <v>41170</v>
      </c>
      <c r="B2327" s="28">
        <v>1.4654</v>
      </c>
      <c r="C2327" s="28">
        <v>2076338710</v>
      </c>
    </row>
    <row r="2328" spans="1:3" ht="15.5">
      <c r="A2328" s="29">
        <v>41169</v>
      </c>
      <c r="B2328" s="28">
        <v>1.4746999999999999</v>
      </c>
      <c r="C2328" s="28">
        <v>2089606050</v>
      </c>
    </row>
    <row r="2329" spans="1:3" ht="15.5">
      <c r="A2329" s="29">
        <v>41166</v>
      </c>
      <c r="B2329" s="28">
        <v>1.4935</v>
      </c>
      <c r="C2329" s="28">
        <v>2116140730</v>
      </c>
    </row>
    <row r="2330" spans="1:3" ht="15.5">
      <c r="A2330" s="29">
        <v>41165</v>
      </c>
      <c r="B2330" s="28">
        <v>1.5168999999999999</v>
      </c>
      <c r="C2330" s="28">
        <v>2149309080</v>
      </c>
    </row>
    <row r="2331" spans="1:3" ht="15.5">
      <c r="A2331" s="29">
        <v>41164</v>
      </c>
      <c r="B2331" s="28">
        <v>1.5308999999999999</v>
      </c>
      <c r="C2331" s="28">
        <v>2169210090</v>
      </c>
    </row>
    <row r="2332" spans="1:3" ht="15.5">
      <c r="A2332" s="29">
        <v>41163</v>
      </c>
      <c r="B2332" s="28">
        <v>1.5356000000000001</v>
      </c>
      <c r="C2332" s="28">
        <v>2175843760</v>
      </c>
    </row>
    <row r="2333" spans="1:3" ht="15.5">
      <c r="A2333" s="29">
        <v>41162</v>
      </c>
      <c r="B2333" s="28">
        <v>1.5449999999999999</v>
      </c>
      <c r="C2333" s="28">
        <v>2189111100</v>
      </c>
    </row>
    <row r="2334" spans="1:3" ht="15.5">
      <c r="A2334" s="29">
        <v>41159</v>
      </c>
      <c r="B2334" s="28">
        <v>1.5168999999999999</v>
      </c>
      <c r="C2334" s="28">
        <v>2149309080</v>
      </c>
    </row>
    <row r="2335" spans="1:3" ht="15.5">
      <c r="A2335" s="29">
        <v>41158</v>
      </c>
      <c r="B2335" s="28">
        <v>1.5122</v>
      </c>
      <c r="C2335" s="28">
        <v>2142675410</v>
      </c>
    </row>
    <row r="2336" spans="1:3" ht="15.5">
      <c r="A2336" s="29">
        <v>41157</v>
      </c>
      <c r="B2336" s="28">
        <v>1.5027999999999999</v>
      </c>
      <c r="C2336" s="28">
        <v>2129408070</v>
      </c>
    </row>
    <row r="2337" spans="1:3" ht="15.5">
      <c r="A2337" s="29">
        <v>41156</v>
      </c>
      <c r="B2337" s="28">
        <v>1.5075000000000001</v>
      </c>
      <c r="C2337" s="28">
        <v>2136041740</v>
      </c>
    </row>
    <row r="2338" spans="1:3" ht="15.5">
      <c r="A2338" s="29">
        <v>41155</v>
      </c>
      <c r="B2338" s="28">
        <v>1.5168999999999999</v>
      </c>
      <c r="C2338" s="28">
        <v>2149309080</v>
      </c>
    </row>
    <row r="2339" spans="1:3" ht="15.5">
      <c r="A2339" s="29">
        <v>41152</v>
      </c>
      <c r="B2339" s="28">
        <v>1.5168999999999999</v>
      </c>
      <c r="C2339" s="28">
        <v>2149309080</v>
      </c>
    </row>
    <row r="2340" spans="1:3" ht="15.5">
      <c r="A2340" s="29">
        <v>41151</v>
      </c>
      <c r="B2340" s="28">
        <v>1.4887999999999999</v>
      </c>
      <c r="C2340" s="28">
        <v>2109507060</v>
      </c>
    </row>
    <row r="2341" spans="1:3" ht="15.5">
      <c r="A2341" s="29">
        <v>41150</v>
      </c>
      <c r="B2341" s="28">
        <v>1.5075000000000001</v>
      </c>
      <c r="C2341" s="28">
        <v>2136041740</v>
      </c>
    </row>
    <row r="2342" spans="1:3" ht="15.5">
      <c r="A2342" s="29">
        <v>41149</v>
      </c>
      <c r="B2342" s="28">
        <v>1.5168999999999999</v>
      </c>
      <c r="C2342" s="28">
        <v>2149309080</v>
      </c>
    </row>
    <row r="2343" spans="1:3" ht="15.5">
      <c r="A2343" s="29">
        <v>41148</v>
      </c>
      <c r="B2343" s="28">
        <v>1.4701</v>
      </c>
      <c r="C2343" s="28">
        <v>2082972380</v>
      </c>
    </row>
    <row r="2344" spans="1:3" ht="15.5">
      <c r="A2344" s="29">
        <v>41145</v>
      </c>
      <c r="B2344" s="28">
        <v>1.4794</v>
      </c>
      <c r="C2344" s="28">
        <v>2096239720</v>
      </c>
    </row>
    <row r="2345" spans="1:3" ht="15.5">
      <c r="A2345" s="29">
        <v>41144</v>
      </c>
      <c r="B2345" s="28">
        <v>1.4887999999999999</v>
      </c>
      <c r="C2345" s="28">
        <v>2109507060</v>
      </c>
    </row>
    <row r="2346" spans="1:3" ht="15.5">
      <c r="A2346" s="29">
        <v>41143</v>
      </c>
      <c r="B2346" s="28">
        <v>1.4935</v>
      </c>
      <c r="C2346" s="28">
        <v>2116140730</v>
      </c>
    </row>
    <row r="2347" spans="1:3" ht="15.5">
      <c r="A2347" s="29">
        <v>41142</v>
      </c>
      <c r="B2347" s="28">
        <v>1.4841</v>
      </c>
      <c r="C2347" s="28">
        <v>2102873390</v>
      </c>
    </row>
    <row r="2348" spans="1:3" ht="15.5">
      <c r="A2348" s="29">
        <v>41141</v>
      </c>
      <c r="B2348" s="28">
        <v>1.4701</v>
      </c>
      <c r="C2348" s="28">
        <v>2082972380</v>
      </c>
    </row>
    <row r="2349" spans="1:3" ht="15.5">
      <c r="A2349" s="29">
        <v>41138</v>
      </c>
      <c r="B2349" s="28">
        <v>1.4513</v>
      </c>
      <c r="C2349" s="28">
        <v>2056437700</v>
      </c>
    </row>
    <row r="2350" spans="1:3" ht="15.5">
      <c r="A2350" s="29">
        <v>41137</v>
      </c>
      <c r="B2350" s="28">
        <v>1.4467000000000001</v>
      </c>
      <c r="C2350" s="28">
        <v>2049804030</v>
      </c>
    </row>
    <row r="2351" spans="1:3" ht="15.5">
      <c r="A2351" s="29">
        <v>41136</v>
      </c>
      <c r="B2351" s="28">
        <v>1.4513</v>
      </c>
      <c r="C2351" s="28">
        <v>2056437700</v>
      </c>
    </row>
    <row r="2352" spans="1:3" ht="15.5">
      <c r="A2352" s="29">
        <v>41135</v>
      </c>
      <c r="B2352" s="28">
        <v>1.4701</v>
      </c>
      <c r="C2352" s="28">
        <v>2082972380</v>
      </c>
    </row>
    <row r="2353" spans="1:3" ht="15.5">
      <c r="A2353" s="29">
        <v>41134</v>
      </c>
      <c r="B2353" s="28">
        <v>1.4654</v>
      </c>
      <c r="C2353" s="28">
        <v>2076338710</v>
      </c>
    </row>
    <row r="2354" spans="1:3" ht="15.5">
      <c r="A2354" s="29">
        <v>41131</v>
      </c>
      <c r="B2354" s="28">
        <v>1.4607000000000001</v>
      </c>
      <c r="C2354" s="28">
        <v>2069705040</v>
      </c>
    </row>
    <row r="2355" spans="1:3" ht="15.5">
      <c r="A2355" s="29">
        <v>41130</v>
      </c>
      <c r="B2355" s="28">
        <v>1.4513</v>
      </c>
      <c r="C2355" s="28">
        <v>2056437700</v>
      </c>
    </row>
    <row r="2356" spans="1:3" ht="15.5">
      <c r="A2356" s="29">
        <v>41129</v>
      </c>
      <c r="B2356" s="28">
        <v>1.4419999999999999</v>
      </c>
      <c r="C2356" s="28">
        <v>2043170360</v>
      </c>
    </row>
    <row r="2357" spans="1:3" ht="15.5">
      <c r="A2357" s="29">
        <v>41128</v>
      </c>
      <c r="B2357" s="28">
        <v>1.4841</v>
      </c>
      <c r="C2357" s="28">
        <v>2102873390</v>
      </c>
    </row>
    <row r="2358" spans="1:3" ht="15.5">
      <c r="A2358" s="29">
        <v>41127</v>
      </c>
      <c r="B2358" s="28">
        <v>1.4887999999999999</v>
      </c>
      <c r="C2358" s="28">
        <v>2109507060</v>
      </c>
    </row>
    <row r="2359" spans="1:3" ht="15.5">
      <c r="A2359" s="29">
        <v>41124</v>
      </c>
      <c r="B2359" s="28">
        <v>1.4887999999999999</v>
      </c>
      <c r="C2359" s="28">
        <v>2109507060</v>
      </c>
    </row>
    <row r="2360" spans="1:3" ht="15.5">
      <c r="A2360" s="29">
        <v>41123</v>
      </c>
      <c r="B2360" s="28">
        <v>1.5216000000000001</v>
      </c>
      <c r="C2360" s="28">
        <v>2155942750</v>
      </c>
    </row>
    <row r="2361" spans="1:3" ht="15.5">
      <c r="A2361" s="29">
        <v>41122</v>
      </c>
      <c r="B2361" s="28">
        <v>1.5308999999999999</v>
      </c>
      <c r="C2361" s="28">
        <v>2169210090</v>
      </c>
    </row>
    <row r="2362" spans="1:3" ht="15.5">
      <c r="A2362" s="29">
        <v>41121</v>
      </c>
      <c r="B2362" s="28">
        <v>1.5262</v>
      </c>
      <c r="C2362" s="28">
        <v>2162576420</v>
      </c>
    </row>
    <row r="2363" spans="1:3" ht="15.5">
      <c r="A2363" s="29">
        <v>41120</v>
      </c>
      <c r="B2363" s="28">
        <v>1.5262</v>
      </c>
      <c r="C2363" s="28">
        <v>2162576420</v>
      </c>
    </row>
    <row r="2364" spans="1:3" ht="15.5">
      <c r="A2364" s="29">
        <v>41117</v>
      </c>
      <c r="B2364" s="28">
        <v>1.4935</v>
      </c>
      <c r="C2364" s="28">
        <v>2116140730</v>
      </c>
    </row>
    <row r="2365" spans="1:3" ht="15.5">
      <c r="A2365" s="29">
        <v>41116</v>
      </c>
      <c r="B2365" s="28">
        <v>1.4654</v>
      </c>
      <c r="C2365" s="28">
        <v>2076338710</v>
      </c>
    </row>
    <row r="2366" spans="1:3" ht="15.5">
      <c r="A2366" s="29">
        <v>41115</v>
      </c>
      <c r="B2366" s="28">
        <v>1.4701</v>
      </c>
      <c r="C2366" s="28">
        <v>2082972380</v>
      </c>
    </row>
    <row r="2367" spans="1:3" ht="15.5">
      <c r="A2367" s="29">
        <v>41114</v>
      </c>
      <c r="B2367" s="28">
        <v>1.4794</v>
      </c>
      <c r="C2367" s="28">
        <v>2096239720</v>
      </c>
    </row>
    <row r="2368" spans="1:3" ht="15.5">
      <c r="A2368" s="29">
        <v>41113</v>
      </c>
      <c r="B2368" s="28">
        <v>1.4935</v>
      </c>
      <c r="C2368" s="28">
        <v>2116140730</v>
      </c>
    </row>
    <row r="2369" spans="1:3" ht="15.5">
      <c r="A2369" s="29">
        <v>41110</v>
      </c>
      <c r="B2369" s="28">
        <v>1.4935</v>
      </c>
      <c r="C2369" s="28">
        <v>2116140730</v>
      </c>
    </row>
    <row r="2370" spans="1:3" ht="15.5">
      <c r="A2370" s="29">
        <v>41109</v>
      </c>
      <c r="B2370" s="28">
        <v>1.4935</v>
      </c>
      <c r="C2370" s="28">
        <v>2116140730</v>
      </c>
    </row>
    <row r="2371" spans="1:3" ht="15.5">
      <c r="A2371" s="29">
        <v>41108</v>
      </c>
      <c r="B2371" s="28">
        <v>1.4513</v>
      </c>
      <c r="C2371" s="28">
        <v>2056437700</v>
      </c>
    </row>
    <row r="2372" spans="1:3" ht="15.5">
      <c r="A2372" s="29">
        <v>41107</v>
      </c>
      <c r="B2372" s="28">
        <v>1.4419999999999999</v>
      </c>
      <c r="C2372" s="28">
        <v>2043170360</v>
      </c>
    </row>
    <row r="2373" spans="1:3" ht="15.5">
      <c r="A2373" s="29">
        <v>41106</v>
      </c>
      <c r="B2373" s="28">
        <v>1.4373</v>
      </c>
      <c r="C2373" s="28">
        <v>2036536690</v>
      </c>
    </row>
    <row r="2374" spans="1:3" ht="15.5">
      <c r="A2374" s="29">
        <v>41103</v>
      </c>
      <c r="B2374" s="28">
        <v>1.4326000000000001</v>
      </c>
      <c r="C2374" s="28">
        <v>2029903020</v>
      </c>
    </row>
    <row r="2375" spans="1:3" ht="15.5">
      <c r="A2375" s="29">
        <v>41102</v>
      </c>
      <c r="B2375" s="28">
        <v>1.4232</v>
      </c>
      <c r="C2375" s="28">
        <v>2016635680</v>
      </c>
    </row>
    <row r="2376" spans="1:3" ht="15.5">
      <c r="A2376" s="29">
        <v>41101</v>
      </c>
      <c r="B2376" s="28">
        <v>1.4326000000000001</v>
      </c>
      <c r="C2376" s="28">
        <v>2029903020</v>
      </c>
    </row>
    <row r="2377" spans="1:3" ht="15.5">
      <c r="A2377" s="29">
        <v>41100</v>
      </c>
      <c r="B2377" s="28">
        <v>1.4419999999999999</v>
      </c>
      <c r="C2377" s="28">
        <v>2043170360</v>
      </c>
    </row>
    <row r="2378" spans="1:3" ht="15.5">
      <c r="A2378" s="29">
        <v>41099</v>
      </c>
      <c r="B2378" s="28">
        <v>1.4326000000000001</v>
      </c>
      <c r="C2378" s="28">
        <v>2029903020</v>
      </c>
    </row>
    <row r="2379" spans="1:3" ht="15.5">
      <c r="A2379" s="29">
        <v>41096</v>
      </c>
      <c r="B2379" s="28">
        <v>1.4326000000000001</v>
      </c>
      <c r="C2379" s="28">
        <v>2029903020</v>
      </c>
    </row>
    <row r="2380" spans="1:3" ht="15.5">
      <c r="A2380" s="29">
        <v>41095</v>
      </c>
      <c r="B2380" s="28">
        <v>1.4326000000000001</v>
      </c>
      <c r="C2380" s="28">
        <v>2029903020</v>
      </c>
    </row>
    <row r="2381" spans="1:3" ht="15.5">
      <c r="A2381" s="29">
        <v>41094</v>
      </c>
      <c r="B2381" s="28">
        <v>1.456</v>
      </c>
      <c r="C2381" s="28">
        <v>2063071370</v>
      </c>
    </row>
    <row r="2382" spans="1:3" ht="15.5">
      <c r="A2382" s="29">
        <v>41093</v>
      </c>
      <c r="B2382" s="28">
        <v>1.4373</v>
      </c>
      <c r="C2382" s="28">
        <v>2036536690</v>
      </c>
    </row>
    <row r="2383" spans="1:3" ht="15.5">
      <c r="A2383" s="29">
        <v>41092</v>
      </c>
      <c r="B2383" s="28">
        <v>1.4373</v>
      </c>
      <c r="C2383" s="28">
        <v>2036536690</v>
      </c>
    </row>
    <row r="2384" spans="1:3" ht="15.5">
      <c r="A2384" s="29">
        <v>41089</v>
      </c>
      <c r="B2384" s="28">
        <v>1.4278999999999999</v>
      </c>
      <c r="C2384" s="28">
        <v>2023269350</v>
      </c>
    </row>
    <row r="2385" spans="1:3" ht="15.5">
      <c r="A2385" s="29">
        <v>41088</v>
      </c>
      <c r="B2385" s="28">
        <v>1.3997999999999999</v>
      </c>
      <c r="C2385" s="28">
        <v>1983467330</v>
      </c>
    </row>
    <row r="2386" spans="1:3" ht="15.5">
      <c r="A2386" s="29">
        <v>41087</v>
      </c>
      <c r="B2386" s="28">
        <v>1.3905000000000001</v>
      </c>
      <c r="C2386" s="28">
        <v>1970199990</v>
      </c>
    </row>
    <row r="2387" spans="1:3" ht="15.5">
      <c r="A2387" s="29">
        <v>41086</v>
      </c>
      <c r="B2387" s="28">
        <v>1.3624000000000001</v>
      </c>
      <c r="C2387" s="28">
        <v>1930397970</v>
      </c>
    </row>
    <row r="2388" spans="1:3" ht="15.5">
      <c r="A2388" s="29">
        <v>41085</v>
      </c>
      <c r="B2388" s="28">
        <v>1.3671</v>
      </c>
      <c r="C2388" s="28">
        <v>1937031640</v>
      </c>
    </row>
    <row r="2389" spans="1:3" ht="15.5">
      <c r="A2389" s="29">
        <v>41082</v>
      </c>
      <c r="B2389" s="28">
        <v>1.3811</v>
      </c>
      <c r="C2389" s="28">
        <v>1956932650</v>
      </c>
    </row>
    <row r="2390" spans="1:3" ht="15.5">
      <c r="A2390" s="29">
        <v>41081</v>
      </c>
      <c r="B2390" s="28">
        <v>1.3764000000000001</v>
      </c>
      <c r="C2390" s="28">
        <v>1950298980</v>
      </c>
    </row>
    <row r="2391" spans="1:3" ht="15.5">
      <c r="A2391" s="29">
        <v>41080</v>
      </c>
      <c r="B2391" s="28">
        <v>1.3857999999999999</v>
      </c>
      <c r="C2391" s="28">
        <v>1963566320</v>
      </c>
    </row>
    <row r="2392" spans="1:3" ht="15.5">
      <c r="A2392" s="29">
        <v>41079</v>
      </c>
      <c r="B2392" s="28">
        <v>1.4138999999999999</v>
      </c>
      <c r="C2392" s="28">
        <v>2003368340</v>
      </c>
    </row>
    <row r="2393" spans="1:3" ht="15.5">
      <c r="A2393" s="29">
        <v>41078</v>
      </c>
      <c r="B2393" s="28">
        <v>1.4138999999999999</v>
      </c>
      <c r="C2393" s="28">
        <v>2003368340</v>
      </c>
    </row>
    <row r="2394" spans="1:3" ht="15.5">
      <c r="A2394" s="29">
        <v>41075</v>
      </c>
      <c r="B2394" s="28">
        <v>1.4045000000000001</v>
      </c>
      <c r="C2394" s="28">
        <v>1990101000</v>
      </c>
    </row>
    <row r="2395" spans="1:3" ht="15.5">
      <c r="A2395" s="29">
        <v>41074</v>
      </c>
      <c r="B2395" s="28">
        <v>1.4092</v>
      </c>
      <c r="C2395" s="28">
        <v>1996734670</v>
      </c>
    </row>
    <row r="2396" spans="1:3" ht="15.5">
      <c r="A2396" s="29">
        <v>41073</v>
      </c>
      <c r="B2396" s="28">
        <v>1.4138999999999999</v>
      </c>
      <c r="C2396" s="28">
        <v>2003368340</v>
      </c>
    </row>
    <row r="2397" spans="1:3" ht="15.5">
      <c r="A2397" s="29">
        <v>41072</v>
      </c>
      <c r="B2397" s="28">
        <v>1.4278999999999999</v>
      </c>
      <c r="C2397" s="28">
        <v>2023269350</v>
      </c>
    </row>
    <row r="2398" spans="1:3" ht="15.5">
      <c r="A2398" s="29">
        <v>41068</v>
      </c>
      <c r="B2398" s="28">
        <v>1.4138999999999999</v>
      </c>
      <c r="C2398" s="28">
        <v>2003368340</v>
      </c>
    </row>
    <row r="2399" spans="1:3" ht="15.5">
      <c r="A2399" s="29">
        <v>41067</v>
      </c>
      <c r="B2399" s="28">
        <v>1.4045000000000001</v>
      </c>
      <c r="C2399" s="28">
        <v>1990101000</v>
      </c>
    </row>
    <row r="2400" spans="1:3" ht="15.5">
      <c r="A2400" s="29">
        <v>41066</v>
      </c>
      <c r="B2400" s="28">
        <v>1.3997999999999999</v>
      </c>
      <c r="C2400" s="28">
        <v>1983467330</v>
      </c>
    </row>
    <row r="2401" spans="1:3" ht="15.5">
      <c r="A2401" s="29">
        <v>41065</v>
      </c>
      <c r="B2401" s="28">
        <v>1.4045000000000001</v>
      </c>
      <c r="C2401" s="28">
        <v>1990101000</v>
      </c>
    </row>
    <row r="2402" spans="1:3" ht="15.5">
      <c r="A2402" s="29">
        <v>41064</v>
      </c>
      <c r="B2402" s="28">
        <v>1.3952</v>
      </c>
      <c r="C2402" s="28">
        <v>1976833660</v>
      </c>
    </row>
    <row r="2403" spans="1:3" ht="15.5">
      <c r="A2403" s="29">
        <v>41061</v>
      </c>
      <c r="B2403" s="28">
        <v>1.4326000000000001</v>
      </c>
      <c r="C2403" s="28">
        <v>2029903020</v>
      </c>
    </row>
    <row r="2404" spans="1:3" ht="15.5">
      <c r="A2404" s="29">
        <v>41060</v>
      </c>
      <c r="B2404" s="28">
        <v>1.4373</v>
      </c>
      <c r="C2404" s="28">
        <v>2036536690</v>
      </c>
    </row>
    <row r="2405" spans="1:3" ht="15.5">
      <c r="A2405" s="29">
        <v>41059</v>
      </c>
      <c r="B2405" s="28">
        <v>1.4045000000000001</v>
      </c>
      <c r="C2405" s="28">
        <v>1990101000</v>
      </c>
    </row>
    <row r="2406" spans="1:3" ht="15.5">
      <c r="A2406" s="29">
        <v>41058</v>
      </c>
      <c r="B2406" s="28">
        <v>1.3997999999999999</v>
      </c>
      <c r="C2406" s="28">
        <v>1983467330</v>
      </c>
    </row>
    <row r="2407" spans="1:3" ht="15.5">
      <c r="A2407" s="29">
        <v>41057</v>
      </c>
      <c r="B2407" s="28">
        <v>1.3905000000000001</v>
      </c>
      <c r="C2407" s="28">
        <v>1970199990</v>
      </c>
    </row>
    <row r="2408" spans="1:3" ht="15.5">
      <c r="A2408" s="29">
        <v>41054</v>
      </c>
      <c r="B2408" s="28">
        <v>1.3952</v>
      </c>
      <c r="C2408" s="28">
        <v>1976833660</v>
      </c>
    </row>
    <row r="2409" spans="1:3" ht="15.5">
      <c r="A2409" s="29">
        <v>41053</v>
      </c>
      <c r="B2409" s="28">
        <v>1.3764000000000001</v>
      </c>
      <c r="C2409" s="28">
        <v>1950298980</v>
      </c>
    </row>
    <row r="2410" spans="1:3" ht="15.5">
      <c r="A2410" s="29">
        <v>41052</v>
      </c>
      <c r="B2410" s="28">
        <v>1.3811</v>
      </c>
      <c r="C2410" s="28">
        <v>1956932650</v>
      </c>
    </row>
    <row r="2411" spans="1:3" ht="15.5">
      <c r="A2411" s="29">
        <v>41051</v>
      </c>
      <c r="B2411" s="28">
        <v>1.4045000000000001</v>
      </c>
      <c r="C2411" s="28">
        <v>1990101000</v>
      </c>
    </row>
    <row r="2412" spans="1:3" ht="15.5">
      <c r="A2412" s="29">
        <v>41050</v>
      </c>
      <c r="B2412" s="28">
        <v>1.4045000000000001</v>
      </c>
      <c r="C2412" s="28">
        <v>1990101000</v>
      </c>
    </row>
    <row r="2413" spans="1:3" ht="15.5">
      <c r="A2413" s="29">
        <v>41047</v>
      </c>
      <c r="B2413" s="28">
        <v>1.4045000000000001</v>
      </c>
      <c r="C2413" s="28">
        <v>1990101000</v>
      </c>
    </row>
    <row r="2414" spans="1:3" ht="15.5">
      <c r="A2414" s="29">
        <v>41046</v>
      </c>
      <c r="B2414" s="28">
        <v>1.4138999999999999</v>
      </c>
      <c r="C2414" s="28">
        <v>2003368340</v>
      </c>
    </row>
    <row r="2415" spans="1:3" ht="15.5">
      <c r="A2415" s="29">
        <v>41045</v>
      </c>
      <c r="B2415" s="28">
        <v>1.3952</v>
      </c>
      <c r="C2415" s="28">
        <v>1976833660</v>
      </c>
    </row>
    <row r="2416" spans="1:3" ht="15.5">
      <c r="A2416" s="29">
        <v>41044</v>
      </c>
      <c r="B2416" s="28">
        <v>1.4186000000000001</v>
      </c>
      <c r="C2416" s="28">
        <v>2010002010</v>
      </c>
    </row>
    <row r="2417" spans="1:3" ht="15.5">
      <c r="A2417" s="29">
        <v>41043</v>
      </c>
      <c r="B2417" s="28">
        <v>1.3857999999999999</v>
      </c>
      <c r="C2417" s="28">
        <v>1963566320</v>
      </c>
    </row>
    <row r="2418" spans="1:3" ht="15.5">
      <c r="A2418" s="29">
        <v>41040</v>
      </c>
      <c r="B2418" s="28">
        <v>1.4092</v>
      </c>
      <c r="C2418" s="28">
        <v>1996734670</v>
      </c>
    </row>
    <row r="2419" spans="1:3" ht="15.5">
      <c r="A2419" s="29">
        <v>41039</v>
      </c>
      <c r="B2419" s="28">
        <v>1.3576999999999999</v>
      </c>
      <c r="C2419" s="28">
        <v>1923764300</v>
      </c>
    </row>
    <row r="2420" spans="1:3" ht="15.5">
      <c r="A2420" s="29">
        <v>41038</v>
      </c>
      <c r="B2420" s="28">
        <v>1.3295999999999999</v>
      </c>
      <c r="C2420" s="28">
        <v>1883962280</v>
      </c>
    </row>
    <row r="2421" spans="1:3" ht="15.5">
      <c r="A2421" s="29">
        <v>41037</v>
      </c>
      <c r="B2421" s="28">
        <v>1.3343</v>
      </c>
      <c r="C2421" s="28">
        <v>1890595950</v>
      </c>
    </row>
    <row r="2422" spans="1:3" ht="15.5">
      <c r="A2422" s="29">
        <v>41036</v>
      </c>
      <c r="B2422" s="28">
        <v>1.3202</v>
      </c>
      <c r="C2422" s="28">
        <v>1870694940</v>
      </c>
    </row>
    <row r="2423" spans="1:3" ht="15.5">
      <c r="A2423" s="29">
        <v>41033</v>
      </c>
      <c r="B2423" s="28">
        <v>1.3202</v>
      </c>
      <c r="C2423" s="28">
        <v>1870694940</v>
      </c>
    </row>
    <row r="2424" spans="1:3" ht="15.5">
      <c r="A2424" s="29">
        <v>41032</v>
      </c>
      <c r="B2424" s="28">
        <v>1.3202</v>
      </c>
      <c r="C2424" s="28">
        <v>1870694940</v>
      </c>
    </row>
    <row r="2425" spans="1:3" ht="15.5">
      <c r="A2425" s="29">
        <v>41031</v>
      </c>
      <c r="B2425" s="28">
        <v>1.339</v>
      </c>
      <c r="C2425" s="28">
        <v>1897229620</v>
      </c>
    </row>
    <row r="2426" spans="1:3" ht="15.5">
      <c r="A2426" s="29">
        <v>41030</v>
      </c>
      <c r="B2426" s="28">
        <v>1.3624000000000001</v>
      </c>
      <c r="C2426" s="28">
        <v>1930397970</v>
      </c>
    </row>
    <row r="2427" spans="1:3" ht="15.5">
      <c r="A2427" s="29">
        <v>41029</v>
      </c>
      <c r="B2427" s="28">
        <v>1.3576999999999999</v>
      </c>
      <c r="C2427" s="28">
        <v>1923764300</v>
      </c>
    </row>
    <row r="2428" spans="1:3" ht="15.5">
      <c r="A2428" s="29">
        <v>41026</v>
      </c>
      <c r="B2428" s="28">
        <v>1.3576999999999999</v>
      </c>
      <c r="C2428" s="28">
        <v>1923764300</v>
      </c>
    </row>
    <row r="2429" spans="1:3" ht="15.5">
      <c r="A2429" s="29">
        <v>41025</v>
      </c>
      <c r="B2429" s="28">
        <v>1.3249</v>
      </c>
      <c r="C2429" s="28">
        <v>1877328610</v>
      </c>
    </row>
    <row r="2430" spans="1:3" ht="15.5">
      <c r="A2430" s="29">
        <v>41023</v>
      </c>
      <c r="B2430" s="28">
        <v>1.3062</v>
      </c>
      <c r="C2430" s="28">
        <v>1850793930</v>
      </c>
    </row>
    <row r="2431" spans="1:3" ht="15.5">
      <c r="A2431" s="29">
        <v>41022</v>
      </c>
      <c r="B2431" s="28">
        <v>1.3062</v>
      </c>
      <c r="C2431" s="28">
        <v>1850793930</v>
      </c>
    </row>
    <row r="2432" spans="1:3" ht="15.5">
      <c r="A2432" s="29">
        <v>41019</v>
      </c>
      <c r="B2432" s="28">
        <v>1.2968</v>
      </c>
      <c r="C2432" s="28">
        <v>1837526590</v>
      </c>
    </row>
    <row r="2433" spans="1:3" ht="15.5">
      <c r="A2433" s="29">
        <v>41018</v>
      </c>
      <c r="B2433" s="28">
        <v>1.353</v>
      </c>
      <c r="C2433" s="28">
        <v>1917130630</v>
      </c>
    </row>
    <row r="2434" spans="1:3" ht="15.5">
      <c r="A2434" s="29">
        <v>41017</v>
      </c>
      <c r="B2434" s="28">
        <v>1.3716999999999999</v>
      </c>
      <c r="C2434" s="28">
        <v>1943665310</v>
      </c>
    </row>
    <row r="2435" spans="1:3" ht="15.5">
      <c r="A2435" s="29">
        <v>41016</v>
      </c>
      <c r="B2435" s="28">
        <v>1.3857999999999999</v>
      </c>
      <c r="C2435" s="28">
        <v>1963566320</v>
      </c>
    </row>
    <row r="2436" spans="1:3" ht="15.5">
      <c r="A2436" s="29">
        <v>41015</v>
      </c>
      <c r="B2436" s="28">
        <v>1.3857999999999999</v>
      </c>
      <c r="C2436" s="28">
        <v>1963566320</v>
      </c>
    </row>
    <row r="2437" spans="1:3" ht="15.5">
      <c r="A2437" s="29">
        <v>41012</v>
      </c>
      <c r="B2437" s="28">
        <v>1.3811</v>
      </c>
      <c r="C2437" s="28">
        <v>1956932650</v>
      </c>
    </row>
    <row r="2438" spans="1:3" ht="15.5">
      <c r="A2438" s="29">
        <v>41011</v>
      </c>
      <c r="B2438" s="28">
        <v>1.3811</v>
      </c>
      <c r="C2438" s="28">
        <v>1956932650</v>
      </c>
    </row>
    <row r="2439" spans="1:3" ht="15.5">
      <c r="A2439" s="29">
        <v>41010</v>
      </c>
      <c r="B2439" s="28">
        <v>1.3764000000000001</v>
      </c>
      <c r="C2439" s="28">
        <v>1950298980</v>
      </c>
    </row>
    <row r="2440" spans="1:3" ht="15.5">
      <c r="A2440" s="29">
        <v>41009</v>
      </c>
      <c r="B2440" s="28">
        <v>1.3905000000000001</v>
      </c>
      <c r="C2440" s="28">
        <v>1970199990</v>
      </c>
    </row>
    <row r="2441" spans="1:3" ht="15.5">
      <c r="A2441" s="29">
        <v>41004</v>
      </c>
      <c r="B2441" s="28">
        <v>1.4232</v>
      </c>
      <c r="C2441" s="28">
        <v>2016635680</v>
      </c>
    </row>
    <row r="2442" spans="1:3" ht="15.5">
      <c r="A2442" s="29">
        <v>41003</v>
      </c>
      <c r="B2442" s="28">
        <v>1.4326000000000001</v>
      </c>
      <c r="C2442" s="28">
        <v>2029903020</v>
      </c>
    </row>
    <row r="2443" spans="1:3" ht="15.5">
      <c r="A2443" s="29">
        <v>41002</v>
      </c>
      <c r="B2443" s="28">
        <v>1.4419999999999999</v>
      </c>
      <c r="C2443" s="28">
        <v>2043170360</v>
      </c>
    </row>
    <row r="2444" spans="1:3" ht="15.5">
      <c r="A2444" s="29">
        <v>41001</v>
      </c>
      <c r="B2444" s="28">
        <v>1.4232</v>
      </c>
      <c r="C2444" s="28">
        <v>2016635680</v>
      </c>
    </row>
    <row r="2445" spans="1:3" ht="15.5">
      <c r="A2445" s="29">
        <v>40998</v>
      </c>
      <c r="B2445" s="28">
        <v>1.3997999999999999</v>
      </c>
      <c r="C2445" s="28">
        <v>1983467330</v>
      </c>
    </row>
    <row r="2446" spans="1:3" ht="15.5">
      <c r="A2446" s="29">
        <v>40997</v>
      </c>
      <c r="B2446" s="28">
        <v>1.3671</v>
      </c>
      <c r="C2446" s="28">
        <v>1937031640</v>
      </c>
    </row>
    <row r="2447" spans="1:3" ht="15.5">
      <c r="A2447" s="29">
        <v>40996</v>
      </c>
      <c r="B2447" s="28">
        <v>1.3671</v>
      </c>
      <c r="C2447" s="28">
        <v>1937031640</v>
      </c>
    </row>
    <row r="2448" spans="1:3" ht="15.5">
      <c r="A2448" s="29">
        <v>40995</v>
      </c>
      <c r="B2448" s="28">
        <v>1.353</v>
      </c>
      <c r="C2448" s="28">
        <v>1917130630</v>
      </c>
    </row>
    <row r="2449" spans="1:3" ht="15.5">
      <c r="A2449" s="29">
        <v>40994</v>
      </c>
      <c r="B2449" s="28">
        <v>1.353</v>
      </c>
      <c r="C2449" s="28">
        <v>1917130630</v>
      </c>
    </row>
    <row r="2450" spans="1:3" ht="15.5">
      <c r="A2450" s="29">
        <v>40991</v>
      </c>
      <c r="B2450" s="28">
        <v>1.3249</v>
      </c>
      <c r="C2450" s="28">
        <v>1877328610</v>
      </c>
    </row>
    <row r="2451" spans="1:3" ht="15.5">
      <c r="A2451" s="29">
        <v>40990</v>
      </c>
      <c r="B2451" s="28">
        <v>1.3576999999999999</v>
      </c>
      <c r="C2451" s="28">
        <v>1923764300</v>
      </c>
    </row>
    <row r="2452" spans="1:3" ht="15.5">
      <c r="A2452" s="29">
        <v>40989</v>
      </c>
      <c r="B2452" s="28">
        <v>1.3483000000000001</v>
      </c>
      <c r="C2452" s="28">
        <v>1910496960</v>
      </c>
    </row>
    <row r="2453" spans="1:3" ht="15.5">
      <c r="A2453" s="29">
        <v>40988</v>
      </c>
      <c r="B2453" s="28">
        <v>1.3483000000000001</v>
      </c>
      <c r="C2453" s="28">
        <v>1910496960</v>
      </c>
    </row>
    <row r="2454" spans="1:3" ht="15.5">
      <c r="A2454" s="29">
        <v>40987</v>
      </c>
      <c r="B2454" s="28">
        <v>1.3483000000000001</v>
      </c>
      <c r="C2454" s="28">
        <v>1910496960</v>
      </c>
    </row>
    <row r="2455" spans="1:3" ht="15.5">
      <c r="A2455" s="29">
        <v>40984</v>
      </c>
      <c r="B2455" s="28">
        <v>1.3483000000000001</v>
      </c>
      <c r="C2455" s="28">
        <v>1910496960</v>
      </c>
    </row>
    <row r="2456" spans="1:3" ht="15.5">
      <c r="A2456" s="29">
        <v>40983</v>
      </c>
      <c r="B2456" s="28">
        <v>1.3202</v>
      </c>
      <c r="C2456" s="28">
        <v>1870694940</v>
      </c>
    </row>
    <row r="2457" spans="1:3" ht="15.5">
      <c r="A2457" s="29">
        <v>40982</v>
      </c>
      <c r="B2457" s="28">
        <v>1.2827999999999999</v>
      </c>
      <c r="C2457" s="28">
        <v>1817625580</v>
      </c>
    </row>
    <row r="2458" spans="1:3" ht="15.5">
      <c r="A2458" s="29">
        <v>40981</v>
      </c>
      <c r="B2458" s="28">
        <v>1.2781</v>
      </c>
      <c r="C2458" s="28">
        <v>1810991910</v>
      </c>
    </row>
    <row r="2459" spans="1:3" ht="15.5">
      <c r="A2459" s="29">
        <v>40980</v>
      </c>
      <c r="B2459" s="28">
        <v>1.2781</v>
      </c>
      <c r="C2459" s="28">
        <v>1810991910</v>
      </c>
    </row>
    <row r="2460" spans="1:3" ht="15.5">
      <c r="A2460" s="29">
        <v>40977</v>
      </c>
      <c r="B2460" s="28">
        <v>1.2781</v>
      </c>
      <c r="C2460" s="28">
        <v>1810991910</v>
      </c>
    </row>
    <row r="2461" spans="1:3" ht="15.5">
      <c r="A2461" s="29">
        <v>40976</v>
      </c>
      <c r="B2461" s="28">
        <v>1.2734000000000001</v>
      </c>
      <c r="C2461" s="28">
        <v>1804358240</v>
      </c>
    </row>
    <row r="2462" spans="1:3" ht="15.5">
      <c r="A2462" s="29">
        <v>40975</v>
      </c>
      <c r="B2462" s="28">
        <v>1.2594000000000001</v>
      </c>
      <c r="C2462" s="28">
        <v>1784457230</v>
      </c>
    </row>
    <row r="2463" spans="1:3" ht="15.5">
      <c r="A2463" s="29">
        <v>40974</v>
      </c>
      <c r="B2463" s="28">
        <v>1.2594000000000001</v>
      </c>
      <c r="C2463" s="28">
        <v>1784457230</v>
      </c>
    </row>
    <row r="2464" spans="1:3" ht="15.5">
      <c r="A2464" s="29">
        <v>40973</v>
      </c>
      <c r="B2464" s="28">
        <v>1.25</v>
      </c>
      <c r="C2464" s="28">
        <v>1771189890</v>
      </c>
    </row>
    <row r="2465" spans="1:3" ht="15.5">
      <c r="A2465" s="29">
        <v>40970</v>
      </c>
      <c r="B2465" s="28">
        <v>1.2594000000000001</v>
      </c>
      <c r="C2465" s="28">
        <v>1784457230</v>
      </c>
    </row>
    <row r="2466" spans="1:3" ht="15.5">
      <c r="A2466" s="29">
        <v>40969</v>
      </c>
      <c r="B2466" s="28">
        <v>1.2594000000000001</v>
      </c>
      <c r="C2466" s="28">
        <v>1784457230</v>
      </c>
    </row>
    <row r="2467" spans="1:3" ht="15.5">
      <c r="A2467" s="29">
        <v>40968</v>
      </c>
      <c r="B2467" s="28">
        <v>1.2781</v>
      </c>
      <c r="C2467" s="28">
        <v>1810991910</v>
      </c>
    </row>
    <row r="2468" spans="1:3" ht="15.5">
      <c r="A2468" s="29">
        <v>40967</v>
      </c>
      <c r="B2468" s="28">
        <v>1.3109</v>
      </c>
      <c r="C2468" s="28">
        <v>1857427600</v>
      </c>
    </row>
    <row r="2469" spans="1:3" ht="15.5">
      <c r="A2469" s="29">
        <v>40966</v>
      </c>
      <c r="B2469" s="28">
        <v>1.3062</v>
      </c>
      <c r="C2469" s="28">
        <v>1850793930</v>
      </c>
    </row>
    <row r="2470" spans="1:3" ht="15.5">
      <c r="A2470" s="29">
        <v>40963</v>
      </c>
      <c r="B2470" s="28">
        <v>1.3062</v>
      </c>
      <c r="C2470" s="28">
        <v>1850793930</v>
      </c>
    </row>
    <row r="2471" spans="1:3" ht="15.5">
      <c r="A2471" s="29">
        <v>40962</v>
      </c>
      <c r="B2471" s="28">
        <v>1.3202</v>
      </c>
      <c r="C2471" s="28">
        <v>1870694940</v>
      </c>
    </row>
    <row r="2472" spans="1:3" ht="15.5">
      <c r="A2472" s="29">
        <v>40961</v>
      </c>
      <c r="B2472" s="28">
        <v>1.3295999999999999</v>
      </c>
      <c r="C2472" s="28">
        <v>1883962280</v>
      </c>
    </row>
    <row r="2473" spans="1:3" ht="15.5">
      <c r="A2473" s="29">
        <v>40960</v>
      </c>
      <c r="B2473" s="28">
        <v>1.3295999999999999</v>
      </c>
      <c r="C2473" s="28">
        <v>1883962280</v>
      </c>
    </row>
    <row r="2474" spans="1:3" ht="15.5">
      <c r="A2474" s="29">
        <v>40959</v>
      </c>
      <c r="B2474" s="28">
        <v>1.3202</v>
      </c>
      <c r="C2474" s="28">
        <v>1870694940</v>
      </c>
    </row>
    <row r="2475" spans="1:3" ht="15.5">
      <c r="A2475" s="29">
        <v>40956</v>
      </c>
      <c r="B2475" s="28">
        <v>1.3156000000000001</v>
      </c>
      <c r="C2475" s="28">
        <v>1864061270</v>
      </c>
    </row>
    <row r="2476" spans="1:3" ht="15.5">
      <c r="A2476" s="29">
        <v>40955</v>
      </c>
      <c r="B2476" s="28">
        <v>1.3015000000000001</v>
      </c>
      <c r="C2476" s="28">
        <v>1844160260</v>
      </c>
    </row>
    <row r="2477" spans="1:3" ht="15.5">
      <c r="A2477" s="29">
        <v>40954</v>
      </c>
      <c r="B2477" s="28">
        <v>1.3109</v>
      </c>
      <c r="C2477" s="28">
        <v>1857427600</v>
      </c>
    </row>
    <row r="2478" spans="1:3" ht="15.5">
      <c r="A2478" s="29">
        <v>40953</v>
      </c>
      <c r="B2478" s="28">
        <v>1.2827999999999999</v>
      </c>
      <c r="C2478" s="28">
        <v>1817625580</v>
      </c>
    </row>
    <row r="2479" spans="1:3" ht="15.5">
      <c r="A2479" s="29">
        <v>40952</v>
      </c>
      <c r="B2479" s="28">
        <v>1.3062</v>
      </c>
      <c r="C2479" s="28">
        <v>1850793930</v>
      </c>
    </row>
    <row r="2480" spans="1:3" ht="15.5">
      <c r="A2480" s="29">
        <v>40949</v>
      </c>
      <c r="B2480" s="28">
        <v>1.2922</v>
      </c>
      <c r="C2480" s="28">
        <v>1830892920</v>
      </c>
    </row>
    <row r="2481" spans="1:3" ht="15.5">
      <c r="A2481" s="29">
        <v>40948</v>
      </c>
      <c r="B2481" s="28">
        <v>1.2922</v>
      </c>
      <c r="C2481" s="28">
        <v>1830892920</v>
      </c>
    </row>
    <row r="2482" spans="1:3" ht="15.5">
      <c r="A2482" s="29">
        <v>40947</v>
      </c>
      <c r="B2482" s="28">
        <v>1.2781</v>
      </c>
      <c r="C2482" s="28">
        <v>1810991910</v>
      </c>
    </row>
    <row r="2483" spans="1:3" ht="15.5">
      <c r="A2483" s="29">
        <v>40946</v>
      </c>
      <c r="B2483" s="28">
        <v>1.2641</v>
      </c>
      <c r="C2483" s="28">
        <v>1791090900</v>
      </c>
    </row>
    <row r="2484" spans="1:3" ht="15.5">
      <c r="A2484" s="29">
        <v>40945</v>
      </c>
      <c r="B2484" s="28">
        <v>1.2594000000000001</v>
      </c>
      <c r="C2484" s="28">
        <v>1784457230</v>
      </c>
    </row>
    <row r="2485" spans="1:3" ht="15.5">
      <c r="A2485" s="29">
        <v>40942</v>
      </c>
      <c r="B2485" s="28">
        <v>1.2453000000000001</v>
      </c>
      <c r="C2485" s="28">
        <v>1764556220</v>
      </c>
    </row>
    <row r="2486" spans="1:3" ht="15.5">
      <c r="A2486" s="29">
        <v>40941</v>
      </c>
      <c r="B2486" s="28">
        <v>1.2594000000000001</v>
      </c>
      <c r="C2486" s="28">
        <v>1784457230</v>
      </c>
    </row>
    <row r="2487" spans="1:3" ht="15.5">
      <c r="A2487" s="29">
        <v>40940</v>
      </c>
      <c r="B2487" s="28">
        <v>1.2453000000000001</v>
      </c>
      <c r="C2487" s="28">
        <v>1764556220</v>
      </c>
    </row>
    <row r="2488" spans="1:3" ht="15.5">
      <c r="A2488" s="29">
        <v>40939</v>
      </c>
      <c r="B2488" s="28">
        <v>1.25</v>
      </c>
      <c r="C2488" s="28">
        <v>1771189890</v>
      </c>
    </row>
    <row r="2489" spans="1:3" ht="15.5">
      <c r="A2489" s="29">
        <v>40938</v>
      </c>
      <c r="B2489" s="28">
        <v>1.2687999999999999</v>
      </c>
      <c r="C2489" s="28">
        <v>1797724570</v>
      </c>
    </row>
    <row r="2490" spans="1:3" ht="15.5">
      <c r="A2490" s="29">
        <v>40935</v>
      </c>
      <c r="B2490" s="28">
        <v>1.2641</v>
      </c>
      <c r="C2490" s="28">
        <v>1791090900</v>
      </c>
    </row>
    <row r="2491" spans="1:3" ht="15.5">
      <c r="A2491" s="29">
        <v>40933</v>
      </c>
      <c r="B2491" s="28">
        <v>1.2641</v>
      </c>
      <c r="C2491" s="28">
        <v>1791090900</v>
      </c>
    </row>
    <row r="2492" spans="1:3" ht="15.5">
      <c r="A2492" s="29">
        <v>40932</v>
      </c>
      <c r="B2492" s="28">
        <v>1.2734000000000001</v>
      </c>
      <c r="C2492" s="28">
        <v>1804358240</v>
      </c>
    </row>
    <row r="2493" spans="1:3" ht="15.5">
      <c r="A2493" s="29">
        <v>40931</v>
      </c>
      <c r="B2493" s="28">
        <v>1.2781</v>
      </c>
      <c r="C2493" s="28">
        <v>1810991910</v>
      </c>
    </row>
    <row r="2494" spans="1:3" ht="15.5">
      <c r="A2494" s="29">
        <v>40928</v>
      </c>
      <c r="B2494" s="28">
        <v>1.2734000000000001</v>
      </c>
      <c r="C2494" s="28">
        <v>1804358240</v>
      </c>
    </row>
    <row r="2495" spans="1:3" ht="15.5">
      <c r="A2495" s="29">
        <v>40927</v>
      </c>
      <c r="B2495" s="28">
        <v>1.2687999999999999</v>
      </c>
      <c r="C2495" s="28">
        <v>1797724570</v>
      </c>
    </row>
    <row r="2496" spans="1:3" ht="15.5">
      <c r="A2496" s="29">
        <v>40926</v>
      </c>
      <c r="B2496" s="28">
        <v>1.2734000000000001</v>
      </c>
      <c r="C2496" s="28">
        <v>1804358240</v>
      </c>
    </row>
    <row r="2497" spans="1:3" ht="15.5">
      <c r="A2497" s="29">
        <v>40925</v>
      </c>
      <c r="B2497" s="28">
        <v>1.2922</v>
      </c>
      <c r="C2497" s="28">
        <v>1830892920</v>
      </c>
    </row>
    <row r="2498" spans="1:3" ht="15.5">
      <c r="A2498" s="29">
        <v>40924</v>
      </c>
      <c r="B2498" s="28">
        <v>1.3109</v>
      </c>
      <c r="C2498" s="28">
        <v>1857427600</v>
      </c>
    </row>
    <row r="2499" spans="1:3" ht="15.5">
      <c r="A2499" s="29">
        <v>40921</v>
      </c>
      <c r="B2499" s="28">
        <v>1.3202</v>
      </c>
      <c r="C2499" s="28">
        <v>1870694940</v>
      </c>
    </row>
    <row r="2500" spans="1:3" ht="15.5">
      <c r="A2500" s="29">
        <v>40920</v>
      </c>
      <c r="B2500" s="28">
        <v>1.3109</v>
      </c>
      <c r="C2500" s="28">
        <v>1857427600</v>
      </c>
    </row>
    <row r="2501" spans="1:3" ht="15.5">
      <c r="A2501" s="29">
        <v>40919</v>
      </c>
      <c r="B2501" s="28">
        <v>1.3015000000000001</v>
      </c>
      <c r="C2501" s="28">
        <v>1844160260</v>
      </c>
    </row>
    <row r="2502" spans="1:3" ht="15.5">
      <c r="A2502" s="29">
        <v>40918</v>
      </c>
      <c r="B2502" s="28">
        <v>1.3015000000000001</v>
      </c>
      <c r="C2502" s="28">
        <v>1844160260</v>
      </c>
    </row>
    <row r="2503" spans="1:3" ht="15.5">
      <c r="A2503" s="29">
        <v>40917</v>
      </c>
      <c r="B2503" s="28">
        <v>1.2875000000000001</v>
      </c>
      <c r="C2503" s="28">
        <v>1824259250</v>
      </c>
    </row>
    <row r="2504" spans="1:3" ht="15.5">
      <c r="A2504" s="29">
        <v>40914</v>
      </c>
      <c r="B2504" s="28">
        <v>1.2827999999999999</v>
      </c>
      <c r="C2504" s="28">
        <v>1817625580</v>
      </c>
    </row>
    <row r="2505" spans="1:3" ht="15.5">
      <c r="A2505" s="29">
        <v>40913</v>
      </c>
      <c r="B2505" s="28">
        <v>1.2922</v>
      </c>
      <c r="C2505" s="28">
        <v>1830892920</v>
      </c>
    </row>
    <row r="2506" spans="1:3" ht="15.5">
      <c r="A2506" s="29">
        <v>40912</v>
      </c>
      <c r="B2506" s="28">
        <v>1.3062</v>
      </c>
      <c r="C2506" s="28">
        <v>1850793930</v>
      </c>
    </row>
    <row r="2507" spans="1:3" ht="15.5">
      <c r="A2507" s="29">
        <v>40911</v>
      </c>
      <c r="B2507" s="28">
        <v>1.2922</v>
      </c>
      <c r="C2507" s="28">
        <v>1830892920</v>
      </c>
    </row>
    <row r="2508" spans="1:3" ht="15.5">
      <c r="A2508" s="29">
        <v>40907</v>
      </c>
      <c r="B2508" s="28">
        <v>1.2875000000000001</v>
      </c>
      <c r="C2508" s="28">
        <v>1824259250</v>
      </c>
    </row>
    <row r="2509" spans="1:3" ht="15.5">
      <c r="A2509" s="29">
        <v>40906</v>
      </c>
      <c r="B2509" s="28">
        <v>1.3015000000000001</v>
      </c>
      <c r="C2509" s="28">
        <v>1844160260</v>
      </c>
    </row>
    <row r="2510" spans="1:3" ht="15.5">
      <c r="A2510" s="29">
        <v>40905</v>
      </c>
      <c r="B2510" s="28">
        <v>1.2922</v>
      </c>
      <c r="C2510" s="28">
        <v>1830892920</v>
      </c>
    </row>
    <row r="2511" spans="1:3" ht="15.5">
      <c r="A2511" s="29">
        <v>40900</v>
      </c>
      <c r="B2511" s="28">
        <v>1.2827999999999999</v>
      </c>
      <c r="C2511" s="28">
        <v>1817625580</v>
      </c>
    </row>
    <row r="2512" spans="1:3" ht="15.5">
      <c r="A2512" s="29">
        <v>40899</v>
      </c>
      <c r="B2512" s="28">
        <v>1.2827999999999999</v>
      </c>
      <c r="C2512" s="28">
        <v>1817625580</v>
      </c>
    </row>
    <row r="2513" spans="1:3" ht="15.5">
      <c r="A2513" s="29">
        <v>40898</v>
      </c>
      <c r="B2513" s="28">
        <v>1.2922</v>
      </c>
      <c r="C2513" s="28">
        <v>1830892920</v>
      </c>
    </row>
    <row r="2514" spans="1:3" ht="15.5">
      <c r="A2514" s="29">
        <v>40897</v>
      </c>
      <c r="B2514" s="28">
        <v>1.2546999999999999</v>
      </c>
      <c r="C2514" s="28">
        <v>1777823560</v>
      </c>
    </row>
    <row r="2515" spans="1:3" ht="15.5">
      <c r="A2515" s="29">
        <v>40896</v>
      </c>
      <c r="B2515" s="28">
        <v>1.25</v>
      </c>
      <c r="C2515" s="28">
        <v>1771189890</v>
      </c>
    </row>
    <row r="2516" spans="1:3" ht="15.5">
      <c r="A2516" s="29">
        <v>40893</v>
      </c>
      <c r="B2516" s="28">
        <v>1.2687999999999999</v>
      </c>
      <c r="C2516" s="28">
        <v>1797724570</v>
      </c>
    </row>
    <row r="2517" spans="1:3" ht="15.5">
      <c r="A2517" s="29">
        <v>40892</v>
      </c>
      <c r="B2517" s="28">
        <v>1.2406999999999999</v>
      </c>
      <c r="C2517" s="28">
        <v>1757922550</v>
      </c>
    </row>
    <row r="2518" spans="1:3" ht="15.5">
      <c r="A2518" s="29">
        <v>40891</v>
      </c>
      <c r="B2518" s="28">
        <v>1.2406999999999999</v>
      </c>
      <c r="C2518" s="28">
        <v>1757922550</v>
      </c>
    </row>
    <row r="2519" spans="1:3" ht="15.5">
      <c r="A2519" s="29">
        <v>40890</v>
      </c>
      <c r="B2519" s="28">
        <v>1.2173</v>
      </c>
      <c r="C2519" s="28">
        <v>1724754200</v>
      </c>
    </row>
    <row r="2520" spans="1:3" ht="15.5">
      <c r="A2520" s="29">
        <v>40889</v>
      </c>
      <c r="B2520" s="28">
        <v>1.2079</v>
      </c>
      <c r="C2520" s="28">
        <v>1711486860</v>
      </c>
    </row>
    <row r="2521" spans="1:3" ht="15.5">
      <c r="A2521" s="29">
        <v>40886</v>
      </c>
      <c r="B2521" s="28">
        <v>1.1845000000000001</v>
      </c>
      <c r="C2521" s="28">
        <v>1678318510</v>
      </c>
    </row>
    <row r="2522" spans="1:3" ht="15.5">
      <c r="A2522" s="29">
        <v>40885</v>
      </c>
      <c r="B2522" s="28">
        <v>1.1984999999999999</v>
      </c>
      <c r="C2522" s="28">
        <v>1698219520</v>
      </c>
    </row>
    <row r="2523" spans="1:3" ht="15.5">
      <c r="A2523" s="29">
        <v>40884</v>
      </c>
      <c r="B2523" s="28">
        <v>1.2173</v>
      </c>
      <c r="C2523" s="28">
        <v>1724754200</v>
      </c>
    </row>
    <row r="2524" spans="1:3" ht="15.5">
      <c r="A2524" s="29">
        <v>40883</v>
      </c>
      <c r="B2524" s="28">
        <v>1.2032</v>
      </c>
      <c r="C2524" s="28">
        <v>1704853190</v>
      </c>
    </row>
    <row r="2525" spans="1:3" ht="15.5">
      <c r="A2525" s="29">
        <v>40882</v>
      </c>
      <c r="B2525" s="28">
        <v>1.236</v>
      </c>
      <c r="C2525" s="28">
        <v>1751288880</v>
      </c>
    </row>
    <row r="2526" spans="1:3" ht="15.5">
      <c r="A2526" s="29">
        <v>40879</v>
      </c>
      <c r="B2526" s="28">
        <v>1.2406999999999999</v>
      </c>
      <c r="C2526" s="28">
        <v>1757922550</v>
      </c>
    </row>
    <row r="2527" spans="1:3" ht="15.5">
      <c r="A2527" s="29">
        <v>40878</v>
      </c>
      <c r="B2527" s="28">
        <v>1.2079</v>
      </c>
      <c r="C2527" s="28">
        <v>1711486860</v>
      </c>
    </row>
    <row r="2528" spans="1:3" ht="15.5">
      <c r="A2528" s="29">
        <v>40877</v>
      </c>
      <c r="B2528" s="28">
        <v>1.1892</v>
      </c>
      <c r="C2528" s="28">
        <v>1684952180</v>
      </c>
    </row>
    <row r="2529" spans="1:3" ht="15.5">
      <c r="A2529" s="29">
        <v>40876</v>
      </c>
      <c r="B2529" s="28">
        <v>1.1892</v>
      </c>
      <c r="C2529" s="28">
        <v>1684952180</v>
      </c>
    </row>
    <row r="2530" spans="1:3" ht="15.5">
      <c r="A2530" s="29">
        <v>40875</v>
      </c>
      <c r="B2530" s="28">
        <v>1.1798</v>
      </c>
      <c r="C2530" s="28">
        <v>1671684840</v>
      </c>
    </row>
    <row r="2531" spans="1:3" ht="15.5">
      <c r="A2531" s="29">
        <v>40872</v>
      </c>
      <c r="B2531" s="28">
        <v>1.1751</v>
      </c>
      <c r="C2531" s="28">
        <v>1665051170</v>
      </c>
    </row>
    <row r="2532" spans="1:3" ht="15.5">
      <c r="A2532" s="29">
        <v>40871</v>
      </c>
      <c r="B2532" s="28">
        <v>1.1751</v>
      </c>
      <c r="C2532" s="28">
        <v>1665051170</v>
      </c>
    </row>
    <row r="2533" spans="1:3" ht="15.5">
      <c r="A2533" s="29">
        <v>40870</v>
      </c>
      <c r="B2533" s="28">
        <v>1.1704000000000001</v>
      </c>
      <c r="C2533" s="28">
        <v>1658417500</v>
      </c>
    </row>
    <row r="2534" spans="1:3" ht="15.5">
      <c r="A2534" s="29">
        <v>40869</v>
      </c>
      <c r="B2534" s="28">
        <v>1.1798</v>
      </c>
      <c r="C2534" s="28">
        <v>1671684840</v>
      </c>
    </row>
    <row r="2535" spans="1:3" ht="15.5">
      <c r="A2535" s="29">
        <v>40868</v>
      </c>
      <c r="B2535" s="28">
        <v>1.1892</v>
      </c>
      <c r="C2535" s="28">
        <v>1684952180</v>
      </c>
    </row>
    <row r="2536" spans="1:3" ht="15.5">
      <c r="A2536" s="29">
        <v>40865</v>
      </c>
      <c r="B2536" s="28">
        <v>1.1751</v>
      </c>
      <c r="C2536" s="28">
        <v>1665051170</v>
      </c>
    </row>
    <row r="2537" spans="1:3" ht="15.5">
      <c r="A2537" s="29">
        <v>40864</v>
      </c>
      <c r="B2537" s="28">
        <v>1.1798</v>
      </c>
      <c r="C2537" s="28">
        <v>1671684840</v>
      </c>
    </row>
    <row r="2538" spans="1:3" ht="15.5">
      <c r="A2538" s="29">
        <v>40863</v>
      </c>
      <c r="B2538" s="28">
        <v>1.1751</v>
      </c>
      <c r="C2538" s="28">
        <v>1665051170</v>
      </c>
    </row>
    <row r="2539" spans="1:3" ht="15.5">
      <c r="A2539" s="29">
        <v>40862</v>
      </c>
      <c r="B2539" s="28">
        <v>1.1938</v>
      </c>
      <c r="C2539" s="28">
        <v>1691585850</v>
      </c>
    </row>
    <row r="2540" spans="1:3" ht="15.5">
      <c r="A2540" s="29">
        <v>40861</v>
      </c>
      <c r="B2540" s="28">
        <v>1.1938</v>
      </c>
      <c r="C2540" s="28">
        <v>1691585850</v>
      </c>
    </row>
    <row r="2541" spans="1:3" ht="15.5">
      <c r="A2541" s="29">
        <v>40858</v>
      </c>
      <c r="B2541" s="28">
        <v>1.1845000000000001</v>
      </c>
      <c r="C2541" s="28">
        <v>1678318510</v>
      </c>
    </row>
    <row r="2542" spans="1:3" ht="15.5">
      <c r="A2542" s="29">
        <v>40857</v>
      </c>
      <c r="B2542" s="28">
        <v>1.1938</v>
      </c>
      <c r="C2542" s="28">
        <v>1691585850</v>
      </c>
    </row>
    <row r="2543" spans="1:3" ht="15.5">
      <c r="A2543" s="29">
        <v>40856</v>
      </c>
      <c r="B2543" s="28">
        <v>1.1892</v>
      </c>
      <c r="C2543" s="28">
        <v>1684952180</v>
      </c>
    </row>
    <row r="2544" spans="1:3" ht="15.5">
      <c r="A2544" s="29">
        <v>40855</v>
      </c>
      <c r="B2544" s="28">
        <v>1.1798</v>
      </c>
      <c r="C2544" s="28">
        <v>1671684840</v>
      </c>
    </row>
    <row r="2545" spans="1:3" ht="15.5">
      <c r="A2545" s="29">
        <v>40854</v>
      </c>
      <c r="B2545" s="28">
        <v>1.1751</v>
      </c>
      <c r="C2545" s="28">
        <v>1665051170</v>
      </c>
    </row>
    <row r="2546" spans="1:3" ht="15.5">
      <c r="A2546" s="29">
        <v>40851</v>
      </c>
      <c r="B2546" s="28">
        <v>1.1516999999999999</v>
      </c>
      <c r="C2546" s="28">
        <v>1631882820</v>
      </c>
    </row>
    <row r="2547" spans="1:3" ht="15.5">
      <c r="A2547" s="29">
        <v>40850</v>
      </c>
      <c r="B2547" s="28">
        <v>1.1283000000000001</v>
      </c>
      <c r="C2547" s="28">
        <v>1598714470</v>
      </c>
    </row>
    <row r="2548" spans="1:3" ht="15.5">
      <c r="A2548" s="29">
        <v>40849</v>
      </c>
      <c r="B2548" s="28">
        <v>1.1235999999999999</v>
      </c>
      <c r="C2548" s="28">
        <v>1592080800</v>
      </c>
    </row>
    <row r="2549" spans="1:3" ht="15.5">
      <c r="A2549" s="29">
        <v>40848</v>
      </c>
      <c r="B2549" s="28">
        <v>1.133</v>
      </c>
      <c r="C2549" s="28">
        <v>1605348140</v>
      </c>
    </row>
    <row r="2550" spans="1:3" ht="15.5">
      <c r="A2550" s="29">
        <v>40847</v>
      </c>
      <c r="B2550" s="28">
        <v>1.1376999999999999</v>
      </c>
      <c r="C2550" s="28">
        <v>1611981810</v>
      </c>
    </row>
    <row r="2551" spans="1:3" ht="15.5">
      <c r="A2551" s="29">
        <v>40844</v>
      </c>
      <c r="B2551" s="28">
        <v>1.1049</v>
      </c>
      <c r="C2551" s="28">
        <v>1565546120</v>
      </c>
    </row>
    <row r="2552" spans="1:3" ht="15.5">
      <c r="A2552" s="29">
        <v>40843</v>
      </c>
      <c r="B2552" s="28">
        <v>1.1095999999999999</v>
      </c>
      <c r="C2552" s="28">
        <v>1572179790</v>
      </c>
    </row>
    <row r="2553" spans="1:3" ht="15.5">
      <c r="A2553" s="29">
        <v>40842</v>
      </c>
      <c r="B2553" s="28">
        <v>1.1143000000000001</v>
      </c>
      <c r="C2553" s="28">
        <v>1578813460</v>
      </c>
    </row>
    <row r="2554" spans="1:3" ht="15.5">
      <c r="A2554" s="29">
        <v>40841</v>
      </c>
      <c r="B2554" s="28">
        <v>1.133</v>
      </c>
      <c r="C2554" s="28">
        <v>1605348140</v>
      </c>
    </row>
    <row r="2555" spans="1:3" ht="15.5">
      <c r="A2555" s="29">
        <v>40840</v>
      </c>
      <c r="B2555" s="28">
        <v>1.1516999999999999</v>
      </c>
      <c r="C2555" s="28">
        <v>1631882820</v>
      </c>
    </row>
    <row r="2556" spans="1:3" ht="15.5">
      <c r="A2556" s="29">
        <v>40837</v>
      </c>
      <c r="B2556" s="28">
        <v>1.133</v>
      </c>
      <c r="C2556" s="28">
        <v>1605348140</v>
      </c>
    </row>
    <row r="2557" spans="1:3" ht="15.5">
      <c r="A2557" s="29">
        <v>40836</v>
      </c>
      <c r="B2557" s="28">
        <v>1.133</v>
      </c>
      <c r="C2557" s="28">
        <v>1605348140</v>
      </c>
    </row>
    <row r="2558" spans="1:3" ht="15.5">
      <c r="A2558" s="29">
        <v>40835</v>
      </c>
      <c r="B2558" s="28">
        <v>1.1423000000000001</v>
      </c>
      <c r="C2558" s="28">
        <v>1618615480</v>
      </c>
    </row>
    <row r="2559" spans="1:3" ht="15.5">
      <c r="A2559" s="29">
        <v>40834</v>
      </c>
      <c r="B2559" s="28">
        <v>1.1189</v>
      </c>
      <c r="C2559" s="28">
        <v>1585447130</v>
      </c>
    </row>
    <row r="2560" spans="1:3" ht="15.5">
      <c r="A2560" s="29">
        <v>40833</v>
      </c>
      <c r="B2560" s="28">
        <v>1.147</v>
      </c>
      <c r="C2560" s="28">
        <v>1625249150</v>
      </c>
    </row>
    <row r="2561" spans="1:3" ht="15.5">
      <c r="A2561" s="29">
        <v>40830</v>
      </c>
      <c r="B2561" s="28">
        <v>1.1423000000000001</v>
      </c>
      <c r="C2561" s="28">
        <v>1618615480</v>
      </c>
    </row>
    <row r="2562" spans="1:3" ht="15.5">
      <c r="A2562" s="29">
        <v>40829</v>
      </c>
      <c r="B2562" s="28">
        <v>1.1376999999999999</v>
      </c>
      <c r="C2562" s="28">
        <v>1611981810</v>
      </c>
    </row>
    <row r="2563" spans="1:3" ht="15.5">
      <c r="A2563" s="29">
        <v>40828</v>
      </c>
      <c r="B2563" s="28">
        <v>1.1516999999999999</v>
      </c>
      <c r="C2563" s="28">
        <v>1631882820</v>
      </c>
    </row>
    <row r="2564" spans="1:3" ht="15.5">
      <c r="A2564" s="29">
        <v>40827</v>
      </c>
      <c r="B2564" s="28">
        <v>1.1564000000000001</v>
      </c>
      <c r="C2564" s="28">
        <v>1638516490</v>
      </c>
    </row>
    <row r="2565" spans="1:3" ht="15.5">
      <c r="A2565" s="29">
        <v>40826</v>
      </c>
      <c r="B2565" s="28">
        <v>1.1564000000000001</v>
      </c>
      <c r="C2565" s="28">
        <v>1638516490</v>
      </c>
    </row>
    <row r="2566" spans="1:3" ht="15.5">
      <c r="A2566" s="29">
        <v>40823</v>
      </c>
      <c r="B2566" s="28">
        <v>1.1516999999999999</v>
      </c>
      <c r="C2566" s="28">
        <v>1631882820</v>
      </c>
    </row>
    <row r="2567" spans="1:3" ht="15.5">
      <c r="A2567" s="29">
        <v>40822</v>
      </c>
      <c r="B2567" s="28">
        <v>1.1516999999999999</v>
      </c>
      <c r="C2567" s="28">
        <v>1631882820</v>
      </c>
    </row>
    <row r="2568" spans="1:3" ht="15.5">
      <c r="A2568" s="29">
        <v>40821</v>
      </c>
      <c r="B2568" s="28">
        <v>1.1423000000000001</v>
      </c>
      <c r="C2568" s="28">
        <v>1618615480</v>
      </c>
    </row>
    <row r="2569" spans="1:3" ht="15.5">
      <c r="A2569" s="29">
        <v>40820</v>
      </c>
      <c r="B2569" s="28">
        <v>1.147</v>
      </c>
      <c r="C2569" s="28">
        <v>1625249150</v>
      </c>
    </row>
    <row r="2570" spans="1:3" ht="15.5">
      <c r="A2570" s="29">
        <v>40819</v>
      </c>
      <c r="B2570" s="28">
        <v>1.1423000000000001</v>
      </c>
      <c r="C2570" s="28">
        <v>1618615480</v>
      </c>
    </row>
    <row r="2571" spans="1:3" ht="15.5">
      <c r="A2571" s="29">
        <v>40816</v>
      </c>
      <c r="B2571" s="28">
        <v>1.1657999999999999</v>
      </c>
      <c r="C2571" s="28">
        <v>1651783830</v>
      </c>
    </row>
    <row r="2572" spans="1:3" ht="15.5">
      <c r="A2572" s="29">
        <v>40815</v>
      </c>
      <c r="B2572" s="28">
        <v>1.1798</v>
      </c>
      <c r="C2572" s="28">
        <v>1671684840</v>
      </c>
    </row>
    <row r="2573" spans="1:3" ht="15.5">
      <c r="A2573" s="29">
        <v>40814</v>
      </c>
      <c r="B2573" s="28">
        <v>1.1564000000000001</v>
      </c>
      <c r="C2573" s="28">
        <v>1638516490</v>
      </c>
    </row>
    <row r="2574" spans="1:3" ht="15.5">
      <c r="A2574" s="29">
        <v>40813</v>
      </c>
      <c r="B2574" s="28">
        <v>1.1611</v>
      </c>
      <c r="C2574" s="28">
        <v>1645150160</v>
      </c>
    </row>
    <row r="2575" spans="1:3" ht="15.5">
      <c r="A2575" s="29">
        <v>40812</v>
      </c>
      <c r="B2575" s="28">
        <v>1.1423000000000001</v>
      </c>
      <c r="C2575" s="28">
        <v>1618615480</v>
      </c>
    </row>
    <row r="2576" spans="1:3" ht="15.5">
      <c r="A2576" s="29">
        <v>40809</v>
      </c>
      <c r="B2576" s="28">
        <v>1.1423000000000001</v>
      </c>
      <c r="C2576" s="28">
        <v>1618615480</v>
      </c>
    </row>
    <row r="2577" spans="1:3" ht="15.5">
      <c r="A2577" s="29">
        <v>40808</v>
      </c>
      <c r="B2577" s="28">
        <v>1.1704000000000001</v>
      </c>
      <c r="C2577" s="28">
        <v>1658417500</v>
      </c>
    </row>
    <row r="2578" spans="1:3" ht="15.5">
      <c r="A2578" s="29">
        <v>40807</v>
      </c>
      <c r="B2578" s="28">
        <v>1.1798</v>
      </c>
      <c r="C2578" s="28">
        <v>1671684840</v>
      </c>
    </row>
    <row r="2579" spans="1:3" ht="15.5">
      <c r="A2579" s="29">
        <v>40806</v>
      </c>
      <c r="B2579" s="28">
        <v>1.1751</v>
      </c>
      <c r="C2579" s="28">
        <v>1665051170</v>
      </c>
    </row>
    <row r="2580" spans="1:3" ht="15.5">
      <c r="A2580" s="29">
        <v>40805</v>
      </c>
      <c r="B2580" s="28">
        <v>1.1751</v>
      </c>
      <c r="C2580" s="28">
        <v>1665051170</v>
      </c>
    </row>
    <row r="2581" spans="1:3" ht="15.5">
      <c r="A2581" s="29">
        <v>40802</v>
      </c>
      <c r="B2581" s="28">
        <v>1.2079</v>
      </c>
      <c r="C2581" s="28">
        <v>1711486860</v>
      </c>
    </row>
    <row r="2582" spans="1:3" ht="15.5">
      <c r="A2582" s="29">
        <v>40801</v>
      </c>
      <c r="B2582" s="28">
        <v>1.2125999999999999</v>
      </c>
      <c r="C2582" s="28">
        <v>1718120530</v>
      </c>
    </row>
    <row r="2583" spans="1:3" ht="15.5">
      <c r="A2583" s="29">
        <v>40800</v>
      </c>
      <c r="B2583" s="28">
        <v>1.1938</v>
      </c>
      <c r="C2583" s="28">
        <v>1691585850</v>
      </c>
    </row>
    <row r="2584" spans="1:3" ht="15.5">
      <c r="A2584" s="29">
        <v>40799</v>
      </c>
      <c r="B2584" s="28">
        <v>1.2032</v>
      </c>
      <c r="C2584" s="28">
        <v>1704853190</v>
      </c>
    </row>
    <row r="2585" spans="1:3" ht="15.5">
      <c r="A2585" s="29">
        <v>40798</v>
      </c>
      <c r="B2585" s="28">
        <v>1.1751</v>
      </c>
      <c r="C2585" s="28">
        <v>1665051170</v>
      </c>
    </row>
    <row r="2586" spans="1:3" ht="15.5">
      <c r="A2586" s="29">
        <v>40795</v>
      </c>
      <c r="B2586" s="28">
        <v>1.2219</v>
      </c>
      <c r="C2586" s="28">
        <v>1731387870</v>
      </c>
    </row>
    <row r="2587" spans="1:3" ht="15.5">
      <c r="A2587" s="29">
        <v>40794</v>
      </c>
      <c r="B2587" s="28">
        <v>1.1984999999999999</v>
      </c>
      <c r="C2587" s="28">
        <v>1698219520</v>
      </c>
    </row>
    <row r="2588" spans="1:3" ht="15.5">
      <c r="A2588" s="29">
        <v>40793</v>
      </c>
      <c r="B2588" s="28">
        <v>1.1798</v>
      </c>
      <c r="C2588" s="28">
        <v>1671684840</v>
      </c>
    </row>
    <row r="2589" spans="1:3" ht="15.5">
      <c r="A2589" s="29">
        <v>40792</v>
      </c>
      <c r="B2589" s="28">
        <v>1.1798</v>
      </c>
      <c r="C2589" s="28">
        <v>1671684840</v>
      </c>
    </row>
    <row r="2590" spans="1:3" ht="15.5">
      <c r="A2590" s="29">
        <v>40791</v>
      </c>
      <c r="B2590" s="28">
        <v>1.1704000000000001</v>
      </c>
      <c r="C2590" s="28">
        <v>1658417500</v>
      </c>
    </row>
    <row r="2591" spans="1:3" ht="15.5">
      <c r="A2591" s="29">
        <v>40788</v>
      </c>
      <c r="B2591" s="28">
        <v>1.1798</v>
      </c>
      <c r="C2591" s="28">
        <v>1671684840</v>
      </c>
    </row>
    <row r="2592" spans="1:3" ht="15.5">
      <c r="A2592" s="29">
        <v>40787</v>
      </c>
      <c r="B2592" s="28">
        <v>1.1845000000000001</v>
      </c>
      <c r="C2592" s="28">
        <v>1678318510</v>
      </c>
    </row>
    <row r="2593" spans="1:3" ht="15.5">
      <c r="A2593" s="29">
        <v>40786</v>
      </c>
      <c r="B2593" s="28">
        <v>1.1751</v>
      </c>
      <c r="C2593" s="28">
        <v>1665051170</v>
      </c>
    </row>
    <row r="2594" spans="1:3" ht="15.5">
      <c r="A2594" s="29">
        <v>40785</v>
      </c>
      <c r="B2594" s="28">
        <v>1.2313000000000001</v>
      </c>
      <c r="C2594" s="28">
        <v>1744655210</v>
      </c>
    </row>
    <row r="2595" spans="1:3" ht="15.5">
      <c r="A2595" s="29">
        <v>40784</v>
      </c>
      <c r="B2595" s="28">
        <v>1.2313000000000001</v>
      </c>
      <c r="C2595" s="28">
        <v>1744655210</v>
      </c>
    </row>
    <row r="2596" spans="1:3" ht="15.5">
      <c r="A2596" s="29">
        <v>40781</v>
      </c>
      <c r="B2596" s="28">
        <v>1.2313000000000001</v>
      </c>
      <c r="C2596" s="28">
        <v>1744655210</v>
      </c>
    </row>
    <row r="2597" spans="1:3" ht="15.5">
      <c r="A2597" s="29">
        <v>40780</v>
      </c>
      <c r="B2597" s="28">
        <v>1.2406999999999999</v>
      </c>
      <c r="C2597" s="28">
        <v>1757922550</v>
      </c>
    </row>
    <row r="2598" spans="1:3" ht="15.5">
      <c r="A2598" s="29">
        <v>40779</v>
      </c>
      <c r="B2598" s="28">
        <v>1.2265999999999999</v>
      </c>
      <c r="C2598" s="28">
        <v>1738021540</v>
      </c>
    </row>
    <row r="2599" spans="1:3" ht="15.5">
      <c r="A2599" s="29">
        <v>40778</v>
      </c>
      <c r="B2599" s="28">
        <v>1.2265999999999999</v>
      </c>
      <c r="C2599" s="28">
        <v>1738021540</v>
      </c>
    </row>
    <row r="2600" spans="1:3" ht="15.5">
      <c r="A2600" s="29">
        <v>40777</v>
      </c>
      <c r="B2600" s="28">
        <v>1.1984999999999999</v>
      </c>
      <c r="C2600" s="28">
        <v>1698219520</v>
      </c>
    </row>
    <row r="2601" spans="1:3" ht="15.5">
      <c r="A2601" s="29">
        <v>40774</v>
      </c>
      <c r="B2601" s="28">
        <v>1.1938</v>
      </c>
      <c r="C2601" s="28">
        <v>1691585850</v>
      </c>
    </row>
    <row r="2602" spans="1:3" ht="15.5">
      <c r="A2602" s="29">
        <v>40773</v>
      </c>
      <c r="B2602" s="28">
        <v>1.2079</v>
      </c>
      <c r="C2602" s="28">
        <v>1711486860</v>
      </c>
    </row>
    <row r="2603" spans="1:3" ht="15.5">
      <c r="A2603" s="29">
        <v>40772</v>
      </c>
      <c r="B2603" s="28">
        <v>1.2173</v>
      </c>
      <c r="C2603" s="28">
        <v>1724754200</v>
      </c>
    </row>
    <row r="2604" spans="1:3" ht="15.5">
      <c r="A2604" s="29">
        <v>40771</v>
      </c>
      <c r="B2604" s="28">
        <v>1.1984999999999999</v>
      </c>
      <c r="C2604" s="28">
        <v>1698219520</v>
      </c>
    </row>
    <row r="2605" spans="1:3" ht="15.5">
      <c r="A2605" s="29">
        <v>40770</v>
      </c>
      <c r="B2605" s="28">
        <v>1.1938</v>
      </c>
      <c r="C2605" s="28">
        <v>1691585850</v>
      </c>
    </row>
    <row r="2606" spans="1:3" ht="15.5">
      <c r="A2606" s="29">
        <v>40767</v>
      </c>
      <c r="B2606" s="28">
        <v>1.1751</v>
      </c>
      <c r="C2606" s="28">
        <v>1665051170</v>
      </c>
    </row>
    <row r="2607" spans="1:3" ht="15.5">
      <c r="A2607" s="29">
        <v>40766</v>
      </c>
      <c r="B2607" s="28">
        <v>1.1704000000000001</v>
      </c>
      <c r="C2607" s="28">
        <v>1658417500</v>
      </c>
    </row>
    <row r="2608" spans="1:3" ht="15.5">
      <c r="A2608" s="29">
        <v>40765</v>
      </c>
      <c r="B2608" s="28">
        <v>1.1845000000000001</v>
      </c>
      <c r="C2608" s="28">
        <v>1678318510</v>
      </c>
    </row>
    <row r="2609" spans="1:3" ht="15.5">
      <c r="A2609" s="29">
        <v>40764</v>
      </c>
      <c r="B2609" s="28">
        <v>1.1516999999999999</v>
      </c>
      <c r="C2609" s="28">
        <v>1631882820</v>
      </c>
    </row>
    <row r="2610" spans="1:3" ht="15.5">
      <c r="A2610" s="29">
        <v>40763</v>
      </c>
      <c r="B2610" s="28">
        <v>1.133</v>
      </c>
      <c r="C2610" s="28">
        <v>1605348140</v>
      </c>
    </row>
    <row r="2611" spans="1:3" ht="15.5">
      <c r="A2611" s="29">
        <v>40760</v>
      </c>
      <c r="B2611" s="28">
        <v>1.1751</v>
      </c>
      <c r="C2611" s="28">
        <v>1665051170</v>
      </c>
    </row>
    <row r="2612" spans="1:3" ht="15.5">
      <c r="A2612" s="29">
        <v>40759</v>
      </c>
      <c r="B2612" s="28">
        <v>1.2173</v>
      </c>
      <c r="C2612" s="28">
        <v>1724754200</v>
      </c>
    </row>
    <row r="2613" spans="1:3" ht="15.5">
      <c r="A2613" s="29">
        <v>40758</v>
      </c>
      <c r="B2613" s="28">
        <v>1.2219</v>
      </c>
      <c r="C2613" s="28">
        <v>1731387870</v>
      </c>
    </row>
    <row r="2614" spans="1:3" ht="15.5">
      <c r="A2614" s="29">
        <v>40757</v>
      </c>
      <c r="B2614" s="28">
        <v>1.2313000000000001</v>
      </c>
      <c r="C2614" s="28">
        <v>1744655210</v>
      </c>
    </row>
    <row r="2615" spans="1:3" ht="15.5">
      <c r="A2615" s="29">
        <v>40756</v>
      </c>
      <c r="B2615" s="28">
        <v>1.25</v>
      </c>
      <c r="C2615" s="28">
        <v>1771189890</v>
      </c>
    </row>
    <row r="2616" spans="1:3" ht="15.5">
      <c r="A2616" s="29">
        <v>40753</v>
      </c>
      <c r="B2616" s="28">
        <v>1.2173</v>
      </c>
      <c r="C2616" s="28">
        <v>1724754200</v>
      </c>
    </row>
    <row r="2617" spans="1:3" ht="15.5">
      <c r="A2617" s="29">
        <v>40752</v>
      </c>
      <c r="B2617" s="28">
        <v>1.1892</v>
      </c>
      <c r="C2617" s="28">
        <v>1684952180</v>
      </c>
    </row>
    <row r="2618" spans="1:3" ht="15.5">
      <c r="A2618" s="29">
        <v>40751</v>
      </c>
      <c r="B2618" s="28">
        <v>1.1938</v>
      </c>
      <c r="C2618" s="28">
        <v>1691585850</v>
      </c>
    </row>
    <row r="2619" spans="1:3" ht="15.5">
      <c r="A2619" s="29">
        <v>40750</v>
      </c>
      <c r="B2619" s="28">
        <v>1.2032</v>
      </c>
      <c r="C2619" s="28">
        <v>1704853190</v>
      </c>
    </row>
    <row r="2620" spans="1:3" ht="15.5">
      <c r="A2620" s="29">
        <v>40749</v>
      </c>
      <c r="B2620" s="28">
        <v>1.1892</v>
      </c>
      <c r="C2620" s="28">
        <v>1684952180</v>
      </c>
    </row>
    <row r="2621" spans="1:3" ht="15.5">
      <c r="A2621" s="29">
        <v>40746</v>
      </c>
      <c r="B2621" s="28">
        <v>1.2173</v>
      </c>
      <c r="C2621" s="28">
        <v>1724754200</v>
      </c>
    </row>
    <row r="2622" spans="1:3" ht="15.5">
      <c r="A2622" s="29">
        <v>40745</v>
      </c>
      <c r="B2622" s="28">
        <v>1.2173</v>
      </c>
      <c r="C2622" s="28">
        <v>1724754200</v>
      </c>
    </row>
    <row r="2623" spans="1:3" ht="15.5">
      <c r="A2623" s="29">
        <v>40744</v>
      </c>
      <c r="B2623" s="28">
        <v>1.2173</v>
      </c>
      <c r="C2623" s="28">
        <v>1724754200</v>
      </c>
    </row>
    <row r="2624" spans="1:3" ht="15.5">
      <c r="A2624" s="29">
        <v>40743</v>
      </c>
      <c r="B2624" s="28">
        <v>1.2173</v>
      </c>
      <c r="C2624" s="28">
        <v>1724754200</v>
      </c>
    </row>
    <row r="2625" spans="1:3" ht="15.5">
      <c r="A2625" s="29">
        <v>40742</v>
      </c>
      <c r="B2625" s="28">
        <v>1.2173</v>
      </c>
      <c r="C2625" s="28">
        <v>1724754200</v>
      </c>
    </row>
    <row r="2626" spans="1:3" ht="15.5">
      <c r="A2626" s="29">
        <v>40739</v>
      </c>
      <c r="B2626" s="28">
        <v>1.1938</v>
      </c>
      <c r="C2626" s="28">
        <v>1691585850</v>
      </c>
    </row>
    <row r="2627" spans="1:3" ht="15.5">
      <c r="A2627" s="29">
        <v>40738</v>
      </c>
      <c r="B2627" s="28">
        <v>1.2219</v>
      </c>
      <c r="C2627" s="28">
        <v>1731387870</v>
      </c>
    </row>
    <row r="2628" spans="1:3" ht="15.5">
      <c r="A2628" s="29">
        <v>40737</v>
      </c>
      <c r="B2628" s="28">
        <v>1.2265999999999999</v>
      </c>
      <c r="C2628" s="28">
        <v>1738021540</v>
      </c>
    </row>
    <row r="2629" spans="1:3" ht="15.5">
      <c r="A2629" s="29">
        <v>40736</v>
      </c>
      <c r="B2629" s="28">
        <v>1.2173</v>
      </c>
      <c r="C2629" s="28">
        <v>1724754200</v>
      </c>
    </row>
    <row r="2630" spans="1:3" ht="15.5">
      <c r="A2630" s="29">
        <v>40735</v>
      </c>
      <c r="B2630" s="28">
        <v>1.236</v>
      </c>
      <c r="C2630" s="28">
        <v>1751288880</v>
      </c>
    </row>
    <row r="2631" spans="1:3" ht="15.5">
      <c r="A2631" s="29">
        <v>40732</v>
      </c>
      <c r="B2631" s="28">
        <v>1.2406999999999999</v>
      </c>
      <c r="C2631" s="28">
        <v>1757922550</v>
      </c>
    </row>
    <row r="2632" spans="1:3" ht="15.5">
      <c r="A2632" s="29">
        <v>40731</v>
      </c>
      <c r="B2632" s="28">
        <v>1.2173</v>
      </c>
      <c r="C2632" s="28">
        <v>1724754200</v>
      </c>
    </row>
    <row r="2633" spans="1:3" ht="15.5">
      <c r="A2633" s="29">
        <v>40730</v>
      </c>
      <c r="B2633" s="28">
        <v>1.2313000000000001</v>
      </c>
      <c r="C2633" s="28">
        <v>1744655210</v>
      </c>
    </row>
    <row r="2634" spans="1:3" ht="15.5">
      <c r="A2634" s="29">
        <v>40729</v>
      </c>
      <c r="B2634" s="28">
        <v>1.2406999999999999</v>
      </c>
      <c r="C2634" s="28">
        <v>1757922550</v>
      </c>
    </row>
    <row r="2635" spans="1:3" ht="15.5">
      <c r="A2635" s="29">
        <v>40728</v>
      </c>
      <c r="B2635" s="28">
        <v>1.2265999999999999</v>
      </c>
      <c r="C2635" s="28">
        <v>1738021540</v>
      </c>
    </row>
    <row r="2636" spans="1:3" ht="15.5">
      <c r="A2636" s="29">
        <v>40725</v>
      </c>
      <c r="B2636" s="28">
        <v>1.2173</v>
      </c>
      <c r="C2636" s="28">
        <v>1724754200</v>
      </c>
    </row>
    <row r="2637" spans="1:3" ht="15.5">
      <c r="A2637" s="29">
        <v>40724</v>
      </c>
      <c r="B2637" s="28">
        <v>1.2079</v>
      </c>
      <c r="C2637" s="28">
        <v>1711486860</v>
      </c>
    </row>
    <row r="2638" spans="1:3" ht="15.5">
      <c r="A2638" s="29">
        <v>40723</v>
      </c>
      <c r="B2638" s="28">
        <v>1.1798</v>
      </c>
      <c r="C2638" s="28">
        <v>1671684840</v>
      </c>
    </row>
    <row r="2639" spans="1:3" ht="15.5">
      <c r="A2639" s="29">
        <v>40722</v>
      </c>
      <c r="B2639" s="28">
        <v>1.1704000000000001</v>
      </c>
      <c r="C2639" s="28">
        <v>1658417500</v>
      </c>
    </row>
    <row r="2640" spans="1:3" ht="15.5">
      <c r="A2640" s="29">
        <v>40721</v>
      </c>
      <c r="B2640" s="28">
        <v>1.1611</v>
      </c>
      <c r="C2640" s="28">
        <v>1645150160</v>
      </c>
    </row>
    <row r="2641" spans="1:3" ht="15.5">
      <c r="A2641" s="29">
        <v>40718</v>
      </c>
      <c r="B2641" s="28">
        <v>1.1516999999999999</v>
      </c>
      <c r="C2641" s="28">
        <v>1631882820</v>
      </c>
    </row>
    <row r="2642" spans="1:3" ht="15.5">
      <c r="A2642" s="29">
        <v>40717</v>
      </c>
      <c r="B2642" s="28">
        <v>1.1751</v>
      </c>
      <c r="C2642" s="28">
        <v>1665051170</v>
      </c>
    </row>
    <row r="2643" spans="1:3" ht="15.5">
      <c r="A2643" s="29">
        <v>40716</v>
      </c>
      <c r="B2643" s="28">
        <v>1.1892</v>
      </c>
      <c r="C2643" s="28">
        <v>1684952180</v>
      </c>
    </row>
    <row r="2644" spans="1:3" ht="15.5">
      <c r="A2644" s="29">
        <v>40715</v>
      </c>
      <c r="B2644" s="28">
        <v>1.1984999999999999</v>
      </c>
      <c r="C2644" s="28">
        <v>1698219520</v>
      </c>
    </row>
    <row r="2645" spans="1:3" ht="15.5">
      <c r="A2645" s="29">
        <v>40714</v>
      </c>
      <c r="B2645" s="28">
        <v>1.1704000000000001</v>
      </c>
      <c r="C2645" s="28">
        <v>1658417500</v>
      </c>
    </row>
    <row r="2646" spans="1:3" ht="15.5">
      <c r="A2646" s="29">
        <v>40711</v>
      </c>
      <c r="B2646" s="28">
        <v>1.1845000000000001</v>
      </c>
      <c r="C2646" s="28">
        <v>1678318510</v>
      </c>
    </row>
    <row r="2647" spans="1:3" ht="15.5">
      <c r="A2647" s="29">
        <v>40710</v>
      </c>
      <c r="B2647" s="28">
        <v>1.2313000000000001</v>
      </c>
      <c r="C2647" s="28">
        <v>1744655210</v>
      </c>
    </row>
    <row r="2648" spans="1:3" ht="15.5">
      <c r="A2648" s="29">
        <v>40709</v>
      </c>
      <c r="B2648" s="28">
        <v>1.2125999999999999</v>
      </c>
      <c r="C2648" s="28">
        <v>1718120530</v>
      </c>
    </row>
    <row r="2649" spans="1:3" ht="15.5">
      <c r="A2649" s="29">
        <v>40708</v>
      </c>
      <c r="B2649" s="28">
        <v>1.1892</v>
      </c>
      <c r="C2649" s="28">
        <v>1684952180</v>
      </c>
    </row>
    <row r="2650" spans="1:3" ht="15.5">
      <c r="A2650" s="29">
        <v>40704</v>
      </c>
      <c r="B2650" s="28">
        <v>1.1845000000000001</v>
      </c>
      <c r="C2650" s="28">
        <v>1678318510</v>
      </c>
    </row>
    <row r="2651" spans="1:3" ht="15.5">
      <c r="A2651" s="29">
        <v>40703</v>
      </c>
      <c r="B2651" s="28">
        <v>1.2079</v>
      </c>
      <c r="C2651" s="28">
        <v>1711486860</v>
      </c>
    </row>
    <row r="2652" spans="1:3" ht="15.5">
      <c r="A2652" s="29">
        <v>40702</v>
      </c>
      <c r="B2652" s="28">
        <v>1.1845000000000001</v>
      </c>
      <c r="C2652" s="28">
        <v>1678318510</v>
      </c>
    </row>
    <row r="2653" spans="1:3" ht="15.5">
      <c r="A2653" s="29">
        <v>40701</v>
      </c>
      <c r="B2653" s="28">
        <v>1.1892</v>
      </c>
      <c r="C2653" s="28">
        <v>1684952180</v>
      </c>
    </row>
    <row r="2654" spans="1:3" ht="15.5">
      <c r="A2654" s="29">
        <v>40700</v>
      </c>
      <c r="B2654" s="28">
        <v>1.1984999999999999</v>
      </c>
      <c r="C2654" s="28">
        <v>1698219520</v>
      </c>
    </row>
    <row r="2655" spans="1:3" ht="15.5">
      <c r="A2655" s="29">
        <v>40697</v>
      </c>
      <c r="B2655" s="28">
        <v>1.1657999999999999</v>
      </c>
      <c r="C2655" s="28">
        <v>1651783830</v>
      </c>
    </row>
    <row r="2656" spans="1:3" ht="15.5">
      <c r="A2656" s="29">
        <v>40696</v>
      </c>
      <c r="B2656" s="28">
        <v>1.1657999999999999</v>
      </c>
      <c r="C2656" s="28">
        <v>1651783830</v>
      </c>
    </row>
    <row r="2657" spans="1:3" ht="15.5">
      <c r="A2657" s="29">
        <v>40695</v>
      </c>
      <c r="B2657" s="28">
        <v>1.1845000000000001</v>
      </c>
      <c r="C2657" s="28">
        <v>1678318510</v>
      </c>
    </row>
    <row r="2658" spans="1:3" ht="15.5">
      <c r="A2658" s="29">
        <v>40694</v>
      </c>
      <c r="B2658" s="28">
        <v>1.1564000000000001</v>
      </c>
      <c r="C2658" s="28">
        <v>1638516490</v>
      </c>
    </row>
    <row r="2659" spans="1:3" ht="15.5">
      <c r="A2659" s="29">
        <v>40693</v>
      </c>
      <c r="B2659" s="28">
        <v>1.1564000000000001</v>
      </c>
      <c r="C2659" s="28">
        <v>1638516490</v>
      </c>
    </row>
    <row r="2660" spans="1:3" ht="15.5">
      <c r="A2660" s="29">
        <v>40690</v>
      </c>
      <c r="B2660" s="28">
        <v>1.1564000000000001</v>
      </c>
      <c r="C2660" s="28">
        <v>1638516490</v>
      </c>
    </row>
    <row r="2661" spans="1:3" ht="15.5">
      <c r="A2661" s="29">
        <v>40689</v>
      </c>
      <c r="B2661" s="28">
        <v>1.1376999999999999</v>
      </c>
      <c r="C2661" s="28">
        <v>1611981810</v>
      </c>
    </row>
    <row r="2662" spans="1:3" ht="15.5">
      <c r="A2662" s="29">
        <v>40688</v>
      </c>
      <c r="B2662" s="28">
        <v>1.1143000000000001</v>
      </c>
      <c r="C2662" s="28">
        <v>1578813460</v>
      </c>
    </row>
    <row r="2663" spans="1:3" ht="15.5">
      <c r="A2663" s="29">
        <v>40687</v>
      </c>
      <c r="B2663" s="28">
        <v>1.1189</v>
      </c>
      <c r="C2663" s="28">
        <v>1585447130</v>
      </c>
    </row>
    <row r="2664" spans="1:3" ht="15.5">
      <c r="A2664" s="29">
        <v>40686</v>
      </c>
      <c r="B2664" s="28">
        <v>1.1049</v>
      </c>
      <c r="C2664" s="28">
        <v>1565546120</v>
      </c>
    </row>
    <row r="2665" spans="1:3" ht="15.5">
      <c r="A2665" s="29">
        <v>40683</v>
      </c>
      <c r="B2665" s="28">
        <v>1.1143000000000001</v>
      </c>
      <c r="C2665" s="28">
        <v>1578813460</v>
      </c>
    </row>
    <row r="2666" spans="1:3" ht="15.5">
      <c r="A2666" s="29">
        <v>40682</v>
      </c>
      <c r="B2666" s="28">
        <v>1.1095999999999999</v>
      </c>
      <c r="C2666" s="28">
        <v>1572179790</v>
      </c>
    </row>
    <row r="2667" spans="1:3" ht="15.5">
      <c r="A2667" s="29">
        <v>40681</v>
      </c>
      <c r="B2667" s="28">
        <v>1.1189</v>
      </c>
      <c r="C2667" s="28">
        <v>1585447130</v>
      </c>
    </row>
    <row r="2668" spans="1:3" ht="15.5">
      <c r="A2668" s="29">
        <v>40680</v>
      </c>
      <c r="B2668" s="28">
        <v>1.1235999999999999</v>
      </c>
      <c r="C2668" s="28">
        <v>1592080800</v>
      </c>
    </row>
    <row r="2669" spans="1:3" ht="15.5">
      <c r="A2669" s="29">
        <v>40679</v>
      </c>
      <c r="B2669" s="28">
        <v>1.1189</v>
      </c>
      <c r="C2669" s="28">
        <v>1585447130</v>
      </c>
    </row>
    <row r="2670" spans="1:3" ht="15.5">
      <c r="A2670" s="29">
        <v>40676</v>
      </c>
      <c r="B2670" s="28">
        <v>1.1235999999999999</v>
      </c>
      <c r="C2670" s="28">
        <v>1592080800</v>
      </c>
    </row>
    <row r="2671" spans="1:3" ht="15.5">
      <c r="A2671" s="29">
        <v>40675</v>
      </c>
      <c r="B2671" s="28">
        <v>1.1049</v>
      </c>
      <c r="C2671" s="28">
        <v>1565546120</v>
      </c>
    </row>
    <row r="2672" spans="1:3" ht="15.5">
      <c r="A2672" s="29">
        <v>40674</v>
      </c>
      <c r="B2672" s="28">
        <v>1.1049</v>
      </c>
      <c r="C2672" s="28">
        <v>1565546120</v>
      </c>
    </row>
    <row r="2673" spans="1:3" ht="15.5">
      <c r="A2673" s="29">
        <v>40673</v>
      </c>
      <c r="B2673" s="28">
        <v>1.0954999999999999</v>
      </c>
      <c r="C2673" s="28">
        <v>1552278780</v>
      </c>
    </row>
    <row r="2674" spans="1:3" ht="15.5">
      <c r="A2674" s="29">
        <v>40672</v>
      </c>
      <c r="B2674" s="28">
        <v>1.1002000000000001</v>
      </c>
      <c r="C2674" s="28">
        <v>1558912450</v>
      </c>
    </row>
    <row r="2675" spans="1:3" ht="15.5">
      <c r="A2675" s="29">
        <v>40669</v>
      </c>
      <c r="B2675" s="28">
        <v>1.1095999999999999</v>
      </c>
      <c r="C2675" s="28">
        <v>1572179790</v>
      </c>
    </row>
    <row r="2676" spans="1:3" ht="15.5">
      <c r="A2676" s="29">
        <v>40668</v>
      </c>
      <c r="B2676" s="28">
        <v>1.1002000000000001</v>
      </c>
      <c r="C2676" s="28">
        <v>1558912450</v>
      </c>
    </row>
    <row r="2677" spans="1:3" ht="15.5">
      <c r="A2677" s="29">
        <v>40667</v>
      </c>
      <c r="B2677" s="28">
        <v>1.1002000000000001</v>
      </c>
      <c r="C2677" s="28">
        <v>1558912450</v>
      </c>
    </row>
    <row r="2678" spans="1:3" ht="15.5">
      <c r="A2678" s="29">
        <v>40666</v>
      </c>
      <c r="B2678" s="28">
        <v>1.1049</v>
      </c>
      <c r="C2678" s="28">
        <v>1565546120</v>
      </c>
    </row>
    <row r="2679" spans="1:3" ht="15.5">
      <c r="A2679" s="29">
        <v>40665</v>
      </c>
      <c r="B2679" s="28">
        <v>1.1049</v>
      </c>
      <c r="C2679" s="28">
        <v>1565546120</v>
      </c>
    </row>
    <row r="2680" spans="1:3" ht="15.5">
      <c r="A2680" s="29">
        <v>40662</v>
      </c>
      <c r="B2680" s="28">
        <v>1.1095999999999999</v>
      </c>
      <c r="C2680" s="28">
        <v>1572179790</v>
      </c>
    </row>
    <row r="2681" spans="1:3" ht="15.5">
      <c r="A2681" s="29">
        <v>40661</v>
      </c>
      <c r="B2681" s="28">
        <v>1.1002000000000001</v>
      </c>
      <c r="C2681" s="28">
        <v>1558912450</v>
      </c>
    </row>
    <row r="2682" spans="1:3" ht="15.5">
      <c r="A2682" s="29">
        <v>40660</v>
      </c>
      <c r="B2682" s="28">
        <v>1.1049</v>
      </c>
      <c r="C2682" s="28">
        <v>1565546120</v>
      </c>
    </row>
    <row r="2683" spans="1:3" ht="15.5">
      <c r="A2683" s="29">
        <v>40654</v>
      </c>
      <c r="B2683" s="28">
        <v>1.1095999999999999</v>
      </c>
      <c r="C2683" s="28">
        <v>1572179790</v>
      </c>
    </row>
    <row r="2684" spans="1:3" ht="15.5">
      <c r="A2684" s="29">
        <v>40653</v>
      </c>
      <c r="B2684" s="28">
        <v>1.1049</v>
      </c>
      <c r="C2684" s="28">
        <v>1565546120</v>
      </c>
    </row>
    <row r="2685" spans="1:3" ht="15.5">
      <c r="A2685" s="29">
        <v>40652</v>
      </c>
      <c r="B2685" s="28">
        <v>1.0768</v>
      </c>
      <c r="C2685" s="28">
        <v>1525744100</v>
      </c>
    </row>
    <row r="2686" spans="1:3" ht="15.5">
      <c r="A2686" s="29">
        <v>40651</v>
      </c>
      <c r="B2686" s="28">
        <v>1.0768</v>
      </c>
      <c r="C2686" s="28">
        <v>1525744100</v>
      </c>
    </row>
    <row r="2687" spans="1:3" ht="15.5">
      <c r="A2687" s="29">
        <v>40648</v>
      </c>
      <c r="B2687" s="28">
        <v>1.0673999999999999</v>
      </c>
      <c r="C2687" s="28">
        <v>1512476760</v>
      </c>
    </row>
    <row r="2688" spans="1:3" ht="15.5">
      <c r="A2688" s="29">
        <v>40647</v>
      </c>
      <c r="B2688" s="28">
        <v>1.0721000000000001</v>
      </c>
      <c r="C2688" s="28">
        <v>1519110430</v>
      </c>
    </row>
    <row r="2689" spans="1:3" ht="15.5">
      <c r="A2689" s="29">
        <v>40646</v>
      </c>
      <c r="B2689" s="28">
        <v>1.0581</v>
      </c>
      <c r="C2689" s="28">
        <v>1499209420</v>
      </c>
    </row>
    <row r="2690" spans="1:3" ht="15.5">
      <c r="A2690" s="29">
        <v>40645</v>
      </c>
      <c r="B2690" s="28">
        <v>1.0768</v>
      </c>
      <c r="C2690" s="28">
        <v>1525744100</v>
      </c>
    </row>
    <row r="2691" spans="1:3" ht="15.5">
      <c r="A2691" s="29">
        <v>40644</v>
      </c>
      <c r="B2691" s="28">
        <v>1.0862000000000001</v>
      </c>
      <c r="C2691" s="28">
        <v>1539011440</v>
      </c>
    </row>
    <row r="2692" spans="1:3" ht="15.5">
      <c r="A2692" s="29">
        <v>40641</v>
      </c>
      <c r="B2692" s="28">
        <v>1.0862000000000001</v>
      </c>
      <c r="C2692" s="28">
        <v>1539011440</v>
      </c>
    </row>
    <row r="2693" spans="1:3" ht="15.5">
      <c r="A2693" s="29">
        <v>40640</v>
      </c>
      <c r="B2693" s="28">
        <v>1.0862000000000001</v>
      </c>
      <c r="C2693" s="28">
        <v>1539011440</v>
      </c>
    </row>
    <row r="2694" spans="1:3" ht="15.5">
      <c r="A2694" s="29">
        <v>40639</v>
      </c>
      <c r="B2694" s="28">
        <v>1.0721000000000001</v>
      </c>
      <c r="C2694" s="28">
        <v>1519110430</v>
      </c>
    </row>
    <row r="2695" spans="1:3" ht="15.5">
      <c r="A2695" s="29">
        <v>40638</v>
      </c>
      <c r="B2695" s="28">
        <v>1.0673999999999999</v>
      </c>
      <c r="C2695" s="28">
        <v>1512476760</v>
      </c>
    </row>
    <row r="2696" spans="1:3" ht="15.5">
      <c r="A2696" s="29">
        <v>40637</v>
      </c>
      <c r="B2696" s="28">
        <v>1.0721000000000001</v>
      </c>
      <c r="C2696" s="28">
        <v>1519110430</v>
      </c>
    </row>
    <row r="2697" spans="1:3" ht="15.5">
      <c r="A2697" s="29">
        <v>40634</v>
      </c>
      <c r="B2697" s="28">
        <v>1.0581</v>
      </c>
      <c r="C2697" s="28">
        <v>1499209420</v>
      </c>
    </row>
    <row r="2698" spans="1:3" ht="15.5">
      <c r="A2698" s="29">
        <v>40633</v>
      </c>
      <c r="B2698" s="28">
        <v>1.0487</v>
      </c>
      <c r="C2698" s="28">
        <v>1485942080</v>
      </c>
    </row>
    <row r="2699" spans="1:3" ht="15.5">
      <c r="A2699" s="29">
        <v>40632</v>
      </c>
      <c r="B2699" s="28">
        <v>1.0392999999999999</v>
      </c>
      <c r="C2699" s="28">
        <v>1472674740</v>
      </c>
    </row>
    <row r="2700" spans="1:3" ht="15.5">
      <c r="A2700" s="29">
        <v>40631</v>
      </c>
      <c r="B2700" s="28">
        <v>1.0347</v>
      </c>
      <c r="C2700" s="28">
        <v>1466041070</v>
      </c>
    </row>
    <row r="2701" spans="1:3" ht="15.5">
      <c r="A2701" s="29">
        <v>40630</v>
      </c>
      <c r="B2701" s="28">
        <v>1.0253000000000001</v>
      </c>
      <c r="C2701" s="28">
        <v>1452773730</v>
      </c>
    </row>
    <row r="2702" spans="1:3" ht="15.5">
      <c r="A2702" s="29">
        <v>40627</v>
      </c>
      <c r="B2702" s="28">
        <v>1.0253000000000001</v>
      </c>
      <c r="C2702" s="28">
        <v>1452773730</v>
      </c>
    </row>
    <row r="2703" spans="1:3" ht="15.5">
      <c r="A2703" s="29">
        <v>40626</v>
      </c>
      <c r="B2703" s="28">
        <v>1.0159</v>
      </c>
      <c r="C2703" s="28">
        <v>1439506390</v>
      </c>
    </row>
    <row r="2704" spans="1:3" ht="15.5">
      <c r="A2704" s="29">
        <v>40625</v>
      </c>
      <c r="B2704" s="28">
        <v>0.99719999999999998</v>
      </c>
      <c r="C2704" s="28">
        <v>1412971710</v>
      </c>
    </row>
    <row r="2705" spans="1:3" ht="15.5">
      <c r="A2705" s="29">
        <v>40624</v>
      </c>
      <c r="B2705" s="28">
        <v>1.0065999999999999</v>
      </c>
      <c r="C2705" s="28">
        <v>1426239050</v>
      </c>
    </row>
    <row r="2706" spans="1:3" ht="15.5">
      <c r="A2706" s="29">
        <v>40623</v>
      </c>
      <c r="B2706" s="28">
        <v>1.0065999999999999</v>
      </c>
      <c r="C2706" s="28">
        <v>1426239050</v>
      </c>
    </row>
    <row r="2707" spans="1:3" ht="15.5">
      <c r="A2707" s="29">
        <v>40620</v>
      </c>
      <c r="B2707" s="28">
        <v>1.03</v>
      </c>
      <c r="C2707" s="28">
        <v>1459407400</v>
      </c>
    </row>
    <row r="2708" spans="1:3" ht="15.5">
      <c r="A2708" s="29">
        <v>40619</v>
      </c>
      <c r="B2708" s="28">
        <v>0.99719999999999998</v>
      </c>
      <c r="C2708" s="28">
        <v>1412971710</v>
      </c>
    </row>
    <row r="2709" spans="1:3" ht="15.5">
      <c r="A2709" s="29">
        <v>40618</v>
      </c>
      <c r="B2709" s="28">
        <v>1.0065999999999999</v>
      </c>
      <c r="C2709" s="28">
        <v>1426239050</v>
      </c>
    </row>
    <row r="2710" spans="1:3" ht="15.5">
      <c r="A2710" s="29">
        <v>40617</v>
      </c>
      <c r="B2710" s="28">
        <v>0.99719999999999998</v>
      </c>
      <c r="C2710" s="28">
        <v>1412971710</v>
      </c>
    </row>
    <row r="2711" spans="1:3" ht="15.5">
      <c r="A2711" s="29">
        <v>40616</v>
      </c>
      <c r="B2711" s="28">
        <v>1.0159</v>
      </c>
      <c r="C2711" s="28">
        <v>1439506390</v>
      </c>
    </row>
    <row r="2712" spans="1:3" ht="15.5">
      <c r="A2712" s="29">
        <v>40613</v>
      </c>
      <c r="B2712" s="28">
        <v>1.0159</v>
      </c>
      <c r="C2712" s="28">
        <v>1439506390</v>
      </c>
    </row>
    <row r="2713" spans="1:3" ht="15.5">
      <c r="A2713" s="29">
        <v>40612</v>
      </c>
      <c r="B2713" s="28">
        <v>1.0206</v>
      </c>
      <c r="C2713" s="28">
        <v>1446140060</v>
      </c>
    </row>
    <row r="2714" spans="1:3" ht="15.5">
      <c r="A2714" s="29">
        <v>40611</v>
      </c>
      <c r="B2714" s="28">
        <v>1.0159</v>
      </c>
      <c r="C2714" s="28">
        <v>1439506390</v>
      </c>
    </row>
    <row r="2715" spans="1:3" ht="15.5">
      <c r="A2715" s="29">
        <v>40610</v>
      </c>
      <c r="B2715" s="28">
        <v>1.0206</v>
      </c>
      <c r="C2715" s="28">
        <v>1446140060</v>
      </c>
    </row>
    <row r="2716" spans="1:3" ht="15.5">
      <c r="A2716" s="29">
        <v>40609</v>
      </c>
      <c r="B2716" s="28">
        <v>1.0253000000000001</v>
      </c>
      <c r="C2716" s="28">
        <v>1452773730</v>
      </c>
    </row>
    <row r="2717" spans="1:3" ht="15.5">
      <c r="A2717" s="29">
        <v>40606</v>
      </c>
      <c r="B2717" s="28">
        <v>1.044</v>
      </c>
      <c r="C2717" s="28">
        <v>1479308410</v>
      </c>
    </row>
    <row r="2718" spans="1:3" ht="15.5">
      <c r="A2718" s="29">
        <v>40605</v>
      </c>
      <c r="B2718" s="28">
        <v>1.044</v>
      </c>
      <c r="C2718" s="28">
        <v>1479308410</v>
      </c>
    </row>
    <row r="2719" spans="1:3" ht="15.5">
      <c r="A2719" s="29">
        <v>40604</v>
      </c>
      <c r="B2719" s="28">
        <v>1.0392999999999999</v>
      </c>
      <c r="C2719" s="28">
        <v>1472674740</v>
      </c>
    </row>
    <row r="2720" spans="1:3" ht="15.5">
      <c r="A2720" s="29">
        <v>40603</v>
      </c>
      <c r="B2720" s="28">
        <v>1.0954999999999999</v>
      </c>
      <c r="C2720" s="28">
        <v>1552278780</v>
      </c>
    </row>
    <row r="2721" spans="1:3" ht="15.5">
      <c r="A2721" s="29">
        <v>40602</v>
      </c>
      <c r="B2721" s="28">
        <v>1.0862000000000001</v>
      </c>
      <c r="C2721" s="28">
        <v>1539011440</v>
      </c>
    </row>
    <row r="2722" spans="1:3" ht="15.5">
      <c r="A2722" s="29">
        <v>40599</v>
      </c>
      <c r="B2722" s="28">
        <v>1.0908</v>
      </c>
      <c r="C2722" s="28">
        <v>1545645110</v>
      </c>
    </row>
    <row r="2723" spans="1:3" ht="15.5">
      <c r="A2723" s="29">
        <v>40598</v>
      </c>
      <c r="B2723" s="28">
        <v>1.0814999999999999</v>
      </c>
      <c r="C2723" s="28">
        <v>1532377770</v>
      </c>
    </row>
    <row r="2724" spans="1:3" ht="15.5">
      <c r="A2724" s="29">
        <v>40597</v>
      </c>
      <c r="B2724" s="28">
        <v>1.0862000000000001</v>
      </c>
      <c r="C2724" s="28">
        <v>1539011440</v>
      </c>
    </row>
    <row r="2725" spans="1:3" ht="15.5">
      <c r="A2725" s="29">
        <v>40596</v>
      </c>
      <c r="B2725" s="28">
        <v>1.0814999999999999</v>
      </c>
      <c r="C2725" s="28">
        <v>1532377770</v>
      </c>
    </row>
    <row r="2726" spans="1:3" ht="15.5">
      <c r="A2726" s="29">
        <v>40595</v>
      </c>
      <c r="B2726" s="28">
        <v>1.0628</v>
      </c>
      <c r="C2726" s="28">
        <v>1505843090</v>
      </c>
    </row>
    <row r="2727" spans="1:3" ht="15.5">
      <c r="A2727" s="29">
        <v>40592</v>
      </c>
      <c r="B2727" s="28">
        <v>1.0673999999999999</v>
      </c>
      <c r="C2727" s="28">
        <v>1512476760</v>
      </c>
    </row>
    <row r="2728" spans="1:3" ht="15.5">
      <c r="A2728" s="29">
        <v>40591</v>
      </c>
      <c r="B2728" s="28">
        <v>1.0673999999999999</v>
      </c>
      <c r="C2728" s="28">
        <v>1512476760</v>
      </c>
    </row>
    <row r="2729" spans="1:3" ht="15.5">
      <c r="A2729" s="29">
        <v>40590</v>
      </c>
      <c r="B2729" s="28">
        <v>1.0721000000000001</v>
      </c>
      <c r="C2729" s="28">
        <v>1519110430</v>
      </c>
    </row>
    <row r="2730" spans="1:3" ht="15.5">
      <c r="A2730" s="29">
        <v>40589</v>
      </c>
      <c r="B2730" s="28">
        <v>1.0721000000000001</v>
      </c>
      <c r="C2730" s="28">
        <v>1519110430</v>
      </c>
    </row>
    <row r="2731" spans="1:3" ht="15.5">
      <c r="A2731" s="29">
        <v>40588</v>
      </c>
      <c r="B2731" s="28">
        <v>1.0862000000000001</v>
      </c>
      <c r="C2731" s="28">
        <v>1539011440</v>
      </c>
    </row>
    <row r="2732" spans="1:3" ht="15.5">
      <c r="A2732" s="29">
        <v>40585</v>
      </c>
      <c r="B2732" s="28">
        <v>1.0673999999999999</v>
      </c>
      <c r="C2732" s="28">
        <v>1512476760</v>
      </c>
    </row>
    <row r="2733" spans="1:3" ht="15.5">
      <c r="A2733" s="29">
        <v>40584</v>
      </c>
      <c r="B2733" s="28">
        <v>1.0673999999999999</v>
      </c>
      <c r="C2733" s="28">
        <v>1512476760</v>
      </c>
    </row>
    <row r="2734" spans="1:3" ht="15.5">
      <c r="A2734" s="29">
        <v>40583</v>
      </c>
      <c r="B2734" s="28">
        <v>1.0768</v>
      </c>
      <c r="C2734" s="28">
        <v>1525744100</v>
      </c>
    </row>
    <row r="2735" spans="1:3" ht="15.5">
      <c r="A2735" s="29">
        <v>40582</v>
      </c>
      <c r="B2735" s="28">
        <v>1.0673999999999999</v>
      </c>
      <c r="C2735" s="28">
        <v>1512476760</v>
      </c>
    </row>
    <row r="2736" spans="1:3" ht="15.5">
      <c r="A2736" s="29">
        <v>40581</v>
      </c>
      <c r="B2736" s="28">
        <v>1.0768</v>
      </c>
      <c r="C2736" s="28">
        <v>1525744100</v>
      </c>
    </row>
    <row r="2737" spans="1:3" ht="15.5">
      <c r="A2737" s="29">
        <v>40578</v>
      </c>
      <c r="B2737" s="28">
        <v>1.0628</v>
      </c>
      <c r="C2737" s="28">
        <v>1505843090</v>
      </c>
    </row>
    <row r="2738" spans="1:3" ht="15.5">
      <c r="A2738" s="29">
        <v>40577</v>
      </c>
      <c r="B2738" s="28">
        <v>1.0581</v>
      </c>
      <c r="C2738" s="28">
        <v>1499209420</v>
      </c>
    </row>
    <row r="2739" spans="1:3" ht="15.5">
      <c r="A2739" s="29">
        <v>40576</v>
      </c>
      <c r="B2739" s="28">
        <v>1.0721000000000001</v>
      </c>
      <c r="C2739" s="28">
        <v>1519110430</v>
      </c>
    </row>
    <row r="2740" spans="1:3" ht="15.5">
      <c r="A2740" s="29">
        <v>40575</v>
      </c>
      <c r="B2740" s="28">
        <v>1.0533999999999999</v>
      </c>
      <c r="C2740" s="28">
        <v>1492575750</v>
      </c>
    </row>
    <row r="2741" spans="1:3" ht="15.5">
      <c r="A2741" s="29">
        <v>40574</v>
      </c>
      <c r="B2741" s="28">
        <v>1.0721000000000001</v>
      </c>
      <c r="C2741" s="28">
        <v>1519110430</v>
      </c>
    </row>
    <row r="2742" spans="1:3" ht="15.5">
      <c r="A2742" s="29">
        <v>40571</v>
      </c>
      <c r="B2742" s="28">
        <v>1.0908</v>
      </c>
      <c r="C2742" s="28">
        <v>1545645110</v>
      </c>
    </row>
    <row r="2743" spans="1:3" ht="15.5">
      <c r="A2743" s="29">
        <v>40570</v>
      </c>
      <c r="B2743" s="28">
        <v>1.0814999999999999</v>
      </c>
      <c r="C2743" s="28">
        <v>1532377770</v>
      </c>
    </row>
    <row r="2744" spans="1:3" ht="15.5">
      <c r="A2744" s="29">
        <v>40568</v>
      </c>
      <c r="B2744" s="28">
        <v>1.1002000000000001</v>
      </c>
      <c r="C2744" s="28">
        <v>1558912450</v>
      </c>
    </row>
    <row r="2745" spans="1:3" ht="15.5">
      <c r="A2745" s="29">
        <v>40567</v>
      </c>
      <c r="B2745" s="28">
        <v>1.0908</v>
      </c>
      <c r="C2745" s="28">
        <v>1545645110</v>
      </c>
    </row>
    <row r="2746" spans="1:3" ht="15.5">
      <c r="A2746" s="29">
        <v>40564</v>
      </c>
      <c r="B2746" s="28">
        <v>1.1143000000000001</v>
      </c>
      <c r="C2746" s="28">
        <v>1578813460</v>
      </c>
    </row>
    <row r="2747" spans="1:3" ht="15.5">
      <c r="A2747" s="29">
        <v>40563</v>
      </c>
      <c r="B2747" s="28">
        <v>1.0862000000000001</v>
      </c>
      <c r="C2747" s="28">
        <v>1539011440</v>
      </c>
    </row>
    <row r="2748" spans="1:3" ht="15.5">
      <c r="A2748" s="29">
        <v>40562</v>
      </c>
      <c r="B2748" s="28">
        <v>1.0721000000000001</v>
      </c>
      <c r="C2748" s="28">
        <v>1519110430</v>
      </c>
    </row>
    <row r="2749" spans="1:3" ht="15.5">
      <c r="A2749" s="29">
        <v>40561</v>
      </c>
      <c r="B2749" s="28">
        <v>1.0487</v>
      </c>
      <c r="C2749" s="28">
        <v>1485942080</v>
      </c>
    </row>
    <row r="2750" spans="1:3" ht="15.5">
      <c r="A2750" s="29">
        <v>40560</v>
      </c>
      <c r="B2750" s="28">
        <v>1.0533999999999999</v>
      </c>
      <c r="C2750" s="28">
        <v>1492575750</v>
      </c>
    </row>
    <row r="2751" spans="1:3" ht="15.5">
      <c r="A2751" s="29">
        <v>40557</v>
      </c>
      <c r="B2751" s="28">
        <v>1.0673999999999999</v>
      </c>
      <c r="C2751" s="28">
        <v>1512476760</v>
      </c>
    </row>
    <row r="2752" spans="1:3" ht="15.5">
      <c r="A2752" s="29">
        <v>40556</v>
      </c>
      <c r="B2752" s="28">
        <v>1.0581</v>
      </c>
      <c r="C2752" s="28">
        <v>1499209420</v>
      </c>
    </row>
    <row r="2753" spans="1:3" ht="15.5">
      <c r="A2753" s="29">
        <v>40555</v>
      </c>
      <c r="B2753" s="28">
        <v>1.0581</v>
      </c>
      <c r="C2753" s="28">
        <v>1499209420</v>
      </c>
    </row>
    <row r="2754" spans="1:3" ht="15.5">
      <c r="A2754" s="29">
        <v>40554</v>
      </c>
      <c r="B2754" s="28">
        <v>1.0673999999999999</v>
      </c>
      <c r="C2754" s="28">
        <v>1512476760</v>
      </c>
    </row>
    <row r="2755" spans="1:3" ht="15.5">
      <c r="A2755" s="29">
        <v>40553</v>
      </c>
      <c r="B2755" s="28">
        <v>1.0487</v>
      </c>
      <c r="C2755" s="28">
        <v>1485942080</v>
      </c>
    </row>
    <row r="2756" spans="1:3" ht="15.5">
      <c r="A2756" s="29">
        <v>40550</v>
      </c>
      <c r="B2756" s="28">
        <v>1.0673999999999999</v>
      </c>
      <c r="C2756" s="28">
        <v>1512476760</v>
      </c>
    </row>
    <row r="2757" spans="1:3" ht="15.5">
      <c r="A2757" s="29">
        <v>40549</v>
      </c>
      <c r="B2757" s="28">
        <v>1.044</v>
      </c>
      <c r="C2757" s="28">
        <v>1479308410</v>
      </c>
    </row>
    <row r="2758" spans="1:3" ht="15.5">
      <c r="A2758" s="29">
        <v>40548</v>
      </c>
      <c r="B2758" s="28">
        <v>1.044</v>
      </c>
      <c r="C2758" s="28">
        <v>1479308410</v>
      </c>
    </row>
    <row r="2759" spans="1:3" ht="15.5">
      <c r="A2759" s="29">
        <v>40547</v>
      </c>
      <c r="B2759" s="28">
        <v>1.0533999999999999</v>
      </c>
      <c r="C2759" s="28">
        <v>1492575750</v>
      </c>
    </row>
    <row r="2760" spans="1:3" ht="15.5">
      <c r="A2760" s="29">
        <v>40543</v>
      </c>
      <c r="B2760" s="28">
        <v>1.0628</v>
      </c>
      <c r="C2760" s="28">
        <v>1505843090</v>
      </c>
    </row>
    <row r="2761" spans="1:3" ht="15.5">
      <c r="A2761" s="29">
        <v>40542</v>
      </c>
      <c r="B2761" s="28">
        <v>1.0533999999999999</v>
      </c>
      <c r="C2761" s="28">
        <v>1492576047</v>
      </c>
    </row>
    <row r="2762" spans="1:3" ht="15.5">
      <c r="A2762" s="29">
        <v>40541</v>
      </c>
      <c r="B2762" s="28">
        <v>1.0487</v>
      </c>
      <c r="C2762" s="28">
        <v>1485942375.6800001</v>
      </c>
    </row>
    <row r="2763" spans="1:3" ht="15.5">
      <c r="A2763" s="29">
        <v>40536</v>
      </c>
      <c r="B2763" s="28">
        <v>1.0392999999999999</v>
      </c>
      <c r="C2763" s="28">
        <v>1472675033.04</v>
      </c>
    </row>
    <row r="2764" spans="1:3" ht="15.5">
      <c r="A2764" s="29">
        <v>40535</v>
      </c>
      <c r="B2764" s="28">
        <v>1.044</v>
      </c>
      <c r="C2764" s="28">
        <v>1479308704.3599999</v>
      </c>
    </row>
    <row r="2765" spans="1:3" ht="15.5">
      <c r="A2765" s="29">
        <v>40534</v>
      </c>
      <c r="B2765" s="28">
        <v>1.0392999999999999</v>
      </c>
      <c r="C2765" s="28">
        <v>1472675033.04</v>
      </c>
    </row>
    <row r="2766" spans="1:3" ht="15.5">
      <c r="A2766" s="29">
        <v>40533</v>
      </c>
      <c r="B2766" s="28">
        <v>1.03</v>
      </c>
      <c r="C2766" s="28">
        <v>1459407690.4000001</v>
      </c>
    </row>
    <row r="2767" spans="1:3" ht="15.5">
      <c r="A2767" s="29">
        <v>40532</v>
      </c>
      <c r="B2767" s="28">
        <v>1.03</v>
      </c>
      <c r="C2767" s="28">
        <v>1459407690.4000001</v>
      </c>
    </row>
    <row r="2768" spans="1:3" ht="15.5">
      <c r="A2768" s="29">
        <v>40529</v>
      </c>
      <c r="B2768" s="28">
        <v>1.0347</v>
      </c>
      <c r="C2768" s="28">
        <v>1466041361.72</v>
      </c>
    </row>
    <row r="2769" spans="1:3" ht="15.5">
      <c r="A2769" s="29">
        <v>40528</v>
      </c>
      <c r="B2769" s="28">
        <v>1.0392999999999999</v>
      </c>
      <c r="C2769" s="28">
        <v>1472675033.04</v>
      </c>
    </row>
    <row r="2770" spans="1:3" ht="15.5">
      <c r="A2770" s="29">
        <v>40527</v>
      </c>
      <c r="B2770" s="28">
        <v>1.0347</v>
      </c>
      <c r="C2770" s="28">
        <v>1466041361.72</v>
      </c>
    </row>
    <row r="2771" spans="1:3" ht="15.5">
      <c r="A2771" s="29">
        <v>40526</v>
      </c>
      <c r="B2771" s="28">
        <v>1.0347</v>
      </c>
      <c r="C2771" s="28">
        <v>1466041361.72</v>
      </c>
    </row>
    <row r="2772" spans="1:3" ht="15.5">
      <c r="A2772" s="29">
        <v>40525</v>
      </c>
      <c r="B2772" s="28">
        <v>1.0392999999999999</v>
      </c>
      <c r="C2772" s="28">
        <v>1472675033.04</v>
      </c>
    </row>
    <row r="2773" spans="1:3" ht="15.5">
      <c r="A2773" s="29">
        <v>40522</v>
      </c>
      <c r="B2773" s="28">
        <v>1.0347</v>
      </c>
      <c r="C2773" s="28">
        <v>1466041361.72</v>
      </c>
    </row>
    <row r="2774" spans="1:3" ht="15.5">
      <c r="A2774" s="29">
        <v>40521</v>
      </c>
      <c r="B2774" s="28">
        <v>1.0392999999999999</v>
      </c>
      <c r="C2774" s="28">
        <v>1472675033.04</v>
      </c>
    </row>
    <row r="2775" spans="1:3" ht="15.5">
      <c r="A2775" s="29">
        <v>40520</v>
      </c>
      <c r="B2775" s="28">
        <v>1.03</v>
      </c>
      <c r="C2775" s="28">
        <v>1459407690.4000001</v>
      </c>
    </row>
    <row r="2776" spans="1:3" ht="15.5">
      <c r="A2776" s="29">
        <v>40519</v>
      </c>
      <c r="B2776" s="28">
        <v>1.03</v>
      </c>
      <c r="C2776" s="28">
        <v>1459407690.4000001</v>
      </c>
    </row>
    <row r="2777" spans="1:3" ht="15.5">
      <c r="A2777" s="29">
        <v>40518</v>
      </c>
      <c r="B2777" s="28">
        <v>1.044</v>
      </c>
      <c r="C2777" s="28">
        <v>1479308704.3599999</v>
      </c>
    </row>
    <row r="2778" spans="1:3" ht="15.5">
      <c r="A2778" s="29">
        <v>40515</v>
      </c>
      <c r="B2778" s="28">
        <v>1.044</v>
      </c>
      <c r="C2778" s="28">
        <v>1479308704.3599999</v>
      </c>
    </row>
    <row r="2779" spans="1:3" ht="15.5">
      <c r="A2779" s="29">
        <v>40514</v>
      </c>
      <c r="B2779" s="28">
        <v>1.044</v>
      </c>
      <c r="C2779" s="28">
        <v>1479308704.3599999</v>
      </c>
    </row>
    <row r="2780" spans="1:3" ht="15.5">
      <c r="A2780" s="29">
        <v>40513</v>
      </c>
      <c r="B2780" s="28">
        <v>1.0159</v>
      </c>
      <c r="C2780" s="28">
        <v>1439506676.4400001</v>
      </c>
    </row>
    <row r="2781" spans="1:3" ht="15.5">
      <c r="A2781" s="29">
        <v>40512</v>
      </c>
      <c r="B2781" s="28">
        <v>1.044</v>
      </c>
      <c r="C2781" s="28">
        <v>1479308704.3599999</v>
      </c>
    </row>
    <row r="2782" spans="1:3" ht="15.5">
      <c r="A2782" s="29">
        <v>40511</v>
      </c>
      <c r="B2782" s="28">
        <v>1.0533999999999999</v>
      </c>
      <c r="C2782" s="28">
        <v>1492576047</v>
      </c>
    </row>
    <row r="2783" spans="1:3" ht="15.5">
      <c r="A2783" s="29">
        <v>40508</v>
      </c>
      <c r="B2783" s="28">
        <v>1.0392999999999999</v>
      </c>
      <c r="C2783" s="28">
        <v>1472675033.04</v>
      </c>
    </row>
    <row r="2784" spans="1:3" ht="15.5">
      <c r="A2784" s="29">
        <v>40507</v>
      </c>
      <c r="B2784" s="28">
        <v>1.0347</v>
      </c>
      <c r="C2784" s="28">
        <v>1466041361.72</v>
      </c>
    </row>
    <row r="2785" spans="1:3" ht="15.5">
      <c r="A2785" s="29">
        <v>40506</v>
      </c>
      <c r="B2785" s="28">
        <v>1.0347</v>
      </c>
      <c r="C2785" s="28">
        <v>1466041361.72</v>
      </c>
    </row>
    <row r="2786" spans="1:3" ht="15.5">
      <c r="A2786" s="29">
        <v>40505</v>
      </c>
      <c r="B2786" s="28">
        <v>1.03</v>
      </c>
      <c r="C2786" s="28">
        <v>1459407690.4000001</v>
      </c>
    </row>
    <row r="2787" spans="1:3" ht="15.5">
      <c r="A2787" s="29">
        <v>40504</v>
      </c>
      <c r="B2787" s="28">
        <v>1.0487</v>
      </c>
      <c r="C2787" s="28">
        <v>1485942375.6800001</v>
      </c>
    </row>
    <row r="2788" spans="1:3" ht="15.5">
      <c r="A2788" s="29">
        <v>40501</v>
      </c>
      <c r="B2788" s="28">
        <v>1.0487</v>
      </c>
      <c r="C2788" s="28">
        <v>1485942375.6800001</v>
      </c>
    </row>
    <row r="2789" spans="1:3" ht="15.5">
      <c r="A2789" s="29">
        <v>40500</v>
      </c>
      <c r="B2789" s="28">
        <v>1.0581</v>
      </c>
      <c r="C2789" s="28">
        <v>1499209718.3199999</v>
      </c>
    </row>
    <row r="2790" spans="1:3" ht="15.5">
      <c r="A2790" s="29">
        <v>40499</v>
      </c>
      <c r="B2790" s="28">
        <v>1.0628</v>
      </c>
      <c r="C2790" s="28">
        <v>1505843389.6400001</v>
      </c>
    </row>
    <row r="2791" spans="1:3" ht="15.5">
      <c r="A2791" s="29">
        <v>40498</v>
      </c>
      <c r="B2791" s="28">
        <v>1.0673999999999999</v>
      </c>
      <c r="C2791" s="28">
        <v>1512477060.96</v>
      </c>
    </row>
    <row r="2792" spans="1:3" ht="15.5">
      <c r="A2792" s="29">
        <v>40497</v>
      </c>
      <c r="B2792" s="28">
        <v>1.0673999999999999</v>
      </c>
      <c r="C2792" s="28">
        <v>1512477060.96</v>
      </c>
    </row>
    <row r="2793" spans="1:3" ht="15.5">
      <c r="A2793" s="29">
        <v>40494</v>
      </c>
      <c r="B2793" s="28">
        <v>1.0673999999999999</v>
      </c>
      <c r="C2793" s="28">
        <v>1512477060.96</v>
      </c>
    </row>
    <row r="2794" spans="1:3" ht="15.5">
      <c r="A2794" s="29">
        <v>40493</v>
      </c>
      <c r="B2794" s="28">
        <v>1.0581</v>
      </c>
      <c r="C2794" s="28">
        <v>1499209718.3199999</v>
      </c>
    </row>
    <row r="2795" spans="1:3" ht="15.5">
      <c r="A2795" s="29">
        <v>40492</v>
      </c>
      <c r="B2795" s="28">
        <v>1.0487</v>
      </c>
      <c r="C2795" s="28">
        <v>1485942375.6800001</v>
      </c>
    </row>
    <row r="2796" spans="1:3" ht="15.5">
      <c r="A2796" s="29">
        <v>40491</v>
      </c>
      <c r="B2796" s="28">
        <v>1.0487</v>
      </c>
      <c r="C2796" s="28">
        <v>1485942375.6800001</v>
      </c>
    </row>
    <row r="2797" spans="1:3" ht="15.5">
      <c r="A2797" s="29">
        <v>40490</v>
      </c>
      <c r="B2797" s="28">
        <v>1.044</v>
      </c>
      <c r="C2797" s="28">
        <v>1479308704.3599999</v>
      </c>
    </row>
    <row r="2798" spans="1:3" ht="15.5">
      <c r="A2798" s="29">
        <v>40487</v>
      </c>
      <c r="B2798" s="28">
        <v>1.0392999999999999</v>
      </c>
      <c r="C2798" s="28">
        <v>1472675033.04</v>
      </c>
    </row>
    <row r="2799" spans="1:3" ht="15.5">
      <c r="A2799" s="29">
        <v>40486</v>
      </c>
      <c r="B2799" s="28">
        <v>1.0392999999999999</v>
      </c>
      <c r="C2799" s="28">
        <v>1472675033.04</v>
      </c>
    </row>
    <row r="2800" spans="1:3" ht="15.5">
      <c r="A2800" s="29">
        <v>40485</v>
      </c>
      <c r="B2800" s="28">
        <v>1.0347</v>
      </c>
      <c r="C2800" s="28">
        <v>1466041361.72</v>
      </c>
    </row>
    <row r="2801" spans="1:3" ht="15.5">
      <c r="A2801" s="29">
        <v>40484</v>
      </c>
      <c r="B2801" s="28">
        <v>1.0392999999999999</v>
      </c>
      <c r="C2801" s="28">
        <v>1472675033.04</v>
      </c>
    </row>
    <row r="2802" spans="1:3" ht="15.5">
      <c r="A2802" s="29">
        <v>40483</v>
      </c>
      <c r="B2802" s="28">
        <v>1.0487</v>
      </c>
      <c r="C2802" s="28">
        <v>1485942375.6800001</v>
      </c>
    </row>
    <row r="2803" spans="1:3" ht="15.5">
      <c r="A2803" s="29">
        <v>40480</v>
      </c>
      <c r="B2803" s="28">
        <v>1.0487</v>
      </c>
      <c r="C2803" s="28">
        <v>1485942375.6800001</v>
      </c>
    </row>
    <row r="2804" spans="1:3" ht="15.5">
      <c r="A2804" s="29">
        <v>40479</v>
      </c>
      <c r="B2804" s="28">
        <v>1.0487</v>
      </c>
      <c r="C2804" s="28">
        <v>1155740320</v>
      </c>
    </row>
    <row r="2805" spans="1:3" ht="15.5">
      <c r="A2805" s="29">
        <v>40478</v>
      </c>
      <c r="B2805" s="28">
        <v>1.0581</v>
      </c>
      <c r="C2805" s="28">
        <v>1166059430</v>
      </c>
    </row>
    <row r="2806" spans="1:3" ht="15.5">
      <c r="A2806" s="29">
        <v>40477</v>
      </c>
      <c r="B2806" s="28">
        <v>1.0533999999999999</v>
      </c>
      <c r="C2806" s="28">
        <v>1160899875</v>
      </c>
    </row>
    <row r="2807" spans="1:3" ht="15.5">
      <c r="A2807" s="29">
        <v>40476</v>
      </c>
      <c r="B2807" s="28">
        <v>1.0347</v>
      </c>
      <c r="C2807" s="28">
        <v>1140261655</v>
      </c>
    </row>
    <row r="2808" spans="1:3" ht="15.5">
      <c r="A2808" s="29">
        <v>40473</v>
      </c>
      <c r="B2808" s="28">
        <v>1.03</v>
      </c>
      <c r="C2808" s="28">
        <v>1135102100</v>
      </c>
    </row>
    <row r="2809" spans="1:3" ht="15.5">
      <c r="A2809" s="29">
        <v>40472</v>
      </c>
      <c r="B2809" s="28">
        <v>1.0019</v>
      </c>
      <c r="C2809" s="28">
        <v>1104144770</v>
      </c>
    </row>
    <row r="2810" spans="1:3" ht="15.5">
      <c r="A2810" s="29">
        <v>40471</v>
      </c>
      <c r="B2810" s="28">
        <v>0.99719999999999998</v>
      </c>
      <c r="C2810" s="28">
        <v>1098985215</v>
      </c>
    </row>
    <row r="2811" spans="1:3" ht="15.5">
      <c r="A2811" s="29">
        <v>40470</v>
      </c>
      <c r="B2811" s="28">
        <v>1.0019</v>
      </c>
      <c r="C2811" s="28">
        <v>1104144770</v>
      </c>
    </row>
    <row r="2812" spans="1:3" ht="15.5">
      <c r="A2812" s="29">
        <v>40469</v>
      </c>
      <c r="B2812" s="28">
        <v>0.98780000000000001</v>
      </c>
      <c r="C2812" s="28">
        <v>1088666105</v>
      </c>
    </row>
    <row r="2813" spans="1:3" ht="15.5">
      <c r="A2813" s="29">
        <v>40466</v>
      </c>
      <c r="B2813" s="28">
        <v>0.98319999999999996</v>
      </c>
      <c r="C2813" s="28">
        <v>1083506550</v>
      </c>
    </row>
    <row r="2814" spans="1:3" ht="15.5">
      <c r="A2814" s="29">
        <v>40465</v>
      </c>
      <c r="B2814" s="28">
        <v>0.99250000000000005</v>
      </c>
      <c r="C2814" s="28">
        <v>1093825660</v>
      </c>
    </row>
    <row r="2815" spans="1:3" ht="15.5">
      <c r="A2815" s="29">
        <v>40464</v>
      </c>
      <c r="B2815" s="28">
        <v>0.98319999999999996</v>
      </c>
      <c r="C2815" s="28">
        <v>1083506550</v>
      </c>
    </row>
    <row r="2816" spans="1:3" ht="15.5">
      <c r="A2816" s="29">
        <v>40463</v>
      </c>
      <c r="B2816" s="28">
        <v>0.98780000000000001</v>
      </c>
      <c r="C2816" s="28">
        <v>1088666105</v>
      </c>
    </row>
    <row r="2817" spans="1:3" ht="15.5">
      <c r="A2817" s="29">
        <v>40462</v>
      </c>
      <c r="B2817" s="28">
        <v>1.0113000000000001</v>
      </c>
      <c r="C2817" s="28">
        <v>1114463880</v>
      </c>
    </row>
    <row r="2818" spans="1:3" ht="15.5">
      <c r="A2818" s="29">
        <v>40459</v>
      </c>
      <c r="B2818" s="28">
        <v>1.0065999999999999</v>
      </c>
      <c r="C2818" s="28">
        <v>1109304325</v>
      </c>
    </row>
    <row r="2819" spans="1:3" ht="15.5">
      <c r="A2819" s="29">
        <v>40458</v>
      </c>
      <c r="B2819" s="28">
        <v>1.0206</v>
      </c>
      <c r="C2819" s="28">
        <v>1124782990</v>
      </c>
    </row>
    <row r="2820" spans="1:3" ht="15.5">
      <c r="A2820" s="29">
        <v>40457</v>
      </c>
      <c r="B2820" s="28">
        <v>1.0113000000000001</v>
      </c>
      <c r="C2820" s="28">
        <v>1114463880</v>
      </c>
    </row>
    <row r="2821" spans="1:3" ht="15.5">
      <c r="A2821" s="29">
        <v>40456</v>
      </c>
      <c r="B2821" s="28">
        <v>0.99719999999999998</v>
      </c>
      <c r="C2821" s="28">
        <v>1098985215</v>
      </c>
    </row>
    <row r="2822" spans="1:3" ht="15.5">
      <c r="A2822" s="29">
        <v>40455</v>
      </c>
      <c r="B2822" s="28">
        <v>0.99719999999999998</v>
      </c>
      <c r="C2822" s="28">
        <v>1098985215</v>
      </c>
    </row>
    <row r="2823" spans="1:3" ht="15.5">
      <c r="A2823" s="29">
        <v>40452</v>
      </c>
      <c r="B2823" s="28">
        <v>1.0113000000000001</v>
      </c>
      <c r="C2823" s="28">
        <v>1114463880</v>
      </c>
    </row>
    <row r="2824" spans="1:3" ht="15.5">
      <c r="A2824" s="29">
        <v>40451</v>
      </c>
      <c r="B2824" s="28">
        <v>1.0347</v>
      </c>
      <c r="C2824" s="28">
        <v>1140261655</v>
      </c>
    </row>
    <row r="2825" spans="1:3" ht="15.5">
      <c r="A2825" s="29">
        <v>40450</v>
      </c>
      <c r="B2825" s="28">
        <v>1.0206</v>
      </c>
      <c r="C2825" s="28">
        <v>1124782990</v>
      </c>
    </row>
    <row r="2826" spans="1:3" ht="15.5">
      <c r="A2826" s="29">
        <v>40449</v>
      </c>
      <c r="B2826" s="28">
        <v>1.0206</v>
      </c>
      <c r="C2826" s="28">
        <v>1124782990</v>
      </c>
    </row>
    <row r="2827" spans="1:3" ht="15.5">
      <c r="A2827" s="29">
        <v>40448</v>
      </c>
      <c r="B2827" s="28">
        <v>1.0253000000000001</v>
      </c>
      <c r="C2827" s="28">
        <v>1129942545</v>
      </c>
    </row>
    <row r="2828" spans="1:3" ht="15.5">
      <c r="A2828" s="29">
        <v>40445</v>
      </c>
      <c r="B2828" s="28">
        <v>1.0065999999999999</v>
      </c>
      <c r="C2828" s="28">
        <v>1109304325</v>
      </c>
    </row>
    <row r="2829" spans="1:3" ht="15.5">
      <c r="A2829" s="29">
        <v>40442</v>
      </c>
      <c r="B2829" s="28">
        <v>1.0419</v>
      </c>
      <c r="C2829" s="28">
        <v>1181538095</v>
      </c>
    </row>
    <row r="2830" spans="1:3" ht="15.5">
      <c r="A2830" s="29">
        <v>40441</v>
      </c>
      <c r="B2830" s="28">
        <v>1.0327999999999999</v>
      </c>
      <c r="C2830" s="28">
        <v>1171218985</v>
      </c>
    </row>
    <row r="2831" spans="1:3" ht="15.5">
      <c r="A2831" s="29">
        <v>40438</v>
      </c>
      <c r="B2831" s="28">
        <v>1.0327999999999999</v>
      </c>
      <c r="C2831" s="28">
        <v>1171218985</v>
      </c>
    </row>
    <row r="2832" spans="1:3" ht="15.5">
      <c r="A2832" s="29">
        <v>40437</v>
      </c>
      <c r="B2832" s="28">
        <v>1.0327999999999999</v>
      </c>
      <c r="C2832" s="28">
        <v>1171218985</v>
      </c>
    </row>
    <row r="2833" spans="1:3" ht="15.5">
      <c r="A2833" s="29">
        <v>40436</v>
      </c>
      <c r="B2833" s="28">
        <v>1.0374000000000001</v>
      </c>
      <c r="C2833" s="28">
        <v>1176378540</v>
      </c>
    </row>
    <row r="2834" spans="1:3" ht="15.5">
      <c r="A2834" s="29">
        <v>40435</v>
      </c>
      <c r="B2834" s="28">
        <v>1.0419</v>
      </c>
      <c r="C2834" s="28">
        <v>1181538095</v>
      </c>
    </row>
    <row r="2835" spans="1:3" ht="15.5">
      <c r="A2835" s="29">
        <v>40434</v>
      </c>
      <c r="B2835" s="28">
        <v>1.0465</v>
      </c>
      <c r="C2835" s="28">
        <v>1186697650</v>
      </c>
    </row>
    <row r="2836" spans="1:3" ht="15.5">
      <c r="A2836" s="29">
        <v>40431</v>
      </c>
      <c r="B2836" s="28">
        <v>1.0465</v>
      </c>
      <c r="C2836" s="28">
        <v>1186697650</v>
      </c>
    </row>
    <row r="2837" spans="1:3" ht="15.5">
      <c r="A2837" s="29">
        <v>40430</v>
      </c>
      <c r="B2837" s="28">
        <v>1.0647</v>
      </c>
      <c r="C2837" s="28">
        <v>1207335870</v>
      </c>
    </row>
    <row r="2838" spans="1:3" ht="15.5">
      <c r="A2838" s="29">
        <v>40429</v>
      </c>
      <c r="B2838" s="28">
        <v>1.0738000000000001</v>
      </c>
      <c r="C2838" s="28">
        <v>1217654980</v>
      </c>
    </row>
    <row r="2839" spans="1:3" ht="15.5">
      <c r="A2839" s="29">
        <v>40428</v>
      </c>
      <c r="B2839" s="28">
        <v>1.0738000000000001</v>
      </c>
      <c r="C2839" s="28">
        <v>1217654980</v>
      </c>
    </row>
    <row r="2840" spans="1:3" ht="15.5">
      <c r="A2840" s="29">
        <v>40427</v>
      </c>
      <c r="B2840" s="28">
        <v>1.0738000000000001</v>
      </c>
      <c r="C2840" s="28">
        <v>1217654980</v>
      </c>
    </row>
    <row r="2841" spans="1:3" ht="15.5">
      <c r="A2841" s="29">
        <v>40424</v>
      </c>
      <c r="B2841" s="28">
        <v>1.0829</v>
      </c>
      <c r="C2841" s="28">
        <v>1227974090</v>
      </c>
    </row>
    <row r="2842" spans="1:3" ht="15.5">
      <c r="A2842" s="29">
        <v>40423</v>
      </c>
      <c r="B2842" s="28">
        <v>1.0647</v>
      </c>
      <c r="C2842" s="28">
        <v>1207335870</v>
      </c>
    </row>
    <row r="2843" spans="1:3" ht="15.5">
      <c r="A2843" s="29">
        <v>40422</v>
      </c>
      <c r="B2843" s="28">
        <v>1.0556000000000001</v>
      </c>
      <c r="C2843" s="28">
        <v>1197016760</v>
      </c>
    </row>
    <row r="2844" spans="1:3" ht="15.5">
      <c r="A2844" s="29">
        <v>40421</v>
      </c>
      <c r="B2844" s="28">
        <v>1.0601</v>
      </c>
      <c r="C2844" s="28">
        <v>1202176315</v>
      </c>
    </row>
    <row r="2845" spans="1:3" ht="15.5">
      <c r="A2845" s="29">
        <v>40420</v>
      </c>
      <c r="B2845" s="28">
        <v>1.0829</v>
      </c>
      <c r="C2845" s="28">
        <v>1227974090</v>
      </c>
    </row>
    <row r="2846" spans="1:3" ht="15.5">
      <c r="A2846" s="29">
        <v>40417</v>
      </c>
      <c r="B2846" s="28">
        <v>1.0783</v>
      </c>
      <c r="C2846" s="28">
        <v>1222814535</v>
      </c>
    </row>
    <row r="2847" spans="1:3" ht="15.5">
      <c r="A2847" s="29">
        <v>40416</v>
      </c>
      <c r="B2847" s="28">
        <v>1.0556000000000001</v>
      </c>
      <c r="C2847" s="28">
        <v>1197016760</v>
      </c>
    </row>
    <row r="2848" spans="1:3" ht="15.5">
      <c r="A2848" s="29">
        <v>40415</v>
      </c>
      <c r="B2848" s="28">
        <v>1.1375</v>
      </c>
      <c r="C2848" s="28">
        <v>1289888750</v>
      </c>
    </row>
    <row r="2849" spans="1:3" ht="15.5">
      <c r="A2849" s="29">
        <v>40414</v>
      </c>
      <c r="B2849" s="28">
        <v>1.1284000000000001</v>
      </c>
      <c r="C2849" s="28">
        <v>1279569640</v>
      </c>
    </row>
    <row r="2850" spans="1:3" ht="15.5">
      <c r="A2850" s="29">
        <v>40413</v>
      </c>
      <c r="B2850" s="28">
        <v>1.0873999999999999</v>
      </c>
      <c r="C2850" s="28">
        <v>1233133645</v>
      </c>
    </row>
    <row r="2851" spans="1:3" ht="15.5">
      <c r="A2851" s="29">
        <v>40410</v>
      </c>
      <c r="B2851" s="28">
        <v>1.0601</v>
      </c>
      <c r="C2851" s="28">
        <v>1202176315</v>
      </c>
    </row>
    <row r="2852" spans="1:3" ht="15.5">
      <c r="A2852" s="29">
        <v>40409</v>
      </c>
      <c r="B2852" s="28">
        <v>1.0738000000000001</v>
      </c>
      <c r="C2852" s="28">
        <v>1217654980</v>
      </c>
    </row>
    <row r="2853" spans="1:3" ht="15.5">
      <c r="A2853" s="29">
        <v>40408</v>
      </c>
      <c r="B2853" s="28">
        <v>1.0873999999999999</v>
      </c>
      <c r="C2853" s="28">
        <v>1233133645</v>
      </c>
    </row>
    <row r="2854" spans="1:3" ht="15.5">
      <c r="A2854" s="29">
        <v>40407</v>
      </c>
      <c r="B2854" s="28">
        <v>1.0965</v>
      </c>
      <c r="C2854" s="28">
        <v>1243452755</v>
      </c>
    </row>
    <row r="2855" spans="1:3" ht="15.5">
      <c r="A2855" s="29">
        <v>40406</v>
      </c>
      <c r="B2855" s="28">
        <v>1.0691999999999999</v>
      </c>
      <c r="C2855" s="28">
        <v>1212495425</v>
      </c>
    </row>
    <row r="2856" spans="1:3" ht="15.5">
      <c r="A2856" s="29">
        <v>40403</v>
      </c>
      <c r="B2856" s="28">
        <v>1.0647</v>
      </c>
      <c r="C2856" s="28">
        <v>1207335870</v>
      </c>
    </row>
    <row r="2857" spans="1:3" ht="15.5">
      <c r="A2857" s="29">
        <v>40402</v>
      </c>
      <c r="B2857" s="28">
        <v>1.0647</v>
      </c>
      <c r="C2857" s="28">
        <v>1207335870</v>
      </c>
    </row>
    <row r="2858" spans="1:3" ht="15.5">
      <c r="A2858" s="29">
        <v>40401</v>
      </c>
      <c r="B2858" s="28">
        <v>1.0601</v>
      </c>
      <c r="C2858" s="28">
        <v>1202176315</v>
      </c>
    </row>
    <row r="2859" spans="1:3" ht="15.5">
      <c r="A2859" s="29">
        <v>40400</v>
      </c>
      <c r="B2859" s="28">
        <v>1.0738000000000001</v>
      </c>
      <c r="C2859" s="28">
        <v>1217654980</v>
      </c>
    </row>
    <row r="2860" spans="1:3" ht="15.5">
      <c r="A2860" s="29">
        <v>40399</v>
      </c>
      <c r="B2860" s="28">
        <v>1.0738000000000001</v>
      </c>
      <c r="C2860" s="28">
        <v>1217654980</v>
      </c>
    </row>
    <row r="2861" spans="1:3" ht="15.5">
      <c r="A2861" s="29">
        <v>40396</v>
      </c>
      <c r="B2861" s="28">
        <v>1.0738000000000001</v>
      </c>
      <c r="C2861" s="28">
        <v>1217654980</v>
      </c>
    </row>
    <row r="2862" spans="1:3" ht="15.5">
      <c r="A2862" s="29">
        <v>40395</v>
      </c>
      <c r="B2862" s="28">
        <v>1.0783</v>
      </c>
      <c r="C2862" s="28">
        <v>1222814535</v>
      </c>
    </row>
    <row r="2863" spans="1:3" ht="15.5">
      <c r="A2863" s="29">
        <v>40394</v>
      </c>
      <c r="B2863" s="28">
        <v>1.0465</v>
      </c>
      <c r="C2863" s="28">
        <v>1186697650</v>
      </c>
    </row>
    <row r="2864" spans="1:3" ht="15.5">
      <c r="A2864" s="29">
        <v>40393</v>
      </c>
      <c r="B2864" s="28">
        <v>1.0829</v>
      </c>
      <c r="C2864" s="28">
        <v>1227974090</v>
      </c>
    </row>
    <row r="2865" spans="1:3" ht="15.5">
      <c r="A2865" s="29">
        <v>40392</v>
      </c>
      <c r="B2865" s="28">
        <v>1.1237999999999999</v>
      </c>
      <c r="C2865" s="28">
        <v>1274410085</v>
      </c>
    </row>
    <row r="2866" spans="1:3" ht="15.5">
      <c r="A2866" s="29">
        <v>40389</v>
      </c>
      <c r="B2866" s="28">
        <v>1.1193</v>
      </c>
      <c r="C2866" s="28">
        <v>1269250530</v>
      </c>
    </row>
    <row r="2867" spans="1:3" ht="15.5">
      <c r="A2867" s="29">
        <v>40388</v>
      </c>
      <c r="B2867" s="28">
        <v>1.1147</v>
      </c>
      <c r="C2867" s="28">
        <v>1264090975</v>
      </c>
    </row>
    <row r="2868" spans="1:3" ht="15.5">
      <c r="A2868" s="29">
        <v>40387</v>
      </c>
      <c r="B2868" s="28">
        <v>1.1284000000000001</v>
      </c>
      <c r="C2868" s="28">
        <v>1279569640</v>
      </c>
    </row>
    <row r="2869" spans="1:3" ht="15.5">
      <c r="A2869" s="29">
        <v>40386</v>
      </c>
      <c r="B2869" s="28">
        <v>1.1329</v>
      </c>
      <c r="C2869" s="28">
        <v>1284729195</v>
      </c>
    </row>
    <row r="2870" spans="1:3" ht="15.5">
      <c r="A2870" s="29">
        <v>40385</v>
      </c>
      <c r="B2870" s="28">
        <v>1.1329</v>
      </c>
      <c r="C2870" s="28">
        <v>1284729195</v>
      </c>
    </row>
    <row r="2871" spans="1:3" ht="15.5">
      <c r="A2871" s="29">
        <v>40382</v>
      </c>
      <c r="B2871" s="28">
        <v>1.1237999999999999</v>
      </c>
      <c r="C2871" s="28">
        <v>1274410085</v>
      </c>
    </row>
    <row r="2872" spans="1:3" ht="15.5">
      <c r="A2872" s="29">
        <v>40381</v>
      </c>
      <c r="B2872" s="28">
        <v>1.1055999999999999</v>
      </c>
      <c r="C2872" s="28">
        <v>1253771865</v>
      </c>
    </row>
    <row r="2873" spans="1:3" ht="15.5">
      <c r="A2873" s="29">
        <v>40380</v>
      </c>
      <c r="B2873" s="28">
        <v>1.1284000000000001</v>
      </c>
      <c r="C2873" s="28">
        <v>1279569640</v>
      </c>
    </row>
    <row r="2874" spans="1:3" ht="15.5">
      <c r="A2874" s="29">
        <v>40379</v>
      </c>
      <c r="B2874" s="28">
        <v>1.1011</v>
      </c>
      <c r="C2874" s="28">
        <v>1248612310</v>
      </c>
    </row>
    <row r="2875" spans="1:3" ht="15.5">
      <c r="A2875" s="29">
        <v>40378</v>
      </c>
      <c r="B2875" s="28">
        <v>1.1011</v>
      </c>
      <c r="C2875" s="28">
        <v>1248612310</v>
      </c>
    </row>
    <row r="2876" spans="1:3" ht="15.5">
      <c r="A2876" s="29">
        <v>40375</v>
      </c>
      <c r="B2876" s="28">
        <v>1.1102000000000001</v>
      </c>
      <c r="C2876" s="28">
        <v>1258931420</v>
      </c>
    </row>
    <row r="2877" spans="1:3" ht="15.5">
      <c r="A2877" s="29">
        <v>40374</v>
      </c>
      <c r="B2877" s="28">
        <v>1.1329</v>
      </c>
      <c r="C2877" s="28">
        <v>1284729195</v>
      </c>
    </row>
    <row r="2878" spans="1:3" ht="15.5">
      <c r="A2878" s="29">
        <v>40373</v>
      </c>
      <c r="B2878" s="28">
        <v>1.0965</v>
      </c>
      <c r="C2878" s="28">
        <v>1243452755</v>
      </c>
    </row>
    <row r="2879" spans="1:3" ht="15.5">
      <c r="A2879" s="29">
        <v>40372</v>
      </c>
      <c r="B2879" s="28">
        <v>1.0873999999999999</v>
      </c>
      <c r="C2879" s="28">
        <v>1233133645</v>
      </c>
    </row>
    <row r="2880" spans="1:3" ht="15.5">
      <c r="A2880" s="29">
        <v>40371</v>
      </c>
      <c r="B2880" s="28">
        <v>1.0873999999999999</v>
      </c>
      <c r="C2880" s="28">
        <v>1233133645</v>
      </c>
    </row>
    <row r="2881" spans="1:3" ht="15.5">
      <c r="A2881" s="29">
        <v>40368</v>
      </c>
      <c r="B2881" s="28">
        <v>1.0783</v>
      </c>
      <c r="C2881" s="28">
        <v>1222814535</v>
      </c>
    </row>
    <row r="2882" spans="1:3" ht="15.5">
      <c r="A2882" s="29">
        <v>40367</v>
      </c>
      <c r="B2882" s="28">
        <v>1.0738000000000001</v>
      </c>
      <c r="C2882" s="28">
        <v>1217654980</v>
      </c>
    </row>
    <row r="2883" spans="1:3" ht="15.5">
      <c r="A2883" s="29">
        <v>40366</v>
      </c>
      <c r="B2883" s="28">
        <v>1.0556000000000001</v>
      </c>
      <c r="C2883" s="28">
        <v>1197016760</v>
      </c>
    </row>
    <row r="2884" spans="1:3" ht="15.5">
      <c r="A2884" s="29">
        <v>40365</v>
      </c>
      <c r="B2884" s="28">
        <v>1.0738000000000001</v>
      </c>
      <c r="C2884" s="28">
        <v>1217654980</v>
      </c>
    </row>
    <row r="2885" spans="1:3" ht="15.5">
      <c r="A2885" s="29">
        <v>40364</v>
      </c>
      <c r="B2885" s="28">
        <v>1.0601</v>
      </c>
      <c r="C2885" s="28">
        <v>1202176315</v>
      </c>
    </row>
    <row r="2886" spans="1:3" ht="15.5">
      <c r="A2886" s="29">
        <v>40361</v>
      </c>
      <c r="B2886" s="28">
        <v>1.0465</v>
      </c>
      <c r="C2886" s="28">
        <v>1186697650</v>
      </c>
    </row>
    <row r="2887" spans="1:3" ht="15.5">
      <c r="A2887" s="29">
        <v>40360</v>
      </c>
      <c r="B2887" s="28">
        <v>1.0283</v>
      </c>
      <c r="C2887" s="28">
        <v>1166059430</v>
      </c>
    </row>
    <row r="2888" spans="1:3" ht="15.5">
      <c r="A2888" s="29">
        <v>40359</v>
      </c>
      <c r="B2888" s="28">
        <v>1.0419</v>
      </c>
      <c r="C2888" s="28">
        <v>1181538095</v>
      </c>
    </row>
    <row r="2889" spans="1:3" ht="15.5">
      <c r="A2889" s="29">
        <v>40358</v>
      </c>
      <c r="B2889" s="28">
        <v>1.0419</v>
      </c>
      <c r="C2889" s="28">
        <v>1181538546.1300001</v>
      </c>
    </row>
    <row r="2890" spans="1:3" ht="15.5">
      <c r="A2890" s="29">
        <v>40357</v>
      </c>
      <c r="B2890" s="28">
        <v>1.0829</v>
      </c>
      <c r="C2890" s="28">
        <v>1227974558.8599999</v>
      </c>
    </row>
    <row r="2891" spans="1:3" ht="15.5">
      <c r="A2891" s="29">
        <v>40354</v>
      </c>
      <c r="B2891" s="28">
        <v>1.0873999999999999</v>
      </c>
      <c r="C2891" s="28">
        <v>1233134115.8299999</v>
      </c>
    </row>
    <row r="2892" spans="1:3" ht="15.5">
      <c r="A2892" s="29">
        <v>40353</v>
      </c>
      <c r="B2892" s="28">
        <v>1.0873999999999999</v>
      </c>
      <c r="C2892" s="28">
        <v>1233134115.8299999</v>
      </c>
    </row>
    <row r="2893" spans="1:3" ht="15.5">
      <c r="A2893" s="29">
        <v>40352</v>
      </c>
      <c r="B2893" s="28">
        <v>1.0829</v>
      </c>
      <c r="C2893" s="28">
        <v>1227974558.8599999</v>
      </c>
    </row>
    <row r="2894" spans="1:3" ht="15.5">
      <c r="A2894" s="29">
        <v>40351</v>
      </c>
      <c r="B2894" s="28">
        <v>1.0873999999999999</v>
      </c>
      <c r="C2894" s="28">
        <v>1233134115.8299999</v>
      </c>
    </row>
    <row r="2895" spans="1:3" ht="15.5">
      <c r="A2895" s="29">
        <v>40350</v>
      </c>
      <c r="B2895" s="28">
        <v>1.0873999999999999</v>
      </c>
      <c r="C2895" s="28">
        <v>1233134115.8299999</v>
      </c>
    </row>
    <row r="2896" spans="1:3" ht="15.5">
      <c r="A2896" s="29">
        <v>40347</v>
      </c>
      <c r="B2896" s="28">
        <v>1.1011</v>
      </c>
      <c r="C2896" s="28">
        <v>1248612786.74</v>
      </c>
    </row>
    <row r="2897" spans="1:3" ht="15.5">
      <c r="A2897" s="29">
        <v>40346</v>
      </c>
      <c r="B2897" s="28">
        <v>1.0783</v>
      </c>
      <c r="C2897" s="28">
        <v>1222815001.8900001</v>
      </c>
    </row>
    <row r="2898" spans="1:3" ht="15.5">
      <c r="A2898" s="29">
        <v>40345</v>
      </c>
      <c r="B2898" s="28">
        <v>1.0327999999999999</v>
      </c>
      <c r="C2898" s="28">
        <v>1171219432.1900001</v>
      </c>
    </row>
    <row r="2899" spans="1:3" ht="15.5">
      <c r="A2899" s="29">
        <v>40344</v>
      </c>
      <c r="B2899" s="28">
        <v>1.0283</v>
      </c>
      <c r="C2899" s="28">
        <v>1166059875.22</v>
      </c>
    </row>
    <row r="2900" spans="1:3" ht="15.5">
      <c r="A2900" s="29">
        <v>40340</v>
      </c>
      <c r="B2900" s="28">
        <v>1.0327999999999999</v>
      </c>
      <c r="C2900" s="28">
        <v>1171219432.1900001</v>
      </c>
    </row>
    <row r="2901" spans="1:3" ht="15.5">
      <c r="A2901" s="29">
        <v>40339</v>
      </c>
      <c r="B2901" s="28">
        <v>1.0237000000000001</v>
      </c>
      <c r="C2901" s="28">
        <v>1160900318.25</v>
      </c>
    </row>
    <row r="2902" spans="1:3" ht="15.5">
      <c r="A2902" s="29">
        <v>40338</v>
      </c>
      <c r="B2902" s="28">
        <v>1.0145999999999999</v>
      </c>
      <c r="C2902" s="28">
        <v>1150581204.3099999</v>
      </c>
    </row>
    <row r="2903" spans="1:3" ht="15.5">
      <c r="A2903" s="29">
        <v>40337</v>
      </c>
      <c r="B2903" s="28">
        <v>1.0237000000000001</v>
      </c>
      <c r="C2903" s="28">
        <v>1160900318.25</v>
      </c>
    </row>
    <row r="2904" spans="1:3" ht="15.5">
      <c r="A2904" s="29">
        <v>40336</v>
      </c>
      <c r="B2904" s="28">
        <v>1.0009999999999999</v>
      </c>
      <c r="C2904" s="28">
        <v>1135102533.4000001</v>
      </c>
    </row>
    <row r="2905" spans="1:3" ht="15.5">
      <c r="A2905" s="29">
        <v>40333</v>
      </c>
      <c r="B2905" s="28">
        <v>1.0327999999999999</v>
      </c>
      <c r="C2905" s="28">
        <v>1171219432.1900001</v>
      </c>
    </row>
    <row r="2906" spans="1:3" ht="15.5">
      <c r="A2906" s="29">
        <v>40332</v>
      </c>
      <c r="B2906" s="28">
        <v>1.0283</v>
      </c>
      <c r="C2906" s="28">
        <v>1166059875.22</v>
      </c>
    </row>
    <row r="2907" spans="1:3" ht="15.5">
      <c r="A2907" s="29">
        <v>40331</v>
      </c>
      <c r="B2907" s="28">
        <v>1.0192000000000001</v>
      </c>
      <c r="C2907" s="28">
        <v>1155740761.28</v>
      </c>
    </row>
    <row r="2908" spans="1:3" ht="15.5">
      <c r="A2908" s="29">
        <v>40330</v>
      </c>
      <c r="B2908" s="28">
        <v>1.0374000000000001</v>
      </c>
      <c r="C2908" s="28">
        <v>1176378989.1600001</v>
      </c>
    </row>
    <row r="2909" spans="1:3" ht="15.5">
      <c r="A2909" s="29">
        <v>40329</v>
      </c>
      <c r="B2909" s="28">
        <v>1.0237000000000001</v>
      </c>
      <c r="C2909" s="28">
        <v>1160900318.25</v>
      </c>
    </row>
    <row r="2910" spans="1:3" ht="15.5">
      <c r="A2910" s="29">
        <v>40326</v>
      </c>
      <c r="B2910" s="28">
        <v>1.0374000000000001</v>
      </c>
      <c r="C2910" s="28">
        <v>1176378989.1600001</v>
      </c>
    </row>
    <row r="2911" spans="1:3" ht="15.5">
      <c r="A2911" s="29">
        <v>40325</v>
      </c>
      <c r="B2911" s="28">
        <v>1.0192000000000001</v>
      </c>
      <c r="C2911" s="28">
        <v>1155740761.28</v>
      </c>
    </row>
    <row r="2912" spans="1:3" ht="15.5">
      <c r="A2912" s="29">
        <v>40324</v>
      </c>
      <c r="B2912" s="28">
        <v>1.0055000000000001</v>
      </c>
      <c r="C2912" s="28">
        <v>1140262090.3699999</v>
      </c>
    </row>
    <row r="2913" spans="1:3" ht="15.5">
      <c r="A2913" s="29">
        <v>40323</v>
      </c>
      <c r="B2913" s="28">
        <v>1.0101</v>
      </c>
      <c r="C2913" s="28">
        <v>1145421647.3399999</v>
      </c>
    </row>
    <row r="2914" spans="1:3" ht="15.5">
      <c r="A2914" s="29">
        <v>40322</v>
      </c>
      <c r="B2914" s="28">
        <v>1.0374000000000001</v>
      </c>
      <c r="C2914" s="28">
        <v>1176378989.1600001</v>
      </c>
    </row>
    <row r="2915" spans="1:3" ht="15.5">
      <c r="A2915" s="29">
        <v>40319</v>
      </c>
      <c r="B2915" s="28">
        <v>1.0009999999999999</v>
      </c>
      <c r="C2915" s="28">
        <v>1135102533.4000001</v>
      </c>
    </row>
    <row r="2916" spans="1:3" ht="15.5">
      <c r="A2916" s="29">
        <v>40318</v>
      </c>
      <c r="B2916" s="28">
        <v>1.0237000000000001</v>
      </c>
      <c r="C2916" s="28">
        <v>1160900318.25</v>
      </c>
    </row>
    <row r="2917" spans="1:3" ht="15.5">
      <c r="A2917" s="29">
        <v>40317</v>
      </c>
      <c r="B2917" s="28">
        <v>1.0601</v>
      </c>
      <c r="C2917" s="28">
        <v>1202176774.01</v>
      </c>
    </row>
    <row r="2918" spans="1:3" ht="15.5">
      <c r="A2918" s="29">
        <v>40316</v>
      </c>
      <c r="B2918" s="28">
        <v>1.0691999999999999</v>
      </c>
      <c r="C2918" s="28">
        <v>1212495887.95</v>
      </c>
    </row>
    <row r="2919" spans="1:3" ht="15.5">
      <c r="A2919" s="29">
        <v>40315</v>
      </c>
      <c r="B2919" s="28">
        <v>1.0465</v>
      </c>
      <c r="C2919" s="28">
        <v>1186698103.0999999</v>
      </c>
    </row>
    <row r="2920" spans="1:3" ht="15.5">
      <c r="A2920" s="29">
        <v>40312</v>
      </c>
      <c r="B2920" s="28">
        <v>1.0829</v>
      </c>
      <c r="C2920" s="28">
        <v>1227974558.8599999</v>
      </c>
    </row>
    <row r="2921" spans="1:3" ht="15.5">
      <c r="A2921" s="29">
        <v>40311</v>
      </c>
      <c r="B2921" s="28">
        <v>1.0873999999999999</v>
      </c>
      <c r="C2921" s="28">
        <v>1233134115.8299999</v>
      </c>
    </row>
    <row r="2922" spans="1:3" ht="15.5">
      <c r="A2922" s="29">
        <v>40310</v>
      </c>
      <c r="B2922" s="28">
        <v>1.0601</v>
      </c>
      <c r="C2922" s="28">
        <v>1202176774.01</v>
      </c>
    </row>
    <row r="2923" spans="1:3" ht="15.5">
      <c r="A2923" s="29">
        <v>40309</v>
      </c>
      <c r="B2923" s="28">
        <v>1.0419</v>
      </c>
      <c r="C2923" s="28">
        <v>1181538546.1300001</v>
      </c>
    </row>
    <row r="2924" spans="1:3" ht="15.5">
      <c r="A2924" s="29">
        <v>40308</v>
      </c>
      <c r="B2924" s="28">
        <v>1.0509999999999999</v>
      </c>
      <c r="C2924" s="28">
        <v>1191857660.0699999</v>
      </c>
    </row>
    <row r="2925" spans="1:3" ht="15.5">
      <c r="A2925" s="29">
        <v>40305</v>
      </c>
      <c r="B2925" s="28">
        <v>1.0509999999999999</v>
      </c>
      <c r="C2925" s="28">
        <v>1191857660.0699999</v>
      </c>
    </row>
    <row r="2926" spans="1:3" ht="15.5">
      <c r="A2926" s="29">
        <v>40304</v>
      </c>
      <c r="B2926" s="28">
        <v>1.0738000000000001</v>
      </c>
      <c r="C2926" s="28">
        <v>1217655444.9200001</v>
      </c>
    </row>
    <row r="2927" spans="1:3" ht="15.5">
      <c r="A2927" s="29">
        <v>40303</v>
      </c>
      <c r="B2927" s="28">
        <v>1.0738000000000001</v>
      </c>
      <c r="C2927" s="28">
        <v>1217655444.9200001</v>
      </c>
    </row>
    <row r="2928" spans="1:3" ht="15.5">
      <c r="A2928" s="29">
        <v>40302</v>
      </c>
      <c r="B2928" s="28">
        <v>1.0920000000000001</v>
      </c>
      <c r="C2928" s="28">
        <v>1238293672.8</v>
      </c>
    </row>
    <row r="2929" spans="1:3" ht="15.5">
      <c r="A2929" s="29">
        <v>40301</v>
      </c>
      <c r="B2929" s="28">
        <v>1.0965</v>
      </c>
      <c r="C2929" s="28">
        <v>1243453229.77</v>
      </c>
    </row>
    <row r="2930" spans="1:3" ht="15.5">
      <c r="A2930" s="29">
        <v>40298</v>
      </c>
      <c r="B2930" s="28">
        <v>1.1011</v>
      </c>
      <c r="C2930" s="28">
        <v>1248612786.74</v>
      </c>
    </row>
    <row r="2931" spans="1:3" ht="15.5">
      <c r="A2931" s="29">
        <v>40297</v>
      </c>
      <c r="B2931" s="28">
        <v>1.0965</v>
      </c>
      <c r="C2931" s="28">
        <v>1243453229.77</v>
      </c>
    </row>
    <row r="2932" spans="1:3" ht="15.5">
      <c r="A2932" s="29">
        <v>40296</v>
      </c>
      <c r="B2932" s="28">
        <v>1.1011</v>
      </c>
      <c r="C2932" s="28">
        <v>1248612786.74</v>
      </c>
    </row>
    <row r="2933" spans="1:3" ht="15.5">
      <c r="A2933" s="29">
        <v>40295</v>
      </c>
      <c r="B2933" s="28">
        <v>1.1419999999999999</v>
      </c>
      <c r="C2933" s="28">
        <v>1295048799.47</v>
      </c>
    </row>
    <row r="2934" spans="1:3" ht="15.5">
      <c r="A2934" s="29">
        <v>40291</v>
      </c>
      <c r="B2934" s="28">
        <v>1.1693</v>
      </c>
      <c r="C2934" s="28">
        <v>1326006141.29</v>
      </c>
    </row>
    <row r="2935" spans="1:3" ht="15.5">
      <c r="A2935" s="29">
        <v>40290</v>
      </c>
      <c r="B2935" s="28">
        <v>1.1556999999999999</v>
      </c>
      <c r="C2935" s="28">
        <v>1310527470.3800001</v>
      </c>
    </row>
    <row r="2936" spans="1:3" ht="15.5">
      <c r="A2936" s="29">
        <v>40289</v>
      </c>
      <c r="B2936" s="28">
        <v>1.1648000000000001</v>
      </c>
      <c r="C2936" s="28">
        <v>1320846584.3199999</v>
      </c>
    </row>
    <row r="2937" spans="1:3" ht="15.5">
      <c r="A2937" s="29">
        <v>40288</v>
      </c>
      <c r="B2937" s="28">
        <v>1.1601999999999999</v>
      </c>
      <c r="C2937" s="28">
        <v>1315687027.3499999</v>
      </c>
    </row>
    <row r="2938" spans="1:3" ht="15.5">
      <c r="A2938" s="29">
        <v>40287</v>
      </c>
      <c r="B2938" s="28">
        <v>1.1601999999999999</v>
      </c>
      <c r="C2938" s="28">
        <v>1315687027.3499999</v>
      </c>
    </row>
    <row r="2939" spans="1:3" ht="15.5">
      <c r="A2939" s="29">
        <v>40284</v>
      </c>
      <c r="B2939" s="28">
        <v>1.1830000000000001</v>
      </c>
      <c r="C2939" s="28">
        <v>1341484812.2</v>
      </c>
    </row>
    <row r="2940" spans="1:3" ht="15.5">
      <c r="A2940" s="29">
        <v>40283</v>
      </c>
      <c r="B2940" s="28">
        <v>1.1830000000000001</v>
      </c>
      <c r="C2940" s="28">
        <v>1341484812.2</v>
      </c>
    </row>
    <row r="2941" spans="1:3" ht="15.5">
      <c r="A2941" s="29">
        <v>40282</v>
      </c>
      <c r="B2941" s="28">
        <v>1.1966000000000001</v>
      </c>
      <c r="C2941" s="28">
        <v>1356963483.1099999</v>
      </c>
    </row>
    <row r="2942" spans="1:3" ht="15.5">
      <c r="A2942" s="29">
        <v>40281</v>
      </c>
      <c r="B2942" s="28">
        <v>1.1511</v>
      </c>
      <c r="C2942" s="28">
        <v>1305367913.4100001</v>
      </c>
    </row>
    <row r="2943" spans="1:3" ht="15.5">
      <c r="A2943" s="29">
        <v>40280</v>
      </c>
      <c r="B2943" s="28">
        <v>1.1375</v>
      </c>
      <c r="C2943" s="28">
        <v>1289889242.5</v>
      </c>
    </row>
    <row r="2944" spans="1:3" ht="15.5">
      <c r="A2944" s="29">
        <v>40277</v>
      </c>
      <c r="B2944" s="28">
        <v>1.1329</v>
      </c>
      <c r="C2944" s="28">
        <v>1284729685.53</v>
      </c>
    </row>
    <row r="2945" spans="1:3" ht="15.5">
      <c r="A2945" s="29">
        <v>40276</v>
      </c>
      <c r="B2945" s="28">
        <v>1.1284000000000001</v>
      </c>
      <c r="C2945" s="28">
        <v>1279570128.5599999</v>
      </c>
    </row>
    <row r="2946" spans="1:3" ht="15.5">
      <c r="A2946" s="29">
        <v>40275</v>
      </c>
      <c r="B2946" s="28">
        <v>1.1466000000000001</v>
      </c>
      <c r="C2946" s="28">
        <v>1300208356.4400001</v>
      </c>
    </row>
    <row r="2947" spans="1:3" ht="15.5">
      <c r="A2947" s="29">
        <v>40274</v>
      </c>
      <c r="B2947" s="28">
        <v>1.1193</v>
      </c>
      <c r="C2947" s="28">
        <v>1269251014.6199999</v>
      </c>
    </row>
    <row r="2948" spans="1:3" ht="15.5">
      <c r="A2948" s="29">
        <v>40269</v>
      </c>
      <c r="B2948" s="28">
        <v>1.0873999999999999</v>
      </c>
      <c r="C2948" s="28">
        <v>1233134115.8299999</v>
      </c>
    </row>
    <row r="2949" spans="1:3" ht="15.5">
      <c r="A2949" s="29">
        <v>40268</v>
      </c>
      <c r="B2949" s="28">
        <v>1.0965</v>
      </c>
      <c r="C2949" s="28">
        <v>1243453229.77</v>
      </c>
    </row>
    <row r="2950" spans="1:3" ht="15.5">
      <c r="A2950" s="29">
        <v>40267</v>
      </c>
      <c r="B2950" s="28">
        <v>1.1055999999999999</v>
      </c>
      <c r="C2950" s="28">
        <v>1253772343.71</v>
      </c>
    </row>
    <row r="2951" spans="1:3" ht="15.5">
      <c r="A2951" s="29">
        <v>40266</v>
      </c>
      <c r="B2951" s="28">
        <v>1.0965</v>
      </c>
      <c r="C2951" s="28">
        <v>1243453229.77</v>
      </c>
    </row>
    <row r="2952" spans="1:3" ht="15.5">
      <c r="A2952" s="29">
        <v>40263</v>
      </c>
      <c r="B2952" s="28">
        <v>1.0920000000000001</v>
      </c>
      <c r="C2952" s="28">
        <v>1238293672.8</v>
      </c>
    </row>
    <row r="2953" spans="1:3" ht="15.5">
      <c r="A2953" s="29">
        <v>40262</v>
      </c>
      <c r="B2953" s="28">
        <v>1.1011</v>
      </c>
      <c r="C2953" s="28">
        <v>1248612786.74</v>
      </c>
    </row>
    <row r="2954" spans="1:3" ht="15.5">
      <c r="A2954" s="29">
        <v>40261</v>
      </c>
      <c r="B2954" s="28">
        <v>1.0965</v>
      </c>
      <c r="C2954" s="28">
        <v>1243453229.77</v>
      </c>
    </row>
    <row r="2955" spans="1:3" ht="15.5">
      <c r="A2955" s="29">
        <v>40260</v>
      </c>
      <c r="B2955" s="28">
        <v>1.0783</v>
      </c>
      <c r="C2955" s="28">
        <v>1222815001.8900001</v>
      </c>
    </row>
    <row r="2956" spans="1:3" ht="15.5">
      <c r="A2956" s="29">
        <v>40259</v>
      </c>
      <c r="B2956" s="28">
        <v>1.0738000000000001</v>
      </c>
      <c r="C2956" s="28">
        <v>1217655444.9200001</v>
      </c>
    </row>
    <row r="2957" spans="1:3" ht="15.5">
      <c r="A2957" s="29">
        <v>40256</v>
      </c>
      <c r="B2957" s="28">
        <v>1.0829</v>
      </c>
      <c r="C2957" s="28">
        <v>1227974558.8599999</v>
      </c>
    </row>
    <row r="2958" spans="1:3" ht="15.5">
      <c r="A2958" s="29">
        <v>40255</v>
      </c>
      <c r="B2958" s="28">
        <v>1.0829</v>
      </c>
      <c r="C2958" s="28">
        <v>1227974558.8599999</v>
      </c>
    </row>
    <row r="2959" spans="1:3" ht="15.5">
      <c r="A2959" s="29">
        <v>40254</v>
      </c>
      <c r="B2959" s="28">
        <v>1.0829</v>
      </c>
      <c r="C2959" s="28">
        <v>1227974558.8599999</v>
      </c>
    </row>
    <row r="2960" spans="1:3" ht="15.5">
      <c r="A2960" s="29">
        <v>40253</v>
      </c>
      <c r="B2960" s="28">
        <v>1.0920000000000001</v>
      </c>
      <c r="C2960" s="28">
        <v>1238293672.8</v>
      </c>
    </row>
    <row r="2961" spans="1:3" ht="15.5">
      <c r="A2961" s="29">
        <v>40252</v>
      </c>
      <c r="B2961" s="28">
        <v>1.1102000000000001</v>
      </c>
      <c r="C2961" s="28">
        <v>1258931900.6800001</v>
      </c>
    </row>
    <row r="2962" spans="1:3" ht="15.5">
      <c r="A2962" s="29">
        <v>40249</v>
      </c>
      <c r="B2962" s="28">
        <v>1.1329</v>
      </c>
      <c r="C2962" s="28">
        <v>1284729685.53</v>
      </c>
    </row>
    <row r="2963" spans="1:3" ht="15.5">
      <c r="A2963" s="29">
        <v>40248</v>
      </c>
      <c r="B2963" s="28">
        <v>1.1466000000000001</v>
      </c>
      <c r="C2963" s="28">
        <v>1300208356.4400001</v>
      </c>
    </row>
    <row r="2964" spans="1:3" ht="15.5">
      <c r="A2964" s="29">
        <v>40247</v>
      </c>
      <c r="B2964" s="28">
        <v>1.1466000000000001</v>
      </c>
      <c r="C2964" s="28">
        <v>1300208356.4400001</v>
      </c>
    </row>
    <row r="2965" spans="1:3" ht="15.5">
      <c r="A2965" s="29">
        <v>40246</v>
      </c>
      <c r="B2965" s="28">
        <v>1.1466000000000001</v>
      </c>
      <c r="C2965" s="28">
        <v>1300208356.4400001</v>
      </c>
    </row>
    <row r="2966" spans="1:3" ht="15.5">
      <c r="A2966" s="29">
        <v>40245</v>
      </c>
      <c r="B2966" s="28">
        <v>1.1193</v>
      </c>
      <c r="C2966" s="28">
        <v>1269251014.6199999</v>
      </c>
    </row>
    <row r="2967" spans="1:3" ht="15.5">
      <c r="A2967" s="29">
        <v>40242</v>
      </c>
      <c r="B2967" s="28">
        <v>1.1329</v>
      </c>
      <c r="C2967" s="28">
        <v>1284729685.53</v>
      </c>
    </row>
    <row r="2968" spans="1:3" ht="15.5">
      <c r="A2968" s="29">
        <v>40241</v>
      </c>
      <c r="B2968" s="28">
        <v>1.1329</v>
      </c>
      <c r="C2968" s="28">
        <v>1284729685.53</v>
      </c>
    </row>
    <row r="2969" spans="1:3" ht="15.5">
      <c r="A2969" s="29">
        <v>40240</v>
      </c>
      <c r="B2969" s="28">
        <v>1.1738999999999999</v>
      </c>
      <c r="C2969" s="28">
        <v>1331165698.26</v>
      </c>
    </row>
    <row r="2970" spans="1:3" ht="15.5">
      <c r="A2970" s="29">
        <v>40239</v>
      </c>
      <c r="B2970" s="28">
        <v>1.2694000000000001</v>
      </c>
      <c r="C2970" s="28">
        <v>1439516394.6300001</v>
      </c>
    </row>
    <row r="2971" spans="1:3" ht="15.5">
      <c r="A2971" s="29">
        <v>40238</v>
      </c>
      <c r="B2971" s="28">
        <v>1.2876000000000001</v>
      </c>
      <c r="C2971" s="28">
        <v>1460154622.51</v>
      </c>
    </row>
    <row r="2972" spans="1:3" ht="15.5">
      <c r="A2972" s="29">
        <v>40235</v>
      </c>
      <c r="B2972" s="28">
        <v>1.2922</v>
      </c>
      <c r="C2972" s="28">
        <v>1465314179.48</v>
      </c>
    </row>
    <row r="2973" spans="1:3" ht="15.5">
      <c r="A2973" s="29">
        <v>40234</v>
      </c>
      <c r="B2973" s="28">
        <v>1.2648999999999999</v>
      </c>
      <c r="C2973" s="28">
        <v>1434356837.6600001</v>
      </c>
    </row>
    <row r="2974" spans="1:3" ht="15.5">
      <c r="A2974" s="29">
        <v>40233</v>
      </c>
      <c r="B2974" s="28">
        <v>1.3012999999999999</v>
      </c>
      <c r="C2974" s="28">
        <v>1475633293.4200001</v>
      </c>
    </row>
    <row r="2975" spans="1:3" ht="15.5">
      <c r="A2975" s="29">
        <v>40232</v>
      </c>
      <c r="B2975" s="28">
        <v>1.2876000000000001</v>
      </c>
      <c r="C2975" s="28">
        <v>1460154622.51</v>
      </c>
    </row>
    <row r="2976" spans="1:3" ht="15.5">
      <c r="A2976" s="29">
        <v>40231</v>
      </c>
      <c r="B2976" s="28">
        <v>1.2876000000000001</v>
      </c>
      <c r="C2976" s="28">
        <v>1460154622.51</v>
      </c>
    </row>
    <row r="2977" spans="1:3" ht="15.5">
      <c r="A2977" s="29">
        <v>40228</v>
      </c>
      <c r="B2977" s="28">
        <v>1.2603</v>
      </c>
      <c r="C2977" s="28">
        <v>1429197280.6900001</v>
      </c>
    </row>
    <row r="2978" spans="1:3" ht="15.5">
      <c r="A2978" s="29">
        <v>40227</v>
      </c>
      <c r="B2978" s="28">
        <v>1.2421</v>
      </c>
      <c r="C2978" s="28">
        <v>1408559052.8099999</v>
      </c>
    </row>
    <row r="2979" spans="1:3" ht="15.5">
      <c r="A2979" s="29">
        <v>40226</v>
      </c>
      <c r="B2979" s="28">
        <v>1.2421</v>
      </c>
      <c r="C2979" s="28">
        <v>1408559052.8099999</v>
      </c>
    </row>
    <row r="2980" spans="1:3" ht="15.5">
      <c r="A2980" s="29">
        <v>40225</v>
      </c>
      <c r="B2980" s="28">
        <v>1.2330000000000001</v>
      </c>
      <c r="C2980" s="28">
        <v>1398239938.8699999</v>
      </c>
    </row>
    <row r="2981" spans="1:3" ht="15.5">
      <c r="A2981" s="29">
        <v>40224</v>
      </c>
      <c r="B2981" s="28">
        <v>1.2194</v>
      </c>
      <c r="C2981" s="28">
        <v>1382761267.96</v>
      </c>
    </row>
    <row r="2982" spans="1:3" ht="15.5">
      <c r="A2982" s="29">
        <v>40221</v>
      </c>
      <c r="B2982" s="28">
        <v>1.2376</v>
      </c>
      <c r="C2982" s="28">
        <v>1403399495.8399999</v>
      </c>
    </row>
    <row r="2983" spans="1:3" ht="15.5">
      <c r="A2983" s="29">
        <v>40220</v>
      </c>
      <c r="B2983" s="28">
        <v>1.2239</v>
      </c>
      <c r="C2983" s="28">
        <v>1387920824.9300001</v>
      </c>
    </row>
    <row r="2984" spans="1:3" ht="15.5">
      <c r="A2984" s="29">
        <v>40219</v>
      </c>
      <c r="B2984" s="28">
        <v>1.1875</v>
      </c>
      <c r="C2984" s="28">
        <v>1346644369.1700001</v>
      </c>
    </row>
    <row r="2985" spans="1:3" ht="15.5">
      <c r="A2985" s="29">
        <v>40218</v>
      </c>
      <c r="B2985" s="28">
        <v>1.1648000000000001</v>
      </c>
      <c r="C2985" s="28">
        <v>1320846584.3199999</v>
      </c>
    </row>
    <row r="2986" spans="1:3" ht="15.5">
      <c r="A2986" s="29">
        <v>40217</v>
      </c>
      <c r="B2986" s="28">
        <v>1.1920999999999999</v>
      </c>
      <c r="C2986" s="28">
        <v>1351803926.1400001</v>
      </c>
    </row>
    <row r="2987" spans="1:3" ht="15.5">
      <c r="A2987" s="29">
        <v>40214</v>
      </c>
      <c r="B2987" s="28">
        <v>1.1966000000000001</v>
      </c>
      <c r="C2987" s="28">
        <v>1356963483.1099999</v>
      </c>
    </row>
    <row r="2988" spans="1:3" ht="15.5">
      <c r="A2988" s="29">
        <v>40213</v>
      </c>
      <c r="B2988" s="28">
        <v>1.2284999999999999</v>
      </c>
      <c r="C2988" s="28">
        <v>1393080381.9000001</v>
      </c>
    </row>
    <row r="2989" spans="1:3" ht="15.5">
      <c r="A2989" s="29">
        <v>40212</v>
      </c>
      <c r="B2989" s="28">
        <v>1.2057</v>
      </c>
      <c r="C2989" s="28">
        <v>1367282597.05</v>
      </c>
    </row>
    <row r="2990" spans="1:3" ht="15.5">
      <c r="A2990" s="29">
        <v>40211</v>
      </c>
      <c r="B2990" s="28">
        <v>1.2057</v>
      </c>
      <c r="C2990" s="28">
        <v>1367282597.05</v>
      </c>
    </row>
    <row r="2991" spans="1:3" ht="15.5">
      <c r="A2991" s="29">
        <v>40210</v>
      </c>
      <c r="B2991" s="28">
        <v>1.1966000000000001</v>
      </c>
      <c r="C2991" s="28">
        <v>1356963483.1099999</v>
      </c>
    </row>
    <row r="2992" spans="1:3" ht="15.5">
      <c r="A2992" s="29">
        <v>40207</v>
      </c>
      <c r="B2992" s="28">
        <v>1.2057</v>
      </c>
      <c r="C2992" s="28">
        <v>1367282597.05</v>
      </c>
    </row>
    <row r="2993" spans="1:3" ht="15.5">
      <c r="A2993" s="29">
        <v>40206</v>
      </c>
      <c r="B2993" s="28">
        <v>1.1966000000000001</v>
      </c>
      <c r="C2993" s="28">
        <v>1356963483.1099999</v>
      </c>
    </row>
    <row r="2994" spans="1:3" ht="15.5">
      <c r="A2994" s="29">
        <v>40205</v>
      </c>
      <c r="B2994" s="28">
        <v>1.1966000000000001</v>
      </c>
      <c r="C2994" s="28">
        <v>1356963483.1099999</v>
      </c>
    </row>
    <row r="2995" spans="1:3" ht="15.5">
      <c r="A2995" s="29">
        <v>40203</v>
      </c>
      <c r="B2995" s="28">
        <v>1.2057</v>
      </c>
      <c r="C2995" s="28">
        <v>1367282597.05</v>
      </c>
    </row>
    <row r="2996" spans="1:3" ht="15.5">
      <c r="A2996" s="29">
        <v>40200</v>
      </c>
      <c r="B2996" s="28">
        <v>1.2102999999999999</v>
      </c>
      <c r="C2996" s="28">
        <v>1372442154.02</v>
      </c>
    </row>
    <row r="2997" spans="1:3" ht="15.5">
      <c r="A2997" s="29">
        <v>40199</v>
      </c>
      <c r="B2997" s="28">
        <v>1.2194</v>
      </c>
      <c r="C2997" s="28">
        <v>1382761267.96</v>
      </c>
    </row>
    <row r="2998" spans="1:3" ht="15.5">
      <c r="A2998" s="29">
        <v>40198</v>
      </c>
      <c r="B2998" s="28">
        <v>1.2148000000000001</v>
      </c>
      <c r="C2998" s="28">
        <v>1377601710.99</v>
      </c>
    </row>
    <row r="2999" spans="1:3" ht="15.5">
      <c r="A2999" s="29">
        <v>40197</v>
      </c>
      <c r="B2999" s="28">
        <v>1.2012</v>
      </c>
      <c r="C2999" s="28">
        <v>1362123040.0799999</v>
      </c>
    </row>
    <row r="3000" spans="1:3" ht="15.5">
      <c r="A3000" s="29">
        <v>40196</v>
      </c>
      <c r="B3000" s="28">
        <v>1.2376</v>
      </c>
      <c r="C3000" s="28">
        <v>1403399495.8399999</v>
      </c>
    </row>
    <row r="3001" spans="1:3" ht="15.5">
      <c r="A3001" s="29">
        <v>40193</v>
      </c>
      <c r="B3001" s="28">
        <v>1.2512000000000001</v>
      </c>
      <c r="C3001" s="28">
        <v>1418878166.75</v>
      </c>
    </row>
    <row r="3002" spans="1:3" ht="15.5">
      <c r="A3002" s="29">
        <v>40192</v>
      </c>
      <c r="B3002" s="28">
        <v>1.2558</v>
      </c>
      <c r="C3002" s="28">
        <v>1424037723.72</v>
      </c>
    </row>
    <row r="3003" spans="1:3" ht="15.5">
      <c r="A3003" s="29">
        <v>40191</v>
      </c>
      <c r="B3003" s="28">
        <v>1.2785</v>
      </c>
      <c r="C3003" s="28">
        <v>1449835508.5699999</v>
      </c>
    </row>
    <row r="3004" spans="1:3" ht="15.5">
      <c r="A3004" s="29">
        <v>40190</v>
      </c>
      <c r="B3004" s="28">
        <v>1.2785</v>
      </c>
      <c r="C3004" s="28">
        <v>1449835508.5699999</v>
      </c>
    </row>
    <row r="3005" spans="1:3" ht="15.5">
      <c r="A3005" s="29">
        <v>40189</v>
      </c>
      <c r="B3005" s="28">
        <v>1.2922</v>
      </c>
      <c r="C3005" s="28">
        <v>1465314179.48</v>
      </c>
    </row>
    <row r="3006" spans="1:3" ht="15.5">
      <c r="A3006" s="29">
        <v>40186</v>
      </c>
      <c r="B3006" s="28">
        <v>1.2967</v>
      </c>
      <c r="C3006" s="28">
        <v>1470473736.45</v>
      </c>
    </row>
    <row r="3007" spans="1:3" ht="15.5">
      <c r="A3007" s="29">
        <v>40185</v>
      </c>
      <c r="B3007" s="28">
        <v>1.2785</v>
      </c>
      <c r="C3007" s="28">
        <v>1449835508.5699999</v>
      </c>
    </row>
    <row r="3008" spans="1:3" ht="15.5">
      <c r="A3008" s="29">
        <v>40184</v>
      </c>
      <c r="B3008" s="28">
        <v>1.3012999999999999</v>
      </c>
      <c r="C3008" s="28">
        <v>1475633293.4200001</v>
      </c>
    </row>
    <row r="3009" spans="1:3" ht="15.5">
      <c r="A3009" s="29">
        <v>40183</v>
      </c>
      <c r="B3009" s="28">
        <v>1.3012999999999999</v>
      </c>
      <c r="C3009" s="28">
        <v>1475633293.4200001</v>
      </c>
    </row>
    <row r="3010" spans="1:3" ht="15.5">
      <c r="A3010" s="29">
        <v>40182</v>
      </c>
      <c r="B3010" s="28">
        <v>1.2876000000000001</v>
      </c>
      <c r="C3010" s="28">
        <v>1460154622.51</v>
      </c>
    </row>
    <row r="3011" spans="1:3" ht="15.5">
      <c r="A3011" s="29">
        <v>40178</v>
      </c>
      <c r="B3011" s="28">
        <v>1.2603</v>
      </c>
      <c r="C3011" s="28">
        <v>1429197280.6900001</v>
      </c>
    </row>
    <row r="3012" spans="1:3" ht="15.5">
      <c r="A3012" s="29">
        <v>40177</v>
      </c>
      <c r="B3012" s="28">
        <v>1.2558</v>
      </c>
      <c r="C3012" s="28">
        <v>1424037723.72</v>
      </c>
    </row>
    <row r="3013" spans="1:3" ht="15.5">
      <c r="A3013" s="29">
        <v>40176</v>
      </c>
      <c r="B3013" s="28">
        <v>1.2967</v>
      </c>
      <c r="C3013" s="28">
        <v>1470473736.45</v>
      </c>
    </row>
    <row r="3014" spans="1:3" ht="15.5">
      <c r="A3014" s="29">
        <v>40171</v>
      </c>
      <c r="B3014" s="28">
        <v>1.2558</v>
      </c>
      <c r="C3014" s="28">
        <v>1424037723.72</v>
      </c>
    </row>
    <row r="3015" spans="1:3" ht="15.5">
      <c r="A3015" s="29">
        <v>40170</v>
      </c>
      <c r="B3015" s="28">
        <v>1.2284999999999999</v>
      </c>
      <c r="C3015" s="28">
        <v>1393080381.9000001</v>
      </c>
    </row>
    <row r="3016" spans="1:3" ht="15.5">
      <c r="A3016" s="29">
        <v>40169</v>
      </c>
      <c r="B3016" s="28">
        <v>1.2057</v>
      </c>
      <c r="C3016" s="28">
        <v>1367282597.05</v>
      </c>
    </row>
    <row r="3017" spans="1:3" ht="15.5">
      <c r="A3017" s="29">
        <v>40168</v>
      </c>
      <c r="B3017" s="28">
        <v>1.2194</v>
      </c>
      <c r="C3017" s="28">
        <v>1382761267.96</v>
      </c>
    </row>
    <row r="3018" spans="1:3" ht="15.5">
      <c r="A3018" s="29">
        <v>40165</v>
      </c>
      <c r="B3018" s="28">
        <v>1.2012</v>
      </c>
      <c r="C3018" s="28">
        <v>1362123040.0799999</v>
      </c>
    </row>
    <row r="3019" spans="1:3" ht="15.5">
      <c r="A3019" s="29">
        <v>40164</v>
      </c>
      <c r="B3019" s="28">
        <v>1.1875</v>
      </c>
      <c r="C3019" s="28">
        <v>1346644369.1700001</v>
      </c>
    </row>
    <row r="3020" spans="1:3" ht="15.5">
      <c r="A3020" s="29">
        <v>40163</v>
      </c>
      <c r="B3020" s="28">
        <v>1.1693</v>
      </c>
      <c r="C3020" s="28">
        <v>1326006141.29</v>
      </c>
    </row>
    <row r="3021" spans="1:3" ht="15.5">
      <c r="A3021" s="29">
        <v>40162</v>
      </c>
      <c r="B3021" s="28">
        <v>1.1738999999999999</v>
      </c>
      <c r="C3021" s="28">
        <v>1331165698.26</v>
      </c>
    </row>
    <row r="3022" spans="1:3" ht="15.5">
      <c r="A3022" s="29">
        <v>40161</v>
      </c>
      <c r="B3022" s="28">
        <v>1.1556999999999999</v>
      </c>
      <c r="C3022" s="28">
        <v>1310527470.3800001</v>
      </c>
    </row>
    <row r="3023" spans="1:3" ht="15.5">
      <c r="A3023" s="29">
        <v>40158</v>
      </c>
      <c r="B3023" s="28">
        <v>1.1601999999999999</v>
      </c>
      <c r="C3023" s="28">
        <v>1315687027.3499999</v>
      </c>
    </row>
    <row r="3024" spans="1:3" ht="15.5">
      <c r="A3024" s="29">
        <v>40157</v>
      </c>
      <c r="B3024" s="28">
        <v>1.1466000000000001</v>
      </c>
      <c r="C3024" s="28">
        <v>1300208356.4400001</v>
      </c>
    </row>
    <row r="3025" spans="1:3" ht="15.5">
      <c r="A3025" s="29">
        <v>40156</v>
      </c>
      <c r="B3025" s="28">
        <v>1.1466000000000001</v>
      </c>
      <c r="C3025" s="28">
        <v>1300208356.4400001</v>
      </c>
    </row>
    <row r="3026" spans="1:3" ht="15.5">
      <c r="A3026" s="29">
        <v>40155</v>
      </c>
      <c r="B3026" s="28">
        <v>1.1466000000000001</v>
      </c>
      <c r="C3026" s="28">
        <v>1300208356.4400001</v>
      </c>
    </row>
    <row r="3027" spans="1:3" ht="15.5">
      <c r="A3027" s="29">
        <v>40154</v>
      </c>
      <c r="B3027" s="28">
        <v>1.1601999999999999</v>
      </c>
      <c r="C3027" s="28">
        <v>1315687027.3499999</v>
      </c>
    </row>
    <row r="3028" spans="1:3" ht="15.5">
      <c r="A3028" s="29">
        <v>40151</v>
      </c>
      <c r="B3028" s="28">
        <v>1.1648000000000001</v>
      </c>
      <c r="C3028" s="28">
        <v>1320846584.3199999</v>
      </c>
    </row>
    <row r="3029" spans="1:3" ht="15.5">
      <c r="A3029" s="29">
        <v>40150</v>
      </c>
      <c r="B3029" s="28">
        <v>1.1875</v>
      </c>
      <c r="C3029" s="28">
        <v>1346644369.1700001</v>
      </c>
    </row>
    <row r="3030" spans="1:3" ht="15.5">
      <c r="A3030" s="29">
        <v>40149</v>
      </c>
      <c r="B3030" s="28">
        <v>1.1556999999999999</v>
      </c>
      <c r="C3030" s="28">
        <v>1310527470.3800001</v>
      </c>
    </row>
    <row r="3031" spans="1:3" ht="15.5">
      <c r="A3031" s="29">
        <v>40148</v>
      </c>
      <c r="B3031" s="28">
        <v>1.1783999999999999</v>
      </c>
      <c r="C3031" s="28">
        <v>1336325255.23</v>
      </c>
    </row>
    <row r="3032" spans="1:3" ht="15.5">
      <c r="A3032" s="29">
        <v>40147</v>
      </c>
      <c r="B3032" s="28">
        <v>1.1693</v>
      </c>
      <c r="C3032" s="28">
        <v>1326006141.29</v>
      </c>
    </row>
    <row r="3033" spans="1:3" ht="15.5">
      <c r="A3033" s="29">
        <v>40144</v>
      </c>
      <c r="B3033" s="28">
        <v>1.1466000000000001</v>
      </c>
      <c r="C3033" s="28">
        <v>1300208356.4400001</v>
      </c>
    </row>
    <row r="3034" spans="1:3" ht="15.5">
      <c r="A3034" s="29">
        <v>40143</v>
      </c>
      <c r="B3034" s="28">
        <v>1.1466000000000001</v>
      </c>
      <c r="C3034" s="28">
        <v>1300208356.4400001</v>
      </c>
    </row>
    <row r="3035" spans="1:3" ht="15.5">
      <c r="A3035" s="29">
        <v>40142</v>
      </c>
      <c r="B3035" s="28">
        <v>1.1466000000000001</v>
      </c>
      <c r="C3035" s="28">
        <v>1300208356.4400001</v>
      </c>
    </row>
    <row r="3036" spans="1:3" ht="15.5">
      <c r="A3036" s="29">
        <v>40141</v>
      </c>
      <c r="B3036" s="28">
        <v>1.1693</v>
      </c>
      <c r="C3036" s="28">
        <v>1326006141.29</v>
      </c>
    </row>
    <row r="3037" spans="1:3" ht="15.5">
      <c r="A3037" s="29">
        <v>40140</v>
      </c>
      <c r="B3037" s="28">
        <v>1.1419999999999999</v>
      </c>
      <c r="C3037" s="28">
        <v>1295048799.47</v>
      </c>
    </row>
    <row r="3038" spans="1:3" ht="15.5">
      <c r="A3038" s="29">
        <v>40137</v>
      </c>
      <c r="B3038" s="28">
        <v>1.1329</v>
      </c>
      <c r="C3038" s="28">
        <v>1284729685.53</v>
      </c>
    </row>
    <row r="3039" spans="1:3" ht="15.5">
      <c r="A3039" s="29">
        <v>40136</v>
      </c>
      <c r="B3039" s="28">
        <v>1.1466000000000001</v>
      </c>
      <c r="C3039" s="28">
        <v>1300208356.4400001</v>
      </c>
    </row>
    <row r="3040" spans="1:3" ht="15.5">
      <c r="A3040" s="29">
        <v>40135</v>
      </c>
      <c r="B3040" s="28">
        <v>1.1419999999999999</v>
      </c>
      <c r="C3040" s="28">
        <v>1295048799.47</v>
      </c>
    </row>
    <row r="3041" spans="1:3" ht="15.5">
      <c r="A3041" s="29">
        <v>40134</v>
      </c>
      <c r="B3041" s="28">
        <v>1.1237999999999999</v>
      </c>
      <c r="C3041" s="28">
        <v>1274410571.5899999</v>
      </c>
    </row>
    <row r="3042" spans="1:3" ht="15.5">
      <c r="A3042" s="29">
        <v>40133</v>
      </c>
      <c r="B3042" s="28">
        <v>1.1329</v>
      </c>
      <c r="C3042" s="28">
        <v>1284729685.53</v>
      </c>
    </row>
    <row r="3043" spans="1:3" ht="15.5">
      <c r="A3043" s="29">
        <v>40130</v>
      </c>
      <c r="B3043" s="28">
        <v>1.0965</v>
      </c>
      <c r="C3043" s="28">
        <v>1243453229.77</v>
      </c>
    </row>
    <row r="3044" spans="1:3" ht="15.5">
      <c r="A3044" s="29">
        <v>40129</v>
      </c>
      <c r="B3044" s="28">
        <v>1.0738000000000001</v>
      </c>
      <c r="C3044" s="28">
        <v>1217655444.9200001</v>
      </c>
    </row>
    <row r="3045" spans="1:3" ht="15.5">
      <c r="A3045" s="29">
        <v>40128</v>
      </c>
      <c r="B3045" s="28">
        <v>1.0829</v>
      </c>
      <c r="C3045" s="28">
        <v>1227974558.8599999</v>
      </c>
    </row>
    <row r="3046" spans="1:3" ht="15.5">
      <c r="A3046" s="29">
        <v>40127</v>
      </c>
      <c r="B3046" s="28">
        <v>1.0920000000000001</v>
      </c>
      <c r="C3046" s="28">
        <v>1238293672.8</v>
      </c>
    </row>
    <row r="3047" spans="1:3" ht="15.5">
      <c r="A3047" s="29">
        <v>40126</v>
      </c>
      <c r="B3047" s="28">
        <v>1.1102000000000001</v>
      </c>
      <c r="C3047" s="28">
        <v>1258931900.6800001</v>
      </c>
    </row>
    <row r="3048" spans="1:3" ht="15.5">
      <c r="A3048" s="29">
        <v>40123</v>
      </c>
      <c r="B3048" s="28">
        <v>1.0691999999999999</v>
      </c>
      <c r="C3048" s="28">
        <v>1212495887.95</v>
      </c>
    </row>
    <row r="3049" spans="1:3" ht="15.5">
      <c r="A3049" s="29">
        <v>40122</v>
      </c>
      <c r="B3049" s="28">
        <v>1.0873999999999999</v>
      </c>
      <c r="C3049" s="28">
        <v>1233134115.8299999</v>
      </c>
    </row>
    <row r="3050" spans="1:3" ht="15.5">
      <c r="A3050" s="29">
        <v>40121</v>
      </c>
      <c r="B3050" s="28">
        <v>1.0965</v>
      </c>
      <c r="C3050" s="28">
        <v>1243453229.77</v>
      </c>
    </row>
    <row r="3051" spans="1:3" ht="15.5">
      <c r="A3051" s="29">
        <v>40120</v>
      </c>
      <c r="B3051" s="28">
        <v>1.0829</v>
      </c>
      <c r="C3051" s="28">
        <v>1227974558.8599999</v>
      </c>
    </row>
    <row r="3052" spans="1:3" ht="15.5">
      <c r="A3052" s="29">
        <v>40119</v>
      </c>
      <c r="B3052" s="28">
        <v>1.0829</v>
      </c>
      <c r="C3052" s="28">
        <v>1227974558.8599999</v>
      </c>
    </row>
    <row r="3053" spans="1:3" ht="15.5">
      <c r="A3053" s="29">
        <v>40116</v>
      </c>
      <c r="B3053" s="28">
        <v>1.1055999999999999</v>
      </c>
      <c r="C3053" s="28">
        <v>1253772343.71</v>
      </c>
    </row>
    <row r="3054" spans="1:3" ht="15.5">
      <c r="A3054" s="29">
        <v>40115</v>
      </c>
      <c r="B3054" s="28">
        <v>1.0647</v>
      </c>
      <c r="C3054" s="28">
        <v>1207336330.98</v>
      </c>
    </row>
    <row r="3055" spans="1:3" ht="15.5">
      <c r="A3055" s="29">
        <v>40114</v>
      </c>
      <c r="B3055" s="28">
        <v>1.0647</v>
      </c>
      <c r="C3055" s="28">
        <v>1207336330.98</v>
      </c>
    </row>
    <row r="3056" spans="1:3" ht="15.5">
      <c r="A3056" s="29">
        <v>40113</v>
      </c>
      <c r="B3056" s="28">
        <v>1.0829</v>
      </c>
      <c r="C3056" s="28">
        <v>1227974558.8599999</v>
      </c>
    </row>
    <row r="3057" spans="1:3" ht="15.5">
      <c r="A3057" s="29">
        <v>40112</v>
      </c>
      <c r="B3057" s="28">
        <v>1.1055999999999999</v>
      </c>
      <c r="C3057" s="28">
        <v>1253772343.71</v>
      </c>
    </row>
    <row r="3058" spans="1:3" ht="15.5">
      <c r="A3058" s="29">
        <v>40109</v>
      </c>
      <c r="B3058" s="28">
        <v>1.1147</v>
      </c>
      <c r="C3058" s="28">
        <v>1264091457.6500001</v>
      </c>
    </row>
    <row r="3059" spans="1:3" ht="15.5">
      <c r="A3059" s="29">
        <v>40108</v>
      </c>
      <c r="B3059" s="28">
        <v>1.1193</v>
      </c>
      <c r="C3059" s="28">
        <v>1269251014.6199999</v>
      </c>
    </row>
    <row r="3060" spans="1:3" ht="15.5">
      <c r="A3060" s="29">
        <v>40107</v>
      </c>
      <c r="B3060" s="28">
        <v>1.1375</v>
      </c>
      <c r="C3060" s="28">
        <v>1289889242.5</v>
      </c>
    </row>
    <row r="3061" spans="1:3" ht="15.5">
      <c r="A3061" s="29">
        <v>40106</v>
      </c>
      <c r="B3061" s="28">
        <v>1.1375</v>
      </c>
      <c r="C3061" s="28">
        <v>1289889242.5</v>
      </c>
    </row>
    <row r="3062" spans="1:3" ht="15.5">
      <c r="A3062" s="29">
        <v>40105</v>
      </c>
      <c r="B3062" s="28">
        <v>1.1193</v>
      </c>
      <c r="C3062" s="28">
        <v>1269251014.6199999</v>
      </c>
    </row>
    <row r="3063" spans="1:3" ht="15.5">
      <c r="A3063" s="29">
        <v>40102</v>
      </c>
      <c r="B3063" s="28">
        <v>1.0783</v>
      </c>
      <c r="C3063" s="28">
        <v>1222815001.8900001</v>
      </c>
    </row>
    <row r="3064" spans="1:3" ht="15.5">
      <c r="A3064" s="29">
        <v>40101</v>
      </c>
      <c r="B3064" s="28">
        <v>1.0738000000000001</v>
      </c>
      <c r="C3064" s="28">
        <v>1217655444.9200001</v>
      </c>
    </row>
    <row r="3065" spans="1:3" ht="15.5">
      <c r="A3065" s="29">
        <v>40100</v>
      </c>
      <c r="B3065" s="28">
        <v>1.1055999999999999</v>
      </c>
      <c r="C3065" s="28">
        <v>1253772343.71</v>
      </c>
    </row>
    <row r="3066" spans="1:3" ht="15.5">
      <c r="A3066" s="29">
        <v>40099</v>
      </c>
      <c r="B3066" s="28">
        <v>1.0738000000000001</v>
      </c>
      <c r="C3066" s="28">
        <v>1217655444.9200001</v>
      </c>
    </row>
    <row r="3067" spans="1:3" ht="15.5">
      <c r="A3067" s="29">
        <v>40098</v>
      </c>
      <c r="B3067" s="28">
        <v>1.0465</v>
      </c>
      <c r="C3067" s="28">
        <v>1186698103.0999999</v>
      </c>
    </row>
    <row r="3068" spans="1:3" ht="15.5">
      <c r="A3068" s="29">
        <v>40095</v>
      </c>
      <c r="B3068" s="28">
        <v>1.0509999999999999</v>
      </c>
      <c r="C3068" s="28">
        <v>1191857660.0699999</v>
      </c>
    </row>
    <row r="3069" spans="1:3" ht="15.5">
      <c r="A3069" s="29">
        <v>40094</v>
      </c>
      <c r="B3069" s="28">
        <v>1.0647</v>
      </c>
      <c r="C3069" s="28">
        <v>1207336330.98</v>
      </c>
    </row>
    <row r="3070" spans="1:3" ht="15.5">
      <c r="A3070" s="29">
        <v>40093</v>
      </c>
      <c r="B3070" s="28">
        <v>1.0556000000000001</v>
      </c>
      <c r="C3070" s="28">
        <v>1197017217.04</v>
      </c>
    </row>
    <row r="3071" spans="1:3" ht="15.5">
      <c r="A3071" s="29">
        <v>40092</v>
      </c>
      <c r="B3071" s="28">
        <v>1.0419</v>
      </c>
      <c r="C3071" s="28">
        <v>1181538546.1300001</v>
      </c>
    </row>
    <row r="3072" spans="1:3" ht="15.5">
      <c r="A3072" s="29">
        <v>40091</v>
      </c>
      <c r="B3072" s="28">
        <v>1.0556000000000001</v>
      </c>
      <c r="C3072" s="28">
        <v>1197017217.04</v>
      </c>
    </row>
    <row r="3073" spans="1:3" ht="15.5">
      <c r="A3073" s="29">
        <v>40088</v>
      </c>
      <c r="B3073" s="28">
        <v>1.0465</v>
      </c>
      <c r="C3073" s="28">
        <v>1186698103.0999999</v>
      </c>
    </row>
    <row r="3074" spans="1:3" ht="15.5">
      <c r="A3074" s="29">
        <v>40087</v>
      </c>
      <c r="B3074" s="28">
        <v>1.0691999999999999</v>
      </c>
      <c r="C3074" s="28">
        <v>1212495887.95</v>
      </c>
    </row>
    <row r="3075" spans="1:3" ht="15.5">
      <c r="A3075" s="29">
        <v>40086</v>
      </c>
      <c r="B3075" s="28">
        <v>1.0601</v>
      </c>
      <c r="C3075" s="28">
        <v>1202176774.01</v>
      </c>
    </row>
    <row r="3076" spans="1:3" ht="15.5">
      <c r="A3076" s="29">
        <v>40085</v>
      </c>
      <c r="B3076" s="28">
        <v>1.0509999999999999</v>
      </c>
      <c r="C3076" s="28">
        <v>1191857660.0699999</v>
      </c>
    </row>
    <row r="3077" spans="1:3" ht="15.5">
      <c r="A3077" s="29">
        <v>40084</v>
      </c>
      <c r="B3077" s="28">
        <v>1.0465</v>
      </c>
      <c r="C3077" s="28">
        <v>1186698103.0999999</v>
      </c>
    </row>
    <row r="3078" spans="1:3" ht="15.5">
      <c r="A3078" s="29">
        <v>40081</v>
      </c>
      <c r="B3078" s="28">
        <v>1.0556000000000001</v>
      </c>
      <c r="C3078" s="28">
        <v>1170035160</v>
      </c>
    </row>
    <row r="3079" spans="1:3" ht="15.5">
      <c r="A3079" s="29">
        <v>40080</v>
      </c>
      <c r="B3079" s="28">
        <v>1.0829</v>
      </c>
      <c r="C3079" s="28">
        <v>1200294690</v>
      </c>
    </row>
    <row r="3080" spans="1:3" ht="15.5">
      <c r="A3080" s="29">
        <v>40079</v>
      </c>
      <c r="B3080" s="28">
        <v>1.0738000000000001</v>
      </c>
      <c r="C3080" s="28">
        <v>1190208180</v>
      </c>
    </row>
    <row r="3081" spans="1:3" ht="15.5">
      <c r="A3081" s="29">
        <v>40078</v>
      </c>
      <c r="B3081" s="28">
        <v>1.0509999999999999</v>
      </c>
      <c r="C3081" s="28">
        <v>1164991905</v>
      </c>
    </row>
    <row r="3082" spans="1:3" ht="15.5">
      <c r="A3082" s="29">
        <v>40077</v>
      </c>
      <c r="B3082" s="28">
        <v>1.0465</v>
      </c>
      <c r="C3082" s="28">
        <v>1159948650</v>
      </c>
    </row>
    <row r="3083" spans="1:3" ht="15.5">
      <c r="A3083" s="29">
        <v>40074</v>
      </c>
      <c r="B3083" s="28">
        <v>1.0509999999999999</v>
      </c>
      <c r="C3083" s="28">
        <v>1164991905</v>
      </c>
    </row>
    <row r="3084" spans="1:3" ht="15.5">
      <c r="A3084" s="29">
        <v>40073</v>
      </c>
      <c r="B3084" s="28">
        <v>1.0601</v>
      </c>
      <c r="C3084" s="28">
        <v>1175078415</v>
      </c>
    </row>
    <row r="3085" spans="1:3" ht="15.5">
      <c r="A3085" s="29">
        <v>40072</v>
      </c>
      <c r="B3085" s="28">
        <v>1.0101</v>
      </c>
      <c r="C3085" s="28">
        <v>1119602610</v>
      </c>
    </row>
    <row r="3086" spans="1:3" ht="15.5">
      <c r="A3086" s="29">
        <v>40071</v>
      </c>
      <c r="B3086" s="28">
        <v>0.99639999999999995</v>
      </c>
      <c r="C3086" s="28">
        <v>1104472845</v>
      </c>
    </row>
    <row r="3087" spans="1:3" ht="15.5">
      <c r="A3087" s="29">
        <v>40070</v>
      </c>
      <c r="B3087" s="28">
        <v>0.99639999999999995</v>
      </c>
      <c r="C3087" s="28">
        <v>1104472845</v>
      </c>
    </row>
    <row r="3088" spans="1:3" ht="15.5">
      <c r="A3088" s="29">
        <v>40067</v>
      </c>
      <c r="B3088" s="28">
        <v>1.0055000000000001</v>
      </c>
      <c r="C3088" s="28">
        <v>1114559355</v>
      </c>
    </row>
    <row r="3089" spans="1:3" ht="15.5">
      <c r="A3089" s="29">
        <v>40066</v>
      </c>
      <c r="B3089" s="28">
        <v>1.0009999999999999</v>
      </c>
      <c r="C3089" s="28">
        <v>1109516100</v>
      </c>
    </row>
    <row r="3090" spans="1:3" ht="15.5">
      <c r="A3090" s="29">
        <v>40065</v>
      </c>
      <c r="B3090" s="28">
        <v>1.0009999999999999</v>
      </c>
      <c r="C3090" s="28">
        <v>1109516100</v>
      </c>
    </row>
    <row r="3091" spans="1:3" ht="15.5">
      <c r="A3091" s="29">
        <v>40064</v>
      </c>
      <c r="B3091" s="28">
        <v>0.98729999999999996</v>
      </c>
      <c r="C3091" s="28">
        <v>1094386335</v>
      </c>
    </row>
    <row r="3092" spans="1:3" ht="15.5">
      <c r="A3092" s="29">
        <v>40063</v>
      </c>
      <c r="B3092" s="28">
        <v>0.9919</v>
      </c>
      <c r="C3092" s="28">
        <v>1099429590</v>
      </c>
    </row>
    <row r="3093" spans="1:3" ht="15.5">
      <c r="A3093" s="29">
        <v>40060</v>
      </c>
      <c r="B3093" s="28">
        <v>0.97819999999999996</v>
      </c>
      <c r="C3093" s="28">
        <v>1084299825</v>
      </c>
    </row>
    <row r="3094" spans="1:3" ht="15.5">
      <c r="A3094" s="29">
        <v>40059</v>
      </c>
      <c r="B3094" s="28">
        <v>0.99639999999999995</v>
      </c>
      <c r="C3094" s="28">
        <v>1104472845</v>
      </c>
    </row>
    <row r="3095" spans="1:3" ht="15.5">
      <c r="A3095" s="29">
        <v>40058</v>
      </c>
      <c r="B3095" s="28">
        <v>0.98280000000000001</v>
      </c>
      <c r="C3095" s="28">
        <v>1089343080</v>
      </c>
    </row>
    <row r="3096" spans="1:3" ht="15.5">
      <c r="A3096" s="29">
        <v>40057</v>
      </c>
      <c r="B3096" s="28">
        <v>0.99639999999999995</v>
      </c>
      <c r="C3096" s="28">
        <v>1104472845</v>
      </c>
    </row>
    <row r="3097" spans="1:3" ht="15.5">
      <c r="A3097" s="29">
        <v>40056</v>
      </c>
      <c r="B3097" s="28">
        <v>0.97370000000000001</v>
      </c>
      <c r="C3097" s="28">
        <v>1079256570</v>
      </c>
    </row>
    <row r="3098" spans="1:3" ht="15.5">
      <c r="A3098" s="29">
        <v>40053</v>
      </c>
      <c r="B3098" s="28">
        <v>0.99639999999999995</v>
      </c>
      <c r="C3098" s="28">
        <v>1104472845</v>
      </c>
    </row>
    <row r="3099" spans="1:3" ht="15.5">
      <c r="A3099" s="29">
        <v>40052</v>
      </c>
      <c r="B3099" s="28">
        <v>1.0374000000000001</v>
      </c>
      <c r="C3099" s="28">
        <v>1149862140</v>
      </c>
    </row>
    <row r="3100" spans="1:3" ht="15.5">
      <c r="A3100" s="29">
        <v>40051</v>
      </c>
      <c r="B3100" s="28">
        <v>1.0419</v>
      </c>
      <c r="C3100" s="28">
        <v>1154905395</v>
      </c>
    </row>
    <row r="3101" spans="1:3" ht="15.5">
      <c r="A3101" s="29">
        <v>40050</v>
      </c>
      <c r="B3101" s="28">
        <v>0.99639999999999995</v>
      </c>
      <c r="C3101" s="28">
        <v>1104472845</v>
      </c>
    </row>
    <row r="3102" spans="1:3" ht="15.5">
      <c r="A3102" s="29">
        <v>40049</v>
      </c>
      <c r="B3102" s="28">
        <v>1.0101</v>
      </c>
      <c r="C3102" s="28">
        <v>1119602610</v>
      </c>
    </row>
    <row r="3103" spans="1:3" ht="15.5">
      <c r="A3103" s="29">
        <v>40046</v>
      </c>
      <c r="B3103" s="28">
        <v>0.96460000000000001</v>
      </c>
      <c r="C3103" s="28">
        <v>1069170060</v>
      </c>
    </row>
    <row r="3104" spans="1:3" ht="15.5">
      <c r="A3104" s="29">
        <v>40045</v>
      </c>
      <c r="B3104" s="28">
        <v>0.99639999999999995</v>
      </c>
      <c r="C3104" s="28">
        <v>1104472845</v>
      </c>
    </row>
    <row r="3105" spans="1:3" ht="15.5">
      <c r="A3105" s="29">
        <v>40044</v>
      </c>
      <c r="B3105" s="28">
        <v>0.9919</v>
      </c>
      <c r="C3105" s="28">
        <v>1099429590</v>
      </c>
    </row>
    <row r="3106" spans="1:3" ht="15.5">
      <c r="A3106" s="29">
        <v>40043</v>
      </c>
      <c r="B3106" s="28">
        <v>0.98729999999999996</v>
      </c>
      <c r="C3106" s="28">
        <v>1094386335</v>
      </c>
    </row>
    <row r="3107" spans="1:3" ht="15.5">
      <c r="A3107" s="29">
        <v>40042</v>
      </c>
      <c r="B3107" s="28">
        <v>0.98280000000000001</v>
      </c>
      <c r="C3107" s="28">
        <v>1089343080</v>
      </c>
    </row>
    <row r="3108" spans="1:3" ht="15.5">
      <c r="A3108" s="29">
        <v>40039</v>
      </c>
      <c r="B3108" s="28">
        <v>0.96909999999999996</v>
      </c>
      <c r="C3108" s="28">
        <v>1074213315</v>
      </c>
    </row>
    <row r="3109" spans="1:3" ht="15.5">
      <c r="A3109" s="29">
        <v>40038</v>
      </c>
      <c r="B3109" s="28">
        <v>0.93730000000000002</v>
      </c>
      <c r="C3109" s="28">
        <v>1038910530</v>
      </c>
    </row>
    <row r="3110" spans="1:3" ht="15.5">
      <c r="A3110" s="29">
        <v>40037</v>
      </c>
      <c r="B3110" s="28">
        <v>0.93269999999999997</v>
      </c>
      <c r="C3110" s="28">
        <v>1033867275</v>
      </c>
    </row>
    <row r="3111" spans="1:3" ht="15.5">
      <c r="A3111" s="29">
        <v>40036</v>
      </c>
      <c r="B3111" s="28">
        <v>0.95089999999999997</v>
      </c>
      <c r="C3111" s="28">
        <v>1054040295</v>
      </c>
    </row>
    <row r="3112" spans="1:3" ht="15.5">
      <c r="A3112" s="29">
        <v>40035</v>
      </c>
      <c r="B3112" s="28">
        <v>0.95089999999999997</v>
      </c>
      <c r="C3112" s="28">
        <v>1054040295</v>
      </c>
    </row>
    <row r="3113" spans="1:3" ht="15.5">
      <c r="A3113" s="29">
        <v>40032</v>
      </c>
      <c r="B3113" s="28">
        <v>0.96460000000000001</v>
      </c>
      <c r="C3113" s="28">
        <v>1069170060</v>
      </c>
    </row>
    <row r="3114" spans="1:3" ht="15.5">
      <c r="A3114" s="29">
        <v>40031</v>
      </c>
      <c r="B3114" s="28">
        <v>0.95550000000000002</v>
      </c>
      <c r="C3114" s="28">
        <v>1059083550</v>
      </c>
    </row>
    <row r="3115" spans="1:3" ht="15.5">
      <c r="A3115" s="29">
        <v>40030</v>
      </c>
      <c r="B3115" s="28">
        <v>0.96</v>
      </c>
      <c r="C3115" s="28">
        <v>1064126805</v>
      </c>
    </row>
    <row r="3116" spans="1:3" ht="15.5">
      <c r="A3116" s="29">
        <v>40029</v>
      </c>
      <c r="B3116" s="28">
        <v>0.96460000000000001</v>
      </c>
      <c r="C3116" s="28">
        <v>1069170060</v>
      </c>
    </row>
    <row r="3117" spans="1:3" ht="15.5">
      <c r="A3117" s="29">
        <v>40028</v>
      </c>
      <c r="B3117" s="28">
        <v>0.96909999999999996</v>
      </c>
      <c r="C3117" s="28">
        <v>1074213315</v>
      </c>
    </row>
    <row r="3118" spans="1:3" ht="15.5">
      <c r="A3118" s="29">
        <v>40025</v>
      </c>
      <c r="B3118" s="28">
        <v>0.97370000000000001</v>
      </c>
      <c r="C3118" s="28">
        <v>1079256570</v>
      </c>
    </row>
    <row r="3119" spans="1:3" ht="15.5">
      <c r="A3119" s="29">
        <v>40024</v>
      </c>
      <c r="B3119" s="28">
        <v>0.96460000000000001</v>
      </c>
      <c r="C3119" s="28">
        <v>1069170060</v>
      </c>
    </row>
    <row r="3120" spans="1:3" ht="15.5">
      <c r="A3120" s="29">
        <v>40023</v>
      </c>
      <c r="B3120" s="28">
        <v>0.97370000000000001</v>
      </c>
      <c r="C3120" s="28">
        <v>1079256570</v>
      </c>
    </row>
    <row r="3121" spans="1:3" ht="15.5">
      <c r="A3121" s="29">
        <v>40022</v>
      </c>
      <c r="B3121" s="28">
        <v>0.98729999999999996</v>
      </c>
      <c r="C3121" s="28">
        <v>1094386335</v>
      </c>
    </row>
    <row r="3122" spans="1:3" ht="15.5">
      <c r="A3122" s="29">
        <v>40021</v>
      </c>
      <c r="B3122" s="28">
        <v>0.99639999999999995</v>
      </c>
      <c r="C3122" s="28">
        <v>1104472845</v>
      </c>
    </row>
    <row r="3123" spans="1:3" ht="15.5">
      <c r="A3123" s="29">
        <v>40018</v>
      </c>
      <c r="B3123" s="28">
        <v>0.98729999999999996</v>
      </c>
      <c r="C3123" s="28">
        <v>1094386335</v>
      </c>
    </row>
    <row r="3124" spans="1:3" ht="15.5">
      <c r="A3124" s="29">
        <v>40017</v>
      </c>
      <c r="B3124" s="28">
        <v>0.9919</v>
      </c>
      <c r="C3124" s="28">
        <v>1099429590</v>
      </c>
    </row>
    <row r="3125" spans="1:3" ht="15.5">
      <c r="A3125" s="29">
        <v>40016</v>
      </c>
      <c r="B3125" s="28">
        <v>1.0101</v>
      </c>
      <c r="C3125" s="28">
        <v>1119602610</v>
      </c>
    </row>
    <row r="3126" spans="1:3" ht="15.5">
      <c r="A3126" s="29">
        <v>40015</v>
      </c>
      <c r="B3126" s="28">
        <v>1.0374000000000001</v>
      </c>
      <c r="C3126" s="28">
        <v>1149862140</v>
      </c>
    </row>
    <row r="3127" spans="1:3" ht="15.5">
      <c r="A3127" s="29">
        <v>40014</v>
      </c>
      <c r="B3127" s="28">
        <v>1.0327999999999999</v>
      </c>
      <c r="C3127" s="28">
        <v>1144818885</v>
      </c>
    </row>
    <row r="3128" spans="1:3" ht="15.5">
      <c r="A3128" s="29">
        <v>40011</v>
      </c>
      <c r="B3128" s="28">
        <v>1.0192000000000001</v>
      </c>
      <c r="C3128" s="28">
        <v>1129689120</v>
      </c>
    </row>
    <row r="3129" spans="1:3" ht="15.5">
      <c r="A3129" s="29">
        <v>40010</v>
      </c>
      <c r="B3129" s="28">
        <v>1.0327999999999999</v>
      </c>
      <c r="C3129" s="28">
        <v>1144818885</v>
      </c>
    </row>
    <row r="3130" spans="1:3" ht="15.5">
      <c r="A3130" s="29">
        <v>40009</v>
      </c>
      <c r="B3130" s="28">
        <v>1.0556000000000001</v>
      </c>
      <c r="C3130" s="28">
        <v>1170035160</v>
      </c>
    </row>
    <row r="3131" spans="1:3" ht="15.5">
      <c r="A3131" s="29">
        <v>40008</v>
      </c>
      <c r="B3131" s="28">
        <v>1.0556000000000001</v>
      </c>
      <c r="C3131" s="28">
        <v>1170035160</v>
      </c>
    </row>
    <row r="3132" spans="1:3" ht="15.5">
      <c r="A3132" s="29">
        <v>40007</v>
      </c>
      <c r="B3132" s="28">
        <v>1.0327999999999999</v>
      </c>
      <c r="C3132" s="28">
        <v>1144818885</v>
      </c>
    </row>
    <row r="3133" spans="1:3" ht="15.5">
      <c r="A3133" s="29">
        <v>40004</v>
      </c>
      <c r="B3133" s="28">
        <v>1.0601</v>
      </c>
      <c r="C3133" s="28">
        <v>1175078415</v>
      </c>
    </row>
    <row r="3134" spans="1:3" ht="15.5">
      <c r="A3134" s="29">
        <v>40003</v>
      </c>
      <c r="B3134" s="28">
        <v>1.0374000000000001</v>
      </c>
      <c r="C3134" s="28">
        <v>1149862140</v>
      </c>
    </row>
    <row r="3135" spans="1:3" ht="15.5">
      <c r="A3135" s="29">
        <v>40002</v>
      </c>
      <c r="B3135" s="28">
        <v>1.0327999999999999</v>
      </c>
      <c r="C3135" s="28">
        <v>1144818885</v>
      </c>
    </row>
    <row r="3136" spans="1:3" ht="15.5">
      <c r="A3136" s="29">
        <v>40001</v>
      </c>
      <c r="B3136" s="28">
        <v>1.0237000000000001</v>
      </c>
      <c r="C3136" s="28">
        <v>1134732375</v>
      </c>
    </row>
    <row r="3137" spans="1:3" ht="15.5">
      <c r="A3137" s="29">
        <v>40000</v>
      </c>
      <c r="B3137" s="28">
        <v>1.0283</v>
      </c>
      <c r="C3137" s="28">
        <v>1139775630</v>
      </c>
    </row>
    <row r="3138" spans="1:3" ht="15.5">
      <c r="A3138" s="29">
        <v>39997</v>
      </c>
      <c r="B3138" s="28">
        <v>1.0327999999999999</v>
      </c>
      <c r="C3138" s="28">
        <v>1144818885</v>
      </c>
    </row>
    <row r="3139" spans="1:3" ht="15.5">
      <c r="A3139" s="29">
        <v>39996</v>
      </c>
      <c r="B3139" s="28">
        <v>1.0192000000000001</v>
      </c>
      <c r="C3139" s="28">
        <v>1129689120</v>
      </c>
    </row>
    <row r="3140" spans="1:3" ht="15.5">
      <c r="A3140" s="29">
        <v>39995</v>
      </c>
      <c r="B3140" s="28">
        <v>0.98729999999999996</v>
      </c>
      <c r="C3140" s="28">
        <v>1094386335</v>
      </c>
    </row>
    <row r="3141" spans="1:3" ht="15.5">
      <c r="A3141" s="29">
        <v>39994</v>
      </c>
      <c r="B3141" s="28">
        <v>1.0283</v>
      </c>
      <c r="C3141" s="28">
        <v>1139775630</v>
      </c>
    </row>
    <row r="3142" spans="1:3" ht="15.5">
      <c r="A3142" s="29">
        <v>39993</v>
      </c>
      <c r="B3142" s="28">
        <v>0.96460000000000001</v>
      </c>
      <c r="C3142" s="28">
        <v>1069170060</v>
      </c>
    </row>
    <row r="3143" spans="1:3" ht="15.5">
      <c r="A3143" s="29">
        <v>39990</v>
      </c>
      <c r="B3143" s="28">
        <v>1.0009999999999999</v>
      </c>
      <c r="C3143" s="28">
        <v>1109516100</v>
      </c>
    </row>
    <row r="3144" spans="1:3" ht="15.5">
      <c r="A3144" s="29">
        <v>39989</v>
      </c>
      <c r="B3144" s="28">
        <v>1.0009999999999999</v>
      </c>
      <c r="C3144" s="28">
        <v>1109516100</v>
      </c>
    </row>
    <row r="3145" spans="1:3" ht="15.5">
      <c r="A3145" s="29">
        <v>39988</v>
      </c>
      <c r="B3145" s="28">
        <v>0.98729999999999996</v>
      </c>
      <c r="C3145" s="28">
        <v>1094386335</v>
      </c>
    </row>
    <row r="3146" spans="1:3" ht="15.5">
      <c r="A3146" s="29">
        <v>39987</v>
      </c>
      <c r="B3146" s="28">
        <v>0.99639999999999995</v>
      </c>
      <c r="C3146" s="28">
        <v>1104472845</v>
      </c>
    </row>
    <row r="3147" spans="1:3" ht="15.5">
      <c r="A3147" s="29">
        <v>39986</v>
      </c>
      <c r="B3147" s="28">
        <v>1.0101</v>
      </c>
      <c r="C3147" s="28">
        <v>1119602610</v>
      </c>
    </row>
    <row r="3148" spans="1:3" ht="15.5">
      <c r="A3148" s="29">
        <v>39983</v>
      </c>
      <c r="B3148" s="28">
        <v>0.99639999999999995</v>
      </c>
      <c r="C3148" s="28">
        <v>1104472845</v>
      </c>
    </row>
    <row r="3149" spans="1:3" ht="15.5">
      <c r="A3149" s="29">
        <v>39982</v>
      </c>
      <c r="B3149" s="28">
        <v>1.0101</v>
      </c>
      <c r="C3149" s="28">
        <v>1119602610</v>
      </c>
    </row>
    <row r="3150" spans="1:3" ht="15.5">
      <c r="A3150" s="29">
        <v>39981</v>
      </c>
      <c r="B3150" s="28">
        <v>1.0101</v>
      </c>
      <c r="C3150" s="28">
        <v>1119602610</v>
      </c>
    </row>
    <row r="3151" spans="1:3" ht="15.5">
      <c r="A3151" s="29">
        <v>39980</v>
      </c>
      <c r="B3151" s="28">
        <v>1.0101</v>
      </c>
      <c r="C3151" s="28">
        <v>1119602610</v>
      </c>
    </row>
    <row r="3152" spans="1:3" ht="15.5">
      <c r="A3152" s="29">
        <v>39979</v>
      </c>
      <c r="B3152" s="28">
        <v>1.0101</v>
      </c>
      <c r="C3152" s="28">
        <v>1119602610</v>
      </c>
    </row>
    <row r="3153" spans="1:3" ht="15.5">
      <c r="A3153" s="29">
        <v>39976</v>
      </c>
      <c r="B3153" s="28">
        <v>1.0327999999999999</v>
      </c>
      <c r="C3153" s="28">
        <v>1144818885</v>
      </c>
    </row>
    <row r="3154" spans="1:3" ht="15.5">
      <c r="A3154" s="29">
        <v>39975</v>
      </c>
      <c r="B3154" s="28">
        <v>1.0101</v>
      </c>
      <c r="C3154" s="28">
        <v>1119602610</v>
      </c>
    </row>
    <row r="3155" spans="1:3" ht="15.5">
      <c r="A3155" s="29">
        <v>39974</v>
      </c>
      <c r="B3155" s="28">
        <v>1.0465</v>
      </c>
      <c r="C3155" s="28">
        <v>1159948650</v>
      </c>
    </row>
    <row r="3156" spans="1:3" ht="15.5">
      <c r="A3156" s="29">
        <v>39973</v>
      </c>
      <c r="B3156" s="28">
        <v>1.0465</v>
      </c>
      <c r="C3156" s="28">
        <v>1159948650</v>
      </c>
    </row>
    <row r="3157" spans="1:3" ht="15.5">
      <c r="A3157" s="29">
        <v>39969</v>
      </c>
      <c r="B3157" s="28">
        <v>1.0556000000000001</v>
      </c>
      <c r="C3157" s="28">
        <v>1170035160</v>
      </c>
    </row>
    <row r="3158" spans="1:3" ht="15.5">
      <c r="A3158" s="29">
        <v>39968</v>
      </c>
      <c r="B3158" s="28">
        <v>1.0829</v>
      </c>
      <c r="C3158" s="28">
        <v>1200294690</v>
      </c>
    </row>
    <row r="3159" spans="1:3" ht="15.5">
      <c r="A3159" s="29">
        <v>39967</v>
      </c>
      <c r="B3159" s="28">
        <v>1.0829</v>
      </c>
      <c r="C3159" s="28">
        <v>1200294690</v>
      </c>
    </row>
    <row r="3160" spans="1:3" ht="15.5">
      <c r="A3160" s="29">
        <v>39966</v>
      </c>
      <c r="B3160" s="28">
        <v>1.0509999999999999</v>
      </c>
      <c r="C3160" s="28">
        <v>1164991905</v>
      </c>
    </row>
    <row r="3161" spans="1:3" ht="15.5">
      <c r="A3161" s="29">
        <v>39965</v>
      </c>
      <c r="B3161" s="28">
        <v>1.0556000000000001</v>
      </c>
      <c r="C3161" s="28">
        <v>1170035160</v>
      </c>
    </row>
    <row r="3162" spans="1:3" ht="15.5">
      <c r="A3162" s="29">
        <v>39962</v>
      </c>
      <c r="B3162" s="28">
        <v>0.97370000000000001</v>
      </c>
      <c r="C3162" s="28">
        <v>1079256570</v>
      </c>
    </row>
    <row r="3163" spans="1:3" ht="15.5">
      <c r="A3163" s="29">
        <v>39961</v>
      </c>
      <c r="B3163" s="28">
        <v>0.92820000000000003</v>
      </c>
      <c r="C3163" s="28">
        <v>1028824020</v>
      </c>
    </row>
    <row r="3164" spans="1:3" ht="15.5">
      <c r="A3164" s="29">
        <v>39960</v>
      </c>
      <c r="B3164" s="28">
        <v>0.91910000000000003</v>
      </c>
      <c r="C3164" s="28">
        <v>1018737510</v>
      </c>
    </row>
    <row r="3165" spans="1:3" ht="15.5">
      <c r="A3165" s="29">
        <v>39959</v>
      </c>
      <c r="B3165" s="28">
        <v>0.90090000000000003</v>
      </c>
      <c r="C3165" s="28">
        <v>998564490</v>
      </c>
    </row>
    <row r="3166" spans="1:3" ht="15.5">
      <c r="A3166" s="29">
        <v>39958</v>
      </c>
      <c r="B3166" s="28">
        <v>0.92359999999999998</v>
      </c>
      <c r="C3166" s="28">
        <v>1023780765</v>
      </c>
    </row>
    <row r="3167" spans="1:3" ht="15.5">
      <c r="A3167" s="29">
        <v>39955</v>
      </c>
      <c r="B3167" s="28">
        <v>0.91449999999999998</v>
      </c>
      <c r="C3167" s="28">
        <v>1013694255</v>
      </c>
    </row>
    <row r="3168" spans="1:3" ht="15.5">
      <c r="A3168" s="29">
        <v>39954</v>
      </c>
      <c r="B3168" s="28">
        <v>0.92820000000000003</v>
      </c>
      <c r="C3168" s="28">
        <v>1028824020</v>
      </c>
    </row>
    <row r="3169" spans="1:3" ht="15.5">
      <c r="A3169" s="29">
        <v>39953</v>
      </c>
      <c r="B3169" s="28">
        <v>0.92820000000000003</v>
      </c>
      <c r="C3169" s="28">
        <v>1028824020</v>
      </c>
    </row>
    <row r="3170" spans="1:3" ht="15.5">
      <c r="A3170" s="29">
        <v>39952</v>
      </c>
      <c r="B3170" s="28">
        <v>0.91910000000000003</v>
      </c>
      <c r="C3170" s="28">
        <v>1018737510</v>
      </c>
    </row>
    <row r="3171" spans="1:3" ht="15.5">
      <c r="A3171" s="29">
        <v>39951</v>
      </c>
      <c r="B3171" s="28">
        <v>0.91910000000000003</v>
      </c>
      <c r="C3171" s="28">
        <v>1018737510</v>
      </c>
    </row>
    <row r="3172" spans="1:3" ht="15.5">
      <c r="A3172" s="29">
        <v>39948</v>
      </c>
      <c r="B3172" s="28">
        <v>0.91</v>
      </c>
      <c r="C3172" s="28">
        <v>1008651000</v>
      </c>
    </row>
    <row r="3173" spans="1:3" ht="15.5">
      <c r="A3173" s="29">
        <v>39947</v>
      </c>
      <c r="B3173" s="28">
        <v>0.89629999999999999</v>
      </c>
      <c r="C3173" s="28">
        <v>993521235</v>
      </c>
    </row>
    <row r="3174" spans="1:3" ht="15.5">
      <c r="A3174" s="29">
        <v>39946</v>
      </c>
      <c r="B3174" s="28">
        <v>0.91</v>
      </c>
      <c r="C3174" s="28">
        <v>1008651000</v>
      </c>
    </row>
    <row r="3175" spans="1:3" ht="15.5">
      <c r="A3175" s="29">
        <v>39945</v>
      </c>
      <c r="B3175" s="28">
        <v>0.90090000000000003</v>
      </c>
      <c r="C3175" s="28">
        <v>998564490</v>
      </c>
    </row>
    <row r="3176" spans="1:3" ht="15.5">
      <c r="A3176" s="29">
        <v>39944</v>
      </c>
      <c r="B3176" s="28">
        <v>0.91449999999999998</v>
      </c>
      <c r="C3176" s="28">
        <v>1013694255</v>
      </c>
    </row>
    <row r="3177" spans="1:3" ht="15.5">
      <c r="A3177" s="29">
        <v>39941</v>
      </c>
      <c r="B3177" s="28">
        <v>0.91449999999999998</v>
      </c>
      <c r="C3177" s="28">
        <v>1013694255</v>
      </c>
    </row>
    <row r="3178" spans="1:3" ht="15.5">
      <c r="A3178" s="29">
        <v>39940</v>
      </c>
      <c r="B3178" s="28">
        <v>0.90539999999999998</v>
      </c>
      <c r="C3178" s="28">
        <v>1003607745</v>
      </c>
    </row>
    <row r="3179" spans="1:3" ht="15.5">
      <c r="A3179" s="29">
        <v>39939</v>
      </c>
      <c r="B3179" s="28">
        <v>0.91</v>
      </c>
      <c r="C3179" s="28">
        <v>1008651000</v>
      </c>
    </row>
    <row r="3180" spans="1:3" ht="15.5">
      <c r="A3180" s="29">
        <v>39938</v>
      </c>
      <c r="B3180" s="28">
        <v>0.92820000000000003</v>
      </c>
      <c r="C3180" s="28">
        <v>1028824020</v>
      </c>
    </row>
    <row r="3181" spans="1:3" ht="15.5">
      <c r="A3181" s="29">
        <v>39937</v>
      </c>
      <c r="B3181" s="28">
        <v>0.97819999999999996</v>
      </c>
      <c r="C3181" s="28">
        <v>1084299825</v>
      </c>
    </row>
    <row r="3182" spans="1:3" ht="15.5">
      <c r="A3182" s="29">
        <v>39934</v>
      </c>
      <c r="B3182" s="28">
        <v>0.93269999999999997</v>
      </c>
      <c r="C3182" s="28">
        <v>1033867275</v>
      </c>
    </row>
    <row r="3183" spans="1:3" ht="15.5">
      <c r="A3183" s="29">
        <v>39933</v>
      </c>
      <c r="B3183" s="28">
        <v>0.93730000000000002</v>
      </c>
      <c r="C3183" s="28">
        <v>1038910530</v>
      </c>
    </row>
    <row r="3184" spans="1:3" ht="15.5">
      <c r="A3184" s="29">
        <v>39932</v>
      </c>
      <c r="B3184" s="28">
        <v>0.90090000000000003</v>
      </c>
      <c r="C3184" s="28">
        <v>998564490</v>
      </c>
    </row>
    <row r="3185" spans="1:3" ht="15.5">
      <c r="A3185" s="29">
        <v>39931</v>
      </c>
      <c r="B3185" s="28">
        <v>0.91</v>
      </c>
      <c r="C3185" s="28">
        <v>1008651000</v>
      </c>
    </row>
    <row r="3186" spans="1:3" ht="15.5">
      <c r="A3186" s="29">
        <v>39930</v>
      </c>
      <c r="B3186" s="28">
        <v>0.93269999999999997</v>
      </c>
      <c r="C3186" s="28">
        <v>1033867275</v>
      </c>
    </row>
    <row r="3187" spans="1:3" ht="15.5">
      <c r="A3187" s="29">
        <v>39927</v>
      </c>
      <c r="B3187" s="28">
        <v>0.92820000000000003</v>
      </c>
      <c r="C3187" s="28">
        <v>1028824020</v>
      </c>
    </row>
    <row r="3188" spans="1:3" ht="15.5">
      <c r="A3188" s="29">
        <v>39926</v>
      </c>
      <c r="B3188" s="28">
        <v>0.91910000000000003</v>
      </c>
      <c r="C3188" s="28">
        <v>1018737510</v>
      </c>
    </row>
    <row r="3189" spans="1:3" ht="15.5">
      <c r="A3189" s="29">
        <v>39925</v>
      </c>
      <c r="B3189" s="28">
        <v>0.90090000000000003</v>
      </c>
      <c r="C3189" s="28">
        <v>998564490</v>
      </c>
    </row>
    <row r="3190" spans="1:3" ht="15.5">
      <c r="A3190" s="29">
        <v>39924</v>
      </c>
      <c r="B3190" s="28">
        <v>0.90090000000000003</v>
      </c>
      <c r="C3190" s="28">
        <v>998564490</v>
      </c>
    </row>
    <row r="3191" spans="1:3" ht="15.5">
      <c r="A3191" s="29">
        <v>39923</v>
      </c>
      <c r="B3191" s="28">
        <v>0.92359999999999998</v>
      </c>
      <c r="C3191" s="28">
        <v>1023780765</v>
      </c>
    </row>
    <row r="3192" spans="1:3" ht="15.5">
      <c r="A3192" s="29">
        <v>39920</v>
      </c>
      <c r="B3192" s="28">
        <v>0.93730000000000002</v>
      </c>
      <c r="C3192" s="28">
        <v>1038910530</v>
      </c>
    </row>
    <row r="3193" spans="1:3" ht="15.5">
      <c r="A3193" s="29">
        <v>39919</v>
      </c>
      <c r="B3193" s="28">
        <v>0.97370000000000001</v>
      </c>
      <c r="C3193" s="28">
        <v>1079256570</v>
      </c>
    </row>
    <row r="3194" spans="1:3" ht="15.5">
      <c r="A3194" s="29">
        <v>39918</v>
      </c>
      <c r="B3194" s="28">
        <v>0.97819999999999996</v>
      </c>
      <c r="C3194" s="28">
        <v>1084299825</v>
      </c>
    </row>
    <row r="3195" spans="1:3" ht="15.5">
      <c r="A3195" s="29">
        <v>39917</v>
      </c>
      <c r="B3195" s="28">
        <v>0.97819999999999996</v>
      </c>
      <c r="C3195" s="28">
        <v>1084299825</v>
      </c>
    </row>
    <row r="3196" spans="1:3" ht="15.5">
      <c r="A3196" s="29">
        <v>39912</v>
      </c>
      <c r="B3196" s="28">
        <v>0.94640000000000002</v>
      </c>
      <c r="C3196" s="28">
        <v>1048997040</v>
      </c>
    </row>
    <row r="3197" spans="1:3" ht="15.5">
      <c r="A3197" s="29">
        <v>39911</v>
      </c>
      <c r="B3197" s="28">
        <v>0.92359999999999998</v>
      </c>
      <c r="C3197" s="28">
        <v>1023780765</v>
      </c>
    </row>
    <row r="3198" spans="1:3" ht="15.5">
      <c r="A3198" s="29">
        <v>39910</v>
      </c>
      <c r="B3198" s="28">
        <v>0.92820000000000003</v>
      </c>
      <c r="C3198" s="28">
        <v>1028824020</v>
      </c>
    </row>
    <row r="3199" spans="1:3" ht="15.5">
      <c r="A3199" s="29">
        <v>39909</v>
      </c>
      <c r="B3199" s="28">
        <v>0.89629999999999999</v>
      </c>
      <c r="C3199" s="28">
        <v>993521235</v>
      </c>
    </row>
    <row r="3200" spans="1:3" ht="15.5">
      <c r="A3200" s="29">
        <v>39906</v>
      </c>
      <c r="B3200" s="28">
        <v>0.91</v>
      </c>
      <c r="C3200" s="28">
        <v>1008651000</v>
      </c>
    </row>
    <row r="3201" spans="1:3" ht="15.5">
      <c r="A3201" s="29">
        <v>39905</v>
      </c>
      <c r="B3201" s="28">
        <v>0.89180000000000004</v>
      </c>
      <c r="C3201" s="28">
        <v>988477980</v>
      </c>
    </row>
    <row r="3202" spans="1:3" ht="15.5">
      <c r="A3202" s="29">
        <v>39904</v>
      </c>
      <c r="B3202" s="28">
        <v>0.91910000000000003</v>
      </c>
      <c r="C3202" s="28">
        <v>1018737510</v>
      </c>
    </row>
    <row r="3203" spans="1:3" ht="15.5">
      <c r="A3203" s="29">
        <v>39903</v>
      </c>
      <c r="B3203" s="28">
        <v>0.92359999999999998</v>
      </c>
      <c r="C3203" s="28">
        <v>1023780765</v>
      </c>
    </row>
    <row r="3204" spans="1:3" ht="15.5">
      <c r="A3204" s="29">
        <v>39902</v>
      </c>
      <c r="B3204" s="28">
        <v>0.96909999999999996</v>
      </c>
      <c r="C3204" s="28">
        <v>1074213315</v>
      </c>
    </row>
    <row r="3205" spans="1:3" ht="15.5">
      <c r="A3205" s="29">
        <v>39899</v>
      </c>
      <c r="B3205" s="28">
        <v>0.92820000000000003</v>
      </c>
      <c r="C3205" s="28">
        <v>1028824020</v>
      </c>
    </row>
    <row r="3206" spans="1:3" ht="15.5">
      <c r="A3206" s="29">
        <v>39898</v>
      </c>
      <c r="B3206" s="28">
        <v>0.91449999999999998</v>
      </c>
      <c r="C3206" s="28">
        <v>1013694255</v>
      </c>
    </row>
    <row r="3207" spans="1:3" ht="15.5">
      <c r="A3207" s="29">
        <v>39897</v>
      </c>
      <c r="B3207" s="28">
        <v>0.89629999999999999</v>
      </c>
      <c r="C3207" s="28">
        <v>993521235</v>
      </c>
    </row>
    <row r="3208" spans="1:3" ht="15.5">
      <c r="A3208" s="29">
        <v>39896</v>
      </c>
      <c r="B3208" s="28">
        <v>0.90090000000000003</v>
      </c>
      <c r="C3208" s="28">
        <v>998564490</v>
      </c>
    </row>
    <row r="3209" spans="1:3" ht="15.5">
      <c r="A3209" s="29">
        <v>39895</v>
      </c>
      <c r="B3209" s="28">
        <v>0.91910000000000003</v>
      </c>
      <c r="C3209" s="28">
        <v>1018737510</v>
      </c>
    </row>
    <row r="3210" spans="1:3" ht="15.5">
      <c r="A3210" s="29">
        <v>39892</v>
      </c>
      <c r="B3210" s="28">
        <v>0.91910000000000003</v>
      </c>
      <c r="C3210" s="28">
        <v>1018737510</v>
      </c>
    </row>
    <row r="3211" spans="1:3" ht="15.5">
      <c r="A3211" s="29">
        <v>39891</v>
      </c>
      <c r="B3211" s="28">
        <v>0.94640000000000002</v>
      </c>
      <c r="C3211" s="28">
        <v>1048997040</v>
      </c>
    </row>
    <row r="3212" spans="1:3" ht="15.5">
      <c r="A3212" s="29">
        <v>39890</v>
      </c>
      <c r="B3212" s="28">
        <v>0.96460000000000001</v>
      </c>
      <c r="C3212" s="28">
        <v>1069170060</v>
      </c>
    </row>
    <row r="3213" spans="1:3" ht="15.5">
      <c r="A3213" s="29">
        <v>39889</v>
      </c>
      <c r="B3213" s="28">
        <v>0.94640000000000002</v>
      </c>
      <c r="C3213" s="28">
        <v>1048997040</v>
      </c>
    </row>
    <row r="3214" spans="1:3" ht="15.5">
      <c r="A3214" s="29">
        <v>39888</v>
      </c>
      <c r="B3214" s="28">
        <v>0.86899999999999999</v>
      </c>
      <c r="C3214" s="28">
        <v>963261705</v>
      </c>
    </row>
    <row r="3215" spans="1:3" ht="15.5">
      <c r="A3215" s="29">
        <v>39885</v>
      </c>
      <c r="B3215" s="28">
        <v>0.84630000000000005</v>
      </c>
      <c r="C3215" s="28">
        <v>938045430</v>
      </c>
    </row>
    <row r="3216" spans="1:3" ht="15.5">
      <c r="A3216" s="29">
        <v>39884</v>
      </c>
      <c r="B3216" s="28">
        <v>0.77800000000000002</v>
      </c>
      <c r="C3216" s="28">
        <v>862396605</v>
      </c>
    </row>
    <row r="3217" spans="1:3" ht="15.5">
      <c r="A3217" s="29">
        <v>39883</v>
      </c>
      <c r="B3217" s="28">
        <v>0.78259999999999996</v>
      </c>
      <c r="C3217" s="28">
        <v>867439860</v>
      </c>
    </row>
    <row r="3218" spans="1:3" ht="15.5">
      <c r="A3218" s="29">
        <v>39882</v>
      </c>
      <c r="B3218" s="28">
        <v>0.76439999999999997</v>
      </c>
      <c r="C3218" s="28">
        <v>847266840</v>
      </c>
    </row>
    <row r="3219" spans="1:3" ht="15.5">
      <c r="A3219" s="29">
        <v>39881</v>
      </c>
      <c r="B3219" s="28">
        <v>0.80079999999999996</v>
      </c>
      <c r="C3219" s="28">
        <v>887612880</v>
      </c>
    </row>
    <row r="3220" spans="1:3" ht="15.5">
      <c r="A3220" s="29">
        <v>39878</v>
      </c>
      <c r="B3220" s="28">
        <v>0.82350000000000001</v>
      </c>
      <c r="C3220" s="28">
        <v>912829155</v>
      </c>
    </row>
    <row r="3221" spans="1:3" ht="15.5">
      <c r="A3221" s="29">
        <v>39877</v>
      </c>
      <c r="B3221" s="28">
        <v>0.87360000000000004</v>
      </c>
      <c r="C3221" s="28">
        <v>968304960</v>
      </c>
    </row>
    <row r="3222" spans="1:3" ht="15.5">
      <c r="A3222" s="29">
        <v>39876</v>
      </c>
      <c r="B3222" s="28">
        <v>0.87809999999999999</v>
      </c>
      <c r="C3222" s="28">
        <v>973348215</v>
      </c>
    </row>
    <row r="3223" spans="1:3" ht="15.5">
      <c r="A3223" s="29">
        <v>39875</v>
      </c>
      <c r="B3223" s="28">
        <v>0.91910000000000003</v>
      </c>
      <c r="C3223" s="28">
        <v>1018737510</v>
      </c>
    </row>
    <row r="3224" spans="1:3" ht="15.5">
      <c r="A3224" s="29">
        <v>39874</v>
      </c>
      <c r="B3224" s="28">
        <v>0.95550000000000002</v>
      </c>
      <c r="C3224" s="28">
        <v>1059083550</v>
      </c>
    </row>
    <row r="3225" spans="1:3" ht="15.5">
      <c r="A3225" s="29">
        <v>39871</v>
      </c>
      <c r="B3225" s="28">
        <v>1.0009999999999999</v>
      </c>
      <c r="C3225" s="28">
        <v>1109516100</v>
      </c>
    </row>
    <row r="3226" spans="1:3" ht="15.5">
      <c r="A3226" s="29">
        <v>39870</v>
      </c>
      <c r="B3226" s="28">
        <v>1.0873999999999999</v>
      </c>
      <c r="C3226" s="28">
        <v>1205337945</v>
      </c>
    </row>
    <row r="3227" spans="1:3" ht="15.5">
      <c r="A3227" s="29">
        <v>39869</v>
      </c>
      <c r="B3227" s="28">
        <v>1.0601</v>
      </c>
      <c r="C3227" s="28">
        <v>1175078415</v>
      </c>
    </row>
    <row r="3228" spans="1:3" ht="15.5">
      <c r="A3228" s="29">
        <v>39868</v>
      </c>
      <c r="B3228" s="28">
        <v>1.0965</v>
      </c>
      <c r="C3228" s="28">
        <v>1215424455</v>
      </c>
    </row>
    <row r="3229" spans="1:3" ht="15.5">
      <c r="A3229" s="29">
        <v>39867</v>
      </c>
      <c r="B3229" s="28">
        <v>1.1511</v>
      </c>
      <c r="C3229" s="28">
        <v>1275943515</v>
      </c>
    </row>
    <row r="3230" spans="1:3" ht="15.5">
      <c r="A3230" s="29">
        <v>39864</v>
      </c>
      <c r="B3230" s="28">
        <v>1.1738999999999999</v>
      </c>
      <c r="C3230" s="28">
        <v>1301159790</v>
      </c>
    </row>
    <row r="3231" spans="1:3" ht="15.5">
      <c r="A3231" s="29">
        <v>39863</v>
      </c>
      <c r="B3231" s="28">
        <v>1.1693</v>
      </c>
      <c r="C3231" s="28">
        <v>1296116535</v>
      </c>
    </row>
    <row r="3232" spans="1:3" ht="15.5">
      <c r="A3232" s="29">
        <v>39862</v>
      </c>
      <c r="B3232" s="28">
        <v>1.1102000000000001</v>
      </c>
      <c r="C3232" s="28">
        <v>1230554220</v>
      </c>
    </row>
    <row r="3233" spans="1:3" ht="15.5">
      <c r="A3233" s="29">
        <v>39861</v>
      </c>
      <c r="B3233" s="28">
        <v>1.1102000000000001</v>
      </c>
      <c r="C3233" s="28">
        <v>1230554220</v>
      </c>
    </row>
    <row r="3234" spans="1:3" ht="15.5">
      <c r="A3234" s="29">
        <v>39860</v>
      </c>
      <c r="B3234" s="28">
        <v>1.1102000000000001</v>
      </c>
      <c r="C3234" s="28">
        <v>1230554220</v>
      </c>
    </row>
    <row r="3235" spans="1:3" ht="15.5">
      <c r="A3235" s="29">
        <v>39857</v>
      </c>
      <c r="B3235" s="28">
        <v>1.1329</v>
      </c>
      <c r="C3235" s="28">
        <v>1255770495</v>
      </c>
    </row>
    <row r="3236" spans="1:3" ht="15.5">
      <c r="A3236" s="29">
        <v>39856</v>
      </c>
      <c r="B3236" s="28">
        <v>1.1329</v>
      </c>
      <c r="C3236" s="28">
        <v>1255770495</v>
      </c>
    </row>
    <row r="3237" spans="1:3" ht="15.5">
      <c r="A3237" s="29">
        <v>39855</v>
      </c>
      <c r="B3237" s="28">
        <v>1.1147</v>
      </c>
      <c r="C3237" s="28">
        <v>1235597475</v>
      </c>
    </row>
    <row r="3238" spans="1:3" ht="15.5">
      <c r="A3238" s="29">
        <v>39854</v>
      </c>
      <c r="B3238" s="28">
        <v>1.1284000000000001</v>
      </c>
      <c r="C3238" s="28">
        <v>1250727240</v>
      </c>
    </row>
    <row r="3239" spans="1:3" ht="15.5">
      <c r="A3239" s="29">
        <v>39853</v>
      </c>
      <c r="B3239" s="28">
        <v>1.1875</v>
      </c>
      <c r="C3239" s="28">
        <v>1316289555</v>
      </c>
    </row>
    <row r="3240" spans="1:3" ht="15.5">
      <c r="A3240" s="29">
        <v>39850</v>
      </c>
      <c r="B3240" s="28">
        <v>1.2012</v>
      </c>
      <c r="C3240" s="28">
        <v>1331419320</v>
      </c>
    </row>
    <row r="3241" spans="1:3" ht="15.5">
      <c r="A3241" s="29">
        <v>39849</v>
      </c>
      <c r="B3241" s="28">
        <v>1.1783999999999999</v>
      </c>
      <c r="C3241" s="28">
        <v>1306203045</v>
      </c>
    </row>
    <row r="3242" spans="1:3" ht="15.5">
      <c r="A3242" s="29">
        <v>39848</v>
      </c>
      <c r="B3242" s="28">
        <v>1.2603</v>
      </c>
      <c r="C3242" s="28">
        <v>1396981635</v>
      </c>
    </row>
    <row r="3243" spans="1:3" ht="15.5">
      <c r="A3243" s="29">
        <v>39847</v>
      </c>
      <c r="B3243" s="28">
        <v>1.2830999999999999</v>
      </c>
      <c r="C3243" s="28">
        <v>1422197910</v>
      </c>
    </row>
    <row r="3244" spans="1:3" ht="15.5">
      <c r="A3244" s="29">
        <v>39846</v>
      </c>
      <c r="B3244" s="28">
        <v>1.2694000000000001</v>
      </c>
      <c r="C3244" s="28">
        <v>1407068145</v>
      </c>
    </row>
    <row r="3245" spans="1:3" ht="15.5">
      <c r="A3245" s="29">
        <v>39843</v>
      </c>
      <c r="B3245" s="28">
        <v>1.2239</v>
      </c>
      <c r="C3245" s="28">
        <v>1356635595</v>
      </c>
    </row>
    <row r="3246" spans="1:3" ht="15.5">
      <c r="A3246" s="29">
        <v>39842</v>
      </c>
      <c r="B3246" s="28">
        <v>1.2421</v>
      </c>
      <c r="C3246" s="28">
        <v>1376808615</v>
      </c>
    </row>
    <row r="3247" spans="1:3" ht="15.5">
      <c r="A3247" s="29">
        <v>39841</v>
      </c>
      <c r="B3247" s="28">
        <v>1.1830000000000001</v>
      </c>
      <c r="C3247" s="28">
        <v>1311246300</v>
      </c>
    </row>
    <row r="3248" spans="1:3" ht="15.5">
      <c r="A3248" s="29">
        <v>39840</v>
      </c>
      <c r="B3248" s="28">
        <v>1.1556999999999999</v>
      </c>
      <c r="C3248" s="28">
        <v>1280986770</v>
      </c>
    </row>
    <row r="3249" spans="1:3" ht="15.5">
      <c r="A3249" s="29">
        <v>39836</v>
      </c>
      <c r="B3249" s="28">
        <v>1.1147</v>
      </c>
      <c r="C3249" s="28">
        <v>1235597475</v>
      </c>
    </row>
    <row r="3250" spans="1:3" ht="15.5">
      <c r="A3250" s="29">
        <v>39835</v>
      </c>
      <c r="B3250" s="28">
        <v>1.1466000000000001</v>
      </c>
      <c r="C3250" s="28">
        <v>1270900260</v>
      </c>
    </row>
    <row r="3251" spans="1:3" ht="15.5">
      <c r="A3251" s="29">
        <v>39834</v>
      </c>
      <c r="B3251" s="28">
        <v>1.1237999999999999</v>
      </c>
      <c r="C3251" s="28">
        <v>1245683985</v>
      </c>
    </row>
    <row r="3252" spans="1:3" ht="15.5">
      <c r="A3252" s="29">
        <v>39833</v>
      </c>
      <c r="B3252" s="28">
        <v>1.1102000000000001</v>
      </c>
      <c r="C3252" s="28">
        <v>1230554220</v>
      </c>
    </row>
    <row r="3253" spans="1:3" ht="15.5">
      <c r="A3253" s="29">
        <v>39832</v>
      </c>
      <c r="B3253" s="28">
        <v>1.1193</v>
      </c>
      <c r="C3253" s="28">
        <v>1240640730</v>
      </c>
    </row>
    <row r="3254" spans="1:3" ht="15.5">
      <c r="A3254" s="29">
        <v>39829</v>
      </c>
      <c r="B3254" s="28">
        <v>1.1193</v>
      </c>
      <c r="C3254" s="28">
        <v>1240640730</v>
      </c>
    </row>
    <row r="3255" spans="1:3" ht="15.5">
      <c r="A3255" s="29">
        <v>39828</v>
      </c>
      <c r="B3255" s="28">
        <v>1.1193</v>
      </c>
      <c r="C3255" s="28">
        <v>1240640730</v>
      </c>
    </row>
    <row r="3256" spans="1:3" ht="15.5">
      <c r="A3256" s="29">
        <v>39827</v>
      </c>
      <c r="B3256" s="28">
        <v>1.1419999999999999</v>
      </c>
      <c r="C3256" s="28">
        <v>1265857005</v>
      </c>
    </row>
    <row r="3257" spans="1:3" ht="15.5">
      <c r="A3257" s="29">
        <v>39826</v>
      </c>
      <c r="B3257" s="28">
        <v>1.1648000000000001</v>
      </c>
      <c r="C3257" s="28">
        <v>1291073280</v>
      </c>
    </row>
    <row r="3258" spans="1:3" ht="15.5">
      <c r="A3258" s="29">
        <v>39825</v>
      </c>
      <c r="B3258" s="28">
        <v>1.1556999999999999</v>
      </c>
      <c r="C3258" s="28">
        <v>1280986770</v>
      </c>
    </row>
    <row r="3259" spans="1:3" ht="15.5">
      <c r="A3259" s="29">
        <v>39822</v>
      </c>
      <c r="B3259" s="28">
        <v>1.1875</v>
      </c>
      <c r="C3259" s="28">
        <v>1316289555</v>
      </c>
    </row>
    <row r="3260" spans="1:3" ht="15.5">
      <c r="A3260" s="29">
        <v>39821</v>
      </c>
      <c r="B3260" s="28">
        <v>1.1055999999999999</v>
      </c>
      <c r="C3260" s="28">
        <v>1225510965</v>
      </c>
    </row>
    <row r="3261" spans="1:3" ht="15.5">
      <c r="A3261" s="29">
        <v>39820</v>
      </c>
      <c r="B3261" s="28">
        <v>1.1102000000000001</v>
      </c>
      <c r="C3261" s="28">
        <v>1230554220</v>
      </c>
    </row>
    <row r="3262" spans="1:3" ht="15.5">
      <c r="A3262" s="29">
        <v>39819</v>
      </c>
      <c r="B3262" s="28">
        <v>1.1102000000000001</v>
      </c>
      <c r="C3262" s="28">
        <v>1230554220</v>
      </c>
    </row>
    <row r="3263" spans="1:3" ht="15.5">
      <c r="A3263" s="29">
        <v>39818</v>
      </c>
      <c r="B3263" s="28">
        <v>1.1102000000000001</v>
      </c>
      <c r="C3263" s="28">
        <v>1230554220</v>
      </c>
    </row>
    <row r="3264" spans="1:3" ht="15.5">
      <c r="A3264" s="29">
        <v>39815</v>
      </c>
      <c r="B3264" s="28">
        <v>1.1466000000000001</v>
      </c>
      <c r="C3264" s="28">
        <v>1270900260</v>
      </c>
    </row>
    <row r="3265" spans="1:3" ht="15.5">
      <c r="A3265" s="29">
        <v>39813</v>
      </c>
      <c r="B3265" s="28">
        <v>1.1830000000000001</v>
      </c>
      <c r="C3265" s="28">
        <v>1311246300</v>
      </c>
    </row>
    <row r="3266" spans="1:3" ht="15.5">
      <c r="A3266" s="29">
        <v>39812</v>
      </c>
      <c r="B3266" s="28">
        <v>1.0738000000000001</v>
      </c>
      <c r="C3266" s="28">
        <v>1190208543.4400001</v>
      </c>
    </row>
    <row r="3267" spans="1:3" ht="15.5">
      <c r="A3267" s="29">
        <v>39811</v>
      </c>
      <c r="B3267" s="28">
        <v>1.0738000000000001</v>
      </c>
      <c r="C3267" s="28">
        <v>1190208543.4400001</v>
      </c>
    </row>
    <row r="3268" spans="1:3" ht="15.5">
      <c r="A3268" s="29">
        <v>39806</v>
      </c>
      <c r="B3268" s="28">
        <v>1.1284000000000001</v>
      </c>
      <c r="C3268" s="28">
        <v>1250727621.9200001</v>
      </c>
    </row>
    <row r="3269" spans="1:3" ht="15.5">
      <c r="A3269" s="29">
        <v>39805</v>
      </c>
      <c r="B3269" s="28">
        <v>1.0783</v>
      </c>
      <c r="C3269" s="28">
        <v>1195251799.98</v>
      </c>
    </row>
    <row r="3270" spans="1:3" ht="15.5">
      <c r="A3270" s="29">
        <v>39804</v>
      </c>
      <c r="B3270" s="28">
        <v>1.0465</v>
      </c>
      <c r="C3270" s="28">
        <v>1159949004.2</v>
      </c>
    </row>
    <row r="3271" spans="1:3" ht="15.5">
      <c r="A3271" s="29">
        <v>39801</v>
      </c>
      <c r="B3271" s="28">
        <v>1.0691999999999999</v>
      </c>
      <c r="C3271" s="28">
        <v>1185165286.9000001</v>
      </c>
    </row>
    <row r="3272" spans="1:3" ht="15.5">
      <c r="A3272" s="29">
        <v>39800</v>
      </c>
      <c r="B3272" s="28">
        <v>0.95550000000000002</v>
      </c>
      <c r="C3272" s="28">
        <v>1059083873.4</v>
      </c>
    </row>
    <row r="3273" spans="1:3" ht="15.5">
      <c r="A3273" s="29">
        <v>39799</v>
      </c>
      <c r="B3273" s="28">
        <v>0.98280000000000001</v>
      </c>
      <c r="C3273" s="28">
        <v>1089343412.6400001</v>
      </c>
    </row>
    <row r="3274" spans="1:3" ht="15.5">
      <c r="A3274" s="29">
        <v>39798</v>
      </c>
      <c r="B3274" s="28">
        <v>0.96909999999999996</v>
      </c>
      <c r="C3274" s="28">
        <v>1074213643.02</v>
      </c>
    </row>
    <row r="3275" spans="1:3" ht="15.5">
      <c r="A3275" s="29">
        <v>39797</v>
      </c>
      <c r="B3275" s="28">
        <v>1.0145999999999999</v>
      </c>
      <c r="C3275" s="28">
        <v>1124646208.4200001</v>
      </c>
    </row>
    <row r="3276" spans="1:3" ht="15.5">
      <c r="A3276" s="29">
        <v>39794</v>
      </c>
      <c r="B3276" s="28">
        <v>1.0283</v>
      </c>
      <c r="C3276" s="28">
        <v>1139775978.04</v>
      </c>
    </row>
    <row r="3277" spans="1:3" ht="15.5">
      <c r="A3277" s="29">
        <v>39793</v>
      </c>
      <c r="B3277" s="28">
        <v>1.1511</v>
      </c>
      <c r="C3277" s="28">
        <v>1275943904.6199999</v>
      </c>
    </row>
    <row r="3278" spans="1:3" ht="15.5">
      <c r="A3278" s="29">
        <v>39792</v>
      </c>
      <c r="B3278" s="28">
        <v>1.2012</v>
      </c>
      <c r="C3278" s="28">
        <v>1331419726.5599999</v>
      </c>
    </row>
    <row r="3279" spans="1:3" ht="15.5">
      <c r="A3279" s="29">
        <v>39791</v>
      </c>
      <c r="B3279" s="28">
        <v>1.2330000000000001</v>
      </c>
      <c r="C3279" s="28">
        <v>1366722522.3399999</v>
      </c>
    </row>
    <row r="3280" spans="1:3" ht="15.5">
      <c r="A3280" s="29">
        <v>39790</v>
      </c>
      <c r="B3280" s="28">
        <v>1.1556999999999999</v>
      </c>
      <c r="C3280" s="28">
        <v>1280987161.1600001</v>
      </c>
    </row>
    <row r="3281" spans="1:3" ht="15.5">
      <c r="A3281" s="29">
        <v>39787</v>
      </c>
      <c r="B3281" s="28">
        <v>1.0920000000000001</v>
      </c>
      <c r="C3281" s="28">
        <v>1210381569.5999999</v>
      </c>
    </row>
    <row r="3282" spans="1:3" ht="15.5">
      <c r="A3282" s="29">
        <v>39786</v>
      </c>
      <c r="B3282" s="28">
        <v>1.1466000000000001</v>
      </c>
      <c r="C3282" s="28">
        <v>1270900648.0799999</v>
      </c>
    </row>
    <row r="3283" spans="1:3" ht="15.5">
      <c r="A3283" s="29">
        <v>39785</v>
      </c>
      <c r="B3283" s="28">
        <v>1.1966000000000001</v>
      </c>
      <c r="C3283" s="28">
        <v>1326376470.02</v>
      </c>
    </row>
    <row r="3284" spans="1:3" ht="15.5">
      <c r="A3284" s="29">
        <v>39784</v>
      </c>
      <c r="B3284" s="28">
        <v>1.2284999999999999</v>
      </c>
      <c r="C3284" s="28">
        <v>1361679265.8</v>
      </c>
    </row>
    <row r="3285" spans="1:3" ht="15.5">
      <c r="A3285" s="29">
        <v>39783</v>
      </c>
      <c r="B3285" s="28">
        <v>1.2512000000000001</v>
      </c>
      <c r="C3285" s="28">
        <v>1386895548.5</v>
      </c>
    </row>
    <row r="3286" spans="1:3" ht="15.5">
      <c r="A3286" s="29">
        <v>39780</v>
      </c>
      <c r="B3286" s="28">
        <v>1.2648999999999999</v>
      </c>
      <c r="C3286" s="28">
        <v>1402025318.1199999</v>
      </c>
    </row>
    <row r="3287" spans="1:3" ht="15.5">
      <c r="A3287" s="29">
        <v>39779</v>
      </c>
      <c r="B3287" s="28">
        <v>1.2194</v>
      </c>
      <c r="C3287" s="28">
        <v>1351592752.72</v>
      </c>
    </row>
    <row r="3288" spans="1:3" ht="15.5">
      <c r="A3288" s="29">
        <v>39778</v>
      </c>
      <c r="B3288" s="28">
        <v>1.1783999999999999</v>
      </c>
      <c r="C3288" s="28">
        <v>1306203443.8599999</v>
      </c>
    </row>
    <row r="3289" spans="1:3" ht="15.5">
      <c r="A3289" s="29">
        <v>39777</v>
      </c>
      <c r="B3289" s="28">
        <v>1.274</v>
      </c>
      <c r="C3289" s="28">
        <v>1412111831.2</v>
      </c>
    </row>
    <row r="3290" spans="1:3" ht="15.5">
      <c r="A3290" s="29">
        <v>39776</v>
      </c>
      <c r="B3290" s="28">
        <v>1.3012999999999999</v>
      </c>
      <c r="C3290" s="28">
        <v>1442371370.4400001</v>
      </c>
    </row>
    <row r="3291" spans="1:3" ht="15.5">
      <c r="A3291" s="29">
        <v>39773</v>
      </c>
      <c r="B3291" s="28">
        <v>1.274</v>
      </c>
      <c r="C3291" s="28">
        <v>1412111831.2</v>
      </c>
    </row>
    <row r="3292" spans="1:3" ht="15.5">
      <c r="A3292" s="29">
        <v>39772</v>
      </c>
      <c r="B3292" s="28">
        <v>1.3012999999999999</v>
      </c>
      <c r="C3292" s="28">
        <v>1442371370.4400001</v>
      </c>
    </row>
    <row r="3293" spans="1:3" ht="15.5">
      <c r="A3293" s="29">
        <v>39771</v>
      </c>
      <c r="B3293" s="28">
        <v>1.3104</v>
      </c>
      <c r="C3293" s="28">
        <v>1452457883.52</v>
      </c>
    </row>
    <row r="3294" spans="1:3" ht="15.5">
      <c r="A3294" s="29">
        <v>39770</v>
      </c>
      <c r="B3294" s="28">
        <v>1.3240000000000001</v>
      </c>
      <c r="C3294" s="28">
        <v>1467587653.1400001</v>
      </c>
    </row>
    <row r="3295" spans="1:3" ht="15.5">
      <c r="A3295" s="29">
        <v>39769</v>
      </c>
      <c r="B3295" s="28">
        <v>1.3876999999999999</v>
      </c>
      <c r="C3295" s="28">
        <v>1538193244.7</v>
      </c>
    </row>
    <row r="3296" spans="1:3" ht="15.5">
      <c r="A3296" s="29">
        <v>39766</v>
      </c>
      <c r="B3296" s="28">
        <v>1.3923000000000001</v>
      </c>
      <c r="C3296" s="28">
        <v>1543236501.24</v>
      </c>
    </row>
    <row r="3297" spans="1:3" ht="15.5">
      <c r="A3297" s="29">
        <v>39765</v>
      </c>
      <c r="B3297" s="28">
        <v>1.3786</v>
      </c>
      <c r="C3297" s="28">
        <v>1528106731.6199999</v>
      </c>
    </row>
    <row r="3298" spans="1:3" ht="15.5">
      <c r="A3298" s="29">
        <v>39764</v>
      </c>
      <c r="B3298" s="28">
        <v>1.4378</v>
      </c>
      <c r="C3298" s="28">
        <v>1593669066.6400001</v>
      </c>
    </row>
    <row r="3299" spans="1:3" ht="15.5">
      <c r="A3299" s="29">
        <v>39763</v>
      </c>
      <c r="B3299" s="28">
        <v>1.4014</v>
      </c>
      <c r="C3299" s="28">
        <v>1553323014.3199999</v>
      </c>
    </row>
    <row r="3300" spans="1:3" ht="15.5">
      <c r="A3300" s="29">
        <v>39762</v>
      </c>
      <c r="B3300" s="28">
        <v>1.4014</v>
      </c>
      <c r="C3300" s="28">
        <v>1553323014.3199999</v>
      </c>
    </row>
    <row r="3301" spans="1:3" ht="15.5">
      <c r="A3301" s="29">
        <v>39759</v>
      </c>
      <c r="B3301" s="28">
        <v>1.3832</v>
      </c>
      <c r="C3301" s="28">
        <v>1533149988.1600001</v>
      </c>
    </row>
    <row r="3302" spans="1:3" ht="15.5">
      <c r="A3302" s="29">
        <v>39758</v>
      </c>
      <c r="B3302" s="28">
        <v>1.4105000000000001</v>
      </c>
      <c r="C3302" s="28">
        <v>1563409527.4000001</v>
      </c>
    </row>
    <row r="3303" spans="1:3" ht="15.5">
      <c r="A3303" s="29">
        <v>39757</v>
      </c>
      <c r="B3303" s="28">
        <v>1.456</v>
      </c>
      <c r="C3303" s="28">
        <v>1613842092.8</v>
      </c>
    </row>
    <row r="3304" spans="1:3" ht="15.5">
      <c r="A3304" s="29">
        <v>39756</v>
      </c>
      <c r="B3304" s="28">
        <v>1.3104</v>
      </c>
      <c r="C3304" s="28">
        <v>1452457883.52</v>
      </c>
    </row>
    <row r="3305" spans="1:3" ht="15.5">
      <c r="A3305" s="29">
        <v>39755</v>
      </c>
      <c r="B3305" s="28">
        <v>1.3331</v>
      </c>
      <c r="C3305" s="28">
        <v>1477674166.22</v>
      </c>
    </row>
    <row r="3306" spans="1:3" ht="15.5">
      <c r="A3306" s="29">
        <v>39752</v>
      </c>
      <c r="B3306" s="28">
        <v>1.3286</v>
      </c>
      <c r="C3306" s="28">
        <v>1472630909.6800001</v>
      </c>
    </row>
    <row r="3307" spans="1:3" ht="15.5">
      <c r="A3307" s="29">
        <v>39751</v>
      </c>
      <c r="B3307" s="28">
        <v>1.2102999999999999</v>
      </c>
      <c r="C3307" s="28">
        <v>1341506239.6400001</v>
      </c>
    </row>
    <row r="3308" spans="1:3" ht="15.5">
      <c r="A3308" s="29">
        <v>39750</v>
      </c>
      <c r="B3308" s="28">
        <v>1.2284999999999999</v>
      </c>
      <c r="C3308" s="28">
        <v>1361679265.8</v>
      </c>
    </row>
    <row r="3309" spans="1:3" ht="15.5">
      <c r="A3309" s="29">
        <v>39749</v>
      </c>
      <c r="B3309" s="28">
        <v>1.274</v>
      </c>
      <c r="C3309" s="28">
        <v>1412111831.2</v>
      </c>
    </row>
    <row r="3310" spans="1:3" ht="15.5">
      <c r="A3310" s="29">
        <v>39748</v>
      </c>
      <c r="B3310" s="28">
        <v>1.3194999999999999</v>
      </c>
      <c r="C3310" s="28">
        <v>1462544396.5999999</v>
      </c>
    </row>
    <row r="3311" spans="1:3" ht="15.5">
      <c r="A3311" s="29">
        <v>39745</v>
      </c>
      <c r="B3311" s="28">
        <v>1.4332</v>
      </c>
      <c r="C3311" s="28">
        <v>1588625810.0999999</v>
      </c>
    </row>
    <row r="3312" spans="1:3" ht="15.5">
      <c r="A3312" s="29">
        <v>39744</v>
      </c>
      <c r="B3312" s="28">
        <v>1.3968</v>
      </c>
      <c r="C3312" s="28">
        <v>1548279757.78</v>
      </c>
    </row>
    <row r="3313" spans="1:3" ht="15.5">
      <c r="A3313" s="29">
        <v>39743</v>
      </c>
      <c r="B3313" s="28">
        <v>1.3923000000000001</v>
      </c>
      <c r="C3313" s="28">
        <v>1543236501.24</v>
      </c>
    </row>
    <row r="3314" spans="1:3" ht="15.5">
      <c r="A3314" s="29">
        <v>39742</v>
      </c>
      <c r="B3314" s="28">
        <v>1.4240999999999999</v>
      </c>
      <c r="C3314" s="28">
        <v>1578539297.02</v>
      </c>
    </row>
    <row r="3315" spans="1:3" ht="15.5">
      <c r="A3315" s="29">
        <v>39741</v>
      </c>
      <c r="B3315" s="28">
        <v>1.456</v>
      </c>
      <c r="C3315" s="28">
        <v>1613842092.8</v>
      </c>
    </row>
    <row r="3316" spans="1:3" ht="15.5">
      <c r="A3316" s="29">
        <v>39738</v>
      </c>
      <c r="B3316" s="28">
        <v>1.365</v>
      </c>
      <c r="C3316" s="28">
        <v>1512976962</v>
      </c>
    </row>
    <row r="3317" spans="1:3" ht="15.5">
      <c r="A3317" s="29">
        <v>39737</v>
      </c>
      <c r="B3317" s="28">
        <v>1.365</v>
      </c>
      <c r="C3317" s="28">
        <v>1512976962</v>
      </c>
    </row>
    <row r="3318" spans="1:3" ht="15.5">
      <c r="A3318" s="29">
        <v>39736</v>
      </c>
      <c r="B3318" s="28">
        <v>1.415</v>
      </c>
      <c r="C3318" s="28">
        <v>1568452783.9400001</v>
      </c>
    </row>
    <row r="3319" spans="1:3" ht="15.5">
      <c r="A3319" s="29">
        <v>39735</v>
      </c>
      <c r="B3319" s="28">
        <v>1.4240999999999999</v>
      </c>
      <c r="C3319" s="28">
        <v>1578539297.02</v>
      </c>
    </row>
    <row r="3320" spans="1:3" ht="15.5">
      <c r="A3320" s="29">
        <v>39734</v>
      </c>
      <c r="B3320" s="28">
        <v>1.4196</v>
      </c>
      <c r="C3320" s="28">
        <v>1573496040.48</v>
      </c>
    </row>
    <row r="3321" spans="1:3" ht="15.5">
      <c r="A3321" s="29">
        <v>39731</v>
      </c>
      <c r="B3321" s="28">
        <v>1.4378</v>
      </c>
      <c r="C3321" s="28">
        <v>1593669066.6400001</v>
      </c>
    </row>
    <row r="3322" spans="1:3" ht="15.5">
      <c r="A3322" s="29">
        <v>39730</v>
      </c>
      <c r="B3322" s="28">
        <v>1.4833000000000001</v>
      </c>
      <c r="C3322" s="28">
        <v>1644101632.04</v>
      </c>
    </row>
    <row r="3323" spans="1:3" ht="15.5">
      <c r="A3323" s="29">
        <v>39729</v>
      </c>
      <c r="B3323" s="28">
        <v>1.4332</v>
      </c>
      <c r="C3323" s="28">
        <v>1588625810.0999999</v>
      </c>
    </row>
    <row r="3324" spans="1:3" ht="15.5">
      <c r="A3324" s="29">
        <v>39728</v>
      </c>
      <c r="B3324" s="28">
        <v>1.4696</v>
      </c>
      <c r="C3324" s="28">
        <v>1628971862.4200001</v>
      </c>
    </row>
    <row r="3325" spans="1:3" ht="15.5">
      <c r="A3325" s="29">
        <v>39727</v>
      </c>
      <c r="B3325" s="28">
        <v>1.4651000000000001</v>
      </c>
      <c r="C3325" s="28">
        <v>1623928605.8800001</v>
      </c>
    </row>
    <row r="3326" spans="1:3" ht="15.5">
      <c r="A3326" s="29">
        <v>39724</v>
      </c>
      <c r="B3326" s="28">
        <v>1.5015000000000001</v>
      </c>
      <c r="C3326" s="28">
        <v>1664274658.2</v>
      </c>
    </row>
    <row r="3327" spans="1:3" ht="15.5">
      <c r="A3327" s="29">
        <v>39723</v>
      </c>
      <c r="B3327" s="28">
        <v>1.4651000000000001</v>
      </c>
      <c r="C3327" s="28">
        <v>1623928605.8800001</v>
      </c>
    </row>
    <row r="3328" spans="1:3" ht="15.5">
      <c r="A3328" s="29">
        <v>39722</v>
      </c>
      <c r="B3328" s="28">
        <v>1.4469000000000001</v>
      </c>
      <c r="C3328" s="28">
        <v>1603755579.72</v>
      </c>
    </row>
    <row r="3329" spans="1:3" ht="15.5">
      <c r="A3329" s="29">
        <v>39721</v>
      </c>
      <c r="B3329" s="28">
        <v>1.3194999999999999</v>
      </c>
      <c r="C3329" s="28">
        <v>1462544396.5999999</v>
      </c>
    </row>
    <row r="3330" spans="1:3" ht="15.5">
      <c r="A3330" s="29">
        <v>39720</v>
      </c>
      <c r="B3330" s="28">
        <v>1.4058999999999999</v>
      </c>
      <c r="C3330" s="28">
        <v>1558366270.8599999</v>
      </c>
    </row>
    <row r="3331" spans="1:3" ht="15.5">
      <c r="A3331" s="29">
        <v>39717</v>
      </c>
      <c r="B3331" s="28">
        <v>1.4014</v>
      </c>
      <c r="C3331" s="28">
        <v>1553323014.3199999</v>
      </c>
    </row>
    <row r="3332" spans="1:3" ht="15.5">
      <c r="A3332" s="29">
        <v>39716</v>
      </c>
      <c r="B3332" s="28">
        <v>1.4651000000000001</v>
      </c>
      <c r="C3332" s="28">
        <v>1623928605.8800001</v>
      </c>
    </row>
    <row r="3333" spans="1:3" ht="15.5">
      <c r="A3333" s="29">
        <v>39715</v>
      </c>
      <c r="B3333" s="28">
        <v>1.4742</v>
      </c>
      <c r="C3333" s="28">
        <v>1634015118.96</v>
      </c>
    </row>
    <row r="3334" spans="1:3" ht="15.5">
      <c r="A3334" s="29">
        <v>39714</v>
      </c>
      <c r="B3334" s="28">
        <v>1.3286</v>
      </c>
      <c r="C3334" s="28">
        <v>1472630909.6800001</v>
      </c>
    </row>
    <row r="3335" spans="1:3" ht="15.5">
      <c r="A3335" s="29">
        <v>39713</v>
      </c>
      <c r="B3335" s="28">
        <v>1.415</v>
      </c>
      <c r="C3335" s="28">
        <v>1568452783.9400001</v>
      </c>
    </row>
    <row r="3336" spans="1:3" ht="15.5">
      <c r="A3336" s="29">
        <v>39710</v>
      </c>
      <c r="B3336" s="28">
        <v>1.4514</v>
      </c>
      <c r="C3336" s="28">
        <v>1608798836.26</v>
      </c>
    </row>
    <row r="3337" spans="1:3" ht="15.5">
      <c r="A3337" s="29">
        <v>39709</v>
      </c>
      <c r="B3337" s="28">
        <v>1.456</v>
      </c>
      <c r="C3337" s="28">
        <v>1613842092.8</v>
      </c>
    </row>
    <row r="3338" spans="1:3" ht="15.5">
      <c r="A3338" s="29">
        <v>39708</v>
      </c>
      <c r="B3338" s="28">
        <v>1.5015000000000001</v>
      </c>
      <c r="C3338" s="28">
        <v>1664274658.2</v>
      </c>
    </row>
    <row r="3339" spans="1:3" ht="15.5">
      <c r="A3339" s="29">
        <v>39707</v>
      </c>
      <c r="B3339" s="28">
        <v>1.4469000000000001</v>
      </c>
      <c r="C3339" s="28">
        <v>1603755579.72</v>
      </c>
    </row>
    <row r="3340" spans="1:3" ht="15.5">
      <c r="A3340" s="29">
        <v>39706</v>
      </c>
      <c r="B3340" s="28">
        <v>1.4923999999999999</v>
      </c>
      <c r="C3340" s="28">
        <v>1654188145.1199999</v>
      </c>
    </row>
    <row r="3341" spans="1:3" ht="15.5">
      <c r="A3341" s="29">
        <v>39703</v>
      </c>
      <c r="B3341" s="28">
        <v>1.5015000000000001</v>
      </c>
      <c r="C3341" s="28">
        <v>1664274658.2</v>
      </c>
    </row>
    <row r="3342" spans="1:3" ht="15.5">
      <c r="A3342" s="29">
        <v>39702</v>
      </c>
      <c r="B3342" s="28">
        <v>1.4742</v>
      </c>
      <c r="C3342" s="28">
        <v>1634015118.96</v>
      </c>
    </row>
    <row r="3343" spans="1:3" ht="15.5">
      <c r="A3343" s="29">
        <v>39701</v>
      </c>
      <c r="B3343" s="28">
        <v>1.4968999999999999</v>
      </c>
      <c r="C3343" s="28">
        <v>1659231401.6600001</v>
      </c>
    </row>
    <row r="3344" spans="1:3" ht="15.5">
      <c r="A3344" s="29">
        <v>39700</v>
      </c>
      <c r="B3344" s="28">
        <v>1.5015000000000001</v>
      </c>
      <c r="C3344" s="28">
        <v>1664274658.2</v>
      </c>
    </row>
    <row r="3345" spans="1:3" ht="15.5">
      <c r="A3345" s="29">
        <v>39699</v>
      </c>
      <c r="B3345" s="28">
        <v>1.5105999999999999</v>
      </c>
      <c r="C3345" s="28">
        <v>1674361171.28</v>
      </c>
    </row>
    <row r="3346" spans="1:3" ht="15.5">
      <c r="A3346" s="29">
        <v>39696</v>
      </c>
      <c r="B3346" s="28">
        <v>1.4923999999999999</v>
      </c>
      <c r="C3346" s="28">
        <v>1654188145.1199999</v>
      </c>
    </row>
    <row r="3347" spans="1:3" ht="15.5">
      <c r="A3347" s="29">
        <v>39695</v>
      </c>
      <c r="B3347" s="28">
        <v>1.4878</v>
      </c>
      <c r="C3347" s="28">
        <v>1649144888.5799999</v>
      </c>
    </row>
    <row r="3348" spans="1:3" ht="15.5">
      <c r="A3348" s="29">
        <v>39694</v>
      </c>
      <c r="B3348" s="28">
        <v>1.4923999999999999</v>
      </c>
      <c r="C3348" s="28">
        <v>1654188145.1199999</v>
      </c>
    </row>
    <row r="3349" spans="1:3" ht="15.5">
      <c r="A3349" s="29">
        <v>39693</v>
      </c>
      <c r="B3349" s="28">
        <v>1.4742</v>
      </c>
      <c r="C3349" s="28">
        <v>1634015118.96</v>
      </c>
    </row>
    <row r="3350" spans="1:3" ht="15.5">
      <c r="A3350" s="29">
        <v>39692</v>
      </c>
      <c r="B3350" s="28">
        <v>1.4469000000000001</v>
      </c>
      <c r="C3350" s="28">
        <v>1603755579.72</v>
      </c>
    </row>
    <row r="3351" spans="1:3" ht="15.5">
      <c r="A3351" s="29">
        <v>39689</v>
      </c>
      <c r="B3351" s="28">
        <v>1.415</v>
      </c>
      <c r="C3351" s="28">
        <v>1568452783.9400001</v>
      </c>
    </row>
    <row r="3352" spans="1:3" ht="15.5">
      <c r="A3352" s="29">
        <v>39688</v>
      </c>
      <c r="B3352" s="28">
        <v>1.415</v>
      </c>
      <c r="C3352" s="28">
        <v>1568452783.9400001</v>
      </c>
    </row>
    <row r="3353" spans="1:3" ht="15.5">
      <c r="A3353" s="29">
        <v>39687</v>
      </c>
      <c r="B3353" s="28">
        <v>1.4833000000000001</v>
      </c>
      <c r="C3353" s="28">
        <v>1644101632.04</v>
      </c>
    </row>
    <row r="3354" spans="1:3" ht="15.5">
      <c r="A3354" s="29">
        <v>39686</v>
      </c>
      <c r="B3354" s="28">
        <v>1.4833000000000001</v>
      </c>
      <c r="C3354" s="28">
        <v>1644101632.04</v>
      </c>
    </row>
    <row r="3355" spans="1:3" ht="15.5">
      <c r="A3355" s="29">
        <v>39685</v>
      </c>
      <c r="B3355" s="28">
        <v>1.5015000000000001</v>
      </c>
      <c r="C3355" s="28">
        <v>1664274658.2</v>
      </c>
    </row>
    <row r="3356" spans="1:3" ht="15.5">
      <c r="A3356" s="29">
        <v>39682</v>
      </c>
      <c r="B3356" s="28">
        <v>1.4833000000000001</v>
      </c>
      <c r="C3356" s="28">
        <v>1644101632.04</v>
      </c>
    </row>
    <row r="3357" spans="1:3" ht="15.5">
      <c r="A3357" s="29">
        <v>39681</v>
      </c>
      <c r="B3357" s="28">
        <v>1.4833000000000001</v>
      </c>
      <c r="C3357" s="28">
        <v>1644101632.04</v>
      </c>
    </row>
    <row r="3358" spans="1:3" ht="15.5">
      <c r="A3358" s="29">
        <v>39680</v>
      </c>
      <c r="B3358" s="28">
        <v>1.5197000000000001</v>
      </c>
      <c r="C3358" s="28">
        <v>1684447684.3599999</v>
      </c>
    </row>
    <row r="3359" spans="1:3" ht="15.5">
      <c r="A3359" s="29">
        <v>39679</v>
      </c>
      <c r="B3359" s="28">
        <v>1.5105999999999999</v>
      </c>
      <c r="C3359" s="28">
        <v>1674361171.28</v>
      </c>
    </row>
    <row r="3360" spans="1:3" ht="15.5">
      <c r="A3360" s="29">
        <v>39678</v>
      </c>
      <c r="B3360" s="28">
        <v>1.5105999999999999</v>
      </c>
      <c r="C3360" s="28">
        <v>1674361171.28</v>
      </c>
    </row>
    <row r="3361" spans="1:3" ht="15.5">
      <c r="A3361" s="29">
        <v>39675</v>
      </c>
      <c r="B3361" s="28">
        <v>1.5287999999999999</v>
      </c>
      <c r="C3361" s="28">
        <v>1694534197.4400001</v>
      </c>
    </row>
    <row r="3362" spans="1:3" ht="15.5">
      <c r="A3362" s="29">
        <v>39674</v>
      </c>
      <c r="B3362" s="28">
        <v>1.4923999999999999</v>
      </c>
      <c r="C3362" s="28">
        <v>1654188145.1199999</v>
      </c>
    </row>
    <row r="3363" spans="1:3" ht="15.5">
      <c r="A3363" s="29">
        <v>39673</v>
      </c>
      <c r="B3363" s="28">
        <v>1.4696</v>
      </c>
      <c r="C3363" s="28">
        <v>1628971862.4200001</v>
      </c>
    </row>
    <row r="3364" spans="1:3" ht="15.5">
      <c r="A3364" s="29">
        <v>39672</v>
      </c>
      <c r="B3364" s="28">
        <v>1.4696</v>
      </c>
      <c r="C3364" s="28">
        <v>1628971862.4200001</v>
      </c>
    </row>
    <row r="3365" spans="1:3" ht="15.5">
      <c r="A3365" s="29">
        <v>39671</v>
      </c>
      <c r="B3365" s="28">
        <v>1.4786999999999999</v>
      </c>
      <c r="C3365" s="28">
        <v>1639058375.5</v>
      </c>
    </row>
    <row r="3366" spans="1:3" ht="15.5">
      <c r="A3366" s="29">
        <v>39668</v>
      </c>
      <c r="B3366" s="28">
        <v>1.4742</v>
      </c>
      <c r="C3366" s="28">
        <v>1634015118.96</v>
      </c>
    </row>
    <row r="3367" spans="1:3" ht="15.5">
      <c r="A3367" s="29">
        <v>39667</v>
      </c>
      <c r="B3367" s="28">
        <v>1.4833000000000001</v>
      </c>
      <c r="C3367" s="28">
        <v>1644101632.04</v>
      </c>
    </row>
    <row r="3368" spans="1:3" ht="15.5">
      <c r="A3368" s="29">
        <v>39666</v>
      </c>
      <c r="B3368" s="28">
        <v>1.4651000000000001</v>
      </c>
      <c r="C3368" s="28">
        <v>1623928605.8800001</v>
      </c>
    </row>
    <row r="3369" spans="1:3" ht="15.5">
      <c r="A3369" s="29">
        <v>39665</v>
      </c>
      <c r="B3369" s="28">
        <v>1.4696</v>
      </c>
      <c r="C3369" s="28">
        <v>1628971862.4200001</v>
      </c>
    </row>
    <row r="3370" spans="1:3" ht="15.5">
      <c r="A3370" s="29">
        <v>39664</v>
      </c>
      <c r="B3370" s="28">
        <v>1.456</v>
      </c>
      <c r="C3370" s="28">
        <v>1613842092.8</v>
      </c>
    </row>
    <row r="3371" spans="1:3" ht="15.5">
      <c r="A3371" s="29">
        <v>39661</v>
      </c>
      <c r="B3371" s="28">
        <v>1.456</v>
      </c>
      <c r="C3371" s="28">
        <v>1613842092.8</v>
      </c>
    </row>
    <row r="3372" spans="1:3" ht="15.5">
      <c r="A3372" s="29">
        <v>39660</v>
      </c>
      <c r="B3372" s="28">
        <v>1.4923999999999999</v>
      </c>
      <c r="C3372" s="28">
        <v>1654188145.1199999</v>
      </c>
    </row>
    <row r="3373" spans="1:3" ht="15.5">
      <c r="A3373" s="29">
        <v>39659</v>
      </c>
      <c r="B3373" s="28">
        <v>1.4651000000000001</v>
      </c>
      <c r="C3373" s="28">
        <v>1623928605.8800001</v>
      </c>
    </row>
    <row r="3374" spans="1:3" ht="15.5">
      <c r="A3374" s="29">
        <v>39658</v>
      </c>
      <c r="B3374" s="28">
        <v>1.5015000000000001</v>
      </c>
      <c r="C3374" s="28">
        <v>1664274658.2</v>
      </c>
    </row>
    <row r="3375" spans="1:3" ht="15.5">
      <c r="A3375" s="29">
        <v>39657</v>
      </c>
      <c r="B3375" s="28">
        <v>1.4968999999999999</v>
      </c>
      <c r="C3375" s="28">
        <v>1659231401.6600001</v>
      </c>
    </row>
    <row r="3376" spans="1:3" ht="15.5">
      <c r="A3376" s="29">
        <v>39654</v>
      </c>
      <c r="B3376" s="28">
        <v>1.456</v>
      </c>
      <c r="C3376" s="28">
        <v>1613842092.8</v>
      </c>
    </row>
    <row r="3377" spans="1:3" ht="15.5">
      <c r="A3377" s="29">
        <v>39653</v>
      </c>
      <c r="B3377" s="28">
        <v>1.5105999999999999</v>
      </c>
      <c r="C3377" s="28">
        <v>1674361171.28</v>
      </c>
    </row>
    <row r="3378" spans="1:3" ht="15.5">
      <c r="A3378" s="29">
        <v>39652</v>
      </c>
      <c r="B3378" s="28">
        <v>1.5379</v>
      </c>
      <c r="C3378" s="28">
        <v>1704620710.52</v>
      </c>
    </row>
    <row r="3379" spans="1:3" ht="15.5">
      <c r="A3379" s="29">
        <v>39651</v>
      </c>
      <c r="B3379" s="28">
        <v>1.5015000000000001</v>
      </c>
      <c r="C3379" s="28">
        <v>1664274658.2</v>
      </c>
    </row>
    <row r="3380" spans="1:3" ht="15.5">
      <c r="A3380" s="29">
        <v>39650</v>
      </c>
      <c r="B3380" s="28">
        <v>1.4968999999999999</v>
      </c>
      <c r="C3380" s="28">
        <v>1659231401.6600001</v>
      </c>
    </row>
    <row r="3381" spans="1:3" ht="15.5">
      <c r="A3381" s="29">
        <v>39647</v>
      </c>
      <c r="B3381" s="28">
        <v>1.4742</v>
      </c>
      <c r="C3381" s="28">
        <v>1634015118.96</v>
      </c>
    </row>
    <row r="3382" spans="1:3" ht="15.5">
      <c r="A3382" s="29">
        <v>39646</v>
      </c>
      <c r="B3382" s="28">
        <v>1.4923999999999999</v>
      </c>
      <c r="C3382" s="28">
        <v>1654188145.1199999</v>
      </c>
    </row>
    <row r="3383" spans="1:3" ht="15.5">
      <c r="A3383" s="29">
        <v>39645</v>
      </c>
      <c r="B3383" s="28">
        <v>1.4696</v>
      </c>
      <c r="C3383" s="28">
        <v>1628971862.4200001</v>
      </c>
    </row>
    <row r="3384" spans="1:3" ht="15.5">
      <c r="A3384" s="29">
        <v>39644</v>
      </c>
      <c r="B3384" s="28">
        <v>1.4469000000000001</v>
      </c>
      <c r="C3384" s="28">
        <v>1603755579.72</v>
      </c>
    </row>
    <row r="3385" spans="1:3" ht="15.5">
      <c r="A3385" s="29">
        <v>39643</v>
      </c>
      <c r="B3385" s="28">
        <v>1.5015000000000001</v>
      </c>
      <c r="C3385" s="28">
        <v>1664274658.2</v>
      </c>
    </row>
    <row r="3386" spans="1:3" ht="15.5">
      <c r="A3386" s="29">
        <v>39640</v>
      </c>
      <c r="B3386" s="28">
        <v>1.4742</v>
      </c>
      <c r="C3386" s="28">
        <v>1634015118.96</v>
      </c>
    </row>
    <row r="3387" spans="1:3" ht="15.5">
      <c r="A3387" s="29">
        <v>39639</v>
      </c>
      <c r="B3387" s="28">
        <v>1.5197000000000001</v>
      </c>
      <c r="C3387" s="28">
        <v>1684447684.3599999</v>
      </c>
    </row>
    <row r="3388" spans="1:3" ht="15.5">
      <c r="A3388" s="29">
        <v>39638</v>
      </c>
      <c r="B3388" s="28">
        <v>1.5833999999999999</v>
      </c>
      <c r="C3388" s="28">
        <v>1755053275.9200001</v>
      </c>
    </row>
    <row r="3389" spans="1:3" ht="15.5">
      <c r="A3389" s="29">
        <v>39637</v>
      </c>
      <c r="B3389" s="28">
        <v>1.5379</v>
      </c>
      <c r="C3389" s="28">
        <v>1704620710.52</v>
      </c>
    </row>
    <row r="3390" spans="1:3" ht="15.5">
      <c r="A3390" s="29">
        <v>39636</v>
      </c>
      <c r="B3390" s="28">
        <v>1.4742</v>
      </c>
      <c r="C3390" s="28">
        <v>1634015118.96</v>
      </c>
    </row>
    <row r="3391" spans="1:3" ht="15.5">
      <c r="A3391" s="29">
        <v>39633</v>
      </c>
      <c r="B3391" s="28">
        <v>1.5197000000000001</v>
      </c>
      <c r="C3391" s="28">
        <v>1684447684.3599999</v>
      </c>
    </row>
    <row r="3392" spans="1:3" ht="15.5">
      <c r="A3392" s="29">
        <v>39632</v>
      </c>
      <c r="B3392" s="28">
        <v>1.4469000000000001</v>
      </c>
      <c r="C3392" s="28">
        <v>1603755579.72</v>
      </c>
    </row>
    <row r="3393" spans="1:3" ht="15.5">
      <c r="A3393" s="29">
        <v>39631</v>
      </c>
      <c r="B3393" s="28">
        <v>1.4696</v>
      </c>
      <c r="C3393" s="28">
        <v>1628971862.4200001</v>
      </c>
    </row>
    <row r="3394" spans="1:3" ht="15.5">
      <c r="A3394" s="29">
        <v>39630</v>
      </c>
      <c r="B3394" s="28">
        <v>1.4240999999999999</v>
      </c>
      <c r="C3394" s="28">
        <v>1578539297.02</v>
      </c>
    </row>
    <row r="3395" spans="1:3" ht="15.5">
      <c r="A3395" s="29">
        <v>39629</v>
      </c>
      <c r="B3395" s="28">
        <v>1.4196</v>
      </c>
      <c r="C3395" s="28">
        <v>1573496040.48</v>
      </c>
    </row>
    <row r="3396" spans="1:3" ht="15.5">
      <c r="A3396" s="29">
        <v>39626</v>
      </c>
      <c r="B3396" s="28">
        <v>1.274</v>
      </c>
      <c r="C3396" s="28">
        <v>1412111831.2</v>
      </c>
    </row>
    <row r="3397" spans="1:3" ht="15.5">
      <c r="A3397" s="29">
        <v>39625</v>
      </c>
      <c r="B3397" s="28">
        <v>1.5197000000000001</v>
      </c>
      <c r="C3397" s="28">
        <v>1684447684.3599999</v>
      </c>
    </row>
    <row r="3398" spans="1:3" ht="15.5">
      <c r="A3398" s="29">
        <v>39624</v>
      </c>
      <c r="B3398" s="28">
        <v>1.5379</v>
      </c>
      <c r="C3398" s="28">
        <v>1704620710.52</v>
      </c>
    </row>
    <row r="3399" spans="1:3" ht="15.5">
      <c r="A3399" s="29">
        <v>39623</v>
      </c>
      <c r="B3399" s="28">
        <v>1.5469999999999999</v>
      </c>
      <c r="C3399" s="28">
        <v>1714707223.5999999</v>
      </c>
    </row>
    <row r="3400" spans="1:3" ht="15.5">
      <c r="A3400" s="29">
        <v>39622</v>
      </c>
      <c r="B3400" s="28">
        <v>1.5469999999999999</v>
      </c>
      <c r="C3400" s="28">
        <v>1714707223.5999999</v>
      </c>
    </row>
    <row r="3401" spans="1:3" ht="15.5">
      <c r="A3401" s="29">
        <v>39619</v>
      </c>
      <c r="B3401" s="28">
        <v>1.5743</v>
      </c>
      <c r="C3401" s="28">
        <v>1744966762.8399999</v>
      </c>
    </row>
    <row r="3402" spans="1:3" ht="15.5">
      <c r="A3402" s="29">
        <v>39618</v>
      </c>
      <c r="B3402" s="28">
        <v>1.5697000000000001</v>
      </c>
      <c r="C3402" s="28">
        <v>1739923506.3</v>
      </c>
    </row>
    <row r="3403" spans="1:3" ht="15.5">
      <c r="A3403" s="29">
        <v>39617</v>
      </c>
      <c r="B3403" s="28">
        <v>1.5925</v>
      </c>
      <c r="C3403" s="28">
        <v>1765139789</v>
      </c>
    </row>
    <row r="3404" spans="1:3" ht="15.5">
      <c r="A3404" s="29">
        <v>39616</v>
      </c>
      <c r="B3404" s="28">
        <v>1.6379999999999999</v>
      </c>
      <c r="C3404" s="28">
        <v>1815572354.4000001</v>
      </c>
    </row>
    <row r="3405" spans="1:3" ht="15.5">
      <c r="A3405" s="29">
        <v>39615</v>
      </c>
      <c r="B3405" s="28">
        <v>1.6197999999999999</v>
      </c>
      <c r="C3405" s="28">
        <v>1795399328.24</v>
      </c>
    </row>
    <row r="3406" spans="1:3" ht="15.5">
      <c r="A3406" s="29">
        <v>39612</v>
      </c>
      <c r="B3406" s="28">
        <v>1.5743</v>
      </c>
      <c r="C3406" s="28">
        <v>1744966762.8399999</v>
      </c>
    </row>
    <row r="3407" spans="1:3" ht="15.5">
      <c r="A3407" s="29">
        <v>39611</v>
      </c>
      <c r="B3407" s="28">
        <v>1.5651999999999999</v>
      </c>
      <c r="C3407" s="28">
        <v>1734880249.76</v>
      </c>
    </row>
    <row r="3408" spans="1:3" ht="15.5">
      <c r="A3408" s="29">
        <v>39610</v>
      </c>
      <c r="B3408" s="28">
        <v>1.6379999999999999</v>
      </c>
      <c r="C3408" s="28">
        <v>1815572354.4000001</v>
      </c>
    </row>
    <row r="3409" spans="1:3" ht="15.5">
      <c r="A3409" s="29">
        <v>39609</v>
      </c>
      <c r="B3409" s="28">
        <v>1.6379999999999999</v>
      </c>
      <c r="C3409" s="28">
        <v>1815572354.4000001</v>
      </c>
    </row>
    <row r="3410" spans="1:3" ht="15.5">
      <c r="A3410" s="29">
        <v>39605</v>
      </c>
      <c r="B3410" s="28">
        <v>1.6289</v>
      </c>
      <c r="C3410" s="28">
        <v>1805485841.3199999</v>
      </c>
    </row>
    <row r="3411" spans="1:3" ht="15.5">
      <c r="A3411" s="29">
        <v>39604</v>
      </c>
      <c r="B3411" s="28">
        <v>1.6334</v>
      </c>
      <c r="C3411" s="28">
        <v>1810529097.8599999</v>
      </c>
    </row>
    <row r="3412" spans="1:3" ht="15.5">
      <c r="A3412" s="29">
        <v>39603</v>
      </c>
      <c r="B3412" s="28">
        <v>1.6243000000000001</v>
      </c>
      <c r="C3412" s="28">
        <v>1800442584.78</v>
      </c>
    </row>
    <row r="3413" spans="1:3" ht="15.5">
      <c r="A3413" s="29">
        <v>39602</v>
      </c>
      <c r="B3413" s="28">
        <v>1.6152</v>
      </c>
      <c r="C3413" s="28">
        <v>1790356071.7</v>
      </c>
    </row>
    <row r="3414" spans="1:3" ht="15.5">
      <c r="A3414" s="29">
        <v>39601</v>
      </c>
      <c r="B3414" s="28">
        <v>1.6471</v>
      </c>
      <c r="C3414" s="28">
        <v>1825658867.48</v>
      </c>
    </row>
    <row r="3415" spans="1:3" ht="15.5">
      <c r="A3415" s="29">
        <v>39598</v>
      </c>
      <c r="B3415" s="28">
        <v>1.6334</v>
      </c>
      <c r="C3415" s="28">
        <v>1810529097.8599999</v>
      </c>
    </row>
    <row r="3416" spans="1:3" ht="15.5">
      <c r="A3416" s="29">
        <v>39597</v>
      </c>
      <c r="B3416" s="28">
        <v>1.6152</v>
      </c>
      <c r="C3416" s="28">
        <v>1790356071.7</v>
      </c>
    </row>
    <row r="3417" spans="1:3" ht="15.5">
      <c r="A3417" s="29">
        <v>39596</v>
      </c>
      <c r="B3417" s="28">
        <v>1.5561</v>
      </c>
      <c r="C3417" s="28">
        <v>1724793736.6800001</v>
      </c>
    </row>
    <row r="3418" spans="1:3" ht="15.5">
      <c r="A3418" s="29">
        <v>39595</v>
      </c>
      <c r="B3418" s="28">
        <v>1.5287999999999999</v>
      </c>
      <c r="C3418" s="28">
        <v>1694534197.4400001</v>
      </c>
    </row>
    <row r="3419" spans="1:3" ht="15.5">
      <c r="A3419" s="29">
        <v>39594</v>
      </c>
      <c r="B3419" s="28">
        <v>1.5150999999999999</v>
      </c>
      <c r="C3419" s="28">
        <v>1679404427.8199999</v>
      </c>
    </row>
    <row r="3420" spans="1:3" ht="15.5">
      <c r="A3420" s="29">
        <v>39591</v>
      </c>
      <c r="B3420" s="28">
        <v>1.5469999999999999</v>
      </c>
      <c r="C3420" s="28">
        <v>1714707223.5999999</v>
      </c>
    </row>
    <row r="3421" spans="1:3" ht="15.5">
      <c r="A3421" s="29">
        <v>39590</v>
      </c>
      <c r="B3421" s="28">
        <v>1.5925</v>
      </c>
      <c r="C3421" s="28">
        <v>1765139789</v>
      </c>
    </row>
    <row r="3422" spans="1:3" ht="15.5">
      <c r="A3422" s="29">
        <v>39589</v>
      </c>
      <c r="B3422" s="28">
        <v>1.6107</v>
      </c>
      <c r="C3422" s="28">
        <v>1785312815.1600001</v>
      </c>
    </row>
    <row r="3423" spans="1:3" ht="15.5">
      <c r="A3423" s="29">
        <v>39588</v>
      </c>
      <c r="B3423" s="28">
        <v>1.6197999999999999</v>
      </c>
      <c r="C3423" s="28">
        <v>1795399328.24</v>
      </c>
    </row>
    <row r="3424" spans="1:3" ht="15.5">
      <c r="A3424" s="29">
        <v>39587</v>
      </c>
      <c r="B3424" s="28">
        <v>1.6152</v>
      </c>
      <c r="C3424" s="28">
        <v>1790356071.7</v>
      </c>
    </row>
    <row r="3425" spans="1:3" ht="15.5">
      <c r="A3425" s="29">
        <v>39584</v>
      </c>
      <c r="B3425" s="28">
        <v>1.6334</v>
      </c>
      <c r="C3425" s="28">
        <v>1810529097.8599999</v>
      </c>
    </row>
    <row r="3426" spans="1:3" ht="15.5">
      <c r="A3426" s="29">
        <v>39583</v>
      </c>
      <c r="B3426" s="28">
        <v>1.6425000000000001</v>
      </c>
      <c r="C3426" s="28">
        <v>1820615610.9400001</v>
      </c>
    </row>
    <row r="3427" spans="1:3" ht="15.5">
      <c r="A3427" s="29">
        <v>39582</v>
      </c>
      <c r="B3427" s="28">
        <v>1.6334</v>
      </c>
      <c r="C3427" s="28">
        <v>1810529097.8599999</v>
      </c>
    </row>
    <row r="3428" spans="1:3" ht="15.5">
      <c r="A3428" s="29">
        <v>39581</v>
      </c>
      <c r="B3428" s="28">
        <v>1.6379999999999999</v>
      </c>
      <c r="C3428" s="28">
        <v>1815572354.4000001</v>
      </c>
    </row>
    <row r="3429" spans="1:3" ht="15.5">
      <c r="A3429" s="29">
        <v>39580</v>
      </c>
      <c r="B3429" s="28">
        <v>1.5879000000000001</v>
      </c>
      <c r="C3429" s="28">
        <v>1760096532.46</v>
      </c>
    </row>
    <row r="3430" spans="1:3" ht="15.5">
      <c r="A3430" s="29">
        <v>39577</v>
      </c>
      <c r="B3430" s="28">
        <v>1.6379999999999999</v>
      </c>
      <c r="C3430" s="28">
        <v>1815572354.4000001</v>
      </c>
    </row>
    <row r="3431" spans="1:3" ht="15.5">
      <c r="A3431" s="29">
        <v>39576</v>
      </c>
      <c r="B3431" s="28">
        <v>1.6425000000000001</v>
      </c>
      <c r="C3431" s="28">
        <v>1820615610.9400001</v>
      </c>
    </row>
    <row r="3432" spans="1:3" ht="15.5">
      <c r="A3432" s="29">
        <v>39575</v>
      </c>
      <c r="B3432" s="28">
        <v>1.6425000000000001</v>
      </c>
      <c r="C3432" s="28">
        <v>1820615610.9400001</v>
      </c>
    </row>
    <row r="3433" spans="1:3" ht="15.5">
      <c r="A3433" s="29">
        <v>39574</v>
      </c>
      <c r="B3433" s="28">
        <v>1.6471</v>
      </c>
      <c r="C3433" s="28">
        <v>1825658867.48</v>
      </c>
    </row>
    <row r="3434" spans="1:3" ht="15.5">
      <c r="A3434" s="29">
        <v>39573</v>
      </c>
      <c r="B3434" s="28">
        <v>1.6607000000000001</v>
      </c>
      <c r="C3434" s="28">
        <v>1840788637.0999999</v>
      </c>
    </row>
    <row r="3435" spans="1:3" ht="15.5">
      <c r="A3435" s="29">
        <v>39570</v>
      </c>
      <c r="B3435" s="28">
        <v>1.6561999999999999</v>
      </c>
      <c r="C3435" s="28">
        <v>1835745380.5599999</v>
      </c>
    </row>
    <row r="3436" spans="1:3" ht="15.5">
      <c r="A3436" s="29">
        <v>39569</v>
      </c>
      <c r="B3436" s="28">
        <v>1.6561999999999999</v>
      </c>
      <c r="C3436" s="28">
        <v>1835745380.5599999</v>
      </c>
    </row>
    <row r="3437" spans="1:3" ht="15.5">
      <c r="A3437" s="29">
        <v>39568</v>
      </c>
      <c r="B3437" s="28">
        <v>1.6197999999999999</v>
      </c>
      <c r="C3437" s="28">
        <v>1795399328.24</v>
      </c>
    </row>
    <row r="3438" spans="1:3" ht="15.5">
      <c r="A3438" s="29">
        <v>39567</v>
      </c>
      <c r="B3438" s="28">
        <v>1.5925</v>
      </c>
      <c r="C3438" s="28">
        <v>1765139789</v>
      </c>
    </row>
    <row r="3439" spans="1:3" ht="15.5">
      <c r="A3439" s="29">
        <v>39566</v>
      </c>
      <c r="B3439" s="28">
        <v>1.5697000000000001</v>
      </c>
      <c r="C3439" s="28">
        <v>1739923506.3</v>
      </c>
    </row>
    <row r="3440" spans="1:3" ht="15.5">
      <c r="A3440" s="29">
        <v>39562</v>
      </c>
      <c r="B3440" s="28">
        <v>1.5424</v>
      </c>
      <c r="C3440" s="28">
        <v>1709663967.0599999</v>
      </c>
    </row>
    <row r="3441" spans="1:3" ht="15.5">
      <c r="A3441" s="29">
        <v>39561</v>
      </c>
      <c r="B3441" s="28">
        <v>1.6107</v>
      </c>
      <c r="C3441" s="28">
        <v>1785312815.1600001</v>
      </c>
    </row>
    <row r="3442" spans="1:3" ht="15.5">
      <c r="A3442" s="29">
        <v>39560</v>
      </c>
      <c r="B3442" s="28">
        <v>1.597</v>
      </c>
      <c r="C3442" s="28">
        <v>1770183045.54</v>
      </c>
    </row>
    <row r="3443" spans="1:3" ht="15.5">
      <c r="A3443" s="29">
        <v>39559</v>
      </c>
      <c r="B3443" s="28">
        <v>1.6061000000000001</v>
      </c>
      <c r="C3443" s="28">
        <v>1780269558.6199999</v>
      </c>
    </row>
    <row r="3444" spans="1:3" ht="15.5">
      <c r="A3444" s="29">
        <v>39556</v>
      </c>
      <c r="B3444" s="28">
        <v>1.5697000000000001</v>
      </c>
      <c r="C3444" s="28">
        <v>1739923506.3</v>
      </c>
    </row>
    <row r="3445" spans="1:3" ht="15.5">
      <c r="A3445" s="29">
        <v>39555</v>
      </c>
      <c r="B3445" s="28">
        <v>1.5242</v>
      </c>
      <c r="C3445" s="28">
        <v>1689490940.9000001</v>
      </c>
    </row>
    <row r="3446" spans="1:3" ht="15.5">
      <c r="A3446" s="29">
        <v>39554</v>
      </c>
      <c r="B3446" s="28">
        <v>1.5287999999999999</v>
      </c>
      <c r="C3446" s="28">
        <v>1694534197.4400001</v>
      </c>
    </row>
    <row r="3447" spans="1:3" ht="15.5">
      <c r="A3447" s="29">
        <v>39553</v>
      </c>
      <c r="B3447" s="28">
        <v>1.5515000000000001</v>
      </c>
      <c r="C3447" s="28">
        <v>1719750480.1400001</v>
      </c>
    </row>
    <row r="3448" spans="1:3" ht="15.5">
      <c r="A3448" s="29">
        <v>39552</v>
      </c>
      <c r="B3448" s="28">
        <v>1.5242</v>
      </c>
      <c r="C3448" s="28">
        <v>1689490940.9000001</v>
      </c>
    </row>
    <row r="3449" spans="1:3" ht="15.5">
      <c r="A3449" s="29">
        <v>39549</v>
      </c>
      <c r="B3449" s="28">
        <v>1.5287999999999999</v>
      </c>
      <c r="C3449" s="28">
        <v>1694534197.4400001</v>
      </c>
    </row>
    <row r="3450" spans="1:3" ht="15.5">
      <c r="A3450" s="29">
        <v>39548</v>
      </c>
      <c r="B3450" s="28">
        <v>1.5242</v>
      </c>
      <c r="C3450" s="28">
        <v>1689490940.9000001</v>
      </c>
    </row>
    <row r="3451" spans="1:3" ht="15.5">
      <c r="A3451" s="29">
        <v>39547</v>
      </c>
      <c r="B3451" s="28">
        <v>1.5333000000000001</v>
      </c>
      <c r="C3451" s="28">
        <v>1699577453.98</v>
      </c>
    </row>
    <row r="3452" spans="1:3" ht="15.5">
      <c r="A3452" s="29">
        <v>39546</v>
      </c>
      <c r="B3452" s="28">
        <v>1.5287999999999999</v>
      </c>
      <c r="C3452" s="28">
        <v>1694534197.4400001</v>
      </c>
    </row>
    <row r="3453" spans="1:3" ht="15.5">
      <c r="A3453" s="29">
        <v>39545</v>
      </c>
      <c r="B3453" s="28">
        <v>1.5788</v>
      </c>
      <c r="C3453" s="28">
        <v>1750010019.3800001</v>
      </c>
    </row>
    <row r="3454" spans="1:3" ht="15.5">
      <c r="A3454" s="29">
        <v>39542</v>
      </c>
      <c r="B3454" s="28">
        <v>1.6107</v>
      </c>
      <c r="C3454" s="28">
        <v>1785312815.1600001</v>
      </c>
    </row>
    <row r="3455" spans="1:3" ht="15.5">
      <c r="A3455" s="29">
        <v>39541</v>
      </c>
      <c r="B3455" s="28">
        <v>1.6107</v>
      </c>
      <c r="C3455" s="28">
        <v>1785312815.1600001</v>
      </c>
    </row>
    <row r="3456" spans="1:3" ht="15.5">
      <c r="A3456" s="29">
        <v>39540</v>
      </c>
      <c r="B3456" s="28">
        <v>1.6061000000000001</v>
      </c>
      <c r="C3456" s="28">
        <v>1780269558.6199999</v>
      </c>
    </row>
    <row r="3457" spans="1:3" ht="15.5">
      <c r="A3457" s="29">
        <v>39539</v>
      </c>
      <c r="B3457" s="28">
        <v>1.5150999999999999</v>
      </c>
      <c r="C3457" s="28">
        <v>1679404427.8199999</v>
      </c>
    </row>
    <row r="3458" spans="1:3" ht="15.5">
      <c r="A3458" s="29">
        <v>39538</v>
      </c>
      <c r="B3458" s="28">
        <v>1.5242</v>
      </c>
      <c r="C3458" s="28">
        <v>1689490940.9000001</v>
      </c>
    </row>
    <row r="3459" spans="1:3" ht="15.5">
      <c r="A3459" s="29">
        <v>39535</v>
      </c>
      <c r="B3459" s="28">
        <v>1.5606</v>
      </c>
      <c r="C3459" s="28">
        <v>1729836993.22</v>
      </c>
    </row>
    <row r="3460" spans="1:3" ht="15.5">
      <c r="A3460" s="29">
        <v>39534</v>
      </c>
      <c r="B3460" s="28">
        <v>1.5788</v>
      </c>
      <c r="C3460" s="28">
        <v>1750010019.3800001</v>
      </c>
    </row>
    <row r="3461" spans="1:3" ht="15.5">
      <c r="A3461" s="29">
        <v>39533</v>
      </c>
      <c r="B3461" s="28">
        <v>1.6243000000000001</v>
      </c>
      <c r="C3461" s="28">
        <v>1800442584.78</v>
      </c>
    </row>
    <row r="3462" spans="1:3" ht="15.5">
      <c r="A3462" s="29">
        <v>39532</v>
      </c>
      <c r="B3462" s="28">
        <v>1.5105999999999999</v>
      </c>
      <c r="C3462" s="28">
        <v>1674361171.28</v>
      </c>
    </row>
    <row r="3463" spans="1:3" ht="15.5">
      <c r="A3463" s="29">
        <v>39527</v>
      </c>
      <c r="B3463" s="28">
        <v>1.4696</v>
      </c>
      <c r="C3463" s="28">
        <v>1628971862.4200001</v>
      </c>
    </row>
    <row r="3464" spans="1:3" ht="15.5">
      <c r="A3464" s="29">
        <v>39526</v>
      </c>
      <c r="B3464" s="28">
        <v>1.4378</v>
      </c>
      <c r="C3464" s="28">
        <v>1593669066.6400001</v>
      </c>
    </row>
    <row r="3465" spans="1:3" ht="15.5">
      <c r="A3465" s="29">
        <v>39525</v>
      </c>
      <c r="B3465" s="28">
        <v>1.3923000000000001</v>
      </c>
      <c r="C3465" s="28">
        <v>1543236501.24</v>
      </c>
    </row>
    <row r="3466" spans="1:3" ht="15.5">
      <c r="A3466" s="29">
        <v>39524</v>
      </c>
      <c r="B3466" s="28">
        <v>1.4014</v>
      </c>
      <c r="C3466" s="28">
        <v>1553323014.3199999</v>
      </c>
    </row>
    <row r="3467" spans="1:3" ht="15.5">
      <c r="A3467" s="29">
        <v>39521</v>
      </c>
      <c r="B3467" s="28">
        <v>1.4332</v>
      </c>
      <c r="C3467" s="28">
        <v>1588625810.0999999</v>
      </c>
    </row>
    <row r="3468" spans="1:3" ht="15.5">
      <c r="A3468" s="29">
        <v>39520</v>
      </c>
      <c r="B3468" s="28">
        <v>1.4742</v>
      </c>
      <c r="C3468" s="28">
        <v>1634015118.96</v>
      </c>
    </row>
    <row r="3469" spans="1:3" ht="15.5">
      <c r="A3469" s="29">
        <v>39519</v>
      </c>
      <c r="B3469" s="28">
        <v>1.5469999999999999</v>
      </c>
      <c r="C3469" s="28">
        <v>1714707223.5999999</v>
      </c>
    </row>
    <row r="3470" spans="1:3" ht="15.5">
      <c r="A3470" s="29">
        <v>39518</v>
      </c>
      <c r="B3470" s="28">
        <v>1.4604999999999999</v>
      </c>
      <c r="C3470" s="28">
        <v>1618885349.3399999</v>
      </c>
    </row>
    <row r="3471" spans="1:3" ht="15.5">
      <c r="A3471" s="29">
        <v>39517</v>
      </c>
      <c r="B3471" s="28">
        <v>1.4923999999999999</v>
      </c>
      <c r="C3471" s="28">
        <v>1654188145.1199999</v>
      </c>
    </row>
    <row r="3472" spans="1:3" ht="15.5">
      <c r="A3472" s="29">
        <v>39514</v>
      </c>
      <c r="B3472" s="28">
        <v>1.5515000000000001</v>
      </c>
      <c r="C3472" s="28">
        <v>1719750480.1400001</v>
      </c>
    </row>
    <row r="3473" spans="1:3" ht="15.5">
      <c r="A3473" s="29">
        <v>39513</v>
      </c>
      <c r="B3473" s="28">
        <v>1.5651999999999999</v>
      </c>
      <c r="C3473" s="28">
        <v>1734880249.76</v>
      </c>
    </row>
    <row r="3474" spans="1:3" ht="15.5">
      <c r="A3474" s="29">
        <v>39512</v>
      </c>
      <c r="B3474" s="28">
        <v>1.6243000000000001</v>
      </c>
      <c r="C3474" s="28">
        <v>1800442584.78</v>
      </c>
    </row>
    <row r="3475" spans="1:3" ht="15.5">
      <c r="A3475" s="29">
        <v>39511</v>
      </c>
      <c r="B3475" s="28">
        <v>1.6015999999999999</v>
      </c>
      <c r="C3475" s="28">
        <v>1775226302.0799999</v>
      </c>
    </row>
    <row r="3476" spans="1:3" ht="15.5">
      <c r="A3476" s="29">
        <v>39510</v>
      </c>
      <c r="B3476" s="28">
        <v>1.5788</v>
      </c>
      <c r="C3476" s="28">
        <v>1750010019.3800001</v>
      </c>
    </row>
    <row r="3477" spans="1:3" ht="15.5">
      <c r="A3477" s="29">
        <v>39507</v>
      </c>
      <c r="B3477" s="28">
        <v>1.5879000000000001</v>
      </c>
      <c r="C3477" s="28">
        <v>1760096532.46</v>
      </c>
    </row>
    <row r="3478" spans="1:3" ht="15.5">
      <c r="A3478" s="29">
        <v>39506</v>
      </c>
      <c r="B3478" s="28">
        <v>1.6243000000000001</v>
      </c>
      <c r="C3478" s="28">
        <v>1800442584.78</v>
      </c>
    </row>
    <row r="3479" spans="1:3" ht="15.5">
      <c r="A3479" s="29">
        <v>39505</v>
      </c>
      <c r="B3479" s="28">
        <v>1.7290000000000001</v>
      </c>
      <c r="C3479" s="28">
        <v>1916437485.2</v>
      </c>
    </row>
    <row r="3480" spans="1:3" ht="15.5">
      <c r="A3480" s="29">
        <v>39504</v>
      </c>
      <c r="B3480" s="28">
        <v>1.7243999999999999</v>
      </c>
      <c r="C3480" s="28">
        <v>1911394228.6600001</v>
      </c>
    </row>
    <row r="3481" spans="1:3" ht="15.5">
      <c r="A3481" s="29">
        <v>39503</v>
      </c>
      <c r="B3481" s="28">
        <v>1.7290000000000001</v>
      </c>
      <c r="C3481" s="28">
        <v>1916437485.2</v>
      </c>
    </row>
    <row r="3482" spans="1:3" ht="15.5">
      <c r="A3482" s="29">
        <v>39500</v>
      </c>
      <c r="B3482" s="28">
        <v>1.6971000000000001</v>
      </c>
      <c r="C3482" s="28">
        <v>1881134689.4200001</v>
      </c>
    </row>
    <row r="3483" spans="1:3" ht="15.5">
      <c r="A3483" s="29">
        <v>39499</v>
      </c>
      <c r="B3483" s="28">
        <v>1.7381</v>
      </c>
      <c r="C3483" s="28">
        <v>1926523410</v>
      </c>
    </row>
    <row r="3484" spans="1:3" ht="15.5">
      <c r="A3484" s="29">
        <v>39498</v>
      </c>
      <c r="B3484" s="28">
        <v>1.7108000000000001</v>
      </c>
      <c r="C3484" s="28">
        <v>1896263880</v>
      </c>
    </row>
    <row r="3485" spans="1:3" ht="15.5">
      <c r="A3485" s="29">
        <v>39497</v>
      </c>
      <c r="B3485" s="28">
        <v>1.7381</v>
      </c>
      <c r="C3485" s="28">
        <v>1926523410</v>
      </c>
    </row>
    <row r="3486" spans="1:3" ht="15.5">
      <c r="A3486" s="29">
        <v>39496</v>
      </c>
      <c r="B3486" s="28">
        <v>1.7290000000000001</v>
      </c>
      <c r="C3486" s="28">
        <v>1916436900</v>
      </c>
    </row>
    <row r="3487" spans="1:3" ht="15.5">
      <c r="A3487" s="29">
        <v>39493</v>
      </c>
      <c r="B3487" s="28">
        <v>1.6835</v>
      </c>
      <c r="C3487" s="28">
        <v>1866004350</v>
      </c>
    </row>
    <row r="3488" spans="1:3" ht="15.5">
      <c r="A3488" s="29">
        <v>39492</v>
      </c>
      <c r="B3488" s="28">
        <v>1.7335</v>
      </c>
      <c r="C3488" s="28">
        <v>1921480155</v>
      </c>
    </row>
    <row r="3489" spans="1:3" ht="15.5">
      <c r="A3489" s="29">
        <v>39491</v>
      </c>
      <c r="B3489" s="28">
        <v>1.7290000000000001</v>
      </c>
      <c r="C3489" s="28">
        <v>1916436900</v>
      </c>
    </row>
    <row r="3490" spans="1:3" ht="15.5">
      <c r="A3490" s="29">
        <v>39490</v>
      </c>
      <c r="B3490" s="28">
        <v>1.7108000000000001</v>
      </c>
      <c r="C3490" s="28">
        <v>1896263880</v>
      </c>
    </row>
    <row r="3491" spans="1:3" ht="15.5">
      <c r="A3491" s="29">
        <v>39489</v>
      </c>
      <c r="B3491" s="28">
        <v>1.6971000000000001</v>
      </c>
      <c r="C3491" s="28">
        <v>1881134115</v>
      </c>
    </row>
    <row r="3492" spans="1:3" ht="15.5">
      <c r="A3492" s="29">
        <v>39486</v>
      </c>
      <c r="B3492" s="28">
        <v>1.7108000000000001</v>
      </c>
      <c r="C3492" s="28">
        <v>1896263880</v>
      </c>
    </row>
    <row r="3493" spans="1:3" ht="15.5">
      <c r="A3493" s="29">
        <v>39485</v>
      </c>
      <c r="B3493" s="28">
        <v>1.6835</v>
      </c>
      <c r="C3493" s="28">
        <v>1866004350</v>
      </c>
    </row>
    <row r="3494" spans="1:3" ht="15.5">
      <c r="A3494" s="29">
        <v>39484</v>
      </c>
      <c r="B3494" s="28">
        <v>1.6835</v>
      </c>
      <c r="C3494" s="28">
        <v>1866004350</v>
      </c>
    </row>
    <row r="3495" spans="1:3" ht="15.5">
      <c r="A3495" s="29">
        <v>39483</v>
      </c>
      <c r="B3495" s="28">
        <v>1.7290000000000001</v>
      </c>
      <c r="C3495" s="28">
        <v>1916436900</v>
      </c>
    </row>
    <row r="3496" spans="1:3" ht="15.5">
      <c r="A3496" s="29">
        <v>39482</v>
      </c>
      <c r="B3496" s="28">
        <v>1.8018000000000001</v>
      </c>
      <c r="C3496" s="28">
        <v>1997128980</v>
      </c>
    </row>
    <row r="3497" spans="1:3" ht="15.5">
      <c r="A3497" s="29">
        <v>39479</v>
      </c>
      <c r="B3497" s="28">
        <v>1.7472000000000001</v>
      </c>
      <c r="C3497" s="28">
        <v>1936609920</v>
      </c>
    </row>
    <row r="3498" spans="1:3" ht="15.5">
      <c r="A3498" s="29">
        <v>39478</v>
      </c>
      <c r="B3498" s="28">
        <v>1.6516</v>
      </c>
      <c r="C3498" s="28">
        <v>1830701565</v>
      </c>
    </row>
    <row r="3499" spans="1:3" ht="15.5">
      <c r="A3499" s="29">
        <v>39477</v>
      </c>
      <c r="B3499" s="28">
        <v>1.6516</v>
      </c>
      <c r="C3499" s="28">
        <v>1830701565</v>
      </c>
    </row>
    <row r="3500" spans="1:3" ht="15.5">
      <c r="A3500" s="29">
        <v>39476</v>
      </c>
      <c r="B3500" s="28">
        <v>1.7061999999999999</v>
      </c>
      <c r="C3500" s="28">
        <v>1891220625</v>
      </c>
    </row>
    <row r="3501" spans="1:3" ht="15.5">
      <c r="A3501" s="29">
        <v>39472</v>
      </c>
      <c r="B3501" s="28">
        <v>1.7699</v>
      </c>
      <c r="C3501" s="28">
        <v>1961826195</v>
      </c>
    </row>
    <row r="3502" spans="1:3" ht="15.5">
      <c r="A3502" s="29">
        <v>39471</v>
      </c>
      <c r="B3502" s="28">
        <v>1.7199</v>
      </c>
      <c r="C3502" s="28">
        <v>1906350390</v>
      </c>
    </row>
    <row r="3503" spans="1:3" ht="15.5">
      <c r="A3503" s="29">
        <v>39470</v>
      </c>
      <c r="B3503" s="28">
        <v>1.7199</v>
      </c>
      <c r="C3503" s="28">
        <v>1906350390</v>
      </c>
    </row>
    <row r="3504" spans="1:3" ht="15.5">
      <c r="A3504" s="29">
        <v>39469</v>
      </c>
      <c r="B3504" s="28">
        <v>1.6835</v>
      </c>
      <c r="C3504" s="28">
        <v>1866004350</v>
      </c>
    </row>
    <row r="3505" spans="1:3" ht="15.5">
      <c r="A3505" s="29">
        <v>39468</v>
      </c>
      <c r="B3505" s="28">
        <v>1.7061999999999999</v>
      </c>
      <c r="C3505" s="28">
        <v>1891220625</v>
      </c>
    </row>
    <row r="3506" spans="1:3" ht="15.5">
      <c r="A3506" s="29">
        <v>39465</v>
      </c>
      <c r="B3506" s="28">
        <v>1.7243999999999999</v>
      </c>
      <c r="C3506" s="28">
        <v>1911393645</v>
      </c>
    </row>
    <row r="3507" spans="1:3" ht="15.5">
      <c r="A3507" s="29">
        <v>39464</v>
      </c>
      <c r="B3507" s="28">
        <v>1.7335</v>
      </c>
      <c r="C3507" s="28">
        <v>1921480155</v>
      </c>
    </row>
    <row r="3508" spans="1:3" ht="15.5">
      <c r="A3508" s="29">
        <v>39463</v>
      </c>
      <c r="B3508" s="28">
        <v>1.7199</v>
      </c>
      <c r="C3508" s="28">
        <v>1906350390</v>
      </c>
    </row>
    <row r="3509" spans="1:3" ht="15.5">
      <c r="A3509" s="29">
        <v>39462</v>
      </c>
      <c r="B3509" s="28">
        <v>1.7017</v>
      </c>
      <c r="C3509" s="28">
        <v>1886177370</v>
      </c>
    </row>
    <row r="3510" spans="1:3" ht="15.5">
      <c r="A3510" s="29">
        <v>39461</v>
      </c>
      <c r="B3510" s="28">
        <v>1.7290000000000001</v>
      </c>
      <c r="C3510" s="28">
        <v>1916436900</v>
      </c>
    </row>
    <row r="3511" spans="1:3" ht="15.5">
      <c r="A3511" s="29">
        <v>39458</v>
      </c>
      <c r="B3511" s="28">
        <v>1.7335</v>
      </c>
      <c r="C3511" s="28">
        <v>1921480155</v>
      </c>
    </row>
    <row r="3512" spans="1:3" ht="15.5">
      <c r="A3512" s="29">
        <v>39457</v>
      </c>
      <c r="B3512" s="28">
        <v>1.7563</v>
      </c>
      <c r="C3512" s="28">
        <v>1946696430</v>
      </c>
    </row>
    <row r="3513" spans="1:3" ht="15.5">
      <c r="A3513" s="29">
        <v>39456</v>
      </c>
      <c r="B3513" s="28">
        <v>1.7335</v>
      </c>
      <c r="C3513" s="28">
        <v>1921480155</v>
      </c>
    </row>
    <row r="3514" spans="1:3" ht="15.5">
      <c r="A3514" s="29">
        <v>39455</v>
      </c>
      <c r="B3514" s="28">
        <v>1.7789999999999999</v>
      </c>
      <c r="C3514" s="28">
        <v>1971912705</v>
      </c>
    </row>
    <row r="3515" spans="1:3" ht="15.5">
      <c r="A3515" s="29">
        <v>39454</v>
      </c>
      <c r="B3515" s="28">
        <v>1.7654000000000001</v>
      </c>
      <c r="C3515" s="28">
        <v>1956782940</v>
      </c>
    </row>
    <row r="3516" spans="1:3" ht="15.5">
      <c r="A3516" s="29">
        <v>39451</v>
      </c>
      <c r="B3516" s="28">
        <v>1.7789999999999999</v>
      </c>
      <c r="C3516" s="28">
        <v>1971912705</v>
      </c>
    </row>
    <row r="3517" spans="1:3" ht="15.5">
      <c r="A3517" s="29">
        <v>39450</v>
      </c>
      <c r="B3517" s="28">
        <v>1.8063</v>
      </c>
      <c r="C3517" s="28">
        <v>2002172235</v>
      </c>
    </row>
    <row r="3518" spans="1:3" ht="15.5">
      <c r="A3518" s="29">
        <v>39449</v>
      </c>
      <c r="B3518" s="28">
        <v>1.8109</v>
      </c>
      <c r="C3518" s="28">
        <v>2007215490</v>
      </c>
    </row>
    <row r="3519" spans="1:3" ht="15.5">
      <c r="A3519" s="29">
        <v>39447</v>
      </c>
      <c r="B3519" s="28">
        <v>1.8018000000000001</v>
      </c>
      <c r="C3519" s="28">
        <v>1997128980</v>
      </c>
    </row>
    <row r="3520" spans="1:3" ht="15.5">
      <c r="A3520" s="29">
        <v>39444</v>
      </c>
      <c r="B3520" s="28">
        <v>1.7927</v>
      </c>
      <c r="C3520" s="28">
        <v>1987043076.76</v>
      </c>
    </row>
    <row r="3521" spans="1:3" ht="15.5">
      <c r="A3521" s="29">
        <v>39443</v>
      </c>
      <c r="B3521" s="28">
        <v>1.7881</v>
      </c>
      <c r="C3521" s="28">
        <v>1981999820.22</v>
      </c>
    </row>
    <row r="3522" spans="1:3" ht="15.5">
      <c r="A3522" s="29">
        <v>39440</v>
      </c>
      <c r="B3522" s="28">
        <v>1.7699</v>
      </c>
      <c r="C3522" s="28">
        <v>1961826794.0599999</v>
      </c>
    </row>
    <row r="3523" spans="1:3" ht="15.5">
      <c r="A3523" s="29">
        <v>39437</v>
      </c>
      <c r="B3523" s="28">
        <v>1.7699</v>
      </c>
      <c r="C3523" s="28">
        <v>1961826794.0599999</v>
      </c>
    </row>
    <row r="3524" spans="1:3" ht="15.5">
      <c r="A3524" s="29">
        <v>39436</v>
      </c>
      <c r="B3524" s="28">
        <v>1.7108000000000001</v>
      </c>
      <c r="C3524" s="28">
        <v>1896264459.04</v>
      </c>
    </row>
    <row r="3525" spans="1:3" ht="15.5">
      <c r="A3525" s="29">
        <v>39435</v>
      </c>
      <c r="B3525" s="28">
        <v>1.7472000000000001</v>
      </c>
      <c r="C3525" s="28">
        <v>1936610511.3599999</v>
      </c>
    </row>
    <row r="3526" spans="1:3" ht="15.5">
      <c r="A3526" s="29">
        <v>39434</v>
      </c>
      <c r="B3526" s="28">
        <v>1.7699</v>
      </c>
      <c r="C3526" s="28">
        <v>1961826794.0599999</v>
      </c>
    </row>
    <row r="3527" spans="1:3" ht="15.5">
      <c r="A3527" s="29">
        <v>39433</v>
      </c>
      <c r="B3527" s="28">
        <v>1.7927</v>
      </c>
      <c r="C3527" s="28">
        <v>1987043076.76</v>
      </c>
    </row>
    <row r="3528" spans="1:3" ht="15.5">
      <c r="A3528" s="29">
        <v>39430</v>
      </c>
      <c r="B3528" s="28">
        <v>1.8109</v>
      </c>
      <c r="C3528" s="28">
        <v>2007216102.9200001</v>
      </c>
    </row>
    <row r="3529" spans="1:3" ht="15.5">
      <c r="A3529" s="29">
        <v>39429</v>
      </c>
      <c r="B3529" s="28">
        <v>1.8018000000000001</v>
      </c>
      <c r="C3529" s="28">
        <v>1997129589.8399999</v>
      </c>
    </row>
    <row r="3530" spans="1:3" ht="15.5">
      <c r="A3530" s="29">
        <v>39428</v>
      </c>
      <c r="B3530" s="28">
        <v>1.7881</v>
      </c>
      <c r="C3530" s="28">
        <v>1981999820.22</v>
      </c>
    </row>
    <row r="3531" spans="1:3" ht="15.5">
      <c r="A3531" s="29">
        <v>39427</v>
      </c>
      <c r="B3531" s="28">
        <v>1.8063</v>
      </c>
      <c r="C3531" s="28">
        <v>2002172846.3800001</v>
      </c>
    </row>
    <row r="3532" spans="1:3" ht="15.5">
      <c r="A3532" s="29">
        <v>39426</v>
      </c>
      <c r="B3532" s="28">
        <v>1.8290999999999999</v>
      </c>
      <c r="C3532" s="28">
        <v>2027389129.0799999</v>
      </c>
    </row>
    <row r="3533" spans="1:3" ht="15.5">
      <c r="A3533" s="29">
        <v>39423</v>
      </c>
      <c r="B3533" s="28">
        <v>1.8018000000000001</v>
      </c>
      <c r="C3533" s="28">
        <v>1997129589.8399999</v>
      </c>
    </row>
    <row r="3534" spans="1:3" ht="15.5">
      <c r="A3534" s="29">
        <v>39422</v>
      </c>
      <c r="B3534" s="28">
        <v>1.8472999999999999</v>
      </c>
      <c r="C3534" s="28">
        <v>2047562155.24</v>
      </c>
    </row>
    <row r="3535" spans="1:3" ht="15.5">
      <c r="A3535" s="29">
        <v>39421</v>
      </c>
      <c r="B3535" s="28">
        <v>1.8109</v>
      </c>
      <c r="C3535" s="28">
        <v>2007216102.9200001</v>
      </c>
    </row>
    <row r="3536" spans="1:3" ht="15.5">
      <c r="A3536" s="29">
        <v>39420</v>
      </c>
      <c r="B3536" s="28">
        <v>1.8564000000000001</v>
      </c>
      <c r="C3536" s="28">
        <v>2057648668.3199999</v>
      </c>
    </row>
    <row r="3537" spans="1:3" ht="15.5">
      <c r="A3537" s="29">
        <v>39419</v>
      </c>
      <c r="B3537" s="28">
        <v>1.8290999999999999</v>
      </c>
      <c r="C3537" s="28">
        <v>2027389129.0799999</v>
      </c>
    </row>
    <row r="3538" spans="1:3" ht="15.5">
      <c r="A3538" s="29">
        <v>39416</v>
      </c>
      <c r="B3538" s="28">
        <v>1.7971999999999999</v>
      </c>
      <c r="C3538" s="28">
        <v>1992086333.3</v>
      </c>
    </row>
    <row r="3539" spans="1:3" ht="15.5">
      <c r="A3539" s="29">
        <v>39415</v>
      </c>
      <c r="B3539" s="28">
        <v>1.7745</v>
      </c>
      <c r="C3539" s="28">
        <v>1966870050.5999999</v>
      </c>
    </row>
    <row r="3540" spans="1:3" ht="15.5">
      <c r="A3540" s="29">
        <v>39414</v>
      </c>
      <c r="B3540" s="28">
        <v>1.7563</v>
      </c>
      <c r="C3540" s="28">
        <v>1946697024.4400001</v>
      </c>
    </row>
    <row r="3541" spans="1:3" ht="15.5">
      <c r="A3541" s="29">
        <v>39413</v>
      </c>
      <c r="B3541" s="28">
        <v>1.7927</v>
      </c>
      <c r="C3541" s="28">
        <v>1987043076.76</v>
      </c>
    </row>
    <row r="3542" spans="1:3" ht="15.5">
      <c r="A3542" s="29">
        <v>39412</v>
      </c>
      <c r="B3542" s="28">
        <v>1.7836000000000001</v>
      </c>
      <c r="C3542" s="28">
        <v>1976956563.6800001</v>
      </c>
    </row>
    <row r="3543" spans="1:3" ht="15.5">
      <c r="A3543" s="29">
        <v>39409</v>
      </c>
      <c r="B3543" s="28">
        <v>1.7290000000000001</v>
      </c>
      <c r="C3543" s="28">
        <v>1916437485.2</v>
      </c>
    </row>
    <row r="3544" spans="1:3" ht="15.5">
      <c r="A3544" s="29">
        <v>39408</v>
      </c>
      <c r="B3544" s="28">
        <v>1.7290000000000001</v>
      </c>
      <c r="C3544" s="28">
        <v>1916437485.2</v>
      </c>
    </row>
    <row r="3545" spans="1:3" ht="15.5">
      <c r="A3545" s="29">
        <v>39407</v>
      </c>
      <c r="B3545" s="28">
        <v>1.7381</v>
      </c>
      <c r="C3545" s="28">
        <v>1926523998.28</v>
      </c>
    </row>
    <row r="3546" spans="1:3" ht="15.5">
      <c r="A3546" s="29">
        <v>39406</v>
      </c>
      <c r="B3546" s="28">
        <v>1.7563</v>
      </c>
      <c r="C3546" s="28">
        <v>1946697024.4400001</v>
      </c>
    </row>
    <row r="3547" spans="1:3" ht="15.5">
      <c r="A3547" s="29">
        <v>39405</v>
      </c>
      <c r="B3547" s="28">
        <v>1.7699</v>
      </c>
      <c r="C3547" s="28">
        <v>1961826794.0599999</v>
      </c>
    </row>
    <row r="3548" spans="1:3" ht="15.5">
      <c r="A3548" s="29">
        <v>39402</v>
      </c>
      <c r="B3548" s="28">
        <v>1.7745</v>
      </c>
      <c r="C3548" s="28">
        <v>1966870050.5999999</v>
      </c>
    </row>
    <row r="3549" spans="1:3" ht="15.5">
      <c r="A3549" s="29">
        <v>39401</v>
      </c>
      <c r="B3549" s="28">
        <v>1.7836000000000001</v>
      </c>
      <c r="C3549" s="28">
        <v>1976956563.6800001</v>
      </c>
    </row>
    <row r="3550" spans="1:3" ht="15.5">
      <c r="A3550" s="29">
        <v>39400</v>
      </c>
      <c r="B3550" s="28">
        <v>1.8109</v>
      </c>
      <c r="C3550" s="28">
        <v>2007216102.9200001</v>
      </c>
    </row>
    <row r="3551" spans="1:3" ht="15.5">
      <c r="A3551" s="29">
        <v>39399</v>
      </c>
      <c r="B3551" s="28">
        <v>1.7789999999999999</v>
      </c>
      <c r="C3551" s="28">
        <v>1971913307.1400001</v>
      </c>
    </row>
    <row r="3552" spans="1:3" ht="15.5">
      <c r="A3552" s="29">
        <v>39398</v>
      </c>
      <c r="B3552" s="28">
        <v>1.7654000000000001</v>
      </c>
      <c r="C3552" s="28">
        <v>1956783537.52</v>
      </c>
    </row>
    <row r="3553" spans="1:3" ht="15.5">
      <c r="A3553" s="29">
        <v>39395</v>
      </c>
      <c r="B3553" s="28">
        <v>1.8018000000000001</v>
      </c>
      <c r="C3553" s="28">
        <v>1997129589.8399999</v>
      </c>
    </row>
    <row r="3554" spans="1:3" ht="15.5">
      <c r="A3554" s="29">
        <v>39394</v>
      </c>
      <c r="B3554" s="28">
        <v>1.7789999999999999</v>
      </c>
      <c r="C3554" s="28">
        <v>1971913307.1400001</v>
      </c>
    </row>
    <row r="3555" spans="1:3" ht="15.5">
      <c r="A3555" s="29">
        <v>39393</v>
      </c>
      <c r="B3555" s="28">
        <v>1.8018000000000001</v>
      </c>
      <c r="C3555" s="28">
        <v>1997129589.8399999</v>
      </c>
    </row>
    <row r="3556" spans="1:3" ht="15.5">
      <c r="A3556" s="29">
        <v>39392</v>
      </c>
      <c r="B3556" s="28">
        <v>1.7927</v>
      </c>
      <c r="C3556" s="28">
        <v>1987043076.76</v>
      </c>
    </row>
    <row r="3557" spans="1:3" ht="15.5">
      <c r="A3557" s="29">
        <v>39391</v>
      </c>
      <c r="B3557" s="28">
        <v>1.7745</v>
      </c>
      <c r="C3557" s="28">
        <v>1966870050.5999999</v>
      </c>
    </row>
    <row r="3558" spans="1:3" ht="15.5">
      <c r="A3558" s="29">
        <v>39388</v>
      </c>
      <c r="B3558" s="28">
        <v>1.7789999999999999</v>
      </c>
      <c r="C3558" s="28">
        <v>1971913307.1400001</v>
      </c>
    </row>
    <row r="3559" spans="1:3" ht="15.5">
      <c r="A3559" s="29">
        <v>39387</v>
      </c>
      <c r="B3559" s="28">
        <v>1.7836000000000001</v>
      </c>
      <c r="C3559" s="28">
        <v>1976956563.6800001</v>
      </c>
    </row>
    <row r="3560" spans="1:3" ht="15.5">
      <c r="A3560" s="29">
        <v>39386</v>
      </c>
      <c r="B3560" s="28">
        <v>1.7836000000000001</v>
      </c>
      <c r="C3560" s="28">
        <v>1976956563.6800001</v>
      </c>
    </row>
    <row r="3561" spans="1:3" ht="15.5">
      <c r="A3561" s="29">
        <v>39385</v>
      </c>
      <c r="B3561" s="28">
        <v>1.8109</v>
      </c>
      <c r="C3561" s="28">
        <v>2007216102.9200001</v>
      </c>
    </row>
    <row r="3562" spans="1:3" ht="15.5">
      <c r="A3562" s="29">
        <v>39384</v>
      </c>
      <c r="B3562" s="28">
        <v>1.82</v>
      </c>
      <c r="C3562" s="28">
        <v>2017302616</v>
      </c>
    </row>
    <row r="3563" spans="1:3" ht="15.5">
      <c r="A3563" s="29">
        <v>39381</v>
      </c>
      <c r="B3563" s="28">
        <v>1.8109</v>
      </c>
      <c r="C3563" s="28">
        <v>2007216102.9200001</v>
      </c>
    </row>
    <row r="3564" spans="1:3" ht="15.5">
      <c r="A3564" s="29">
        <v>39380</v>
      </c>
      <c r="B3564" s="28">
        <v>1.7927</v>
      </c>
      <c r="C3564" s="28">
        <v>1987043076.76</v>
      </c>
    </row>
    <row r="3565" spans="1:3" ht="15.5">
      <c r="A3565" s="29">
        <v>39379</v>
      </c>
      <c r="B3565" s="28">
        <v>1.7789999999999999</v>
      </c>
      <c r="C3565" s="28">
        <v>1971913307.1400001</v>
      </c>
    </row>
    <row r="3566" spans="1:3" ht="15.5">
      <c r="A3566" s="29">
        <v>39378</v>
      </c>
      <c r="B3566" s="28">
        <v>1.7836000000000001</v>
      </c>
      <c r="C3566" s="28">
        <v>1976956563.6800001</v>
      </c>
    </row>
    <row r="3567" spans="1:3" ht="15.5">
      <c r="A3567" s="29">
        <v>39377</v>
      </c>
      <c r="B3567" s="28">
        <v>1.7699</v>
      </c>
      <c r="C3567" s="28">
        <v>1961826794.0599999</v>
      </c>
    </row>
    <row r="3568" spans="1:3" ht="15.5">
      <c r="A3568" s="29">
        <v>39374</v>
      </c>
      <c r="B3568" s="28">
        <v>1.7927</v>
      </c>
      <c r="C3568" s="28">
        <v>1987043076.76</v>
      </c>
    </row>
    <row r="3569" spans="1:3" ht="15.5">
      <c r="A3569" s="29">
        <v>39373</v>
      </c>
      <c r="B3569" s="28">
        <v>1.7927</v>
      </c>
      <c r="C3569" s="28">
        <v>1987043076.76</v>
      </c>
    </row>
    <row r="3570" spans="1:3" ht="15.5">
      <c r="A3570" s="29">
        <v>39372</v>
      </c>
      <c r="B3570" s="28">
        <v>1.7927</v>
      </c>
      <c r="C3570" s="28">
        <v>1987043076.76</v>
      </c>
    </row>
    <row r="3571" spans="1:3" ht="15.5">
      <c r="A3571" s="29">
        <v>39371</v>
      </c>
      <c r="B3571" s="28">
        <v>1.7745</v>
      </c>
      <c r="C3571" s="28">
        <v>1966870050.5999999</v>
      </c>
    </row>
    <row r="3572" spans="1:3" ht="15.5">
      <c r="A3572" s="29">
        <v>39370</v>
      </c>
      <c r="B3572" s="28">
        <v>1.7927</v>
      </c>
      <c r="C3572" s="28">
        <v>1987043076.76</v>
      </c>
    </row>
    <row r="3573" spans="1:3" ht="15.5">
      <c r="A3573" s="29">
        <v>39367</v>
      </c>
      <c r="B3573" s="28">
        <v>1.7927</v>
      </c>
      <c r="C3573" s="28">
        <v>1987043076.76</v>
      </c>
    </row>
    <row r="3574" spans="1:3" ht="15.5">
      <c r="A3574" s="29">
        <v>39366</v>
      </c>
      <c r="B3574" s="28">
        <v>1.7927</v>
      </c>
      <c r="C3574" s="28">
        <v>1987043076.76</v>
      </c>
    </row>
    <row r="3575" spans="1:3" ht="15.5">
      <c r="A3575" s="29">
        <v>39365</v>
      </c>
      <c r="B3575" s="28">
        <v>1.7971999999999999</v>
      </c>
      <c r="C3575" s="28">
        <v>1992086333.3</v>
      </c>
    </row>
    <row r="3576" spans="1:3" ht="15.5">
      <c r="A3576" s="29">
        <v>39364</v>
      </c>
      <c r="B3576" s="28">
        <v>1.7836000000000001</v>
      </c>
      <c r="C3576" s="28">
        <v>1976956563.6800001</v>
      </c>
    </row>
    <row r="3577" spans="1:3" ht="15.5">
      <c r="A3577" s="29">
        <v>39363</v>
      </c>
      <c r="B3577" s="28">
        <v>1.7563</v>
      </c>
      <c r="C3577" s="28">
        <v>1946697024.4400001</v>
      </c>
    </row>
    <row r="3578" spans="1:3" ht="15.5">
      <c r="A3578" s="29">
        <v>39360</v>
      </c>
      <c r="B3578" s="28">
        <v>1.7563</v>
      </c>
      <c r="C3578" s="28">
        <v>1946697024.4400001</v>
      </c>
    </row>
    <row r="3579" spans="1:3" ht="15.5">
      <c r="A3579" s="29">
        <v>39359</v>
      </c>
      <c r="B3579" s="28">
        <v>1.7425999999999999</v>
      </c>
      <c r="C3579" s="28">
        <v>1931567254.8199999</v>
      </c>
    </row>
    <row r="3580" spans="1:3" ht="15.5">
      <c r="A3580" s="29">
        <v>39358</v>
      </c>
      <c r="B3580" s="28">
        <v>1.7745</v>
      </c>
      <c r="C3580" s="28">
        <v>1966870050.5999999</v>
      </c>
    </row>
    <row r="3581" spans="1:3" ht="15.5">
      <c r="A3581" s="29">
        <v>39357</v>
      </c>
      <c r="B3581" s="28">
        <v>1.8018000000000001</v>
      </c>
      <c r="C3581" s="28">
        <v>1997129589.8399999</v>
      </c>
    </row>
    <row r="3582" spans="1:3" ht="15.5">
      <c r="A3582" s="29">
        <v>39356</v>
      </c>
      <c r="B3582" s="28">
        <v>1.7654000000000001</v>
      </c>
      <c r="C3582" s="28">
        <v>1956783537.52</v>
      </c>
    </row>
    <row r="3583" spans="1:3" ht="15.5">
      <c r="A3583" s="29">
        <v>39353</v>
      </c>
      <c r="B3583" s="28">
        <v>1.7745</v>
      </c>
      <c r="C3583" s="28">
        <v>1966870050.5999999</v>
      </c>
    </row>
    <row r="3584" spans="1:3" ht="15.5">
      <c r="A3584" s="29">
        <v>39352</v>
      </c>
      <c r="B3584" s="28">
        <v>1.7745</v>
      </c>
      <c r="C3584" s="28">
        <v>1966870050.5999999</v>
      </c>
    </row>
    <row r="3585" spans="1:3" ht="15.5">
      <c r="A3585" s="29">
        <v>39351</v>
      </c>
      <c r="B3585" s="28">
        <v>1.7243999999999999</v>
      </c>
      <c r="C3585" s="28">
        <v>1911394228.6600001</v>
      </c>
    </row>
    <row r="3586" spans="1:3" ht="15.5">
      <c r="A3586" s="29">
        <v>39350</v>
      </c>
      <c r="B3586" s="28">
        <v>1.7607999999999999</v>
      </c>
      <c r="C3586" s="28">
        <v>1951740280.98</v>
      </c>
    </row>
    <row r="3587" spans="1:3" ht="15.5">
      <c r="A3587" s="29">
        <v>39349</v>
      </c>
      <c r="B3587" s="28">
        <v>1.7699</v>
      </c>
      <c r="C3587" s="28">
        <v>1961826794.0599999</v>
      </c>
    </row>
    <row r="3588" spans="1:3" ht="15.5">
      <c r="A3588" s="29">
        <v>39346</v>
      </c>
      <c r="B3588" s="28">
        <v>1.7243999999999999</v>
      </c>
      <c r="C3588" s="28">
        <v>1911394228.6600001</v>
      </c>
    </row>
    <row r="3589" spans="1:3" ht="15.5">
      <c r="A3589" s="29">
        <v>39345</v>
      </c>
      <c r="B3589" s="28">
        <v>1.7381</v>
      </c>
      <c r="C3589" s="28">
        <v>1926523998.28</v>
      </c>
    </row>
    <row r="3590" spans="1:3" ht="15.5">
      <c r="A3590" s="29">
        <v>39344</v>
      </c>
      <c r="B3590" s="28">
        <v>1.7699</v>
      </c>
      <c r="C3590" s="28">
        <v>1961826794.0599999</v>
      </c>
    </row>
    <row r="3591" spans="1:3" ht="15.5">
      <c r="A3591" s="29">
        <v>39343</v>
      </c>
      <c r="B3591" s="28">
        <v>1.7472000000000001</v>
      </c>
      <c r="C3591" s="28">
        <v>1936610511.3599999</v>
      </c>
    </row>
    <row r="3592" spans="1:3" ht="15.5">
      <c r="A3592" s="29">
        <v>39342</v>
      </c>
      <c r="B3592" s="28">
        <v>1.7472000000000001</v>
      </c>
      <c r="C3592" s="28">
        <v>1936610511.3599999</v>
      </c>
    </row>
    <row r="3593" spans="1:3" ht="15.5">
      <c r="A3593" s="29">
        <v>39339</v>
      </c>
      <c r="B3593" s="28">
        <v>1.7654000000000001</v>
      </c>
      <c r="C3593" s="28">
        <v>1956783537.52</v>
      </c>
    </row>
    <row r="3594" spans="1:3" ht="15.5">
      <c r="A3594" s="29">
        <v>39338</v>
      </c>
      <c r="B3594" s="28">
        <v>1.7381</v>
      </c>
      <c r="C3594" s="28">
        <v>1926523998.28</v>
      </c>
    </row>
    <row r="3595" spans="1:3" ht="15.5">
      <c r="A3595" s="29">
        <v>39337</v>
      </c>
      <c r="B3595" s="28">
        <v>1.7290000000000001</v>
      </c>
      <c r="C3595" s="28">
        <v>1916437485.2</v>
      </c>
    </row>
    <row r="3596" spans="1:3" ht="15.5">
      <c r="A3596" s="29">
        <v>39336</v>
      </c>
      <c r="B3596" s="28">
        <v>1.7108000000000001</v>
      </c>
      <c r="C3596" s="28">
        <v>1896264459.04</v>
      </c>
    </row>
    <row r="3597" spans="1:3" ht="15.5">
      <c r="A3597" s="29">
        <v>39335</v>
      </c>
      <c r="B3597" s="28">
        <v>1.7108000000000001</v>
      </c>
      <c r="C3597" s="28">
        <v>1896264459.04</v>
      </c>
    </row>
    <row r="3598" spans="1:3" ht="15.5">
      <c r="A3598" s="29">
        <v>39332</v>
      </c>
      <c r="B3598" s="28">
        <v>1.7108000000000001</v>
      </c>
      <c r="C3598" s="28">
        <v>1896264459.04</v>
      </c>
    </row>
    <row r="3599" spans="1:3" ht="15.5">
      <c r="A3599" s="29">
        <v>39331</v>
      </c>
      <c r="B3599" s="28">
        <v>1.6971000000000001</v>
      </c>
      <c r="C3599" s="28">
        <v>1881134689.4200001</v>
      </c>
    </row>
    <row r="3600" spans="1:3" ht="15.5">
      <c r="A3600" s="29">
        <v>39330</v>
      </c>
      <c r="B3600" s="28">
        <v>1.6971000000000001</v>
      </c>
      <c r="C3600" s="28">
        <v>1881134689.4200001</v>
      </c>
    </row>
    <row r="3601" spans="1:3" ht="15.5">
      <c r="A3601" s="29">
        <v>39329</v>
      </c>
      <c r="B3601" s="28">
        <v>1.7017</v>
      </c>
      <c r="C3601" s="28">
        <v>1886177945.96</v>
      </c>
    </row>
    <row r="3602" spans="1:3" ht="15.5">
      <c r="A3602" s="29">
        <v>39328</v>
      </c>
      <c r="B3602" s="28">
        <v>1.7017</v>
      </c>
      <c r="C3602" s="28">
        <v>1886177945.96</v>
      </c>
    </row>
    <row r="3603" spans="1:3" ht="15.5">
      <c r="A3603" s="29">
        <v>39325</v>
      </c>
      <c r="B3603" s="28">
        <v>1.6926000000000001</v>
      </c>
      <c r="C3603" s="28">
        <v>1876091432.8800001</v>
      </c>
    </row>
    <row r="3604" spans="1:3" ht="15.5">
      <c r="A3604" s="29">
        <v>39324</v>
      </c>
      <c r="B3604" s="28">
        <v>1.7017</v>
      </c>
      <c r="C3604" s="28">
        <v>1886177945.96</v>
      </c>
    </row>
    <row r="3605" spans="1:3" ht="15.5">
      <c r="A3605" s="29">
        <v>39323</v>
      </c>
      <c r="B3605" s="28">
        <v>1.7927</v>
      </c>
      <c r="C3605" s="28">
        <v>1987043076.76</v>
      </c>
    </row>
    <row r="3606" spans="1:3" ht="15.5">
      <c r="A3606" s="29">
        <v>39322</v>
      </c>
      <c r="B3606" s="28">
        <v>1.8109</v>
      </c>
      <c r="C3606" s="28">
        <v>2007216102.9200001</v>
      </c>
    </row>
    <row r="3607" spans="1:3" ht="15.5">
      <c r="A3607" s="29">
        <v>39321</v>
      </c>
      <c r="B3607" s="28">
        <v>1.7745</v>
      </c>
      <c r="C3607" s="28">
        <v>1966870050.5999999</v>
      </c>
    </row>
    <row r="3608" spans="1:3" ht="15.5">
      <c r="A3608" s="29">
        <v>39318</v>
      </c>
      <c r="B3608" s="28">
        <v>1.7290000000000001</v>
      </c>
      <c r="C3608" s="28">
        <v>1916437485.2</v>
      </c>
    </row>
    <row r="3609" spans="1:3" ht="15.5">
      <c r="A3609" s="29">
        <v>39317</v>
      </c>
      <c r="B3609" s="28">
        <v>1.7017</v>
      </c>
      <c r="C3609" s="28">
        <v>1886177945.96</v>
      </c>
    </row>
    <row r="3610" spans="1:3" ht="15.5">
      <c r="A3610" s="29">
        <v>39316</v>
      </c>
      <c r="B3610" s="28">
        <v>1.6653</v>
      </c>
      <c r="C3610" s="28">
        <v>1845831893.6400001</v>
      </c>
    </row>
    <row r="3611" spans="1:3" ht="15.5">
      <c r="A3611" s="29">
        <v>39315</v>
      </c>
      <c r="B3611" s="28">
        <v>1.6789000000000001</v>
      </c>
      <c r="C3611" s="28">
        <v>1860961663.26</v>
      </c>
    </row>
    <row r="3612" spans="1:3" ht="15.5">
      <c r="A3612" s="29">
        <v>39314</v>
      </c>
      <c r="B3612" s="28">
        <v>1.6926000000000001</v>
      </c>
      <c r="C3612" s="28">
        <v>1876091432.8800001</v>
      </c>
    </row>
    <row r="3613" spans="1:3" ht="15.5">
      <c r="A3613" s="29">
        <v>39311</v>
      </c>
      <c r="B3613" s="28">
        <v>1.6425000000000001</v>
      </c>
      <c r="C3613" s="28">
        <v>1820615610.9400001</v>
      </c>
    </row>
    <row r="3614" spans="1:3" ht="15.5">
      <c r="A3614" s="29">
        <v>39310</v>
      </c>
      <c r="B3614" s="28">
        <v>1.7017</v>
      </c>
      <c r="C3614" s="28">
        <v>1886177945.96</v>
      </c>
    </row>
    <row r="3615" spans="1:3" ht="15.5">
      <c r="A3615" s="29">
        <v>39309</v>
      </c>
      <c r="B3615" s="28">
        <v>1.6926000000000001</v>
      </c>
      <c r="C3615" s="28">
        <v>1876091432.8800001</v>
      </c>
    </row>
    <row r="3616" spans="1:3" ht="15.5">
      <c r="A3616" s="29">
        <v>39308</v>
      </c>
      <c r="B3616" s="28">
        <v>1.6926000000000001</v>
      </c>
      <c r="C3616" s="28">
        <v>1876091432.8800001</v>
      </c>
    </row>
    <row r="3617" spans="1:3" ht="15.5">
      <c r="A3617" s="29">
        <v>39307</v>
      </c>
      <c r="B3617" s="28">
        <v>1.7199</v>
      </c>
      <c r="C3617" s="28">
        <v>1906350972.1199999</v>
      </c>
    </row>
    <row r="3618" spans="1:3" ht="15.5">
      <c r="A3618" s="29">
        <v>39304</v>
      </c>
      <c r="B3618" s="28">
        <v>1.7017</v>
      </c>
      <c r="C3618" s="28">
        <v>1886177945.96</v>
      </c>
    </row>
    <row r="3619" spans="1:3" ht="15.5">
      <c r="A3619" s="29">
        <v>39303</v>
      </c>
      <c r="B3619" s="28">
        <v>1.7472000000000001</v>
      </c>
      <c r="C3619" s="28">
        <v>1936610511.3599999</v>
      </c>
    </row>
    <row r="3620" spans="1:3" ht="15.5">
      <c r="A3620" s="29">
        <v>39302</v>
      </c>
      <c r="B3620" s="28">
        <v>1.7335</v>
      </c>
      <c r="C3620" s="28">
        <v>1921480741.74</v>
      </c>
    </row>
    <row r="3621" spans="1:3" ht="15.5">
      <c r="A3621" s="29">
        <v>39301</v>
      </c>
      <c r="B3621" s="28">
        <v>1.7290000000000001</v>
      </c>
      <c r="C3621" s="28">
        <v>1916437485.2</v>
      </c>
    </row>
    <row r="3622" spans="1:3" ht="15.5">
      <c r="A3622" s="29">
        <v>39300</v>
      </c>
      <c r="B3622" s="28">
        <v>1.7199</v>
      </c>
      <c r="C3622" s="28">
        <v>1906350972.1199999</v>
      </c>
    </row>
    <row r="3623" spans="1:3" ht="15.5">
      <c r="A3623" s="29">
        <v>39297</v>
      </c>
      <c r="B3623" s="28">
        <v>1.7335</v>
      </c>
      <c r="C3623" s="28">
        <v>1921480741.74</v>
      </c>
    </row>
    <row r="3624" spans="1:3" ht="15.5">
      <c r="A3624" s="29">
        <v>39296</v>
      </c>
      <c r="B3624" s="28">
        <v>1.6835</v>
      </c>
      <c r="C3624" s="28">
        <v>1866004919.8</v>
      </c>
    </row>
    <row r="3625" spans="1:3" ht="15.5">
      <c r="A3625" s="29">
        <v>39295</v>
      </c>
      <c r="B3625" s="28">
        <v>1.7199</v>
      </c>
      <c r="C3625" s="28">
        <v>1906350972.1199999</v>
      </c>
    </row>
    <row r="3626" spans="1:3" ht="15.5">
      <c r="A3626" s="29">
        <v>39294</v>
      </c>
      <c r="B3626" s="28">
        <v>1.7425999999999999</v>
      </c>
      <c r="C3626" s="28">
        <v>1931567254.8199999</v>
      </c>
    </row>
    <row r="3627" spans="1:3" ht="15.5">
      <c r="A3627" s="29">
        <v>39293</v>
      </c>
      <c r="B3627" s="28">
        <v>1.7290000000000001</v>
      </c>
      <c r="C3627" s="28">
        <v>1916437485.2</v>
      </c>
    </row>
    <row r="3628" spans="1:3" ht="15.5">
      <c r="A3628" s="29">
        <v>39290</v>
      </c>
      <c r="B3628" s="28">
        <v>1.7108000000000001</v>
      </c>
      <c r="C3628" s="28">
        <v>1896264459.04</v>
      </c>
    </row>
    <row r="3629" spans="1:3" ht="15.5">
      <c r="A3629" s="29">
        <v>39289</v>
      </c>
      <c r="B3629" s="28">
        <v>1.7243999999999999</v>
      </c>
      <c r="C3629" s="28">
        <v>1911394228.6600001</v>
      </c>
    </row>
    <row r="3630" spans="1:3" ht="15.5">
      <c r="A3630" s="29">
        <v>39288</v>
      </c>
      <c r="B3630" s="28">
        <v>1.7199</v>
      </c>
      <c r="C3630" s="28">
        <v>1906350972.1199999</v>
      </c>
    </row>
    <row r="3631" spans="1:3" ht="15.5">
      <c r="A3631" s="29">
        <v>39287</v>
      </c>
      <c r="B3631" s="28">
        <v>1.7381</v>
      </c>
      <c r="C3631" s="28">
        <v>1926523998.28</v>
      </c>
    </row>
    <row r="3632" spans="1:3" ht="15.5">
      <c r="A3632" s="29">
        <v>39286</v>
      </c>
      <c r="B3632" s="28">
        <v>1.7335</v>
      </c>
      <c r="C3632" s="28">
        <v>1921480741.74</v>
      </c>
    </row>
    <row r="3633" spans="1:3" ht="15.5">
      <c r="A3633" s="29">
        <v>39283</v>
      </c>
      <c r="B3633" s="28">
        <v>1.7654000000000001</v>
      </c>
      <c r="C3633" s="28">
        <v>1956783537.52</v>
      </c>
    </row>
    <row r="3634" spans="1:3" ht="15.5">
      <c r="A3634" s="29">
        <v>39282</v>
      </c>
      <c r="B3634" s="28">
        <v>1.7699</v>
      </c>
      <c r="C3634" s="28">
        <v>1961826794.0599999</v>
      </c>
    </row>
    <row r="3635" spans="1:3" ht="15.5">
      <c r="A3635" s="29">
        <v>39281</v>
      </c>
      <c r="B3635" s="28">
        <v>1.7472000000000001</v>
      </c>
      <c r="C3635" s="28">
        <v>1936610511.3599999</v>
      </c>
    </row>
    <row r="3636" spans="1:3" ht="15.5">
      <c r="A3636" s="29">
        <v>39280</v>
      </c>
      <c r="B3636" s="28">
        <v>1.7654000000000001</v>
      </c>
      <c r="C3636" s="28">
        <v>1956783537.52</v>
      </c>
    </row>
    <row r="3637" spans="1:3" ht="15.5">
      <c r="A3637" s="29">
        <v>39279</v>
      </c>
      <c r="B3637" s="28">
        <v>1.7654000000000001</v>
      </c>
      <c r="C3637" s="28">
        <v>1956783537.52</v>
      </c>
    </row>
    <row r="3638" spans="1:3" ht="15.5">
      <c r="A3638" s="29">
        <v>39276</v>
      </c>
      <c r="B3638" s="28">
        <v>1.7789999999999999</v>
      </c>
      <c r="C3638" s="28">
        <v>1971913307.1400001</v>
      </c>
    </row>
    <row r="3639" spans="1:3" ht="15.5">
      <c r="A3639" s="29">
        <v>39275</v>
      </c>
      <c r="B3639" s="28">
        <v>1.7745</v>
      </c>
      <c r="C3639" s="28">
        <v>1966870050.5999999</v>
      </c>
    </row>
    <row r="3640" spans="1:3" ht="15.5">
      <c r="A3640" s="29">
        <v>39274</v>
      </c>
      <c r="B3640" s="28">
        <v>1.7563</v>
      </c>
      <c r="C3640" s="28">
        <v>1946697024.4400001</v>
      </c>
    </row>
    <row r="3641" spans="1:3" ht="15.5">
      <c r="A3641" s="29">
        <v>39273</v>
      </c>
      <c r="B3641" s="28">
        <v>1.7607999999999999</v>
      </c>
      <c r="C3641" s="28">
        <v>1951740280.98</v>
      </c>
    </row>
    <row r="3642" spans="1:3" ht="15.5">
      <c r="A3642" s="29">
        <v>39272</v>
      </c>
      <c r="B3642" s="28">
        <v>1.7927</v>
      </c>
      <c r="C3642" s="28">
        <v>1987043076.76</v>
      </c>
    </row>
    <row r="3643" spans="1:3" ht="15.5">
      <c r="A3643" s="29">
        <v>39269</v>
      </c>
      <c r="B3643" s="28">
        <v>1.7836000000000001</v>
      </c>
      <c r="C3643" s="28">
        <v>1976956563.6800001</v>
      </c>
    </row>
    <row r="3644" spans="1:3" ht="15.5">
      <c r="A3644" s="29">
        <v>39268</v>
      </c>
      <c r="B3644" s="28">
        <v>1.7789999999999999</v>
      </c>
      <c r="C3644" s="28">
        <v>1971913307.1400001</v>
      </c>
    </row>
    <row r="3645" spans="1:3" ht="15.5">
      <c r="A3645" s="29">
        <v>39267</v>
      </c>
      <c r="B3645" s="28">
        <v>1.7927</v>
      </c>
      <c r="C3645" s="28">
        <v>1987043076.76</v>
      </c>
    </row>
    <row r="3646" spans="1:3" ht="15.5">
      <c r="A3646" s="29">
        <v>39266</v>
      </c>
      <c r="B3646" s="28">
        <v>1.7927</v>
      </c>
      <c r="C3646" s="28">
        <v>1987043076.76</v>
      </c>
    </row>
    <row r="3647" spans="1:3" ht="15.5">
      <c r="A3647" s="29">
        <v>39265</v>
      </c>
      <c r="B3647" s="28">
        <v>1.7654000000000001</v>
      </c>
      <c r="C3647" s="28">
        <v>1956783537.52</v>
      </c>
    </row>
    <row r="3648" spans="1:3" ht="15.5">
      <c r="A3648" s="29">
        <v>39262</v>
      </c>
      <c r="B3648" s="28">
        <v>1.7971999999999999</v>
      </c>
      <c r="C3648" s="28">
        <v>1992086333.3</v>
      </c>
    </row>
    <row r="3649" spans="1:3" ht="15.5">
      <c r="A3649" s="29">
        <v>39261</v>
      </c>
      <c r="B3649" s="28">
        <v>1.7927</v>
      </c>
      <c r="C3649" s="28">
        <v>1987043076.76</v>
      </c>
    </row>
    <row r="3650" spans="1:3" ht="15.5">
      <c r="A3650" s="29">
        <v>39260</v>
      </c>
      <c r="B3650" s="28">
        <v>1.7699</v>
      </c>
      <c r="C3650" s="28">
        <v>1961826794.0599999</v>
      </c>
    </row>
    <row r="3651" spans="1:3" ht="15.5">
      <c r="A3651" s="29">
        <v>39259</v>
      </c>
      <c r="B3651" s="28">
        <v>1.7789999999999999</v>
      </c>
      <c r="C3651" s="28">
        <v>1971913307.1400001</v>
      </c>
    </row>
    <row r="3652" spans="1:3" ht="15.5">
      <c r="A3652" s="29">
        <v>39258</v>
      </c>
      <c r="B3652" s="28">
        <v>1.7927</v>
      </c>
      <c r="C3652" s="28">
        <v>1987043076.76</v>
      </c>
    </row>
    <row r="3653" spans="1:3" ht="15.5">
      <c r="A3653" s="29">
        <v>39255</v>
      </c>
      <c r="B3653" s="28">
        <v>1.7927</v>
      </c>
      <c r="C3653" s="28">
        <v>1987043076.76</v>
      </c>
    </row>
    <row r="3654" spans="1:3" ht="15.5">
      <c r="A3654" s="29">
        <v>39254</v>
      </c>
      <c r="B3654" s="28">
        <v>1.7881</v>
      </c>
      <c r="C3654" s="28">
        <v>1981999820.22</v>
      </c>
    </row>
    <row r="3655" spans="1:3" ht="15.5">
      <c r="A3655" s="29">
        <v>39253</v>
      </c>
      <c r="B3655" s="28">
        <v>1.8018000000000001</v>
      </c>
      <c r="C3655" s="28">
        <v>1997129589.8399999</v>
      </c>
    </row>
    <row r="3656" spans="1:3" ht="15.5">
      <c r="A3656" s="29">
        <v>39252</v>
      </c>
      <c r="B3656" s="28">
        <v>1.7654000000000001</v>
      </c>
      <c r="C3656" s="28">
        <v>1956783537.52</v>
      </c>
    </row>
    <row r="3657" spans="1:3" ht="15.5">
      <c r="A3657" s="29">
        <v>39251</v>
      </c>
      <c r="B3657" s="28">
        <v>1.7381</v>
      </c>
      <c r="C3657" s="28">
        <v>1926523998.28</v>
      </c>
    </row>
    <row r="3658" spans="1:3" ht="15.5">
      <c r="A3658" s="29">
        <v>39248</v>
      </c>
      <c r="B3658" s="28">
        <v>1.7199</v>
      </c>
      <c r="C3658" s="28">
        <v>1906350972.1199999</v>
      </c>
    </row>
    <row r="3659" spans="1:3" ht="15.5">
      <c r="A3659" s="29">
        <v>39247</v>
      </c>
      <c r="B3659" s="28">
        <v>1.7290000000000001</v>
      </c>
      <c r="C3659" s="28">
        <v>1916437485.2</v>
      </c>
    </row>
    <row r="3660" spans="1:3" ht="15.5">
      <c r="A3660" s="29">
        <v>39246</v>
      </c>
      <c r="B3660" s="28">
        <v>1.6971000000000001</v>
      </c>
      <c r="C3660" s="28">
        <v>1881134689.4200001</v>
      </c>
    </row>
    <row r="3661" spans="1:3" ht="15.5">
      <c r="A3661" s="29">
        <v>39245</v>
      </c>
      <c r="B3661" s="28">
        <v>1.7381</v>
      </c>
      <c r="C3661" s="28">
        <v>1926523998.28</v>
      </c>
    </row>
    <row r="3662" spans="1:3" ht="15.5">
      <c r="A3662" s="29">
        <v>39241</v>
      </c>
      <c r="B3662" s="28">
        <v>1.7381</v>
      </c>
      <c r="C3662" s="28">
        <v>1926523998.28</v>
      </c>
    </row>
    <row r="3663" spans="1:3" ht="15.5">
      <c r="A3663" s="29">
        <v>39240</v>
      </c>
      <c r="B3663" s="28">
        <v>1.7654000000000001</v>
      </c>
      <c r="C3663" s="28">
        <v>1956783537.52</v>
      </c>
    </row>
    <row r="3664" spans="1:3" ht="15.5">
      <c r="A3664" s="29">
        <v>39239</v>
      </c>
      <c r="B3664" s="28">
        <v>1.7607999999999999</v>
      </c>
      <c r="C3664" s="28">
        <v>1951740280.98</v>
      </c>
    </row>
    <row r="3665" spans="1:3" ht="15.5">
      <c r="A3665" s="29">
        <v>39238</v>
      </c>
      <c r="B3665" s="28">
        <v>1.7654000000000001</v>
      </c>
      <c r="C3665" s="28">
        <v>1956783537.52</v>
      </c>
    </row>
    <row r="3666" spans="1:3" ht="15.5">
      <c r="A3666" s="29">
        <v>39237</v>
      </c>
      <c r="B3666" s="28">
        <v>1.7699</v>
      </c>
      <c r="C3666" s="28">
        <v>1961826794.0599999</v>
      </c>
    </row>
    <row r="3667" spans="1:3" ht="15.5">
      <c r="A3667" s="29">
        <v>39234</v>
      </c>
      <c r="B3667" s="28">
        <v>1.7745</v>
      </c>
      <c r="C3667" s="28">
        <v>1966870050.5999999</v>
      </c>
    </row>
    <row r="3668" spans="1:3" ht="15.5">
      <c r="A3668" s="29">
        <v>39233</v>
      </c>
      <c r="B3668" s="28">
        <v>1.7745</v>
      </c>
      <c r="C3668" s="28">
        <v>1966870050.5999999</v>
      </c>
    </row>
    <row r="3669" spans="1:3" ht="15.5">
      <c r="A3669" s="29">
        <v>39232</v>
      </c>
      <c r="B3669" s="28">
        <v>1.7654000000000001</v>
      </c>
      <c r="C3669" s="28">
        <v>1956783537.52</v>
      </c>
    </row>
    <row r="3670" spans="1:3" ht="15.5">
      <c r="A3670" s="29">
        <v>39231</v>
      </c>
      <c r="B3670" s="28">
        <v>1.8018000000000001</v>
      </c>
      <c r="C3670" s="28" t="s">
        <v>1136</v>
      </c>
    </row>
    <row r="3671" spans="1:3" ht="15.5">
      <c r="A3671" s="29">
        <v>39230</v>
      </c>
      <c r="B3671" s="28">
        <v>1.8109</v>
      </c>
      <c r="C3671" s="28" t="s">
        <v>1136</v>
      </c>
    </row>
    <row r="3672" spans="1:3" ht="15.5">
      <c r="A3672" s="29">
        <v>39227</v>
      </c>
      <c r="B3672" s="28">
        <v>1.82</v>
      </c>
      <c r="C3672" s="28" t="s">
        <v>1136</v>
      </c>
    </row>
    <row r="3673" spans="1:3" ht="15.5">
      <c r="A3673" s="29">
        <v>39226</v>
      </c>
      <c r="B3673" s="28">
        <v>1.82</v>
      </c>
      <c r="C3673" s="28" t="s">
        <v>1136</v>
      </c>
    </row>
    <row r="3674" spans="1:3" ht="15.5">
      <c r="A3674" s="29">
        <v>39225</v>
      </c>
      <c r="B3674" s="28">
        <v>1.8109</v>
      </c>
      <c r="C3674" s="28" t="s">
        <v>1136</v>
      </c>
    </row>
    <row r="3675" spans="1:3" ht="15.5">
      <c r="A3675" s="29">
        <v>39224</v>
      </c>
      <c r="B3675" s="28">
        <v>1.82</v>
      </c>
      <c r="C3675" s="28" t="s">
        <v>1136</v>
      </c>
    </row>
    <row r="3676" spans="1:3" ht="15.5">
      <c r="A3676" s="29">
        <v>39223</v>
      </c>
      <c r="B3676" s="28">
        <v>1.8063</v>
      </c>
      <c r="C3676" s="28" t="s">
        <v>1136</v>
      </c>
    </row>
    <row r="3677" spans="1:3" ht="15.5">
      <c r="A3677" s="29">
        <v>39220</v>
      </c>
      <c r="B3677" s="28">
        <v>1.8063</v>
      </c>
      <c r="C3677" s="28" t="s">
        <v>1136</v>
      </c>
    </row>
    <row r="3678" spans="1:3" ht="15.5">
      <c r="A3678" s="29">
        <v>39219</v>
      </c>
      <c r="B3678" s="28">
        <v>1.82</v>
      </c>
      <c r="C3678" s="28" t="s">
        <v>1136</v>
      </c>
    </row>
    <row r="3679" spans="1:3" ht="15.5">
      <c r="A3679" s="29">
        <v>39218</v>
      </c>
      <c r="B3679" s="28">
        <v>1.8153999999999999</v>
      </c>
      <c r="C3679" s="28" t="s">
        <v>1136</v>
      </c>
    </row>
    <row r="3680" spans="1:3" ht="15.5">
      <c r="A3680" s="29">
        <v>39217</v>
      </c>
      <c r="B3680" s="28">
        <v>1.8018000000000001</v>
      </c>
      <c r="C3680" s="28" t="s">
        <v>1136</v>
      </c>
    </row>
    <row r="3681" spans="1:3" ht="15.5">
      <c r="A3681" s="29">
        <v>39216</v>
      </c>
      <c r="B3681" s="28">
        <v>1.8153999999999999</v>
      </c>
      <c r="C3681" s="28" t="s">
        <v>1136</v>
      </c>
    </row>
    <row r="3682" spans="1:3" ht="15.5">
      <c r="A3682" s="29">
        <v>39213</v>
      </c>
      <c r="B3682" s="28">
        <v>1.8018000000000001</v>
      </c>
      <c r="C3682" s="28" t="s">
        <v>1136</v>
      </c>
    </row>
    <row r="3683" spans="1:3" ht="15.5">
      <c r="A3683" s="29">
        <v>39212</v>
      </c>
      <c r="B3683" s="28">
        <v>1.8109</v>
      </c>
      <c r="C3683" s="28" t="s">
        <v>1136</v>
      </c>
    </row>
    <row r="3684" spans="1:3" ht="15.5">
      <c r="A3684" s="29">
        <v>39211</v>
      </c>
      <c r="B3684" s="28">
        <v>1.7927</v>
      </c>
      <c r="C3684" s="28" t="s">
        <v>1136</v>
      </c>
    </row>
    <row r="3685" spans="1:3" ht="15.5">
      <c r="A3685" s="29">
        <v>39210</v>
      </c>
      <c r="B3685" s="28">
        <v>1.7654000000000001</v>
      </c>
      <c r="C3685" s="28" t="s">
        <v>1136</v>
      </c>
    </row>
    <row r="3686" spans="1:3" ht="15.5">
      <c r="A3686" s="29">
        <v>39209</v>
      </c>
      <c r="B3686" s="28">
        <v>1.7836000000000001</v>
      </c>
      <c r="C3686" s="28" t="s">
        <v>1136</v>
      </c>
    </row>
    <row r="3687" spans="1:3" ht="15.5">
      <c r="A3687" s="29">
        <v>39206</v>
      </c>
      <c r="B3687" s="28">
        <v>1.7699</v>
      </c>
      <c r="C3687" s="28" t="s">
        <v>1136</v>
      </c>
    </row>
    <row r="3688" spans="1:3" ht="15.5">
      <c r="A3688" s="29">
        <v>39205</v>
      </c>
      <c r="B3688" s="28">
        <v>1.7699</v>
      </c>
      <c r="C3688" s="28" t="s">
        <v>1136</v>
      </c>
    </row>
    <row r="3689" spans="1:3" ht="15.5">
      <c r="A3689" s="29">
        <v>39204</v>
      </c>
      <c r="B3689" s="28">
        <v>1.7745</v>
      </c>
      <c r="C3689" s="28" t="s">
        <v>1136</v>
      </c>
    </row>
    <row r="3690" spans="1:3" ht="15.5">
      <c r="A3690" s="29">
        <v>39203</v>
      </c>
      <c r="B3690" s="28">
        <v>1.7971999999999999</v>
      </c>
      <c r="C3690" s="28" t="s">
        <v>1136</v>
      </c>
    </row>
    <row r="3691" spans="1:3" ht="15.5">
      <c r="A3691" s="29">
        <v>39202</v>
      </c>
      <c r="B3691" s="28">
        <v>1.7745</v>
      </c>
      <c r="C3691" s="28" t="s">
        <v>1136</v>
      </c>
    </row>
    <row r="3692" spans="1:3" ht="15.5">
      <c r="A3692" s="29">
        <v>39199</v>
      </c>
      <c r="B3692" s="28">
        <v>1.7881</v>
      </c>
      <c r="C3692" s="28" t="s">
        <v>1136</v>
      </c>
    </row>
    <row r="3693" spans="1:3" ht="15.5">
      <c r="A3693" s="29">
        <v>39198</v>
      </c>
      <c r="B3693" s="28">
        <v>1.7836000000000001</v>
      </c>
      <c r="C3693" s="28" t="s">
        <v>1136</v>
      </c>
    </row>
    <row r="3694" spans="1:3" ht="15.5">
      <c r="A3694" s="29">
        <v>39196</v>
      </c>
      <c r="B3694" s="28">
        <v>1.7836000000000001</v>
      </c>
      <c r="C3694" s="28" t="s">
        <v>1136</v>
      </c>
    </row>
    <row r="3695" spans="1:3" ht="15.5">
      <c r="A3695" s="29">
        <v>39195</v>
      </c>
      <c r="B3695" s="28">
        <v>1.7927</v>
      </c>
      <c r="C3695" s="28" t="s">
        <v>1136</v>
      </c>
    </row>
    <row r="3696" spans="1:3" ht="15.5">
      <c r="A3696" s="29">
        <v>39192</v>
      </c>
      <c r="B3696" s="28">
        <v>1.8063</v>
      </c>
      <c r="C3696" s="28" t="s">
        <v>1136</v>
      </c>
    </row>
    <row r="3697" spans="1:3" ht="15.5">
      <c r="A3697" s="29">
        <v>39191</v>
      </c>
      <c r="B3697" s="28">
        <v>1.7927</v>
      </c>
      <c r="C3697" s="28" t="s">
        <v>1136</v>
      </c>
    </row>
    <row r="3698" spans="1:3" ht="15.5">
      <c r="A3698" s="29">
        <v>39190</v>
      </c>
      <c r="B3698" s="28">
        <v>1.8153999999999999</v>
      </c>
      <c r="C3698" s="28" t="s">
        <v>1136</v>
      </c>
    </row>
    <row r="3699" spans="1:3" ht="15.5">
      <c r="A3699" s="29">
        <v>39189</v>
      </c>
      <c r="B3699" s="28">
        <v>1.8109</v>
      </c>
      <c r="C3699" s="28" t="s">
        <v>1136</v>
      </c>
    </row>
    <row r="3700" spans="1:3" ht="15.5">
      <c r="A3700" s="29">
        <v>39188</v>
      </c>
      <c r="B3700" s="28">
        <v>1.82</v>
      </c>
      <c r="C3700" s="28" t="s">
        <v>1136</v>
      </c>
    </row>
    <row r="3701" spans="1:3" ht="15.5">
      <c r="A3701" s="29">
        <v>39185</v>
      </c>
      <c r="B3701" s="28">
        <v>1.82</v>
      </c>
      <c r="C3701" s="28" t="s">
        <v>1136</v>
      </c>
    </row>
    <row r="3702" spans="1:3" ht="15.5">
      <c r="A3702" s="29">
        <v>39184</v>
      </c>
      <c r="B3702" s="28">
        <v>1.7927</v>
      </c>
      <c r="C3702" s="28" t="s">
        <v>1136</v>
      </c>
    </row>
    <row r="3703" spans="1:3" ht="15.5">
      <c r="A3703" s="29">
        <v>39183</v>
      </c>
      <c r="B3703" s="28">
        <v>1.8153999999999999</v>
      </c>
      <c r="C3703" s="28" t="s">
        <v>1136</v>
      </c>
    </row>
    <row r="3704" spans="1:3" ht="15.5">
      <c r="A3704" s="29">
        <v>39182</v>
      </c>
      <c r="B3704" s="28">
        <v>1.82</v>
      </c>
      <c r="C3704" s="28" t="s">
        <v>1136</v>
      </c>
    </row>
    <row r="3705" spans="1:3" ht="15.5">
      <c r="A3705" s="29">
        <v>39177</v>
      </c>
      <c r="B3705" s="28">
        <v>1.8063</v>
      </c>
      <c r="C3705" s="28" t="s">
        <v>1136</v>
      </c>
    </row>
    <row r="3706" spans="1:3" ht="15.5">
      <c r="A3706" s="29">
        <v>39176</v>
      </c>
      <c r="B3706" s="28">
        <v>1.8153999999999999</v>
      </c>
      <c r="C3706" s="28" t="s">
        <v>1136</v>
      </c>
    </row>
    <row r="3707" spans="1:3" ht="15.5">
      <c r="A3707" s="29">
        <v>39175</v>
      </c>
      <c r="B3707" s="28">
        <v>1.8018000000000001</v>
      </c>
      <c r="C3707" s="28" t="s">
        <v>1136</v>
      </c>
    </row>
    <row r="3708" spans="1:3" ht="15.5">
      <c r="A3708" s="29">
        <v>39174</v>
      </c>
      <c r="B3708" s="28">
        <v>1.7745</v>
      </c>
      <c r="C3708" s="28" t="s">
        <v>1136</v>
      </c>
    </row>
    <row r="3709" spans="1:3" ht="15.5">
      <c r="A3709" s="29">
        <v>39171</v>
      </c>
      <c r="B3709" s="28">
        <v>1.82</v>
      </c>
      <c r="C3709" s="28" t="s">
        <v>1136</v>
      </c>
    </row>
    <row r="3710" spans="1:3" ht="15.5">
      <c r="A3710" s="29">
        <v>39170</v>
      </c>
      <c r="B3710" s="28">
        <v>1.8153999999999999</v>
      </c>
      <c r="C3710" s="28" t="s">
        <v>1136</v>
      </c>
    </row>
    <row r="3711" spans="1:3" ht="15.5">
      <c r="A3711" s="29">
        <v>39169</v>
      </c>
      <c r="B3711" s="28">
        <v>1.7971999999999999</v>
      </c>
      <c r="C3711" s="28" t="s">
        <v>1136</v>
      </c>
    </row>
    <row r="3712" spans="1:3" ht="15.5">
      <c r="A3712" s="29">
        <v>39168</v>
      </c>
      <c r="B3712" s="28">
        <v>1.8109</v>
      </c>
      <c r="C3712" s="28" t="s">
        <v>1136</v>
      </c>
    </row>
    <row r="3713" spans="1:3" ht="15.5">
      <c r="A3713" s="29">
        <v>39167</v>
      </c>
      <c r="B3713" s="28">
        <v>1.8472999999999999</v>
      </c>
      <c r="C3713" s="28" t="s">
        <v>1136</v>
      </c>
    </row>
    <row r="3714" spans="1:3" ht="15.5">
      <c r="A3714" s="29">
        <v>39164</v>
      </c>
      <c r="B3714" s="28">
        <v>1.8654999999999999</v>
      </c>
      <c r="C3714" s="28" t="s">
        <v>1136</v>
      </c>
    </row>
    <row r="3715" spans="1:3" ht="15.5">
      <c r="A3715" s="29">
        <v>39163</v>
      </c>
      <c r="B3715" s="28">
        <v>1.8654999999999999</v>
      </c>
      <c r="C3715" s="28" t="s">
        <v>1136</v>
      </c>
    </row>
    <row r="3716" spans="1:3" ht="15.5">
      <c r="A3716" s="29">
        <v>39162</v>
      </c>
      <c r="B3716" s="28">
        <v>1.82</v>
      </c>
      <c r="C3716" s="28" t="s">
        <v>1136</v>
      </c>
    </row>
    <row r="3717" spans="1:3" ht="15.5">
      <c r="A3717" s="29">
        <v>39161</v>
      </c>
      <c r="B3717" s="28">
        <v>1.8290999999999999</v>
      </c>
      <c r="C3717" s="28" t="s">
        <v>1136</v>
      </c>
    </row>
    <row r="3718" spans="1:3" ht="15.5">
      <c r="A3718" s="29">
        <v>39160</v>
      </c>
      <c r="B3718" s="28">
        <v>1.82</v>
      </c>
      <c r="C3718" s="28" t="s">
        <v>1136</v>
      </c>
    </row>
    <row r="3719" spans="1:3" ht="15.5">
      <c r="A3719" s="29">
        <v>39157</v>
      </c>
      <c r="B3719" s="28">
        <v>1.8109</v>
      </c>
      <c r="C3719" s="28" t="s">
        <v>1136</v>
      </c>
    </row>
    <row r="3720" spans="1:3" ht="15.5">
      <c r="A3720" s="29">
        <v>39156</v>
      </c>
      <c r="B3720" s="28">
        <v>1.8928</v>
      </c>
      <c r="C3720" s="28" t="s">
        <v>1136</v>
      </c>
    </row>
    <row r="3721" spans="1:3" ht="15.5">
      <c r="A3721" s="29">
        <v>39155</v>
      </c>
      <c r="B3721" s="28">
        <v>1.8654999999999999</v>
      </c>
      <c r="C3721" s="28" t="s">
        <v>1136</v>
      </c>
    </row>
    <row r="3722" spans="1:3" ht="15.5">
      <c r="A3722" s="29">
        <v>39154</v>
      </c>
      <c r="B3722" s="28">
        <v>1.8928</v>
      </c>
      <c r="C3722" s="28" t="s">
        <v>1136</v>
      </c>
    </row>
    <row r="3723" spans="1:3" ht="15.5">
      <c r="A3723" s="29">
        <v>39153</v>
      </c>
      <c r="B3723" s="28">
        <v>1.8836999999999999</v>
      </c>
      <c r="C3723" s="28" t="s">
        <v>1136</v>
      </c>
    </row>
    <row r="3724" spans="1:3" ht="15.5">
      <c r="A3724" s="29">
        <v>39150</v>
      </c>
      <c r="B3724" s="28">
        <v>1.8472999999999999</v>
      </c>
      <c r="C3724" s="28" t="s">
        <v>1136</v>
      </c>
    </row>
    <row r="3725" spans="1:3" ht="15.5">
      <c r="A3725" s="29">
        <v>39149</v>
      </c>
      <c r="B3725" s="28">
        <v>1.82</v>
      </c>
      <c r="C3725" s="28" t="s">
        <v>1136</v>
      </c>
    </row>
    <row r="3726" spans="1:3" ht="15.5">
      <c r="A3726" s="29">
        <v>39148</v>
      </c>
      <c r="B3726" s="28">
        <v>1.8018000000000001</v>
      </c>
      <c r="C3726" s="28" t="s">
        <v>1136</v>
      </c>
    </row>
    <row r="3727" spans="1:3" ht="15.5">
      <c r="A3727" s="29">
        <v>39147</v>
      </c>
      <c r="B3727" s="28">
        <v>1.8109</v>
      </c>
      <c r="C3727" s="28" t="s">
        <v>1136</v>
      </c>
    </row>
    <row r="3728" spans="1:3" ht="15.5">
      <c r="A3728" s="29">
        <v>39146</v>
      </c>
      <c r="B3728" s="28">
        <v>1.7290000000000001</v>
      </c>
      <c r="C3728" s="28" t="s">
        <v>1136</v>
      </c>
    </row>
    <row r="3729" spans="1:3" ht="15.5">
      <c r="A3729" s="29">
        <v>39143</v>
      </c>
      <c r="B3729" s="28">
        <v>1.7290000000000001</v>
      </c>
      <c r="C3729" s="28" t="s">
        <v>1136</v>
      </c>
    </row>
    <row r="3730" spans="1:3" ht="15.5">
      <c r="A3730" s="29">
        <v>39142</v>
      </c>
      <c r="B3730" s="28">
        <v>1.7563</v>
      </c>
      <c r="C3730" s="28" t="s">
        <v>1136</v>
      </c>
    </row>
    <row r="3731" spans="1:3" ht="15.5">
      <c r="A3731" s="29">
        <v>39141</v>
      </c>
      <c r="B3731" s="28">
        <v>1.2421</v>
      </c>
      <c r="C3731" s="28" t="s">
        <v>1136</v>
      </c>
    </row>
    <row r="3732" spans="1:3" ht="15.5">
      <c r="A3732" s="29">
        <v>39140</v>
      </c>
      <c r="B3732" s="28">
        <v>1.2558</v>
      </c>
      <c r="C3732" s="28" t="s">
        <v>1136</v>
      </c>
    </row>
    <row r="3733" spans="1:3" ht="15.5">
      <c r="A3733" s="29">
        <v>39139</v>
      </c>
      <c r="B3733" s="28">
        <v>1.2648999999999999</v>
      </c>
      <c r="C3733" s="28" t="s">
        <v>1136</v>
      </c>
    </row>
    <row r="3734" spans="1:3" ht="15.5">
      <c r="A3734" s="29">
        <v>39136</v>
      </c>
      <c r="B3734" s="28">
        <v>1.2421</v>
      </c>
      <c r="C3734" s="28" t="s">
        <v>1136</v>
      </c>
    </row>
    <row r="3735" spans="1:3" ht="15.5">
      <c r="A3735" s="29">
        <v>39135</v>
      </c>
      <c r="B3735" s="28">
        <v>1.2785</v>
      </c>
      <c r="C3735" s="28" t="s">
        <v>1136</v>
      </c>
    </row>
    <row r="3736" spans="1:3" ht="15.5">
      <c r="A3736" s="29">
        <v>39134</v>
      </c>
      <c r="B3736" s="28">
        <v>1.274</v>
      </c>
      <c r="C3736" s="28" t="s">
        <v>1136</v>
      </c>
    </row>
    <row r="3737" spans="1:3" ht="15.5">
      <c r="A3737" s="29">
        <v>39133</v>
      </c>
      <c r="B3737" s="28">
        <v>1.2830999999999999</v>
      </c>
      <c r="C3737" s="28" t="s">
        <v>1136</v>
      </c>
    </row>
    <row r="3738" spans="1:3" ht="15.5">
      <c r="A3738" s="29">
        <v>39132</v>
      </c>
      <c r="B3738" s="28">
        <v>1.2967</v>
      </c>
      <c r="C3738" s="28" t="s">
        <v>1136</v>
      </c>
    </row>
    <row r="3739" spans="1:3" ht="15.5">
      <c r="A3739" s="29">
        <v>39129</v>
      </c>
      <c r="B3739" s="28">
        <v>1.274</v>
      </c>
      <c r="C3739" s="28" t="s">
        <v>1136</v>
      </c>
    </row>
    <row r="3740" spans="1:3" ht="15.5">
      <c r="A3740" s="29">
        <v>39128</v>
      </c>
      <c r="B3740" s="28">
        <v>1.2785</v>
      </c>
      <c r="C3740" s="28" t="s">
        <v>1136</v>
      </c>
    </row>
    <row r="3741" spans="1:3" ht="15.5">
      <c r="A3741" s="29">
        <v>39127</v>
      </c>
      <c r="B3741" s="28">
        <v>1.274</v>
      </c>
      <c r="C3741" s="28" t="s">
        <v>1136</v>
      </c>
    </row>
    <row r="3742" spans="1:3" ht="15.5">
      <c r="A3742" s="29">
        <v>39126</v>
      </c>
      <c r="B3742" s="28">
        <v>1.2648999999999999</v>
      </c>
      <c r="C3742" s="28" t="s">
        <v>1136</v>
      </c>
    </row>
    <row r="3743" spans="1:3" ht="15.5">
      <c r="A3743" s="29">
        <v>39125</v>
      </c>
      <c r="B3743" s="28">
        <v>1.2694000000000001</v>
      </c>
      <c r="C3743" s="28" t="s">
        <v>1136</v>
      </c>
    </row>
    <row r="3744" spans="1:3" ht="15.5">
      <c r="A3744" s="29">
        <v>39122</v>
      </c>
      <c r="B3744" s="28">
        <v>1.2421</v>
      </c>
      <c r="C3744" s="28" t="s">
        <v>1136</v>
      </c>
    </row>
    <row r="3745" spans="1:3" ht="15.5">
      <c r="A3745" s="29">
        <v>39121</v>
      </c>
      <c r="B3745" s="28">
        <v>1.2239</v>
      </c>
      <c r="C3745" s="28" t="s">
        <v>1136</v>
      </c>
    </row>
    <row r="3746" spans="1:3" ht="15.5">
      <c r="A3746" s="29">
        <v>39120</v>
      </c>
      <c r="B3746" s="28">
        <v>1.2239</v>
      </c>
      <c r="C3746" s="28" t="s">
        <v>1136</v>
      </c>
    </row>
    <row r="3747" spans="1:3" ht="15.5">
      <c r="A3747" s="29">
        <v>39119</v>
      </c>
      <c r="B3747" s="28">
        <v>1.2012</v>
      </c>
      <c r="C3747" s="28" t="s">
        <v>1136</v>
      </c>
    </row>
    <row r="3748" spans="1:3" ht="15.5">
      <c r="A3748" s="29">
        <v>39118</v>
      </c>
      <c r="B3748" s="28">
        <v>1.2012</v>
      </c>
      <c r="C3748" s="28" t="s">
        <v>1136</v>
      </c>
    </row>
    <row r="3749" spans="1:3" ht="15.5">
      <c r="A3749" s="29">
        <v>39115</v>
      </c>
      <c r="B3749" s="28">
        <v>1.1920999999999999</v>
      </c>
      <c r="C3749" s="28" t="s">
        <v>1136</v>
      </c>
    </row>
    <row r="3750" spans="1:3" ht="15.5">
      <c r="A3750" s="29">
        <v>39114</v>
      </c>
      <c r="B3750" s="28">
        <v>1.1920999999999999</v>
      </c>
      <c r="C3750" s="28" t="s">
        <v>1136</v>
      </c>
    </row>
    <row r="3751" spans="1:3" ht="15.5">
      <c r="A3751" s="29">
        <v>39113</v>
      </c>
      <c r="B3751" s="28">
        <v>1.2012</v>
      </c>
      <c r="C3751" s="28" t="s">
        <v>1136</v>
      </c>
    </row>
    <row r="3752" spans="1:3" ht="15.5">
      <c r="A3752" s="29">
        <v>39112</v>
      </c>
      <c r="B3752" s="28">
        <v>1.2057</v>
      </c>
      <c r="C3752" s="28" t="s">
        <v>1136</v>
      </c>
    </row>
    <row r="3753" spans="1:3" ht="15.5">
      <c r="A3753" s="29">
        <v>39111</v>
      </c>
      <c r="B3753" s="28">
        <v>1.2012</v>
      </c>
      <c r="C3753" s="28" t="s">
        <v>1136</v>
      </c>
    </row>
    <row r="3754" spans="1:3" ht="15.5">
      <c r="A3754" s="29">
        <v>39107</v>
      </c>
      <c r="B3754" s="28">
        <v>1.2102999999999999</v>
      </c>
      <c r="C3754" s="28" t="s">
        <v>1136</v>
      </c>
    </row>
    <row r="3755" spans="1:3" ht="15.5">
      <c r="A3755" s="29">
        <v>39106</v>
      </c>
      <c r="B3755" s="28">
        <v>1.2102999999999999</v>
      </c>
      <c r="C3755" s="28" t="s">
        <v>1136</v>
      </c>
    </row>
    <row r="3756" spans="1:3" ht="15.5">
      <c r="A3756" s="29">
        <v>39105</v>
      </c>
      <c r="B3756" s="28">
        <v>1.1966000000000001</v>
      </c>
      <c r="C3756" s="28" t="s">
        <v>1136</v>
      </c>
    </row>
    <row r="3757" spans="1:3" ht="15.5">
      <c r="A3757" s="29">
        <v>39104</v>
      </c>
      <c r="B3757" s="28">
        <v>1.1830000000000001</v>
      </c>
      <c r="C3757" s="28" t="s">
        <v>1136</v>
      </c>
    </row>
    <row r="3758" spans="1:3" ht="15.5">
      <c r="A3758" s="29">
        <v>39101</v>
      </c>
      <c r="B3758" s="28">
        <v>1.1648000000000001</v>
      </c>
      <c r="C3758" s="28" t="s">
        <v>1136</v>
      </c>
    </row>
    <row r="3759" spans="1:3" ht="15.5">
      <c r="A3759" s="29">
        <v>39100</v>
      </c>
      <c r="B3759" s="28">
        <v>1.1556999999999999</v>
      </c>
      <c r="C3759" s="28" t="s">
        <v>1136</v>
      </c>
    </row>
    <row r="3760" spans="1:3" ht="15.5">
      <c r="A3760" s="29">
        <v>39099</v>
      </c>
      <c r="B3760" s="28">
        <v>1.1511</v>
      </c>
      <c r="C3760" s="28" t="s">
        <v>1136</v>
      </c>
    </row>
    <row r="3761" spans="1:3" ht="15.5">
      <c r="A3761" s="29">
        <v>39098</v>
      </c>
      <c r="B3761" s="28">
        <v>1.1466000000000001</v>
      </c>
      <c r="C3761" s="28" t="s">
        <v>1136</v>
      </c>
    </row>
    <row r="3762" spans="1:3" ht="15.5">
      <c r="A3762" s="29">
        <v>39097</v>
      </c>
      <c r="B3762" s="28">
        <v>1.1466000000000001</v>
      </c>
      <c r="C3762" s="28" t="s">
        <v>1136</v>
      </c>
    </row>
    <row r="3763" spans="1:3" ht="15.5">
      <c r="A3763" s="29">
        <v>39094</v>
      </c>
      <c r="B3763" s="28">
        <v>1.1375</v>
      </c>
      <c r="C3763" s="28" t="s">
        <v>1136</v>
      </c>
    </row>
    <row r="3764" spans="1:3" ht="15.5">
      <c r="A3764" s="29">
        <v>39093</v>
      </c>
      <c r="B3764" s="28">
        <v>1.1147</v>
      </c>
      <c r="C3764" s="28" t="s">
        <v>1136</v>
      </c>
    </row>
    <row r="3765" spans="1:3" ht="15.5">
      <c r="A3765" s="29">
        <v>39092</v>
      </c>
      <c r="B3765" s="28">
        <v>1.1102000000000001</v>
      </c>
      <c r="C3765" s="28" t="s">
        <v>1136</v>
      </c>
    </row>
    <row r="3766" spans="1:3" ht="15.5">
      <c r="A3766" s="29">
        <v>39091</v>
      </c>
      <c r="B3766" s="28">
        <v>1.1102000000000001</v>
      </c>
      <c r="C3766" s="28" t="s">
        <v>1136</v>
      </c>
    </row>
    <row r="3767" spans="1:3" ht="15.5">
      <c r="A3767" s="29">
        <v>39090</v>
      </c>
      <c r="B3767" s="28">
        <v>1.1055999999999999</v>
      </c>
      <c r="C3767" s="28" t="s">
        <v>1136</v>
      </c>
    </row>
    <row r="3768" spans="1:3" ht="15.5">
      <c r="A3768" s="29">
        <v>39087</v>
      </c>
      <c r="B3768" s="28">
        <v>1.1147</v>
      </c>
      <c r="C3768" s="28" t="s">
        <v>1136</v>
      </c>
    </row>
    <row r="3769" spans="1:3" ht="15.5">
      <c r="A3769" s="29">
        <v>39086</v>
      </c>
      <c r="B3769" s="28">
        <v>1.1011</v>
      </c>
      <c r="C3769" s="28" t="s">
        <v>1136</v>
      </c>
    </row>
    <row r="3770" spans="1:3" ht="15.5">
      <c r="A3770" s="29">
        <v>39085</v>
      </c>
      <c r="B3770" s="28">
        <v>1.1055999999999999</v>
      </c>
      <c r="C3770" s="28" t="s">
        <v>1136</v>
      </c>
    </row>
    <row r="3771" spans="1:3" ht="15.5">
      <c r="A3771" s="29">
        <v>39084</v>
      </c>
      <c r="B3771" s="28">
        <v>1.1011</v>
      </c>
      <c r="C3771" s="28" t="s">
        <v>1136</v>
      </c>
    </row>
    <row r="3772" spans="1:3" ht="15.5">
      <c r="A3772" s="29">
        <v>39080</v>
      </c>
      <c r="B3772" s="28">
        <v>1.0873999999999999</v>
      </c>
      <c r="C3772" s="28" t="s">
        <v>1136</v>
      </c>
    </row>
    <row r="3773" spans="1:3" ht="15.5">
      <c r="A3773" s="29">
        <v>39079</v>
      </c>
      <c r="B3773" s="28">
        <v>1.0965</v>
      </c>
      <c r="C3773" s="28" t="s">
        <v>1136</v>
      </c>
    </row>
    <row r="3774" spans="1:3" ht="15.5">
      <c r="A3774" s="29">
        <v>39078</v>
      </c>
      <c r="B3774" s="28">
        <v>1.1011</v>
      </c>
      <c r="C3774" s="28" t="s">
        <v>1136</v>
      </c>
    </row>
    <row r="3775" spans="1:3" ht="15.5">
      <c r="A3775" s="29">
        <v>39073</v>
      </c>
      <c r="B3775" s="28">
        <v>1.1011</v>
      </c>
      <c r="C3775" s="28" t="s">
        <v>1136</v>
      </c>
    </row>
    <row r="3776" spans="1:3" ht="15.5">
      <c r="A3776" s="29">
        <v>39072</v>
      </c>
      <c r="B3776" s="28">
        <v>1.1055999999999999</v>
      </c>
      <c r="C3776" s="28" t="s">
        <v>1136</v>
      </c>
    </row>
    <row r="3777" spans="1:3" ht="15.5">
      <c r="A3777" s="29">
        <v>39071</v>
      </c>
      <c r="B3777" s="28">
        <v>1.1102000000000001</v>
      </c>
      <c r="C3777" s="28" t="s">
        <v>1136</v>
      </c>
    </row>
    <row r="3778" spans="1:3" ht="15.5">
      <c r="A3778" s="29">
        <v>39070</v>
      </c>
      <c r="B3778" s="28">
        <v>1.1055999999999999</v>
      </c>
      <c r="C3778" s="28" t="s">
        <v>1136</v>
      </c>
    </row>
    <row r="3779" spans="1:3" ht="15.5">
      <c r="A3779" s="29">
        <v>39069</v>
      </c>
      <c r="B3779" s="28">
        <v>1.1011</v>
      </c>
      <c r="C3779" s="28" t="s">
        <v>1136</v>
      </c>
    </row>
    <row r="3780" spans="1:3" ht="15.5">
      <c r="A3780" s="29">
        <v>39066</v>
      </c>
      <c r="B3780" s="28">
        <v>1.0873999999999999</v>
      </c>
      <c r="C3780" s="28" t="s">
        <v>1136</v>
      </c>
    </row>
    <row r="3781" spans="1:3" ht="15.5">
      <c r="A3781" s="29">
        <v>39065</v>
      </c>
      <c r="B3781" s="28">
        <v>1.0873999999999999</v>
      </c>
      <c r="C3781" s="28" t="s">
        <v>1136</v>
      </c>
    </row>
    <row r="3782" spans="1:3" ht="15.5">
      <c r="A3782" s="29">
        <v>39064</v>
      </c>
      <c r="B3782" s="28">
        <v>1.0920000000000001</v>
      </c>
      <c r="C3782" s="28" t="s">
        <v>1136</v>
      </c>
    </row>
    <row r="3783" spans="1:3" ht="15.5">
      <c r="A3783" s="29">
        <v>39063</v>
      </c>
      <c r="B3783" s="28">
        <v>1.0829</v>
      </c>
      <c r="C3783" s="28" t="s">
        <v>1136</v>
      </c>
    </row>
    <row r="3784" spans="1:3" ht="15.5">
      <c r="A3784" s="29">
        <v>39062</v>
      </c>
      <c r="B3784" s="28">
        <v>1.0873999999999999</v>
      </c>
      <c r="C3784" s="28" t="s">
        <v>1136</v>
      </c>
    </row>
    <row r="3785" spans="1:3" ht="15.5">
      <c r="A3785" s="29">
        <v>39059</v>
      </c>
      <c r="B3785" s="28">
        <v>1.0873999999999999</v>
      </c>
      <c r="C3785" s="28" t="s">
        <v>1136</v>
      </c>
    </row>
    <row r="3786" spans="1:3" ht="15.5">
      <c r="A3786" s="29">
        <v>39058</v>
      </c>
      <c r="B3786" s="28">
        <v>1.0783</v>
      </c>
      <c r="C3786" s="28" t="s">
        <v>1136</v>
      </c>
    </row>
    <row r="3787" spans="1:3" ht="15.5">
      <c r="A3787" s="29">
        <v>39057</v>
      </c>
      <c r="B3787" s="28">
        <v>1.0783</v>
      </c>
      <c r="C3787" s="28" t="s">
        <v>1136</v>
      </c>
    </row>
    <row r="3788" spans="1:3" ht="15.5">
      <c r="A3788" s="29">
        <v>39056</v>
      </c>
      <c r="B3788" s="28">
        <v>1.0829</v>
      </c>
      <c r="C3788" s="28" t="s">
        <v>1136</v>
      </c>
    </row>
    <row r="3789" spans="1:3" ht="15.5">
      <c r="A3789" s="29">
        <v>39055</v>
      </c>
      <c r="B3789" s="28">
        <v>1.0691999999999999</v>
      </c>
      <c r="C3789" s="28" t="s">
        <v>1136</v>
      </c>
    </row>
    <row r="3790" spans="1:3" ht="15.5">
      <c r="A3790" s="29">
        <v>39052</v>
      </c>
      <c r="B3790" s="28">
        <v>1.0647</v>
      </c>
      <c r="C3790" s="28" t="s">
        <v>1136</v>
      </c>
    </row>
    <row r="3791" spans="1:3" ht="15.5">
      <c r="A3791" s="29">
        <v>39051</v>
      </c>
      <c r="B3791" s="28">
        <v>1.0691999999999999</v>
      </c>
      <c r="C3791" s="28" t="s">
        <v>1136</v>
      </c>
    </row>
    <row r="3792" spans="1:3" ht="15.5">
      <c r="A3792" s="29">
        <v>39050</v>
      </c>
      <c r="B3792" s="28">
        <v>1.0738000000000001</v>
      </c>
      <c r="C3792" s="28" t="s">
        <v>1136</v>
      </c>
    </row>
    <row r="3793" spans="1:3" ht="15.5">
      <c r="A3793" s="29">
        <v>39049</v>
      </c>
      <c r="B3793" s="28">
        <v>1.0509999999999999</v>
      </c>
      <c r="C3793" s="28" t="s">
        <v>1136</v>
      </c>
    </row>
    <row r="3794" spans="1:3" ht="15.5">
      <c r="A3794" s="29">
        <v>39048</v>
      </c>
      <c r="B3794" s="28">
        <v>1.0647</v>
      </c>
      <c r="C3794" s="28" t="s">
        <v>1136</v>
      </c>
    </row>
    <row r="3795" spans="1:3" ht="15.5">
      <c r="A3795" s="29">
        <v>39045</v>
      </c>
      <c r="B3795" s="28">
        <v>1.0691999999999999</v>
      </c>
      <c r="C3795" s="28" t="s">
        <v>1136</v>
      </c>
    </row>
    <row r="3796" spans="1:3" ht="15.5">
      <c r="A3796" s="29">
        <v>39044</v>
      </c>
      <c r="B3796" s="28">
        <v>1.0691999999999999</v>
      </c>
      <c r="C3796" s="28" t="s">
        <v>1136</v>
      </c>
    </row>
    <row r="3797" spans="1:3" ht="15.5">
      <c r="A3797" s="29">
        <v>39043</v>
      </c>
      <c r="B3797" s="28">
        <v>1.0829</v>
      </c>
      <c r="C3797" s="28" t="s">
        <v>1136</v>
      </c>
    </row>
    <row r="3798" spans="1:3" ht="15.5">
      <c r="A3798" s="29">
        <v>39042</v>
      </c>
      <c r="B3798" s="28">
        <v>1.0873999999999999</v>
      </c>
      <c r="C3798" s="28" t="s">
        <v>1136</v>
      </c>
    </row>
    <row r="3799" spans="1:3" ht="15.5">
      <c r="A3799" s="29">
        <v>39041</v>
      </c>
      <c r="B3799" s="28">
        <v>1.0465</v>
      </c>
      <c r="C3799" s="28" t="s">
        <v>1136</v>
      </c>
    </row>
    <row r="3800" spans="1:3" ht="15.5">
      <c r="A3800" s="29">
        <v>39038</v>
      </c>
      <c r="B3800" s="28">
        <v>1.0920000000000001</v>
      </c>
      <c r="C3800" s="28" t="s">
        <v>1136</v>
      </c>
    </row>
    <row r="3801" spans="1:3" ht="15.5">
      <c r="A3801" s="29">
        <v>39037</v>
      </c>
      <c r="B3801" s="28">
        <v>1.0920000000000001</v>
      </c>
      <c r="C3801" s="28" t="s">
        <v>1136</v>
      </c>
    </row>
    <row r="3802" spans="1:3" ht="15.5">
      <c r="A3802" s="29">
        <v>39036</v>
      </c>
      <c r="B3802" s="28">
        <v>1.0920000000000001</v>
      </c>
      <c r="C3802" s="28" t="s">
        <v>1136</v>
      </c>
    </row>
    <row r="3803" spans="1:3" ht="15.5">
      <c r="A3803" s="29">
        <v>39035</v>
      </c>
      <c r="B3803" s="28">
        <v>1.0920000000000001</v>
      </c>
      <c r="C3803" s="28" t="s">
        <v>1136</v>
      </c>
    </row>
    <row r="3804" spans="1:3" ht="15.5">
      <c r="A3804" s="29">
        <v>39034</v>
      </c>
      <c r="B3804" s="28">
        <v>1.0829</v>
      </c>
      <c r="C3804" s="28" t="s">
        <v>1136</v>
      </c>
    </row>
    <row r="3805" spans="1:3" ht="15.5">
      <c r="A3805" s="29">
        <v>39031</v>
      </c>
      <c r="B3805" s="28">
        <v>1.0873999999999999</v>
      </c>
      <c r="C3805" s="28" t="s">
        <v>1136</v>
      </c>
    </row>
    <row r="3806" spans="1:3" ht="15.5">
      <c r="A3806" s="29">
        <v>39030</v>
      </c>
      <c r="B3806" s="28">
        <v>1.0738000000000001</v>
      </c>
      <c r="C3806" s="28" t="s">
        <v>1136</v>
      </c>
    </row>
    <row r="3807" spans="1:3" ht="15.5">
      <c r="A3807" s="29">
        <v>39029</v>
      </c>
      <c r="B3807" s="28">
        <v>1.0738000000000001</v>
      </c>
      <c r="C3807" s="28" t="s">
        <v>1136</v>
      </c>
    </row>
    <row r="3808" spans="1:3" ht="15.5">
      <c r="A3808" s="29">
        <v>39028</v>
      </c>
      <c r="B3808" s="28">
        <v>1.0873999999999999</v>
      </c>
      <c r="C3808" s="28" t="s">
        <v>1136</v>
      </c>
    </row>
    <row r="3809" spans="1:3" ht="15.5">
      <c r="A3809" s="29">
        <v>39027</v>
      </c>
      <c r="B3809" s="28">
        <v>1.0920000000000001</v>
      </c>
      <c r="C3809" s="28" t="s">
        <v>1136</v>
      </c>
    </row>
    <row r="3810" spans="1:3" ht="15.5">
      <c r="A3810" s="29">
        <v>39024</v>
      </c>
      <c r="B3810" s="28">
        <v>1.0920000000000001</v>
      </c>
      <c r="C3810" s="28" t="s">
        <v>1136</v>
      </c>
    </row>
    <row r="3811" spans="1:3" ht="15.5">
      <c r="A3811" s="29">
        <v>39023</v>
      </c>
      <c r="B3811" s="28">
        <v>1.0738000000000001</v>
      </c>
      <c r="C3811" s="28" t="s">
        <v>1136</v>
      </c>
    </row>
    <row r="3812" spans="1:3" ht="15.5">
      <c r="A3812" s="29">
        <v>39022</v>
      </c>
      <c r="B3812" s="28">
        <v>1.0965</v>
      </c>
      <c r="C3812" s="28" t="s">
        <v>1136</v>
      </c>
    </row>
    <row r="3813" spans="1:3" ht="15.5">
      <c r="A3813" s="29">
        <v>39021</v>
      </c>
      <c r="B3813" s="28">
        <v>1.0829</v>
      </c>
      <c r="C3813" s="28" t="s">
        <v>1136</v>
      </c>
    </row>
    <row r="3814" spans="1:3" ht="15.5">
      <c r="A3814" s="29">
        <v>39020</v>
      </c>
      <c r="B3814" s="28">
        <v>1.0873999999999999</v>
      </c>
      <c r="C3814" s="28" t="s">
        <v>1136</v>
      </c>
    </row>
    <row r="3815" spans="1:3" ht="15.5">
      <c r="A3815" s="29">
        <v>39017</v>
      </c>
      <c r="B3815" s="28">
        <v>1.0965</v>
      </c>
      <c r="C3815" s="28" t="s">
        <v>1136</v>
      </c>
    </row>
    <row r="3816" spans="1:3" ht="15.5">
      <c r="A3816" s="29">
        <v>39016</v>
      </c>
      <c r="B3816" s="28">
        <v>1.1102000000000001</v>
      </c>
      <c r="C3816" s="28" t="s">
        <v>1136</v>
      </c>
    </row>
    <row r="3817" spans="1:3" ht="15.5">
      <c r="A3817" s="29">
        <v>39015</v>
      </c>
      <c r="B3817" s="28">
        <v>1.1102000000000001</v>
      </c>
      <c r="C3817" s="28" t="s">
        <v>1136</v>
      </c>
    </row>
    <row r="3818" spans="1:3" ht="15.5">
      <c r="A3818" s="29">
        <v>39014</v>
      </c>
      <c r="B3818" s="28">
        <v>1.0965</v>
      </c>
      <c r="C3818" s="28" t="s">
        <v>1136</v>
      </c>
    </row>
    <row r="3819" spans="1:3" ht="15.5">
      <c r="A3819" s="29">
        <v>39013</v>
      </c>
      <c r="B3819" s="28">
        <v>1.0873999999999999</v>
      </c>
      <c r="C3819" s="28" t="s">
        <v>1136</v>
      </c>
    </row>
    <row r="3820" spans="1:3" ht="15.5">
      <c r="A3820" s="29">
        <v>39010</v>
      </c>
      <c r="B3820" s="28">
        <v>1.0873999999999999</v>
      </c>
      <c r="C3820" s="28" t="s">
        <v>1136</v>
      </c>
    </row>
    <row r="3821" spans="1:3" ht="15.5">
      <c r="A3821" s="29">
        <v>39009</v>
      </c>
      <c r="B3821" s="28">
        <v>1.0965</v>
      </c>
      <c r="C3821" s="28" t="s">
        <v>1136</v>
      </c>
    </row>
    <row r="3822" spans="1:3" ht="15.5">
      <c r="A3822" s="29">
        <v>39008</v>
      </c>
      <c r="B3822" s="28">
        <v>1.1193</v>
      </c>
      <c r="C3822" s="28" t="s">
        <v>1136</v>
      </c>
    </row>
    <row r="3823" spans="1:3" ht="15.5">
      <c r="A3823" s="29">
        <v>39007</v>
      </c>
      <c r="B3823" s="28">
        <v>1.1193</v>
      </c>
      <c r="C3823" s="28" t="s">
        <v>1136</v>
      </c>
    </row>
    <row r="3824" spans="1:3" ht="15.5">
      <c r="A3824" s="29">
        <v>39006</v>
      </c>
      <c r="B3824" s="28">
        <v>1.1055999999999999</v>
      </c>
      <c r="C3824" s="28" t="s">
        <v>1136</v>
      </c>
    </row>
    <row r="3825" spans="1:3" ht="15.5">
      <c r="A3825" s="29">
        <v>39003</v>
      </c>
      <c r="B3825" s="28">
        <v>1.1011</v>
      </c>
      <c r="C3825" s="28" t="s">
        <v>1136</v>
      </c>
    </row>
    <row r="3826" spans="1:3" ht="15.5">
      <c r="A3826" s="29">
        <v>39002</v>
      </c>
      <c r="B3826" s="28">
        <v>1.1055999999999999</v>
      </c>
      <c r="C3826" s="28" t="s">
        <v>1136</v>
      </c>
    </row>
    <row r="3827" spans="1:3" ht="15.5">
      <c r="A3827" s="29">
        <v>39001</v>
      </c>
      <c r="B3827" s="28">
        <v>1.1011</v>
      </c>
      <c r="C3827" s="28" t="s">
        <v>1136</v>
      </c>
    </row>
    <row r="3828" spans="1:3" ht="15.5">
      <c r="A3828" s="29">
        <v>39000</v>
      </c>
      <c r="B3828" s="28">
        <v>1.1011</v>
      </c>
      <c r="C3828" s="28" t="s">
        <v>1136</v>
      </c>
    </row>
    <row r="3829" spans="1:3" ht="15.5">
      <c r="A3829" s="29">
        <v>38999</v>
      </c>
      <c r="B3829" s="28">
        <v>1.1055999999999999</v>
      </c>
      <c r="C3829" s="28" t="s">
        <v>1136</v>
      </c>
    </row>
    <row r="3830" spans="1:3" ht="15.5">
      <c r="A3830" s="29">
        <v>38996</v>
      </c>
      <c r="B3830" s="28">
        <v>1.1102000000000001</v>
      </c>
      <c r="C3830" s="28" t="s">
        <v>1136</v>
      </c>
    </row>
    <row r="3831" spans="1:3" ht="15.5">
      <c r="A3831" s="29">
        <v>38995</v>
      </c>
      <c r="B3831" s="28">
        <v>1.1147</v>
      </c>
      <c r="C3831" s="28" t="s">
        <v>1136</v>
      </c>
    </row>
    <row r="3832" spans="1:3" ht="15.5">
      <c r="A3832" s="29">
        <v>38994</v>
      </c>
      <c r="B3832" s="28">
        <v>1.1102000000000001</v>
      </c>
      <c r="C3832" s="28" t="s">
        <v>1136</v>
      </c>
    </row>
    <row r="3833" spans="1:3" ht="15.5">
      <c r="A3833" s="29">
        <v>38993</v>
      </c>
      <c r="B3833" s="28">
        <v>1.1102000000000001</v>
      </c>
      <c r="C3833" s="28" t="s">
        <v>1136</v>
      </c>
    </row>
    <row r="3834" spans="1:3" ht="15.5">
      <c r="A3834" s="29">
        <v>38992</v>
      </c>
      <c r="B3834" s="28">
        <v>1.1147</v>
      </c>
      <c r="C3834" s="28" t="s">
        <v>1136</v>
      </c>
    </row>
    <row r="3835" spans="1:3" ht="15.5">
      <c r="A3835" s="29">
        <v>38989</v>
      </c>
      <c r="B3835" s="28">
        <v>1.1102000000000001</v>
      </c>
      <c r="C3835" s="28" t="s">
        <v>1136</v>
      </c>
    </row>
    <row r="3836" spans="1:3" ht="15.5">
      <c r="A3836" s="29">
        <v>38988</v>
      </c>
      <c r="B3836" s="28">
        <v>1.1055999999999999</v>
      </c>
      <c r="C3836" s="28" t="s">
        <v>1136</v>
      </c>
    </row>
    <row r="3837" spans="1:3" ht="15.5">
      <c r="A3837" s="29">
        <v>38987</v>
      </c>
      <c r="B3837" s="28">
        <v>1.1102000000000001</v>
      </c>
      <c r="C3837" s="28" t="s">
        <v>1136</v>
      </c>
    </row>
    <row r="3838" spans="1:3" ht="15.5">
      <c r="A3838" s="29">
        <v>38986</v>
      </c>
      <c r="B3838" s="28">
        <v>1.0965</v>
      </c>
      <c r="C3838" s="28" t="s">
        <v>1136</v>
      </c>
    </row>
    <row r="3839" spans="1:3" ht="15.5">
      <c r="A3839" s="29">
        <v>38985</v>
      </c>
      <c r="B3839" s="28">
        <v>1.0829</v>
      </c>
      <c r="C3839" s="28" t="s">
        <v>1136</v>
      </c>
    </row>
    <row r="3840" spans="1:3" ht="15.5">
      <c r="A3840" s="29">
        <v>38982</v>
      </c>
      <c r="B3840" s="28">
        <v>1.0920000000000001</v>
      </c>
      <c r="C3840" s="28" t="s">
        <v>1136</v>
      </c>
    </row>
    <row r="3841" spans="1:3" ht="15.5">
      <c r="A3841" s="29">
        <v>38981</v>
      </c>
      <c r="B3841" s="28">
        <v>1.1011</v>
      </c>
      <c r="C3841" s="28" t="s">
        <v>1136</v>
      </c>
    </row>
    <row r="3842" spans="1:3" ht="15.5">
      <c r="A3842" s="29">
        <v>38980</v>
      </c>
      <c r="B3842" s="28">
        <v>1.0965</v>
      </c>
      <c r="C3842" s="28" t="s">
        <v>1136</v>
      </c>
    </row>
    <row r="3843" spans="1:3" ht="15.5">
      <c r="A3843" s="29">
        <v>38979</v>
      </c>
      <c r="B3843" s="28">
        <v>1.0920000000000001</v>
      </c>
      <c r="C3843" s="28" t="s">
        <v>1136</v>
      </c>
    </row>
    <row r="3844" spans="1:3" ht="15.5">
      <c r="A3844" s="29">
        <v>38978</v>
      </c>
      <c r="B3844" s="28">
        <v>1.1102000000000001</v>
      </c>
      <c r="C3844" s="28" t="s">
        <v>1136</v>
      </c>
    </row>
    <row r="3845" spans="1:3" ht="15.5">
      <c r="A3845" s="29">
        <v>38975</v>
      </c>
      <c r="B3845" s="28">
        <v>1.0829</v>
      </c>
      <c r="C3845" s="28" t="s">
        <v>1136</v>
      </c>
    </row>
    <row r="3846" spans="1:3" ht="15.5">
      <c r="A3846" s="29">
        <v>38974</v>
      </c>
      <c r="B3846" s="28">
        <v>1.0873999999999999</v>
      </c>
      <c r="C3846" s="28" t="s">
        <v>1136</v>
      </c>
    </row>
    <row r="3847" spans="1:3" ht="15.5">
      <c r="A3847" s="29">
        <v>38973</v>
      </c>
      <c r="B3847" s="28">
        <v>1.0873999999999999</v>
      </c>
      <c r="C3847" s="28" t="s">
        <v>1136</v>
      </c>
    </row>
    <row r="3848" spans="1:3" ht="15.5">
      <c r="A3848" s="29">
        <v>38972</v>
      </c>
      <c r="B3848" s="28">
        <v>1.0920000000000001</v>
      </c>
      <c r="C3848" s="28" t="s">
        <v>1136</v>
      </c>
    </row>
    <row r="3849" spans="1:3" ht="15.5">
      <c r="A3849" s="29">
        <v>38971</v>
      </c>
      <c r="B3849" s="28">
        <v>1.0920000000000001</v>
      </c>
      <c r="C3849" s="28" t="s">
        <v>1136</v>
      </c>
    </row>
    <row r="3850" spans="1:3" ht="15.5">
      <c r="A3850" s="29">
        <v>38968</v>
      </c>
      <c r="B3850" s="28">
        <v>1.0738000000000001</v>
      </c>
      <c r="C3850" s="28" t="s">
        <v>1136</v>
      </c>
    </row>
    <row r="3851" spans="1:3" ht="15.5">
      <c r="A3851" s="29">
        <v>38967</v>
      </c>
      <c r="B3851" s="28">
        <v>1.0738000000000001</v>
      </c>
      <c r="C3851" s="28" t="s">
        <v>1136</v>
      </c>
    </row>
    <row r="3852" spans="1:3" ht="15.5">
      <c r="A3852" s="29">
        <v>38966</v>
      </c>
      <c r="B3852" s="28">
        <v>1.0738000000000001</v>
      </c>
      <c r="C3852" s="28" t="s">
        <v>1136</v>
      </c>
    </row>
    <row r="3853" spans="1:3" ht="15.5">
      <c r="A3853" s="29">
        <v>38965</v>
      </c>
      <c r="B3853" s="28">
        <v>1.1011</v>
      </c>
      <c r="C3853" s="28" t="s">
        <v>1136</v>
      </c>
    </row>
    <row r="3854" spans="1:3" ht="15.5">
      <c r="A3854" s="29">
        <v>38964</v>
      </c>
      <c r="B3854" s="28">
        <v>1.1011</v>
      </c>
      <c r="C3854" s="28" t="s">
        <v>1136</v>
      </c>
    </row>
    <row r="3855" spans="1:3" ht="15.5">
      <c r="A3855" s="29">
        <v>38961</v>
      </c>
      <c r="B3855" s="28">
        <v>1.0829</v>
      </c>
      <c r="C3855" s="28" t="s">
        <v>1136</v>
      </c>
    </row>
    <row r="3856" spans="1:3" ht="15.5">
      <c r="A3856" s="29">
        <v>38960</v>
      </c>
      <c r="B3856" s="28">
        <v>1.0873999999999999</v>
      </c>
      <c r="C3856" s="28" t="s">
        <v>1136</v>
      </c>
    </row>
    <row r="3857" spans="1:3" ht="15.5">
      <c r="A3857" s="29">
        <v>38959</v>
      </c>
      <c r="B3857" s="28">
        <v>1.1329</v>
      </c>
      <c r="C3857" s="28" t="s">
        <v>1136</v>
      </c>
    </row>
    <row r="3858" spans="1:3" ht="15.5">
      <c r="A3858" s="29">
        <v>38958</v>
      </c>
      <c r="B3858" s="28">
        <v>1.1419999999999999</v>
      </c>
      <c r="C3858" s="28" t="s">
        <v>1136</v>
      </c>
    </row>
    <row r="3859" spans="1:3" ht="15.5">
      <c r="A3859" s="29">
        <v>38957</v>
      </c>
      <c r="B3859" s="28">
        <v>1.1375</v>
      </c>
      <c r="C3859" s="28" t="s">
        <v>1136</v>
      </c>
    </row>
    <row r="3860" spans="1:3" ht="15.5">
      <c r="A3860" s="29">
        <v>38954</v>
      </c>
      <c r="B3860" s="28">
        <v>1.1193</v>
      </c>
      <c r="C3860" s="28" t="s">
        <v>1136</v>
      </c>
    </row>
    <row r="3861" spans="1:3" ht="15.5">
      <c r="A3861" s="29">
        <v>38953</v>
      </c>
      <c r="B3861" s="28">
        <v>1.0738000000000001</v>
      </c>
      <c r="C3861" s="28" t="s">
        <v>1136</v>
      </c>
    </row>
    <row r="3862" spans="1:3" ht="15.5">
      <c r="A3862" s="29">
        <v>38952</v>
      </c>
      <c r="B3862" s="28">
        <v>1.1147</v>
      </c>
      <c r="C3862" s="28" t="s">
        <v>1136</v>
      </c>
    </row>
    <row r="3863" spans="1:3" ht="15.5">
      <c r="A3863" s="29">
        <v>38951</v>
      </c>
      <c r="B3863" s="28">
        <v>1.1102000000000001</v>
      </c>
      <c r="C3863" s="28" t="s">
        <v>1136</v>
      </c>
    </row>
    <row r="3864" spans="1:3" ht="15.5">
      <c r="A3864" s="29">
        <v>38950</v>
      </c>
      <c r="B3864" s="28">
        <v>1.1011</v>
      </c>
      <c r="C3864" s="28" t="s">
        <v>1136</v>
      </c>
    </row>
    <row r="3865" spans="1:3" ht="15.5">
      <c r="A3865" s="29">
        <v>38947</v>
      </c>
      <c r="B3865" s="28">
        <v>1.1011</v>
      </c>
      <c r="C3865" s="28" t="s">
        <v>1136</v>
      </c>
    </row>
    <row r="3866" spans="1:3" ht="15.5">
      <c r="A3866" s="29">
        <v>38946</v>
      </c>
      <c r="B3866" s="28">
        <v>1.0965</v>
      </c>
      <c r="C3866" s="28" t="s">
        <v>1136</v>
      </c>
    </row>
    <row r="3867" spans="1:3" ht="15.5">
      <c r="A3867" s="29">
        <v>38945</v>
      </c>
      <c r="B3867" s="28">
        <v>1.0873999999999999</v>
      </c>
      <c r="C3867" s="28" t="s">
        <v>1136</v>
      </c>
    </row>
    <row r="3868" spans="1:3" ht="15.5">
      <c r="A3868" s="29">
        <v>38944</v>
      </c>
      <c r="B3868" s="28">
        <v>1.0920000000000001</v>
      </c>
      <c r="C3868" s="28" t="s">
        <v>1136</v>
      </c>
    </row>
    <row r="3869" spans="1:3" ht="15.5">
      <c r="A3869" s="29">
        <v>38943</v>
      </c>
      <c r="B3869" s="28">
        <v>1.1011</v>
      </c>
      <c r="C3869" s="28" t="s">
        <v>1136</v>
      </c>
    </row>
    <row r="3870" spans="1:3" ht="15.5">
      <c r="A3870" s="29">
        <v>38940</v>
      </c>
      <c r="B3870" s="28">
        <v>1.0920000000000001</v>
      </c>
      <c r="C3870" s="28" t="s">
        <v>1136</v>
      </c>
    </row>
    <row r="3871" spans="1:3" ht="15.5">
      <c r="A3871" s="29">
        <v>38939</v>
      </c>
      <c r="B3871" s="28">
        <v>1.0920000000000001</v>
      </c>
      <c r="C3871" s="28" t="s">
        <v>1136</v>
      </c>
    </row>
    <row r="3872" spans="1:3" ht="15.5">
      <c r="A3872" s="29">
        <v>38938</v>
      </c>
      <c r="B3872" s="28">
        <v>1.1011</v>
      </c>
      <c r="C3872" s="28" t="s">
        <v>1136</v>
      </c>
    </row>
    <row r="3873" spans="1:3" ht="15.5">
      <c r="A3873" s="29">
        <v>38937</v>
      </c>
      <c r="B3873" s="28">
        <v>1.1055999999999999</v>
      </c>
      <c r="C3873" s="28" t="s">
        <v>1136</v>
      </c>
    </row>
    <row r="3874" spans="1:3" ht="15.5">
      <c r="A3874" s="29">
        <v>38936</v>
      </c>
      <c r="B3874" s="28">
        <v>1.0965</v>
      </c>
      <c r="C3874" s="28" t="s">
        <v>1136</v>
      </c>
    </row>
    <row r="3875" spans="1:3" ht="15.5">
      <c r="A3875" s="29">
        <v>38933</v>
      </c>
      <c r="B3875" s="28">
        <v>1.1102000000000001</v>
      </c>
      <c r="C3875" s="28" t="s">
        <v>1136</v>
      </c>
    </row>
    <row r="3876" spans="1:3" ht="15.5">
      <c r="A3876" s="29">
        <v>38932</v>
      </c>
      <c r="B3876" s="28">
        <v>1.1147</v>
      </c>
      <c r="C3876" s="28" t="s">
        <v>1136</v>
      </c>
    </row>
    <row r="3877" spans="1:3" ht="15.5">
      <c r="A3877" s="29">
        <v>38931</v>
      </c>
      <c r="B3877" s="28">
        <v>1.0965</v>
      </c>
      <c r="C3877" s="28" t="s">
        <v>1136</v>
      </c>
    </row>
    <row r="3878" spans="1:3" ht="15.5">
      <c r="A3878" s="29">
        <v>38930</v>
      </c>
      <c r="B3878" s="28">
        <v>1.1147</v>
      </c>
      <c r="C3878" s="28" t="s">
        <v>1136</v>
      </c>
    </row>
    <row r="3879" spans="1:3" ht="15.5">
      <c r="A3879" s="29">
        <v>38929</v>
      </c>
      <c r="B3879" s="28">
        <v>1.1147</v>
      </c>
      <c r="C3879" s="28" t="s">
        <v>1136</v>
      </c>
    </row>
    <row r="3880" spans="1:3" ht="15.5">
      <c r="A3880" s="29">
        <v>38926</v>
      </c>
      <c r="B3880" s="28">
        <v>1.1011</v>
      </c>
      <c r="C3880" s="28" t="s">
        <v>1136</v>
      </c>
    </row>
    <row r="3881" spans="1:3" ht="15.5">
      <c r="A3881" s="29">
        <v>38925</v>
      </c>
      <c r="B3881" s="28">
        <v>1.1102000000000001</v>
      </c>
      <c r="C3881" s="28" t="s">
        <v>1136</v>
      </c>
    </row>
    <row r="3882" spans="1:3" ht="15.5">
      <c r="A3882" s="29">
        <v>38924</v>
      </c>
      <c r="B3882" s="28">
        <v>1.0920000000000001</v>
      </c>
      <c r="C3882" s="28" t="s">
        <v>1136</v>
      </c>
    </row>
    <row r="3883" spans="1:3" ht="15.5">
      <c r="A3883" s="29">
        <v>38923</v>
      </c>
      <c r="B3883" s="28">
        <v>1.1102000000000001</v>
      </c>
      <c r="C3883" s="28" t="s">
        <v>1136</v>
      </c>
    </row>
    <row r="3884" spans="1:3" ht="15.5">
      <c r="A3884" s="29">
        <v>38922</v>
      </c>
      <c r="B3884" s="28">
        <v>1.0965</v>
      </c>
      <c r="C3884" s="28" t="s">
        <v>1136</v>
      </c>
    </row>
    <row r="3885" spans="1:3" ht="15.5">
      <c r="A3885" s="29">
        <v>38919</v>
      </c>
      <c r="B3885" s="28">
        <v>1.0920000000000001</v>
      </c>
      <c r="C3885" s="28" t="s">
        <v>1136</v>
      </c>
    </row>
    <row r="3886" spans="1:3" ht="15.5">
      <c r="A3886" s="29">
        <v>38918</v>
      </c>
      <c r="B3886" s="28">
        <v>1.0873999999999999</v>
      </c>
      <c r="C3886" s="28" t="s">
        <v>1136</v>
      </c>
    </row>
    <row r="3887" spans="1:3" ht="15.5">
      <c r="A3887" s="29">
        <v>38917</v>
      </c>
      <c r="B3887" s="28">
        <v>1.0920000000000001</v>
      </c>
      <c r="C3887" s="28" t="s">
        <v>1136</v>
      </c>
    </row>
    <row r="3888" spans="1:3" ht="15.5">
      <c r="A3888" s="29">
        <v>38916</v>
      </c>
      <c r="B3888" s="28">
        <v>1.0965</v>
      </c>
      <c r="C3888" s="28" t="s">
        <v>1136</v>
      </c>
    </row>
    <row r="3889" spans="1:3" ht="15.5">
      <c r="A3889" s="29">
        <v>38915</v>
      </c>
      <c r="B3889" s="28">
        <v>1.0829</v>
      </c>
      <c r="C3889" s="28" t="s">
        <v>1136</v>
      </c>
    </row>
    <row r="3890" spans="1:3" ht="15.5">
      <c r="A3890" s="29">
        <v>38912</v>
      </c>
      <c r="B3890" s="28">
        <v>1.0647</v>
      </c>
      <c r="C3890" s="28" t="s">
        <v>1136</v>
      </c>
    </row>
    <row r="3891" spans="1:3" ht="15.5">
      <c r="A3891" s="29">
        <v>38911</v>
      </c>
      <c r="B3891" s="28">
        <v>1.1055999999999999</v>
      </c>
      <c r="C3891" s="28" t="s">
        <v>1136</v>
      </c>
    </row>
    <row r="3892" spans="1:3" ht="15.5">
      <c r="A3892" s="29">
        <v>38910</v>
      </c>
      <c r="B3892" s="28">
        <v>1.1055999999999999</v>
      </c>
      <c r="C3892" s="28" t="s">
        <v>1136</v>
      </c>
    </row>
    <row r="3893" spans="1:3" ht="15.5">
      <c r="A3893" s="29">
        <v>38909</v>
      </c>
      <c r="B3893" s="28">
        <v>1.0920000000000001</v>
      </c>
      <c r="C3893" s="28" t="s">
        <v>1136</v>
      </c>
    </row>
    <row r="3894" spans="1:3" ht="15.5">
      <c r="A3894" s="29">
        <v>38908</v>
      </c>
      <c r="B3894" s="28">
        <v>1.0691999999999999</v>
      </c>
      <c r="C3894" s="28" t="s">
        <v>1136</v>
      </c>
    </row>
    <row r="3895" spans="1:3" ht="15.5">
      <c r="A3895" s="29">
        <v>38905</v>
      </c>
      <c r="B3895" s="28">
        <v>1.0647</v>
      </c>
      <c r="C3895" s="28" t="s">
        <v>1136</v>
      </c>
    </row>
    <row r="3896" spans="1:3" ht="15.5">
      <c r="A3896" s="29">
        <v>38904</v>
      </c>
      <c r="B3896" s="28">
        <v>1.0601</v>
      </c>
      <c r="C3896" s="28" t="s">
        <v>1136</v>
      </c>
    </row>
    <row r="3897" spans="1:3" ht="15.5">
      <c r="A3897" s="29">
        <v>38903</v>
      </c>
      <c r="B3897" s="28">
        <v>1.0601</v>
      </c>
      <c r="C3897" s="28" t="s">
        <v>1136</v>
      </c>
    </row>
    <row r="3898" spans="1:3" ht="15.5">
      <c r="A3898" s="29">
        <v>38902</v>
      </c>
      <c r="B3898" s="28">
        <v>1.0556000000000001</v>
      </c>
      <c r="C3898" s="28" t="s">
        <v>1136</v>
      </c>
    </row>
    <row r="3899" spans="1:3" ht="15.5">
      <c r="A3899" s="29">
        <v>38901</v>
      </c>
      <c r="B3899" s="28">
        <v>1.0419</v>
      </c>
      <c r="C3899" s="28" t="s">
        <v>1136</v>
      </c>
    </row>
    <row r="3900" spans="1:3" ht="15.5">
      <c r="A3900" s="29">
        <v>38898</v>
      </c>
      <c r="B3900" s="28">
        <v>1.0283</v>
      </c>
      <c r="C3900" s="28" t="s">
        <v>1136</v>
      </c>
    </row>
    <row r="3901" spans="1:3" ht="15.5">
      <c r="A3901" s="29">
        <v>38897</v>
      </c>
      <c r="B3901" s="28">
        <v>1.0374000000000001</v>
      </c>
      <c r="C3901" s="28" t="s">
        <v>1136</v>
      </c>
    </row>
    <row r="3902" spans="1:3" ht="15.5">
      <c r="A3902" s="29">
        <v>38896</v>
      </c>
      <c r="B3902" s="28">
        <v>1.0237000000000001</v>
      </c>
      <c r="C3902" s="28" t="s">
        <v>1136</v>
      </c>
    </row>
    <row r="3903" spans="1:3" ht="15.5">
      <c r="A3903" s="29">
        <v>38895</v>
      </c>
      <c r="B3903" s="28">
        <v>1.0192000000000001</v>
      </c>
      <c r="C3903" s="28" t="s">
        <v>1136</v>
      </c>
    </row>
    <row r="3904" spans="1:3" ht="15.5">
      <c r="A3904" s="29">
        <v>38894</v>
      </c>
      <c r="B3904" s="28">
        <v>1.0101</v>
      </c>
      <c r="C3904" s="28" t="s">
        <v>1136</v>
      </c>
    </row>
    <row r="3905" spans="1:3" ht="15.5">
      <c r="A3905" s="29">
        <v>38891</v>
      </c>
      <c r="B3905" s="28">
        <v>1.0055000000000001</v>
      </c>
      <c r="C3905" s="28" t="s">
        <v>1136</v>
      </c>
    </row>
    <row r="3906" spans="1:3" ht="15.5">
      <c r="A3906" s="29">
        <v>38890</v>
      </c>
      <c r="B3906" s="28">
        <v>0.99639999999999995</v>
      </c>
      <c r="C3906" s="28" t="s">
        <v>1136</v>
      </c>
    </row>
    <row r="3907" spans="1:3" ht="15.5">
      <c r="A3907" s="29">
        <v>38889</v>
      </c>
      <c r="B3907" s="28">
        <v>0.98729999999999996</v>
      </c>
      <c r="C3907" s="28" t="s">
        <v>1136</v>
      </c>
    </row>
    <row r="3908" spans="1:3" ht="15.5">
      <c r="A3908" s="29">
        <v>38888</v>
      </c>
      <c r="B3908" s="28">
        <v>0.97819999999999996</v>
      </c>
      <c r="C3908" s="28" t="s">
        <v>1136</v>
      </c>
    </row>
    <row r="3909" spans="1:3" ht="15.5">
      <c r="A3909" s="29">
        <v>38887</v>
      </c>
      <c r="B3909" s="28">
        <v>0.98280000000000001</v>
      </c>
      <c r="C3909" s="28" t="s">
        <v>1136</v>
      </c>
    </row>
    <row r="3910" spans="1:3" ht="15.5">
      <c r="A3910" s="29">
        <v>38884</v>
      </c>
      <c r="B3910" s="28">
        <v>0.98729999999999996</v>
      </c>
      <c r="C3910" s="28" t="s">
        <v>1136</v>
      </c>
    </row>
    <row r="3911" spans="1:3" ht="15.5">
      <c r="A3911" s="29">
        <v>38883</v>
      </c>
      <c r="B3911" s="28">
        <v>0.98729999999999996</v>
      </c>
      <c r="C3911" s="28" t="s">
        <v>1136</v>
      </c>
    </row>
    <row r="3912" spans="1:3" ht="15.5">
      <c r="A3912" s="29">
        <v>38882</v>
      </c>
      <c r="B3912" s="28">
        <v>0.97819999999999996</v>
      </c>
      <c r="C3912" s="28" t="s">
        <v>1136</v>
      </c>
    </row>
    <row r="3913" spans="1:3" ht="15.5">
      <c r="A3913" s="29">
        <v>38881</v>
      </c>
      <c r="B3913" s="28">
        <v>0.98280000000000001</v>
      </c>
      <c r="C3913" s="28" t="s">
        <v>1136</v>
      </c>
    </row>
    <row r="3914" spans="1:3" ht="15.5">
      <c r="A3914" s="29">
        <v>38877</v>
      </c>
      <c r="B3914" s="28">
        <v>0.98729999999999996</v>
      </c>
      <c r="C3914" s="28" t="s">
        <v>1136</v>
      </c>
    </row>
    <row r="3915" spans="1:3" ht="15.5">
      <c r="A3915" s="29">
        <v>38876</v>
      </c>
      <c r="B3915" s="28">
        <v>0.97819999999999996</v>
      </c>
      <c r="C3915" s="28" t="s">
        <v>1136</v>
      </c>
    </row>
    <row r="3916" spans="1:3" ht="15.5">
      <c r="A3916" s="29">
        <v>38875</v>
      </c>
      <c r="B3916" s="28">
        <v>0.98280000000000001</v>
      </c>
      <c r="C3916" s="28" t="s">
        <v>1136</v>
      </c>
    </row>
    <row r="3917" spans="1:3" ht="15.5">
      <c r="A3917" s="29">
        <v>38874</v>
      </c>
      <c r="B3917" s="28">
        <v>0.97370000000000001</v>
      </c>
      <c r="C3917" s="28" t="s">
        <v>1136</v>
      </c>
    </row>
    <row r="3918" spans="1:3" ht="15.5">
      <c r="A3918" s="29">
        <v>38873</v>
      </c>
      <c r="B3918" s="28">
        <v>0.97370000000000001</v>
      </c>
      <c r="C3918" s="28" t="s">
        <v>1136</v>
      </c>
    </row>
    <row r="3919" spans="1:3" ht="15.5">
      <c r="A3919" s="29">
        <v>38870</v>
      </c>
      <c r="B3919" s="28">
        <v>0.9919</v>
      </c>
      <c r="C3919" s="28" t="s">
        <v>1136</v>
      </c>
    </row>
    <row r="3920" spans="1:3" ht="15.5">
      <c r="A3920" s="29">
        <v>38869</v>
      </c>
      <c r="B3920" s="28">
        <v>0.97370000000000001</v>
      </c>
      <c r="C3920" s="28" t="s">
        <v>1136</v>
      </c>
    </row>
    <row r="3921" spans="1:3" ht="15.5">
      <c r="A3921" s="29">
        <v>38868</v>
      </c>
      <c r="B3921" s="28">
        <v>0.97370000000000001</v>
      </c>
      <c r="C3921" s="28" t="s">
        <v>1136</v>
      </c>
    </row>
    <row r="3922" spans="1:3" ht="15.5">
      <c r="A3922" s="29">
        <v>38867</v>
      </c>
      <c r="B3922" s="28">
        <v>0.96909999999999996</v>
      </c>
      <c r="C3922" s="28" t="s">
        <v>1136</v>
      </c>
    </row>
    <row r="3923" spans="1:3" ht="15.5">
      <c r="A3923" s="29">
        <v>38866</v>
      </c>
      <c r="B3923" s="28">
        <v>0.97819999999999996</v>
      </c>
      <c r="C3923" s="28" t="s">
        <v>1136</v>
      </c>
    </row>
    <row r="3924" spans="1:3" ht="15.5">
      <c r="A3924" s="29">
        <v>38863</v>
      </c>
      <c r="B3924" s="28">
        <v>0.98729999999999996</v>
      </c>
      <c r="C3924" s="28" t="s">
        <v>1136</v>
      </c>
    </row>
    <row r="3925" spans="1:3" ht="15.5">
      <c r="A3925" s="29">
        <v>38862</v>
      </c>
      <c r="B3925" s="28">
        <v>0.98729999999999996</v>
      </c>
      <c r="C3925" s="28" t="s">
        <v>1136</v>
      </c>
    </row>
    <row r="3926" spans="1:3" ht="15.5">
      <c r="A3926" s="29">
        <v>38861</v>
      </c>
      <c r="B3926" s="28">
        <v>1.0009999999999999</v>
      </c>
      <c r="C3926" s="28" t="s">
        <v>1136</v>
      </c>
    </row>
    <row r="3927" spans="1:3" ht="15.5">
      <c r="A3927" s="29">
        <v>38860</v>
      </c>
      <c r="B3927" s="28">
        <v>0.9919</v>
      </c>
      <c r="C3927" s="28" t="s">
        <v>1136</v>
      </c>
    </row>
    <row r="3928" spans="1:3" ht="15.5">
      <c r="A3928" s="29">
        <v>38859</v>
      </c>
      <c r="B3928" s="28">
        <v>0.9919</v>
      </c>
      <c r="C3928" s="28" t="s">
        <v>1136</v>
      </c>
    </row>
    <row r="3929" spans="1:3" ht="15.5">
      <c r="A3929" s="29">
        <v>38856</v>
      </c>
      <c r="B3929" s="28">
        <v>0.9919</v>
      </c>
      <c r="C3929" s="28" t="s">
        <v>1136</v>
      </c>
    </row>
    <row r="3930" spans="1:3" ht="15.5">
      <c r="A3930" s="29">
        <v>38855</v>
      </c>
      <c r="B3930" s="28">
        <v>0.99639999999999995</v>
      </c>
      <c r="C3930" s="28" t="s">
        <v>1136</v>
      </c>
    </row>
    <row r="3931" spans="1:3" ht="15.5">
      <c r="A3931" s="29">
        <v>38854</v>
      </c>
      <c r="B3931" s="28">
        <v>1.0055000000000001</v>
      </c>
      <c r="C3931" s="28" t="s">
        <v>1136</v>
      </c>
    </row>
    <row r="3932" spans="1:3" ht="15.5">
      <c r="A3932" s="29">
        <v>38853</v>
      </c>
      <c r="B3932" s="28">
        <v>1.0101</v>
      </c>
      <c r="C3932" s="28" t="s">
        <v>1136</v>
      </c>
    </row>
    <row r="3933" spans="1:3" ht="15.5">
      <c r="A3933" s="29">
        <v>38852</v>
      </c>
      <c r="B3933" s="28">
        <v>1.0101</v>
      </c>
      <c r="C3933" s="28" t="s">
        <v>1136</v>
      </c>
    </row>
    <row r="3934" spans="1:3" ht="15.5">
      <c r="A3934" s="29">
        <v>38849</v>
      </c>
      <c r="B3934" s="28">
        <v>1.0101</v>
      </c>
      <c r="C3934" s="28" t="s">
        <v>1136</v>
      </c>
    </row>
    <row r="3935" spans="1:3" ht="15.5">
      <c r="A3935" s="29">
        <v>38848</v>
      </c>
      <c r="B3935" s="28">
        <v>1.0145999999999999</v>
      </c>
      <c r="C3935" s="28" t="s">
        <v>1136</v>
      </c>
    </row>
    <row r="3936" spans="1:3" ht="15.5">
      <c r="A3936" s="29">
        <v>38847</v>
      </c>
      <c r="B3936" s="28">
        <v>1.0009999999999999</v>
      </c>
      <c r="C3936" s="28" t="s">
        <v>1136</v>
      </c>
    </row>
    <row r="3937" spans="1:3" ht="15.5">
      <c r="A3937" s="29">
        <v>38846</v>
      </c>
      <c r="B3937" s="28">
        <v>1.0101</v>
      </c>
      <c r="C3937" s="28" t="s">
        <v>1136</v>
      </c>
    </row>
    <row r="3938" spans="1:3" ht="15.5">
      <c r="A3938" s="29">
        <v>38845</v>
      </c>
      <c r="B3938" s="28">
        <v>1.0009999999999999</v>
      </c>
      <c r="C3938" s="28" t="s">
        <v>1136</v>
      </c>
    </row>
    <row r="3939" spans="1:3" ht="15.5">
      <c r="A3939" s="29">
        <v>38842</v>
      </c>
      <c r="B3939" s="28">
        <v>0.98729999999999996</v>
      </c>
      <c r="C3939" s="28" t="s">
        <v>1136</v>
      </c>
    </row>
    <row r="3940" spans="1:3" ht="15.5">
      <c r="A3940" s="29">
        <v>38841</v>
      </c>
      <c r="B3940" s="28">
        <v>0.9919</v>
      </c>
      <c r="C3940" s="28" t="s">
        <v>1136</v>
      </c>
    </row>
    <row r="3941" spans="1:3" ht="15.5">
      <c r="A3941" s="29">
        <v>38840</v>
      </c>
      <c r="B3941" s="28">
        <v>0.99639999999999995</v>
      </c>
      <c r="C3941" s="28" t="s">
        <v>1136</v>
      </c>
    </row>
    <row r="3942" spans="1:3" ht="15.5">
      <c r="A3942" s="29">
        <v>38839</v>
      </c>
      <c r="B3942" s="28">
        <v>1.0101</v>
      </c>
      <c r="C3942" s="28" t="s">
        <v>1136</v>
      </c>
    </row>
    <row r="3943" spans="1:3" ht="15.5">
      <c r="A3943" s="29">
        <v>38838</v>
      </c>
      <c r="B3943" s="28">
        <v>1.0009999999999999</v>
      </c>
      <c r="C3943" s="28" t="s">
        <v>1136</v>
      </c>
    </row>
    <row r="3944" spans="1:3" ht="15.5">
      <c r="A3944" s="29">
        <v>38835</v>
      </c>
      <c r="B3944" s="28">
        <v>1.0009999999999999</v>
      </c>
      <c r="C3944" s="28" t="s">
        <v>1136</v>
      </c>
    </row>
    <row r="3945" spans="1:3" ht="15.5">
      <c r="A3945" s="29">
        <v>38834</v>
      </c>
      <c r="B3945" s="28">
        <v>1.0145999999999999</v>
      </c>
      <c r="C3945" s="28" t="s">
        <v>1136</v>
      </c>
    </row>
    <row r="3946" spans="1:3" ht="15.5">
      <c r="A3946" s="29">
        <v>38833</v>
      </c>
      <c r="B3946" s="28">
        <v>1.0283</v>
      </c>
      <c r="C3946" s="28" t="s">
        <v>1136</v>
      </c>
    </row>
    <row r="3947" spans="1:3" ht="15.5">
      <c r="A3947" s="29">
        <v>38831</v>
      </c>
      <c r="B3947" s="28">
        <v>1.0192000000000001</v>
      </c>
      <c r="C3947" s="28" t="s">
        <v>1136</v>
      </c>
    </row>
    <row r="3948" spans="1:3" ht="15.5">
      <c r="A3948" s="29">
        <v>38828</v>
      </c>
      <c r="B3948" s="28">
        <v>1.0145999999999999</v>
      </c>
      <c r="C3948" s="28" t="s">
        <v>1136</v>
      </c>
    </row>
    <row r="3949" spans="1:3" ht="15.5">
      <c r="A3949" s="29">
        <v>38827</v>
      </c>
      <c r="B3949" s="28">
        <v>1.0055000000000001</v>
      </c>
      <c r="C3949" s="28" t="s">
        <v>1136</v>
      </c>
    </row>
    <row r="3950" spans="1:3" ht="15.5">
      <c r="A3950" s="29">
        <v>38826</v>
      </c>
      <c r="B3950" s="28">
        <v>1.0283</v>
      </c>
      <c r="C3950" s="28" t="s">
        <v>1136</v>
      </c>
    </row>
    <row r="3951" spans="1:3" ht="15.5">
      <c r="A3951" s="29">
        <v>38825</v>
      </c>
      <c r="B3951" s="28">
        <v>1.0374000000000001</v>
      </c>
      <c r="C3951" s="28" t="s">
        <v>1136</v>
      </c>
    </row>
    <row r="3952" spans="1:3" ht="15.5">
      <c r="A3952" s="29">
        <v>38820</v>
      </c>
      <c r="B3952" s="28">
        <v>1.0374000000000001</v>
      </c>
      <c r="C3952" s="28" t="s">
        <v>1136</v>
      </c>
    </row>
    <row r="3953" spans="1:3" ht="15.5">
      <c r="A3953" s="29">
        <v>38819</v>
      </c>
      <c r="B3953" s="28">
        <v>1.0327999999999999</v>
      </c>
      <c r="C3953" s="28" t="s">
        <v>1136</v>
      </c>
    </row>
    <row r="3954" spans="1:3" ht="15.5">
      <c r="A3954" s="29">
        <v>38818</v>
      </c>
      <c r="B3954" s="28">
        <v>1.0374000000000001</v>
      </c>
      <c r="C3954" s="28" t="s">
        <v>1136</v>
      </c>
    </row>
    <row r="3955" spans="1:3" ht="15.5">
      <c r="A3955" s="29">
        <v>38817</v>
      </c>
      <c r="B3955" s="28">
        <v>1.0465</v>
      </c>
      <c r="C3955" s="28" t="s">
        <v>1136</v>
      </c>
    </row>
    <row r="3956" spans="1:3" ht="15.5">
      <c r="A3956" s="29">
        <v>38814</v>
      </c>
      <c r="B3956" s="28">
        <v>1.0509999999999999</v>
      </c>
      <c r="C3956" s="28" t="s">
        <v>1136</v>
      </c>
    </row>
    <row r="3957" spans="1:3" ht="15.5">
      <c r="A3957" s="29">
        <v>38813</v>
      </c>
      <c r="B3957" s="28">
        <v>1.0556000000000001</v>
      </c>
      <c r="C3957" s="28" t="s">
        <v>1136</v>
      </c>
    </row>
    <row r="3958" spans="1:3" ht="15.5">
      <c r="A3958" s="29">
        <v>38812</v>
      </c>
      <c r="B3958" s="28">
        <v>1.0691999999999999</v>
      </c>
      <c r="C3958" s="28" t="s">
        <v>1136</v>
      </c>
    </row>
    <row r="3959" spans="1:3" ht="15.5">
      <c r="A3959" s="29">
        <v>38811</v>
      </c>
      <c r="B3959" s="28">
        <v>1.0738000000000001</v>
      </c>
      <c r="C3959" s="28" t="s">
        <v>1136</v>
      </c>
    </row>
    <row r="3960" spans="1:3" ht="15.5">
      <c r="A3960" s="29">
        <v>38810</v>
      </c>
      <c r="B3960" s="28">
        <v>1.0647</v>
      </c>
      <c r="C3960" s="28" t="s">
        <v>1136</v>
      </c>
    </row>
    <row r="3961" spans="1:3" ht="15.5">
      <c r="A3961" s="29">
        <v>38807</v>
      </c>
      <c r="B3961" s="28">
        <v>1.0647</v>
      </c>
      <c r="C3961" s="28" t="s">
        <v>1136</v>
      </c>
    </row>
    <row r="3962" spans="1:3" ht="15.5">
      <c r="A3962" s="29">
        <v>38806</v>
      </c>
      <c r="B3962" s="28">
        <v>1.0509999999999999</v>
      </c>
      <c r="C3962" s="28" t="s">
        <v>1136</v>
      </c>
    </row>
    <row r="3963" spans="1:3" ht="15.5">
      <c r="A3963" s="29">
        <v>38805</v>
      </c>
      <c r="B3963" s="28">
        <v>1.0556000000000001</v>
      </c>
      <c r="C3963" s="28" t="s">
        <v>1136</v>
      </c>
    </row>
    <row r="3964" spans="1:3" ht="15.5">
      <c r="A3964" s="29">
        <v>38804</v>
      </c>
      <c r="B3964" s="28">
        <v>1.0509999999999999</v>
      </c>
      <c r="C3964" s="28" t="s">
        <v>1136</v>
      </c>
    </row>
    <row r="3965" spans="1:3" ht="15.5">
      <c r="A3965" s="29">
        <v>38803</v>
      </c>
      <c r="B3965" s="28">
        <v>1.0509999999999999</v>
      </c>
      <c r="C3965" s="28" t="s">
        <v>1136</v>
      </c>
    </row>
    <row r="3966" spans="1:3" ht="15.5">
      <c r="A3966" s="29">
        <v>38800</v>
      </c>
      <c r="B3966" s="28">
        <v>1.0691999999999999</v>
      </c>
      <c r="C3966" s="28" t="s">
        <v>1136</v>
      </c>
    </row>
    <row r="3967" spans="1:3" ht="15.5">
      <c r="A3967" s="29">
        <v>38799</v>
      </c>
      <c r="B3967" s="28">
        <v>1.0783</v>
      </c>
      <c r="C3967" s="28" t="s">
        <v>1136</v>
      </c>
    </row>
    <row r="3968" spans="1:3" ht="15.5">
      <c r="A3968" s="29">
        <v>38798</v>
      </c>
      <c r="B3968" s="28">
        <v>1.0829</v>
      </c>
      <c r="C3968" s="28" t="s">
        <v>1136</v>
      </c>
    </row>
    <row r="3969" spans="1:3" ht="15.5">
      <c r="A3969" s="29">
        <v>38797</v>
      </c>
      <c r="B3969" s="28">
        <v>1.0691999999999999</v>
      </c>
      <c r="C3969" s="28" t="s">
        <v>1136</v>
      </c>
    </row>
    <row r="3970" spans="1:3" ht="15.5">
      <c r="A3970" s="29">
        <v>38796</v>
      </c>
      <c r="B3970" s="28">
        <v>1.0738000000000001</v>
      </c>
      <c r="C3970" s="28" t="s">
        <v>1136</v>
      </c>
    </row>
    <row r="3971" spans="1:3" ht="15.5">
      <c r="A3971" s="29">
        <v>38793</v>
      </c>
      <c r="B3971" s="28">
        <v>1.0647</v>
      </c>
      <c r="C3971" s="28" t="s">
        <v>1136</v>
      </c>
    </row>
    <row r="3972" spans="1:3" ht="15.5">
      <c r="A3972" s="29">
        <v>38792</v>
      </c>
      <c r="B3972" s="28">
        <v>1.1147</v>
      </c>
      <c r="C3972" s="28" t="s">
        <v>1136</v>
      </c>
    </row>
    <row r="3973" spans="1:3" ht="15.5">
      <c r="A3973" s="29">
        <v>38791</v>
      </c>
      <c r="B3973" s="28">
        <v>1.1102000000000001</v>
      </c>
      <c r="C3973" s="28" t="s">
        <v>1136</v>
      </c>
    </row>
    <row r="3974" spans="1:3" ht="15.5">
      <c r="A3974" s="29">
        <v>38790</v>
      </c>
      <c r="B3974" s="28">
        <v>1.0965</v>
      </c>
      <c r="C3974" s="28" t="s">
        <v>1136</v>
      </c>
    </row>
    <row r="3975" spans="1:3" ht="15.5">
      <c r="A3975" s="29">
        <v>38789</v>
      </c>
      <c r="B3975" s="28">
        <v>1.0965</v>
      </c>
      <c r="C3975" s="28" t="s">
        <v>1136</v>
      </c>
    </row>
    <row r="3976" spans="1:3" ht="15.5">
      <c r="A3976" s="29">
        <v>38786</v>
      </c>
      <c r="B3976" s="28">
        <v>1.0965</v>
      </c>
      <c r="C3976" s="28" t="s">
        <v>1136</v>
      </c>
    </row>
    <row r="3977" spans="1:3" ht="15.5">
      <c r="A3977" s="29">
        <v>38785</v>
      </c>
      <c r="B3977" s="28">
        <v>1.0920000000000001</v>
      </c>
      <c r="C3977" s="28" t="s">
        <v>1136</v>
      </c>
    </row>
    <row r="3978" spans="1:3" ht="15.5">
      <c r="A3978" s="29">
        <v>38784</v>
      </c>
      <c r="B3978" s="28">
        <v>1.1011</v>
      </c>
      <c r="C3978" s="28" t="s">
        <v>1136</v>
      </c>
    </row>
    <row r="3979" spans="1:3" ht="15.5">
      <c r="A3979" s="29">
        <v>38783</v>
      </c>
      <c r="B3979" s="28">
        <v>1.0965</v>
      </c>
      <c r="C3979" s="28" t="s">
        <v>1136</v>
      </c>
    </row>
    <row r="3980" spans="1:3" ht="15.5">
      <c r="A3980" s="29">
        <v>38782</v>
      </c>
      <c r="B3980" s="28">
        <v>1.1055999999999999</v>
      </c>
      <c r="C3980" s="28" t="s">
        <v>1136</v>
      </c>
    </row>
    <row r="3981" spans="1:3" ht="15.5">
      <c r="A3981" s="29">
        <v>38779</v>
      </c>
      <c r="B3981" s="28">
        <v>1.0965</v>
      </c>
      <c r="C3981" s="28" t="s">
        <v>1136</v>
      </c>
    </row>
    <row r="3982" spans="1:3" ht="15.5">
      <c r="A3982" s="29">
        <v>38778</v>
      </c>
      <c r="B3982" s="28">
        <v>1.0920000000000001</v>
      </c>
      <c r="C3982" s="28" t="s">
        <v>1136</v>
      </c>
    </row>
    <row r="3983" spans="1:3" ht="15.5">
      <c r="A3983" s="29">
        <v>38777</v>
      </c>
      <c r="B3983" s="28">
        <v>1.0691999999999999</v>
      </c>
      <c r="C3983" s="28" t="s">
        <v>1136</v>
      </c>
    </row>
    <row r="3984" spans="1:3" ht="15.5">
      <c r="A3984" s="29">
        <v>38776</v>
      </c>
      <c r="B3984" s="28">
        <v>1.0647</v>
      </c>
      <c r="C3984" s="28" t="s">
        <v>1136</v>
      </c>
    </row>
    <row r="3985" spans="1:3" ht="15.5">
      <c r="A3985" s="29">
        <v>38775</v>
      </c>
      <c r="B3985" s="28">
        <v>1.0647</v>
      </c>
      <c r="C3985" s="28" t="s">
        <v>1136</v>
      </c>
    </row>
    <row r="3986" spans="1:3" ht="15.5">
      <c r="A3986" s="29">
        <v>38772</v>
      </c>
      <c r="B3986" s="28">
        <v>1.0647</v>
      </c>
      <c r="C3986" s="28" t="s">
        <v>1136</v>
      </c>
    </row>
    <row r="3987" spans="1:3" ht="15.5">
      <c r="A3987" s="29">
        <v>38771</v>
      </c>
      <c r="B3987" s="28">
        <v>1.0509999999999999</v>
      </c>
      <c r="C3987" s="28" t="s">
        <v>1136</v>
      </c>
    </row>
    <row r="3988" spans="1:3" ht="15.5">
      <c r="A3988" s="29">
        <v>38770</v>
      </c>
      <c r="B3988" s="28">
        <v>1.0601</v>
      </c>
      <c r="C3988" s="28" t="s">
        <v>1136</v>
      </c>
    </row>
    <row r="3989" spans="1:3" ht="15.5">
      <c r="A3989" s="29">
        <v>38769</v>
      </c>
      <c r="B3989" s="28">
        <v>1.0556000000000001</v>
      </c>
      <c r="C3989" s="28" t="s">
        <v>1136</v>
      </c>
    </row>
    <row r="3990" spans="1:3" ht="15.5">
      <c r="A3990" s="29">
        <v>38768</v>
      </c>
      <c r="B3990" s="28">
        <v>1.0601</v>
      </c>
      <c r="C3990" s="28" t="s">
        <v>1136</v>
      </c>
    </row>
    <row r="3991" spans="1:3" ht="15.5">
      <c r="A3991" s="29">
        <v>38765</v>
      </c>
      <c r="B3991" s="28">
        <v>1.0601</v>
      </c>
      <c r="C3991" s="28" t="s">
        <v>1136</v>
      </c>
    </row>
    <row r="3992" spans="1:3" ht="15.5">
      <c r="A3992" s="29">
        <v>38764</v>
      </c>
      <c r="B3992" s="28">
        <v>1.0647</v>
      </c>
      <c r="C3992" s="28" t="s">
        <v>1136</v>
      </c>
    </row>
    <row r="3993" spans="1:3" ht="15.5">
      <c r="A3993" s="29">
        <v>38763</v>
      </c>
      <c r="B3993" s="28">
        <v>1.0647</v>
      </c>
      <c r="C3993" s="28" t="s">
        <v>1136</v>
      </c>
    </row>
    <row r="3994" spans="1:3" ht="15.5">
      <c r="A3994" s="29">
        <v>38762</v>
      </c>
      <c r="B3994" s="28">
        <v>1.0556000000000001</v>
      </c>
      <c r="C3994" s="28" t="s">
        <v>1136</v>
      </c>
    </row>
    <row r="3995" spans="1:3" ht="15.5">
      <c r="A3995" s="29">
        <v>38761</v>
      </c>
      <c r="B3995" s="28">
        <v>1.0647</v>
      </c>
      <c r="C3995" s="28" t="s">
        <v>1136</v>
      </c>
    </row>
    <row r="3996" spans="1:3" ht="15.5">
      <c r="A3996" s="29">
        <v>38758</v>
      </c>
      <c r="B3996" s="28">
        <v>1.0647</v>
      </c>
      <c r="C3996" s="28" t="s">
        <v>1136</v>
      </c>
    </row>
    <row r="3997" spans="1:3" ht="15.5">
      <c r="A3997" s="29">
        <v>38757</v>
      </c>
      <c r="B3997" s="28">
        <v>1.0556000000000001</v>
      </c>
      <c r="C3997" s="28" t="s">
        <v>1136</v>
      </c>
    </row>
    <row r="3998" spans="1:3" ht="15.5">
      <c r="A3998" s="29">
        <v>38756</v>
      </c>
      <c r="B3998" s="28">
        <v>1.0509999999999999</v>
      </c>
      <c r="C3998" s="28" t="s">
        <v>1136</v>
      </c>
    </row>
    <row r="3999" spans="1:3" ht="15.5">
      <c r="A3999" s="29">
        <v>38755</v>
      </c>
      <c r="B3999" s="28">
        <v>1.0419</v>
      </c>
      <c r="C3999" s="28" t="s">
        <v>1136</v>
      </c>
    </row>
    <row r="4000" spans="1:3" ht="15.5">
      <c r="A4000" s="29">
        <v>38754</v>
      </c>
      <c r="B4000" s="28">
        <v>1.0509999999999999</v>
      </c>
      <c r="C4000" s="28" t="s">
        <v>1136</v>
      </c>
    </row>
    <row r="4001" spans="1:3" ht="15.5">
      <c r="A4001" s="29">
        <v>38751</v>
      </c>
      <c r="B4001" s="28">
        <v>1.0556000000000001</v>
      </c>
      <c r="C4001" s="28" t="s">
        <v>1136</v>
      </c>
    </row>
    <row r="4002" spans="1:3" ht="15.5">
      <c r="A4002" s="29">
        <v>38750</v>
      </c>
      <c r="B4002" s="28">
        <v>1.0691999999999999</v>
      </c>
      <c r="C4002" s="28" t="s">
        <v>1136</v>
      </c>
    </row>
    <row r="4003" spans="1:3" ht="15.5">
      <c r="A4003" s="29">
        <v>38749</v>
      </c>
      <c r="B4003" s="28">
        <v>1.0783</v>
      </c>
      <c r="C4003" s="28" t="s">
        <v>1136</v>
      </c>
    </row>
    <row r="4004" spans="1:3" ht="15.5">
      <c r="A4004" s="29">
        <v>38748</v>
      </c>
      <c r="B4004" s="28">
        <v>1.0647</v>
      </c>
      <c r="C4004" s="28" t="s">
        <v>1136</v>
      </c>
    </row>
    <row r="4005" spans="1:3" ht="15.5">
      <c r="A4005" s="29">
        <v>38747</v>
      </c>
      <c r="B4005" s="28">
        <v>1.0691999999999999</v>
      </c>
      <c r="C4005" s="28" t="s">
        <v>1136</v>
      </c>
    </row>
    <row r="4006" spans="1:3" ht="15.5">
      <c r="A4006" s="29">
        <v>38744</v>
      </c>
      <c r="B4006" s="28">
        <v>1.0738000000000001</v>
      </c>
      <c r="C4006" s="28" t="s">
        <v>1136</v>
      </c>
    </row>
    <row r="4007" spans="1:3" ht="15.5">
      <c r="A4007" s="29">
        <v>38742</v>
      </c>
      <c r="B4007" s="28">
        <v>1.0829</v>
      </c>
      <c r="C4007" s="28" t="s">
        <v>1136</v>
      </c>
    </row>
    <row r="4008" spans="1:3" ht="15.5">
      <c r="A4008" s="29">
        <v>38741</v>
      </c>
      <c r="B4008" s="28">
        <v>1.0965</v>
      </c>
      <c r="C4008" s="28" t="s">
        <v>1136</v>
      </c>
    </row>
    <row r="4009" spans="1:3" ht="15.5">
      <c r="A4009" s="29">
        <v>38740</v>
      </c>
      <c r="B4009" s="28">
        <v>1.1055999999999999</v>
      </c>
      <c r="C4009" s="28" t="s">
        <v>1136</v>
      </c>
    </row>
    <row r="4010" spans="1:3" ht="15.5">
      <c r="A4010" s="29">
        <v>38737</v>
      </c>
      <c r="B4010" s="28">
        <v>1.1011</v>
      </c>
      <c r="C4010" s="28" t="s">
        <v>1136</v>
      </c>
    </row>
    <row r="4011" spans="1:3" ht="15.5">
      <c r="A4011" s="29">
        <v>38736</v>
      </c>
      <c r="B4011" s="28">
        <v>1.1055999999999999</v>
      </c>
      <c r="C4011" s="28" t="s">
        <v>1136</v>
      </c>
    </row>
    <row r="4012" spans="1:3" ht="15.5">
      <c r="A4012" s="29">
        <v>38735</v>
      </c>
      <c r="B4012" s="28">
        <v>1.1147</v>
      </c>
      <c r="C4012" s="28" t="s">
        <v>1136</v>
      </c>
    </row>
    <row r="4013" spans="1:3" ht="15.5">
      <c r="A4013" s="29">
        <v>38734</v>
      </c>
      <c r="B4013" s="28">
        <v>1.1193</v>
      </c>
      <c r="C4013" s="28" t="s">
        <v>1136</v>
      </c>
    </row>
    <row r="4014" spans="1:3" ht="15.5">
      <c r="A4014" s="29">
        <v>38733</v>
      </c>
      <c r="B4014" s="28">
        <v>1.1193</v>
      </c>
      <c r="C4014" s="28" t="s">
        <v>1136</v>
      </c>
    </row>
    <row r="4015" spans="1:3" ht="15.5">
      <c r="A4015" s="29">
        <v>38730</v>
      </c>
      <c r="B4015" s="28">
        <v>1.1193</v>
      </c>
      <c r="C4015" s="28" t="s">
        <v>1136</v>
      </c>
    </row>
    <row r="4016" spans="1:3" ht="15.5">
      <c r="A4016" s="29">
        <v>38729</v>
      </c>
      <c r="B4016" s="28">
        <v>1.1011</v>
      </c>
      <c r="C4016" s="28" t="s">
        <v>1136</v>
      </c>
    </row>
    <row r="4017" spans="1:3" ht="15.5">
      <c r="A4017" s="29">
        <v>38728</v>
      </c>
      <c r="B4017" s="28">
        <v>1.1055999999999999</v>
      </c>
      <c r="C4017" s="28" t="s">
        <v>1136</v>
      </c>
    </row>
    <row r="4018" spans="1:3" ht="15.5">
      <c r="A4018" s="29">
        <v>38727</v>
      </c>
      <c r="B4018" s="28">
        <v>1.1055999999999999</v>
      </c>
      <c r="C4018" s="28" t="s">
        <v>1136</v>
      </c>
    </row>
    <row r="4019" spans="1:3" ht="15.5">
      <c r="A4019" s="29">
        <v>38726</v>
      </c>
      <c r="B4019" s="28">
        <v>1.0920000000000001</v>
      </c>
      <c r="C4019" s="28" t="s">
        <v>1136</v>
      </c>
    </row>
    <row r="4020" spans="1:3" ht="15.5">
      <c r="A4020" s="29">
        <v>38723</v>
      </c>
      <c r="B4020" s="28">
        <v>1.0829</v>
      </c>
      <c r="C4020" s="28" t="s">
        <v>1136</v>
      </c>
    </row>
    <row r="4021" spans="1:3" ht="15.5">
      <c r="A4021" s="29">
        <v>38722</v>
      </c>
      <c r="B4021" s="28">
        <v>1.0738000000000001</v>
      </c>
      <c r="C4021" s="28" t="s">
        <v>1136</v>
      </c>
    </row>
    <row r="4022" spans="1:3" ht="15.5">
      <c r="A4022" s="29">
        <v>38721</v>
      </c>
      <c r="B4022" s="28">
        <v>1.0738000000000001</v>
      </c>
      <c r="C4022" s="28" t="s">
        <v>1136</v>
      </c>
    </row>
    <row r="4023" spans="1:3" ht="15.5">
      <c r="A4023" s="29">
        <v>38720</v>
      </c>
      <c r="B4023" s="28">
        <v>1.0920000000000001</v>
      </c>
      <c r="C4023" s="28" t="s">
        <v>1136</v>
      </c>
    </row>
    <row r="4024" spans="1:3" ht="15.5">
      <c r="A4024" s="29">
        <v>38716</v>
      </c>
      <c r="B4024" s="28">
        <v>1.0873999999999999</v>
      </c>
      <c r="C4024" s="28" t="s">
        <v>1136</v>
      </c>
    </row>
    <row r="4025" spans="1:3" ht="15.5">
      <c r="A4025" s="29">
        <v>38715</v>
      </c>
      <c r="B4025" s="28">
        <v>1.0920000000000001</v>
      </c>
      <c r="C4025" s="28" t="s">
        <v>1136</v>
      </c>
    </row>
    <row r="4026" spans="1:3" ht="15.5">
      <c r="A4026" s="29">
        <v>38714</v>
      </c>
      <c r="B4026" s="28">
        <v>1.0873999999999999</v>
      </c>
      <c r="C4026" s="28" t="s">
        <v>1136</v>
      </c>
    </row>
    <row r="4027" spans="1:3" ht="15.5">
      <c r="A4027" s="29">
        <v>38709</v>
      </c>
      <c r="B4027" s="28">
        <v>1.0873999999999999</v>
      </c>
      <c r="C4027" s="28" t="s">
        <v>1136</v>
      </c>
    </row>
    <row r="4028" spans="1:3" ht="15.5">
      <c r="A4028" s="29">
        <v>38708</v>
      </c>
      <c r="B4028" s="28">
        <v>1.0873999999999999</v>
      </c>
      <c r="C4028" s="28" t="s">
        <v>1136</v>
      </c>
    </row>
    <row r="4029" spans="1:3" ht="15.5">
      <c r="A4029" s="29">
        <v>38707</v>
      </c>
      <c r="B4029" s="28">
        <v>1.0965</v>
      </c>
      <c r="C4029" s="28" t="s">
        <v>1136</v>
      </c>
    </row>
    <row r="4030" spans="1:3" ht="15.5">
      <c r="A4030" s="29">
        <v>38706</v>
      </c>
      <c r="B4030" s="28">
        <v>1.0965</v>
      </c>
      <c r="C4030" s="28" t="s">
        <v>1136</v>
      </c>
    </row>
    <row r="4031" spans="1:3" ht="15.5">
      <c r="A4031" s="29">
        <v>38705</v>
      </c>
      <c r="B4031" s="28">
        <v>1.1011</v>
      </c>
      <c r="C4031" s="28" t="s">
        <v>1136</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B441B-C427-4665-91E9-41B820EC4075}">
  <sheetPr codeName="Sheet20">
    <tabColor theme="0" tint="-0.249977111117893"/>
  </sheetPr>
  <dimension ref="A1:I4080"/>
  <sheetViews>
    <sheetView workbookViewId="0">
      <selection activeCell="B3" sqref="B3"/>
    </sheetView>
  </sheetViews>
  <sheetFormatPr defaultRowHeight="14.25"/>
  <cols>
    <col min="1" max="1" width="11.33203125" bestFit="1" customWidth="1"/>
  </cols>
  <sheetData>
    <row r="1" spans="1:9" ht="15.5">
      <c r="A1" s="28" t="s">
        <v>66</v>
      </c>
      <c r="B1" s="28" t="s">
        <v>2020</v>
      </c>
      <c r="C1" s="28" t="s">
        <v>2021</v>
      </c>
      <c r="I1" t="s">
        <v>1613</v>
      </c>
    </row>
    <row r="2" spans="1:9" ht="15.5">
      <c r="A2" s="28" t="s">
        <v>1136</v>
      </c>
      <c r="B2" s="28" t="s">
        <v>1614</v>
      </c>
      <c r="C2" s="28" t="s">
        <v>2022</v>
      </c>
    </row>
    <row r="3" spans="1:9" ht="15.5">
      <c r="A3" s="29">
        <v>44596</v>
      </c>
      <c r="B3" s="28">
        <v>2.59</v>
      </c>
      <c r="C3" s="28">
        <v>9919608018.7399998</v>
      </c>
    </row>
    <row r="4" spans="1:9" ht="15.5">
      <c r="A4" s="29">
        <v>44595</v>
      </c>
      <c r="B4" s="28">
        <v>2.59</v>
      </c>
      <c r="C4" s="28">
        <v>9919608018.7399998</v>
      </c>
    </row>
    <row r="5" spans="1:9" ht="15.5">
      <c r="A5" s="29">
        <v>44594</v>
      </c>
      <c r="B5" s="28">
        <v>2.6</v>
      </c>
      <c r="C5" s="28">
        <v>9957907663.6000004</v>
      </c>
    </row>
    <row r="6" spans="1:9" ht="15.5">
      <c r="A6" s="29">
        <v>44593</v>
      </c>
      <c r="B6" s="28">
        <v>2.59</v>
      </c>
      <c r="C6" s="28">
        <v>9919608018.7399998</v>
      </c>
    </row>
    <row r="7" spans="1:9" ht="15.5">
      <c r="A7" s="29">
        <v>44592</v>
      </c>
      <c r="B7" s="28">
        <v>2.6</v>
      </c>
      <c r="C7" s="28">
        <v>9957907663.6000004</v>
      </c>
    </row>
    <row r="8" spans="1:9" ht="15.5">
      <c r="A8" s="29">
        <v>44589</v>
      </c>
      <c r="B8" s="28">
        <v>2.59</v>
      </c>
      <c r="C8" s="28">
        <v>9919608018.7399998</v>
      </c>
    </row>
    <row r="9" spans="1:9" ht="15.5">
      <c r="A9" s="29">
        <v>44588</v>
      </c>
      <c r="B9" s="28">
        <v>2.58</v>
      </c>
      <c r="C9" s="28">
        <v>9881308373.8799992</v>
      </c>
    </row>
    <row r="10" spans="1:9" ht="15.5">
      <c r="A10" s="29">
        <v>44586</v>
      </c>
      <c r="B10" s="28">
        <v>2.4700000000000002</v>
      </c>
      <c r="C10" s="28">
        <v>9460012280.4200001</v>
      </c>
    </row>
    <row r="11" spans="1:9" ht="15.5">
      <c r="A11" s="29">
        <v>44585</v>
      </c>
      <c r="B11" s="28">
        <v>2.4900000000000002</v>
      </c>
      <c r="C11" s="28">
        <v>9536611570.1399994</v>
      </c>
    </row>
    <row r="12" spans="1:9" ht="15.5">
      <c r="A12" s="29">
        <v>44582</v>
      </c>
      <c r="B12" s="28">
        <v>2.5099999999999998</v>
      </c>
      <c r="C12" s="28">
        <v>9613210859.8600006</v>
      </c>
    </row>
    <row r="13" spans="1:9" ht="15.5">
      <c r="A13" s="29">
        <v>44581</v>
      </c>
      <c r="B13" s="28">
        <v>2.5</v>
      </c>
      <c r="C13" s="28">
        <v>9574911215</v>
      </c>
    </row>
    <row r="14" spans="1:9" ht="15.5">
      <c r="A14" s="29">
        <v>44580</v>
      </c>
      <c r="B14" s="28">
        <v>2.52</v>
      </c>
      <c r="C14" s="28">
        <v>9651510504.7199993</v>
      </c>
    </row>
    <row r="15" spans="1:9" ht="15.5">
      <c r="A15" s="29">
        <v>44579</v>
      </c>
      <c r="B15" s="28">
        <v>2.54</v>
      </c>
      <c r="C15" s="28">
        <v>9728109794.4400005</v>
      </c>
    </row>
    <row r="16" spans="1:9" ht="15.5">
      <c r="A16" s="29">
        <v>44578</v>
      </c>
      <c r="B16" s="28">
        <v>2.5299999999999998</v>
      </c>
      <c r="C16" s="28">
        <v>9689810149.5799999</v>
      </c>
    </row>
    <row r="17" spans="1:3" ht="15.5">
      <c r="A17" s="29">
        <v>44575</v>
      </c>
      <c r="B17" s="28">
        <v>2.5299999999999998</v>
      </c>
      <c r="C17" s="28">
        <v>9689810149.5799999</v>
      </c>
    </row>
    <row r="18" spans="1:3" ht="15.5">
      <c r="A18" s="29">
        <v>44574</v>
      </c>
      <c r="B18" s="28">
        <v>2.56</v>
      </c>
      <c r="C18" s="28">
        <v>9804709084.1599998</v>
      </c>
    </row>
    <row r="19" spans="1:3" ht="15.5">
      <c r="A19" s="29">
        <v>44573</v>
      </c>
      <c r="B19" s="28">
        <v>2.5499999999999998</v>
      </c>
      <c r="C19" s="28">
        <v>9766409439.2999992</v>
      </c>
    </row>
    <row r="20" spans="1:3" ht="15.5">
      <c r="A20" s="29">
        <v>44572</v>
      </c>
      <c r="B20" s="28">
        <v>2.5499999999999998</v>
      </c>
      <c r="C20" s="28">
        <v>9766409439.2999992</v>
      </c>
    </row>
    <row r="21" spans="1:3" ht="15.5">
      <c r="A21" s="29">
        <v>44571</v>
      </c>
      <c r="B21" s="28">
        <v>2.56</v>
      </c>
      <c r="C21" s="28">
        <v>9804709084.1599998</v>
      </c>
    </row>
    <row r="22" spans="1:3" ht="15.5">
      <c r="A22" s="29">
        <v>44568</v>
      </c>
      <c r="B22" s="28">
        <v>2.57</v>
      </c>
      <c r="C22" s="28">
        <v>9843008729.0200005</v>
      </c>
    </row>
    <row r="23" spans="1:3" ht="15.5">
      <c r="A23" s="29">
        <v>44567</v>
      </c>
      <c r="B23" s="28">
        <v>2.56</v>
      </c>
      <c r="C23" s="28">
        <v>9804709084.1599998</v>
      </c>
    </row>
    <row r="24" spans="1:3" ht="15.5">
      <c r="A24" s="29">
        <v>44566</v>
      </c>
      <c r="B24" s="28">
        <v>2.5499999999999998</v>
      </c>
      <c r="C24" s="28">
        <v>9766409439.2999992</v>
      </c>
    </row>
    <row r="25" spans="1:3" ht="15.5">
      <c r="A25" s="29">
        <v>44565</v>
      </c>
      <c r="B25" s="28">
        <v>2.56</v>
      </c>
      <c r="C25" s="28">
        <v>9804709084.1599998</v>
      </c>
    </row>
    <row r="26" spans="1:3" ht="15.5">
      <c r="A26" s="29">
        <v>44561</v>
      </c>
      <c r="B26" s="28">
        <v>2.57</v>
      </c>
      <c r="C26" s="28">
        <v>9843008729.0200005</v>
      </c>
    </row>
    <row r="27" spans="1:3" ht="15.5">
      <c r="A27" s="29">
        <v>44560</v>
      </c>
      <c r="B27" s="28">
        <v>2.56</v>
      </c>
      <c r="C27" s="28">
        <v>9804709084.1599998</v>
      </c>
    </row>
    <row r="28" spans="1:3" ht="15.5">
      <c r="A28" s="29">
        <v>44559</v>
      </c>
      <c r="B28" s="28">
        <v>2.57</v>
      </c>
      <c r="C28" s="28">
        <v>9843008729.0200005</v>
      </c>
    </row>
    <row r="29" spans="1:3" ht="15.5">
      <c r="A29" s="29">
        <v>44554</v>
      </c>
      <c r="B29" s="28">
        <v>2.5299999999999998</v>
      </c>
      <c r="C29" s="28">
        <v>9689810149.5799999</v>
      </c>
    </row>
    <row r="30" spans="1:3" ht="15.5">
      <c r="A30" s="29">
        <v>44553</v>
      </c>
      <c r="B30" s="28">
        <v>2.5299999999999998</v>
      </c>
      <c r="C30" s="28">
        <v>9689810149.5799999</v>
      </c>
    </row>
    <row r="31" spans="1:3" ht="15.5">
      <c r="A31" s="29">
        <v>44552</v>
      </c>
      <c r="B31" s="28">
        <v>2.5299999999999998</v>
      </c>
      <c r="C31" s="28">
        <v>9689810149.5799999</v>
      </c>
    </row>
    <row r="32" spans="1:3" ht="15.5">
      <c r="A32" s="29">
        <v>44551</v>
      </c>
      <c r="B32" s="28">
        <v>2.52</v>
      </c>
      <c r="C32" s="28">
        <v>9651510504.7199993</v>
      </c>
    </row>
    <row r="33" spans="1:3" ht="15.5">
      <c r="A33" s="29">
        <v>44550</v>
      </c>
      <c r="B33" s="28">
        <v>2.54</v>
      </c>
      <c r="C33" s="28">
        <v>9728109794.4400005</v>
      </c>
    </row>
    <row r="34" spans="1:3" ht="15.5">
      <c r="A34" s="29">
        <v>44547</v>
      </c>
      <c r="B34" s="28">
        <v>2.5299999999999998</v>
      </c>
      <c r="C34" s="28">
        <v>9689810149.5799999</v>
      </c>
    </row>
    <row r="35" spans="1:3" ht="15.5">
      <c r="A35" s="29">
        <v>44546</v>
      </c>
      <c r="B35" s="28">
        <v>2.54</v>
      </c>
      <c r="C35" s="28">
        <v>9728109794.4400005</v>
      </c>
    </row>
    <row r="36" spans="1:3" ht="15.5">
      <c r="A36" s="29">
        <v>44545</v>
      </c>
      <c r="B36" s="28">
        <v>2.5299999999999998</v>
      </c>
      <c r="C36" s="28">
        <v>9689810149.5799999</v>
      </c>
    </row>
    <row r="37" spans="1:3" ht="15.5">
      <c r="A37" s="29">
        <v>44544</v>
      </c>
      <c r="B37" s="28">
        <v>2.52</v>
      </c>
      <c r="C37" s="28">
        <v>9651510504.7199993</v>
      </c>
    </row>
    <row r="38" spans="1:3" ht="15.5">
      <c r="A38" s="29">
        <v>44543</v>
      </c>
      <c r="B38" s="28">
        <v>2.52</v>
      </c>
      <c r="C38" s="28">
        <v>9651510504.7199993</v>
      </c>
    </row>
    <row r="39" spans="1:3" ht="15.5">
      <c r="A39" s="29">
        <v>44540</v>
      </c>
      <c r="B39" s="28">
        <v>2.52</v>
      </c>
      <c r="C39" s="28">
        <v>9651510504.7199993</v>
      </c>
    </row>
    <row r="40" spans="1:3" ht="15.5">
      <c r="A40" s="29">
        <v>44539</v>
      </c>
      <c r="B40" s="28">
        <v>2.52</v>
      </c>
      <c r="C40" s="28">
        <v>9651510504.7199993</v>
      </c>
    </row>
    <row r="41" spans="1:3" ht="15.5">
      <c r="A41" s="29">
        <v>44538</v>
      </c>
      <c r="B41" s="28">
        <v>2.52</v>
      </c>
      <c r="C41" s="28">
        <v>9651510504.7199993</v>
      </c>
    </row>
    <row r="42" spans="1:3" ht="15.5">
      <c r="A42" s="29">
        <v>44537</v>
      </c>
      <c r="B42" s="28">
        <v>2.52</v>
      </c>
      <c r="C42" s="28">
        <v>9651510504.7199993</v>
      </c>
    </row>
    <row r="43" spans="1:3" ht="15.5">
      <c r="A43" s="29">
        <v>44536</v>
      </c>
      <c r="B43" s="28">
        <v>2.54</v>
      </c>
      <c r="C43" s="28">
        <v>9728109794.4400005</v>
      </c>
    </row>
    <row r="44" spans="1:3" ht="15.5">
      <c r="A44" s="29">
        <v>44533</v>
      </c>
      <c r="B44" s="28">
        <v>2.52</v>
      </c>
      <c r="C44" s="28">
        <v>9651510504.7199993</v>
      </c>
    </row>
    <row r="45" spans="1:3" ht="15.5">
      <c r="A45" s="29">
        <v>44532</v>
      </c>
      <c r="B45" s="28">
        <v>2.5299999999999998</v>
      </c>
      <c r="C45" s="28">
        <v>9689810149.5799999</v>
      </c>
    </row>
    <row r="46" spans="1:3" ht="15.5">
      <c r="A46" s="29">
        <v>44531</v>
      </c>
      <c r="B46" s="28">
        <v>2.5299999999999998</v>
      </c>
      <c r="C46" s="28">
        <v>9689810149.5799999</v>
      </c>
    </row>
    <row r="47" spans="1:3" ht="15.5">
      <c r="A47" s="29">
        <v>44530</v>
      </c>
      <c r="B47" s="28">
        <v>2.54</v>
      </c>
      <c r="C47" s="28">
        <v>9728109794.4400005</v>
      </c>
    </row>
    <row r="48" spans="1:3" ht="15.5">
      <c r="A48" s="29">
        <v>44529</v>
      </c>
      <c r="B48" s="28">
        <v>2.52</v>
      </c>
      <c r="C48" s="28">
        <v>9651510504.7199993</v>
      </c>
    </row>
    <row r="49" spans="1:3" ht="15.5">
      <c r="A49" s="29">
        <v>44526</v>
      </c>
      <c r="B49" s="28">
        <v>2.54</v>
      </c>
      <c r="C49" s="28">
        <v>9728109794.4400005</v>
      </c>
    </row>
    <row r="50" spans="1:3" ht="15.5">
      <c r="A50" s="29">
        <v>44525</v>
      </c>
      <c r="B50" s="28">
        <v>2.54</v>
      </c>
      <c r="C50" s="28">
        <v>9728109794.4400005</v>
      </c>
    </row>
    <row r="51" spans="1:3" ht="15.5">
      <c r="A51" s="29">
        <v>44524</v>
      </c>
      <c r="B51" s="28">
        <v>2.56</v>
      </c>
      <c r="C51" s="28">
        <v>9804709084.1599998</v>
      </c>
    </row>
    <row r="52" spans="1:3" ht="15.5">
      <c r="A52" s="29">
        <v>44523</v>
      </c>
      <c r="B52" s="28">
        <v>2.56</v>
      </c>
      <c r="C52" s="28">
        <v>9804709084.1599998</v>
      </c>
    </row>
    <row r="53" spans="1:3" ht="15.5">
      <c r="A53" s="29">
        <v>44522</v>
      </c>
      <c r="B53" s="28">
        <v>2.5499999999999998</v>
      </c>
      <c r="C53" s="28">
        <v>9766409439.2999992</v>
      </c>
    </row>
    <row r="54" spans="1:3" ht="15.5">
      <c r="A54" s="29">
        <v>44519</v>
      </c>
      <c r="B54" s="28">
        <v>2.56</v>
      </c>
      <c r="C54" s="28">
        <v>9804709084.1599998</v>
      </c>
    </row>
    <row r="55" spans="1:3" ht="15.5">
      <c r="A55" s="29">
        <v>44518</v>
      </c>
      <c r="B55" s="28">
        <v>2.5499999999999998</v>
      </c>
      <c r="C55" s="28">
        <v>9766409439.2999992</v>
      </c>
    </row>
    <row r="56" spans="1:3" ht="15.5">
      <c r="A56" s="29">
        <v>44517</v>
      </c>
      <c r="B56" s="28">
        <v>2.5499999999999998</v>
      </c>
      <c r="C56" s="28">
        <v>9766409439.2999992</v>
      </c>
    </row>
    <row r="57" spans="1:3" ht="15.5">
      <c r="A57" s="29">
        <v>44516</v>
      </c>
      <c r="B57" s="28">
        <v>2.5499999999999998</v>
      </c>
      <c r="C57" s="28">
        <v>9766409439.2999992</v>
      </c>
    </row>
    <row r="58" spans="1:3" ht="15.5">
      <c r="A58" s="29">
        <v>44515</v>
      </c>
      <c r="B58" s="28">
        <v>2.6</v>
      </c>
      <c r="C58" s="28">
        <v>9957907663.6000004</v>
      </c>
    </row>
    <row r="59" spans="1:3" ht="15.5">
      <c r="A59" s="29">
        <v>44512</v>
      </c>
      <c r="B59" s="28">
        <v>2.6</v>
      </c>
      <c r="C59" s="28">
        <v>9957907663.6000004</v>
      </c>
    </row>
    <row r="60" spans="1:3" ht="15.5">
      <c r="A60" s="29">
        <v>44511</v>
      </c>
      <c r="B60" s="28">
        <v>2.58</v>
      </c>
      <c r="C60" s="28">
        <v>9881308373.8799992</v>
      </c>
    </row>
    <row r="61" spans="1:3" ht="15.5">
      <c r="A61" s="29">
        <v>44510</v>
      </c>
      <c r="B61" s="28">
        <v>2.59</v>
      </c>
      <c r="C61" s="28">
        <v>9919608018.7399998</v>
      </c>
    </row>
    <row r="62" spans="1:3" ht="15.5">
      <c r="A62" s="29">
        <v>44509</v>
      </c>
      <c r="B62" s="28">
        <v>2.58</v>
      </c>
      <c r="C62" s="28">
        <v>9881308373.8799992</v>
      </c>
    </row>
    <row r="63" spans="1:3" ht="15.5">
      <c r="A63" s="29">
        <v>44508</v>
      </c>
      <c r="B63" s="28">
        <v>2.58</v>
      </c>
      <c r="C63" s="28">
        <v>9881308373.8799992</v>
      </c>
    </row>
    <row r="64" spans="1:3" ht="15.5">
      <c r="A64" s="29">
        <v>44505</v>
      </c>
      <c r="B64" s="28">
        <v>2.57</v>
      </c>
      <c r="C64" s="28">
        <v>9843008729.0200005</v>
      </c>
    </row>
    <row r="65" spans="1:3" ht="15.5">
      <c r="A65" s="29">
        <v>44504</v>
      </c>
      <c r="B65" s="28">
        <v>2.59</v>
      </c>
      <c r="C65" s="28">
        <v>9919608018.7399998</v>
      </c>
    </row>
    <row r="66" spans="1:3" ht="15.5">
      <c r="A66" s="29">
        <v>44503</v>
      </c>
      <c r="B66" s="28">
        <v>2.59</v>
      </c>
      <c r="C66" s="28">
        <v>9919608018.7399998</v>
      </c>
    </row>
    <row r="67" spans="1:3" ht="15.5">
      <c r="A67" s="29">
        <v>44502</v>
      </c>
      <c r="B67" s="28">
        <v>2.57</v>
      </c>
      <c r="C67" s="28">
        <v>9843008729.0200005</v>
      </c>
    </row>
    <row r="68" spans="1:3" ht="15.5">
      <c r="A68" s="29">
        <v>44501</v>
      </c>
      <c r="B68" s="28">
        <v>2.56</v>
      </c>
      <c r="C68" s="28">
        <v>9804709084.1599998</v>
      </c>
    </row>
    <row r="69" spans="1:3" ht="15.5">
      <c r="A69" s="29">
        <v>44498</v>
      </c>
      <c r="B69" s="28">
        <v>2.4700000000000002</v>
      </c>
      <c r="C69" s="28">
        <v>9460012280.4200001</v>
      </c>
    </row>
    <row r="70" spans="1:3" ht="15.5">
      <c r="A70" s="29">
        <v>44497</v>
      </c>
      <c r="B70" s="28">
        <v>2.5</v>
      </c>
      <c r="C70" s="28">
        <v>9574911215</v>
      </c>
    </row>
    <row r="71" spans="1:3" ht="15.5">
      <c r="A71" s="29">
        <v>44496</v>
      </c>
      <c r="B71" s="28">
        <v>2.4700000000000002</v>
      </c>
      <c r="C71" s="28">
        <v>9460012280.4200001</v>
      </c>
    </row>
    <row r="72" spans="1:3" ht="15.5">
      <c r="A72" s="29">
        <v>44495</v>
      </c>
      <c r="B72" s="28">
        <v>2.4700000000000002</v>
      </c>
      <c r="C72" s="28">
        <v>9460012280.4200001</v>
      </c>
    </row>
    <row r="73" spans="1:3" ht="15.5">
      <c r="A73" s="29">
        <v>44494</v>
      </c>
      <c r="B73" s="28">
        <v>2.4900000000000002</v>
      </c>
      <c r="C73" s="28">
        <v>9536611570.1399994</v>
      </c>
    </row>
    <row r="74" spans="1:3" ht="15.5">
      <c r="A74" s="29">
        <v>44491</v>
      </c>
      <c r="B74" s="28">
        <v>2.5099999999999998</v>
      </c>
      <c r="C74" s="28">
        <v>9613210859.8600006</v>
      </c>
    </row>
    <row r="75" spans="1:3" ht="15.5">
      <c r="A75" s="29">
        <v>44490</v>
      </c>
      <c r="B75" s="28">
        <v>2.5099999999999998</v>
      </c>
      <c r="C75" s="28">
        <v>9613210859.8600006</v>
      </c>
    </row>
    <row r="76" spans="1:3" ht="15.5">
      <c r="A76" s="29">
        <v>44489</v>
      </c>
      <c r="B76" s="28">
        <v>2.5099999999999998</v>
      </c>
      <c r="C76" s="28">
        <v>9613210859.8600006</v>
      </c>
    </row>
    <row r="77" spans="1:3" ht="15.5">
      <c r="A77" s="29">
        <v>44488</v>
      </c>
      <c r="B77" s="28">
        <v>2.48</v>
      </c>
      <c r="C77" s="28">
        <v>9498311925.2800007</v>
      </c>
    </row>
    <row r="78" spans="1:3" ht="15.5">
      <c r="A78" s="29">
        <v>44487</v>
      </c>
      <c r="B78" s="28">
        <v>2.4900000000000002</v>
      </c>
      <c r="C78" s="28">
        <v>9536611570.1399994</v>
      </c>
    </row>
    <row r="79" spans="1:3" ht="15.5">
      <c r="A79" s="29">
        <v>44484</v>
      </c>
      <c r="B79" s="28">
        <v>2.5</v>
      </c>
      <c r="C79" s="28">
        <v>9574911215</v>
      </c>
    </row>
    <row r="80" spans="1:3" ht="15.5">
      <c r="A80" s="29">
        <v>44483</v>
      </c>
      <c r="B80" s="28">
        <v>2.48</v>
      </c>
      <c r="C80" s="28">
        <v>9498311925.2800007</v>
      </c>
    </row>
    <row r="81" spans="1:3" ht="15.5">
      <c r="A81" s="29">
        <v>44482</v>
      </c>
      <c r="B81" s="28">
        <v>2.4700000000000002</v>
      </c>
      <c r="C81" s="28">
        <v>9460012280.4200001</v>
      </c>
    </row>
    <row r="82" spans="1:3" ht="15.5">
      <c r="A82" s="29">
        <v>44481</v>
      </c>
      <c r="B82" s="28">
        <v>2.48</v>
      </c>
      <c r="C82" s="28">
        <v>9498311925.2800007</v>
      </c>
    </row>
    <row r="83" spans="1:3" ht="15.5">
      <c r="A83" s="29">
        <v>44480</v>
      </c>
      <c r="B83" s="28">
        <v>2.4900000000000002</v>
      </c>
      <c r="C83" s="28">
        <v>9536611570.1399994</v>
      </c>
    </row>
    <row r="84" spans="1:3" ht="15.5">
      <c r="A84" s="29">
        <v>44477</v>
      </c>
      <c r="B84" s="28">
        <v>2.5</v>
      </c>
      <c r="C84" s="28">
        <v>9574911215</v>
      </c>
    </row>
    <row r="85" spans="1:3" ht="15.5">
      <c r="A85" s="29">
        <v>44476</v>
      </c>
      <c r="B85" s="28">
        <v>2.4900000000000002</v>
      </c>
      <c r="C85" s="28">
        <v>9536611570.1399994</v>
      </c>
    </row>
    <row r="86" spans="1:3" ht="15.5">
      <c r="A86" s="29">
        <v>44475</v>
      </c>
      <c r="B86" s="28">
        <v>2.52</v>
      </c>
      <c r="C86" s="28">
        <v>9651510504.7199993</v>
      </c>
    </row>
    <row r="87" spans="1:3" ht="15.5">
      <c r="A87" s="29">
        <v>44474</v>
      </c>
      <c r="B87" s="28">
        <v>2.57</v>
      </c>
      <c r="C87" s="28">
        <v>9843008729.0200005</v>
      </c>
    </row>
    <row r="88" spans="1:3" ht="15.5">
      <c r="A88" s="29">
        <v>44473</v>
      </c>
      <c r="B88" s="28">
        <v>2.54</v>
      </c>
      <c r="C88" s="28">
        <v>9728109794.4400005</v>
      </c>
    </row>
    <row r="89" spans="1:3" ht="15.5">
      <c r="A89" s="29">
        <v>44470</v>
      </c>
      <c r="B89" s="28">
        <v>2.5299999999999998</v>
      </c>
      <c r="C89" s="28">
        <v>9689810149.5799999</v>
      </c>
    </row>
    <row r="90" spans="1:3" ht="15.5">
      <c r="A90" s="29">
        <v>44469</v>
      </c>
      <c r="B90" s="28">
        <v>2.52</v>
      </c>
      <c r="C90" s="28">
        <v>9651510504.7199993</v>
      </c>
    </row>
    <row r="91" spans="1:3" ht="15.5">
      <c r="A91" s="29">
        <v>44468</v>
      </c>
      <c r="B91" s="28">
        <v>2.56</v>
      </c>
      <c r="C91" s="28">
        <v>9731154874.8799992</v>
      </c>
    </row>
    <row r="92" spans="1:3" ht="15.5">
      <c r="A92" s="29">
        <v>44467</v>
      </c>
      <c r="B92" s="28">
        <v>2.54</v>
      </c>
      <c r="C92" s="28">
        <v>9655130227.4200001</v>
      </c>
    </row>
    <row r="93" spans="1:3" ht="15.5">
      <c r="A93" s="29">
        <v>44466</v>
      </c>
      <c r="B93" s="28">
        <v>2.58</v>
      </c>
      <c r="C93" s="28">
        <v>9807179522.3400002</v>
      </c>
    </row>
    <row r="94" spans="1:3" ht="15.5">
      <c r="A94" s="29">
        <v>44463</v>
      </c>
      <c r="B94" s="28">
        <v>2.5499999999999998</v>
      </c>
      <c r="C94" s="28">
        <v>9693142551.1499996</v>
      </c>
    </row>
    <row r="95" spans="1:3" ht="15.5">
      <c r="A95" s="29">
        <v>44462</v>
      </c>
      <c r="B95" s="28">
        <v>2.58</v>
      </c>
      <c r="C95" s="28">
        <v>9807179522.3400002</v>
      </c>
    </row>
    <row r="96" spans="1:3" ht="15.5">
      <c r="A96" s="29">
        <v>44461</v>
      </c>
      <c r="B96" s="28">
        <v>2.52</v>
      </c>
      <c r="C96" s="28">
        <v>9579105579.9599991</v>
      </c>
    </row>
    <row r="97" spans="1:3" ht="15.5">
      <c r="A97" s="29">
        <v>44460</v>
      </c>
      <c r="B97" s="28">
        <v>2.59</v>
      </c>
      <c r="C97" s="28">
        <v>9845191846.0699997</v>
      </c>
    </row>
    <row r="98" spans="1:3" ht="15.5">
      <c r="A98" s="29">
        <v>44459</v>
      </c>
      <c r="B98" s="28">
        <v>2.36</v>
      </c>
      <c r="C98" s="28">
        <v>8970908400.2800007</v>
      </c>
    </row>
    <row r="99" spans="1:3" ht="15.5">
      <c r="A99" s="29">
        <v>44456</v>
      </c>
      <c r="B99" s="28">
        <v>1.98</v>
      </c>
      <c r="C99" s="28">
        <v>7526440098.54</v>
      </c>
    </row>
    <row r="100" spans="1:3" ht="15.5">
      <c r="A100" s="29">
        <v>44455</v>
      </c>
      <c r="B100" s="28">
        <v>1.9950000000000001</v>
      </c>
      <c r="C100" s="28">
        <v>7583458584.1350002</v>
      </c>
    </row>
    <row r="101" spans="1:3" ht="15.5">
      <c r="A101" s="29">
        <v>44454</v>
      </c>
      <c r="B101" s="28">
        <v>1.9850000000000001</v>
      </c>
      <c r="C101" s="28">
        <v>7545446260.4049997</v>
      </c>
    </row>
    <row r="102" spans="1:3" ht="15.5">
      <c r="A102" s="29">
        <v>44453</v>
      </c>
      <c r="B102" s="28">
        <v>1.98</v>
      </c>
      <c r="C102" s="28">
        <v>7526440098.54</v>
      </c>
    </row>
    <row r="103" spans="1:3" ht="15.5">
      <c r="A103" s="29">
        <v>44452</v>
      </c>
      <c r="B103" s="28">
        <v>1.97</v>
      </c>
      <c r="C103" s="28">
        <v>7488427774.8100004</v>
      </c>
    </row>
    <row r="104" spans="1:3" ht="15.5">
      <c r="A104" s="29">
        <v>44449</v>
      </c>
      <c r="B104" s="28">
        <v>1.9550000000000001</v>
      </c>
      <c r="C104" s="28">
        <v>7431409289.2150002</v>
      </c>
    </row>
    <row r="105" spans="1:3" ht="15.5">
      <c r="A105" s="29">
        <v>44448</v>
      </c>
      <c r="B105" s="28">
        <v>1.9550000000000001</v>
      </c>
      <c r="C105" s="28">
        <v>7431409289.2150002</v>
      </c>
    </row>
    <row r="106" spans="1:3" ht="15.5">
      <c r="A106" s="29">
        <v>44447</v>
      </c>
      <c r="B106" s="28">
        <v>1.99</v>
      </c>
      <c r="C106" s="28">
        <v>7564452422.2700005</v>
      </c>
    </row>
    <row r="107" spans="1:3" ht="15.5">
      <c r="A107" s="29">
        <v>44446</v>
      </c>
      <c r="B107" s="28">
        <v>1.98</v>
      </c>
      <c r="C107" s="28">
        <v>7526440098.54</v>
      </c>
    </row>
    <row r="108" spans="1:3" ht="15.5">
      <c r="A108" s="29">
        <v>44445</v>
      </c>
      <c r="B108" s="28">
        <v>1.9650000000000001</v>
      </c>
      <c r="C108" s="28">
        <v>7469421612.9449997</v>
      </c>
    </row>
    <row r="109" spans="1:3" ht="15.5">
      <c r="A109" s="29">
        <v>44442</v>
      </c>
      <c r="B109" s="28">
        <v>1.95</v>
      </c>
      <c r="C109" s="28">
        <v>7412403127.3500004</v>
      </c>
    </row>
    <row r="110" spans="1:3" ht="15.5">
      <c r="A110" s="29">
        <v>44441</v>
      </c>
      <c r="B110" s="28">
        <v>1.915</v>
      </c>
      <c r="C110" s="28">
        <v>7279359994.2950001</v>
      </c>
    </row>
    <row r="111" spans="1:3" ht="15.5">
      <c r="A111" s="29">
        <v>44440</v>
      </c>
      <c r="B111" s="28">
        <v>1.92</v>
      </c>
      <c r="C111" s="28">
        <v>7298366156.1599998</v>
      </c>
    </row>
    <row r="112" spans="1:3" ht="15.5">
      <c r="A112" s="29">
        <v>44439</v>
      </c>
      <c r="B112" s="28">
        <v>1.9350000000000001</v>
      </c>
      <c r="C112" s="28">
        <v>7355384641.7550001</v>
      </c>
    </row>
    <row r="113" spans="1:3" ht="15.5">
      <c r="A113" s="29">
        <v>44438</v>
      </c>
      <c r="B113" s="28">
        <v>1.9550000000000001</v>
      </c>
      <c r="C113" s="28">
        <v>7431409289.2150002</v>
      </c>
    </row>
    <row r="114" spans="1:3" ht="15.5">
      <c r="A114" s="29">
        <v>44435</v>
      </c>
      <c r="B114" s="28">
        <v>1.9650000000000001</v>
      </c>
      <c r="C114" s="28">
        <v>7469421612.9449997</v>
      </c>
    </row>
    <row r="115" spans="1:3" ht="15.5">
      <c r="A115" s="29">
        <v>44434</v>
      </c>
      <c r="B115" s="28">
        <v>1.9550000000000001</v>
      </c>
      <c r="C115" s="28">
        <v>7431409289.2150002</v>
      </c>
    </row>
    <row r="116" spans="1:3" ht="15.5">
      <c r="A116" s="29">
        <v>44433</v>
      </c>
      <c r="B116" s="28">
        <v>1.9850000000000001</v>
      </c>
      <c r="C116" s="28">
        <v>7545446260.4049997</v>
      </c>
    </row>
    <row r="117" spans="1:3" ht="15.5">
      <c r="A117" s="29">
        <v>44432</v>
      </c>
      <c r="B117" s="28">
        <v>1.9950000000000001</v>
      </c>
      <c r="C117" s="28">
        <v>7583458584.1350002</v>
      </c>
    </row>
    <row r="118" spans="1:3" ht="15.5">
      <c r="A118" s="29">
        <v>44431</v>
      </c>
      <c r="B118" s="28">
        <v>2</v>
      </c>
      <c r="C118" s="28">
        <v>7602464746</v>
      </c>
    </row>
    <row r="119" spans="1:3" ht="15.5">
      <c r="A119" s="29">
        <v>44428</v>
      </c>
      <c r="B119" s="28">
        <v>1.97</v>
      </c>
      <c r="C119" s="28">
        <v>7488427774.8100004</v>
      </c>
    </row>
    <row r="120" spans="1:3" ht="15.5">
      <c r="A120" s="29">
        <v>44427</v>
      </c>
      <c r="B120" s="28">
        <v>1.9450000000000001</v>
      </c>
      <c r="C120" s="28">
        <v>7393396965.4849997</v>
      </c>
    </row>
    <row r="121" spans="1:3" ht="15.5">
      <c r="A121" s="29">
        <v>44426</v>
      </c>
      <c r="B121" s="28">
        <v>1.9450000000000001</v>
      </c>
      <c r="C121" s="28">
        <v>7393396965.4849997</v>
      </c>
    </row>
    <row r="122" spans="1:3" ht="15.5">
      <c r="A122" s="29">
        <v>44425</v>
      </c>
      <c r="B122" s="28">
        <v>1.925</v>
      </c>
      <c r="C122" s="28">
        <v>7317372318.0249996</v>
      </c>
    </row>
    <row r="123" spans="1:3" ht="15.5">
      <c r="A123" s="29">
        <v>44424</v>
      </c>
      <c r="B123" s="28">
        <v>1.9350000000000001</v>
      </c>
      <c r="C123" s="28">
        <v>7355384641.7550001</v>
      </c>
    </row>
    <row r="124" spans="1:3" ht="15.5">
      <c r="A124" s="29">
        <v>44421</v>
      </c>
      <c r="B124" s="28">
        <v>1.925</v>
      </c>
      <c r="C124" s="28">
        <v>7317372318.0249996</v>
      </c>
    </row>
    <row r="125" spans="1:3" ht="15.5">
      <c r="A125" s="29">
        <v>44420</v>
      </c>
      <c r="B125" s="28">
        <v>1.91</v>
      </c>
      <c r="C125" s="28">
        <v>7260353832.4300003</v>
      </c>
    </row>
    <row r="126" spans="1:3" ht="15.5">
      <c r="A126" s="29">
        <v>44419</v>
      </c>
      <c r="B126" s="28">
        <v>1.915</v>
      </c>
      <c r="C126" s="28">
        <v>7279359994.2950001</v>
      </c>
    </row>
    <row r="127" spans="1:3" ht="15.5">
      <c r="A127" s="29">
        <v>44418</v>
      </c>
      <c r="B127" s="28">
        <v>1.885</v>
      </c>
      <c r="C127" s="28">
        <v>7165323023.1049995</v>
      </c>
    </row>
    <row r="128" spans="1:3" ht="15.5">
      <c r="A128" s="29">
        <v>44417</v>
      </c>
      <c r="B128" s="28">
        <v>1.87</v>
      </c>
      <c r="C128" s="28">
        <v>7108304537.5100002</v>
      </c>
    </row>
    <row r="129" spans="1:3" ht="15.5">
      <c r="A129" s="29">
        <v>44414</v>
      </c>
      <c r="B129" s="28">
        <v>1.845</v>
      </c>
      <c r="C129" s="28">
        <v>7013273728.1850004</v>
      </c>
    </row>
    <row r="130" spans="1:3" ht="15.5">
      <c r="A130" s="29">
        <v>44413</v>
      </c>
      <c r="B130" s="28">
        <v>1.855</v>
      </c>
      <c r="C130" s="28">
        <v>7051286051.915</v>
      </c>
    </row>
    <row r="131" spans="1:3" ht="15.5">
      <c r="A131" s="29">
        <v>44412</v>
      </c>
      <c r="B131" s="28">
        <v>1.84</v>
      </c>
      <c r="C131" s="28">
        <v>6994267566.3199997</v>
      </c>
    </row>
    <row r="132" spans="1:3" ht="15.5">
      <c r="A132" s="29">
        <v>44411</v>
      </c>
      <c r="B132" s="28">
        <v>1.85</v>
      </c>
      <c r="C132" s="28">
        <v>7032279890.0500002</v>
      </c>
    </row>
    <row r="133" spans="1:3" ht="15.5">
      <c r="A133" s="29">
        <v>44410</v>
      </c>
      <c r="B133" s="28">
        <v>1.83</v>
      </c>
      <c r="C133" s="28">
        <v>6956255242.5900002</v>
      </c>
    </row>
    <row r="134" spans="1:3" ht="15.5">
      <c r="A134" s="29">
        <v>44407</v>
      </c>
      <c r="B134" s="28">
        <v>1.825</v>
      </c>
      <c r="C134" s="28">
        <v>6937249080.7250004</v>
      </c>
    </row>
    <row r="135" spans="1:3" ht="15.5">
      <c r="A135" s="29">
        <v>44406</v>
      </c>
      <c r="B135" s="28">
        <v>1.8049999999999999</v>
      </c>
      <c r="C135" s="28">
        <v>6861224433.2650003</v>
      </c>
    </row>
    <row r="136" spans="1:3" ht="15.5">
      <c r="A136" s="29">
        <v>44405</v>
      </c>
      <c r="B136" s="28">
        <v>1.82</v>
      </c>
      <c r="C136" s="28">
        <v>6918242918.8599997</v>
      </c>
    </row>
    <row r="137" spans="1:3" ht="15.5">
      <c r="A137" s="29">
        <v>44404</v>
      </c>
      <c r="B137" s="28">
        <v>1.84</v>
      </c>
      <c r="C137" s="28">
        <v>6994267566.3199997</v>
      </c>
    </row>
    <row r="138" spans="1:3" ht="15.5">
      <c r="A138" s="29">
        <v>44403</v>
      </c>
      <c r="B138" s="28">
        <v>1.835</v>
      </c>
      <c r="C138" s="28">
        <v>6975261404.4549999</v>
      </c>
    </row>
    <row r="139" spans="1:3" ht="15.5">
      <c r="A139" s="29">
        <v>44400</v>
      </c>
      <c r="B139" s="28">
        <v>1.845</v>
      </c>
      <c r="C139" s="28">
        <v>7013273728.1850004</v>
      </c>
    </row>
    <row r="140" spans="1:3" ht="15.5">
      <c r="A140" s="29">
        <v>44399</v>
      </c>
      <c r="B140" s="28">
        <v>1.835</v>
      </c>
      <c r="C140" s="28">
        <v>6975261404.4549999</v>
      </c>
    </row>
    <row r="141" spans="1:3" ht="15.5">
      <c r="A141" s="29">
        <v>44398</v>
      </c>
      <c r="B141" s="28">
        <v>1.81</v>
      </c>
      <c r="C141" s="28">
        <v>6880230595.1300001</v>
      </c>
    </row>
    <row r="142" spans="1:3" ht="15.5">
      <c r="A142" s="29">
        <v>44397</v>
      </c>
      <c r="B142" s="28">
        <v>1.8</v>
      </c>
      <c r="C142" s="28">
        <v>6842218271.3999996</v>
      </c>
    </row>
    <row r="143" spans="1:3" ht="15.5">
      <c r="A143" s="29">
        <v>44396</v>
      </c>
      <c r="B143" s="28">
        <v>1.8049999999999999</v>
      </c>
      <c r="C143" s="28">
        <v>6861224433.2650003</v>
      </c>
    </row>
    <row r="144" spans="1:3" ht="15.5">
      <c r="A144" s="29">
        <v>44393</v>
      </c>
      <c r="B144" s="28">
        <v>1.8049999999999999</v>
      </c>
      <c r="C144" s="28">
        <v>6861224433.2650003</v>
      </c>
    </row>
    <row r="145" spans="1:3" ht="15.5">
      <c r="A145" s="29">
        <v>44392</v>
      </c>
      <c r="B145" s="28">
        <v>1.82</v>
      </c>
      <c r="C145" s="28">
        <v>6918242918.8599997</v>
      </c>
    </row>
    <row r="146" spans="1:3" ht="15.5">
      <c r="A146" s="29">
        <v>44391</v>
      </c>
      <c r="B146" s="28">
        <v>1.84</v>
      </c>
      <c r="C146" s="28">
        <v>6994267566.3199997</v>
      </c>
    </row>
    <row r="147" spans="1:3" ht="15.5">
      <c r="A147" s="29">
        <v>44390</v>
      </c>
      <c r="B147" s="28">
        <v>1.77</v>
      </c>
      <c r="C147" s="28">
        <v>6728181300.21</v>
      </c>
    </row>
    <row r="148" spans="1:3" ht="15.5">
      <c r="A148" s="29">
        <v>44389</v>
      </c>
      <c r="B148" s="28">
        <v>1.7549999999999999</v>
      </c>
      <c r="C148" s="28">
        <v>6671162814.6149998</v>
      </c>
    </row>
    <row r="149" spans="1:3" ht="15.5">
      <c r="A149" s="29">
        <v>44386</v>
      </c>
      <c r="B149" s="28">
        <v>1.7549999999999999</v>
      </c>
      <c r="C149" s="28">
        <v>6671162814.6149998</v>
      </c>
    </row>
    <row r="150" spans="1:3" ht="15.5">
      <c r="A150" s="29">
        <v>44385</v>
      </c>
      <c r="B150" s="28">
        <v>1.7649999999999999</v>
      </c>
      <c r="C150" s="28">
        <v>6709175138.3450003</v>
      </c>
    </row>
    <row r="151" spans="1:3" ht="15.5">
      <c r="A151" s="29">
        <v>44384</v>
      </c>
      <c r="B151" s="28">
        <v>1.76</v>
      </c>
      <c r="C151" s="28">
        <v>6690168976.4799995</v>
      </c>
    </row>
    <row r="152" spans="1:3" ht="15.5">
      <c r="A152" s="29">
        <v>44383</v>
      </c>
      <c r="B152" s="28">
        <v>1.7549999999999999</v>
      </c>
      <c r="C152" s="28">
        <v>6671162814.6149998</v>
      </c>
    </row>
    <row r="153" spans="1:3" ht="15.5">
      <c r="A153" s="29">
        <v>44382</v>
      </c>
      <c r="B153" s="28">
        <v>1.77</v>
      </c>
      <c r="C153" s="28">
        <v>6728181300.21</v>
      </c>
    </row>
    <row r="154" spans="1:3" ht="15.5">
      <c r="A154" s="29">
        <v>44379</v>
      </c>
      <c r="B154" s="28">
        <v>1.76</v>
      </c>
      <c r="C154" s="28">
        <v>6690168976.4799995</v>
      </c>
    </row>
    <row r="155" spans="1:3" ht="15.5">
      <c r="A155" s="29">
        <v>44378</v>
      </c>
      <c r="B155" s="28">
        <v>1.7549999999999999</v>
      </c>
      <c r="C155" s="28">
        <v>6671162814.6149998</v>
      </c>
    </row>
    <row r="156" spans="1:3" ht="15.5">
      <c r="A156" s="29">
        <v>44377</v>
      </c>
      <c r="B156" s="28">
        <v>1.75</v>
      </c>
      <c r="C156" s="28">
        <v>6652156652.75</v>
      </c>
    </row>
    <row r="157" spans="1:3" ht="15.5">
      <c r="A157" s="29">
        <v>44376</v>
      </c>
      <c r="B157" s="28">
        <v>1.78</v>
      </c>
      <c r="C157" s="28">
        <v>6766193623.9399996</v>
      </c>
    </row>
    <row r="158" spans="1:3" ht="15.5">
      <c r="A158" s="29">
        <v>44375</v>
      </c>
      <c r="B158" s="28">
        <v>1.8</v>
      </c>
      <c r="C158" s="28">
        <v>6842218271.3999996</v>
      </c>
    </row>
    <row r="159" spans="1:3" ht="15.5">
      <c r="A159" s="29">
        <v>44372</v>
      </c>
      <c r="B159" s="28">
        <v>1.78</v>
      </c>
      <c r="C159" s="28">
        <v>6766193623.9399996</v>
      </c>
    </row>
    <row r="160" spans="1:3" ht="15.5">
      <c r="A160" s="29">
        <v>44371</v>
      </c>
      <c r="B160" s="28">
        <v>1.74</v>
      </c>
      <c r="C160" s="28">
        <v>6614144329.0200005</v>
      </c>
    </row>
    <row r="161" spans="1:3" ht="15.5">
      <c r="A161" s="29">
        <v>44370</v>
      </c>
      <c r="B161" s="28">
        <v>1.7450000000000001</v>
      </c>
      <c r="C161" s="28">
        <v>6633150490.8850002</v>
      </c>
    </row>
    <row r="162" spans="1:3" ht="15.5">
      <c r="A162" s="29">
        <v>44369</v>
      </c>
      <c r="B162" s="28">
        <v>1.7849999999999999</v>
      </c>
      <c r="C162" s="28">
        <v>6785199785.8050003</v>
      </c>
    </row>
    <row r="163" spans="1:3" ht="15.5">
      <c r="A163" s="29">
        <v>44368</v>
      </c>
      <c r="B163" s="28">
        <v>1.7849999999999999</v>
      </c>
      <c r="C163" s="28">
        <v>6785199785.8050003</v>
      </c>
    </row>
    <row r="164" spans="1:3" ht="15.5">
      <c r="A164" s="29">
        <v>44365</v>
      </c>
      <c r="B164" s="28">
        <v>1.825</v>
      </c>
      <c r="C164" s="28">
        <v>6937249080.7250004</v>
      </c>
    </row>
    <row r="165" spans="1:3" ht="15.5">
      <c r="A165" s="29">
        <v>44364</v>
      </c>
      <c r="B165" s="28">
        <v>1.83</v>
      </c>
      <c r="C165" s="28">
        <v>6956255242.5900002</v>
      </c>
    </row>
    <row r="166" spans="1:3" ht="15.5">
      <c r="A166" s="29">
        <v>44363</v>
      </c>
      <c r="B166" s="28">
        <v>1.845</v>
      </c>
      <c r="C166" s="28">
        <v>7013273728.1850004</v>
      </c>
    </row>
    <row r="167" spans="1:3" ht="15.5">
      <c r="A167" s="29">
        <v>44362</v>
      </c>
      <c r="B167" s="28">
        <v>1.83</v>
      </c>
      <c r="C167" s="28">
        <v>6956255242.5900002</v>
      </c>
    </row>
    <row r="168" spans="1:3" ht="15.5">
      <c r="A168" s="29">
        <v>44358</v>
      </c>
      <c r="B168" s="28">
        <v>1.8149999999999999</v>
      </c>
      <c r="C168" s="28">
        <v>6899236756.9949999</v>
      </c>
    </row>
    <row r="169" spans="1:3" ht="15.5">
      <c r="A169" s="29">
        <v>44357</v>
      </c>
      <c r="B169" s="28">
        <v>1.81</v>
      </c>
      <c r="C169" s="28">
        <v>6880230595.1300001</v>
      </c>
    </row>
    <row r="170" spans="1:3" ht="15.5">
      <c r="A170" s="29">
        <v>44356</v>
      </c>
      <c r="B170" s="28">
        <v>1.8</v>
      </c>
      <c r="C170" s="28">
        <v>6842218271.3999996</v>
      </c>
    </row>
    <row r="171" spans="1:3" ht="15.5">
      <c r="A171" s="29">
        <v>44355</v>
      </c>
      <c r="B171" s="28">
        <v>1.78</v>
      </c>
      <c r="C171" s="28">
        <v>6766193623.9399996</v>
      </c>
    </row>
    <row r="172" spans="1:3" ht="15.5">
      <c r="A172" s="29">
        <v>44354</v>
      </c>
      <c r="B172" s="28">
        <v>1.78</v>
      </c>
      <c r="C172" s="28">
        <v>6766193623.9399996</v>
      </c>
    </row>
    <row r="173" spans="1:3" ht="15.5">
      <c r="A173" s="29">
        <v>44351</v>
      </c>
      <c r="B173" s="28">
        <v>1.7849999999999999</v>
      </c>
      <c r="C173" s="28">
        <v>6785199785.8050003</v>
      </c>
    </row>
    <row r="174" spans="1:3" ht="15.5">
      <c r="A174" s="29">
        <v>44350</v>
      </c>
      <c r="B174" s="28">
        <v>1.78</v>
      </c>
      <c r="C174" s="28">
        <v>6766193623.9399996</v>
      </c>
    </row>
    <row r="175" spans="1:3" ht="15.5">
      <c r="A175" s="29">
        <v>44349</v>
      </c>
      <c r="B175" s="28">
        <v>1.7849999999999999</v>
      </c>
      <c r="C175" s="28">
        <v>6785199785.8050003</v>
      </c>
    </row>
    <row r="176" spans="1:3" ht="15.5">
      <c r="A176" s="29">
        <v>44348</v>
      </c>
      <c r="B176" s="28">
        <v>1.75</v>
      </c>
      <c r="C176" s="28">
        <v>6652156652.75</v>
      </c>
    </row>
    <row r="177" spans="1:3" ht="15.5">
      <c r="A177" s="29">
        <v>44347</v>
      </c>
      <c r="B177" s="28">
        <v>1.7549999999999999</v>
      </c>
      <c r="C177" s="28">
        <v>6671162814.6149998</v>
      </c>
    </row>
    <row r="178" spans="1:3" ht="15.5">
      <c r="A178" s="29">
        <v>44344</v>
      </c>
      <c r="B178" s="28">
        <v>1.7549999999999999</v>
      </c>
      <c r="C178" s="28">
        <v>6671162814.6149998</v>
      </c>
    </row>
    <row r="179" spans="1:3" ht="15.5">
      <c r="A179" s="29">
        <v>44343</v>
      </c>
      <c r="B179" s="28">
        <v>1.7450000000000001</v>
      </c>
      <c r="C179" s="28">
        <v>6633150490.8850002</v>
      </c>
    </row>
    <row r="180" spans="1:3" ht="15.5">
      <c r="A180" s="29">
        <v>44342</v>
      </c>
      <c r="B180" s="28">
        <v>1.75</v>
      </c>
      <c r="C180" s="28">
        <v>6652156652.75</v>
      </c>
    </row>
    <row r="181" spans="1:3" ht="15.5">
      <c r="A181" s="29">
        <v>44341</v>
      </c>
      <c r="B181" s="28">
        <v>1.73</v>
      </c>
      <c r="C181" s="28">
        <v>6576132005.29</v>
      </c>
    </row>
    <row r="182" spans="1:3" ht="15.5">
      <c r="A182" s="29">
        <v>44340</v>
      </c>
      <c r="B182" s="28">
        <v>1.73</v>
      </c>
      <c r="C182" s="28">
        <v>6576132005.29</v>
      </c>
    </row>
    <row r="183" spans="1:3" ht="15.5">
      <c r="A183" s="29">
        <v>44337</v>
      </c>
      <c r="B183" s="28">
        <v>1.7350000000000001</v>
      </c>
      <c r="C183" s="28">
        <v>6595138167.1549997</v>
      </c>
    </row>
    <row r="184" spans="1:3" ht="15.5">
      <c r="A184" s="29">
        <v>44336</v>
      </c>
      <c r="B184" s="28">
        <v>1.73</v>
      </c>
      <c r="C184" s="28">
        <v>6576132005.29</v>
      </c>
    </row>
    <row r="185" spans="1:3" ht="15.5">
      <c r="A185" s="29">
        <v>44335</v>
      </c>
      <c r="B185" s="28">
        <v>1.7749999999999999</v>
      </c>
      <c r="C185" s="28">
        <v>6747187462.0749998</v>
      </c>
    </row>
    <row r="186" spans="1:3" ht="15.5">
      <c r="A186" s="29">
        <v>44334</v>
      </c>
      <c r="B186" s="28">
        <v>1.7849999999999999</v>
      </c>
      <c r="C186" s="28">
        <v>6785199785.8050003</v>
      </c>
    </row>
    <row r="187" spans="1:3" ht="15.5">
      <c r="A187" s="29">
        <v>44333</v>
      </c>
      <c r="B187" s="28">
        <v>1.79</v>
      </c>
      <c r="C187" s="28">
        <v>6804205947.6700001</v>
      </c>
    </row>
    <row r="188" spans="1:3" ht="15.5">
      <c r="A188" s="29">
        <v>44330</v>
      </c>
      <c r="B188" s="28">
        <v>1.8</v>
      </c>
      <c r="C188" s="28">
        <v>6842218271.3999996</v>
      </c>
    </row>
    <row r="189" spans="1:3" ht="15.5">
      <c r="A189" s="29">
        <v>44329</v>
      </c>
      <c r="B189" s="28">
        <v>1.77</v>
      </c>
      <c r="C189" s="28">
        <v>6728181300.21</v>
      </c>
    </row>
    <row r="190" spans="1:3" ht="15.5">
      <c r="A190" s="29">
        <v>44328</v>
      </c>
      <c r="B190" s="28">
        <v>1.7350000000000001</v>
      </c>
      <c r="C190" s="28">
        <v>6595138167.1549997</v>
      </c>
    </row>
    <row r="191" spans="1:3" ht="15.5">
      <c r="A191" s="29">
        <v>44327</v>
      </c>
      <c r="B191" s="28">
        <v>1.88</v>
      </c>
      <c r="C191" s="28">
        <v>7146316861.2399998</v>
      </c>
    </row>
    <row r="192" spans="1:3" ht="15.5">
      <c r="A192" s="29">
        <v>44326</v>
      </c>
      <c r="B192" s="28">
        <v>1.885</v>
      </c>
      <c r="C192" s="28">
        <v>7165323023.1049995</v>
      </c>
    </row>
    <row r="193" spans="1:3" ht="15.5">
      <c r="A193" s="29">
        <v>44323</v>
      </c>
      <c r="B193" s="28">
        <v>1.89</v>
      </c>
      <c r="C193" s="28">
        <v>7184329184.9700003</v>
      </c>
    </row>
    <row r="194" spans="1:3" ht="15.5">
      <c r="A194" s="29">
        <v>44322</v>
      </c>
      <c r="B194" s="28">
        <v>1.905</v>
      </c>
      <c r="C194" s="28">
        <v>7241347670.5649996</v>
      </c>
    </row>
    <row r="195" spans="1:3" ht="15.5">
      <c r="A195" s="29">
        <v>44321</v>
      </c>
      <c r="B195" s="28">
        <v>1.89</v>
      </c>
      <c r="C195" s="28">
        <v>7184329184.9700003</v>
      </c>
    </row>
    <row r="196" spans="1:3" ht="15.5">
      <c r="A196" s="29">
        <v>44320</v>
      </c>
      <c r="B196" s="28">
        <v>1.895</v>
      </c>
      <c r="C196" s="28">
        <v>7203335346.835</v>
      </c>
    </row>
    <row r="197" spans="1:3" ht="15.5">
      <c r="A197" s="29">
        <v>44319</v>
      </c>
      <c r="B197" s="28">
        <v>1.89</v>
      </c>
      <c r="C197" s="28">
        <v>7184329184.9700003</v>
      </c>
    </row>
    <row r="198" spans="1:3" ht="15.5">
      <c r="A198" s="29">
        <v>44316</v>
      </c>
      <c r="B198" s="28">
        <v>1.895</v>
      </c>
      <c r="C198" s="28">
        <v>7203335346.835</v>
      </c>
    </row>
    <row r="199" spans="1:3" ht="15.5">
      <c r="A199" s="29">
        <v>44315</v>
      </c>
      <c r="B199" s="28">
        <v>1.9</v>
      </c>
      <c r="C199" s="28">
        <v>7222341508.6999998</v>
      </c>
    </row>
    <row r="200" spans="1:3" ht="15.5">
      <c r="A200" s="29">
        <v>44314</v>
      </c>
      <c r="B200" s="28">
        <v>1.89</v>
      </c>
      <c r="C200" s="28">
        <v>7184329184.9700003</v>
      </c>
    </row>
    <row r="201" spans="1:3" ht="15.5">
      <c r="A201" s="29">
        <v>44313</v>
      </c>
      <c r="B201" s="28">
        <v>1.885</v>
      </c>
      <c r="C201" s="28">
        <v>7165323023.1049995</v>
      </c>
    </row>
    <row r="202" spans="1:3" ht="15.5">
      <c r="A202" s="29">
        <v>44312</v>
      </c>
      <c r="B202" s="28">
        <v>1.88</v>
      </c>
      <c r="C202" s="28">
        <v>7146316861.2399998</v>
      </c>
    </row>
    <row r="203" spans="1:3" ht="15.5">
      <c r="A203" s="29">
        <v>44309</v>
      </c>
      <c r="B203" s="28">
        <v>1.89</v>
      </c>
      <c r="C203" s="28">
        <v>7184329184.9700003</v>
      </c>
    </row>
    <row r="204" spans="1:3" ht="15.5">
      <c r="A204" s="29">
        <v>44308</v>
      </c>
      <c r="B204" s="28">
        <v>1.9</v>
      </c>
      <c r="C204" s="28">
        <v>7222341508.6999998</v>
      </c>
    </row>
    <row r="205" spans="1:3" ht="15.5">
      <c r="A205" s="29">
        <v>44307</v>
      </c>
      <c r="B205" s="28">
        <v>1.875</v>
      </c>
      <c r="C205" s="28">
        <v>7127310699.375</v>
      </c>
    </row>
    <row r="206" spans="1:3" ht="15.5">
      <c r="A206" s="29">
        <v>44306</v>
      </c>
      <c r="B206" s="28">
        <v>1.855</v>
      </c>
      <c r="C206" s="28">
        <v>7051286051.915</v>
      </c>
    </row>
    <row r="207" spans="1:3" ht="15.5">
      <c r="A207" s="29">
        <v>44305</v>
      </c>
      <c r="B207" s="28">
        <v>1.855</v>
      </c>
      <c r="C207" s="28">
        <v>7051286051.915</v>
      </c>
    </row>
    <row r="208" spans="1:3" ht="15.5">
      <c r="A208" s="29">
        <v>44302</v>
      </c>
      <c r="B208" s="28">
        <v>1.85</v>
      </c>
      <c r="C208" s="28">
        <v>7032279890.0500002</v>
      </c>
    </row>
    <row r="209" spans="1:3" ht="15.5">
      <c r="A209" s="29">
        <v>44301</v>
      </c>
      <c r="B209" s="28">
        <v>1.86</v>
      </c>
      <c r="C209" s="28">
        <v>7070292213.7799997</v>
      </c>
    </row>
    <row r="210" spans="1:3" ht="15.5">
      <c r="A210" s="29">
        <v>44300</v>
      </c>
      <c r="B210" s="28">
        <v>1.85</v>
      </c>
      <c r="C210" s="28">
        <v>7032279890.0500002</v>
      </c>
    </row>
    <row r="211" spans="1:3" ht="15.5">
      <c r="A211" s="29">
        <v>44299</v>
      </c>
      <c r="B211" s="28">
        <v>1.86</v>
      </c>
      <c r="C211" s="28">
        <v>7070292213.7799997</v>
      </c>
    </row>
    <row r="212" spans="1:3" ht="15.5">
      <c r="A212" s="29">
        <v>44298</v>
      </c>
      <c r="B212" s="28">
        <v>1.87</v>
      </c>
      <c r="C212" s="28">
        <v>7108304537.5100002</v>
      </c>
    </row>
    <row r="213" spans="1:3" ht="15.5">
      <c r="A213" s="29">
        <v>44295</v>
      </c>
      <c r="B213" s="28">
        <v>1.88</v>
      </c>
      <c r="C213" s="28">
        <v>7146316861.2399998</v>
      </c>
    </row>
    <row r="214" spans="1:3" ht="15.5">
      <c r="A214" s="29">
        <v>44294</v>
      </c>
      <c r="B214" s="28">
        <v>1.87</v>
      </c>
      <c r="C214" s="28">
        <v>7108304537.5100002</v>
      </c>
    </row>
    <row r="215" spans="1:3" ht="15.5">
      <c r="A215" s="29">
        <v>44293</v>
      </c>
      <c r="B215" s="28">
        <v>1.86</v>
      </c>
      <c r="C215" s="28">
        <v>7070292213.7799997</v>
      </c>
    </row>
    <row r="216" spans="1:3" ht="15.5">
      <c r="A216" s="29">
        <v>44292</v>
      </c>
      <c r="B216" s="28">
        <v>1.855</v>
      </c>
      <c r="C216" s="28">
        <v>7051286051.915</v>
      </c>
    </row>
    <row r="217" spans="1:3" ht="15.5">
      <c r="A217" s="29">
        <v>44287</v>
      </c>
      <c r="B217" s="28">
        <v>1.85</v>
      </c>
      <c r="C217" s="28">
        <v>7032279890.0500002</v>
      </c>
    </row>
    <row r="218" spans="1:3" ht="15.5">
      <c r="A218" s="29">
        <v>44286</v>
      </c>
      <c r="B218" s="28">
        <v>1.835</v>
      </c>
      <c r="C218" s="28">
        <v>6975261404.4549999</v>
      </c>
    </row>
    <row r="219" spans="1:3" ht="15.5">
      <c r="A219" s="29">
        <v>44285</v>
      </c>
      <c r="B219" s="28">
        <v>1.8149999999999999</v>
      </c>
      <c r="C219" s="28">
        <v>6811783341.4949999</v>
      </c>
    </row>
    <row r="220" spans="1:3" ht="15.5">
      <c r="A220" s="29">
        <v>44284</v>
      </c>
      <c r="B220" s="28">
        <v>1.83</v>
      </c>
      <c r="C220" s="28">
        <v>6868079071.5900002</v>
      </c>
    </row>
    <row r="221" spans="1:3" ht="15.5">
      <c r="A221" s="29">
        <v>44281</v>
      </c>
      <c r="B221" s="28">
        <v>1.84</v>
      </c>
      <c r="C221" s="28">
        <v>6905609558.3199997</v>
      </c>
    </row>
    <row r="222" spans="1:3" ht="15.5">
      <c r="A222" s="29">
        <v>44280</v>
      </c>
      <c r="B222" s="28">
        <v>1.83</v>
      </c>
      <c r="C222" s="28">
        <v>6868079071.5900002</v>
      </c>
    </row>
    <row r="223" spans="1:3" ht="15.5">
      <c r="A223" s="29">
        <v>44279</v>
      </c>
      <c r="B223" s="28">
        <v>1.825</v>
      </c>
      <c r="C223" s="28">
        <v>6849313828.2250004</v>
      </c>
    </row>
    <row r="224" spans="1:3" ht="15.5">
      <c r="A224" s="29">
        <v>44278</v>
      </c>
      <c r="B224" s="28">
        <v>1.835</v>
      </c>
      <c r="C224" s="28">
        <v>6886844314.9549999</v>
      </c>
    </row>
    <row r="225" spans="1:3" ht="15.5">
      <c r="A225" s="29">
        <v>44277</v>
      </c>
      <c r="B225" s="28">
        <v>1.835</v>
      </c>
      <c r="C225" s="28">
        <v>6886844314.9549999</v>
      </c>
    </row>
    <row r="226" spans="1:3" ht="15.5">
      <c r="A226" s="29">
        <v>44274</v>
      </c>
      <c r="B226" s="28">
        <v>1.81</v>
      </c>
      <c r="C226" s="28">
        <v>6793018098.1300001</v>
      </c>
    </row>
    <row r="227" spans="1:3" ht="15.5">
      <c r="A227" s="29">
        <v>44273</v>
      </c>
      <c r="B227" s="28">
        <v>1.77</v>
      </c>
      <c r="C227" s="28">
        <v>6642896151.21</v>
      </c>
    </row>
    <row r="228" spans="1:3" ht="15.5">
      <c r="A228" s="29">
        <v>44272</v>
      </c>
      <c r="B228" s="28">
        <v>1.79</v>
      </c>
      <c r="C228" s="28">
        <v>6717957124.6700001</v>
      </c>
    </row>
    <row r="229" spans="1:3" ht="15.5">
      <c r="A229" s="29">
        <v>44271</v>
      </c>
      <c r="B229" s="28">
        <v>1.77</v>
      </c>
      <c r="C229" s="28">
        <v>6642896151.21</v>
      </c>
    </row>
    <row r="230" spans="1:3" ht="15.5">
      <c r="A230" s="29">
        <v>44270</v>
      </c>
      <c r="B230" s="28">
        <v>1.7450000000000001</v>
      </c>
      <c r="C230" s="28">
        <v>6549069934.3850002</v>
      </c>
    </row>
    <row r="231" spans="1:3" ht="15.5">
      <c r="A231" s="29">
        <v>44267</v>
      </c>
      <c r="B231" s="28">
        <v>1.76</v>
      </c>
      <c r="C231" s="28">
        <v>6605365664.4799995</v>
      </c>
    </row>
    <row r="232" spans="1:3" ht="15.5">
      <c r="A232" s="29">
        <v>44266</v>
      </c>
      <c r="B232" s="28">
        <v>1.7350000000000001</v>
      </c>
      <c r="C232" s="28">
        <v>6511539447.6549997</v>
      </c>
    </row>
    <row r="233" spans="1:3" ht="15.5">
      <c r="A233" s="29">
        <v>44265</v>
      </c>
      <c r="B233" s="28">
        <v>1.73</v>
      </c>
      <c r="C233" s="28">
        <v>6492774204.29</v>
      </c>
    </row>
    <row r="234" spans="1:3" ht="15.5">
      <c r="A234" s="29">
        <v>44264</v>
      </c>
      <c r="B234" s="28">
        <v>1.73</v>
      </c>
      <c r="C234" s="28">
        <v>6492774204.29</v>
      </c>
    </row>
    <row r="235" spans="1:3" ht="15.5">
      <c r="A235" s="29">
        <v>44263</v>
      </c>
      <c r="B235" s="28">
        <v>1.7050000000000001</v>
      </c>
      <c r="C235" s="28">
        <v>6398947987.4650002</v>
      </c>
    </row>
    <row r="236" spans="1:3" ht="15.5">
      <c r="A236" s="29">
        <v>44260</v>
      </c>
      <c r="B236" s="28">
        <v>1.6950000000000001</v>
      </c>
      <c r="C236" s="28">
        <v>6361417500.7349997</v>
      </c>
    </row>
    <row r="237" spans="1:3" ht="15.5">
      <c r="A237" s="29">
        <v>44259</v>
      </c>
      <c r="B237" s="28">
        <v>1.675</v>
      </c>
      <c r="C237" s="28">
        <v>6286356527.2749996</v>
      </c>
    </row>
    <row r="238" spans="1:3" ht="15.5">
      <c r="A238" s="29">
        <v>44258</v>
      </c>
      <c r="B238" s="28">
        <v>1.6850000000000001</v>
      </c>
      <c r="C238" s="28">
        <v>6323887014.0050001</v>
      </c>
    </row>
    <row r="239" spans="1:3" ht="15.5">
      <c r="A239" s="29">
        <v>44257</v>
      </c>
      <c r="B239" s="28">
        <v>1.68</v>
      </c>
      <c r="C239" s="28">
        <v>6305121770.6400003</v>
      </c>
    </row>
    <row r="240" spans="1:3" ht="15.5">
      <c r="A240" s="29">
        <v>44256</v>
      </c>
      <c r="B240" s="28">
        <v>1.6950000000000001</v>
      </c>
      <c r="C240" s="28">
        <v>6361417500.7349997</v>
      </c>
    </row>
    <row r="241" spans="1:3" ht="15.5">
      <c r="A241" s="29">
        <v>44253</v>
      </c>
      <c r="B241" s="28">
        <v>1.655</v>
      </c>
      <c r="C241" s="28">
        <v>6211295553.8149996</v>
      </c>
    </row>
    <row r="242" spans="1:3" ht="15.5">
      <c r="A242" s="29">
        <v>44252</v>
      </c>
      <c r="B242" s="28">
        <v>1.66</v>
      </c>
      <c r="C242" s="28">
        <v>6230060797.1800003</v>
      </c>
    </row>
    <row r="243" spans="1:3" ht="15.5">
      <c r="A243" s="29">
        <v>44251</v>
      </c>
      <c r="B243" s="28">
        <v>1.665</v>
      </c>
      <c r="C243" s="28">
        <v>6248826040.5450001</v>
      </c>
    </row>
    <row r="244" spans="1:3" ht="15.5">
      <c r="A244" s="29">
        <v>44250</v>
      </c>
      <c r="B244" s="28">
        <v>1.665</v>
      </c>
      <c r="C244" s="28">
        <v>6248826040.5450001</v>
      </c>
    </row>
    <row r="245" spans="1:3" ht="15.5">
      <c r="A245" s="29">
        <v>44249</v>
      </c>
      <c r="B245" s="28">
        <v>1.665</v>
      </c>
      <c r="C245" s="28">
        <v>6248826040.5450001</v>
      </c>
    </row>
    <row r="246" spans="1:3" ht="15.5">
      <c r="A246" s="29">
        <v>44246</v>
      </c>
      <c r="B246" s="28">
        <v>1.6850000000000001</v>
      </c>
      <c r="C246" s="28">
        <v>6323887014.0050001</v>
      </c>
    </row>
    <row r="247" spans="1:3" ht="15.5">
      <c r="A247" s="29">
        <v>44245</v>
      </c>
      <c r="B247" s="28">
        <v>1.69</v>
      </c>
      <c r="C247" s="28">
        <v>6342652257.3699999</v>
      </c>
    </row>
    <row r="248" spans="1:3" ht="15.5">
      <c r="A248" s="29">
        <v>44244</v>
      </c>
      <c r="B248" s="28">
        <v>1.6950000000000001</v>
      </c>
      <c r="C248" s="28">
        <v>6361417500.7349997</v>
      </c>
    </row>
    <row r="249" spans="1:3" ht="15.5">
      <c r="A249" s="29">
        <v>44243</v>
      </c>
      <c r="B249" s="28">
        <v>1.7050000000000001</v>
      </c>
      <c r="C249" s="28">
        <v>6398947987.4650002</v>
      </c>
    </row>
    <row r="250" spans="1:3" ht="15.5">
      <c r="A250" s="29">
        <v>44242</v>
      </c>
      <c r="B250" s="28">
        <v>1.7050000000000001</v>
      </c>
      <c r="C250" s="28">
        <v>6398947987.4650002</v>
      </c>
    </row>
    <row r="251" spans="1:3" ht="15.5">
      <c r="A251" s="29">
        <v>44239</v>
      </c>
      <c r="B251" s="28">
        <v>1.71</v>
      </c>
      <c r="C251" s="28">
        <v>6417713230.8299999</v>
      </c>
    </row>
    <row r="252" spans="1:3" ht="15.5">
      <c r="A252" s="29">
        <v>44238</v>
      </c>
      <c r="B252" s="28">
        <v>1.7150000000000001</v>
      </c>
      <c r="C252" s="28">
        <v>6436478474.1949997</v>
      </c>
    </row>
    <row r="253" spans="1:3" ht="15.5">
      <c r="A253" s="29">
        <v>44237</v>
      </c>
      <c r="B253" s="28">
        <v>1.7050000000000001</v>
      </c>
      <c r="C253" s="28">
        <v>6398947987.4650002</v>
      </c>
    </row>
    <row r="254" spans="1:3" ht="15.5">
      <c r="A254" s="29">
        <v>44236</v>
      </c>
      <c r="B254" s="28">
        <v>1.665</v>
      </c>
      <c r="C254" s="28">
        <v>6248826040.5450001</v>
      </c>
    </row>
    <row r="255" spans="1:3" ht="15.5">
      <c r="A255" s="29">
        <v>44235</v>
      </c>
      <c r="B255" s="28">
        <v>1.6850000000000001</v>
      </c>
      <c r="C255" s="28">
        <v>6323887014.0050001</v>
      </c>
    </row>
    <row r="256" spans="1:3" ht="15.5">
      <c r="A256" s="29">
        <v>44232</v>
      </c>
      <c r="B256" s="28">
        <v>1.7050000000000001</v>
      </c>
      <c r="C256" s="28">
        <v>6398947987.4650002</v>
      </c>
    </row>
    <row r="257" spans="1:3" ht="15.5">
      <c r="A257" s="29">
        <v>44231</v>
      </c>
      <c r="B257" s="28">
        <v>1.7250000000000001</v>
      </c>
      <c r="C257" s="28">
        <v>6474008960.9250002</v>
      </c>
    </row>
    <row r="258" spans="1:3" ht="15.5">
      <c r="A258" s="29">
        <v>44230</v>
      </c>
      <c r="B258" s="28">
        <v>1.74</v>
      </c>
      <c r="C258" s="28">
        <v>6530304691.0200005</v>
      </c>
    </row>
    <row r="259" spans="1:3" ht="15.5">
      <c r="A259" s="29">
        <v>44229</v>
      </c>
      <c r="B259" s="28">
        <v>1.74</v>
      </c>
      <c r="C259" s="28">
        <v>6530304691.0200005</v>
      </c>
    </row>
    <row r="260" spans="1:3" ht="15.5">
      <c r="A260" s="29">
        <v>44228</v>
      </c>
      <c r="B260" s="28">
        <v>1.75</v>
      </c>
      <c r="C260" s="28">
        <v>6567835177.75</v>
      </c>
    </row>
    <row r="261" spans="1:3" ht="15.5">
      <c r="A261" s="29">
        <v>44225</v>
      </c>
      <c r="B261" s="28">
        <v>1.73</v>
      </c>
      <c r="C261" s="28">
        <v>6492774204.29</v>
      </c>
    </row>
    <row r="262" spans="1:3" ht="15.5">
      <c r="A262" s="29">
        <v>44224</v>
      </c>
      <c r="B262" s="28">
        <v>1.73</v>
      </c>
      <c r="C262" s="28">
        <v>6492774204.29</v>
      </c>
    </row>
    <row r="263" spans="1:3" ht="15.5">
      <c r="A263" s="29">
        <v>44223</v>
      </c>
      <c r="B263" s="28">
        <v>1.73</v>
      </c>
      <c r="C263" s="28">
        <v>6492774204.29</v>
      </c>
    </row>
    <row r="264" spans="1:3" ht="15.5">
      <c r="A264" s="29">
        <v>44221</v>
      </c>
      <c r="B264" s="28">
        <v>1.71</v>
      </c>
      <c r="C264" s="28">
        <v>6417713230.8299999</v>
      </c>
    </row>
    <row r="265" spans="1:3" ht="15.5">
      <c r="A265" s="29">
        <v>44218</v>
      </c>
      <c r="B265" s="28">
        <v>1.7</v>
      </c>
      <c r="C265" s="28">
        <v>6380182744.1000004</v>
      </c>
    </row>
    <row r="266" spans="1:3" ht="15.5">
      <c r="A266" s="29">
        <v>44217</v>
      </c>
      <c r="B266" s="28">
        <v>1.7350000000000001</v>
      </c>
      <c r="C266" s="28">
        <v>6511539447.6549997</v>
      </c>
    </row>
    <row r="267" spans="1:3" ht="15.5">
      <c r="A267" s="29">
        <v>44216</v>
      </c>
      <c r="B267" s="28">
        <v>1.7350000000000001</v>
      </c>
      <c r="C267" s="28">
        <v>6511539447.6549997</v>
      </c>
    </row>
    <row r="268" spans="1:3" ht="15.5">
      <c r="A268" s="29">
        <v>44215</v>
      </c>
      <c r="B268" s="28">
        <v>1.7350000000000001</v>
      </c>
      <c r="C268" s="28">
        <v>6511539447.6549997</v>
      </c>
    </row>
    <row r="269" spans="1:3" ht="15.5">
      <c r="A269" s="29">
        <v>44214</v>
      </c>
      <c r="B269" s="28">
        <v>1.7450000000000001</v>
      </c>
      <c r="C269" s="28">
        <v>6549069934.3850002</v>
      </c>
    </row>
    <row r="270" spans="1:3" ht="15.5">
      <c r="A270" s="29">
        <v>44211</v>
      </c>
      <c r="B270" s="28">
        <v>1.76</v>
      </c>
      <c r="C270" s="28">
        <v>6605365664.4799995</v>
      </c>
    </row>
    <row r="271" spans="1:3" ht="15.5">
      <c r="A271" s="29">
        <v>44210</v>
      </c>
      <c r="B271" s="28">
        <v>1.7549999999999999</v>
      </c>
      <c r="C271" s="28">
        <v>6586600421.1149998</v>
      </c>
    </row>
    <row r="272" spans="1:3" ht="15.5">
      <c r="A272" s="29">
        <v>44209</v>
      </c>
      <c r="B272" s="28">
        <v>1.76</v>
      </c>
      <c r="C272" s="28">
        <v>6605365664.4799995</v>
      </c>
    </row>
    <row r="273" spans="1:3" ht="15.5">
      <c r="A273" s="29">
        <v>44208</v>
      </c>
      <c r="B273" s="28">
        <v>1.78</v>
      </c>
      <c r="C273" s="28">
        <v>6680426637.9399996</v>
      </c>
    </row>
    <row r="274" spans="1:3" ht="15.5">
      <c r="A274" s="29">
        <v>44207</v>
      </c>
      <c r="B274" s="28">
        <v>1.8</v>
      </c>
      <c r="C274" s="28">
        <v>6755487611.3999996</v>
      </c>
    </row>
    <row r="275" spans="1:3" ht="15.5">
      <c r="A275" s="29">
        <v>44204</v>
      </c>
      <c r="B275" s="28">
        <v>1.8049999999999999</v>
      </c>
      <c r="C275" s="28">
        <v>6774252854.7650003</v>
      </c>
    </row>
    <row r="276" spans="1:3" ht="15.5">
      <c r="A276" s="29">
        <v>44203</v>
      </c>
      <c r="B276" s="28">
        <v>1.83</v>
      </c>
      <c r="C276" s="28">
        <v>6868079071.5900002</v>
      </c>
    </row>
    <row r="277" spans="1:3" ht="15.5">
      <c r="A277" s="29">
        <v>44202</v>
      </c>
      <c r="B277" s="28">
        <v>1.81</v>
      </c>
      <c r="C277" s="28">
        <v>6793018098.1300001</v>
      </c>
    </row>
    <row r="278" spans="1:3" ht="15.5">
      <c r="A278" s="29">
        <v>44201</v>
      </c>
      <c r="B278" s="28">
        <v>1.79</v>
      </c>
      <c r="C278" s="28">
        <v>6717957124.6700001</v>
      </c>
    </row>
    <row r="279" spans="1:3" ht="15.5">
      <c r="A279" s="29">
        <v>44200</v>
      </c>
      <c r="B279" s="28">
        <v>1.78</v>
      </c>
      <c r="C279" s="28">
        <v>6680426637.9399996</v>
      </c>
    </row>
    <row r="280" spans="1:3" ht="15.5">
      <c r="A280" s="29">
        <v>44196</v>
      </c>
      <c r="B280" s="28">
        <v>1.7549999999999999</v>
      </c>
      <c r="C280" s="28">
        <v>6586600421.1149998</v>
      </c>
    </row>
    <row r="281" spans="1:3" ht="15.5">
      <c r="A281" s="29">
        <v>44195</v>
      </c>
      <c r="B281" s="28">
        <v>1.7849999999999999</v>
      </c>
      <c r="C281" s="28">
        <v>6699191881.3050003</v>
      </c>
    </row>
    <row r="282" spans="1:3" ht="15.5">
      <c r="A282" s="29">
        <v>44194</v>
      </c>
      <c r="B282" s="28">
        <v>1.7649999999999999</v>
      </c>
      <c r="C282" s="28">
        <v>6624130907.8450003</v>
      </c>
    </row>
    <row r="283" spans="1:3" ht="15.5">
      <c r="A283" s="29">
        <v>44189</v>
      </c>
      <c r="B283" s="28">
        <v>1.79</v>
      </c>
      <c r="C283" s="28">
        <v>6717957124.6700001</v>
      </c>
    </row>
    <row r="284" spans="1:3" ht="15.5">
      <c r="A284" s="29">
        <v>44188</v>
      </c>
      <c r="B284" s="28">
        <v>1.8</v>
      </c>
      <c r="C284" s="28">
        <v>6755487611.3999996</v>
      </c>
    </row>
    <row r="285" spans="1:3" ht="15.5">
      <c r="A285" s="29">
        <v>44187</v>
      </c>
      <c r="B285" s="28">
        <v>1.8</v>
      </c>
      <c r="C285" s="28">
        <v>6755487611.3999996</v>
      </c>
    </row>
    <row r="286" spans="1:3" ht="15.5">
      <c r="A286" s="29">
        <v>44186</v>
      </c>
      <c r="B286" s="28">
        <v>1.82</v>
      </c>
      <c r="C286" s="28">
        <v>6830548584.8599997</v>
      </c>
    </row>
    <row r="287" spans="1:3" ht="15.5">
      <c r="A287" s="29">
        <v>44183</v>
      </c>
      <c r="B287" s="28">
        <v>1.845</v>
      </c>
      <c r="C287" s="28">
        <v>6924374801.6850004</v>
      </c>
    </row>
    <row r="288" spans="1:3" ht="15.5">
      <c r="A288" s="29">
        <v>44182</v>
      </c>
      <c r="B288" s="28">
        <v>1.825</v>
      </c>
      <c r="C288" s="28">
        <v>6849313828.2250004</v>
      </c>
    </row>
    <row r="289" spans="1:3" ht="15.5">
      <c r="A289" s="29">
        <v>44181</v>
      </c>
      <c r="B289" s="28">
        <v>1.82</v>
      </c>
      <c r="C289" s="28">
        <v>6830548584.8599997</v>
      </c>
    </row>
    <row r="290" spans="1:3" ht="15.5">
      <c r="A290" s="29">
        <v>44180</v>
      </c>
      <c r="B290" s="28">
        <v>1.83</v>
      </c>
      <c r="C290" s="28">
        <v>6868079071.5900002</v>
      </c>
    </row>
    <row r="291" spans="1:3" ht="15.5">
      <c r="A291" s="29">
        <v>44179</v>
      </c>
      <c r="B291" s="28">
        <v>1.845</v>
      </c>
      <c r="C291" s="28">
        <v>6924374801.6850004</v>
      </c>
    </row>
    <row r="292" spans="1:3" ht="15.5">
      <c r="A292" s="29">
        <v>44176</v>
      </c>
      <c r="B292" s="28">
        <v>1.85</v>
      </c>
      <c r="C292" s="28">
        <v>6943140045.0500002</v>
      </c>
    </row>
    <row r="293" spans="1:3" ht="15.5">
      <c r="A293" s="29">
        <v>44175</v>
      </c>
      <c r="B293" s="28">
        <v>1.85</v>
      </c>
      <c r="C293" s="28">
        <v>6943140045.0500002</v>
      </c>
    </row>
    <row r="294" spans="1:3" ht="15.5">
      <c r="A294" s="29">
        <v>44174</v>
      </c>
      <c r="B294" s="28">
        <v>1.85</v>
      </c>
      <c r="C294" s="28">
        <v>6943140045.0500002</v>
      </c>
    </row>
    <row r="295" spans="1:3" ht="15.5">
      <c r="A295" s="29">
        <v>44173</v>
      </c>
      <c r="B295" s="28">
        <v>1.86</v>
      </c>
      <c r="C295" s="28">
        <v>6980670531.7799997</v>
      </c>
    </row>
    <row r="296" spans="1:3" ht="15.5">
      <c r="A296" s="29">
        <v>44172</v>
      </c>
      <c r="B296" s="28">
        <v>1.83</v>
      </c>
      <c r="C296" s="28">
        <v>6868079071.5900002</v>
      </c>
    </row>
    <row r="297" spans="1:3" ht="15.5">
      <c r="A297" s="29">
        <v>44169</v>
      </c>
      <c r="B297" s="28">
        <v>1.845</v>
      </c>
      <c r="C297" s="28">
        <v>6924374801.6850004</v>
      </c>
    </row>
    <row r="298" spans="1:3" ht="15.5">
      <c r="A298" s="29">
        <v>44168</v>
      </c>
      <c r="B298" s="28">
        <v>1.835</v>
      </c>
      <c r="C298" s="28">
        <v>6886844314.9549999</v>
      </c>
    </row>
    <row r="299" spans="1:3" ht="15.5">
      <c r="A299" s="29">
        <v>44167</v>
      </c>
      <c r="B299" s="28">
        <v>1.85</v>
      </c>
      <c r="C299" s="28">
        <v>6943140045.0500002</v>
      </c>
    </row>
    <row r="300" spans="1:3" ht="15.5">
      <c r="A300" s="29">
        <v>44166</v>
      </c>
      <c r="B300" s="28">
        <v>1.86</v>
      </c>
      <c r="C300" s="28">
        <v>6980670531.7799997</v>
      </c>
    </row>
    <row r="301" spans="1:3" ht="15.5">
      <c r="A301" s="29">
        <v>44165</v>
      </c>
      <c r="B301" s="28">
        <v>1.855</v>
      </c>
      <c r="C301" s="28">
        <v>6961905288.415</v>
      </c>
    </row>
    <row r="302" spans="1:3" ht="15.5">
      <c r="A302" s="29">
        <v>44162</v>
      </c>
      <c r="B302" s="28">
        <v>1.86</v>
      </c>
      <c r="C302" s="28">
        <v>6980670531.7799997</v>
      </c>
    </row>
    <row r="303" spans="1:3" ht="15.5">
      <c r="A303" s="29">
        <v>44161</v>
      </c>
      <c r="B303" s="28">
        <v>1.88</v>
      </c>
      <c r="C303" s="28">
        <v>7055731505.2399998</v>
      </c>
    </row>
    <row r="304" spans="1:3" ht="15.5">
      <c r="A304" s="29">
        <v>44160</v>
      </c>
      <c r="B304" s="28">
        <v>1.88</v>
      </c>
      <c r="C304" s="28">
        <v>7055731505.2399998</v>
      </c>
    </row>
    <row r="305" spans="1:3" ht="15.5">
      <c r="A305" s="29">
        <v>44159</v>
      </c>
      <c r="B305" s="28">
        <v>1.9</v>
      </c>
      <c r="C305" s="28">
        <v>7130792478.6999998</v>
      </c>
    </row>
    <row r="306" spans="1:3" ht="15.5">
      <c r="A306" s="29">
        <v>44158</v>
      </c>
      <c r="B306" s="28">
        <v>1.87</v>
      </c>
      <c r="C306" s="28">
        <v>7018201018.5100002</v>
      </c>
    </row>
    <row r="307" spans="1:3" ht="15.5">
      <c r="A307" s="29">
        <v>44155</v>
      </c>
      <c r="B307" s="28">
        <v>1.87</v>
      </c>
      <c r="C307" s="28">
        <v>7018201018.5100002</v>
      </c>
    </row>
    <row r="308" spans="1:3" ht="15.5">
      <c r="A308" s="29">
        <v>44154</v>
      </c>
      <c r="B308" s="28">
        <v>1.875</v>
      </c>
      <c r="C308" s="28">
        <v>7036966261.875</v>
      </c>
    </row>
    <row r="309" spans="1:3" ht="15.5">
      <c r="A309" s="29">
        <v>44153</v>
      </c>
      <c r="B309" s="28">
        <v>1.9</v>
      </c>
      <c r="C309" s="28">
        <v>7130792478.6999998</v>
      </c>
    </row>
    <row r="310" spans="1:3" ht="15.5">
      <c r="A310" s="29">
        <v>44152</v>
      </c>
      <c r="B310" s="28">
        <v>1.865</v>
      </c>
      <c r="C310" s="28">
        <v>6999435775.1450005</v>
      </c>
    </row>
    <row r="311" spans="1:3" ht="15.5">
      <c r="A311" s="29">
        <v>44151</v>
      </c>
      <c r="B311" s="28">
        <v>1.9550000000000001</v>
      </c>
      <c r="C311" s="28">
        <v>7337210155.7150002</v>
      </c>
    </row>
    <row r="312" spans="1:3" ht="15.5">
      <c r="A312" s="29">
        <v>44148</v>
      </c>
      <c r="B312" s="28">
        <v>2</v>
      </c>
      <c r="C312" s="28">
        <v>7506097346</v>
      </c>
    </row>
    <row r="313" spans="1:3" ht="15.5">
      <c r="A313" s="29">
        <v>44147</v>
      </c>
      <c r="B313" s="28">
        <v>2.0099999999999998</v>
      </c>
      <c r="C313" s="28">
        <v>7543627832.7299995</v>
      </c>
    </row>
    <row r="314" spans="1:3" ht="15.5">
      <c r="A314" s="29">
        <v>44146</v>
      </c>
      <c r="B314" s="28">
        <v>2.0699999999999998</v>
      </c>
      <c r="C314" s="28">
        <v>7768810753.1099997</v>
      </c>
    </row>
    <row r="315" spans="1:3" ht="15.5">
      <c r="A315" s="29">
        <v>44145</v>
      </c>
      <c r="B315" s="28">
        <v>1.97</v>
      </c>
      <c r="C315" s="28">
        <v>7393505885.8100004</v>
      </c>
    </row>
    <row r="316" spans="1:3" ht="15.5">
      <c r="A316" s="29">
        <v>44144</v>
      </c>
      <c r="B316" s="28">
        <v>2.04</v>
      </c>
      <c r="C316" s="28">
        <v>7656219292.9200001</v>
      </c>
    </row>
    <row r="317" spans="1:3" ht="15.5">
      <c r="A317" s="29">
        <v>44141</v>
      </c>
      <c r="B317" s="28">
        <v>2.04</v>
      </c>
      <c r="C317" s="28">
        <v>7656219292.9200001</v>
      </c>
    </row>
    <row r="318" spans="1:3" ht="15.5">
      <c r="A318" s="29">
        <v>44140</v>
      </c>
      <c r="B318" s="28">
        <v>2.0299999999999998</v>
      </c>
      <c r="C318" s="28">
        <v>7618688806.1899996</v>
      </c>
    </row>
    <row r="319" spans="1:3" ht="15.5">
      <c r="A319" s="29">
        <v>44139</v>
      </c>
      <c r="B319" s="28">
        <v>2</v>
      </c>
      <c r="C319" s="28">
        <v>7506097346</v>
      </c>
    </row>
    <row r="320" spans="1:3" ht="15.5">
      <c r="A320" s="29">
        <v>44138</v>
      </c>
      <c r="B320" s="28">
        <v>2.0099999999999998</v>
      </c>
      <c r="C320" s="28">
        <v>7543627832.7299995</v>
      </c>
    </row>
    <row r="321" spans="1:3" ht="15.5">
      <c r="A321" s="29">
        <v>44137</v>
      </c>
      <c r="B321" s="28">
        <v>2.0099999999999998</v>
      </c>
      <c r="C321" s="28">
        <v>7543627832.7299995</v>
      </c>
    </row>
    <row r="322" spans="1:3" ht="15.5">
      <c r="A322" s="29">
        <v>44134</v>
      </c>
      <c r="B322" s="28">
        <v>2</v>
      </c>
      <c r="C322" s="28">
        <v>7506097346</v>
      </c>
    </row>
    <row r="323" spans="1:3" ht="15.5">
      <c r="A323" s="29">
        <v>44133</v>
      </c>
      <c r="B323" s="28">
        <v>2</v>
      </c>
      <c r="C323" s="28">
        <v>7506097346</v>
      </c>
    </row>
    <row r="324" spans="1:3" ht="15.5">
      <c r="A324" s="29">
        <v>44132</v>
      </c>
      <c r="B324" s="28">
        <v>2.02</v>
      </c>
      <c r="C324" s="28">
        <v>7581158319.46</v>
      </c>
    </row>
    <row r="325" spans="1:3" ht="15.5">
      <c r="A325" s="29">
        <v>44131</v>
      </c>
      <c r="B325" s="28">
        <v>2.0299999999999998</v>
      </c>
      <c r="C325" s="28">
        <v>7618688806.1899996</v>
      </c>
    </row>
    <row r="326" spans="1:3" ht="15.5">
      <c r="A326" s="29">
        <v>44130</v>
      </c>
      <c r="B326" s="28">
        <v>2.0299999999999998</v>
      </c>
      <c r="C326" s="28">
        <v>7618688806.1899996</v>
      </c>
    </row>
    <row r="327" spans="1:3" ht="15.5">
      <c r="A327" s="29">
        <v>44127</v>
      </c>
      <c r="B327" s="28">
        <v>2.0299999999999998</v>
      </c>
      <c r="C327" s="28">
        <v>7618688806.1899996</v>
      </c>
    </row>
    <row r="328" spans="1:3" ht="15.5">
      <c r="A328" s="29">
        <v>44126</v>
      </c>
      <c r="B328" s="28">
        <v>2.04</v>
      </c>
      <c r="C328" s="28">
        <v>7656219292.9200001</v>
      </c>
    </row>
    <row r="329" spans="1:3" ht="15.5">
      <c r="A329" s="29">
        <v>44125</v>
      </c>
      <c r="B329" s="28">
        <v>2.06</v>
      </c>
      <c r="C329" s="28">
        <v>7731280266.3800001</v>
      </c>
    </row>
    <row r="330" spans="1:3" ht="15.5">
      <c r="A330" s="29">
        <v>44124</v>
      </c>
      <c r="B330" s="28">
        <v>2.08</v>
      </c>
      <c r="C330" s="28">
        <v>7806341239.8400002</v>
      </c>
    </row>
    <row r="331" spans="1:3" ht="15.5">
      <c r="A331" s="29">
        <v>44123</v>
      </c>
      <c r="B331" s="28">
        <v>2.08</v>
      </c>
      <c r="C331" s="28">
        <v>7806341239.8400002</v>
      </c>
    </row>
    <row r="332" spans="1:3" ht="15.5">
      <c r="A332" s="29">
        <v>44120</v>
      </c>
      <c r="B332" s="28">
        <v>2.0699999999999998</v>
      </c>
      <c r="C332" s="28">
        <v>7768810753.1099997</v>
      </c>
    </row>
    <row r="333" spans="1:3" ht="15.5">
      <c r="A333" s="29">
        <v>44119</v>
      </c>
      <c r="B333" s="28">
        <v>2.0299999999999998</v>
      </c>
      <c r="C333" s="28">
        <v>7618688806.1899996</v>
      </c>
    </row>
    <row r="334" spans="1:3" ht="15.5">
      <c r="A334" s="29">
        <v>44118</v>
      </c>
      <c r="B334" s="28">
        <v>2</v>
      </c>
      <c r="C334" s="28">
        <v>7506097346</v>
      </c>
    </row>
    <row r="335" spans="1:3" ht="15.5">
      <c r="A335" s="29">
        <v>44117</v>
      </c>
      <c r="B335" s="28">
        <v>1.9950000000000001</v>
      </c>
      <c r="C335" s="28">
        <v>7487332102.6350002</v>
      </c>
    </row>
    <row r="336" spans="1:3" ht="15.5">
      <c r="A336" s="29">
        <v>44116</v>
      </c>
      <c r="B336" s="28">
        <v>1.97</v>
      </c>
      <c r="C336" s="28">
        <v>7393505885.8100004</v>
      </c>
    </row>
    <row r="337" spans="1:3" ht="15.5">
      <c r="A337" s="29">
        <v>44113</v>
      </c>
      <c r="B337" s="28">
        <v>1.98</v>
      </c>
      <c r="C337" s="28">
        <v>7431036372.54</v>
      </c>
    </row>
    <row r="338" spans="1:3" ht="15.5">
      <c r="A338" s="29">
        <v>44112</v>
      </c>
      <c r="B338" s="28">
        <v>2</v>
      </c>
      <c r="C338" s="28">
        <v>7506097346</v>
      </c>
    </row>
    <row r="339" spans="1:3" ht="15.5">
      <c r="A339" s="29">
        <v>44111</v>
      </c>
      <c r="B339" s="28">
        <v>2.0099999999999998</v>
      </c>
      <c r="C339" s="28">
        <v>7543627832.7299995</v>
      </c>
    </row>
    <row r="340" spans="1:3" ht="15.5">
      <c r="A340" s="29">
        <v>44110</v>
      </c>
      <c r="B340" s="28">
        <v>1.9750000000000001</v>
      </c>
      <c r="C340" s="28">
        <v>7412271129.1750002</v>
      </c>
    </row>
    <row r="341" spans="1:3" ht="15.5">
      <c r="A341" s="29">
        <v>44109</v>
      </c>
      <c r="B341" s="28">
        <v>2</v>
      </c>
      <c r="C341" s="28">
        <v>7506097346</v>
      </c>
    </row>
    <row r="342" spans="1:3" ht="15.5">
      <c r="A342" s="29">
        <v>44106</v>
      </c>
      <c r="B342" s="28">
        <v>1.91</v>
      </c>
      <c r="C342" s="28">
        <v>7168322965.4300003</v>
      </c>
    </row>
    <row r="343" spans="1:3" ht="15.5">
      <c r="A343" s="29">
        <v>44105</v>
      </c>
      <c r="B343" s="28">
        <v>1.9</v>
      </c>
      <c r="C343" s="28">
        <v>7130792478.6999998</v>
      </c>
    </row>
    <row r="344" spans="1:3" ht="15.5">
      <c r="A344" s="29">
        <v>44104</v>
      </c>
      <c r="B344" s="28">
        <v>1.88</v>
      </c>
      <c r="C344" s="28">
        <v>7055731505.2399998</v>
      </c>
    </row>
    <row r="345" spans="1:3" ht="15.5">
      <c r="A345" s="29">
        <v>44103</v>
      </c>
      <c r="B345" s="28">
        <v>1.915</v>
      </c>
      <c r="C345" s="28">
        <v>7136899614.9499998</v>
      </c>
    </row>
    <row r="346" spans="1:3" ht="15.5">
      <c r="A346" s="29">
        <v>44102</v>
      </c>
      <c r="B346" s="28">
        <v>1.925</v>
      </c>
      <c r="C346" s="28">
        <v>7174168020.25</v>
      </c>
    </row>
    <row r="347" spans="1:3" ht="15.5">
      <c r="A347" s="29">
        <v>44099</v>
      </c>
      <c r="B347" s="28">
        <v>1.9350000000000001</v>
      </c>
      <c r="C347" s="28">
        <v>7211436425.5500002</v>
      </c>
    </row>
    <row r="348" spans="1:3" ht="15.5">
      <c r="A348" s="29">
        <v>44098</v>
      </c>
      <c r="B348" s="28">
        <v>1.915</v>
      </c>
      <c r="C348" s="28">
        <v>7136899614.9499998</v>
      </c>
    </row>
    <row r="349" spans="1:3" ht="15.5">
      <c r="A349" s="29">
        <v>44097</v>
      </c>
      <c r="B349" s="28">
        <v>1.94</v>
      </c>
      <c r="C349" s="28">
        <v>7230070628.1999998</v>
      </c>
    </row>
    <row r="350" spans="1:3" ht="15.5">
      <c r="A350" s="29">
        <v>44096</v>
      </c>
      <c r="B350" s="28">
        <v>1.9</v>
      </c>
      <c r="C350" s="28">
        <v>7080997007</v>
      </c>
    </row>
    <row r="351" spans="1:3" ht="15.5">
      <c r="A351" s="29">
        <v>44095</v>
      </c>
      <c r="B351" s="28">
        <v>1.895</v>
      </c>
      <c r="C351" s="28">
        <v>7062362804.3500004</v>
      </c>
    </row>
    <row r="352" spans="1:3" ht="15.5">
      <c r="A352" s="29">
        <v>44092</v>
      </c>
      <c r="B352" s="28">
        <v>1.86</v>
      </c>
      <c r="C352" s="28">
        <v>6931923385.8000002</v>
      </c>
    </row>
    <row r="353" spans="1:3" ht="15.5">
      <c r="A353" s="29">
        <v>44091</v>
      </c>
      <c r="B353" s="28">
        <v>1.88</v>
      </c>
      <c r="C353" s="28">
        <v>7006460196.3999996</v>
      </c>
    </row>
    <row r="354" spans="1:3" ht="15.5">
      <c r="A354" s="29">
        <v>44090</v>
      </c>
      <c r="B354" s="28">
        <v>1.86</v>
      </c>
      <c r="C354" s="28">
        <v>6931923385.8000002</v>
      </c>
    </row>
    <row r="355" spans="1:3" ht="15.5">
      <c r="A355" s="29">
        <v>44089</v>
      </c>
      <c r="B355" s="28">
        <v>1.87</v>
      </c>
      <c r="C355" s="28">
        <v>6969191791.1000004</v>
      </c>
    </row>
    <row r="356" spans="1:3" ht="15.5">
      <c r="A356" s="29">
        <v>44088</v>
      </c>
      <c r="B356" s="28">
        <v>1.87</v>
      </c>
      <c r="C356" s="28">
        <v>6969191791.1000004</v>
      </c>
    </row>
    <row r="357" spans="1:3" ht="15.5">
      <c r="A357" s="29">
        <v>44085</v>
      </c>
      <c r="B357" s="28">
        <v>1.865</v>
      </c>
      <c r="C357" s="28">
        <v>6950557588.4499998</v>
      </c>
    </row>
    <row r="358" spans="1:3" ht="15.5">
      <c r="A358" s="29">
        <v>44084</v>
      </c>
      <c r="B358" s="28">
        <v>1.865</v>
      </c>
      <c r="C358" s="28">
        <v>6950557588.4499998</v>
      </c>
    </row>
    <row r="359" spans="1:3" ht="15.5">
      <c r="A359" s="29">
        <v>44083</v>
      </c>
      <c r="B359" s="28">
        <v>1.84</v>
      </c>
      <c r="C359" s="28">
        <v>6857386575.1999998</v>
      </c>
    </row>
    <row r="360" spans="1:3" ht="15.5">
      <c r="A360" s="29">
        <v>44082</v>
      </c>
      <c r="B360" s="28">
        <v>1.85</v>
      </c>
      <c r="C360" s="28">
        <v>6894654980.5</v>
      </c>
    </row>
    <row r="361" spans="1:3" ht="15.5">
      <c r="A361" s="29">
        <v>44081</v>
      </c>
      <c r="B361" s="28">
        <v>1.855</v>
      </c>
      <c r="C361" s="28">
        <v>6913289183.1499996</v>
      </c>
    </row>
    <row r="362" spans="1:3" ht="15.5">
      <c r="A362" s="29">
        <v>44078</v>
      </c>
      <c r="B362" s="28">
        <v>1.85</v>
      </c>
      <c r="C362" s="28">
        <v>6894654980.5</v>
      </c>
    </row>
    <row r="363" spans="1:3" ht="15.5">
      <c r="A363" s="29">
        <v>44077</v>
      </c>
      <c r="B363" s="28">
        <v>1.875</v>
      </c>
      <c r="C363" s="28">
        <v>6987825993.75</v>
      </c>
    </row>
    <row r="364" spans="1:3" ht="15.5">
      <c r="A364" s="29">
        <v>44076</v>
      </c>
      <c r="B364" s="28">
        <v>1.87</v>
      </c>
      <c r="C364" s="28">
        <v>6969191791.1000004</v>
      </c>
    </row>
    <row r="365" spans="1:3" ht="15.5">
      <c r="A365" s="29">
        <v>44075</v>
      </c>
      <c r="B365" s="28">
        <v>1.8149999999999999</v>
      </c>
      <c r="C365" s="28">
        <v>6764215561.9499998</v>
      </c>
    </row>
    <row r="366" spans="1:3" ht="15.5">
      <c r="A366" s="29">
        <v>44074</v>
      </c>
      <c r="B366" s="28">
        <v>1.825</v>
      </c>
      <c r="C366" s="28">
        <v>6801483967.25</v>
      </c>
    </row>
    <row r="367" spans="1:3" ht="15.5">
      <c r="A367" s="29">
        <v>44071</v>
      </c>
      <c r="B367" s="28">
        <v>1.82</v>
      </c>
      <c r="C367" s="28">
        <v>6782849764.6000004</v>
      </c>
    </row>
    <row r="368" spans="1:3" ht="15.5">
      <c r="A368" s="29">
        <v>44070</v>
      </c>
      <c r="B368" s="28">
        <v>1.835</v>
      </c>
      <c r="C368" s="28">
        <v>6838752372.5500002</v>
      </c>
    </row>
    <row r="369" spans="1:3" ht="15.5">
      <c r="A369" s="29">
        <v>44069</v>
      </c>
      <c r="B369" s="28">
        <v>1.89</v>
      </c>
      <c r="C369" s="28">
        <v>7043728601.6999998</v>
      </c>
    </row>
    <row r="370" spans="1:3" ht="15.5">
      <c r="A370" s="29">
        <v>44068</v>
      </c>
      <c r="B370" s="28">
        <v>1.855</v>
      </c>
      <c r="C370" s="28">
        <v>6913289183.1499996</v>
      </c>
    </row>
    <row r="371" spans="1:3" ht="15.5">
      <c r="A371" s="29">
        <v>44067</v>
      </c>
      <c r="B371" s="28">
        <v>1.825</v>
      </c>
      <c r="C371" s="28">
        <v>6801483967.25</v>
      </c>
    </row>
    <row r="372" spans="1:3" ht="15.5">
      <c r="A372" s="29">
        <v>44064</v>
      </c>
      <c r="B372" s="28">
        <v>1.8149999999999999</v>
      </c>
      <c r="C372" s="28">
        <v>6764215561.9499998</v>
      </c>
    </row>
    <row r="373" spans="1:3" ht="15.5">
      <c r="A373" s="29">
        <v>44063</v>
      </c>
      <c r="B373" s="28">
        <v>1.845</v>
      </c>
      <c r="C373" s="28">
        <v>6876020777.8500004</v>
      </c>
    </row>
    <row r="374" spans="1:3" ht="15.5">
      <c r="A374" s="29">
        <v>44062</v>
      </c>
      <c r="B374" s="28">
        <v>1.845</v>
      </c>
      <c r="C374" s="28">
        <v>6876020777.8500004</v>
      </c>
    </row>
    <row r="375" spans="1:3" ht="15.5">
      <c r="A375" s="29">
        <v>44061</v>
      </c>
      <c r="B375" s="28">
        <v>1.83</v>
      </c>
      <c r="C375" s="28">
        <v>6820118169.8999996</v>
      </c>
    </row>
    <row r="376" spans="1:3" ht="15.5">
      <c r="A376" s="29">
        <v>44060</v>
      </c>
      <c r="B376" s="28">
        <v>1.835</v>
      </c>
      <c r="C376" s="28">
        <v>6838752372.5500002</v>
      </c>
    </row>
    <row r="377" spans="1:3" ht="15.5">
      <c r="A377" s="29">
        <v>44057</v>
      </c>
      <c r="B377" s="28">
        <v>1.835</v>
      </c>
      <c r="C377" s="28">
        <v>6838752372.5500002</v>
      </c>
    </row>
    <row r="378" spans="1:3" ht="15.5">
      <c r="A378" s="29">
        <v>44056</v>
      </c>
      <c r="B378" s="28">
        <v>1.84</v>
      </c>
      <c r="C378" s="28">
        <v>6857386575.1999998</v>
      </c>
    </row>
    <row r="379" spans="1:3" ht="15.5">
      <c r="A379" s="29">
        <v>44055</v>
      </c>
      <c r="B379" s="28">
        <v>1.845</v>
      </c>
      <c r="C379" s="28">
        <v>6876020777.8500004</v>
      </c>
    </row>
    <row r="380" spans="1:3" ht="15.5">
      <c r="A380" s="29">
        <v>44054</v>
      </c>
      <c r="B380" s="28">
        <v>1.835</v>
      </c>
      <c r="C380" s="28">
        <v>6838752372.5500002</v>
      </c>
    </row>
    <row r="381" spans="1:3" ht="15.5">
      <c r="A381" s="29">
        <v>44053</v>
      </c>
      <c r="B381" s="28">
        <v>1.83</v>
      </c>
      <c r="C381" s="28">
        <v>6820118169.8999996</v>
      </c>
    </row>
    <row r="382" spans="1:3" ht="15.5">
      <c r="A382" s="29">
        <v>44050</v>
      </c>
      <c r="B382" s="28">
        <v>1.7949999999999999</v>
      </c>
      <c r="C382" s="28">
        <v>6689678751.3500004</v>
      </c>
    </row>
    <row r="383" spans="1:3" ht="15.5">
      <c r="A383" s="29">
        <v>44049</v>
      </c>
      <c r="B383" s="28">
        <v>1.8</v>
      </c>
      <c r="C383" s="28">
        <v>6708312954</v>
      </c>
    </row>
    <row r="384" spans="1:3" ht="15.5">
      <c r="A384" s="29">
        <v>44048</v>
      </c>
      <c r="B384" s="28">
        <v>1.7949999999999999</v>
      </c>
      <c r="C384" s="28">
        <v>6689678751.3500004</v>
      </c>
    </row>
    <row r="385" spans="1:3" ht="15.5">
      <c r="A385" s="29">
        <v>44047</v>
      </c>
      <c r="B385" s="28">
        <v>1.79</v>
      </c>
      <c r="C385" s="28">
        <v>6671044548.6999998</v>
      </c>
    </row>
    <row r="386" spans="1:3" ht="15.5">
      <c r="A386" s="29">
        <v>44046</v>
      </c>
      <c r="B386" s="28">
        <v>1.7849999999999999</v>
      </c>
      <c r="C386" s="28">
        <v>6652410346.0500002</v>
      </c>
    </row>
    <row r="387" spans="1:3" ht="15.5">
      <c r="A387" s="29">
        <v>44043</v>
      </c>
      <c r="B387" s="28">
        <v>1.78</v>
      </c>
      <c r="C387" s="28">
        <v>6633776143.3999996</v>
      </c>
    </row>
    <row r="388" spans="1:3" ht="15.5">
      <c r="A388" s="29">
        <v>44042</v>
      </c>
      <c r="B388" s="28">
        <v>1.79</v>
      </c>
      <c r="C388" s="28">
        <v>6671044548.6999998</v>
      </c>
    </row>
    <row r="389" spans="1:3" ht="15.5">
      <c r="A389" s="29">
        <v>44041</v>
      </c>
      <c r="B389" s="28">
        <v>1.7849999999999999</v>
      </c>
      <c r="C389" s="28">
        <v>6652410346.0500002</v>
      </c>
    </row>
    <row r="390" spans="1:3" ht="15.5">
      <c r="A390" s="29">
        <v>44040</v>
      </c>
      <c r="B390" s="28">
        <v>1.75</v>
      </c>
      <c r="C390" s="28">
        <v>6521970927.5</v>
      </c>
    </row>
    <row r="391" spans="1:3" ht="15.5">
      <c r="A391" s="29">
        <v>44039</v>
      </c>
      <c r="B391" s="28">
        <v>1.76</v>
      </c>
      <c r="C391" s="28">
        <v>6559239332.8000002</v>
      </c>
    </row>
    <row r="392" spans="1:3" ht="15.5">
      <c r="A392" s="29">
        <v>44036</v>
      </c>
      <c r="B392" s="28">
        <v>1.76</v>
      </c>
      <c r="C392" s="28">
        <v>6559239332.8000002</v>
      </c>
    </row>
    <row r="393" spans="1:3" ht="15.5">
      <c r="A393" s="29">
        <v>44035</v>
      </c>
      <c r="B393" s="28">
        <v>1.74</v>
      </c>
      <c r="C393" s="28">
        <v>6484702522.1999998</v>
      </c>
    </row>
    <row r="394" spans="1:3" ht="15.5">
      <c r="A394" s="29">
        <v>44034</v>
      </c>
      <c r="B394" s="28">
        <v>1.7350000000000001</v>
      </c>
      <c r="C394" s="28">
        <v>6466068319.5500002</v>
      </c>
    </row>
    <row r="395" spans="1:3" ht="15.5">
      <c r="A395" s="29">
        <v>44033</v>
      </c>
      <c r="B395" s="28">
        <v>1.7549999999999999</v>
      </c>
      <c r="C395" s="28">
        <v>6540605130.1499996</v>
      </c>
    </row>
    <row r="396" spans="1:3" ht="15.5">
      <c r="A396" s="29">
        <v>44032</v>
      </c>
      <c r="B396" s="28">
        <v>1.7649999999999999</v>
      </c>
      <c r="C396" s="28">
        <v>6577873535.4499998</v>
      </c>
    </row>
    <row r="397" spans="1:3" ht="15.5">
      <c r="A397" s="29">
        <v>44029</v>
      </c>
      <c r="B397" s="28">
        <v>1.74</v>
      </c>
      <c r="C397" s="28">
        <v>6484702522.1999998</v>
      </c>
    </row>
    <row r="398" spans="1:3" ht="15.5">
      <c r="A398" s="29">
        <v>44028</v>
      </c>
      <c r="B398" s="28">
        <v>1.7250000000000001</v>
      </c>
      <c r="C398" s="28">
        <v>6428799914.25</v>
      </c>
    </row>
    <row r="399" spans="1:3" ht="15.5">
      <c r="A399" s="29">
        <v>44027</v>
      </c>
      <c r="B399" s="28">
        <v>1.73</v>
      </c>
      <c r="C399" s="28">
        <v>6447434116.8999996</v>
      </c>
    </row>
    <row r="400" spans="1:3" ht="15.5">
      <c r="A400" s="29">
        <v>44026</v>
      </c>
      <c r="B400" s="28">
        <v>1.7150000000000001</v>
      </c>
      <c r="C400" s="28">
        <v>6391531508.9499998</v>
      </c>
    </row>
    <row r="401" spans="1:3" ht="15.5">
      <c r="A401" s="29">
        <v>44025</v>
      </c>
      <c r="B401" s="28">
        <v>1.71</v>
      </c>
      <c r="C401" s="28">
        <v>6372897306.3000002</v>
      </c>
    </row>
    <row r="402" spans="1:3" ht="15.5">
      <c r="A402" s="29">
        <v>44022</v>
      </c>
      <c r="B402" s="28">
        <v>1.68</v>
      </c>
      <c r="C402" s="28">
        <v>6261092090.3999996</v>
      </c>
    </row>
    <row r="403" spans="1:3" ht="15.5">
      <c r="A403" s="29">
        <v>44021</v>
      </c>
      <c r="B403" s="28">
        <v>1.68</v>
      </c>
      <c r="C403" s="28">
        <v>6261092090.3999996</v>
      </c>
    </row>
    <row r="404" spans="1:3" ht="15.5">
      <c r="A404" s="29">
        <v>44020</v>
      </c>
      <c r="B404" s="28">
        <v>1.67</v>
      </c>
      <c r="C404" s="28">
        <v>6223823685.1000004</v>
      </c>
    </row>
    <row r="405" spans="1:3" ht="15.5">
      <c r="A405" s="29">
        <v>44019</v>
      </c>
      <c r="B405" s="28">
        <v>1.6850000000000001</v>
      </c>
      <c r="C405" s="28">
        <v>6279726293.0500002</v>
      </c>
    </row>
    <row r="406" spans="1:3" ht="15.5">
      <c r="A406" s="29">
        <v>44018</v>
      </c>
      <c r="B406" s="28">
        <v>1.71</v>
      </c>
      <c r="C406" s="28">
        <v>6372897306.3000002</v>
      </c>
    </row>
    <row r="407" spans="1:3" ht="15.5">
      <c r="A407" s="29">
        <v>44015</v>
      </c>
      <c r="B407" s="28">
        <v>1.7</v>
      </c>
      <c r="C407" s="28">
        <v>6335628901</v>
      </c>
    </row>
    <row r="408" spans="1:3" ht="15.5">
      <c r="A408" s="29">
        <v>44014</v>
      </c>
      <c r="B408" s="28">
        <v>1.6950000000000001</v>
      </c>
      <c r="C408" s="28">
        <v>6316994698.3500004</v>
      </c>
    </row>
    <row r="409" spans="1:3" ht="15.5">
      <c r="A409" s="29">
        <v>44013</v>
      </c>
      <c r="B409" s="28">
        <v>1.6850000000000001</v>
      </c>
      <c r="C409" s="28">
        <v>6279726293.0500002</v>
      </c>
    </row>
    <row r="410" spans="1:3" ht="15.5">
      <c r="A410" s="29">
        <v>44012</v>
      </c>
      <c r="B410" s="28">
        <v>1.67</v>
      </c>
      <c r="C410" s="28">
        <v>6223823685.1000004</v>
      </c>
    </row>
    <row r="411" spans="1:3" ht="15.5">
      <c r="A411" s="29">
        <v>44011</v>
      </c>
      <c r="B411" s="28">
        <v>1.69</v>
      </c>
      <c r="C411" s="28">
        <v>6298360495.6999998</v>
      </c>
    </row>
    <row r="412" spans="1:3" ht="15.5">
      <c r="A412" s="29">
        <v>44008</v>
      </c>
      <c r="B412" s="28">
        <v>1.71</v>
      </c>
      <c r="C412" s="28">
        <v>6372897306.3000002</v>
      </c>
    </row>
    <row r="413" spans="1:3" ht="15.5">
      <c r="A413" s="29">
        <v>44007</v>
      </c>
      <c r="B413" s="28">
        <v>1.7</v>
      </c>
      <c r="C413" s="28">
        <v>6335628901</v>
      </c>
    </row>
    <row r="414" spans="1:3" ht="15.5">
      <c r="A414" s="29">
        <v>44006</v>
      </c>
      <c r="B414" s="28">
        <v>1.72</v>
      </c>
      <c r="C414" s="28">
        <v>6410165711.6000004</v>
      </c>
    </row>
    <row r="415" spans="1:3" ht="15.5">
      <c r="A415" s="29">
        <v>44005</v>
      </c>
      <c r="B415" s="28">
        <v>1.68</v>
      </c>
      <c r="C415" s="28">
        <v>6261092090.3999996</v>
      </c>
    </row>
    <row r="416" spans="1:3" ht="15.5">
      <c r="A416" s="29">
        <v>44004</v>
      </c>
      <c r="B416" s="28">
        <v>1.6950000000000001</v>
      </c>
      <c r="C416" s="28">
        <v>6316994698.3500004</v>
      </c>
    </row>
    <row r="417" spans="1:3" ht="15.5">
      <c r="A417" s="29">
        <v>44001</v>
      </c>
      <c r="B417" s="28">
        <v>1.7050000000000001</v>
      </c>
      <c r="C417" s="28">
        <v>6354263103.6499996</v>
      </c>
    </row>
    <row r="418" spans="1:3" ht="15.5">
      <c r="A418" s="29">
        <v>44000</v>
      </c>
      <c r="B418" s="28">
        <v>1.71</v>
      </c>
      <c r="C418" s="28">
        <v>6372897306.3000002</v>
      </c>
    </row>
    <row r="419" spans="1:3" ht="15.5">
      <c r="A419" s="29">
        <v>43999</v>
      </c>
      <c r="B419" s="28">
        <v>1.72</v>
      </c>
      <c r="C419" s="28">
        <v>6410165711.6000004</v>
      </c>
    </row>
    <row r="420" spans="1:3" ht="15.5">
      <c r="A420" s="29">
        <v>43998</v>
      </c>
      <c r="B420" s="28">
        <v>1.71</v>
      </c>
      <c r="C420" s="28">
        <v>6372897306.3000002</v>
      </c>
    </row>
    <row r="421" spans="1:3" ht="15.5">
      <c r="A421" s="29">
        <v>43997</v>
      </c>
      <c r="B421" s="28">
        <v>1.71</v>
      </c>
      <c r="C421" s="28">
        <v>6372897306.3000002</v>
      </c>
    </row>
    <row r="422" spans="1:3" ht="15.5">
      <c r="A422" s="29">
        <v>43994</v>
      </c>
      <c r="B422" s="28">
        <v>1.7450000000000001</v>
      </c>
      <c r="C422" s="28">
        <v>6503336724.8500004</v>
      </c>
    </row>
    <row r="423" spans="1:3" ht="15.5">
      <c r="A423" s="29">
        <v>43993</v>
      </c>
      <c r="B423" s="28">
        <v>1.78</v>
      </c>
      <c r="C423" s="28">
        <v>6633776143.3999996</v>
      </c>
    </row>
    <row r="424" spans="1:3" ht="15.5">
      <c r="A424" s="29">
        <v>43992</v>
      </c>
      <c r="B424" s="28">
        <v>1.78</v>
      </c>
      <c r="C424" s="28">
        <v>6633776143.3999996</v>
      </c>
    </row>
    <row r="425" spans="1:3" ht="15.5">
      <c r="A425" s="29">
        <v>43991</v>
      </c>
      <c r="B425" s="28">
        <v>1.7549999999999999</v>
      </c>
      <c r="C425" s="28">
        <v>6540605130.1499996</v>
      </c>
    </row>
    <row r="426" spans="1:3" ht="15.5">
      <c r="A426" s="29">
        <v>43987</v>
      </c>
      <c r="B426" s="28">
        <v>1.7150000000000001</v>
      </c>
      <c r="C426" s="28">
        <v>6391531508.9499998</v>
      </c>
    </row>
    <row r="427" spans="1:3" ht="15.5">
      <c r="A427" s="29">
        <v>43986</v>
      </c>
      <c r="B427" s="28">
        <v>1.78</v>
      </c>
      <c r="C427" s="28">
        <v>6633776143.3999996</v>
      </c>
    </row>
    <row r="428" spans="1:3" ht="15.5">
      <c r="A428" s="29">
        <v>43985</v>
      </c>
      <c r="B428" s="28">
        <v>1.76</v>
      </c>
      <c r="C428" s="28">
        <v>6559239332.8000002</v>
      </c>
    </row>
    <row r="429" spans="1:3" ht="15.5">
      <c r="A429" s="29">
        <v>43984</v>
      </c>
      <c r="B429" s="28">
        <v>1.77</v>
      </c>
      <c r="C429" s="28">
        <v>6596507738.1000004</v>
      </c>
    </row>
    <row r="430" spans="1:3" ht="15.5">
      <c r="A430" s="29">
        <v>43983</v>
      </c>
      <c r="B430" s="28">
        <v>1.75</v>
      </c>
      <c r="C430" s="28">
        <v>6521970927.5</v>
      </c>
    </row>
    <row r="431" spans="1:3" ht="15.5">
      <c r="A431" s="29">
        <v>43980</v>
      </c>
      <c r="B431" s="28">
        <v>1.7549999999999999</v>
      </c>
      <c r="C431" s="28">
        <v>6540605130.1499996</v>
      </c>
    </row>
    <row r="432" spans="1:3" ht="15.5">
      <c r="A432" s="29">
        <v>43979</v>
      </c>
      <c r="B432" s="28">
        <v>1.7450000000000001</v>
      </c>
      <c r="C432" s="28">
        <v>6503336724.8500004</v>
      </c>
    </row>
    <row r="433" spans="1:3" ht="15.5">
      <c r="A433" s="29">
        <v>43978</v>
      </c>
      <c r="B433" s="28">
        <v>1.7350000000000001</v>
      </c>
      <c r="C433" s="28">
        <v>6466068319.5500002</v>
      </c>
    </row>
    <row r="434" spans="1:3" ht="15.5">
      <c r="A434" s="29">
        <v>43977</v>
      </c>
      <c r="B434" s="28">
        <v>1.78</v>
      </c>
      <c r="C434" s="28">
        <v>6633776143.3999996</v>
      </c>
    </row>
    <row r="435" spans="1:3" ht="15.5">
      <c r="A435" s="29">
        <v>43976</v>
      </c>
      <c r="B435" s="28">
        <v>1.7849999999999999</v>
      </c>
      <c r="C435" s="28">
        <v>6652410346.0500002</v>
      </c>
    </row>
    <row r="436" spans="1:3" ht="15.5">
      <c r="A436" s="29">
        <v>43973</v>
      </c>
      <c r="B436" s="28">
        <v>1.77</v>
      </c>
      <c r="C436" s="28">
        <v>6596507738.1000004</v>
      </c>
    </row>
    <row r="437" spans="1:3" ht="15.5">
      <c r="A437" s="29">
        <v>43972</v>
      </c>
      <c r="B437" s="28">
        <v>1.8049999999999999</v>
      </c>
      <c r="C437" s="28">
        <v>6726947156.6499996</v>
      </c>
    </row>
    <row r="438" spans="1:3" ht="15.5">
      <c r="A438" s="29">
        <v>43971</v>
      </c>
      <c r="B438" s="28">
        <v>1.83</v>
      </c>
      <c r="C438" s="28">
        <v>6820118169.8999996</v>
      </c>
    </row>
    <row r="439" spans="1:3" ht="15.5">
      <c r="A439" s="29">
        <v>43970</v>
      </c>
      <c r="B439" s="28">
        <v>1.915</v>
      </c>
      <c r="C439" s="28">
        <v>7136899614.9499998</v>
      </c>
    </row>
    <row r="440" spans="1:3" ht="15.5">
      <c r="A440" s="29">
        <v>43969</v>
      </c>
      <c r="B440" s="28">
        <v>1.885</v>
      </c>
      <c r="C440" s="28">
        <v>7025094399.0500002</v>
      </c>
    </row>
    <row r="441" spans="1:3" ht="15.5">
      <c r="A441" s="29">
        <v>43966</v>
      </c>
      <c r="B441" s="28">
        <v>1.89</v>
      </c>
      <c r="C441" s="28">
        <v>7043728601.6999998</v>
      </c>
    </row>
    <row r="442" spans="1:3" ht="15.5">
      <c r="A442" s="29">
        <v>43965</v>
      </c>
      <c r="B442" s="28">
        <v>1.875</v>
      </c>
      <c r="C442" s="28">
        <v>6987825993.75</v>
      </c>
    </row>
    <row r="443" spans="1:3" ht="15.5">
      <c r="A443" s="29">
        <v>43964</v>
      </c>
      <c r="B443" s="28">
        <v>1.94</v>
      </c>
      <c r="C443" s="28">
        <v>7230070628.1999998</v>
      </c>
    </row>
    <row r="444" spans="1:3" ht="15.5">
      <c r="A444" s="29">
        <v>43963</v>
      </c>
      <c r="B444" s="28">
        <v>2</v>
      </c>
      <c r="C444" s="28">
        <v>7453681060</v>
      </c>
    </row>
    <row r="445" spans="1:3" ht="15.5">
      <c r="A445" s="29">
        <v>43962</v>
      </c>
      <c r="B445" s="28">
        <v>1.96</v>
      </c>
      <c r="C445" s="28">
        <v>7304607438.8000002</v>
      </c>
    </row>
    <row r="446" spans="1:3" ht="15.5">
      <c r="A446" s="29">
        <v>43959</v>
      </c>
      <c r="B446" s="28">
        <v>1.9550000000000001</v>
      </c>
      <c r="C446" s="28">
        <v>7285973236.1499996</v>
      </c>
    </row>
    <row r="447" spans="1:3" ht="15.5">
      <c r="A447" s="29">
        <v>43958</v>
      </c>
      <c r="B447" s="28">
        <v>1.95</v>
      </c>
      <c r="C447" s="28">
        <v>7267339033.5</v>
      </c>
    </row>
    <row r="448" spans="1:3" ht="15.5">
      <c r="A448" s="29">
        <v>43957</v>
      </c>
      <c r="B448" s="28">
        <v>1.915</v>
      </c>
      <c r="C448" s="28">
        <v>7136899614.9499998</v>
      </c>
    </row>
    <row r="449" spans="1:3" ht="15.5">
      <c r="A449" s="29">
        <v>43956</v>
      </c>
      <c r="B449" s="28">
        <v>1.89</v>
      </c>
      <c r="C449" s="28">
        <v>7043728601.6999998</v>
      </c>
    </row>
    <row r="450" spans="1:3" ht="15.5">
      <c r="A450" s="29">
        <v>43955</v>
      </c>
      <c r="B450" s="28">
        <v>1.885</v>
      </c>
      <c r="C450" s="28">
        <v>7025094399.0500002</v>
      </c>
    </row>
    <row r="451" spans="1:3" ht="15.5">
      <c r="A451" s="29">
        <v>43952</v>
      </c>
      <c r="B451" s="28">
        <v>1.84</v>
      </c>
      <c r="C451" s="28">
        <v>6857386575.1999998</v>
      </c>
    </row>
    <row r="452" spans="1:3" ht="15.5">
      <c r="A452" s="29">
        <v>43951</v>
      </c>
      <c r="B452" s="28">
        <v>1.875</v>
      </c>
      <c r="C452" s="28">
        <v>6987825993.75</v>
      </c>
    </row>
    <row r="453" spans="1:3" ht="15.5">
      <c r="A453" s="29">
        <v>43950</v>
      </c>
      <c r="B453" s="28">
        <v>1.925</v>
      </c>
      <c r="C453" s="28">
        <v>7174168020.25</v>
      </c>
    </row>
    <row r="454" spans="1:3" ht="15.5">
      <c r="A454" s="29">
        <v>43949</v>
      </c>
      <c r="B454" s="28">
        <v>1.925</v>
      </c>
      <c r="C454" s="28">
        <v>7174168020.25</v>
      </c>
    </row>
    <row r="455" spans="1:3" ht="15.5">
      <c r="A455" s="29">
        <v>43948</v>
      </c>
      <c r="B455" s="28">
        <v>1.925</v>
      </c>
      <c r="C455" s="28">
        <v>7174168020.25</v>
      </c>
    </row>
    <row r="456" spans="1:3" ht="15.5">
      <c r="A456" s="29">
        <v>43945</v>
      </c>
      <c r="B456" s="28">
        <v>1.875</v>
      </c>
      <c r="C456" s="28">
        <v>6987825993.75</v>
      </c>
    </row>
    <row r="457" spans="1:3" ht="15.5">
      <c r="A457" s="29">
        <v>43944</v>
      </c>
      <c r="B457" s="28">
        <v>1.845</v>
      </c>
      <c r="C457" s="28">
        <v>6876020777.8500004</v>
      </c>
    </row>
    <row r="458" spans="1:3" ht="15.5">
      <c r="A458" s="29">
        <v>43943</v>
      </c>
      <c r="B458" s="28">
        <v>1.85</v>
      </c>
      <c r="C458" s="28">
        <v>6894654980.5</v>
      </c>
    </row>
    <row r="459" spans="1:3" ht="15.5">
      <c r="A459" s="29">
        <v>43942</v>
      </c>
      <c r="B459" s="28">
        <v>1.7949999999999999</v>
      </c>
      <c r="C459" s="28">
        <v>6689678751.3500004</v>
      </c>
    </row>
    <row r="460" spans="1:3" ht="15.5">
      <c r="A460" s="29">
        <v>43941</v>
      </c>
      <c r="B460" s="28">
        <v>1.81</v>
      </c>
      <c r="C460" s="28">
        <v>6745581359.3000002</v>
      </c>
    </row>
    <row r="461" spans="1:3" ht="15.5">
      <c r="A461" s="29">
        <v>43938</v>
      </c>
      <c r="B461" s="28">
        <v>1.835</v>
      </c>
      <c r="C461" s="28">
        <v>6838752372.5500002</v>
      </c>
    </row>
    <row r="462" spans="1:3" ht="15.5">
      <c r="A462" s="29">
        <v>43937</v>
      </c>
      <c r="B462" s="28">
        <v>1.8</v>
      </c>
      <c r="C462" s="28">
        <v>6708312954</v>
      </c>
    </row>
    <row r="463" spans="1:3" ht="15.5">
      <c r="A463" s="29">
        <v>43936</v>
      </c>
      <c r="B463" s="28">
        <v>1.7949999999999999</v>
      </c>
      <c r="C463" s="28">
        <v>6689678751.3500004</v>
      </c>
    </row>
    <row r="464" spans="1:3" ht="15.5">
      <c r="A464" s="29">
        <v>43935</v>
      </c>
      <c r="B464" s="28">
        <v>1.7749999999999999</v>
      </c>
      <c r="C464" s="28">
        <v>6615141940.75</v>
      </c>
    </row>
    <row r="465" spans="1:3" ht="15.5">
      <c r="A465" s="29">
        <v>43930</v>
      </c>
      <c r="B465" s="28">
        <v>1.7949999999999999</v>
      </c>
      <c r="C465" s="28">
        <v>6689678751.3500004</v>
      </c>
    </row>
    <row r="466" spans="1:3" ht="15.5">
      <c r="A466" s="29">
        <v>43929</v>
      </c>
      <c r="B466" s="28">
        <v>1.7749999999999999</v>
      </c>
      <c r="C466" s="28">
        <v>6615141940.75</v>
      </c>
    </row>
    <row r="467" spans="1:3" ht="15.5">
      <c r="A467" s="29">
        <v>43928</v>
      </c>
      <c r="B467" s="28">
        <v>1.77</v>
      </c>
      <c r="C467" s="28">
        <v>6596507738.1000004</v>
      </c>
    </row>
    <row r="468" spans="1:3" ht="15.5">
      <c r="A468" s="29">
        <v>43927</v>
      </c>
      <c r="B468" s="28">
        <v>1.81</v>
      </c>
      <c r="C468" s="28">
        <v>6745581359.3000002</v>
      </c>
    </row>
    <row r="469" spans="1:3" ht="15.5">
      <c r="A469" s="29">
        <v>43924</v>
      </c>
      <c r="B469" s="28">
        <v>1.72</v>
      </c>
      <c r="C469" s="28">
        <v>6410165711.6000004</v>
      </c>
    </row>
    <row r="470" spans="1:3" ht="15.5">
      <c r="A470" s="29">
        <v>43923</v>
      </c>
      <c r="B470" s="28">
        <v>1.7649999999999999</v>
      </c>
      <c r="C470" s="28">
        <v>6577873535.4499998</v>
      </c>
    </row>
    <row r="471" spans="1:3" ht="15.5">
      <c r="A471" s="29">
        <v>43922</v>
      </c>
      <c r="B471" s="28">
        <v>1.73</v>
      </c>
      <c r="C471" s="28">
        <v>6447434116.8999996</v>
      </c>
    </row>
    <row r="472" spans="1:3" ht="15.5">
      <c r="A472" s="29">
        <v>43921</v>
      </c>
      <c r="B472" s="28">
        <v>1.71</v>
      </c>
      <c r="C472" s="28">
        <v>6372897306.3000002</v>
      </c>
    </row>
    <row r="473" spans="1:3" ht="15.5">
      <c r="A473" s="29">
        <v>43920</v>
      </c>
      <c r="B473" s="28">
        <v>1.7350000000000001</v>
      </c>
      <c r="C473" s="28">
        <v>6401822489.2550001</v>
      </c>
    </row>
    <row r="474" spans="1:3" ht="15.5">
      <c r="A474" s="29">
        <v>43917</v>
      </c>
      <c r="B474" s="28">
        <v>1.7050000000000001</v>
      </c>
      <c r="C474" s="28">
        <v>6291128152.2650003</v>
      </c>
    </row>
    <row r="475" spans="1:3" ht="15.5">
      <c r="A475" s="29">
        <v>43916</v>
      </c>
      <c r="B475" s="28">
        <v>1.6850000000000001</v>
      </c>
      <c r="C475" s="28">
        <v>6217331927.6049995</v>
      </c>
    </row>
    <row r="476" spans="1:3" ht="15.5">
      <c r="A476" s="29">
        <v>43915</v>
      </c>
      <c r="B476" s="28">
        <v>1.655</v>
      </c>
      <c r="C476" s="28">
        <v>6106637590.6149998</v>
      </c>
    </row>
    <row r="477" spans="1:3" ht="15.5">
      <c r="A477" s="29">
        <v>43914</v>
      </c>
      <c r="B477" s="28">
        <v>1.71</v>
      </c>
      <c r="C477" s="28">
        <v>6309577208.4300003</v>
      </c>
    </row>
    <row r="478" spans="1:3" ht="15.5">
      <c r="A478" s="29">
        <v>43913</v>
      </c>
      <c r="B478" s="28">
        <v>1.65</v>
      </c>
      <c r="C478" s="28">
        <v>6088188534.4499998</v>
      </c>
    </row>
    <row r="479" spans="1:3" ht="15.5">
      <c r="A479" s="29">
        <v>43910</v>
      </c>
      <c r="B479" s="28">
        <v>1.7150000000000001</v>
      </c>
      <c r="C479" s="28">
        <v>6328026264.5950003</v>
      </c>
    </row>
    <row r="480" spans="1:3" ht="15.5">
      <c r="A480" s="29">
        <v>43909</v>
      </c>
      <c r="B480" s="28">
        <v>1.7250000000000001</v>
      </c>
      <c r="C480" s="28">
        <v>6364924376.9250002</v>
      </c>
    </row>
    <row r="481" spans="1:3" ht="15.5">
      <c r="A481" s="29">
        <v>43908</v>
      </c>
      <c r="B481" s="28">
        <v>1.71</v>
      </c>
      <c r="C481" s="28">
        <v>6309577208.4300003</v>
      </c>
    </row>
    <row r="482" spans="1:3" ht="15.5">
      <c r="A482" s="29">
        <v>43907</v>
      </c>
      <c r="B482" s="28">
        <v>1.635</v>
      </c>
      <c r="C482" s="28">
        <v>6032841365.9549999</v>
      </c>
    </row>
    <row r="483" spans="1:3" ht="15.5">
      <c r="A483" s="29">
        <v>43906</v>
      </c>
      <c r="B483" s="28">
        <v>1.55</v>
      </c>
      <c r="C483" s="28">
        <v>5719207411.1499996</v>
      </c>
    </row>
    <row r="484" spans="1:3" ht="15.5">
      <c r="A484" s="29">
        <v>43903</v>
      </c>
      <c r="B484" s="28">
        <v>1.6</v>
      </c>
      <c r="C484" s="28">
        <v>5903697972.8000002</v>
      </c>
    </row>
    <row r="485" spans="1:3" ht="15.5">
      <c r="A485" s="29">
        <v>43902</v>
      </c>
      <c r="B485" s="28">
        <v>1.59</v>
      </c>
      <c r="C485" s="28">
        <v>5866799860.4700003</v>
      </c>
    </row>
    <row r="486" spans="1:3" ht="15.5">
      <c r="A486" s="29">
        <v>43901</v>
      </c>
      <c r="B486" s="28">
        <v>1.615</v>
      </c>
      <c r="C486" s="28">
        <v>5959045141.2950001</v>
      </c>
    </row>
    <row r="487" spans="1:3" ht="15.5">
      <c r="A487" s="29">
        <v>43900</v>
      </c>
      <c r="B487" s="28">
        <v>1.66</v>
      </c>
      <c r="C487" s="28">
        <v>6125086646.7799997</v>
      </c>
    </row>
    <row r="488" spans="1:3" ht="15.5">
      <c r="A488" s="29">
        <v>43899</v>
      </c>
      <c r="B488" s="28">
        <v>1.6850000000000001</v>
      </c>
      <c r="C488" s="28">
        <v>6217331927.6049995</v>
      </c>
    </row>
    <row r="489" spans="1:3" ht="15.5">
      <c r="A489" s="29">
        <v>43896</v>
      </c>
      <c r="B489" s="28">
        <v>1.7050000000000001</v>
      </c>
      <c r="C489" s="28">
        <v>6291128152.2650003</v>
      </c>
    </row>
    <row r="490" spans="1:3" ht="15.5">
      <c r="A490" s="29">
        <v>43895</v>
      </c>
      <c r="B490" s="28">
        <v>1.72</v>
      </c>
      <c r="C490" s="28">
        <v>6346475320.7600002</v>
      </c>
    </row>
    <row r="491" spans="1:3" ht="15.5">
      <c r="A491" s="29">
        <v>43894</v>
      </c>
      <c r="B491" s="28">
        <v>1.7150000000000001</v>
      </c>
      <c r="C491" s="28">
        <v>6328026264.5950003</v>
      </c>
    </row>
    <row r="492" spans="1:3" ht="15.5">
      <c r="A492" s="29">
        <v>43893</v>
      </c>
      <c r="B492" s="28">
        <v>1.6950000000000001</v>
      </c>
      <c r="C492" s="28">
        <v>6254230039.9350004</v>
      </c>
    </row>
    <row r="493" spans="1:3" ht="15.5">
      <c r="A493" s="29">
        <v>43892</v>
      </c>
      <c r="B493" s="28">
        <v>1.66</v>
      </c>
      <c r="C493" s="28">
        <v>6125086646.7799997</v>
      </c>
    </row>
    <row r="494" spans="1:3" ht="15.5">
      <c r="A494" s="29">
        <v>43889</v>
      </c>
      <c r="B494" s="28">
        <v>1.6950000000000001</v>
      </c>
      <c r="C494" s="28">
        <v>6254230039.9350004</v>
      </c>
    </row>
    <row r="495" spans="1:3" ht="15.5">
      <c r="A495" s="29">
        <v>43888</v>
      </c>
      <c r="B495" s="28">
        <v>1.675</v>
      </c>
      <c r="C495" s="28">
        <v>6180433815.2749996</v>
      </c>
    </row>
    <row r="496" spans="1:3" ht="15.5">
      <c r="A496" s="29">
        <v>43887</v>
      </c>
      <c r="B496" s="28">
        <v>1.67</v>
      </c>
      <c r="C496" s="28">
        <v>6161984759.1099997</v>
      </c>
    </row>
    <row r="497" spans="1:3" ht="15.5">
      <c r="A497" s="29">
        <v>43886</v>
      </c>
      <c r="B497" s="28">
        <v>1.69</v>
      </c>
      <c r="C497" s="28">
        <v>6235780983.7700005</v>
      </c>
    </row>
    <row r="498" spans="1:3" ht="15.5">
      <c r="A498" s="29">
        <v>43885</v>
      </c>
      <c r="B498" s="28">
        <v>1.71</v>
      </c>
      <c r="C498" s="28">
        <v>6309577208.4300003</v>
      </c>
    </row>
    <row r="499" spans="1:3" ht="15.5">
      <c r="A499" s="29">
        <v>43882</v>
      </c>
      <c r="B499" s="28">
        <v>1.74</v>
      </c>
      <c r="C499" s="28">
        <v>6420271545.4200001</v>
      </c>
    </row>
    <row r="500" spans="1:3" ht="15.5">
      <c r="A500" s="29">
        <v>43881</v>
      </c>
      <c r="B500" s="28">
        <v>1.7649999999999999</v>
      </c>
      <c r="C500" s="28">
        <v>6512516826.2449999</v>
      </c>
    </row>
    <row r="501" spans="1:3" ht="15.5">
      <c r="A501" s="29">
        <v>43880</v>
      </c>
      <c r="B501" s="28">
        <v>1.7749999999999999</v>
      </c>
      <c r="C501" s="28">
        <v>6549414938.5749998</v>
      </c>
    </row>
    <row r="502" spans="1:3" ht="15.5">
      <c r="A502" s="29">
        <v>43879</v>
      </c>
      <c r="B502" s="28">
        <v>1.76</v>
      </c>
      <c r="C502" s="28">
        <v>6494067770.0799999</v>
      </c>
    </row>
    <row r="503" spans="1:3" ht="15.5">
      <c r="A503" s="29">
        <v>43878</v>
      </c>
      <c r="B503" s="28">
        <v>1.74</v>
      </c>
      <c r="C503" s="28">
        <v>6420271545.4200001</v>
      </c>
    </row>
    <row r="504" spans="1:3" ht="15.5">
      <c r="A504" s="29">
        <v>43875</v>
      </c>
      <c r="B504" s="28">
        <v>1.7450000000000001</v>
      </c>
      <c r="C504" s="28">
        <v>6438720601.585</v>
      </c>
    </row>
    <row r="505" spans="1:3" ht="15.5">
      <c r="A505" s="29">
        <v>43874</v>
      </c>
      <c r="B505" s="28">
        <v>1.73</v>
      </c>
      <c r="C505" s="28">
        <v>6383373433.0900002</v>
      </c>
    </row>
    <row r="506" spans="1:3" ht="15.5">
      <c r="A506" s="29">
        <v>43873</v>
      </c>
      <c r="B506" s="28">
        <v>1.74</v>
      </c>
      <c r="C506" s="28">
        <v>6420271545.4200001</v>
      </c>
    </row>
    <row r="507" spans="1:3" ht="15.5">
      <c r="A507" s="29">
        <v>43872</v>
      </c>
      <c r="B507" s="28">
        <v>1.74</v>
      </c>
      <c r="C507" s="28">
        <v>6420271545.4200001</v>
      </c>
    </row>
    <row r="508" spans="1:3" ht="15.5">
      <c r="A508" s="29">
        <v>43871</v>
      </c>
      <c r="B508" s="28">
        <v>1.73</v>
      </c>
      <c r="C508" s="28">
        <v>6383373433.0900002</v>
      </c>
    </row>
    <row r="509" spans="1:3" ht="15.5">
      <c r="A509" s="29">
        <v>43868</v>
      </c>
      <c r="B509" s="28">
        <v>1.73</v>
      </c>
      <c r="C509" s="28">
        <v>6383373433.0900002</v>
      </c>
    </row>
    <row r="510" spans="1:3" ht="15.5">
      <c r="A510" s="29">
        <v>43867</v>
      </c>
      <c r="B510" s="28">
        <v>1.7450000000000001</v>
      </c>
      <c r="C510" s="28">
        <v>6438720601.585</v>
      </c>
    </row>
    <row r="511" spans="1:3" ht="15.5">
      <c r="A511" s="29">
        <v>43866</v>
      </c>
      <c r="B511" s="28">
        <v>1.74</v>
      </c>
      <c r="C511" s="28">
        <v>6420271545.4200001</v>
      </c>
    </row>
    <row r="512" spans="1:3" ht="15.5">
      <c r="A512" s="29">
        <v>43865</v>
      </c>
      <c r="B512" s="28">
        <v>1.76</v>
      </c>
      <c r="C512" s="28">
        <v>6494067770.0799999</v>
      </c>
    </row>
    <row r="513" spans="1:3" ht="15.5">
      <c r="A513" s="29">
        <v>43864</v>
      </c>
      <c r="B513" s="28">
        <v>1.77</v>
      </c>
      <c r="C513" s="28">
        <v>6530965882.4099998</v>
      </c>
    </row>
    <row r="514" spans="1:3" ht="15.5">
      <c r="A514" s="29">
        <v>43861</v>
      </c>
      <c r="B514" s="28">
        <v>1.77</v>
      </c>
      <c r="C514" s="28">
        <v>6530965882.4099998</v>
      </c>
    </row>
    <row r="515" spans="1:3" ht="15.5">
      <c r="A515" s="29">
        <v>43860</v>
      </c>
      <c r="B515" s="28">
        <v>1.75</v>
      </c>
      <c r="C515" s="28">
        <v>6457169657.75</v>
      </c>
    </row>
    <row r="516" spans="1:3" ht="15.5">
      <c r="A516" s="29">
        <v>43859</v>
      </c>
      <c r="B516" s="28">
        <v>1.79</v>
      </c>
      <c r="C516" s="28">
        <v>6604762107.0699997</v>
      </c>
    </row>
    <row r="517" spans="1:3" ht="15.5">
      <c r="A517" s="29">
        <v>43858</v>
      </c>
      <c r="B517" s="28">
        <v>1.76</v>
      </c>
      <c r="C517" s="28">
        <v>6494067770.0799999</v>
      </c>
    </row>
    <row r="518" spans="1:3" ht="15.5">
      <c r="A518" s="29">
        <v>43854</v>
      </c>
      <c r="B518" s="28">
        <v>1.76</v>
      </c>
      <c r="C518" s="28">
        <v>6494067770.0799999</v>
      </c>
    </row>
    <row r="519" spans="1:3" ht="15.5">
      <c r="A519" s="29">
        <v>43853</v>
      </c>
      <c r="B519" s="28">
        <v>1.77</v>
      </c>
      <c r="C519" s="28">
        <v>6530965882.4099998</v>
      </c>
    </row>
    <row r="520" spans="1:3" ht="15.5">
      <c r="A520" s="29">
        <v>43852</v>
      </c>
      <c r="B520" s="28">
        <v>1.78</v>
      </c>
      <c r="C520" s="28">
        <v>6567863994.7399998</v>
      </c>
    </row>
    <row r="521" spans="1:3" ht="15.5">
      <c r="A521" s="29">
        <v>43851</v>
      </c>
      <c r="B521" s="28">
        <v>1.7549999999999999</v>
      </c>
      <c r="C521" s="28">
        <v>6475618713.915</v>
      </c>
    </row>
    <row r="522" spans="1:3" ht="15.5">
      <c r="A522" s="29">
        <v>43850</v>
      </c>
      <c r="B522" s="28">
        <v>1.78</v>
      </c>
      <c r="C522" s="28">
        <v>6567863994.7399998</v>
      </c>
    </row>
    <row r="523" spans="1:3" ht="15.5">
      <c r="A523" s="29">
        <v>43847</v>
      </c>
      <c r="B523" s="28">
        <v>1.7649999999999999</v>
      </c>
      <c r="C523" s="28">
        <v>6512516826.2449999</v>
      </c>
    </row>
    <row r="524" spans="1:3" ht="15.5">
      <c r="A524" s="29">
        <v>43846</v>
      </c>
      <c r="B524" s="28">
        <v>1.77</v>
      </c>
      <c r="C524" s="28">
        <v>6530965882.4099998</v>
      </c>
    </row>
    <row r="525" spans="1:3" ht="15.5">
      <c r="A525" s="29">
        <v>43845</v>
      </c>
      <c r="B525" s="28">
        <v>1.77</v>
      </c>
      <c r="C525" s="28">
        <v>6530965882.4099998</v>
      </c>
    </row>
    <row r="526" spans="1:3" ht="15.5">
      <c r="A526" s="29">
        <v>43844</v>
      </c>
      <c r="B526" s="28">
        <v>1.76</v>
      </c>
      <c r="C526" s="28">
        <v>6494067770.0799999</v>
      </c>
    </row>
    <row r="527" spans="1:3" ht="15.5">
      <c r="A527" s="29">
        <v>43843</v>
      </c>
      <c r="B527" s="28">
        <v>1.7350000000000001</v>
      </c>
      <c r="C527" s="28">
        <v>6401822489.2550001</v>
      </c>
    </row>
    <row r="528" spans="1:3" ht="15.5">
      <c r="A528" s="29">
        <v>43840</v>
      </c>
      <c r="B528" s="28">
        <v>1.74</v>
      </c>
      <c r="C528" s="28">
        <v>6420271545.4200001</v>
      </c>
    </row>
    <row r="529" spans="1:3" ht="15.5">
      <c r="A529" s="29">
        <v>43839</v>
      </c>
      <c r="B529" s="28">
        <v>1.75</v>
      </c>
      <c r="C529" s="28">
        <v>6457169657.75</v>
      </c>
    </row>
    <row r="530" spans="1:3" ht="15.5">
      <c r="A530" s="29">
        <v>43838</v>
      </c>
      <c r="B530" s="28">
        <v>1.7350000000000001</v>
      </c>
      <c r="C530" s="28">
        <v>6401822489.2550001</v>
      </c>
    </row>
    <row r="531" spans="1:3" ht="15.5">
      <c r="A531" s="29">
        <v>43837</v>
      </c>
      <c r="B531" s="28">
        <v>1.72</v>
      </c>
      <c r="C531" s="28">
        <v>6346475320.7600002</v>
      </c>
    </row>
    <row r="532" spans="1:3" ht="15.5">
      <c r="A532" s="29">
        <v>43836</v>
      </c>
      <c r="B532" s="28">
        <v>1.7150000000000001</v>
      </c>
      <c r="C532" s="28">
        <v>6328026264.5950003</v>
      </c>
    </row>
    <row r="533" spans="1:3" ht="15.5">
      <c r="A533" s="29">
        <v>43833</v>
      </c>
      <c r="B533" s="28">
        <v>1.7250000000000001</v>
      </c>
      <c r="C533" s="28">
        <v>6364924376.9250002</v>
      </c>
    </row>
    <row r="534" spans="1:3" ht="15.5">
      <c r="A534" s="29">
        <v>43832</v>
      </c>
      <c r="B534" s="28">
        <v>1.7150000000000001</v>
      </c>
      <c r="C534" s="28">
        <v>6328026264.5950003</v>
      </c>
    </row>
    <row r="535" spans="1:3" ht="15.5">
      <c r="A535" s="29">
        <v>43830</v>
      </c>
      <c r="B535" s="28">
        <v>1.7</v>
      </c>
      <c r="C535" s="28">
        <v>6272679096.1000004</v>
      </c>
    </row>
    <row r="536" spans="1:3" ht="15.5">
      <c r="A536" s="29">
        <v>43829</v>
      </c>
      <c r="B536" s="28">
        <v>1.7350000000000001</v>
      </c>
      <c r="C536" s="28">
        <v>6401822489.2550001</v>
      </c>
    </row>
    <row r="537" spans="1:3" ht="15.5">
      <c r="A537" s="29">
        <v>43826</v>
      </c>
      <c r="B537" s="28">
        <v>1.73</v>
      </c>
      <c r="C537" s="28">
        <v>6383373433.0900002</v>
      </c>
    </row>
    <row r="538" spans="1:3" ht="15.5">
      <c r="A538" s="29">
        <v>43823</v>
      </c>
      <c r="B538" s="28">
        <v>1.7649999999999999</v>
      </c>
      <c r="C538" s="28">
        <v>6512516826.2449999</v>
      </c>
    </row>
    <row r="539" spans="1:3" ht="15.5">
      <c r="A539" s="29">
        <v>43822</v>
      </c>
      <c r="B539" s="28">
        <v>1.74</v>
      </c>
      <c r="C539" s="28">
        <v>6420271545.4200001</v>
      </c>
    </row>
    <row r="540" spans="1:3" ht="15.5">
      <c r="A540" s="29">
        <v>43819</v>
      </c>
      <c r="B540" s="28">
        <v>1.75</v>
      </c>
      <c r="C540" s="28">
        <v>6457169657.75</v>
      </c>
    </row>
    <row r="541" spans="1:3" ht="15.5">
      <c r="A541" s="29">
        <v>43818</v>
      </c>
      <c r="B541" s="28">
        <v>1.7649999999999999</v>
      </c>
      <c r="C541" s="28">
        <v>6512516826.2449999</v>
      </c>
    </row>
    <row r="542" spans="1:3" ht="15.5">
      <c r="A542" s="29">
        <v>43817</v>
      </c>
      <c r="B542" s="28">
        <v>1.76</v>
      </c>
      <c r="C542" s="28">
        <v>6494067770.0799999</v>
      </c>
    </row>
    <row r="543" spans="1:3" ht="15.5">
      <c r="A543" s="29">
        <v>43816</v>
      </c>
      <c r="B543" s="28">
        <v>1.7450000000000001</v>
      </c>
      <c r="C543" s="28">
        <v>6438720601.585</v>
      </c>
    </row>
    <row r="544" spans="1:3" ht="15.5">
      <c r="A544" s="29">
        <v>43815</v>
      </c>
      <c r="B544" s="28">
        <v>1.7549999999999999</v>
      </c>
      <c r="C544" s="28">
        <v>6475618713.915</v>
      </c>
    </row>
    <row r="545" spans="1:3" ht="15.5">
      <c r="A545" s="29">
        <v>43812</v>
      </c>
      <c r="B545" s="28">
        <v>1.6950000000000001</v>
      </c>
      <c r="C545" s="28">
        <v>6254230039.9350004</v>
      </c>
    </row>
    <row r="546" spans="1:3" ht="15.5">
      <c r="A546" s="29">
        <v>43811</v>
      </c>
      <c r="B546" s="28">
        <v>1.7</v>
      </c>
      <c r="C546" s="28">
        <v>6272679096.1000004</v>
      </c>
    </row>
    <row r="547" spans="1:3" ht="15.5">
      <c r="A547" s="29">
        <v>43810</v>
      </c>
      <c r="B547" s="28">
        <v>1.7</v>
      </c>
      <c r="C547" s="28">
        <v>6272679096.1000004</v>
      </c>
    </row>
    <row r="548" spans="1:3" ht="15.5">
      <c r="A548" s="29">
        <v>43809</v>
      </c>
      <c r="B548" s="28">
        <v>1.675</v>
      </c>
      <c r="C548" s="28">
        <v>6180433815.2749996</v>
      </c>
    </row>
    <row r="549" spans="1:3" ht="15.5">
      <c r="A549" s="29">
        <v>43808</v>
      </c>
      <c r="B549" s="28">
        <v>1.665</v>
      </c>
      <c r="C549" s="28">
        <v>6143535702.9449997</v>
      </c>
    </row>
    <row r="550" spans="1:3" ht="15.5">
      <c r="A550" s="29">
        <v>43805</v>
      </c>
      <c r="B550" s="28">
        <v>1.67</v>
      </c>
      <c r="C550" s="28">
        <v>6161984759.1099997</v>
      </c>
    </row>
    <row r="551" spans="1:3" ht="15.5">
      <c r="A551" s="29">
        <v>43804</v>
      </c>
      <c r="B551" s="28">
        <v>1.67</v>
      </c>
      <c r="C551" s="28">
        <v>6161984759.1099997</v>
      </c>
    </row>
    <row r="552" spans="1:3" ht="15.5">
      <c r="A552" s="29">
        <v>43803</v>
      </c>
      <c r="B552" s="28">
        <v>1.665</v>
      </c>
      <c r="C552" s="28">
        <v>6143535702.9449997</v>
      </c>
    </row>
    <row r="553" spans="1:3" ht="15.5">
      <c r="A553" s="29">
        <v>43802</v>
      </c>
      <c r="B553" s="28">
        <v>1.6850000000000001</v>
      </c>
      <c r="C553" s="28">
        <v>6217331927.6049995</v>
      </c>
    </row>
    <row r="554" spans="1:3" ht="15.5">
      <c r="A554" s="29">
        <v>43801</v>
      </c>
      <c r="B554" s="28">
        <v>1.7250000000000001</v>
      </c>
      <c r="C554" s="28">
        <v>6364924376.9250002</v>
      </c>
    </row>
    <row r="555" spans="1:3" ht="15.5">
      <c r="A555" s="29">
        <v>43798</v>
      </c>
      <c r="B555" s="28">
        <v>1.74</v>
      </c>
      <c r="C555" s="28">
        <v>6420271545.4200001</v>
      </c>
    </row>
    <row r="556" spans="1:3" ht="15.5">
      <c r="A556" s="29">
        <v>43797</v>
      </c>
      <c r="B556" s="28">
        <v>1.7549999999999999</v>
      </c>
      <c r="C556" s="28">
        <v>6475618713.915</v>
      </c>
    </row>
    <row r="557" spans="1:3" ht="15.5">
      <c r="A557" s="29">
        <v>43796</v>
      </c>
      <c r="B557" s="28">
        <v>1.7649999999999999</v>
      </c>
      <c r="C557" s="28">
        <v>6512516826.2449999</v>
      </c>
    </row>
    <row r="558" spans="1:3" ht="15.5">
      <c r="A558" s="29">
        <v>43795</v>
      </c>
      <c r="B558" s="28">
        <v>1.74</v>
      </c>
      <c r="C558" s="28">
        <v>6420271545.4200001</v>
      </c>
    </row>
    <row r="559" spans="1:3" ht="15.5">
      <c r="A559" s="29">
        <v>43794</v>
      </c>
      <c r="B559" s="28">
        <v>1.71</v>
      </c>
      <c r="C559" s="28">
        <v>6309577208.4300003</v>
      </c>
    </row>
    <row r="560" spans="1:3" ht="15.5">
      <c r="A560" s="29">
        <v>43791</v>
      </c>
      <c r="B560" s="28">
        <v>1.7050000000000001</v>
      </c>
      <c r="C560" s="28">
        <v>6291128152.2650003</v>
      </c>
    </row>
    <row r="561" spans="1:3" ht="15.5">
      <c r="A561" s="29">
        <v>43790</v>
      </c>
      <c r="B561" s="28">
        <v>1.7050000000000001</v>
      </c>
      <c r="C561" s="28">
        <v>6291128152.2650003</v>
      </c>
    </row>
    <row r="562" spans="1:3" ht="15.5">
      <c r="A562" s="29">
        <v>43789</v>
      </c>
      <c r="B562" s="28">
        <v>1.72</v>
      </c>
      <c r="C562" s="28">
        <v>6346475320.7600002</v>
      </c>
    </row>
    <row r="563" spans="1:3" ht="15.5">
      <c r="A563" s="29">
        <v>43788</v>
      </c>
      <c r="B563" s="28">
        <v>1.7649999999999999</v>
      </c>
      <c r="C563" s="28">
        <v>6512516826.2449999</v>
      </c>
    </row>
    <row r="564" spans="1:3" ht="15.5">
      <c r="A564" s="29">
        <v>43787</v>
      </c>
      <c r="B564" s="28">
        <v>1.76</v>
      </c>
      <c r="C564" s="28">
        <v>6494067770.0799999</v>
      </c>
    </row>
    <row r="565" spans="1:3" ht="15.5">
      <c r="A565" s="29">
        <v>43784</v>
      </c>
      <c r="B565" s="28">
        <v>1.84</v>
      </c>
      <c r="C565" s="28">
        <v>6789252668.7200003</v>
      </c>
    </row>
    <row r="566" spans="1:3" ht="15.5">
      <c r="A566" s="29">
        <v>43783</v>
      </c>
      <c r="B566" s="28">
        <v>1.825</v>
      </c>
      <c r="C566" s="28">
        <v>6733905500.2250004</v>
      </c>
    </row>
    <row r="567" spans="1:3" ht="15.5">
      <c r="A567" s="29">
        <v>43782</v>
      </c>
      <c r="B567" s="28">
        <v>1.88</v>
      </c>
      <c r="C567" s="28">
        <v>6936845118.04</v>
      </c>
    </row>
    <row r="568" spans="1:3" ht="15.5">
      <c r="A568" s="29">
        <v>43781</v>
      </c>
      <c r="B568" s="28">
        <v>1.865</v>
      </c>
      <c r="C568" s="28">
        <v>6881497949.5450001</v>
      </c>
    </row>
    <row r="569" spans="1:3" ht="15.5">
      <c r="A569" s="29">
        <v>43780</v>
      </c>
      <c r="B569" s="28">
        <v>1.875</v>
      </c>
      <c r="C569" s="28">
        <v>6918396061.875</v>
      </c>
    </row>
    <row r="570" spans="1:3" ht="15.5">
      <c r="A570" s="29">
        <v>43777</v>
      </c>
      <c r="B570" s="28">
        <v>1.85</v>
      </c>
      <c r="C570" s="28">
        <v>6826150781.0500002</v>
      </c>
    </row>
    <row r="571" spans="1:3" ht="15.5">
      <c r="A571" s="29">
        <v>43776</v>
      </c>
      <c r="B571" s="28">
        <v>1.89</v>
      </c>
      <c r="C571" s="28">
        <v>6973743230.3699999</v>
      </c>
    </row>
    <row r="572" spans="1:3" ht="15.5">
      <c r="A572" s="29">
        <v>43775</v>
      </c>
      <c r="B572" s="28">
        <v>1.85</v>
      </c>
      <c r="C572" s="28">
        <v>6826150781.0500002</v>
      </c>
    </row>
    <row r="573" spans="1:3" ht="15.5">
      <c r="A573" s="29">
        <v>43774</v>
      </c>
      <c r="B573" s="28">
        <v>1.845</v>
      </c>
      <c r="C573" s="28">
        <v>6807701724.8850002</v>
      </c>
    </row>
    <row r="574" spans="1:3" ht="15.5">
      <c r="A574" s="29">
        <v>43773</v>
      </c>
      <c r="B574" s="28">
        <v>1.855</v>
      </c>
      <c r="C574" s="28">
        <v>6844599837.2150002</v>
      </c>
    </row>
    <row r="575" spans="1:3" ht="15.5">
      <c r="A575" s="29">
        <v>43770</v>
      </c>
      <c r="B575" s="28">
        <v>1.87</v>
      </c>
      <c r="C575" s="28">
        <v>6899947005.71</v>
      </c>
    </row>
    <row r="576" spans="1:3" ht="15.5">
      <c r="A576" s="29">
        <v>43769</v>
      </c>
      <c r="B576" s="28">
        <v>1.85</v>
      </c>
      <c r="C576" s="28">
        <v>6826150781.0500002</v>
      </c>
    </row>
    <row r="577" spans="1:3" ht="15.5">
      <c r="A577" s="29">
        <v>43768</v>
      </c>
      <c r="B577" s="28">
        <v>1.835</v>
      </c>
      <c r="C577" s="28">
        <v>6770803612.5550003</v>
      </c>
    </row>
    <row r="578" spans="1:3" ht="15.5">
      <c r="A578" s="29">
        <v>43767</v>
      </c>
      <c r="B578" s="28">
        <v>1.855</v>
      </c>
      <c r="C578" s="28">
        <v>6844599837.2150002</v>
      </c>
    </row>
    <row r="579" spans="1:3" ht="15.5">
      <c r="A579" s="29">
        <v>43766</v>
      </c>
      <c r="B579" s="28">
        <v>1.855</v>
      </c>
      <c r="C579" s="28">
        <v>6844599837.2150002</v>
      </c>
    </row>
    <row r="580" spans="1:3" ht="15.5">
      <c r="A580" s="29">
        <v>43763</v>
      </c>
      <c r="B580" s="28">
        <v>1.85</v>
      </c>
      <c r="C580" s="28">
        <v>6826150781.0500002</v>
      </c>
    </row>
    <row r="581" spans="1:3" ht="15.5">
      <c r="A581" s="29">
        <v>43762</v>
      </c>
      <c r="B581" s="28">
        <v>1.835</v>
      </c>
      <c r="C581" s="28">
        <v>6770803612.5550003</v>
      </c>
    </row>
    <row r="582" spans="1:3" ht="15.5">
      <c r="A582" s="29">
        <v>43761</v>
      </c>
      <c r="B582" s="28">
        <v>1.835</v>
      </c>
      <c r="C582" s="28">
        <v>6770803612.5550003</v>
      </c>
    </row>
    <row r="583" spans="1:3" ht="15.5">
      <c r="A583" s="29">
        <v>43760</v>
      </c>
      <c r="B583" s="28">
        <v>1.845</v>
      </c>
      <c r="C583" s="28">
        <v>6807701724.8850002</v>
      </c>
    </row>
    <row r="584" spans="1:3" ht="15.5">
      <c r="A584" s="29">
        <v>43759</v>
      </c>
      <c r="B584" s="28">
        <v>1.82</v>
      </c>
      <c r="C584" s="28">
        <v>6715456444.0600004</v>
      </c>
    </row>
    <row r="585" spans="1:3" ht="15.5">
      <c r="A585" s="29">
        <v>43756</v>
      </c>
      <c r="B585" s="28">
        <v>1.81</v>
      </c>
      <c r="C585" s="28">
        <v>6678558331.7299995</v>
      </c>
    </row>
    <row r="586" spans="1:3" ht="15.5">
      <c r="A586" s="29">
        <v>43755</v>
      </c>
      <c r="B586" s="28">
        <v>1.835</v>
      </c>
      <c r="C586" s="28">
        <v>6770803612.5550003</v>
      </c>
    </row>
    <row r="587" spans="1:3" ht="15.5">
      <c r="A587" s="29">
        <v>43754</v>
      </c>
      <c r="B587" s="28">
        <v>1.845</v>
      </c>
      <c r="C587" s="28">
        <v>6807701724.8850002</v>
      </c>
    </row>
    <row r="588" spans="1:3" ht="15.5">
      <c r="A588" s="29">
        <v>43753</v>
      </c>
      <c r="B588" s="28">
        <v>1.835</v>
      </c>
      <c r="C588" s="28">
        <v>6770803612.5550003</v>
      </c>
    </row>
    <row r="589" spans="1:3" ht="15.5">
      <c r="A589" s="29">
        <v>43752</v>
      </c>
      <c r="B589" s="28">
        <v>1.8149999999999999</v>
      </c>
      <c r="C589" s="28">
        <v>6697007387.8950005</v>
      </c>
    </row>
    <row r="590" spans="1:3" ht="15.5">
      <c r="A590" s="29">
        <v>43749</v>
      </c>
      <c r="B590" s="28">
        <v>1.81</v>
      </c>
      <c r="C590" s="28">
        <v>6678558331.7299995</v>
      </c>
    </row>
    <row r="591" spans="1:3" ht="15.5">
      <c r="A591" s="29">
        <v>43748</v>
      </c>
      <c r="B591" s="28">
        <v>1.8049999999999999</v>
      </c>
      <c r="C591" s="28">
        <v>6660109275.5649996</v>
      </c>
    </row>
    <row r="592" spans="1:3" ht="15.5">
      <c r="A592" s="29">
        <v>43747</v>
      </c>
      <c r="B592" s="28">
        <v>1.81</v>
      </c>
      <c r="C592" s="28">
        <v>6678558331.7299995</v>
      </c>
    </row>
    <row r="593" spans="1:3" ht="15.5">
      <c r="A593" s="29">
        <v>43746</v>
      </c>
      <c r="B593" s="28">
        <v>1.8</v>
      </c>
      <c r="C593" s="28">
        <v>6641660219.3999996</v>
      </c>
    </row>
    <row r="594" spans="1:3" ht="15.5">
      <c r="A594" s="29">
        <v>43745</v>
      </c>
      <c r="B594" s="28">
        <v>1.8</v>
      </c>
      <c r="C594" s="28">
        <v>6641660219.3999996</v>
      </c>
    </row>
    <row r="595" spans="1:3" ht="15.5">
      <c r="A595" s="29">
        <v>43742</v>
      </c>
      <c r="B595" s="28">
        <v>1.8</v>
      </c>
      <c r="C595" s="28">
        <v>6641660219.3999996</v>
      </c>
    </row>
    <row r="596" spans="1:3" ht="15.5">
      <c r="A596" s="29">
        <v>43741</v>
      </c>
      <c r="B596" s="28">
        <v>1.7849999999999999</v>
      </c>
      <c r="C596" s="28">
        <v>6586313050.9049997</v>
      </c>
    </row>
    <row r="597" spans="1:3" ht="15.5">
      <c r="A597" s="29">
        <v>43740</v>
      </c>
      <c r="B597" s="28">
        <v>1.8049999999999999</v>
      </c>
      <c r="C597" s="28">
        <v>6660109275.5649996</v>
      </c>
    </row>
    <row r="598" spans="1:3" ht="15.5">
      <c r="A598" s="29">
        <v>43739</v>
      </c>
      <c r="B598" s="28">
        <v>1.83</v>
      </c>
      <c r="C598" s="28">
        <v>6752354556.3900003</v>
      </c>
    </row>
    <row r="599" spans="1:3" ht="15.5">
      <c r="A599" s="29">
        <v>43738</v>
      </c>
      <c r="B599" s="28">
        <v>1.8149999999999999</v>
      </c>
      <c r="C599" s="28">
        <v>6697007387.8950005</v>
      </c>
    </row>
    <row r="600" spans="1:3" ht="15.5">
      <c r="A600" s="29">
        <v>43735</v>
      </c>
      <c r="B600" s="28">
        <v>1.8049999999999999</v>
      </c>
      <c r="C600" s="28">
        <v>6593059198.6800003</v>
      </c>
    </row>
    <row r="601" spans="1:3" ht="15.5">
      <c r="A601" s="29">
        <v>43734</v>
      </c>
      <c r="B601" s="28">
        <v>1.7649999999999999</v>
      </c>
      <c r="C601" s="28">
        <v>6446952623.6400003</v>
      </c>
    </row>
    <row r="602" spans="1:3" ht="15.5">
      <c r="A602" s="29">
        <v>43733</v>
      </c>
      <c r="B602" s="28">
        <v>1.7649999999999999</v>
      </c>
      <c r="C602" s="28">
        <v>6446952623.6400003</v>
      </c>
    </row>
    <row r="603" spans="1:3" ht="15.5">
      <c r="A603" s="29">
        <v>43732</v>
      </c>
      <c r="B603" s="28">
        <v>1.76</v>
      </c>
      <c r="C603" s="28">
        <v>6428689301.7600002</v>
      </c>
    </row>
    <row r="604" spans="1:3" ht="15.5">
      <c r="A604" s="29">
        <v>43731</v>
      </c>
      <c r="B604" s="28">
        <v>1.76</v>
      </c>
      <c r="C604" s="28">
        <v>6428689301.7600002</v>
      </c>
    </row>
    <row r="605" spans="1:3" ht="15.5">
      <c r="A605" s="29">
        <v>43728</v>
      </c>
      <c r="B605" s="28">
        <v>1.79</v>
      </c>
      <c r="C605" s="28">
        <v>6538269233.04</v>
      </c>
    </row>
    <row r="606" spans="1:3" ht="15.5">
      <c r="A606" s="29">
        <v>43727</v>
      </c>
      <c r="B606" s="28">
        <v>1.7749999999999999</v>
      </c>
      <c r="C606" s="28">
        <v>6483479267.3999996</v>
      </c>
    </row>
    <row r="607" spans="1:3" ht="15.5">
      <c r="A607" s="29">
        <v>43726</v>
      </c>
      <c r="B607" s="28">
        <v>1.7649999999999999</v>
      </c>
      <c r="C607" s="28">
        <v>6446952623.6400003</v>
      </c>
    </row>
    <row r="608" spans="1:3" ht="15.5">
      <c r="A608" s="29">
        <v>43725</v>
      </c>
      <c r="B608" s="28">
        <v>1.77</v>
      </c>
      <c r="C608" s="28">
        <v>6465215945.5200005</v>
      </c>
    </row>
    <row r="609" spans="1:3" ht="15.5">
      <c r="A609" s="29">
        <v>43724</v>
      </c>
      <c r="B609" s="28">
        <v>1.7549999999999999</v>
      </c>
      <c r="C609" s="28">
        <v>6410425979.8800001</v>
      </c>
    </row>
    <row r="610" spans="1:3" ht="15.5">
      <c r="A610" s="29">
        <v>43721</v>
      </c>
      <c r="B610" s="28">
        <v>1.78</v>
      </c>
      <c r="C610" s="28">
        <v>6501742589.2799997</v>
      </c>
    </row>
    <row r="611" spans="1:3" ht="15.5">
      <c r="A611" s="29">
        <v>43720</v>
      </c>
      <c r="B611" s="28">
        <v>1.79</v>
      </c>
      <c r="C611" s="28">
        <v>6538269233.04</v>
      </c>
    </row>
    <row r="612" spans="1:3" ht="15.5">
      <c r="A612" s="29">
        <v>43719</v>
      </c>
      <c r="B612" s="28">
        <v>1.76</v>
      </c>
      <c r="C612" s="28">
        <v>6428689301.7600002</v>
      </c>
    </row>
    <row r="613" spans="1:3" ht="15.5">
      <c r="A613" s="29">
        <v>43718</v>
      </c>
      <c r="B613" s="28">
        <v>1.75</v>
      </c>
      <c r="C613" s="28">
        <v>6392162658</v>
      </c>
    </row>
    <row r="614" spans="1:3" ht="15.5">
      <c r="A614" s="29">
        <v>43717</v>
      </c>
      <c r="B614" s="28">
        <v>1.7649999999999999</v>
      </c>
      <c r="C614" s="28">
        <v>6446952623.6400003</v>
      </c>
    </row>
    <row r="615" spans="1:3" ht="15.5">
      <c r="A615" s="29">
        <v>43714</v>
      </c>
      <c r="B615" s="28">
        <v>1.77</v>
      </c>
      <c r="C615" s="28">
        <v>6465215945.5200005</v>
      </c>
    </row>
    <row r="616" spans="1:3" ht="15.5">
      <c r="A616" s="29">
        <v>43713</v>
      </c>
      <c r="B616" s="28">
        <v>1.78</v>
      </c>
      <c r="C616" s="28">
        <v>6501742589.2799997</v>
      </c>
    </row>
    <row r="617" spans="1:3" ht="15.5">
      <c r="A617" s="29">
        <v>43712</v>
      </c>
      <c r="B617" s="28">
        <v>1.78</v>
      </c>
      <c r="C617" s="28">
        <v>6501742589.2799997</v>
      </c>
    </row>
    <row r="618" spans="1:3" ht="15.5">
      <c r="A618" s="29">
        <v>43711</v>
      </c>
      <c r="B618" s="28">
        <v>1.79</v>
      </c>
      <c r="C618" s="28">
        <v>6538269233.04</v>
      </c>
    </row>
    <row r="619" spans="1:3" ht="15.5">
      <c r="A619" s="29">
        <v>43710</v>
      </c>
      <c r="B619" s="28">
        <v>1.7849999999999999</v>
      </c>
      <c r="C619" s="28">
        <v>6520005911.1599998</v>
      </c>
    </row>
    <row r="620" spans="1:3" ht="15.5">
      <c r="A620" s="29">
        <v>43707</v>
      </c>
      <c r="B620" s="28">
        <v>1.8</v>
      </c>
      <c r="C620" s="28">
        <v>6574795876.8000002</v>
      </c>
    </row>
    <row r="621" spans="1:3" ht="15.5">
      <c r="A621" s="29">
        <v>43706</v>
      </c>
      <c r="B621" s="28">
        <v>1.79</v>
      </c>
      <c r="C621" s="28">
        <v>6538269233.04</v>
      </c>
    </row>
    <row r="622" spans="1:3" ht="15.5">
      <c r="A622" s="29">
        <v>43705</v>
      </c>
      <c r="B622" s="28">
        <v>1.78</v>
      </c>
      <c r="C622" s="28">
        <v>6501742589.2799997</v>
      </c>
    </row>
    <row r="623" spans="1:3" ht="15.5">
      <c r="A623" s="29">
        <v>43704</v>
      </c>
      <c r="B623" s="28">
        <v>1.7649999999999999</v>
      </c>
      <c r="C623" s="28">
        <v>6446952623.6400003</v>
      </c>
    </row>
    <row r="624" spans="1:3" ht="15.5">
      <c r="A624" s="29">
        <v>43703</v>
      </c>
      <c r="B624" s="28">
        <v>1.7749999999999999</v>
      </c>
      <c r="C624" s="28">
        <v>6483479267.3999996</v>
      </c>
    </row>
    <row r="625" spans="1:3" ht="15.5">
      <c r="A625" s="29">
        <v>43700</v>
      </c>
      <c r="B625" s="28">
        <v>1.7949999999999999</v>
      </c>
      <c r="C625" s="28">
        <v>6556532554.9200001</v>
      </c>
    </row>
    <row r="626" spans="1:3" ht="15.5">
      <c r="A626" s="29">
        <v>43699</v>
      </c>
      <c r="B626" s="28">
        <v>1.77</v>
      </c>
      <c r="C626" s="28">
        <v>6465215945.5200005</v>
      </c>
    </row>
    <row r="627" spans="1:3" ht="15.5">
      <c r="A627" s="29">
        <v>43698</v>
      </c>
      <c r="B627" s="28">
        <v>1.7649999999999999</v>
      </c>
      <c r="C627" s="28">
        <v>6446952623.6400003</v>
      </c>
    </row>
    <row r="628" spans="1:3" ht="15.5">
      <c r="A628" s="29">
        <v>43697</v>
      </c>
      <c r="B628" s="28">
        <v>1.7649999999999999</v>
      </c>
      <c r="C628" s="28">
        <v>6446952623.6400003</v>
      </c>
    </row>
    <row r="629" spans="1:3" ht="15.5">
      <c r="A629" s="29">
        <v>43696</v>
      </c>
      <c r="B629" s="28">
        <v>1.7549999999999999</v>
      </c>
      <c r="C629" s="28">
        <v>6410425979.8800001</v>
      </c>
    </row>
    <row r="630" spans="1:3" ht="15.5">
      <c r="A630" s="29">
        <v>43693</v>
      </c>
      <c r="B630" s="28">
        <v>1.7649999999999999</v>
      </c>
      <c r="C630" s="28">
        <v>6446952623.6400003</v>
      </c>
    </row>
    <row r="631" spans="1:3" ht="15.5">
      <c r="A631" s="29">
        <v>43692</v>
      </c>
      <c r="B631" s="28">
        <v>1.77</v>
      </c>
      <c r="C631" s="28">
        <v>6465215945.5200005</v>
      </c>
    </row>
    <row r="632" spans="1:3" ht="15.5">
      <c r="A632" s="29">
        <v>43691</v>
      </c>
      <c r="B632" s="28">
        <v>1.79</v>
      </c>
      <c r="C632" s="28">
        <v>6538269233.04</v>
      </c>
    </row>
    <row r="633" spans="1:3" ht="15.5">
      <c r="A633" s="29">
        <v>43690</v>
      </c>
      <c r="B633" s="28">
        <v>1.78</v>
      </c>
      <c r="C633" s="28">
        <v>6501742589.2799997</v>
      </c>
    </row>
    <row r="634" spans="1:3" ht="15.5">
      <c r="A634" s="29">
        <v>43689</v>
      </c>
      <c r="B634" s="28">
        <v>1.7749999999999999</v>
      </c>
      <c r="C634" s="28">
        <v>6483479267.3999996</v>
      </c>
    </row>
    <row r="635" spans="1:3" ht="15.5">
      <c r="A635" s="29">
        <v>43686</v>
      </c>
      <c r="B635" s="28">
        <v>1.7849999999999999</v>
      </c>
      <c r="C635" s="28">
        <v>6520005911.1599998</v>
      </c>
    </row>
    <row r="636" spans="1:3" ht="15.5">
      <c r="A636" s="29">
        <v>43685</v>
      </c>
      <c r="B636" s="28">
        <v>1.8</v>
      </c>
      <c r="C636" s="28">
        <v>6574795876.8000002</v>
      </c>
    </row>
    <row r="637" spans="1:3" ht="15.5">
      <c r="A637" s="29">
        <v>43684</v>
      </c>
      <c r="B637" s="28">
        <v>1.7949999999999999</v>
      </c>
      <c r="C637" s="28">
        <v>6556532554.9200001</v>
      </c>
    </row>
    <row r="638" spans="1:3" ht="15.5">
      <c r="A638" s="29">
        <v>43683</v>
      </c>
      <c r="B638" s="28">
        <v>1.76</v>
      </c>
      <c r="C638" s="28">
        <v>6428689301.7600002</v>
      </c>
    </row>
    <row r="639" spans="1:3" ht="15.5">
      <c r="A639" s="29">
        <v>43682</v>
      </c>
      <c r="B639" s="28">
        <v>1.78</v>
      </c>
      <c r="C639" s="28">
        <v>6501742589.2799997</v>
      </c>
    </row>
    <row r="640" spans="1:3" ht="15.5">
      <c r="A640" s="29">
        <v>43679</v>
      </c>
      <c r="B640" s="28">
        <v>1.78</v>
      </c>
      <c r="C640" s="28">
        <v>6501742589.2799997</v>
      </c>
    </row>
    <row r="641" spans="1:3" ht="15.5">
      <c r="A641" s="29">
        <v>43678</v>
      </c>
      <c r="B641" s="28">
        <v>1.79</v>
      </c>
      <c r="C641" s="28">
        <v>6538269233.04</v>
      </c>
    </row>
    <row r="642" spans="1:3" ht="15.5">
      <c r="A642" s="29">
        <v>43677</v>
      </c>
      <c r="B642" s="28">
        <v>1.7749999999999999</v>
      </c>
      <c r="C642" s="28">
        <v>6483479267.3999996</v>
      </c>
    </row>
    <row r="643" spans="1:3" ht="15.5">
      <c r="A643" s="29">
        <v>43676</v>
      </c>
      <c r="B643" s="28">
        <v>1.81</v>
      </c>
      <c r="C643" s="28">
        <v>6611322520.5600004</v>
      </c>
    </row>
    <row r="644" spans="1:3" ht="15.5">
      <c r="A644" s="29">
        <v>43675</v>
      </c>
      <c r="B644" s="28">
        <v>1.8049999999999999</v>
      </c>
      <c r="C644" s="28">
        <v>6593059198.6800003</v>
      </c>
    </row>
    <row r="645" spans="1:3" ht="15.5">
      <c r="A645" s="29">
        <v>43672</v>
      </c>
      <c r="B645" s="28">
        <v>1.8</v>
      </c>
      <c r="C645" s="28">
        <v>6574795876.8000002</v>
      </c>
    </row>
    <row r="646" spans="1:3" ht="15.5">
      <c r="A646" s="29">
        <v>43671</v>
      </c>
      <c r="B646" s="28">
        <v>1.81</v>
      </c>
      <c r="C646" s="28">
        <v>6611322520.5600004</v>
      </c>
    </row>
    <row r="647" spans="1:3" ht="15.5">
      <c r="A647" s="29">
        <v>43670</v>
      </c>
      <c r="B647" s="28">
        <v>1.8149999999999999</v>
      </c>
      <c r="C647" s="28">
        <v>6629585842.4399996</v>
      </c>
    </row>
    <row r="648" spans="1:3" ht="15.5">
      <c r="A648" s="29">
        <v>43669</v>
      </c>
      <c r="B648" s="28">
        <v>1.8</v>
      </c>
      <c r="C648" s="28">
        <v>6574795876.8000002</v>
      </c>
    </row>
    <row r="649" spans="1:3" ht="15.5">
      <c r="A649" s="29">
        <v>43668</v>
      </c>
      <c r="B649" s="28">
        <v>1.8</v>
      </c>
      <c r="C649" s="28">
        <v>6574795876.8000002</v>
      </c>
    </row>
    <row r="650" spans="1:3" ht="15.5">
      <c r="A650" s="29">
        <v>43665</v>
      </c>
      <c r="B650" s="28">
        <v>1.84</v>
      </c>
      <c r="C650" s="28">
        <v>6720902451.8400002</v>
      </c>
    </row>
    <row r="651" spans="1:3" ht="15.5">
      <c r="A651" s="29">
        <v>43664</v>
      </c>
      <c r="B651" s="28">
        <v>1.835</v>
      </c>
      <c r="C651" s="28">
        <v>6702639129.96</v>
      </c>
    </row>
    <row r="652" spans="1:3" ht="15.5">
      <c r="A652" s="29">
        <v>43663</v>
      </c>
      <c r="B652" s="28">
        <v>1.835</v>
      </c>
      <c r="C652" s="28">
        <v>6702639129.96</v>
      </c>
    </row>
    <row r="653" spans="1:3" ht="15.5">
      <c r="A653" s="29">
        <v>43662</v>
      </c>
      <c r="B653" s="28">
        <v>1.865</v>
      </c>
      <c r="C653" s="28">
        <v>6812219061.2399998</v>
      </c>
    </row>
    <row r="654" spans="1:3" ht="15.5">
      <c r="A654" s="29">
        <v>43661</v>
      </c>
      <c r="B654" s="28">
        <v>1.86</v>
      </c>
      <c r="C654" s="28">
        <v>6793955739.3599997</v>
      </c>
    </row>
    <row r="655" spans="1:3" ht="15.5">
      <c r="A655" s="29">
        <v>43658</v>
      </c>
      <c r="B655" s="28">
        <v>1.89</v>
      </c>
      <c r="C655" s="28">
        <v>6903535670.6400003</v>
      </c>
    </row>
    <row r="656" spans="1:3" ht="15.5">
      <c r="A656" s="29">
        <v>43657</v>
      </c>
      <c r="B656" s="28">
        <v>1.915</v>
      </c>
      <c r="C656" s="28">
        <v>6994852280.04</v>
      </c>
    </row>
    <row r="657" spans="1:3" ht="15.5">
      <c r="A657" s="29">
        <v>43656</v>
      </c>
      <c r="B657" s="28">
        <v>1.91</v>
      </c>
      <c r="C657" s="28">
        <v>6976588958.1599998</v>
      </c>
    </row>
    <row r="658" spans="1:3" ht="15.5">
      <c r="A658" s="29">
        <v>43655</v>
      </c>
      <c r="B658" s="28">
        <v>1.9</v>
      </c>
      <c r="C658" s="28">
        <v>6940062314.3999996</v>
      </c>
    </row>
    <row r="659" spans="1:3" ht="15.5">
      <c r="A659" s="29">
        <v>43654</v>
      </c>
      <c r="B659" s="28">
        <v>1.885</v>
      </c>
      <c r="C659" s="28">
        <v>6885272348.7600002</v>
      </c>
    </row>
    <row r="660" spans="1:3" ht="15.5">
      <c r="A660" s="29">
        <v>43651</v>
      </c>
      <c r="B660" s="28">
        <v>1.915</v>
      </c>
      <c r="C660" s="28">
        <v>6994852280.04</v>
      </c>
    </row>
    <row r="661" spans="1:3" ht="15.5">
      <c r="A661" s="29">
        <v>43650</v>
      </c>
      <c r="B661" s="28">
        <v>1.93</v>
      </c>
      <c r="C661" s="28">
        <v>7049642245.6800003</v>
      </c>
    </row>
    <row r="662" spans="1:3" ht="15.5">
      <c r="A662" s="29">
        <v>43649</v>
      </c>
      <c r="B662" s="28">
        <v>1.92</v>
      </c>
      <c r="C662" s="28">
        <v>7013115601.9200001</v>
      </c>
    </row>
    <row r="663" spans="1:3" ht="15.5">
      <c r="A663" s="29">
        <v>43648</v>
      </c>
      <c r="B663" s="28">
        <v>1.885</v>
      </c>
      <c r="C663" s="28">
        <v>6885272348.7600002</v>
      </c>
    </row>
    <row r="664" spans="1:3" ht="15.5">
      <c r="A664" s="29">
        <v>43647</v>
      </c>
      <c r="B664" s="28">
        <v>1.885</v>
      </c>
      <c r="C664" s="28">
        <v>6885272348.7600002</v>
      </c>
    </row>
    <row r="665" spans="1:3" ht="15.5">
      <c r="A665" s="29">
        <v>43644</v>
      </c>
      <c r="B665" s="28">
        <v>1.875</v>
      </c>
      <c r="C665" s="28">
        <v>6848745705</v>
      </c>
    </row>
    <row r="666" spans="1:3" ht="15.5">
      <c r="A666" s="29">
        <v>43643</v>
      </c>
      <c r="B666" s="28">
        <v>1.905</v>
      </c>
      <c r="C666" s="28">
        <v>6958325636.2799997</v>
      </c>
    </row>
    <row r="667" spans="1:3" ht="15.5">
      <c r="A667" s="29">
        <v>43642</v>
      </c>
      <c r="B667" s="28">
        <v>1.915</v>
      </c>
      <c r="C667" s="28">
        <v>6994852280.04</v>
      </c>
    </row>
    <row r="668" spans="1:3" ht="15.5">
      <c r="A668" s="29">
        <v>43641</v>
      </c>
      <c r="B668" s="28">
        <v>1.9450000000000001</v>
      </c>
      <c r="C668" s="28">
        <v>7104432211.3199997</v>
      </c>
    </row>
    <row r="669" spans="1:3" ht="15.5">
      <c r="A669" s="29">
        <v>43640</v>
      </c>
      <c r="B669" s="28">
        <v>1.9450000000000001</v>
      </c>
      <c r="C669" s="28">
        <v>7104432211.3199997</v>
      </c>
    </row>
    <row r="670" spans="1:3" ht="15.5">
      <c r="A670" s="29">
        <v>43637</v>
      </c>
      <c r="B670" s="28">
        <v>1.95</v>
      </c>
      <c r="C670" s="28">
        <v>7122695533.1999998</v>
      </c>
    </row>
    <row r="671" spans="1:3" ht="15.5">
      <c r="A671" s="29">
        <v>43636</v>
      </c>
      <c r="B671" s="28">
        <v>1.9750000000000001</v>
      </c>
      <c r="C671" s="28">
        <v>7214012142.6000004</v>
      </c>
    </row>
    <row r="672" spans="1:3" ht="15.5">
      <c r="A672" s="29">
        <v>43635</v>
      </c>
      <c r="B672" s="28">
        <v>1.95</v>
      </c>
      <c r="C672" s="28">
        <v>7122695533.1999998</v>
      </c>
    </row>
    <row r="673" spans="1:3" ht="15.5">
      <c r="A673" s="29">
        <v>43634</v>
      </c>
      <c r="B673" s="28">
        <v>1.9550000000000001</v>
      </c>
      <c r="C673" s="28">
        <v>7140958855.0799999</v>
      </c>
    </row>
    <row r="674" spans="1:3" ht="15.5">
      <c r="A674" s="29">
        <v>43633</v>
      </c>
      <c r="B674" s="28">
        <v>1.91</v>
      </c>
      <c r="C674" s="28">
        <v>6976588958.1599998</v>
      </c>
    </row>
    <row r="675" spans="1:3" ht="15.5">
      <c r="A675" s="29">
        <v>43630</v>
      </c>
      <c r="B675" s="28">
        <v>1.9450000000000001</v>
      </c>
      <c r="C675" s="28">
        <v>7104432211.3199997</v>
      </c>
    </row>
    <row r="676" spans="1:3" ht="15.5">
      <c r="A676" s="29">
        <v>43629</v>
      </c>
      <c r="B676" s="28">
        <v>1.89</v>
      </c>
      <c r="C676" s="28">
        <v>6903535670.6400003</v>
      </c>
    </row>
    <row r="677" spans="1:3" ht="15.5">
      <c r="A677" s="29">
        <v>43628</v>
      </c>
      <c r="B677" s="28">
        <v>1.87</v>
      </c>
      <c r="C677" s="28">
        <v>6830482383.1199999</v>
      </c>
    </row>
    <row r="678" spans="1:3" ht="15.5">
      <c r="A678" s="29">
        <v>43627</v>
      </c>
      <c r="B678" s="28">
        <v>1.855</v>
      </c>
      <c r="C678" s="28">
        <v>6775692417.4799995</v>
      </c>
    </row>
    <row r="679" spans="1:3" ht="15.5">
      <c r="A679" s="29">
        <v>43623</v>
      </c>
      <c r="B679" s="28">
        <v>1.855</v>
      </c>
      <c r="C679" s="28">
        <v>6775692417.4799995</v>
      </c>
    </row>
    <row r="680" spans="1:3" ht="15.5">
      <c r="A680" s="29">
        <v>43622</v>
      </c>
      <c r="B680" s="28">
        <v>1.835</v>
      </c>
      <c r="C680" s="28">
        <v>6702639129.96</v>
      </c>
    </row>
    <row r="681" spans="1:3" ht="15.5">
      <c r="A681" s="29">
        <v>43621</v>
      </c>
      <c r="B681" s="28">
        <v>1.7949999999999999</v>
      </c>
      <c r="C681" s="28">
        <v>6556532554.9200001</v>
      </c>
    </row>
    <row r="682" spans="1:3" ht="15.5">
      <c r="A682" s="29">
        <v>43620</v>
      </c>
      <c r="B682" s="28">
        <v>1.7949999999999999</v>
      </c>
      <c r="C682" s="28">
        <v>6556532554.9200001</v>
      </c>
    </row>
    <row r="683" spans="1:3" ht="15.5">
      <c r="A683" s="29">
        <v>43619</v>
      </c>
      <c r="B683" s="28">
        <v>1.78</v>
      </c>
      <c r="C683" s="28">
        <v>6501742589.2799997</v>
      </c>
    </row>
    <row r="684" spans="1:3" ht="15.5">
      <c r="A684" s="29">
        <v>43616</v>
      </c>
      <c r="B684" s="28">
        <v>1.78</v>
      </c>
      <c r="C684" s="28">
        <v>6501742589.2799997</v>
      </c>
    </row>
    <row r="685" spans="1:3" ht="15.5">
      <c r="A685" s="29">
        <v>43615</v>
      </c>
      <c r="B685" s="28">
        <v>1.78</v>
      </c>
      <c r="C685" s="28">
        <v>6501742589.2799997</v>
      </c>
    </row>
    <row r="686" spans="1:3" ht="15.5">
      <c r="A686" s="29">
        <v>43614</v>
      </c>
      <c r="B686" s="28">
        <v>1.79</v>
      </c>
      <c r="C686" s="28">
        <v>6538269233.04</v>
      </c>
    </row>
    <row r="687" spans="1:3" ht="15.5">
      <c r="A687" s="29">
        <v>43613</v>
      </c>
      <c r="B687" s="28">
        <v>1.79</v>
      </c>
      <c r="C687" s="28">
        <v>6538269233.04</v>
      </c>
    </row>
    <row r="688" spans="1:3" ht="15.5">
      <c r="A688" s="29">
        <v>43612</v>
      </c>
      <c r="B688" s="28">
        <v>1.79</v>
      </c>
      <c r="C688" s="28">
        <v>6538269233.04</v>
      </c>
    </row>
    <row r="689" spans="1:3" ht="15.5">
      <c r="A689" s="29">
        <v>43609</v>
      </c>
      <c r="B689" s="28">
        <v>1.81</v>
      </c>
      <c r="C689" s="28">
        <v>6611322520.5600004</v>
      </c>
    </row>
    <row r="690" spans="1:3" ht="15.5">
      <c r="A690" s="29">
        <v>43608</v>
      </c>
      <c r="B690" s="28">
        <v>1.8149999999999999</v>
      </c>
      <c r="C690" s="28">
        <v>6629585842.4399996</v>
      </c>
    </row>
    <row r="691" spans="1:3" ht="15.5">
      <c r="A691" s="29">
        <v>43607</v>
      </c>
      <c r="B691" s="28">
        <v>1.8</v>
      </c>
      <c r="C691" s="28">
        <v>6574795876.8000002</v>
      </c>
    </row>
    <row r="692" spans="1:3" ht="15.5">
      <c r="A692" s="29">
        <v>43606</v>
      </c>
      <c r="B692" s="28">
        <v>1.81</v>
      </c>
      <c r="C692" s="28">
        <v>6611322520.5600004</v>
      </c>
    </row>
    <row r="693" spans="1:3" ht="15.5">
      <c r="A693" s="29">
        <v>43605</v>
      </c>
      <c r="B693" s="28">
        <v>1.87</v>
      </c>
      <c r="C693" s="28">
        <v>6830482383.1199999</v>
      </c>
    </row>
    <row r="694" spans="1:3" ht="15.5">
      <c r="A694" s="29">
        <v>43602</v>
      </c>
      <c r="B694" s="28">
        <v>1.86</v>
      </c>
      <c r="C694" s="28">
        <v>6793955739.3599997</v>
      </c>
    </row>
    <row r="695" spans="1:3" ht="15.5">
      <c r="A695" s="29">
        <v>43601</v>
      </c>
      <c r="B695" s="28">
        <v>1.845</v>
      </c>
      <c r="C695" s="28">
        <v>6739165773.7200003</v>
      </c>
    </row>
    <row r="696" spans="1:3" ht="15.5">
      <c r="A696" s="29">
        <v>43600</v>
      </c>
      <c r="B696" s="28">
        <v>1.835</v>
      </c>
      <c r="C696" s="28">
        <v>6702639129.96</v>
      </c>
    </row>
    <row r="697" spans="1:3" ht="15.5">
      <c r="A697" s="29">
        <v>43599</v>
      </c>
      <c r="B697" s="28">
        <v>1.835</v>
      </c>
      <c r="C697" s="28">
        <v>6702639129.96</v>
      </c>
    </row>
    <row r="698" spans="1:3" ht="15.5">
      <c r="A698" s="29">
        <v>43598</v>
      </c>
      <c r="B698" s="28">
        <v>1.835</v>
      </c>
      <c r="C698" s="28">
        <v>6702639129.96</v>
      </c>
    </row>
    <row r="699" spans="1:3" ht="15.5">
      <c r="A699" s="29">
        <v>43595</v>
      </c>
      <c r="B699" s="28">
        <v>1.855</v>
      </c>
      <c r="C699" s="28">
        <v>6775692417.4799995</v>
      </c>
    </row>
    <row r="700" spans="1:3" ht="15.5">
      <c r="A700" s="29">
        <v>43594</v>
      </c>
      <c r="B700" s="28">
        <v>1.82</v>
      </c>
      <c r="C700" s="28">
        <v>6647849164.3199997</v>
      </c>
    </row>
    <row r="701" spans="1:3" ht="15.5">
      <c r="A701" s="29">
        <v>43593</v>
      </c>
      <c r="B701" s="28">
        <v>1.8</v>
      </c>
      <c r="C701" s="28">
        <v>6574795876.8000002</v>
      </c>
    </row>
    <row r="702" spans="1:3" ht="15.5">
      <c r="A702" s="29">
        <v>43592</v>
      </c>
      <c r="B702" s="28">
        <v>1.8</v>
      </c>
      <c r="C702" s="28">
        <v>6574795876.8000002</v>
      </c>
    </row>
    <row r="703" spans="1:3" ht="15.5">
      <c r="A703" s="29">
        <v>43591</v>
      </c>
      <c r="B703" s="28">
        <v>1.8</v>
      </c>
      <c r="C703" s="28">
        <v>6574795876.8000002</v>
      </c>
    </row>
    <row r="704" spans="1:3" ht="15.5">
      <c r="A704" s="29">
        <v>43588</v>
      </c>
      <c r="B704" s="28">
        <v>1.8</v>
      </c>
      <c r="C704" s="28">
        <v>6574795876.8000002</v>
      </c>
    </row>
    <row r="705" spans="1:3" ht="15.5">
      <c r="A705" s="29">
        <v>43587</v>
      </c>
      <c r="B705" s="28">
        <v>1.7949999999999999</v>
      </c>
      <c r="C705" s="28">
        <v>6556532554.9200001</v>
      </c>
    </row>
    <row r="706" spans="1:3" ht="15.5">
      <c r="A706" s="29">
        <v>43586</v>
      </c>
      <c r="B706" s="28">
        <v>1.7749999999999999</v>
      </c>
      <c r="C706" s="28">
        <v>6483479267.3999996</v>
      </c>
    </row>
    <row r="707" spans="1:3" ht="15.5">
      <c r="A707" s="29">
        <v>43585</v>
      </c>
      <c r="B707" s="28">
        <v>1.7749999999999999</v>
      </c>
      <c r="C707" s="28">
        <v>6483479267.3999996</v>
      </c>
    </row>
    <row r="708" spans="1:3" ht="15.5">
      <c r="A708" s="29">
        <v>43584</v>
      </c>
      <c r="B708" s="28">
        <v>1.8049999999999999</v>
      </c>
      <c r="C708" s="28">
        <v>6593059198.6800003</v>
      </c>
    </row>
    <row r="709" spans="1:3" ht="15.5">
      <c r="A709" s="29">
        <v>43581</v>
      </c>
      <c r="B709" s="28">
        <v>1.8</v>
      </c>
      <c r="C709" s="28">
        <v>6574795876.8000002</v>
      </c>
    </row>
    <row r="710" spans="1:3" ht="15.5">
      <c r="A710" s="29">
        <v>43579</v>
      </c>
      <c r="B710" s="28">
        <v>1.7849999999999999</v>
      </c>
      <c r="C710" s="28">
        <v>6520005911.1599998</v>
      </c>
    </row>
    <row r="711" spans="1:3" ht="15.5">
      <c r="A711" s="29">
        <v>43578</v>
      </c>
      <c r="B711" s="28">
        <v>1.7749999999999999</v>
      </c>
      <c r="C711" s="28">
        <v>6483479267.3999996</v>
      </c>
    </row>
    <row r="712" spans="1:3" ht="15.5">
      <c r="A712" s="29">
        <v>43573</v>
      </c>
      <c r="B712" s="28">
        <v>1.7649999999999999</v>
      </c>
      <c r="C712" s="28">
        <v>6446952623.6400003</v>
      </c>
    </row>
    <row r="713" spans="1:3" ht="15.5">
      <c r="A713" s="29">
        <v>43572</v>
      </c>
      <c r="B713" s="28">
        <v>1.7549999999999999</v>
      </c>
      <c r="C713" s="28">
        <v>6410425979.8800001</v>
      </c>
    </row>
    <row r="714" spans="1:3" ht="15.5">
      <c r="A714" s="29">
        <v>43571</v>
      </c>
      <c r="B714" s="28">
        <v>1.7749999999999999</v>
      </c>
      <c r="C714" s="28">
        <v>6483479267.3999996</v>
      </c>
    </row>
    <row r="715" spans="1:3" ht="15.5">
      <c r="A715" s="29">
        <v>43570</v>
      </c>
      <c r="B715" s="28">
        <v>1.7749999999999999</v>
      </c>
      <c r="C715" s="28">
        <v>6483479267.3999996</v>
      </c>
    </row>
    <row r="716" spans="1:3" ht="15.5">
      <c r="A716" s="29">
        <v>43567</v>
      </c>
      <c r="B716" s="28">
        <v>1.78</v>
      </c>
      <c r="C716" s="28">
        <v>6501742589.2799997</v>
      </c>
    </row>
    <row r="717" spans="1:3" ht="15.5">
      <c r="A717" s="29">
        <v>43566</v>
      </c>
      <c r="B717" s="28">
        <v>1.7549999999999999</v>
      </c>
      <c r="C717" s="28">
        <v>6410425979.8800001</v>
      </c>
    </row>
    <row r="718" spans="1:3" ht="15.5">
      <c r="A718" s="29">
        <v>43565</v>
      </c>
      <c r="B718" s="28">
        <v>1.76</v>
      </c>
      <c r="C718" s="28">
        <v>6428689301.7600002</v>
      </c>
    </row>
    <row r="719" spans="1:3" ht="15.5">
      <c r="A719" s="29">
        <v>43564</v>
      </c>
      <c r="B719" s="28">
        <v>1.7649999999999999</v>
      </c>
      <c r="C719" s="28">
        <v>6446952623.6400003</v>
      </c>
    </row>
    <row r="720" spans="1:3" ht="15.5">
      <c r="A720" s="29">
        <v>43563</v>
      </c>
      <c r="B720" s="28">
        <v>1.7949999999999999</v>
      </c>
      <c r="C720" s="28">
        <v>6556532554.9200001</v>
      </c>
    </row>
    <row r="721" spans="1:3" ht="15.5">
      <c r="A721" s="29">
        <v>43560</v>
      </c>
      <c r="B721" s="28">
        <v>1.7749999999999999</v>
      </c>
      <c r="C721" s="28">
        <v>6483479267.3999996</v>
      </c>
    </row>
    <row r="722" spans="1:3" ht="15.5">
      <c r="A722" s="29">
        <v>43559</v>
      </c>
      <c r="B722" s="28">
        <v>1.7949999999999999</v>
      </c>
      <c r="C722" s="28">
        <v>6556532554.9200001</v>
      </c>
    </row>
    <row r="723" spans="1:3" ht="15.5">
      <c r="A723" s="29">
        <v>43558</v>
      </c>
      <c r="B723" s="28">
        <v>1.81</v>
      </c>
      <c r="C723" s="28">
        <v>6611322520.5600004</v>
      </c>
    </row>
    <row r="724" spans="1:3" ht="15.5">
      <c r="A724" s="29">
        <v>43557</v>
      </c>
      <c r="B724" s="28">
        <v>1.7949999999999999</v>
      </c>
      <c r="C724" s="28">
        <v>6556532554.9200001</v>
      </c>
    </row>
    <row r="725" spans="1:3" ht="15.5">
      <c r="A725" s="29">
        <v>43556</v>
      </c>
      <c r="B725" s="28">
        <v>1.7849999999999999</v>
      </c>
      <c r="C725" s="28">
        <v>6520005911.1599998</v>
      </c>
    </row>
    <row r="726" spans="1:3" ht="15.5">
      <c r="A726" s="29">
        <v>43553</v>
      </c>
      <c r="B726" s="28">
        <v>1.7749999999999999</v>
      </c>
      <c r="C726" s="28">
        <v>6415465507.875</v>
      </c>
    </row>
    <row r="727" spans="1:3" ht="15.5">
      <c r="A727" s="29">
        <v>43552</v>
      </c>
      <c r="B727" s="28">
        <v>1.7849999999999999</v>
      </c>
      <c r="C727" s="28">
        <v>6451608975.5249996</v>
      </c>
    </row>
    <row r="728" spans="1:3" ht="15.5">
      <c r="A728" s="29">
        <v>43551</v>
      </c>
      <c r="B728" s="28">
        <v>1.78</v>
      </c>
      <c r="C728" s="28">
        <v>6433537241.6999998</v>
      </c>
    </row>
    <row r="729" spans="1:3" ht="15.5">
      <c r="A729" s="29">
        <v>43550</v>
      </c>
      <c r="B729" s="28">
        <v>1.7849999999999999</v>
      </c>
      <c r="C729" s="28">
        <v>6451608975.5249996</v>
      </c>
    </row>
    <row r="730" spans="1:3" ht="15.5">
      <c r="A730" s="29">
        <v>43549</v>
      </c>
      <c r="B730" s="28">
        <v>1.78</v>
      </c>
      <c r="C730" s="28">
        <v>6433537241.6999998</v>
      </c>
    </row>
    <row r="731" spans="1:3" ht="15.5">
      <c r="A731" s="29">
        <v>43546</v>
      </c>
      <c r="B731" s="28">
        <v>1.78</v>
      </c>
      <c r="C731" s="28">
        <v>6433537241.6999998</v>
      </c>
    </row>
    <row r="732" spans="1:3" ht="15.5">
      <c r="A732" s="29">
        <v>43545</v>
      </c>
      <c r="B732" s="28">
        <v>1.7649999999999999</v>
      </c>
      <c r="C732" s="28">
        <v>6379322040.2250004</v>
      </c>
    </row>
    <row r="733" spans="1:3" ht="15.5">
      <c r="A733" s="29">
        <v>43544</v>
      </c>
      <c r="B733" s="28">
        <v>1.8</v>
      </c>
      <c r="C733" s="28">
        <v>6505824177</v>
      </c>
    </row>
    <row r="734" spans="1:3" ht="15.5">
      <c r="A734" s="29">
        <v>43543</v>
      </c>
      <c r="B734" s="28">
        <v>1.8</v>
      </c>
      <c r="C734" s="28">
        <v>6505824177</v>
      </c>
    </row>
    <row r="735" spans="1:3" ht="15.5">
      <c r="A735" s="29">
        <v>43542</v>
      </c>
      <c r="B735" s="28">
        <v>1.78</v>
      </c>
      <c r="C735" s="28">
        <v>6433537241.6999998</v>
      </c>
    </row>
    <row r="736" spans="1:3" ht="15.5">
      <c r="A736" s="29">
        <v>43539</v>
      </c>
      <c r="B736" s="28">
        <v>1.77</v>
      </c>
      <c r="C736" s="28">
        <v>6397393774.0500002</v>
      </c>
    </row>
    <row r="737" spans="1:3" ht="15.5">
      <c r="A737" s="29">
        <v>43538</v>
      </c>
      <c r="B737" s="28">
        <v>1.7749999999999999</v>
      </c>
      <c r="C737" s="28">
        <v>6415465507.875</v>
      </c>
    </row>
    <row r="738" spans="1:3" ht="15.5">
      <c r="A738" s="29">
        <v>43537</v>
      </c>
      <c r="B738" s="28">
        <v>1.78</v>
      </c>
      <c r="C738" s="28">
        <v>6433537241.6999998</v>
      </c>
    </row>
    <row r="739" spans="1:3" ht="15.5">
      <c r="A739" s="29">
        <v>43536</v>
      </c>
      <c r="B739" s="28">
        <v>1.7849999999999999</v>
      </c>
      <c r="C739" s="28">
        <v>6451608975.5249996</v>
      </c>
    </row>
    <row r="740" spans="1:3" ht="15.5">
      <c r="A740" s="29">
        <v>43535</v>
      </c>
      <c r="B740" s="28">
        <v>1.78</v>
      </c>
      <c r="C740" s="28">
        <v>6433537241.6999998</v>
      </c>
    </row>
    <row r="741" spans="1:3" ht="15.5">
      <c r="A741" s="29">
        <v>43532</v>
      </c>
      <c r="B741" s="28">
        <v>1.7849999999999999</v>
      </c>
      <c r="C741" s="28">
        <v>6451608975.5249996</v>
      </c>
    </row>
    <row r="742" spans="1:3" ht="15.5">
      <c r="A742" s="29">
        <v>43531</v>
      </c>
      <c r="B742" s="28">
        <v>1.79</v>
      </c>
      <c r="C742" s="28">
        <v>6469680709.3500004</v>
      </c>
    </row>
    <row r="743" spans="1:3" ht="15.5">
      <c r="A743" s="29">
        <v>43530</v>
      </c>
      <c r="B743" s="28">
        <v>1.77</v>
      </c>
      <c r="C743" s="28">
        <v>6397393774.0500002</v>
      </c>
    </row>
    <row r="744" spans="1:3" ht="15.5">
      <c r="A744" s="29">
        <v>43529</v>
      </c>
      <c r="B744" s="28">
        <v>1.7675000000000001</v>
      </c>
      <c r="C744" s="28">
        <v>6388357907.1374998</v>
      </c>
    </row>
    <row r="745" spans="1:3" ht="15.5">
      <c r="A745" s="29">
        <v>43528</v>
      </c>
      <c r="B745" s="28">
        <v>1.7649999999999999</v>
      </c>
      <c r="C745" s="28">
        <v>6379322040.2250004</v>
      </c>
    </row>
    <row r="746" spans="1:3" ht="15.5">
      <c r="A746" s="29">
        <v>43525</v>
      </c>
      <c r="B746" s="28">
        <v>1.7549999999999999</v>
      </c>
      <c r="C746" s="28">
        <v>6343178572.5749998</v>
      </c>
    </row>
    <row r="747" spans="1:3" ht="15.5">
      <c r="A747" s="29">
        <v>43524</v>
      </c>
      <c r="B747" s="28">
        <v>1.7350000000000001</v>
      </c>
      <c r="C747" s="28">
        <v>6270891637.2749996</v>
      </c>
    </row>
    <row r="748" spans="1:3" ht="15.5">
      <c r="A748" s="29">
        <v>43523</v>
      </c>
      <c r="B748" s="28">
        <v>1.76</v>
      </c>
      <c r="C748" s="28">
        <v>6361250306.3999996</v>
      </c>
    </row>
    <row r="749" spans="1:3" ht="15.5">
      <c r="A749" s="29">
        <v>43522</v>
      </c>
      <c r="B749" s="28">
        <v>1.76</v>
      </c>
      <c r="C749" s="28">
        <v>6361250306.3999996</v>
      </c>
    </row>
    <row r="750" spans="1:3" ht="15.5">
      <c r="A750" s="29">
        <v>43521</v>
      </c>
      <c r="B750" s="28">
        <v>1.7549999999999999</v>
      </c>
      <c r="C750" s="28">
        <v>6343178572.5749998</v>
      </c>
    </row>
    <row r="751" spans="1:3" ht="15.5">
      <c r="A751" s="29">
        <v>43518</v>
      </c>
      <c r="B751" s="28">
        <v>1.76</v>
      </c>
      <c r="C751" s="28">
        <v>6361250306.3999996</v>
      </c>
    </row>
    <row r="752" spans="1:3" ht="15.5">
      <c r="A752" s="29">
        <v>43517</v>
      </c>
      <c r="B752" s="28">
        <v>1.7450000000000001</v>
      </c>
      <c r="C752" s="28">
        <v>6307035104.9250002</v>
      </c>
    </row>
    <row r="753" spans="1:3" ht="15.5">
      <c r="A753" s="29">
        <v>43516</v>
      </c>
      <c r="B753" s="28">
        <v>1.7350000000000001</v>
      </c>
      <c r="C753" s="28">
        <v>6270891637.2749996</v>
      </c>
    </row>
    <row r="754" spans="1:3" ht="15.5">
      <c r="A754" s="29">
        <v>43515</v>
      </c>
      <c r="B754" s="28">
        <v>1.74</v>
      </c>
      <c r="C754" s="28">
        <v>6288963371.1000004</v>
      </c>
    </row>
    <row r="755" spans="1:3" ht="15.5">
      <c r="A755" s="29">
        <v>43514</v>
      </c>
      <c r="B755" s="28">
        <v>1.74</v>
      </c>
      <c r="C755" s="28">
        <v>6288963371.1000004</v>
      </c>
    </row>
    <row r="756" spans="1:3" ht="15.5">
      <c r="A756" s="29">
        <v>43511</v>
      </c>
      <c r="B756" s="28">
        <v>1.74</v>
      </c>
      <c r="C756" s="28">
        <v>6288963371.1000004</v>
      </c>
    </row>
    <row r="757" spans="1:3" ht="15.5">
      <c r="A757" s="29">
        <v>43510</v>
      </c>
      <c r="B757" s="28">
        <v>1.74</v>
      </c>
      <c r="C757" s="28">
        <v>6288963371.1000004</v>
      </c>
    </row>
    <row r="758" spans="1:3" ht="15.5">
      <c r="A758" s="29">
        <v>43509</v>
      </c>
      <c r="B758" s="28">
        <v>1.74</v>
      </c>
      <c r="C758" s="28">
        <v>6288963371.1000004</v>
      </c>
    </row>
    <row r="759" spans="1:3" ht="15.5">
      <c r="A759" s="29">
        <v>43508</v>
      </c>
      <c r="B759" s="28">
        <v>1.74</v>
      </c>
      <c r="C759" s="28">
        <v>6288963371.1000004</v>
      </c>
    </row>
    <row r="760" spans="1:3" ht="15.5">
      <c r="A760" s="29">
        <v>43507</v>
      </c>
      <c r="B760" s="28">
        <v>1.73</v>
      </c>
      <c r="C760" s="28">
        <v>6252819903.4499998</v>
      </c>
    </row>
    <row r="761" spans="1:3" ht="15.5">
      <c r="A761" s="29">
        <v>43504</v>
      </c>
      <c r="B761" s="28">
        <v>1.7350000000000001</v>
      </c>
      <c r="C761" s="28">
        <v>6270891637.2749996</v>
      </c>
    </row>
    <row r="762" spans="1:3" ht="15.5">
      <c r="A762" s="29">
        <v>43503</v>
      </c>
      <c r="B762" s="28">
        <v>1.73</v>
      </c>
      <c r="C762" s="28">
        <v>6252819903.4499998</v>
      </c>
    </row>
    <row r="763" spans="1:3" ht="15.5">
      <c r="A763" s="29">
        <v>43502</v>
      </c>
      <c r="B763" s="28">
        <v>1.73</v>
      </c>
      <c r="C763" s="28">
        <v>6252819903.4499998</v>
      </c>
    </row>
    <row r="764" spans="1:3" ht="15.5">
      <c r="A764" s="29">
        <v>43501</v>
      </c>
      <c r="B764" s="28">
        <v>1.7250000000000001</v>
      </c>
      <c r="C764" s="28">
        <v>6234748169.625</v>
      </c>
    </row>
    <row r="765" spans="1:3" ht="15.5">
      <c r="A765" s="29">
        <v>43500</v>
      </c>
      <c r="B765" s="28">
        <v>1.7</v>
      </c>
      <c r="C765" s="28">
        <v>6144389500.5</v>
      </c>
    </row>
    <row r="766" spans="1:3" ht="15.5">
      <c r="A766" s="29">
        <v>43497</v>
      </c>
      <c r="B766" s="28">
        <v>1.655</v>
      </c>
      <c r="C766" s="28">
        <v>5981743896.0749998</v>
      </c>
    </row>
    <row r="767" spans="1:3" ht="15.5">
      <c r="A767" s="29">
        <v>43496</v>
      </c>
      <c r="B767" s="28">
        <v>1.65</v>
      </c>
      <c r="C767" s="28">
        <v>5963672162.25</v>
      </c>
    </row>
    <row r="768" spans="1:3" ht="15.5">
      <c r="A768" s="29">
        <v>43495</v>
      </c>
      <c r="B768" s="28">
        <v>1.68</v>
      </c>
      <c r="C768" s="28">
        <v>6072102565.1999998</v>
      </c>
    </row>
    <row r="769" spans="1:3" ht="15.5">
      <c r="A769" s="29">
        <v>43494</v>
      </c>
      <c r="B769" s="28">
        <v>1.67</v>
      </c>
      <c r="C769" s="28">
        <v>6035959097.5500002</v>
      </c>
    </row>
    <row r="770" spans="1:3" ht="15.5">
      <c r="A770" s="29">
        <v>43490</v>
      </c>
      <c r="B770" s="28">
        <v>1.67</v>
      </c>
      <c r="C770" s="28">
        <v>6035959097.5500002</v>
      </c>
    </row>
    <row r="771" spans="1:3" ht="15.5">
      <c r="A771" s="29">
        <v>43489</v>
      </c>
      <c r="B771" s="28">
        <v>1.66</v>
      </c>
      <c r="C771" s="28">
        <v>5999815629.8999996</v>
      </c>
    </row>
    <row r="772" spans="1:3" ht="15.5">
      <c r="A772" s="29">
        <v>43488</v>
      </c>
      <c r="B772" s="28">
        <v>1.66</v>
      </c>
      <c r="C772" s="28">
        <v>5999815629.8999996</v>
      </c>
    </row>
    <row r="773" spans="1:3" ht="15.5">
      <c r="A773" s="29">
        <v>43487</v>
      </c>
      <c r="B773" s="28">
        <v>1.645</v>
      </c>
      <c r="C773" s="28">
        <v>5945600428.4250002</v>
      </c>
    </row>
    <row r="774" spans="1:3" ht="15.5">
      <c r="A774" s="29">
        <v>43486</v>
      </c>
      <c r="B774" s="28">
        <v>1.65</v>
      </c>
      <c r="C774" s="28">
        <v>5963672162.25</v>
      </c>
    </row>
    <row r="775" spans="1:3" ht="15.5">
      <c r="A775" s="29">
        <v>43483</v>
      </c>
      <c r="B775" s="28">
        <v>1.635</v>
      </c>
      <c r="C775" s="28">
        <v>5909456960.7749996</v>
      </c>
    </row>
    <row r="776" spans="1:3" ht="15.5">
      <c r="A776" s="29">
        <v>43482</v>
      </c>
      <c r="B776" s="28">
        <v>1.615</v>
      </c>
      <c r="C776" s="28">
        <v>5837170025.4750004</v>
      </c>
    </row>
    <row r="777" spans="1:3" ht="15.5">
      <c r="A777" s="29">
        <v>43481</v>
      </c>
      <c r="B777" s="28">
        <v>1.61</v>
      </c>
      <c r="C777" s="28">
        <v>5819098291.6499996</v>
      </c>
    </row>
    <row r="778" spans="1:3" ht="15.5">
      <c r="A778" s="29">
        <v>43480</v>
      </c>
      <c r="B778" s="28">
        <v>1.6</v>
      </c>
      <c r="C778" s="28">
        <v>5782954824</v>
      </c>
    </row>
    <row r="779" spans="1:3" ht="15.5">
      <c r="A779" s="29">
        <v>43479</v>
      </c>
      <c r="B779" s="28">
        <v>1.605</v>
      </c>
      <c r="C779" s="28">
        <v>5801026557.8249998</v>
      </c>
    </row>
    <row r="780" spans="1:3" ht="15.5">
      <c r="A780" s="29">
        <v>43476</v>
      </c>
      <c r="B780" s="28">
        <v>1.595</v>
      </c>
      <c r="C780" s="28">
        <v>5764883090.1750002</v>
      </c>
    </row>
    <row r="781" spans="1:3" ht="15.5">
      <c r="A781" s="29">
        <v>43475</v>
      </c>
      <c r="B781" s="28">
        <v>1.585</v>
      </c>
      <c r="C781" s="28">
        <v>5728739622.5249996</v>
      </c>
    </row>
    <row r="782" spans="1:3" ht="15.5">
      <c r="A782" s="29">
        <v>43474</v>
      </c>
      <c r="B782" s="28">
        <v>1.585</v>
      </c>
      <c r="C782" s="28">
        <v>5728739622.5249996</v>
      </c>
    </row>
    <row r="783" spans="1:3" ht="15.5">
      <c r="A783" s="29">
        <v>43473</v>
      </c>
      <c r="B783" s="28">
        <v>1.575</v>
      </c>
      <c r="C783" s="28">
        <v>5692596154.875</v>
      </c>
    </row>
    <row r="784" spans="1:3" ht="15.5">
      <c r="A784" s="29">
        <v>43472</v>
      </c>
      <c r="B784" s="28">
        <v>1.575</v>
      </c>
      <c r="C784" s="28">
        <v>5692596154.875</v>
      </c>
    </row>
    <row r="785" spans="1:3" ht="15.5">
      <c r="A785" s="29">
        <v>43469</v>
      </c>
      <c r="B785" s="28">
        <v>1.56</v>
      </c>
      <c r="C785" s="28">
        <v>5638380953.3999996</v>
      </c>
    </row>
    <row r="786" spans="1:3" ht="15.5">
      <c r="A786" s="29">
        <v>43468</v>
      </c>
      <c r="B786" s="28">
        <v>1.56</v>
      </c>
      <c r="C786" s="28">
        <v>5638380953.3999996</v>
      </c>
    </row>
    <row r="787" spans="1:3" ht="15.5">
      <c r="A787" s="29">
        <v>43467</v>
      </c>
      <c r="B787" s="28">
        <v>1.54</v>
      </c>
      <c r="C787" s="28">
        <v>5566094018.1000004</v>
      </c>
    </row>
    <row r="788" spans="1:3" ht="15.5">
      <c r="A788" s="29">
        <v>43465</v>
      </c>
      <c r="B788" s="28">
        <v>1.5549999999999999</v>
      </c>
      <c r="C788" s="28">
        <v>5620309219.5749998</v>
      </c>
    </row>
    <row r="789" spans="1:3" ht="15.5">
      <c r="A789" s="29">
        <v>43462</v>
      </c>
      <c r="B789" s="28">
        <v>1.575</v>
      </c>
      <c r="C789" s="28">
        <v>5692596154.875</v>
      </c>
    </row>
    <row r="790" spans="1:3" ht="15.5">
      <c r="A790" s="29">
        <v>43461</v>
      </c>
      <c r="B790" s="28">
        <v>1.56</v>
      </c>
      <c r="C790" s="28">
        <v>5638380953.3999996</v>
      </c>
    </row>
    <row r="791" spans="1:3" ht="15.5">
      <c r="A791" s="29">
        <v>43458</v>
      </c>
      <c r="B791" s="28">
        <v>1.52</v>
      </c>
      <c r="C791" s="28">
        <v>5493807082.8000002</v>
      </c>
    </row>
    <row r="792" spans="1:3" ht="15.5">
      <c r="A792" s="29">
        <v>43455</v>
      </c>
      <c r="B792" s="28">
        <v>1.5649999999999999</v>
      </c>
      <c r="C792" s="28">
        <v>5656452687.2250004</v>
      </c>
    </row>
    <row r="793" spans="1:3" ht="15.5">
      <c r="A793" s="29">
        <v>43454</v>
      </c>
      <c r="B793" s="28">
        <v>1.575</v>
      </c>
      <c r="C793" s="28">
        <v>5692596154.875</v>
      </c>
    </row>
    <row r="794" spans="1:3" ht="15.5">
      <c r="A794" s="29">
        <v>43453</v>
      </c>
      <c r="B794" s="28">
        <v>1.575</v>
      </c>
      <c r="C794" s="28">
        <v>5692596154.875</v>
      </c>
    </row>
    <row r="795" spans="1:3" ht="15.5">
      <c r="A795" s="29">
        <v>43452</v>
      </c>
      <c r="B795" s="28">
        <v>1.61</v>
      </c>
      <c r="C795" s="28">
        <v>5819098291.6499996</v>
      </c>
    </row>
    <row r="796" spans="1:3" ht="15.5">
      <c r="A796" s="29">
        <v>43451</v>
      </c>
      <c r="B796" s="28">
        <v>1.62</v>
      </c>
      <c r="C796" s="28">
        <v>5855241759.3000002</v>
      </c>
    </row>
    <row r="797" spans="1:3" ht="15.5">
      <c r="A797" s="29">
        <v>43448</v>
      </c>
      <c r="B797" s="28">
        <v>1.585</v>
      </c>
      <c r="C797" s="28">
        <v>5728739622.5249996</v>
      </c>
    </row>
    <row r="798" spans="1:3" ht="15.5">
      <c r="A798" s="29">
        <v>43447</v>
      </c>
      <c r="B798" s="28">
        <v>1.57</v>
      </c>
      <c r="C798" s="28">
        <v>5674524421.0500002</v>
      </c>
    </row>
    <row r="799" spans="1:3" ht="15.5">
      <c r="A799" s="29">
        <v>43446</v>
      </c>
      <c r="B799" s="28">
        <v>1.62</v>
      </c>
      <c r="C799" s="28">
        <v>5855241759.3000002</v>
      </c>
    </row>
    <row r="800" spans="1:3" ht="15.5">
      <c r="A800" s="29">
        <v>43445</v>
      </c>
      <c r="B800" s="28">
        <v>1.59</v>
      </c>
      <c r="C800" s="28">
        <v>5746811356.3500004</v>
      </c>
    </row>
    <row r="801" spans="1:3" ht="15.5">
      <c r="A801" s="29">
        <v>43444</v>
      </c>
      <c r="B801" s="28">
        <v>1.585</v>
      </c>
      <c r="C801" s="28">
        <v>5728739622.5249996</v>
      </c>
    </row>
    <row r="802" spans="1:3" ht="15.5">
      <c r="A802" s="29">
        <v>43441</v>
      </c>
      <c r="B802" s="28">
        <v>1.59</v>
      </c>
      <c r="C802" s="28">
        <v>5746811356.3500004</v>
      </c>
    </row>
    <row r="803" spans="1:3" ht="15.5">
      <c r="A803" s="29">
        <v>43440</v>
      </c>
      <c r="B803" s="28">
        <v>1.59</v>
      </c>
      <c r="C803" s="28">
        <v>5746811356.3500004</v>
      </c>
    </row>
    <row r="804" spans="1:3" ht="15.5">
      <c r="A804" s="29">
        <v>43439</v>
      </c>
      <c r="B804" s="28">
        <v>1.56</v>
      </c>
      <c r="C804" s="28">
        <v>5638380953.3999996</v>
      </c>
    </row>
    <row r="805" spans="1:3" ht="15.5">
      <c r="A805" s="29">
        <v>43438</v>
      </c>
      <c r="B805" s="28">
        <v>1.5649999999999999</v>
      </c>
      <c r="C805" s="28">
        <v>5656452687.2250004</v>
      </c>
    </row>
    <row r="806" spans="1:3" ht="15.5">
      <c r="A806" s="29">
        <v>43437</v>
      </c>
      <c r="B806" s="28">
        <v>1.56</v>
      </c>
      <c r="C806" s="28">
        <v>5638380953.3999996</v>
      </c>
    </row>
    <row r="807" spans="1:3" ht="15.5">
      <c r="A807" s="29">
        <v>43434</v>
      </c>
      <c r="B807" s="28">
        <v>1.5449999999999999</v>
      </c>
      <c r="C807" s="28">
        <v>5584165751.9250002</v>
      </c>
    </row>
    <row r="808" spans="1:3" ht="15.5">
      <c r="A808" s="29">
        <v>43433</v>
      </c>
      <c r="B808" s="28">
        <v>1.585</v>
      </c>
      <c r="C808" s="28">
        <v>5728739622.5249996</v>
      </c>
    </row>
    <row r="809" spans="1:3" ht="15.5">
      <c r="A809" s="29">
        <v>43432</v>
      </c>
      <c r="B809" s="28">
        <v>1.59</v>
      </c>
      <c r="C809" s="28">
        <v>5746811356.3500004</v>
      </c>
    </row>
    <row r="810" spans="1:3" ht="15.5">
      <c r="A810" s="29">
        <v>43431</v>
      </c>
      <c r="B810" s="28">
        <v>1.595</v>
      </c>
      <c r="C810" s="28">
        <v>5764883090.1750002</v>
      </c>
    </row>
    <row r="811" spans="1:3" ht="15.5">
      <c r="A811" s="29">
        <v>43430</v>
      </c>
      <c r="B811" s="28">
        <v>1.615</v>
      </c>
      <c r="C811" s="28">
        <v>5837170025.4750004</v>
      </c>
    </row>
    <row r="812" spans="1:3" ht="15.5">
      <c r="A812" s="29">
        <v>43427</v>
      </c>
      <c r="B812" s="28">
        <v>1.635</v>
      </c>
      <c r="C812" s="28">
        <v>5909456960.7749996</v>
      </c>
    </row>
    <row r="813" spans="1:3" ht="15.5">
      <c r="A813" s="29">
        <v>43426</v>
      </c>
      <c r="B813" s="28">
        <v>1.625</v>
      </c>
      <c r="C813" s="28">
        <v>5873313493.125</v>
      </c>
    </row>
    <row r="814" spans="1:3" ht="15.5">
      <c r="A814" s="29">
        <v>43425</v>
      </c>
      <c r="B814" s="28">
        <v>1.62</v>
      </c>
      <c r="C814" s="28">
        <v>5855241759.3000002</v>
      </c>
    </row>
    <row r="815" spans="1:3" ht="15.5">
      <c r="A815" s="29">
        <v>43424</v>
      </c>
      <c r="B815" s="28">
        <v>1.605</v>
      </c>
      <c r="C815" s="28">
        <v>5801026557.8249998</v>
      </c>
    </row>
    <row r="816" spans="1:3" ht="15.5">
      <c r="A816" s="29">
        <v>43423</v>
      </c>
      <c r="B816" s="28">
        <v>1.6</v>
      </c>
      <c r="C816" s="28">
        <v>5782954824</v>
      </c>
    </row>
    <row r="817" spans="1:3" ht="15.5">
      <c r="A817" s="29">
        <v>43420</v>
      </c>
      <c r="B817" s="28">
        <v>1.665</v>
      </c>
      <c r="C817" s="28">
        <v>6017887363.7250004</v>
      </c>
    </row>
    <row r="818" spans="1:3" ht="15.5">
      <c r="A818" s="29">
        <v>43419</v>
      </c>
      <c r="B818" s="28">
        <v>1.6850000000000001</v>
      </c>
      <c r="C818" s="28">
        <v>6090174299.0249996</v>
      </c>
    </row>
    <row r="819" spans="1:3" ht="15.5">
      <c r="A819" s="29">
        <v>43418</v>
      </c>
      <c r="B819" s="28">
        <v>1.69</v>
      </c>
      <c r="C819" s="28">
        <v>6108246032.8500004</v>
      </c>
    </row>
    <row r="820" spans="1:3" ht="15.5">
      <c r="A820" s="29">
        <v>43417</v>
      </c>
      <c r="B820" s="28">
        <v>1.71</v>
      </c>
      <c r="C820" s="28">
        <v>6180532968.1499996</v>
      </c>
    </row>
    <row r="821" spans="1:3" ht="15.5">
      <c r="A821" s="29">
        <v>43416</v>
      </c>
      <c r="B821" s="28">
        <v>1.7150000000000001</v>
      </c>
      <c r="C821" s="28">
        <v>6198604701.9750004</v>
      </c>
    </row>
    <row r="822" spans="1:3" ht="15.5">
      <c r="A822" s="29">
        <v>43413</v>
      </c>
      <c r="B822" s="28">
        <v>1.71</v>
      </c>
      <c r="C822" s="28">
        <v>6180532968.1499996</v>
      </c>
    </row>
    <row r="823" spans="1:3" ht="15.5">
      <c r="A823" s="29">
        <v>43412</v>
      </c>
      <c r="B823" s="28">
        <v>1.7</v>
      </c>
      <c r="C823" s="28">
        <v>6144389500.5</v>
      </c>
    </row>
    <row r="824" spans="1:3" ht="15.5">
      <c r="A824" s="29">
        <v>43411</v>
      </c>
      <c r="B824" s="28">
        <v>1.71</v>
      </c>
      <c r="C824" s="28">
        <v>6180532968.1499996</v>
      </c>
    </row>
    <row r="825" spans="1:3" ht="15.5">
      <c r="A825" s="29">
        <v>43410</v>
      </c>
      <c r="B825" s="28">
        <v>1.7350000000000001</v>
      </c>
      <c r="C825" s="28">
        <v>6270891637.2749996</v>
      </c>
    </row>
    <row r="826" spans="1:3" ht="15.5">
      <c r="A826" s="29">
        <v>43409</v>
      </c>
      <c r="B826" s="28">
        <v>1.6850000000000001</v>
      </c>
      <c r="C826" s="28">
        <v>6090174299.0249996</v>
      </c>
    </row>
    <row r="827" spans="1:3" ht="15.5">
      <c r="A827" s="29">
        <v>43406</v>
      </c>
      <c r="B827" s="28">
        <v>1.69</v>
      </c>
      <c r="C827" s="28">
        <v>6108246032.8500004</v>
      </c>
    </row>
    <row r="828" spans="1:3" ht="15.5">
      <c r="A828" s="29">
        <v>43405</v>
      </c>
      <c r="B828" s="28">
        <v>1.6950000000000001</v>
      </c>
      <c r="C828" s="28">
        <v>6126317766.6750002</v>
      </c>
    </row>
    <row r="829" spans="1:3" ht="15.5">
      <c r="A829" s="29">
        <v>43404</v>
      </c>
      <c r="B829" s="28">
        <v>1.71</v>
      </c>
      <c r="C829" s="28">
        <v>6180532968.1499996</v>
      </c>
    </row>
    <row r="830" spans="1:3" ht="15.5">
      <c r="A830" s="29">
        <v>43403</v>
      </c>
      <c r="B830" s="28">
        <v>1.69</v>
      </c>
      <c r="C830" s="28">
        <v>6108246032.8500004</v>
      </c>
    </row>
    <row r="831" spans="1:3" ht="15.5">
      <c r="A831" s="29">
        <v>43402</v>
      </c>
      <c r="B831" s="28">
        <v>1.69</v>
      </c>
      <c r="C831" s="28">
        <v>6108246032.8500004</v>
      </c>
    </row>
    <row r="832" spans="1:3" ht="15.5">
      <c r="A832" s="29">
        <v>43399</v>
      </c>
      <c r="B832" s="28">
        <v>1.65</v>
      </c>
      <c r="C832" s="28">
        <v>5963672162.25</v>
      </c>
    </row>
    <row r="833" spans="1:3" ht="15.5">
      <c r="A833" s="29">
        <v>43398</v>
      </c>
      <c r="B833" s="28">
        <v>1.655</v>
      </c>
      <c r="C833" s="28">
        <v>5981743896.0749998</v>
      </c>
    </row>
    <row r="834" spans="1:3" ht="15.5">
      <c r="A834" s="29">
        <v>43397</v>
      </c>
      <c r="B834" s="28">
        <v>1.67</v>
      </c>
      <c r="C834" s="28">
        <v>6035959097.5500002</v>
      </c>
    </row>
    <row r="835" spans="1:3" ht="15.5">
      <c r="A835" s="29">
        <v>43396</v>
      </c>
      <c r="B835" s="28">
        <v>1.655</v>
      </c>
      <c r="C835" s="28">
        <v>5981743896.0749998</v>
      </c>
    </row>
    <row r="836" spans="1:3" ht="15.5">
      <c r="A836" s="29">
        <v>43395</v>
      </c>
      <c r="B836" s="28">
        <v>1.68</v>
      </c>
      <c r="C836" s="28">
        <v>6072102565.1999998</v>
      </c>
    </row>
    <row r="837" spans="1:3" ht="15.5">
      <c r="A837" s="29">
        <v>43392</v>
      </c>
      <c r="B837" s="28">
        <v>1.68</v>
      </c>
      <c r="C837" s="28">
        <v>6072102565.1999998</v>
      </c>
    </row>
    <row r="838" spans="1:3" ht="15.5">
      <c r="A838" s="29">
        <v>43391</v>
      </c>
      <c r="B838" s="28">
        <v>1.65</v>
      </c>
      <c r="C838" s="28">
        <v>5963672162.25</v>
      </c>
    </row>
    <row r="839" spans="1:3" ht="15.5">
      <c r="A839" s="29">
        <v>43390</v>
      </c>
      <c r="B839" s="28">
        <v>1.615</v>
      </c>
      <c r="C839" s="28">
        <v>5837170025.4750004</v>
      </c>
    </row>
    <row r="840" spans="1:3" ht="15.5">
      <c r="A840" s="29">
        <v>43389</v>
      </c>
      <c r="B840" s="28">
        <v>1.635</v>
      </c>
      <c r="C840" s="28">
        <v>5909456960.7749996</v>
      </c>
    </row>
    <row r="841" spans="1:3" ht="15.5">
      <c r="A841" s="29">
        <v>43388</v>
      </c>
      <c r="B841" s="28">
        <v>1.605</v>
      </c>
      <c r="C841" s="28">
        <v>5801026557.8249998</v>
      </c>
    </row>
    <row r="842" spans="1:3" ht="15.5">
      <c r="A842" s="29">
        <v>43385</v>
      </c>
      <c r="B842" s="28">
        <v>1.62</v>
      </c>
      <c r="C842" s="28">
        <v>5855241759.3000002</v>
      </c>
    </row>
    <row r="843" spans="1:3" ht="15.5">
      <c r="A843" s="29">
        <v>43384</v>
      </c>
      <c r="B843" s="28">
        <v>1.635</v>
      </c>
      <c r="C843" s="28">
        <v>5909456960.7749996</v>
      </c>
    </row>
    <row r="844" spans="1:3" ht="15.5">
      <c r="A844" s="29">
        <v>43383</v>
      </c>
      <c r="B844" s="28">
        <v>1.645</v>
      </c>
      <c r="C844" s="28">
        <v>5945600428.4250002</v>
      </c>
    </row>
    <row r="845" spans="1:3" ht="15.5">
      <c r="A845" s="29">
        <v>43382</v>
      </c>
      <c r="B845" s="28">
        <v>1.655</v>
      </c>
      <c r="C845" s="28">
        <v>5981743896.0749998</v>
      </c>
    </row>
    <row r="846" spans="1:3" ht="15.5">
      <c r="A846" s="29">
        <v>43381</v>
      </c>
      <c r="B846" s="28">
        <v>1.645</v>
      </c>
      <c r="C846" s="28">
        <v>5945600428.4250002</v>
      </c>
    </row>
    <row r="847" spans="1:3" ht="15.5">
      <c r="A847" s="29">
        <v>43378</v>
      </c>
      <c r="B847" s="28">
        <v>1.66</v>
      </c>
      <c r="C847" s="28">
        <v>5999815629.8999996</v>
      </c>
    </row>
    <row r="848" spans="1:3" ht="15.5">
      <c r="A848" s="29">
        <v>43377</v>
      </c>
      <c r="B848" s="28">
        <v>1.655</v>
      </c>
      <c r="C848" s="28">
        <v>5981743896.0749998</v>
      </c>
    </row>
    <row r="849" spans="1:3" ht="15.5">
      <c r="A849" s="29">
        <v>43376</v>
      </c>
      <c r="B849" s="28">
        <v>1.64</v>
      </c>
      <c r="C849" s="28">
        <v>5927528694.6000004</v>
      </c>
    </row>
    <row r="850" spans="1:3" ht="15.5">
      <c r="A850" s="29">
        <v>43375</v>
      </c>
      <c r="B850" s="28">
        <v>1.63</v>
      </c>
      <c r="C850" s="28">
        <v>5891385226.9499998</v>
      </c>
    </row>
    <row r="851" spans="1:3" ht="15.5">
      <c r="A851" s="29">
        <v>43374</v>
      </c>
      <c r="B851" s="28">
        <v>1.625</v>
      </c>
      <c r="C851" s="28">
        <v>5873313493.125</v>
      </c>
    </row>
    <row r="852" spans="1:3" ht="15.5">
      <c r="A852" s="29">
        <v>43371</v>
      </c>
      <c r="B852" s="28">
        <v>1.625</v>
      </c>
      <c r="C852" s="28">
        <v>5873313493.125</v>
      </c>
    </row>
    <row r="853" spans="1:3" ht="15.5">
      <c r="A853" s="29">
        <v>43370</v>
      </c>
      <c r="B853" s="28">
        <v>1.615</v>
      </c>
      <c r="C853" s="28">
        <v>5837170025.4750004</v>
      </c>
    </row>
    <row r="854" spans="1:3" ht="15.5">
      <c r="A854" s="29">
        <v>43369</v>
      </c>
      <c r="B854" s="28">
        <v>1.61</v>
      </c>
      <c r="C854" s="28">
        <v>5819098291.6499996</v>
      </c>
    </row>
    <row r="855" spans="1:3" ht="15.5">
      <c r="A855" s="29">
        <v>43368</v>
      </c>
      <c r="B855" s="28">
        <v>1.62</v>
      </c>
      <c r="C855" s="28">
        <v>5855241759.3000002</v>
      </c>
    </row>
    <row r="856" spans="1:3" ht="15.5">
      <c r="A856" s="29">
        <v>43367</v>
      </c>
      <c r="B856" s="28">
        <v>1.615</v>
      </c>
      <c r="C856" s="28">
        <v>5837170025.4750004</v>
      </c>
    </row>
    <row r="857" spans="1:3" ht="15.5">
      <c r="A857" s="29">
        <v>43364</v>
      </c>
      <c r="B857" s="28">
        <v>1.625</v>
      </c>
      <c r="C857" s="28">
        <v>5873313493.125</v>
      </c>
    </row>
    <row r="858" spans="1:3" ht="15.5">
      <c r="A858" s="29">
        <v>43363</v>
      </c>
      <c r="B858" s="28">
        <v>1.615</v>
      </c>
      <c r="C858" s="28">
        <v>5837170025.4750004</v>
      </c>
    </row>
    <row r="859" spans="1:3" ht="15.5">
      <c r="A859" s="29">
        <v>43362</v>
      </c>
      <c r="B859" s="28">
        <v>1.625</v>
      </c>
      <c r="C859" s="28">
        <v>5873313493.125</v>
      </c>
    </row>
    <row r="860" spans="1:3" ht="15.5">
      <c r="A860" s="29">
        <v>43361</v>
      </c>
      <c r="B860" s="28">
        <v>1.625</v>
      </c>
      <c r="C860" s="28">
        <v>5873313493.125</v>
      </c>
    </row>
    <row r="861" spans="1:3" ht="15.5">
      <c r="A861" s="29">
        <v>43360</v>
      </c>
      <c r="B861" s="28">
        <v>1.61</v>
      </c>
      <c r="C861" s="28">
        <v>5819098291.6499996</v>
      </c>
    </row>
    <row r="862" spans="1:3" ht="15.5">
      <c r="A862" s="29">
        <v>43357</v>
      </c>
      <c r="B862" s="28">
        <v>1.59</v>
      </c>
      <c r="C862" s="28">
        <v>5746811356.3500004</v>
      </c>
    </row>
    <row r="863" spans="1:3" ht="15.5">
      <c r="A863" s="29">
        <v>43356</v>
      </c>
      <c r="B863" s="28">
        <v>1.59</v>
      </c>
      <c r="C863" s="28">
        <v>5746811356.3500004</v>
      </c>
    </row>
    <row r="864" spans="1:3" ht="15.5">
      <c r="A864" s="29">
        <v>43355</v>
      </c>
      <c r="B864" s="28">
        <v>1.6</v>
      </c>
      <c r="C864" s="28">
        <v>5782954824</v>
      </c>
    </row>
    <row r="865" spans="1:3" ht="15.5">
      <c r="A865" s="29">
        <v>43354</v>
      </c>
      <c r="B865" s="28">
        <v>1.625</v>
      </c>
      <c r="C865" s="28">
        <v>5873313493.125</v>
      </c>
    </row>
    <row r="866" spans="1:3" ht="15.5">
      <c r="A866" s="29">
        <v>43353</v>
      </c>
      <c r="B866" s="28">
        <v>1.625</v>
      </c>
      <c r="C866" s="28">
        <v>5873313493.125</v>
      </c>
    </row>
    <row r="867" spans="1:3" ht="15.5">
      <c r="A867" s="29">
        <v>43350</v>
      </c>
      <c r="B867" s="28">
        <v>1.62</v>
      </c>
      <c r="C867" s="28">
        <v>5855241759.3000002</v>
      </c>
    </row>
    <row r="868" spans="1:3" ht="15.5">
      <c r="A868" s="29">
        <v>43349</v>
      </c>
      <c r="B868" s="28">
        <v>1.605</v>
      </c>
      <c r="C868" s="28">
        <v>5801026557.8249998</v>
      </c>
    </row>
    <row r="869" spans="1:3" ht="15.5">
      <c r="A869" s="29">
        <v>43348</v>
      </c>
      <c r="B869" s="28">
        <v>1.615</v>
      </c>
      <c r="C869" s="28">
        <v>5837170025.4750004</v>
      </c>
    </row>
    <row r="870" spans="1:3" ht="15.5">
      <c r="A870" s="29">
        <v>43347</v>
      </c>
      <c r="B870" s="28">
        <v>1.615</v>
      </c>
      <c r="C870" s="28">
        <v>5837170025.4750004</v>
      </c>
    </row>
    <row r="871" spans="1:3" ht="15.5">
      <c r="A871" s="29">
        <v>43346</v>
      </c>
      <c r="B871" s="28">
        <v>1.62</v>
      </c>
      <c r="C871" s="28">
        <v>5855241759.3000002</v>
      </c>
    </row>
    <row r="872" spans="1:3" ht="15.5">
      <c r="A872" s="29">
        <v>43343</v>
      </c>
      <c r="B872" s="28">
        <v>1.645</v>
      </c>
      <c r="C872" s="28">
        <v>5945600428.4250002</v>
      </c>
    </row>
    <row r="873" spans="1:3" ht="15.5">
      <c r="A873" s="29">
        <v>43342</v>
      </c>
      <c r="B873" s="28">
        <v>1.635</v>
      </c>
      <c r="C873" s="28">
        <v>5909456960.7749996</v>
      </c>
    </row>
    <row r="874" spans="1:3" ht="15.5">
      <c r="A874" s="29">
        <v>43341</v>
      </c>
      <c r="B874" s="28">
        <v>1.645</v>
      </c>
      <c r="C874" s="28">
        <v>5945600428.4250002</v>
      </c>
    </row>
    <row r="875" spans="1:3" ht="15.5">
      <c r="A875" s="29">
        <v>43340</v>
      </c>
      <c r="B875" s="28">
        <v>1.645</v>
      </c>
      <c r="C875" s="28">
        <v>5945600428.4250002</v>
      </c>
    </row>
    <row r="876" spans="1:3" ht="15.5">
      <c r="A876" s="29">
        <v>43339</v>
      </c>
      <c r="B876" s="28">
        <v>1.61</v>
      </c>
      <c r="C876" s="28">
        <v>5819098291.6499996</v>
      </c>
    </row>
    <row r="877" spans="1:3" ht="15.5">
      <c r="A877" s="29">
        <v>43336</v>
      </c>
      <c r="B877" s="28">
        <v>1.605</v>
      </c>
      <c r="C877" s="28">
        <v>5801026557.8249998</v>
      </c>
    </row>
    <row r="878" spans="1:3" ht="15.5">
      <c r="A878" s="29">
        <v>43335</v>
      </c>
      <c r="B878" s="28">
        <v>1.61</v>
      </c>
      <c r="C878" s="28">
        <v>5819098291.6499996</v>
      </c>
    </row>
    <row r="879" spans="1:3" ht="15.5">
      <c r="A879" s="29">
        <v>43334</v>
      </c>
      <c r="B879" s="28">
        <v>1.61</v>
      </c>
      <c r="C879" s="28">
        <v>5819098291.6499996</v>
      </c>
    </row>
    <row r="880" spans="1:3" ht="15.5">
      <c r="A880" s="29">
        <v>43333</v>
      </c>
      <c r="B880" s="28">
        <v>1.63</v>
      </c>
      <c r="C880" s="28">
        <v>5891385226.9499998</v>
      </c>
    </row>
    <row r="881" spans="1:3" ht="15.5">
      <c r="A881" s="29">
        <v>43332</v>
      </c>
      <c r="B881" s="28">
        <v>1.635</v>
      </c>
      <c r="C881" s="28">
        <v>5909456960.7749996</v>
      </c>
    </row>
    <row r="882" spans="1:3" ht="15.5">
      <c r="A882" s="29">
        <v>43329</v>
      </c>
      <c r="B882" s="28">
        <v>1.615</v>
      </c>
      <c r="C882" s="28">
        <v>5837170025.4750004</v>
      </c>
    </row>
    <row r="883" spans="1:3" ht="15.5">
      <c r="A883" s="29">
        <v>43328</v>
      </c>
      <c r="B883" s="28">
        <v>1.61</v>
      </c>
      <c r="C883" s="28">
        <v>5819098291.6499996</v>
      </c>
    </row>
    <row r="884" spans="1:3" ht="15.5">
      <c r="A884" s="29">
        <v>43327</v>
      </c>
      <c r="B884" s="28">
        <v>1.625</v>
      </c>
      <c r="C884" s="28">
        <v>5873313493.125</v>
      </c>
    </row>
    <row r="885" spans="1:3" ht="15.5">
      <c r="A885" s="29">
        <v>43326</v>
      </c>
      <c r="B885" s="28">
        <v>1.605</v>
      </c>
      <c r="C885" s="28">
        <v>5801026557.8249998</v>
      </c>
    </row>
    <row r="886" spans="1:3" ht="15.5">
      <c r="A886" s="29">
        <v>43325</v>
      </c>
      <c r="B886" s="28">
        <v>1.595</v>
      </c>
      <c r="C886" s="28">
        <v>5764883090.1750002</v>
      </c>
    </row>
    <row r="887" spans="1:3" ht="15.5">
      <c r="A887" s="29">
        <v>43322</v>
      </c>
      <c r="B887" s="28">
        <v>1.585</v>
      </c>
      <c r="C887" s="28">
        <v>5728739622.5249996</v>
      </c>
    </row>
    <row r="888" spans="1:3" ht="15.5">
      <c r="A888" s="29">
        <v>43321</v>
      </c>
      <c r="B888" s="28">
        <v>1.58</v>
      </c>
      <c r="C888" s="28">
        <v>5710667888.6999998</v>
      </c>
    </row>
    <row r="889" spans="1:3" ht="15.5">
      <c r="A889" s="29">
        <v>43320</v>
      </c>
      <c r="B889" s="28">
        <v>1.595</v>
      </c>
      <c r="C889" s="28">
        <v>5764883090.1750002</v>
      </c>
    </row>
    <row r="890" spans="1:3" ht="15.5">
      <c r="A890" s="29">
        <v>43319</v>
      </c>
      <c r="B890" s="28">
        <v>1.625</v>
      </c>
      <c r="C890" s="28">
        <v>5873313493.125</v>
      </c>
    </row>
    <row r="891" spans="1:3" ht="15.5">
      <c r="A891" s="29">
        <v>43318</v>
      </c>
      <c r="B891" s="28">
        <v>1.63</v>
      </c>
      <c r="C891" s="28">
        <v>5891385226.9499998</v>
      </c>
    </row>
    <row r="892" spans="1:3" ht="15.5">
      <c r="A892" s="29">
        <v>43315</v>
      </c>
      <c r="B892" s="28">
        <v>1.62</v>
      </c>
      <c r="C892" s="28">
        <v>5855241759.3000002</v>
      </c>
    </row>
    <row r="893" spans="1:3" ht="15.5">
      <c r="A893" s="29">
        <v>43314</v>
      </c>
      <c r="B893" s="28">
        <v>1.625</v>
      </c>
      <c r="C893" s="28">
        <v>5873313493.125</v>
      </c>
    </row>
    <row r="894" spans="1:3" ht="15.5">
      <c r="A894" s="29">
        <v>43313</v>
      </c>
      <c r="B894" s="28">
        <v>1.625</v>
      </c>
      <c r="C894" s="28">
        <v>5873313493.125</v>
      </c>
    </row>
    <row r="895" spans="1:3" ht="15.5">
      <c r="A895" s="29">
        <v>43312</v>
      </c>
      <c r="B895" s="28">
        <v>1.63</v>
      </c>
      <c r="C895" s="28">
        <v>5891385226.9499998</v>
      </c>
    </row>
    <row r="896" spans="1:3" ht="15.5">
      <c r="A896" s="29">
        <v>43311</v>
      </c>
      <c r="B896" s="28">
        <v>1.62</v>
      </c>
      <c r="C896" s="28">
        <v>5855241759.3000002</v>
      </c>
    </row>
    <row r="897" spans="1:3" ht="15.5">
      <c r="A897" s="29">
        <v>43308</v>
      </c>
      <c r="B897" s="28">
        <v>1.62</v>
      </c>
      <c r="C897" s="28">
        <v>5855241759.3000002</v>
      </c>
    </row>
    <row r="898" spans="1:3" ht="15.5">
      <c r="A898" s="29">
        <v>43307</v>
      </c>
      <c r="B898" s="28">
        <v>1.58</v>
      </c>
      <c r="C898" s="28">
        <v>5710667888.6999998</v>
      </c>
    </row>
    <row r="899" spans="1:3" ht="15.5">
      <c r="A899" s="29">
        <v>43306</v>
      </c>
      <c r="B899" s="28">
        <v>1.58</v>
      </c>
      <c r="C899" s="28">
        <v>5710667888.6999998</v>
      </c>
    </row>
    <row r="900" spans="1:3" ht="15.5">
      <c r="A900" s="29">
        <v>43305</v>
      </c>
      <c r="B900" s="28">
        <v>1.6</v>
      </c>
      <c r="C900" s="28">
        <v>5782954824</v>
      </c>
    </row>
    <row r="901" spans="1:3" ht="15.5">
      <c r="A901" s="29">
        <v>43304</v>
      </c>
      <c r="B901" s="28">
        <v>1.595</v>
      </c>
      <c r="C901" s="28">
        <v>5764883090.1750002</v>
      </c>
    </row>
    <row r="902" spans="1:3" ht="15.5">
      <c r="A902" s="29">
        <v>43301</v>
      </c>
      <c r="B902" s="28">
        <v>1.62</v>
      </c>
      <c r="C902" s="28">
        <v>5855241759.3000002</v>
      </c>
    </row>
    <row r="903" spans="1:3" ht="15.5">
      <c r="A903" s="29">
        <v>43300</v>
      </c>
      <c r="B903" s="28">
        <v>1.615</v>
      </c>
      <c r="C903" s="28">
        <v>5837170025.4750004</v>
      </c>
    </row>
    <row r="904" spans="1:3" ht="15.5">
      <c r="A904" s="29">
        <v>43299</v>
      </c>
      <c r="B904" s="28">
        <v>1.605</v>
      </c>
      <c r="C904" s="28">
        <v>5801026557.8249998</v>
      </c>
    </row>
    <row r="905" spans="1:3" ht="15.5">
      <c r="A905" s="29">
        <v>43298</v>
      </c>
      <c r="B905" s="28">
        <v>1.59</v>
      </c>
      <c r="C905" s="28">
        <v>5746811356.3500004</v>
      </c>
    </row>
    <row r="906" spans="1:3" ht="15.5">
      <c r="A906" s="29">
        <v>43297</v>
      </c>
      <c r="B906" s="28">
        <v>1.605</v>
      </c>
      <c r="C906" s="28">
        <v>5801026557.8249998</v>
      </c>
    </row>
    <row r="907" spans="1:3" ht="15.5">
      <c r="A907" s="29">
        <v>43294</v>
      </c>
      <c r="B907" s="28">
        <v>1.59</v>
      </c>
      <c r="C907" s="28">
        <v>5746811356.3500004</v>
      </c>
    </row>
    <row r="908" spans="1:3" ht="15.5">
      <c r="A908" s="29">
        <v>43293</v>
      </c>
      <c r="B908" s="28">
        <v>1.57</v>
      </c>
      <c r="C908" s="28">
        <v>5674524421.0500002</v>
      </c>
    </row>
    <row r="909" spans="1:3" ht="15.5">
      <c r="A909" s="29">
        <v>43292</v>
      </c>
      <c r="B909" s="28">
        <v>1.58</v>
      </c>
      <c r="C909" s="28">
        <v>5710667888.6999998</v>
      </c>
    </row>
    <row r="910" spans="1:3" ht="15.5">
      <c r="A910" s="29">
        <v>43291</v>
      </c>
      <c r="B910" s="28">
        <v>1.635</v>
      </c>
      <c r="C910" s="28">
        <v>5909456960.7749996</v>
      </c>
    </row>
    <row r="911" spans="1:3" ht="15.5">
      <c r="A911" s="29">
        <v>43290</v>
      </c>
      <c r="B911" s="28">
        <v>1.675</v>
      </c>
      <c r="C911" s="28">
        <v>6054030831.375</v>
      </c>
    </row>
    <row r="912" spans="1:3" ht="15.5">
      <c r="A912" s="29">
        <v>43287</v>
      </c>
      <c r="B912" s="28">
        <v>1.6950000000000001</v>
      </c>
      <c r="C912" s="28">
        <v>6126317766.6750002</v>
      </c>
    </row>
    <row r="913" spans="1:3" ht="15.5">
      <c r="A913" s="29">
        <v>43286</v>
      </c>
      <c r="B913" s="28">
        <v>1.67</v>
      </c>
      <c r="C913" s="28">
        <v>6035959097.5500002</v>
      </c>
    </row>
    <row r="914" spans="1:3" ht="15.5">
      <c r="A914" s="29">
        <v>43285</v>
      </c>
      <c r="B914" s="28">
        <v>1.65</v>
      </c>
      <c r="C914" s="28">
        <v>5963672162.25</v>
      </c>
    </row>
    <row r="915" spans="1:3" ht="15.5">
      <c r="A915" s="29">
        <v>43284</v>
      </c>
      <c r="B915" s="28">
        <v>1.65</v>
      </c>
      <c r="C915" s="28">
        <v>5963672162.25</v>
      </c>
    </row>
    <row r="916" spans="1:3" ht="15.5">
      <c r="A916" s="29">
        <v>43283</v>
      </c>
      <c r="B916" s="28">
        <v>1.61</v>
      </c>
      <c r="C916" s="28">
        <v>5819098291.6499996</v>
      </c>
    </row>
    <row r="917" spans="1:3" ht="15.5">
      <c r="A917" s="29">
        <v>43280</v>
      </c>
      <c r="B917" s="28">
        <v>1.605</v>
      </c>
      <c r="C917" s="28">
        <v>5801026557.8249998</v>
      </c>
    </row>
    <row r="918" spans="1:3" ht="15.5">
      <c r="A918" s="29">
        <v>43279</v>
      </c>
      <c r="B918" s="28">
        <v>1.615</v>
      </c>
      <c r="C918" s="28">
        <v>5837170025.4750004</v>
      </c>
    </row>
    <row r="919" spans="1:3" ht="15.5">
      <c r="A919" s="29">
        <v>43278</v>
      </c>
      <c r="B919" s="28">
        <v>1.59</v>
      </c>
      <c r="C919" s="28">
        <v>5746811356.3500004</v>
      </c>
    </row>
    <row r="920" spans="1:3" ht="15.5">
      <c r="A920" s="29">
        <v>43277</v>
      </c>
      <c r="B920" s="28">
        <v>1.585</v>
      </c>
      <c r="C920" s="28">
        <v>5728739622.5249996</v>
      </c>
    </row>
    <row r="921" spans="1:3" ht="15.5">
      <c r="A921" s="29">
        <v>43276</v>
      </c>
      <c r="B921" s="28">
        <v>1.585</v>
      </c>
      <c r="C921" s="28">
        <v>5728739622.5249996</v>
      </c>
    </row>
    <row r="922" spans="1:3" ht="15.5">
      <c r="A922" s="29">
        <v>43273</v>
      </c>
      <c r="B922" s="28">
        <v>1.585</v>
      </c>
      <c r="C922" s="28">
        <v>5728739622.5249996</v>
      </c>
    </row>
    <row r="923" spans="1:3" ht="15.5">
      <c r="A923" s="29">
        <v>43272</v>
      </c>
      <c r="B923" s="28">
        <v>1.58</v>
      </c>
      <c r="C923" s="28">
        <v>5710667888.6999998</v>
      </c>
    </row>
    <row r="924" spans="1:3" ht="15.5">
      <c r="A924" s="29">
        <v>43271</v>
      </c>
      <c r="B924" s="28">
        <v>1.58</v>
      </c>
      <c r="C924" s="28">
        <v>5710667888.6999998</v>
      </c>
    </row>
    <row r="925" spans="1:3" ht="15.5">
      <c r="A925" s="29">
        <v>43270</v>
      </c>
      <c r="B925" s="28">
        <v>1.57</v>
      </c>
      <c r="C925" s="28">
        <v>5674524421.0500002</v>
      </c>
    </row>
    <row r="926" spans="1:3" ht="15.5">
      <c r="A926" s="29">
        <v>43269</v>
      </c>
      <c r="B926" s="28">
        <v>1.5649999999999999</v>
      </c>
      <c r="C926" s="28">
        <v>5656452687.2250004</v>
      </c>
    </row>
    <row r="927" spans="1:3" ht="15.5">
      <c r="A927" s="29">
        <v>43266</v>
      </c>
      <c r="B927" s="28">
        <v>1.6</v>
      </c>
      <c r="C927" s="28">
        <v>5782954824</v>
      </c>
    </row>
    <row r="928" spans="1:3" ht="15.5">
      <c r="A928" s="29">
        <v>43265</v>
      </c>
      <c r="B928" s="28">
        <v>1.5549999999999999</v>
      </c>
      <c r="C928" s="28">
        <v>5620309219.5749998</v>
      </c>
    </row>
    <row r="929" spans="1:3" ht="15.5">
      <c r="A929" s="29">
        <v>43264</v>
      </c>
      <c r="B929" s="28">
        <v>1.53</v>
      </c>
      <c r="C929" s="28">
        <v>5529950550.4499998</v>
      </c>
    </row>
    <row r="930" spans="1:3" ht="15.5">
      <c r="A930" s="29">
        <v>43263</v>
      </c>
      <c r="B930" s="28">
        <v>1.5149999999999999</v>
      </c>
      <c r="C930" s="28">
        <v>5475735348.9750004</v>
      </c>
    </row>
    <row r="931" spans="1:3" ht="15.5">
      <c r="A931" s="29">
        <v>43259</v>
      </c>
      <c r="B931" s="28">
        <v>1.54</v>
      </c>
      <c r="C931" s="28">
        <v>5566094018.1000004</v>
      </c>
    </row>
    <row r="932" spans="1:3" ht="15.5">
      <c r="A932" s="29">
        <v>43258</v>
      </c>
      <c r="B932" s="28">
        <v>1.56</v>
      </c>
      <c r="C932" s="28">
        <v>5638380953.3999996</v>
      </c>
    </row>
    <row r="933" spans="1:3" ht="15.5">
      <c r="A933" s="29">
        <v>43257</v>
      </c>
      <c r="B933" s="28">
        <v>1.575</v>
      </c>
      <c r="C933" s="28">
        <v>5692596154.875</v>
      </c>
    </row>
    <row r="934" spans="1:3" ht="15.5">
      <c r="A934" s="29">
        <v>43256</v>
      </c>
      <c r="B934" s="28">
        <v>1.55</v>
      </c>
      <c r="C934" s="28">
        <v>5602237485.75</v>
      </c>
    </row>
    <row r="935" spans="1:3" ht="15.5">
      <c r="A935" s="29">
        <v>43255</v>
      </c>
      <c r="B935" s="28">
        <v>1.585</v>
      </c>
      <c r="C935" s="28">
        <v>5728739622.5249996</v>
      </c>
    </row>
    <row r="936" spans="1:3" ht="15.5">
      <c r="A936" s="29">
        <v>43252</v>
      </c>
      <c r="B936" s="28">
        <v>1.61</v>
      </c>
      <c r="C936" s="28">
        <v>5819098291.6499996</v>
      </c>
    </row>
    <row r="937" spans="1:3" ht="15.5">
      <c r="A937" s="29">
        <v>43251</v>
      </c>
      <c r="B937" s="28">
        <v>1.625</v>
      </c>
      <c r="C937" s="28">
        <v>5873313493.125</v>
      </c>
    </row>
    <row r="938" spans="1:3" ht="15.5">
      <c r="A938" s="29">
        <v>43250</v>
      </c>
      <c r="B938" s="28">
        <v>1.62</v>
      </c>
      <c r="C938" s="28">
        <v>5855241759.3000002</v>
      </c>
    </row>
    <row r="939" spans="1:3" ht="15.5">
      <c r="A939" s="29">
        <v>43249</v>
      </c>
      <c r="B939" s="28">
        <v>1.62</v>
      </c>
      <c r="C939" s="28">
        <v>5855241759.3000002</v>
      </c>
    </row>
    <row r="940" spans="1:3" ht="15.5">
      <c r="A940" s="29">
        <v>43248</v>
      </c>
      <c r="B940" s="28">
        <v>1.615</v>
      </c>
      <c r="C940" s="28">
        <v>5837170025.4750004</v>
      </c>
    </row>
    <row r="941" spans="1:3" ht="15.5">
      <c r="A941" s="29">
        <v>43245</v>
      </c>
      <c r="B941" s="28">
        <v>1.61</v>
      </c>
      <c r="C941" s="28">
        <v>5819098291.6499996</v>
      </c>
    </row>
    <row r="942" spans="1:3" ht="15.5">
      <c r="A942" s="29">
        <v>43244</v>
      </c>
      <c r="B942" s="28">
        <v>1.605</v>
      </c>
      <c r="C942" s="28">
        <v>5801026557.8249998</v>
      </c>
    </row>
    <row r="943" spans="1:3" ht="15.5">
      <c r="A943" s="29">
        <v>43243</v>
      </c>
      <c r="B943" s="28">
        <v>1.605</v>
      </c>
      <c r="C943" s="28">
        <v>5801026557.8249998</v>
      </c>
    </row>
    <row r="944" spans="1:3" ht="15.5">
      <c r="A944" s="29">
        <v>43242</v>
      </c>
      <c r="B944" s="28">
        <v>1.61</v>
      </c>
      <c r="C944" s="28">
        <v>5819098291.6499996</v>
      </c>
    </row>
    <row r="945" spans="1:3" ht="15.5">
      <c r="A945" s="29">
        <v>43241</v>
      </c>
      <c r="B945" s="28">
        <v>1.655</v>
      </c>
      <c r="C945" s="28">
        <v>5981743896.0749998</v>
      </c>
    </row>
    <row r="946" spans="1:3" ht="15.5">
      <c r="A946" s="29">
        <v>43238</v>
      </c>
      <c r="B946" s="28">
        <v>1.65</v>
      </c>
      <c r="C946" s="28">
        <v>5963672162.25</v>
      </c>
    </row>
    <row r="947" spans="1:3" ht="15.5">
      <c r="A947" s="29">
        <v>43237</v>
      </c>
      <c r="B947" s="28">
        <v>1.645</v>
      </c>
      <c r="C947" s="28">
        <v>5945600428.4250002</v>
      </c>
    </row>
    <row r="948" spans="1:3" ht="15.5">
      <c r="A948" s="29">
        <v>43236</v>
      </c>
      <c r="B948" s="28">
        <v>1.6850000000000001</v>
      </c>
      <c r="C948" s="28">
        <v>6090174299.0249996</v>
      </c>
    </row>
    <row r="949" spans="1:3" ht="15.5">
      <c r="A949" s="29">
        <v>43235</v>
      </c>
      <c r="B949" s="28">
        <v>1.69</v>
      </c>
      <c r="C949" s="28">
        <v>6108246032.8500004</v>
      </c>
    </row>
    <row r="950" spans="1:3" ht="15.5">
      <c r="A950" s="29">
        <v>43234</v>
      </c>
      <c r="B950" s="28">
        <v>1.7150000000000001</v>
      </c>
      <c r="C950" s="28">
        <v>6198604701.9750004</v>
      </c>
    </row>
    <row r="951" spans="1:3" ht="15.5">
      <c r="A951" s="29">
        <v>43231</v>
      </c>
      <c r="B951" s="28">
        <v>1.7350000000000001</v>
      </c>
      <c r="C951" s="28">
        <v>6270891637.2749996</v>
      </c>
    </row>
    <row r="952" spans="1:3" ht="15.5">
      <c r="A952" s="29">
        <v>43230</v>
      </c>
      <c r="B952" s="28">
        <v>1.7350000000000001</v>
      </c>
      <c r="C952" s="28">
        <v>6270891637.2749996</v>
      </c>
    </row>
    <row r="953" spans="1:3" ht="15.5">
      <c r="A953" s="29">
        <v>43229</v>
      </c>
      <c r="B953" s="28">
        <v>1.75</v>
      </c>
      <c r="C953" s="28">
        <v>6325106838.75</v>
      </c>
    </row>
    <row r="954" spans="1:3" ht="15.5">
      <c r="A954" s="29">
        <v>43228</v>
      </c>
      <c r="B954" s="28">
        <v>1.76</v>
      </c>
      <c r="C954" s="28">
        <v>6361250306.3999996</v>
      </c>
    </row>
    <row r="955" spans="1:3" ht="15.5">
      <c r="A955" s="29">
        <v>43227</v>
      </c>
      <c r="B955" s="28">
        <v>1.7549999999999999</v>
      </c>
      <c r="C955" s="28">
        <v>6343178572.5749998</v>
      </c>
    </row>
    <row r="956" spans="1:3" ht="15.5">
      <c r="A956" s="29">
        <v>43224</v>
      </c>
      <c r="B956" s="28">
        <v>1.7450000000000001</v>
      </c>
      <c r="C956" s="28">
        <v>6307035104.9250002</v>
      </c>
    </row>
    <row r="957" spans="1:3" ht="15.5">
      <c r="A957" s="29">
        <v>43223</v>
      </c>
      <c r="B957" s="28">
        <v>1.77</v>
      </c>
      <c r="C957" s="28">
        <v>6397393774.0500002</v>
      </c>
    </row>
    <row r="958" spans="1:3" ht="15.5">
      <c r="A958" s="29">
        <v>43222</v>
      </c>
      <c r="B958" s="28">
        <v>1.7450000000000001</v>
      </c>
      <c r="C958" s="28">
        <v>6307035104.9250002</v>
      </c>
    </row>
    <row r="959" spans="1:3" ht="15.5">
      <c r="A959" s="29">
        <v>43221</v>
      </c>
      <c r="B959" s="28">
        <v>1.73</v>
      </c>
      <c r="C959" s="28">
        <v>6252819903.4499998</v>
      </c>
    </row>
    <row r="960" spans="1:3" ht="15.5">
      <c r="A960" s="29">
        <v>43220</v>
      </c>
      <c r="B960" s="28">
        <v>1.72</v>
      </c>
      <c r="C960" s="28">
        <v>6216676435.8000002</v>
      </c>
    </row>
    <row r="961" spans="1:3" ht="15.5">
      <c r="A961" s="29">
        <v>43217</v>
      </c>
      <c r="B961" s="28">
        <v>1.71</v>
      </c>
      <c r="C961" s="28">
        <v>6180532968.1499996</v>
      </c>
    </row>
    <row r="962" spans="1:3" ht="15.5">
      <c r="A962" s="29">
        <v>43216</v>
      </c>
      <c r="B962" s="28">
        <v>1.675</v>
      </c>
      <c r="C962" s="28">
        <v>6054030831.375</v>
      </c>
    </row>
    <row r="963" spans="1:3" ht="15.5">
      <c r="A963" s="29">
        <v>43214</v>
      </c>
      <c r="B963" s="28">
        <v>1.66</v>
      </c>
      <c r="C963" s="28">
        <v>5999815629.8999996</v>
      </c>
    </row>
    <row r="964" spans="1:3" ht="15.5">
      <c r="A964" s="29">
        <v>43213</v>
      </c>
      <c r="B964" s="28">
        <v>1.655</v>
      </c>
      <c r="C964" s="28">
        <v>5981743896.0749998</v>
      </c>
    </row>
    <row r="965" spans="1:3" ht="15.5">
      <c r="A965" s="29">
        <v>43210</v>
      </c>
      <c r="B965" s="28">
        <v>1.665</v>
      </c>
      <c r="C965" s="28">
        <v>6017887363.7250004</v>
      </c>
    </row>
    <row r="966" spans="1:3" ht="15.5">
      <c r="A966" s="29">
        <v>43209</v>
      </c>
      <c r="B966" s="28">
        <v>1.63</v>
      </c>
      <c r="C966" s="28">
        <v>5891385226.9499998</v>
      </c>
    </row>
    <row r="967" spans="1:3" ht="15.5">
      <c r="A967" s="29">
        <v>43208</v>
      </c>
      <c r="B967" s="28">
        <v>1.61</v>
      </c>
      <c r="C967" s="28">
        <v>5819098291.6499996</v>
      </c>
    </row>
    <row r="968" spans="1:3" ht="15.5">
      <c r="A968" s="29">
        <v>43207</v>
      </c>
      <c r="B968" s="28">
        <v>1.615</v>
      </c>
      <c r="C968" s="28">
        <v>5837170025.4750004</v>
      </c>
    </row>
    <row r="969" spans="1:3" ht="15.5">
      <c r="A969" s="29">
        <v>43206</v>
      </c>
      <c r="B969" s="28">
        <v>1.635</v>
      </c>
      <c r="C969" s="28">
        <v>5909456960.7749996</v>
      </c>
    </row>
    <row r="970" spans="1:3" ht="15.5">
      <c r="A970" s="29">
        <v>43203</v>
      </c>
      <c r="B970" s="28">
        <v>1.62</v>
      </c>
      <c r="C970" s="28">
        <v>5855241759.3000002</v>
      </c>
    </row>
    <row r="971" spans="1:3" ht="15.5">
      <c r="A971" s="29">
        <v>43202</v>
      </c>
      <c r="B971" s="28">
        <v>1.615</v>
      </c>
      <c r="C971" s="28">
        <v>5837170025.4750004</v>
      </c>
    </row>
    <row r="972" spans="1:3" ht="15.5">
      <c r="A972" s="29">
        <v>43201</v>
      </c>
      <c r="B972" s="28">
        <v>1.62</v>
      </c>
      <c r="C972" s="28">
        <v>5855241759.3000002</v>
      </c>
    </row>
    <row r="973" spans="1:3" ht="15.5">
      <c r="A973" s="29">
        <v>43200</v>
      </c>
      <c r="B973" s="28">
        <v>1.635</v>
      </c>
      <c r="C973" s="28">
        <v>5909456960.7749996</v>
      </c>
    </row>
    <row r="974" spans="1:3" ht="15.5">
      <c r="A974" s="29">
        <v>43199</v>
      </c>
      <c r="B974" s="28">
        <v>1.64</v>
      </c>
      <c r="C974" s="28">
        <v>5927528694.6000004</v>
      </c>
    </row>
    <row r="975" spans="1:3" ht="15.5">
      <c r="A975" s="29">
        <v>43196</v>
      </c>
      <c r="B975" s="28">
        <v>1.64</v>
      </c>
      <c r="C975" s="28">
        <v>5927528694.6000004</v>
      </c>
    </row>
    <row r="976" spans="1:3" ht="15.5">
      <c r="A976" s="29">
        <v>43195</v>
      </c>
      <c r="B976" s="28">
        <v>1.655</v>
      </c>
      <c r="C976" s="28">
        <v>5981743896.0749998</v>
      </c>
    </row>
    <row r="977" spans="1:3" ht="15.5">
      <c r="A977" s="29">
        <v>43194</v>
      </c>
      <c r="B977" s="28">
        <v>1.635</v>
      </c>
      <c r="C977" s="28">
        <v>5909456960.7749996</v>
      </c>
    </row>
    <row r="978" spans="1:3" ht="15.5">
      <c r="A978" s="29">
        <v>43193</v>
      </c>
      <c r="B978" s="28">
        <v>1.66</v>
      </c>
      <c r="C978" s="28">
        <v>5999815629.8999996</v>
      </c>
    </row>
    <row r="979" spans="1:3" ht="15.5">
      <c r="A979" s="29">
        <v>43188</v>
      </c>
      <c r="B979" s="28">
        <v>1.675</v>
      </c>
      <c r="C979" s="28">
        <v>6047368612.6750002</v>
      </c>
    </row>
    <row r="980" spans="1:3" ht="15.5">
      <c r="A980" s="29">
        <v>43187</v>
      </c>
      <c r="B980" s="28">
        <v>1.675</v>
      </c>
      <c r="C980" s="28">
        <v>6047368612.6750002</v>
      </c>
    </row>
    <row r="981" spans="1:3" ht="15.5">
      <c r="A981" s="29">
        <v>43186</v>
      </c>
      <c r="B981" s="28">
        <v>1.68</v>
      </c>
      <c r="C981" s="28">
        <v>6065420459.2799997</v>
      </c>
    </row>
    <row r="982" spans="1:3" ht="15.5">
      <c r="A982" s="29">
        <v>43185</v>
      </c>
      <c r="B982" s="28">
        <v>1.67</v>
      </c>
      <c r="C982" s="28">
        <v>6029316766.0699997</v>
      </c>
    </row>
    <row r="983" spans="1:3" ht="15.5">
      <c r="A983" s="29">
        <v>43182</v>
      </c>
      <c r="B983" s="28">
        <v>1.65</v>
      </c>
      <c r="C983" s="28">
        <v>5957109379.6499996</v>
      </c>
    </row>
    <row r="984" spans="1:3" ht="15.5">
      <c r="A984" s="29">
        <v>43181</v>
      </c>
      <c r="B984" s="28">
        <v>1.6950000000000001</v>
      </c>
      <c r="C984" s="28">
        <v>6119575999.0950003</v>
      </c>
    </row>
    <row r="985" spans="1:3" ht="15.5">
      <c r="A985" s="29">
        <v>43180</v>
      </c>
      <c r="B985" s="28">
        <v>1.7050000000000001</v>
      </c>
      <c r="C985" s="28">
        <v>6155679692.3050003</v>
      </c>
    </row>
    <row r="986" spans="1:3" ht="15.5">
      <c r="A986" s="29">
        <v>43179</v>
      </c>
      <c r="B986" s="28">
        <v>1.7250000000000001</v>
      </c>
      <c r="C986" s="28">
        <v>6227887078.7250004</v>
      </c>
    </row>
    <row r="987" spans="1:3" ht="15.5">
      <c r="A987" s="29">
        <v>43178</v>
      </c>
      <c r="B987" s="28">
        <v>1.72</v>
      </c>
      <c r="C987" s="28">
        <v>6209835232.1199999</v>
      </c>
    </row>
    <row r="988" spans="1:3" ht="15.5">
      <c r="A988" s="29">
        <v>43175</v>
      </c>
      <c r="B988" s="28">
        <v>1.665</v>
      </c>
      <c r="C988" s="28">
        <v>6011264919.4650002</v>
      </c>
    </row>
    <row r="989" spans="1:3" ht="15.5">
      <c r="A989" s="29">
        <v>43174</v>
      </c>
      <c r="B989" s="28">
        <v>1.63</v>
      </c>
      <c r="C989" s="28">
        <v>5884901993.2299995</v>
      </c>
    </row>
    <row r="990" spans="1:3" ht="15.5">
      <c r="A990" s="29">
        <v>43173</v>
      </c>
      <c r="B990" s="28">
        <v>1.665</v>
      </c>
      <c r="C990" s="28">
        <v>6011264919.4650002</v>
      </c>
    </row>
    <row r="991" spans="1:3" ht="15.5">
      <c r="A991" s="29">
        <v>43172</v>
      </c>
      <c r="B991" s="28">
        <v>1.68</v>
      </c>
      <c r="C991" s="28">
        <v>6065420459.2799997</v>
      </c>
    </row>
    <row r="992" spans="1:3" ht="15.5">
      <c r="A992" s="29">
        <v>43171</v>
      </c>
      <c r="B992" s="28">
        <v>1.66</v>
      </c>
      <c r="C992" s="28">
        <v>5993213072.8599997</v>
      </c>
    </row>
    <row r="993" spans="1:3" ht="15.5">
      <c r="A993" s="29">
        <v>43168</v>
      </c>
      <c r="B993" s="28">
        <v>1.675</v>
      </c>
      <c r="C993" s="28">
        <v>6047368612.6750002</v>
      </c>
    </row>
    <row r="994" spans="1:3" ht="15.5">
      <c r="A994" s="29">
        <v>43167</v>
      </c>
      <c r="B994" s="28">
        <v>1.665</v>
      </c>
      <c r="C994" s="28">
        <v>6011264919.4650002</v>
      </c>
    </row>
    <row r="995" spans="1:3" ht="15.5">
      <c r="A995" s="29">
        <v>43166</v>
      </c>
      <c r="B995" s="28">
        <v>1.635</v>
      </c>
      <c r="C995" s="28">
        <v>5902953839.835</v>
      </c>
    </row>
    <row r="996" spans="1:3" ht="15.5">
      <c r="A996" s="29">
        <v>43165</v>
      </c>
      <c r="B996" s="28">
        <v>1.655</v>
      </c>
      <c r="C996" s="28">
        <v>5975161226.2550001</v>
      </c>
    </row>
    <row r="997" spans="1:3" ht="15.5">
      <c r="A997" s="29">
        <v>43164</v>
      </c>
      <c r="B997" s="28">
        <v>1.61</v>
      </c>
      <c r="C997" s="28">
        <v>5812694606.8100004</v>
      </c>
    </row>
    <row r="998" spans="1:3" ht="15.5">
      <c r="A998" s="29">
        <v>43161</v>
      </c>
      <c r="B998" s="28">
        <v>1.635</v>
      </c>
      <c r="C998" s="28">
        <v>5902953839.835</v>
      </c>
    </row>
    <row r="999" spans="1:3" ht="15.5">
      <c r="A999" s="29">
        <v>43160</v>
      </c>
      <c r="B999" s="28">
        <v>1.645</v>
      </c>
      <c r="C999" s="28">
        <v>5939057533.0450001</v>
      </c>
    </row>
    <row r="1000" spans="1:3" ht="15.5">
      <c r="A1000" s="29">
        <v>43159</v>
      </c>
      <c r="B1000" s="28">
        <v>1.7</v>
      </c>
      <c r="C1000" s="28">
        <v>6137627845.6999998</v>
      </c>
    </row>
    <row r="1001" spans="1:3" ht="15.5">
      <c r="A1001" s="29">
        <v>43158</v>
      </c>
      <c r="B1001" s="28">
        <v>1.67</v>
      </c>
      <c r="C1001" s="28">
        <v>6029316766.0699997</v>
      </c>
    </row>
    <row r="1002" spans="1:3" ht="15.5">
      <c r="A1002" s="29">
        <v>43157</v>
      </c>
      <c r="B1002" s="28">
        <v>1.6850000000000001</v>
      </c>
      <c r="C1002" s="28">
        <v>6083472305.8850002</v>
      </c>
    </row>
    <row r="1003" spans="1:3" ht="15.5">
      <c r="A1003" s="29">
        <v>43154</v>
      </c>
      <c r="B1003" s="28">
        <v>1.665</v>
      </c>
      <c r="C1003" s="28">
        <v>6011264919.4650002</v>
      </c>
    </row>
    <row r="1004" spans="1:3" ht="15.5">
      <c r="A1004" s="29">
        <v>43153</v>
      </c>
      <c r="B1004" s="28">
        <v>1.63</v>
      </c>
      <c r="C1004" s="28">
        <v>5884901993.2299995</v>
      </c>
    </row>
    <row r="1005" spans="1:3" ht="15.5">
      <c r="A1005" s="29">
        <v>43152</v>
      </c>
      <c r="B1005" s="28">
        <v>1.645</v>
      </c>
      <c r="C1005" s="28">
        <v>5939057533.0450001</v>
      </c>
    </row>
    <row r="1006" spans="1:3" ht="15.5">
      <c r="A1006" s="29">
        <v>43151</v>
      </c>
      <c r="B1006" s="28">
        <v>1.68</v>
      </c>
      <c r="C1006" s="28">
        <v>6065420459.2799997</v>
      </c>
    </row>
    <row r="1007" spans="1:3" ht="15.5">
      <c r="A1007" s="29">
        <v>43150</v>
      </c>
      <c r="B1007" s="28">
        <v>1.68</v>
      </c>
      <c r="C1007" s="28">
        <v>6065420459.2799997</v>
      </c>
    </row>
    <row r="1008" spans="1:3" ht="15.5">
      <c r="A1008" s="29">
        <v>43147</v>
      </c>
      <c r="B1008" s="28">
        <v>1.64</v>
      </c>
      <c r="C1008" s="28">
        <v>5921005686.4399996</v>
      </c>
    </row>
    <row r="1009" spans="1:3" ht="15.5">
      <c r="A1009" s="29">
        <v>43146</v>
      </c>
      <c r="B1009" s="28">
        <v>1.62</v>
      </c>
      <c r="C1009" s="28">
        <v>5848798300.0200005</v>
      </c>
    </row>
    <row r="1010" spans="1:3" ht="15.5">
      <c r="A1010" s="29">
        <v>43145</v>
      </c>
      <c r="B1010" s="28">
        <v>1.575</v>
      </c>
      <c r="C1010" s="28">
        <v>5686331680.5749998</v>
      </c>
    </row>
    <row r="1011" spans="1:3" ht="15.5">
      <c r="A1011" s="29">
        <v>43144</v>
      </c>
      <c r="B1011" s="28">
        <v>1.61</v>
      </c>
      <c r="C1011" s="28">
        <v>5812694606.8100004</v>
      </c>
    </row>
    <row r="1012" spans="1:3" ht="15.5">
      <c r="A1012" s="29">
        <v>43143</v>
      </c>
      <c r="B1012" s="28">
        <v>1.585</v>
      </c>
      <c r="C1012" s="28">
        <v>5722435373.7849998</v>
      </c>
    </row>
    <row r="1013" spans="1:3" ht="15.5">
      <c r="A1013" s="29">
        <v>43140</v>
      </c>
      <c r="B1013" s="28">
        <v>1.625</v>
      </c>
      <c r="C1013" s="28">
        <v>5866850146.625</v>
      </c>
    </row>
    <row r="1014" spans="1:3" ht="15.5">
      <c r="A1014" s="29">
        <v>43139</v>
      </c>
      <c r="B1014" s="28">
        <v>1.615</v>
      </c>
      <c r="C1014" s="28">
        <v>5830746453.415</v>
      </c>
    </row>
    <row r="1015" spans="1:3" ht="15.5">
      <c r="A1015" s="29">
        <v>43138</v>
      </c>
      <c r="B1015" s="28">
        <v>1.615</v>
      </c>
      <c r="C1015" s="28">
        <v>5830746453.415</v>
      </c>
    </row>
    <row r="1016" spans="1:3" ht="15.5">
      <c r="A1016" s="29">
        <v>43137</v>
      </c>
      <c r="B1016" s="28">
        <v>1.62</v>
      </c>
      <c r="C1016" s="28">
        <v>5848798300.0200005</v>
      </c>
    </row>
    <row r="1017" spans="1:3" ht="15.5">
      <c r="A1017" s="29">
        <v>43136</v>
      </c>
      <c r="B1017" s="28">
        <v>1.6850000000000001</v>
      </c>
      <c r="C1017" s="28">
        <v>6083472305.8850002</v>
      </c>
    </row>
    <row r="1018" spans="1:3" ht="15.5">
      <c r="A1018" s="29">
        <v>43133</v>
      </c>
      <c r="B1018" s="28">
        <v>1.7050000000000001</v>
      </c>
      <c r="C1018" s="28">
        <v>6155679692.3050003</v>
      </c>
    </row>
    <row r="1019" spans="1:3" ht="15.5">
      <c r="A1019" s="29">
        <v>43132</v>
      </c>
      <c r="B1019" s="28">
        <v>1.7</v>
      </c>
      <c r="C1019" s="28">
        <v>6137627845.6999998</v>
      </c>
    </row>
    <row r="1020" spans="1:3" ht="15.5">
      <c r="A1020" s="29">
        <v>43131</v>
      </c>
      <c r="B1020" s="28">
        <v>1.6950000000000001</v>
      </c>
      <c r="C1020" s="28">
        <v>6119575999.0950003</v>
      </c>
    </row>
    <row r="1021" spans="1:3" ht="15.5">
      <c r="A1021" s="29">
        <v>43130</v>
      </c>
      <c r="B1021" s="28">
        <v>1.665</v>
      </c>
      <c r="C1021" s="28">
        <v>6011264919.4650002</v>
      </c>
    </row>
    <row r="1022" spans="1:3" ht="15.5">
      <c r="A1022" s="29">
        <v>43129</v>
      </c>
      <c r="B1022" s="28">
        <v>1.69</v>
      </c>
      <c r="C1022" s="28">
        <v>6101524152.4899998</v>
      </c>
    </row>
    <row r="1023" spans="1:3" ht="15.5">
      <c r="A1023" s="29">
        <v>43125</v>
      </c>
      <c r="B1023" s="28">
        <v>1.675</v>
      </c>
      <c r="C1023" s="28">
        <v>6047368612.6750002</v>
      </c>
    </row>
    <row r="1024" spans="1:3" ht="15.5">
      <c r="A1024" s="29">
        <v>43124</v>
      </c>
      <c r="B1024" s="28">
        <v>1.7150000000000001</v>
      </c>
      <c r="C1024" s="28">
        <v>6191783385.5150003</v>
      </c>
    </row>
    <row r="1025" spans="1:3" ht="15.5">
      <c r="A1025" s="29">
        <v>43123</v>
      </c>
      <c r="B1025" s="28">
        <v>1.7050000000000001</v>
      </c>
      <c r="C1025" s="28">
        <v>6155679692.3050003</v>
      </c>
    </row>
    <row r="1026" spans="1:3" ht="15.5">
      <c r="A1026" s="29">
        <v>43122</v>
      </c>
      <c r="B1026" s="28">
        <v>1.7150000000000001</v>
      </c>
      <c r="C1026" s="28">
        <v>6191783385.5150003</v>
      </c>
    </row>
    <row r="1027" spans="1:3" ht="15.5">
      <c r="A1027" s="29">
        <v>43119</v>
      </c>
      <c r="B1027" s="28">
        <v>1.7</v>
      </c>
      <c r="C1027" s="28">
        <v>6137627845.6999998</v>
      </c>
    </row>
    <row r="1028" spans="1:3" ht="15.5">
      <c r="A1028" s="29">
        <v>43118</v>
      </c>
      <c r="B1028" s="28">
        <v>1.7250000000000001</v>
      </c>
      <c r="C1028" s="28">
        <v>6227887078.7250004</v>
      </c>
    </row>
    <row r="1029" spans="1:3" ht="15.5">
      <c r="A1029" s="29">
        <v>43117</v>
      </c>
      <c r="B1029" s="28">
        <v>1.71</v>
      </c>
      <c r="C1029" s="28">
        <v>6173731538.9099998</v>
      </c>
    </row>
    <row r="1030" spans="1:3" ht="15.5">
      <c r="A1030" s="29">
        <v>43116</v>
      </c>
      <c r="B1030" s="28">
        <v>1.7</v>
      </c>
      <c r="C1030" s="28">
        <v>6137627845.6999998</v>
      </c>
    </row>
    <row r="1031" spans="1:3" ht="15.5">
      <c r="A1031" s="29">
        <v>43115</v>
      </c>
      <c r="B1031" s="28">
        <v>1.7350000000000001</v>
      </c>
      <c r="C1031" s="28">
        <v>6263990771.9350004</v>
      </c>
    </row>
    <row r="1032" spans="1:3" ht="15.5">
      <c r="A1032" s="29">
        <v>43112</v>
      </c>
      <c r="B1032" s="28">
        <v>1.7250000000000001</v>
      </c>
      <c r="C1032" s="28">
        <v>6227887078.7250004</v>
      </c>
    </row>
    <row r="1033" spans="1:3" ht="15.5">
      <c r="A1033" s="29">
        <v>43111</v>
      </c>
      <c r="B1033" s="28">
        <v>1.76</v>
      </c>
      <c r="C1033" s="28">
        <v>6354250004.96</v>
      </c>
    </row>
    <row r="1034" spans="1:3" ht="15.5">
      <c r="A1034" s="29">
        <v>43110</v>
      </c>
      <c r="B1034" s="28">
        <v>1.76</v>
      </c>
      <c r="C1034" s="28">
        <v>6354250004.96</v>
      </c>
    </row>
    <row r="1035" spans="1:3" ht="15.5">
      <c r="A1035" s="29">
        <v>43109</v>
      </c>
      <c r="B1035" s="28">
        <v>1.7749999999999999</v>
      </c>
      <c r="C1035" s="28">
        <v>6408405544.7749996</v>
      </c>
    </row>
    <row r="1036" spans="1:3" ht="15.5">
      <c r="A1036" s="29">
        <v>43108</v>
      </c>
      <c r="B1036" s="28">
        <v>1.7849999999999999</v>
      </c>
      <c r="C1036" s="28">
        <v>6444509237.9849997</v>
      </c>
    </row>
    <row r="1037" spans="1:3" ht="15.5">
      <c r="A1037" s="29">
        <v>43105</v>
      </c>
      <c r="B1037" s="28">
        <v>1.77</v>
      </c>
      <c r="C1037" s="28">
        <v>6390353698.1700001</v>
      </c>
    </row>
    <row r="1038" spans="1:3" ht="15.5">
      <c r="A1038" s="29">
        <v>43104</v>
      </c>
      <c r="B1038" s="28">
        <v>1.7849999999999999</v>
      </c>
      <c r="C1038" s="28">
        <v>6444509237.9849997</v>
      </c>
    </row>
    <row r="1039" spans="1:3" ht="15.5">
      <c r="A1039" s="29">
        <v>43103</v>
      </c>
      <c r="B1039" s="28">
        <v>1.79</v>
      </c>
      <c r="C1039" s="28">
        <v>6462561084.5900002</v>
      </c>
    </row>
    <row r="1040" spans="1:3" ht="15.5">
      <c r="A1040" s="29">
        <v>43102</v>
      </c>
      <c r="B1040" s="28">
        <v>1.8049999999999999</v>
      </c>
      <c r="C1040" s="28">
        <v>6516716624.4049997</v>
      </c>
    </row>
    <row r="1041" spans="1:3" ht="15.5">
      <c r="A1041" s="29">
        <v>43098</v>
      </c>
      <c r="B1041" s="28">
        <v>1.8049999999999999</v>
      </c>
      <c r="C1041" s="28">
        <v>6516716624.4049997</v>
      </c>
    </row>
    <row r="1042" spans="1:3" ht="15.5">
      <c r="A1042" s="29">
        <v>43097</v>
      </c>
      <c r="B1042" s="28">
        <v>1.8149999999999999</v>
      </c>
      <c r="C1042" s="28">
        <v>6552820317.6149998</v>
      </c>
    </row>
    <row r="1043" spans="1:3" ht="15.5">
      <c r="A1043" s="29">
        <v>43096</v>
      </c>
      <c r="B1043" s="28">
        <v>1.8149999999999999</v>
      </c>
      <c r="C1043" s="28">
        <v>6552820317.6149998</v>
      </c>
    </row>
    <row r="1044" spans="1:3" ht="15.5">
      <c r="A1044" s="29">
        <v>43091</v>
      </c>
      <c r="B1044" s="28">
        <v>1.8</v>
      </c>
      <c r="C1044" s="28">
        <v>6498664777.8000002</v>
      </c>
    </row>
    <row r="1045" spans="1:3" ht="15.5">
      <c r="A1045" s="29">
        <v>43090</v>
      </c>
      <c r="B1045" s="28">
        <v>1.8149999999999999</v>
      </c>
      <c r="C1045" s="28">
        <v>6552820317.6149998</v>
      </c>
    </row>
    <row r="1046" spans="1:3" ht="15.5">
      <c r="A1046" s="29">
        <v>43089</v>
      </c>
      <c r="B1046" s="28">
        <v>1.82</v>
      </c>
      <c r="C1046" s="28">
        <v>6570872164.2200003</v>
      </c>
    </row>
    <row r="1047" spans="1:3" ht="15.5">
      <c r="A1047" s="29">
        <v>43088</v>
      </c>
      <c r="B1047" s="28">
        <v>1.86</v>
      </c>
      <c r="C1047" s="28">
        <v>6715286937.0600004</v>
      </c>
    </row>
    <row r="1048" spans="1:3" ht="15.5">
      <c r="A1048" s="29">
        <v>43087</v>
      </c>
      <c r="B1048" s="28">
        <v>1.86</v>
      </c>
      <c r="C1048" s="28">
        <v>6715286937.0600004</v>
      </c>
    </row>
    <row r="1049" spans="1:3" ht="15.5">
      <c r="A1049" s="29">
        <v>43084</v>
      </c>
      <c r="B1049" s="28">
        <v>1.855</v>
      </c>
      <c r="C1049" s="28">
        <v>6697235090.4549999</v>
      </c>
    </row>
    <row r="1050" spans="1:3" ht="15.5">
      <c r="A1050" s="29">
        <v>43083</v>
      </c>
      <c r="B1050" s="28">
        <v>1.875</v>
      </c>
      <c r="C1050" s="28">
        <v>6769442476.875</v>
      </c>
    </row>
    <row r="1051" spans="1:3" ht="15.5">
      <c r="A1051" s="29">
        <v>43082</v>
      </c>
      <c r="B1051" s="28">
        <v>1.9</v>
      </c>
      <c r="C1051" s="28">
        <v>6859701709.8999996</v>
      </c>
    </row>
    <row r="1052" spans="1:3" ht="15.5">
      <c r="A1052" s="29">
        <v>43081</v>
      </c>
      <c r="B1052" s="28">
        <v>1.925</v>
      </c>
      <c r="C1052" s="28">
        <v>6949960942.9250002</v>
      </c>
    </row>
    <row r="1053" spans="1:3" ht="15.5">
      <c r="A1053" s="29">
        <v>43080</v>
      </c>
      <c r="B1053" s="28">
        <v>1.925</v>
      </c>
      <c r="C1053" s="28">
        <v>6949960942.9250002</v>
      </c>
    </row>
    <row r="1054" spans="1:3" ht="15.5">
      <c r="A1054" s="29">
        <v>43077</v>
      </c>
      <c r="B1054" s="28">
        <v>1.925</v>
      </c>
      <c r="C1054" s="28">
        <v>6949960942.9250002</v>
      </c>
    </row>
    <row r="1055" spans="1:3" ht="15.5">
      <c r="A1055" s="29">
        <v>43076</v>
      </c>
      <c r="B1055" s="28">
        <v>1.925</v>
      </c>
      <c r="C1055" s="28">
        <v>6949960942.9250002</v>
      </c>
    </row>
    <row r="1056" spans="1:3" ht="15.5">
      <c r="A1056" s="29">
        <v>43075</v>
      </c>
      <c r="B1056" s="28">
        <v>1.925</v>
      </c>
      <c r="C1056" s="28">
        <v>6949960942.9250002</v>
      </c>
    </row>
    <row r="1057" spans="1:3" ht="15.5">
      <c r="A1057" s="29">
        <v>43074</v>
      </c>
      <c r="B1057" s="28">
        <v>1.9</v>
      </c>
      <c r="C1057" s="28">
        <v>6859701709.8999996</v>
      </c>
    </row>
    <row r="1058" spans="1:3" ht="15.5">
      <c r="A1058" s="29">
        <v>43073</v>
      </c>
      <c r="B1058" s="28">
        <v>1.88</v>
      </c>
      <c r="C1058" s="28">
        <v>6787494323.4799995</v>
      </c>
    </row>
    <row r="1059" spans="1:3" ht="15.5">
      <c r="A1059" s="29">
        <v>43070</v>
      </c>
      <c r="B1059" s="28">
        <v>1.875</v>
      </c>
      <c r="C1059" s="28">
        <v>6769442476.875</v>
      </c>
    </row>
    <row r="1060" spans="1:3" ht="15.5">
      <c r="A1060" s="29">
        <v>43069</v>
      </c>
      <c r="B1060" s="28">
        <v>1.875</v>
      </c>
      <c r="C1060" s="28">
        <v>6769442476.875</v>
      </c>
    </row>
    <row r="1061" spans="1:3" ht="15.5">
      <c r="A1061" s="29">
        <v>43068</v>
      </c>
      <c r="B1061" s="28">
        <v>1.86</v>
      </c>
      <c r="C1061" s="28">
        <v>6715286937.0600004</v>
      </c>
    </row>
    <row r="1062" spans="1:3" ht="15.5">
      <c r="A1062" s="29">
        <v>43067</v>
      </c>
      <c r="B1062" s="28">
        <v>1.855</v>
      </c>
      <c r="C1062" s="28">
        <v>6697235090.4549999</v>
      </c>
    </row>
    <row r="1063" spans="1:3" ht="15.5">
      <c r="A1063" s="29">
        <v>43066</v>
      </c>
      <c r="B1063" s="28">
        <v>1.82</v>
      </c>
      <c r="C1063" s="28">
        <v>6570872164.2200003</v>
      </c>
    </row>
    <row r="1064" spans="1:3" ht="15.5">
      <c r="A1064" s="29">
        <v>43063</v>
      </c>
      <c r="B1064" s="28">
        <v>1.8149999999999999</v>
      </c>
      <c r="C1064" s="28">
        <v>6552820317.6149998</v>
      </c>
    </row>
    <row r="1065" spans="1:3" ht="15.5">
      <c r="A1065" s="29">
        <v>43062</v>
      </c>
      <c r="B1065" s="28">
        <v>1.825</v>
      </c>
      <c r="C1065" s="28">
        <v>6588924010.8249998</v>
      </c>
    </row>
    <row r="1066" spans="1:3" ht="15.5">
      <c r="A1066" s="29">
        <v>43061</v>
      </c>
      <c r="B1066" s="28">
        <v>1.845</v>
      </c>
      <c r="C1066" s="28">
        <v>6661131397.2449999</v>
      </c>
    </row>
    <row r="1067" spans="1:3" ht="15.5">
      <c r="A1067" s="29">
        <v>43060</v>
      </c>
      <c r="B1067" s="28">
        <v>1.8149999999999999</v>
      </c>
      <c r="C1067" s="28">
        <v>6552820317.6149998</v>
      </c>
    </row>
    <row r="1068" spans="1:3" ht="15.5">
      <c r="A1068" s="29">
        <v>43059</v>
      </c>
      <c r="B1068" s="28">
        <v>1.7849999999999999</v>
      </c>
      <c r="C1068" s="28">
        <v>6444509237.9849997</v>
      </c>
    </row>
    <row r="1069" spans="1:3" ht="15.5">
      <c r="A1069" s="29">
        <v>43056</v>
      </c>
      <c r="B1069" s="28">
        <v>1.845</v>
      </c>
      <c r="C1069" s="28">
        <v>6661131397.2449999</v>
      </c>
    </row>
    <row r="1070" spans="1:3" ht="15.5">
      <c r="A1070" s="29">
        <v>43055</v>
      </c>
      <c r="B1070" s="28">
        <v>1.855</v>
      </c>
      <c r="C1070" s="28">
        <v>6697235090.4549999</v>
      </c>
    </row>
    <row r="1071" spans="1:3" ht="15.5">
      <c r="A1071" s="29">
        <v>43054</v>
      </c>
      <c r="B1071" s="28">
        <v>1.85</v>
      </c>
      <c r="C1071" s="28">
        <v>6679183243.8500004</v>
      </c>
    </row>
    <row r="1072" spans="1:3" ht="15.5">
      <c r="A1072" s="29">
        <v>43053</v>
      </c>
      <c r="B1072" s="28">
        <v>1.855</v>
      </c>
      <c r="C1072" s="28">
        <v>6697235090.4549999</v>
      </c>
    </row>
    <row r="1073" spans="1:3" ht="15.5">
      <c r="A1073" s="29">
        <v>43052</v>
      </c>
      <c r="B1073" s="28">
        <v>1.855</v>
      </c>
      <c r="C1073" s="28">
        <v>6697235090.4549999</v>
      </c>
    </row>
    <row r="1074" spans="1:3" ht="15.5">
      <c r="A1074" s="29">
        <v>43049</v>
      </c>
      <c r="B1074" s="28">
        <v>1.83</v>
      </c>
      <c r="C1074" s="28">
        <v>6606975857.4300003</v>
      </c>
    </row>
    <row r="1075" spans="1:3" ht="15.5">
      <c r="A1075" s="29">
        <v>43048</v>
      </c>
      <c r="B1075" s="28">
        <v>1.835</v>
      </c>
      <c r="C1075" s="28">
        <v>6625027704.0349998</v>
      </c>
    </row>
    <row r="1076" spans="1:3" ht="15.5">
      <c r="A1076" s="29">
        <v>43047</v>
      </c>
      <c r="B1076" s="28">
        <v>1.82</v>
      </c>
      <c r="C1076" s="28">
        <v>6570872164.2200003</v>
      </c>
    </row>
    <row r="1077" spans="1:3" ht="15.5">
      <c r="A1077" s="29">
        <v>43046</v>
      </c>
      <c r="B1077" s="28">
        <v>1.7849999999999999</v>
      </c>
      <c r="C1077" s="28">
        <v>6444509237.9849997</v>
      </c>
    </row>
    <row r="1078" spans="1:3" ht="15.5">
      <c r="A1078" s="29">
        <v>43045</v>
      </c>
      <c r="B1078" s="28">
        <v>1.79</v>
      </c>
      <c r="C1078" s="28">
        <v>6462561084.5900002</v>
      </c>
    </row>
    <row r="1079" spans="1:3" ht="15.5">
      <c r="A1079" s="29">
        <v>43042</v>
      </c>
      <c r="B1079" s="28">
        <v>1.7949999999999999</v>
      </c>
      <c r="C1079" s="28">
        <v>6480612931.1949997</v>
      </c>
    </row>
    <row r="1080" spans="1:3" ht="15.5">
      <c r="A1080" s="29">
        <v>43041</v>
      </c>
      <c r="B1080" s="28">
        <v>1.78</v>
      </c>
      <c r="C1080" s="28">
        <v>6426457391.3800001</v>
      </c>
    </row>
    <row r="1081" spans="1:3" ht="15.5">
      <c r="A1081" s="29">
        <v>43040</v>
      </c>
      <c r="B1081" s="28">
        <v>1.7849999999999999</v>
      </c>
      <c r="C1081" s="28">
        <v>6444509237.9849997</v>
      </c>
    </row>
    <row r="1082" spans="1:3" ht="15.5">
      <c r="A1082" s="29">
        <v>43039</v>
      </c>
      <c r="B1082" s="28">
        <v>1.77</v>
      </c>
      <c r="C1082" s="28">
        <v>6390353698.1700001</v>
      </c>
    </row>
    <row r="1083" spans="1:3" ht="15.5">
      <c r="A1083" s="29">
        <v>43038</v>
      </c>
      <c r="B1083" s="28">
        <v>1.77</v>
      </c>
      <c r="C1083" s="28">
        <v>6390353698.1700001</v>
      </c>
    </row>
    <row r="1084" spans="1:3" ht="15.5">
      <c r="A1084" s="29">
        <v>43035</v>
      </c>
      <c r="B1084" s="28">
        <v>1.77</v>
      </c>
      <c r="C1084" s="28">
        <v>6390353698.1700001</v>
      </c>
    </row>
    <row r="1085" spans="1:3" ht="15.5">
      <c r="A1085" s="29">
        <v>43034</v>
      </c>
      <c r="B1085" s="28">
        <v>1.76</v>
      </c>
      <c r="C1085" s="28">
        <v>6354250004.96</v>
      </c>
    </row>
    <row r="1086" spans="1:3" ht="15.5">
      <c r="A1086" s="29">
        <v>43033</v>
      </c>
      <c r="B1086" s="28">
        <v>1.7649999999999999</v>
      </c>
      <c r="C1086" s="28">
        <v>6372301851.5649996</v>
      </c>
    </row>
    <row r="1087" spans="1:3" ht="15.5">
      <c r="A1087" s="29">
        <v>43032</v>
      </c>
      <c r="B1087" s="28">
        <v>1.76</v>
      </c>
      <c r="C1087" s="28">
        <v>6354250004.96</v>
      </c>
    </row>
    <row r="1088" spans="1:3" ht="15.5">
      <c r="A1088" s="29">
        <v>43031</v>
      </c>
      <c r="B1088" s="28">
        <v>1.74</v>
      </c>
      <c r="C1088" s="28">
        <v>6282042618.54</v>
      </c>
    </row>
    <row r="1089" spans="1:3" ht="15.5">
      <c r="A1089" s="29">
        <v>43028</v>
      </c>
      <c r="B1089" s="28">
        <v>1.7549999999999999</v>
      </c>
      <c r="C1089" s="28">
        <v>6336198158.3549995</v>
      </c>
    </row>
    <row r="1090" spans="1:3" ht="15.5">
      <c r="A1090" s="29">
        <v>43027</v>
      </c>
      <c r="B1090" s="28">
        <v>1.7350000000000001</v>
      </c>
      <c r="C1090" s="28">
        <v>6263990771.9350004</v>
      </c>
    </row>
    <row r="1091" spans="1:3" ht="15.5">
      <c r="A1091" s="29">
        <v>43026</v>
      </c>
      <c r="B1091" s="28">
        <v>1.73</v>
      </c>
      <c r="C1091" s="28">
        <v>6245938925.3299999</v>
      </c>
    </row>
    <row r="1092" spans="1:3" ht="15.5">
      <c r="A1092" s="29">
        <v>43025</v>
      </c>
      <c r="B1092" s="28">
        <v>1.73</v>
      </c>
      <c r="C1092" s="28">
        <v>6245938925.3299999</v>
      </c>
    </row>
    <row r="1093" spans="1:3" ht="15.5">
      <c r="A1093" s="29">
        <v>43024</v>
      </c>
      <c r="B1093" s="28">
        <v>1.73</v>
      </c>
      <c r="C1093" s="28">
        <v>6245938925.3299999</v>
      </c>
    </row>
    <row r="1094" spans="1:3" ht="15.5">
      <c r="A1094" s="29">
        <v>43021</v>
      </c>
      <c r="B1094" s="28">
        <v>1.73</v>
      </c>
      <c r="C1094" s="28">
        <v>6245938925.3299999</v>
      </c>
    </row>
    <row r="1095" spans="1:3" ht="15.5">
      <c r="A1095" s="29">
        <v>43020</v>
      </c>
      <c r="B1095" s="28">
        <v>1.71</v>
      </c>
      <c r="C1095" s="28">
        <v>6173731538.9099998</v>
      </c>
    </row>
    <row r="1096" spans="1:3" ht="15.5">
      <c r="A1096" s="29">
        <v>43019</v>
      </c>
      <c r="B1096" s="28">
        <v>1.6950000000000001</v>
      </c>
      <c r="C1096" s="28">
        <v>6119575999.0950003</v>
      </c>
    </row>
    <row r="1097" spans="1:3" ht="15.5">
      <c r="A1097" s="29">
        <v>43018</v>
      </c>
      <c r="B1097" s="28">
        <v>1.68</v>
      </c>
      <c r="C1097" s="28">
        <v>6065420459.2799997</v>
      </c>
    </row>
    <row r="1098" spans="1:3" ht="15.5">
      <c r="A1098" s="29">
        <v>43017</v>
      </c>
      <c r="B1098" s="28">
        <v>1.68</v>
      </c>
      <c r="C1098" s="28">
        <v>6065420459.2799997</v>
      </c>
    </row>
    <row r="1099" spans="1:3" ht="15.5">
      <c r="A1099" s="29">
        <v>43014</v>
      </c>
      <c r="B1099" s="28">
        <v>1.68</v>
      </c>
      <c r="C1099" s="28">
        <v>6065420459.2799997</v>
      </c>
    </row>
    <row r="1100" spans="1:3" ht="15.5">
      <c r="A1100" s="29">
        <v>43013</v>
      </c>
      <c r="B1100" s="28">
        <v>1.675</v>
      </c>
      <c r="C1100" s="28">
        <v>6047368612.6750002</v>
      </c>
    </row>
    <row r="1101" spans="1:3" ht="15.5">
      <c r="A1101" s="29">
        <v>43012</v>
      </c>
      <c r="B1101" s="28">
        <v>1.66</v>
      </c>
      <c r="C1101" s="28">
        <v>5993213072.8599997</v>
      </c>
    </row>
    <row r="1102" spans="1:3" ht="15.5">
      <c r="A1102" s="29">
        <v>43011</v>
      </c>
      <c r="B1102" s="28">
        <v>1.69</v>
      </c>
      <c r="C1102" s="28">
        <v>6101524152.4899998</v>
      </c>
    </row>
    <row r="1103" spans="1:3" ht="15.5">
      <c r="A1103" s="29">
        <v>43010</v>
      </c>
      <c r="B1103" s="28">
        <v>1.7</v>
      </c>
      <c r="C1103" s="28">
        <v>6137627845.6999998</v>
      </c>
    </row>
    <row r="1104" spans="1:3" ht="15.5">
      <c r="A1104" s="29">
        <v>43007</v>
      </c>
      <c r="B1104" s="28">
        <v>1.69</v>
      </c>
      <c r="C1104" s="28">
        <v>6089331970.2799997</v>
      </c>
    </row>
    <row r="1105" spans="1:3" ht="15.5">
      <c r="A1105" s="29">
        <v>43006</v>
      </c>
      <c r="B1105" s="28">
        <v>1.68</v>
      </c>
      <c r="C1105" s="28">
        <v>6053300420.1599998</v>
      </c>
    </row>
    <row r="1106" spans="1:3" ht="15.5">
      <c r="A1106" s="29">
        <v>43005</v>
      </c>
      <c r="B1106" s="28">
        <v>1.67</v>
      </c>
      <c r="C1106" s="28">
        <v>6017268870.04</v>
      </c>
    </row>
    <row r="1107" spans="1:3" ht="15.5">
      <c r="A1107" s="29">
        <v>43004</v>
      </c>
      <c r="B1107" s="28">
        <v>1.67</v>
      </c>
      <c r="C1107" s="28">
        <v>6017268870.04</v>
      </c>
    </row>
    <row r="1108" spans="1:3" ht="15.5">
      <c r="A1108" s="29">
        <v>43003</v>
      </c>
      <c r="B1108" s="28">
        <v>1.675</v>
      </c>
      <c r="C1108" s="28">
        <v>6035284645.1000004</v>
      </c>
    </row>
    <row r="1109" spans="1:3" ht="15.5">
      <c r="A1109" s="29">
        <v>43000</v>
      </c>
      <c r="B1109" s="28">
        <v>1.675</v>
      </c>
      <c r="C1109" s="28">
        <v>6035284645.1000004</v>
      </c>
    </row>
    <row r="1110" spans="1:3" ht="15.5">
      <c r="A1110" s="29">
        <v>42999</v>
      </c>
      <c r="B1110" s="28">
        <v>1.665</v>
      </c>
      <c r="C1110" s="28">
        <v>5999253094.9799995</v>
      </c>
    </row>
    <row r="1111" spans="1:3" ht="15.5">
      <c r="A1111" s="29">
        <v>42998</v>
      </c>
      <c r="B1111" s="28">
        <v>1.7</v>
      </c>
      <c r="C1111" s="28">
        <v>6125363520.3999996</v>
      </c>
    </row>
    <row r="1112" spans="1:3" ht="15.5">
      <c r="A1112" s="29">
        <v>42997</v>
      </c>
      <c r="B1112" s="28">
        <v>1.69</v>
      </c>
      <c r="C1112" s="28">
        <v>6089331970.2799997</v>
      </c>
    </row>
    <row r="1113" spans="1:3" ht="15.5">
      <c r="A1113" s="29">
        <v>42996</v>
      </c>
      <c r="B1113" s="28">
        <v>1.69</v>
      </c>
      <c r="C1113" s="28">
        <v>6089331970.2799997</v>
      </c>
    </row>
    <row r="1114" spans="1:3" ht="15.5">
      <c r="A1114" s="29">
        <v>42993</v>
      </c>
      <c r="B1114" s="28">
        <v>1.67</v>
      </c>
      <c r="C1114" s="28">
        <v>6017268870.04</v>
      </c>
    </row>
    <row r="1115" spans="1:3" ht="15.5">
      <c r="A1115" s="29">
        <v>42992</v>
      </c>
      <c r="B1115" s="28">
        <v>1.72</v>
      </c>
      <c r="C1115" s="28">
        <v>6197426620.6400003</v>
      </c>
    </row>
    <row r="1116" spans="1:3" ht="15.5">
      <c r="A1116" s="29">
        <v>42991</v>
      </c>
      <c r="B1116" s="28">
        <v>1.73</v>
      </c>
      <c r="C1116" s="28">
        <v>6233458170.7600002</v>
      </c>
    </row>
    <row r="1117" spans="1:3" ht="15.5">
      <c r="A1117" s="29">
        <v>42990</v>
      </c>
      <c r="B1117" s="28">
        <v>1.7350000000000001</v>
      </c>
      <c r="C1117" s="28">
        <v>6251473945.8199997</v>
      </c>
    </row>
    <row r="1118" spans="1:3" ht="15.5">
      <c r="A1118" s="29">
        <v>42989</v>
      </c>
      <c r="B1118" s="28">
        <v>1.7350000000000001</v>
      </c>
      <c r="C1118" s="28">
        <v>6251473945.8199997</v>
      </c>
    </row>
    <row r="1119" spans="1:3" ht="15.5">
      <c r="A1119" s="29">
        <v>42986</v>
      </c>
      <c r="B1119" s="28">
        <v>1.73</v>
      </c>
      <c r="C1119" s="28">
        <v>6233458170.7600002</v>
      </c>
    </row>
    <row r="1120" spans="1:3" ht="15.5">
      <c r="A1120" s="29">
        <v>42985</v>
      </c>
      <c r="B1120" s="28">
        <v>1.73</v>
      </c>
      <c r="C1120" s="28">
        <v>6233458170.7600002</v>
      </c>
    </row>
    <row r="1121" spans="1:3" ht="15.5">
      <c r="A1121" s="29">
        <v>42984</v>
      </c>
      <c r="B1121" s="28">
        <v>1.71</v>
      </c>
      <c r="C1121" s="28">
        <v>6161395070.5200005</v>
      </c>
    </row>
    <row r="1122" spans="1:3" ht="15.5">
      <c r="A1122" s="29">
        <v>42983</v>
      </c>
      <c r="B1122" s="28">
        <v>1.7250000000000001</v>
      </c>
      <c r="C1122" s="28">
        <v>6215442395.6999998</v>
      </c>
    </row>
    <row r="1123" spans="1:3" ht="15.5">
      <c r="A1123" s="29">
        <v>42982</v>
      </c>
      <c r="B1123" s="28">
        <v>1.72</v>
      </c>
      <c r="C1123" s="28">
        <v>6197426620.6400003</v>
      </c>
    </row>
    <row r="1124" spans="1:3" ht="15.5">
      <c r="A1124" s="29">
        <v>42979</v>
      </c>
      <c r="B1124" s="28">
        <v>1.7450000000000001</v>
      </c>
      <c r="C1124" s="28">
        <v>6287505495.9399996</v>
      </c>
    </row>
    <row r="1125" spans="1:3" ht="15.5">
      <c r="A1125" s="29">
        <v>42978</v>
      </c>
      <c r="B1125" s="28">
        <v>1.74</v>
      </c>
      <c r="C1125" s="28">
        <v>6269489720.8800001</v>
      </c>
    </row>
    <row r="1126" spans="1:3" ht="15.5">
      <c r="A1126" s="29">
        <v>42977</v>
      </c>
      <c r="B1126" s="28">
        <v>1.7</v>
      </c>
      <c r="C1126" s="28">
        <v>6125363520.3999996</v>
      </c>
    </row>
    <row r="1127" spans="1:3" ht="15.5">
      <c r="A1127" s="29">
        <v>42976</v>
      </c>
      <c r="B1127" s="28">
        <v>1.72</v>
      </c>
      <c r="C1127" s="28">
        <v>6197426620.6400003</v>
      </c>
    </row>
    <row r="1128" spans="1:3" ht="15.5">
      <c r="A1128" s="29">
        <v>42975</v>
      </c>
      <c r="B1128" s="28">
        <v>1.72</v>
      </c>
      <c r="C1128" s="28">
        <v>6197426620.6400003</v>
      </c>
    </row>
    <row r="1129" spans="1:3" ht="15.5">
      <c r="A1129" s="29">
        <v>42972</v>
      </c>
      <c r="B1129" s="28">
        <v>1.7150000000000001</v>
      </c>
      <c r="C1129" s="28">
        <v>6179410845.5799999</v>
      </c>
    </row>
    <row r="1130" spans="1:3" ht="15.5">
      <c r="A1130" s="29">
        <v>42971</v>
      </c>
      <c r="B1130" s="28">
        <v>1.71</v>
      </c>
      <c r="C1130" s="28">
        <v>6161395070.5200005</v>
      </c>
    </row>
    <row r="1131" spans="1:3" ht="15.5">
      <c r="A1131" s="29">
        <v>42970</v>
      </c>
      <c r="B1131" s="28">
        <v>1.7050000000000001</v>
      </c>
      <c r="C1131" s="28">
        <v>6143379295.46</v>
      </c>
    </row>
    <row r="1132" spans="1:3" ht="15.5">
      <c r="A1132" s="29">
        <v>42969</v>
      </c>
      <c r="B1132" s="28">
        <v>1.7050000000000001</v>
      </c>
      <c r="C1132" s="28">
        <v>6143379295.46</v>
      </c>
    </row>
    <row r="1133" spans="1:3" ht="15.5">
      <c r="A1133" s="29">
        <v>42968</v>
      </c>
      <c r="B1133" s="28">
        <v>1.6950000000000001</v>
      </c>
      <c r="C1133" s="28">
        <v>6107347745.3400002</v>
      </c>
    </row>
    <row r="1134" spans="1:3" ht="15.5">
      <c r="A1134" s="29">
        <v>42965</v>
      </c>
      <c r="B1134" s="28">
        <v>1.7</v>
      </c>
      <c r="C1134" s="28">
        <v>6125363520.3999996</v>
      </c>
    </row>
    <row r="1135" spans="1:3" ht="15.5">
      <c r="A1135" s="29">
        <v>42964</v>
      </c>
      <c r="B1135" s="28">
        <v>1.69</v>
      </c>
      <c r="C1135" s="28">
        <v>6089331970.2799997</v>
      </c>
    </row>
    <row r="1136" spans="1:3" ht="15.5">
      <c r="A1136" s="29">
        <v>42963</v>
      </c>
      <c r="B1136" s="28">
        <v>1.6850000000000001</v>
      </c>
      <c r="C1136" s="28">
        <v>6071316195.2200003</v>
      </c>
    </row>
    <row r="1137" spans="1:3" ht="15.5">
      <c r="A1137" s="29">
        <v>42962</v>
      </c>
      <c r="B1137" s="28">
        <v>1.67</v>
      </c>
      <c r="C1137" s="28">
        <v>6017268870.04</v>
      </c>
    </row>
    <row r="1138" spans="1:3" ht="15.5">
      <c r="A1138" s="29">
        <v>42961</v>
      </c>
      <c r="B1138" s="28">
        <v>1.655</v>
      </c>
      <c r="C1138" s="28">
        <v>5963221544.8599997</v>
      </c>
    </row>
    <row r="1139" spans="1:3" ht="15.5">
      <c r="A1139" s="29">
        <v>42958</v>
      </c>
      <c r="B1139" s="28">
        <v>1.65</v>
      </c>
      <c r="C1139" s="28">
        <v>5945205769.8000002</v>
      </c>
    </row>
    <row r="1140" spans="1:3" ht="15.5">
      <c r="A1140" s="29">
        <v>42957</v>
      </c>
      <c r="B1140" s="28">
        <v>1.64</v>
      </c>
      <c r="C1140" s="28">
        <v>5909174219.6800003</v>
      </c>
    </row>
    <row r="1141" spans="1:3" ht="15.5">
      <c r="A1141" s="29">
        <v>42956</v>
      </c>
      <c r="B1141" s="28">
        <v>1.63</v>
      </c>
      <c r="C1141" s="28">
        <v>5873142669.5600004</v>
      </c>
    </row>
    <row r="1142" spans="1:3" ht="15.5">
      <c r="A1142" s="29">
        <v>42955</v>
      </c>
      <c r="B1142" s="28">
        <v>1.64</v>
      </c>
      <c r="C1142" s="28">
        <v>5909174219.6800003</v>
      </c>
    </row>
    <row r="1143" spans="1:3" ht="15.5">
      <c r="A1143" s="29">
        <v>42954</v>
      </c>
      <c r="B1143" s="28">
        <v>1.65</v>
      </c>
      <c r="C1143" s="28">
        <v>5945205769.8000002</v>
      </c>
    </row>
    <row r="1144" spans="1:3" ht="15.5">
      <c r="A1144" s="29">
        <v>42951</v>
      </c>
      <c r="B1144" s="28">
        <v>1.65</v>
      </c>
      <c r="C1144" s="28">
        <v>5945205769.8000002</v>
      </c>
    </row>
    <row r="1145" spans="1:3" ht="15.5">
      <c r="A1145" s="29">
        <v>42950</v>
      </c>
      <c r="B1145" s="28">
        <v>1.645</v>
      </c>
      <c r="C1145" s="28">
        <v>5927189994.7399998</v>
      </c>
    </row>
    <row r="1146" spans="1:3" ht="15.5">
      <c r="A1146" s="29">
        <v>42949</v>
      </c>
      <c r="B1146" s="28">
        <v>1.64</v>
      </c>
      <c r="C1146" s="28">
        <v>5909174219.6800003</v>
      </c>
    </row>
    <row r="1147" spans="1:3" ht="15.5">
      <c r="A1147" s="29">
        <v>42948</v>
      </c>
      <c r="B1147" s="28">
        <v>1.66</v>
      </c>
      <c r="C1147" s="28">
        <v>5981237319.9200001</v>
      </c>
    </row>
    <row r="1148" spans="1:3" ht="15.5">
      <c r="A1148" s="29">
        <v>42947</v>
      </c>
      <c r="B1148" s="28">
        <v>1.635</v>
      </c>
      <c r="C1148" s="28">
        <v>5891158444.6199999</v>
      </c>
    </row>
    <row r="1149" spans="1:3" ht="15.5">
      <c r="A1149" s="29">
        <v>42944</v>
      </c>
      <c r="B1149" s="28">
        <v>1.62</v>
      </c>
      <c r="C1149" s="28">
        <v>5837111119.4399996</v>
      </c>
    </row>
    <row r="1150" spans="1:3" ht="15.5">
      <c r="A1150" s="29">
        <v>42943</v>
      </c>
      <c r="B1150" s="28">
        <v>1.655</v>
      </c>
      <c r="C1150" s="28">
        <v>5963221544.8599997</v>
      </c>
    </row>
    <row r="1151" spans="1:3" ht="15.5">
      <c r="A1151" s="29">
        <v>42942</v>
      </c>
      <c r="B1151" s="28">
        <v>1.665</v>
      </c>
      <c r="C1151" s="28">
        <v>5999253094.9799995</v>
      </c>
    </row>
    <row r="1152" spans="1:3" ht="15.5">
      <c r="A1152" s="29">
        <v>42941</v>
      </c>
      <c r="B1152" s="28">
        <v>1.68</v>
      </c>
      <c r="C1152" s="28">
        <v>6053300420.1599998</v>
      </c>
    </row>
    <row r="1153" spans="1:3" ht="15.5">
      <c r="A1153" s="29">
        <v>42940</v>
      </c>
      <c r="B1153" s="28">
        <v>1.675</v>
      </c>
      <c r="C1153" s="28">
        <v>6035284645.1000004</v>
      </c>
    </row>
    <row r="1154" spans="1:3" ht="15.5">
      <c r="A1154" s="29">
        <v>42937</v>
      </c>
      <c r="B1154" s="28">
        <v>1.6850000000000001</v>
      </c>
      <c r="C1154" s="28">
        <v>6071316195.2200003</v>
      </c>
    </row>
    <row r="1155" spans="1:3" ht="15.5">
      <c r="A1155" s="29">
        <v>42936</v>
      </c>
      <c r="B1155" s="28">
        <v>1.7</v>
      </c>
      <c r="C1155" s="28">
        <v>6125363520.3999996</v>
      </c>
    </row>
    <row r="1156" spans="1:3" ht="15.5">
      <c r="A1156" s="29">
        <v>42935</v>
      </c>
      <c r="B1156" s="28">
        <v>1.7</v>
      </c>
      <c r="C1156" s="28">
        <v>6125363520.3999996</v>
      </c>
    </row>
    <row r="1157" spans="1:3" ht="15.5">
      <c r="A1157" s="29">
        <v>42934</v>
      </c>
      <c r="B1157" s="28">
        <v>1.6850000000000001</v>
      </c>
      <c r="C1157" s="28">
        <v>6071316195.2200003</v>
      </c>
    </row>
    <row r="1158" spans="1:3" ht="15.5">
      <c r="A1158" s="29">
        <v>42933</v>
      </c>
      <c r="B1158" s="28">
        <v>1.69</v>
      </c>
      <c r="C1158" s="28">
        <v>6089331970.2799997</v>
      </c>
    </row>
    <row r="1159" spans="1:3" ht="15.5">
      <c r="A1159" s="29">
        <v>42930</v>
      </c>
      <c r="B1159" s="28">
        <v>1.7</v>
      </c>
      <c r="C1159" s="28">
        <v>6125363520.3999996</v>
      </c>
    </row>
    <row r="1160" spans="1:3" ht="15.5">
      <c r="A1160" s="29">
        <v>42929</v>
      </c>
      <c r="B1160" s="28">
        <v>1.6950000000000001</v>
      </c>
      <c r="C1160" s="28">
        <v>6107347745.3400002</v>
      </c>
    </row>
    <row r="1161" spans="1:3" ht="15.5">
      <c r="A1161" s="29">
        <v>42928</v>
      </c>
      <c r="B1161" s="28">
        <v>1.67</v>
      </c>
      <c r="C1161" s="28">
        <v>6017268870.04</v>
      </c>
    </row>
    <row r="1162" spans="1:3" ht="15.5">
      <c r="A1162" s="29">
        <v>42927</v>
      </c>
      <c r="B1162" s="28">
        <v>1.69</v>
      </c>
      <c r="C1162" s="28">
        <v>6089331970.2799997</v>
      </c>
    </row>
    <row r="1163" spans="1:3" ht="15.5">
      <c r="A1163" s="29">
        <v>42926</v>
      </c>
      <c r="B1163" s="28">
        <v>1.68</v>
      </c>
      <c r="C1163" s="28">
        <v>6053300420.1599998</v>
      </c>
    </row>
    <row r="1164" spans="1:3" ht="15.5">
      <c r="A1164" s="29">
        <v>42923</v>
      </c>
      <c r="B1164" s="28">
        <v>1.675</v>
      </c>
      <c r="C1164" s="28">
        <v>6035284645.1000004</v>
      </c>
    </row>
    <row r="1165" spans="1:3" ht="15.5">
      <c r="A1165" s="29">
        <v>42922</v>
      </c>
      <c r="B1165" s="28">
        <v>1.7</v>
      </c>
      <c r="C1165" s="28">
        <v>6125363520.3999996</v>
      </c>
    </row>
    <row r="1166" spans="1:3" ht="15.5">
      <c r="A1166" s="29">
        <v>42921</v>
      </c>
      <c r="B1166" s="28">
        <v>1.7050000000000001</v>
      </c>
      <c r="C1166" s="28">
        <v>6143379295.46</v>
      </c>
    </row>
    <row r="1167" spans="1:3" ht="15.5">
      <c r="A1167" s="29">
        <v>42920</v>
      </c>
      <c r="B1167" s="28">
        <v>1.71</v>
      </c>
      <c r="C1167" s="28">
        <v>6161395070.5200005</v>
      </c>
    </row>
    <row r="1168" spans="1:3" ht="15.5">
      <c r="A1168" s="29">
        <v>42919</v>
      </c>
      <c r="B1168" s="28">
        <v>1.6950000000000001</v>
      </c>
      <c r="C1168" s="28">
        <v>6107347745.3400002</v>
      </c>
    </row>
    <row r="1169" spans="1:3" ht="15.5">
      <c r="A1169" s="29">
        <v>42916</v>
      </c>
      <c r="B1169" s="28">
        <v>1.7350000000000001</v>
      </c>
      <c r="C1169" s="28">
        <v>6251473945.8199997</v>
      </c>
    </row>
    <row r="1170" spans="1:3" ht="15.5">
      <c r="A1170" s="29">
        <v>42915</v>
      </c>
      <c r="B1170" s="28">
        <v>1.78</v>
      </c>
      <c r="C1170" s="28">
        <v>6413615921.3599997</v>
      </c>
    </row>
    <row r="1171" spans="1:3" ht="15.5">
      <c r="A1171" s="29">
        <v>42914</v>
      </c>
      <c r="B1171" s="28">
        <v>1.76</v>
      </c>
      <c r="C1171" s="28">
        <v>6341552821.1199999</v>
      </c>
    </row>
    <row r="1172" spans="1:3" ht="15.5">
      <c r="A1172" s="29">
        <v>42913</v>
      </c>
      <c r="B1172" s="28">
        <v>1.7150000000000001</v>
      </c>
      <c r="C1172" s="28">
        <v>6179410845.5799999</v>
      </c>
    </row>
    <row r="1173" spans="1:3" ht="15.5">
      <c r="A1173" s="29">
        <v>42912</v>
      </c>
      <c r="B1173" s="28">
        <v>1.7250000000000001</v>
      </c>
      <c r="C1173" s="28">
        <v>6215442395.6999998</v>
      </c>
    </row>
    <row r="1174" spans="1:3" ht="15.5">
      <c r="A1174" s="29">
        <v>42909</v>
      </c>
      <c r="B1174" s="28">
        <v>1.7250000000000001</v>
      </c>
      <c r="C1174" s="28">
        <v>6215442395.6999998</v>
      </c>
    </row>
    <row r="1175" spans="1:3" ht="15.5">
      <c r="A1175" s="29">
        <v>42908</v>
      </c>
      <c r="B1175" s="28">
        <v>1.72</v>
      </c>
      <c r="C1175" s="28">
        <v>6197426620.6400003</v>
      </c>
    </row>
    <row r="1176" spans="1:3" ht="15.5">
      <c r="A1176" s="29">
        <v>42907</v>
      </c>
      <c r="B1176" s="28">
        <v>1.7150000000000001</v>
      </c>
      <c r="C1176" s="28">
        <v>6179410845.5799999</v>
      </c>
    </row>
    <row r="1177" spans="1:3" ht="15.5">
      <c r="A1177" s="29">
        <v>42906</v>
      </c>
      <c r="B1177" s="28">
        <v>1.7450000000000001</v>
      </c>
      <c r="C1177" s="28">
        <v>6287505495.9399996</v>
      </c>
    </row>
    <row r="1178" spans="1:3" ht="15.5">
      <c r="A1178" s="29">
        <v>42905</v>
      </c>
      <c r="B1178" s="28">
        <v>1.7649999999999999</v>
      </c>
      <c r="C1178" s="28">
        <v>6359568596.1800003</v>
      </c>
    </row>
    <row r="1179" spans="1:3" ht="15.5">
      <c r="A1179" s="29">
        <v>42902</v>
      </c>
      <c r="B1179" s="28">
        <v>1.7549999999999999</v>
      </c>
      <c r="C1179" s="28">
        <v>6323537046.0600004</v>
      </c>
    </row>
    <row r="1180" spans="1:3" ht="15.5">
      <c r="A1180" s="29">
        <v>42901</v>
      </c>
      <c r="B1180" s="28">
        <v>1.7250000000000001</v>
      </c>
      <c r="C1180" s="28">
        <v>6215442395.6999998</v>
      </c>
    </row>
    <row r="1181" spans="1:3" ht="15.5">
      <c r="A1181" s="29">
        <v>42900</v>
      </c>
      <c r="B1181" s="28">
        <v>1.71</v>
      </c>
      <c r="C1181" s="28">
        <v>6161395070.5200005</v>
      </c>
    </row>
    <row r="1182" spans="1:3" ht="15.5">
      <c r="A1182" s="29">
        <v>42899</v>
      </c>
      <c r="B1182" s="28">
        <v>1.69</v>
      </c>
      <c r="C1182" s="28">
        <v>6089331970.2799997</v>
      </c>
    </row>
    <row r="1183" spans="1:3" ht="15.5">
      <c r="A1183" s="29">
        <v>42895</v>
      </c>
      <c r="B1183" s="28">
        <v>1.67</v>
      </c>
      <c r="C1183" s="28">
        <v>6017268870.04</v>
      </c>
    </row>
    <row r="1184" spans="1:3" ht="15.5">
      <c r="A1184" s="29">
        <v>42894</v>
      </c>
      <c r="B1184" s="28">
        <v>1.675</v>
      </c>
      <c r="C1184" s="28">
        <v>6035284645.1000004</v>
      </c>
    </row>
    <row r="1185" spans="1:3" ht="15.5">
      <c r="A1185" s="29">
        <v>42893</v>
      </c>
      <c r="B1185" s="28">
        <v>1.68</v>
      </c>
      <c r="C1185" s="28">
        <v>6053300420.1599998</v>
      </c>
    </row>
    <row r="1186" spans="1:3" ht="15.5">
      <c r="A1186" s="29">
        <v>42892</v>
      </c>
      <c r="B1186" s="28">
        <v>1.68</v>
      </c>
      <c r="C1186" s="28">
        <v>6053300420.1599998</v>
      </c>
    </row>
    <row r="1187" spans="1:3" ht="15.5">
      <c r="A1187" s="29">
        <v>42888</v>
      </c>
      <c r="B1187" s="28">
        <v>1.7</v>
      </c>
      <c r="C1187" s="28">
        <v>6125363520.3999996</v>
      </c>
    </row>
    <row r="1188" spans="1:3" ht="15.5">
      <c r="A1188" s="29">
        <v>42887</v>
      </c>
      <c r="B1188" s="28">
        <v>1.7</v>
      </c>
      <c r="C1188" s="28">
        <v>6125363520.3999996</v>
      </c>
    </row>
    <row r="1189" spans="1:3" ht="15.5">
      <c r="A1189" s="29">
        <v>42886</v>
      </c>
      <c r="B1189" s="28">
        <v>1.6950000000000001</v>
      </c>
      <c r="C1189" s="28">
        <v>6107347745.3400002</v>
      </c>
    </row>
    <row r="1190" spans="1:3" ht="15.5">
      <c r="A1190" s="29">
        <v>42885</v>
      </c>
      <c r="B1190" s="28">
        <v>1.7</v>
      </c>
      <c r="C1190" s="28">
        <v>6125363520.3999996</v>
      </c>
    </row>
    <row r="1191" spans="1:3" ht="15.5">
      <c r="A1191" s="29">
        <v>42884</v>
      </c>
      <c r="B1191" s="28">
        <v>1.7050000000000001</v>
      </c>
      <c r="C1191" s="28">
        <v>6143379295.46</v>
      </c>
    </row>
    <row r="1192" spans="1:3" ht="15.5">
      <c r="A1192" s="29">
        <v>42881</v>
      </c>
      <c r="B1192" s="28">
        <v>1.73</v>
      </c>
      <c r="C1192" s="28">
        <v>6233458170.7600002</v>
      </c>
    </row>
    <row r="1193" spans="1:3" ht="15.5">
      <c r="A1193" s="29">
        <v>42880</v>
      </c>
      <c r="B1193" s="28">
        <v>1.7250000000000001</v>
      </c>
      <c r="C1193" s="28">
        <v>6215442395.6999998</v>
      </c>
    </row>
    <row r="1194" spans="1:3" ht="15.5">
      <c r="A1194" s="29">
        <v>42879</v>
      </c>
      <c r="B1194" s="28">
        <v>1.72</v>
      </c>
      <c r="C1194" s="28">
        <v>6197426620.6400003</v>
      </c>
    </row>
    <row r="1195" spans="1:3" ht="15.5">
      <c r="A1195" s="29">
        <v>42878</v>
      </c>
      <c r="B1195" s="28">
        <v>1.76</v>
      </c>
      <c r="C1195" s="28">
        <v>6377584371.2399998</v>
      </c>
    </row>
    <row r="1196" spans="1:3" ht="15.5">
      <c r="A1196" s="29">
        <v>42877</v>
      </c>
      <c r="B1196" s="28">
        <v>1.7549999999999999</v>
      </c>
      <c r="C1196" s="28">
        <v>6359568596.1800003</v>
      </c>
    </row>
    <row r="1197" spans="1:3" ht="15.5">
      <c r="A1197" s="29">
        <v>42874</v>
      </c>
      <c r="B1197" s="28">
        <v>1.7401</v>
      </c>
      <c r="C1197" s="28">
        <v>6305521271</v>
      </c>
    </row>
    <row r="1198" spans="1:3" ht="15.5">
      <c r="A1198" s="29">
        <v>42873</v>
      </c>
      <c r="B1198" s="28">
        <v>1.7501</v>
      </c>
      <c r="C1198" s="28">
        <v>6341552821.1199999</v>
      </c>
    </row>
    <row r="1199" spans="1:3" ht="15.5">
      <c r="A1199" s="29">
        <v>42872</v>
      </c>
      <c r="B1199" s="28">
        <v>1.7202</v>
      </c>
      <c r="C1199" s="28">
        <v>6233458170.7600002</v>
      </c>
    </row>
    <row r="1200" spans="1:3" ht="15.5">
      <c r="A1200" s="29">
        <v>42871</v>
      </c>
      <c r="B1200" s="28">
        <v>1.7451000000000001</v>
      </c>
      <c r="C1200" s="28">
        <v>6323537046.0600004</v>
      </c>
    </row>
    <row r="1201" spans="1:3" ht="15.5">
      <c r="A1201" s="29">
        <v>42870</v>
      </c>
      <c r="B1201" s="28">
        <v>1.7451000000000001</v>
      </c>
      <c r="C1201" s="28">
        <v>6323537046.0600004</v>
      </c>
    </row>
    <row r="1202" spans="1:3" ht="15.5">
      <c r="A1202" s="29">
        <v>42867</v>
      </c>
      <c r="B1202" s="28">
        <v>1.7252000000000001</v>
      </c>
      <c r="C1202" s="28">
        <v>6251473945.8199997</v>
      </c>
    </row>
    <row r="1203" spans="1:3" ht="15.5">
      <c r="A1203" s="29">
        <v>42866</v>
      </c>
      <c r="B1203" s="28">
        <v>1.7351000000000001</v>
      </c>
      <c r="C1203" s="28">
        <v>6287505495.9399996</v>
      </c>
    </row>
    <row r="1204" spans="1:3" ht="15.5">
      <c r="A1204" s="29">
        <v>42865</v>
      </c>
      <c r="B1204" s="28">
        <v>1.7549999999999999</v>
      </c>
      <c r="C1204" s="28">
        <v>6359568596.1800003</v>
      </c>
    </row>
    <row r="1205" spans="1:3" ht="15.5">
      <c r="A1205" s="29">
        <v>42864</v>
      </c>
      <c r="B1205" s="28">
        <v>1.7451000000000001</v>
      </c>
      <c r="C1205" s="28">
        <v>6323537046.0600004</v>
      </c>
    </row>
    <row r="1206" spans="1:3" ht="15.5">
      <c r="A1206" s="29">
        <v>42863</v>
      </c>
      <c r="B1206" s="28">
        <v>1.7302</v>
      </c>
      <c r="C1206" s="28">
        <v>6269489720.8800001</v>
      </c>
    </row>
    <row r="1207" spans="1:3" ht="15.5">
      <c r="A1207" s="29">
        <v>42860</v>
      </c>
      <c r="B1207" s="28">
        <v>1.7302</v>
      </c>
      <c r="C1207" s="28">
        <v>6269489720.8800001</v>
      </c>
    </row>
    <row r="1208" spans="1:3" ht="15.5">
      <c r="A1208" s="29">
        <v>42859</v>
      </c>
      <c r="B1208" s="28">
        <v>1.7401</v>
      </c>
      <c r="C1208" s="28">
        <v>6305521271</v>
      </c>
    </row>
    <row r="1209" spans="1:3" ht="15.5">
      <c r="A1209" s="29">
        <v>42858</v>
      </c>
      <c r="B1209" s="28">
        <v>1.7302</v>
      </c>
      <c r="C1209" s="28">
        <v>6269489720.8800001</v>
      </c>
    </row>
    <row r="1210" spans="1:3" ht="15.5">
      <c r="A1210" s="29">
        <v>42857</v>
      </c>
      <c r="B1210" s="28">
        <v>1.7351000000000001</v>
      </c>
      <c r="C1210" s="28">
        <v>6287505495.9399996</v>
      </c>
    </row>
    <row r="1211" spans="1:3" ht="15.5">
      <c r="A1211" s="29">
        <v>42856</v>
      </c>
      <c r="B1211" s="28">
        <v>1.76</v>
      </c>
      <c r="C1211" s="28">
        <v>6377584371.2399998</v>
      </c>
    </row>
    <row r="1212" spans="1:3" ht="15.5">
      <c r="A1212" s="29">
        <v>42853</v>
      </c>
      <c r="B1212" s="28">
        <v>1.7401</v>
      </c>
      <c r="C1212" s="28">
        <v>6305521271</v>
      </c>
    </row>
    <row r="1213" spans="1:3" ht="15.5">
      <c r="A1213" s="29">
        <v>42852</v>
      </c>
      <c r="B1213" s="28">
        <v>1.7252000000000001</v>
      </c>
      <c r="C1213" s="28">
        <v>6251473945.8199997</v>
      </c>
    </row>
    <row r="1214" spans="1:3" ht="15.5">
      <c r="A1214" s="29">
        <v>42851</v>
      </c>
      <c r="B1214" s="28">
        <v>1.7252000000000001</v>
      </c>
      <c r="C1214" s="28">
        <v>6251473945.8199997</v>
      </c>
    </row>
    <row r="1215" spans="1:3" ht="15.5">
      <c r="A1215" s="29">
        <v>42849</v>
      </c>
      <c r="B1215" s="28">
        <v>1.7102999999999999</v>
      </c>
      <c r="C1215" s="28">
        <v>6197426620.6400003</v>
      </c>
    </row>
    <row r="1216" spans="1:3" ht="15.5">
      <c r="A1216" s="29">
        <v>42846</v>
      </c>
      <c r="B1216" s="28">
        <v>1.7102999999999999</v>
      </c>
      <c r="C1216" s="28">
        <v>6197426620.6400003</v>
      </c>
    </row>
    <row r="1217" spans="1:3" ht="15.5">
      <c r="A1217" s="29">
        <v>42845</v>
      </c>
      <c r="B1217" s="28">
        <v>1.6805000000000001</v>
      </c>
      <c r="C1217" s="28">
        <v>6089331970.2799997</v>
      </c>
    </row>
    <row r="1218" spans="1:3" ht="15.5">
      <c r="A1218" s="29">
        <v>42844</v>
      </c>
      <c r="B1218" s="28">
        <v>1.6655</v>
      </c>
      <c r="C1218" s="28">
        <v>6035284645.1000004</v>
      </c>
    </row>
    <row r="1219" spans="1:3" ht="15.5">
      <c r="A1219" s="29">
        <v>42843</v>
      </c>
      <c r="B1219" s="28">
        <v>1.6854</v>
      </c>
      <c r="C1219" s="28">
        <v>6107347745.3400002</v>
      </c>
    </row>
    <row r="1220" spans="1:3" ht="15.5">
      <c r="A1220" s="29">
        <v>42838</v>
      </c>
      <c r="B1220" s="28">
        <v>1.6854</v>
      </c>
      <c r="C1220" s="28">
        <v>6107347745.3400002</v>
      </c>
    </row>
    <row r="1221" spans="1:3" ht="15.5">
      <c r="A1221" s="29">
        <v>42837</v>
      </c>
      <c r="B1221" s="28">
        <v>1.6854</v>
      </c>
      <c r="C1221" s="28">
        <v>6107347745.3400002</v>
      </c>
    </row>
    <row r="1222" spans="1:3" ht="15.5">
      <c r="A1222" s="29">
        <v>42836</v>
      </c>
      <c r="B1222" s="28">
        <v>1.6805000000000001</v>
      </c>
      <c r="C1222" s="28">
        <v>6089331970.2799997</v>
      </c>
    </row>
    <row r="1223" spans="1:3" ht="15.5">
      <c r="A1223" s="29">
        <v>42835</v>
      </c>
      <c r="B1223" s="28">
        <v>1.6805000000000001</v>
      </c>
      <c r="C1223" s="28">
        <v>6089331970.2799997</v>
      </c>
    </row>
    <row r="1224" spans="1:3" ht="15.5">
      <c r="A1224" s="29">
        <v>42832</v>
      </c>
      <c r="B1224" s="28">
        <v>1.6705000000000001</v>
      </c>
      <c r="C1224" s="28">
        <v>6053300420.1599998</v>
      </c>
    </row>
    <row r="1225" spans="1:3" ht="15.5">
      <c r="A1225" s="29">
        <v>42831</v>
      </c>
      <c r="B1225" s="28">
        <v>1.6655</v>
      </c>
      <c r="C1225" s="28">
        <v>6035284645.1000004</v>
      </c>
    </row>
    <row r="1226" spans="1:3" ht="15.5">
      <c r="A1226" s="29">
        <v>42830</v>
      </c>
      <c r="B1226" s="28">
        <v>1.6655</v>
      </c>
      <c r="C1226" s="28">
        <v>6035284645.1000004</v>
      </c>
    </row>
    <row r="1227" spans="1:3" ht="15.5">
      <c r="A1227" s="29">
        <v>42829</v>
      </c>
      <c r="B1227" s="28">
        <v>1.6705000000000001</v>
      </c>
      <c r="C1227" s="28">
        <v>6053300420.1599998</v>
      </c>
    </row>
    <row r="1228" spans="1:3" ht="15.5">
      <c r="A1228" s="29">
        <v>42828</v>
      </c>
      <c r="B1228" s="28">
        <v>1.6606000000000001</v>
      </c>
      <c r="C1228" s="28">
        <v>6017268870.04</v>
      </c>
    </row>
    <row r="1229" spans="1:3" ht="15.5">
      <c r="A1229" s="29">
        <v>42825</v>
      </c>
      <c r="B1229" s="28">
        <v>1.6755</v>
      </c>
      <c r="C1229" s="28">
        <v>6071316195.2200003</v>
      </c>
    </row>
    <row r="1230" spans="1:3" ht="15.5">
      <c r="A1230" s="29">
        <v>42824</v>
      </c>
      <c r="B1230" s="28">
        <v>1.6805000000000001</v>
      </c>
      <c r="C1230" s="28">
        <v>6025622681.5200005</v>
      </c>
    </row>
    <row r="1231" spans="1:3" ht="15.5">
      <c r="A1231" s="29">
        <v>42823</v>
      </c>
      <c r="B1231" s="28">
        <v>1.6854</v>
      </c>
      <c r="C1231" s="28">
        <v>6043449967.5600004</v>
      </c>
    </row>
    <row r="1232" spans="1:3" ht="15.5">
      <c r="A1232" s="29">
        <v>42822</v>
      </c>
      <c r="B1232" s="28">
        <v>1.6805000000000001</v>
      </c>
      <c r="C1232" s="28">
        <v>6025622681.5200005</v>
      </c>
    </row>
    <row r="1233" spans="1:3" ht="15.5">
      <c r="A1233" s="29">
        <v>42821</v>
      </c>
      <c r="B1233" s="28">
        <v>1.6805000000000001</v>
      </c>
      <c r="C1233" s="28">
        <v>6025622681.5200005</v>
      </c>
    </row>
    <row r="1234" spans="1:3" ht="15.5">
      <c r="A1234" s="29">
        <v>42818</v>
      </c>
      <c r="B1234" s="28">
        <v>1.6755</v>
      </c>
      <c r="C1234" s="28">
        <v>6007795395.4799995</v>
      </c>
    </row>
    <row r="1235" spans="1:3" ht="15.5">
      <c r="A1235" s="29">
        <v>42817</v>
      </c>
      <c r="B1235" s="28">
        <v>1.6805000000000001</v>
      </c>
      <c r="C1235" s="28">
        <v>6025622681.5200005</v>
      </c>
    </row>
    <row r="1236" spans="1:3" ht="15.5">
      <c r="A1236" s="29">
        <v>42816</v>
      </c>
      <c r="B1236" s="28">
        <v>1.6805000000000001</v>
      </c>
      <c r="C1236" s="28">
        <v>6025622681.5200005</v>
      </c>
    </row>
    <row r="1237" spans="1:3" ht="15.5">
      <c r="A1237" s="29">
        <v>42815</v>
      </c>
      <c r="B1237" s="28">
        <v>1.6805000000000001</v>
      </c>
      <c r="C1237" s="28">
        <v>6025622681.5200005</v>
      </c>
    </row>
    <row r="1238" spans="1:3" ht="15.5">
      <c r="A1238" s="29">
        <v>42814</v>
      </c>
      <c r="B1238" s="28">
        <v>1.6705000000000001</v>
      </c>
      <c r="C1238" s="28">
        <v>5989968109.4399996</v>
      </c>
    </row>
    <row r="1239" spans="1:3" ht="15.5">
      <c r="A1239" s="29">
        <v>42811</v>
      </c>
      <c r="B1239" s="28">
        <v>1.6606000000000001</v>
      </c>
      <c r="C1239" s="28">
        <v>5954313537.3599997</v>
      </c>
    </row>
    <row r="1240" spans="1:3" ht="15.5">
      <c r="A1240" s="29">
        <v>42810</v>
      </c>
      <c r="B1240" s="28">
        <v>1.6705000000000001</v>
      </c>
      <c r="C1240" s="28">
        <v>5989968109.4399996</v>
      </c>
    </row>
    <row r="1241" spans="1:3" ht="15.5">
      <c r="A1241" s="29">
        <v>42809</v>
      </c>
      <c r="B1241" s="28">
        <v>1.6556</v>
      </c>
      <c r="C1241" s="28">
        <v>5936486251.3199997</v>
      </c>
    </row>
    <row r="1242" spans="1:3" ht="15.5">
      <c r="A1242" s="29">
        <v>42808</v>
      </c>
      <c r="B1242" s="28">
        <v>1.6257999999999999</v>
      </c>
      <c r="C1242" s="28">
        <v>5829522535.0799999</v>
      </c>
    </row>
    <row r="1243" spans="1:3" ht="15.5">
      <c r="A1243" s="29">
        <v>42807</v>
      </c>
      <c r="B1243" s="28">
        <v>1.6356999999999999</v>
      </c>
      <c r="C1243" s="28">
        <v>5865177107.1599998</v>
      </c>
    </row>
    <row r="1244" spans="1:3" ht="15.5">
      <c r="A1244" s="29">
        <v>42804</v>
      </c>
      <c r="B1244" s="28">
        <v>1.6356999999999999</v>
      </c>
      <c r="C1244" s="28">
        <v>5865177107.1599998</v>
      </c>
    </row>
    <row r="1245" spans="1:3" ht="15.5">
      <c r="A1245" s="29">
        <v>42803</v>
      </c>
      <c r="B1245" s="28">
        <v>1.6208</v>
      </c>
      <c r="C1245" s="28">
        <v>5811695249.04</v>
      </c>
    </row>
    <row r="1246" spans="1:3" ht="15.5">
      <c r="A1246" s="29">
        <v>42802</v>
      </c>
      <c r="B1246" s="28">
        <v>1.6009</v>
      </c>
      <c r="C1246" s="28">
        <v>5740386104.8800001</v>
      </c>
    </row>
    <row r="1247" spans="1:3" ht="15.5">
      <c r="A1247" s="29">
        <v>42801</v>
      </c>
      <c r="B1247" s="28">
        <v>1.6208</v>
      </c>
      <c r="C1247" s="28">
        <v>5811695249.04</v>
      </c>
    </row>
    <row r="1248" spans="1:3" ht="15.5">
      <c r="A1248" s="29">
        <v>42800</v>
      </c>
      <c r="B1248" s="28">
        <v>1.5959000000000001</v>
      </c>
      <c r="C1248" s="28">
        <v>5722558818.8400002</v>
      </c>
    </row>
    <row r="1249" spans="1:3" ht="15.5">
      <c r="A1249" s="29">
        <v>42797</v>
      </c>
      <c r="B1249" s="28">
        <v>1.6157999999999999</v>
      </c>
      <c r="C1249" s="28">
        <v>5793867963</v>
      </c>
    </row>
    <row r="1250" spans="1:3" ht="15.5">
      <c r="A1250" s="29">
        <v>42796</v>
      </c>
      <c r="B1250" s="28">
        <v>1.6208</v>
      </c>
      <c r="C1250" s="28">
        <v>5811695249.04</v>
      </c>
    </row>
    <row r="1251" spans="1:3" ht="15.5">
      <c r="A1251" s="29">
        <v>42795</v>
      </c>
      <c r="B1251" s="28">
        <v>1.6009</v>
      </c>
      <c r="C1251" s="28">
        <v>5740386104.8800001</v>
      </c>
    </row>
    <row r="1252" spans="1:3" ht="15.5">
      <c r="A1252" s="29">
        <v>42794</v>
      </c>
      <c r="B1252" s="28">
        <v>1.6108</v>
      </c>
      <c r="C1252" s="28">
        <v>5776040676.96</v>
      </c>
    </row>
    <row r="1253" spans="1:3" ht="15.5">
      <c r="A1253" s="29">
        <v>42793</v>
      </c>
      <c r="B1253" s="28">
        <v>1.6407</v>
      </c>
      <c r="C1253" s="28">
        <v>5883004393.1999998</v>
      </c>
    </row>
    <row r="1254" spans="1:3" ht="15.5">
      <c r="A1254" s="29">
        <v>42790</v>
      </c>
      <c r="B1254" s="28">
        <v>1.6356999999999999</v>
      </c>
      <c r="C1254" s="28">
        <v>5865177107.1599998</v>
      </c>
    </row>
    <row r="1255" spans="1:3" ht="15.5">
      <c r="A1255" s="29">
        <v>42789</v>
      </c>
      <c r="B1255" s="28">
        <v>1.6506000000000001</v>
      </c>
      <c r="C1255" s="28">
        <v>5918658965.2799997</v>
      </c>
    </row>
    <row r="1256" spans="1:3" ht="15.5">
      <c r="A1256" s="29">
        <v>42788</v>
      </c>
      <c r="B1256" s="28">
        <v>1.6506000000000001</v>
      </c>
      <c r="C1256" s="28">
        <v>5918658965.2799997</v>
      </c>
    </row>
    <row r="1257" spans="1:3" ht="15.5">
      <c r="A1257" s="29">
        <v>42787</v>
      </c>
      <c r="B1257" s="28">
        <v>1.6606000000000001</v>
      </c>
      <c r="C1257" s="28">
        <v>5954313537.3599997</v>
      </c>
    </row>
    <row r="1258" spans="1:3" ht="15.5">
      <c r="A1258" s="29">
        <v>42786</v>
      </c>
      <c r="B1258" s="28">
        <v>1.6655</v>
      </c>
      <c r="C1258" s="28">
        <v>5972140823.3999996</v>
      </c>
    </row>
    <row r="1259" spans="1:3" ht="15.5">
      <c r="A1259" s="29">
        <v>42783</v>
      </c>
      <c r="B1259" s="28">
        <v>1.6407</v>
      </c>
      <c r="C1259" s="28">
        <v>5883004393.1999998</v>
      </c>
    </row>
    <row r="1260" spans="1:3" ht="15.5">
      <c r="A1260" s="29">
        <v>42782</v>
      </c>
      <c r="B1260" s="28">
        <v>1.6257999999999999</v>
      </c>
      <c r="C1260" s="28">
        <v>5829522535.0799999</v>
      </c>
    </row>
    <row r="1261" spans="1:3" ht="15.5">
      <c r="A1261" s="29">
        <v>42781</v>
      </c>
      <c r="B1261" s="28">
        <v>1.6556</v>
      </c>
      <c r="C1261" s="28">
        <v>5936486251.3199997</v>
      </c>
    </row>
    <row r="1262" spans="1:3" ht="15.5">
      <c r="A1262" s="29">
        <v>42780</v>
      </c>
      <c r="B1262" s="28">
        <v>1.6606000000000001</v>
      </c>
      <c r="C1262" s="28">
        <v>5954313537.3599997</v>
      </c>
    </row>
    <row r="1263" spans="1:3" ht="15.5">
      <c r="A1263" s="29">
        <v>42779</v>
      </c>
      <c r="B1263" s="28">
        <v>1.6456</v>
      </c>
      <c r="C1263" s="28">
        <v>5900831679.2399998</v>
      </c>
    </row>
    <row r="1264" spans="1:3" ht="15.5">
      <c r="A1264" s="29">
        <v>42776</v>
      </c>
      <c r="B1264" s="28">
        <v>1.6208</v>
      </c>
      <c r="C1264" s="28">
        <v>5811695249.04</v>
      </c>
    </row>
    <row r="1265" spans="1:3" ht="15.5">
      <c r="A1265" s="29">
        <v>42775</v>
      </c>
      <c r="B1265" s="28">
        <v>1.6157999999999999</v>
      </c>
      <c r="C1265" s="28">
        <v>5793867963</v>
      </c>
    </row>
    <row r="1266" spans="1:3" ht="15.5">
      <c r="A1266" s="29">
        <v>42774</v>
      </c>
      <c r="B1266" s="28">
        <v>1.591</v>
      </c>
      <c r="C1266" s="28">
        <v>5704731532.8000002</v>
      </c>
    </row>
    <row r="1267" spans="1:3" ht="15.5">
      <c r="A1267" s="29">
        <v>42773</v>
      </c>
      <c r="B1267" s="28">
        <v>1.6009</v>
      </c>
      <c r="C1267" s="28">
        <v>5740386104.8800001</v>
      </c>
    </row>
    <row r="1268" spans="1:3" ht="15.5">
      <c r="A1268" s="29">
        <v>42772</v>
      </c>
      <c r="B1268" s="28">
        <v>1.591</v>
      </c>
      <c r="C1268" s="28">
        <v>5704731532.8000002</v>
      </c>
    </row>
    <row r="1269" spans="1:3" ht="15.5">
      <c r="A1269" s="29">
        <v>42769</v>
      </c>
      <c r="B1269" s="28">
        <v>1.5959000000000001</v>
      </c>
      <c r="C1269" s="28">
        <v>5722558818.8400002</v>
      </c>
    </row>
    <row r="1270" spans="1:3" ht="15.5">
      <c r="A1270" s="29">
        <v>42768</v>
      </c>
      <c r="B1270" s="28">
        <v>1.5860000000000001</v>
      </c>
      <c r="C1270" s="28">
        <v>5686904246.7600002</v>
      </c>
    </row>
    <row r="1271" spans="1:3" ht="15.5">
      <c r="A1271" s="29">
        <v>42767</v>
      </c>
      <c r="B1271" s="28">
        <v>1.591</v>
      </c>
      <c r="C1271" s="28">
        <v>5704731532.8000002</v>
      </c>
    </row>
    <row r="1272" spans="1:3" ht="15.5">
      <c r="A1272" s="29">
        <v>42766</v>
      </c>
      <c r="B1272" s="28">
        <v>1.5710999999999999</v>
      </c>
      <c r="C1272" s="28">
        <v>5633422388.6400003</v>
      </c>
    </row>
    <row r="1273" spans="1:3" ht="15.5">
      <c r="A1273" s="29">
        <v>42765</v>
      </c>
      <c r="B1273" s="28">
        <v>1.5760000000000001</v>
      </c>
      <c r="C1273" s="28">
        <v>5651249674.6800003</v>
      </c>
    </row>
    <row r="1274" spans="1:3" ht="15.5">
      <c r="A1274" s="29">
        <v>42762</v>
      </c>
      <c r="B1274" s="28">
        <v>1.5760000000000001</v>
      </c>
      <c r="C1274" s="28">
        <v>5651249674.6800003</v>
      </c>
    </row>
    <row r="1275" spans="1:3" ht="15.5">
      <c r="A1275" s="29">
        <v>42760</v>
      </c>
      <c r="B1275" s="28">
        <v>1.5562</v>
      </c>
      <c r="C1275" s="28">
        <v>5579940530.5200005</v>
      </c>
    </row>
    <row r="1276" spans="1:3" ht="15.5">
      <c r="A1276" s="29">
        <v>42759</v>
      </c>
      <c r="B1276" s="28">
        <v>1.5610999999999999</v>
      </c>
      <c r="C1276" s="28">
        <v>5597767816.5600004</v>
      </c>
    </row>
    <row r="1277" spans="1:3" ht="15.5">
      <c r="A1277" s="29">
        <v>42758</v>
      </c>
      <c r="B1277" s="28">
        <v>1.5710999999999999</v>
      </c>
      <c r="C1277" s="28">
        <v>5633422388.6400003</v>
      </c>
    </row>
    <row r="1278" spans="1:3" ht="15.5">
      <c r="A1278" s="29">
        <v>42755</v>
      </c>
      <c r="B1278" s="28">
        <v>1.5710999999999999</v>
      </c>
      <c r="C1278" s="28">
        <v>5633422388.6400003</v>
      </c>
    </row>
    <row r="1279" spans="1:3" ht="15.5">
      <c r="A1279" s="29">
        <v>42754</v>
      </c>
      <c r="B1279" s="28">
        <v>1.5610999999999999</v>
      </c>
      <c r="C1279" s="28">
        <v>5597767816.5600004</v>
      </c>
    </row>
    <row r="1280" spans="1:3" ht="15.5">
      <c r="A1280" s="29">
        <v>42753</v>
      </c>
      <c r="B1280" s="28">
        <v>1.5511999999999999</v>
      </c>
      <c r="C1280" s="28">
        <v>5562113244.4799995</v>
      </c>
    </row>
    <row r="1281" spans="1:3" ht="15.5">
      <c r="A1281" s="29">
        <v>42752</v>
      </c>
      <c r="B1281" s="28">
        <v>1.5760000000000001</v>
      </c>
      <c r="C1281" s="28">
        <v>5651249674.6800003</v>
      </c>
    </row>
    <row r="1282" spans="1:3" ht="15.5">
      <c r="A1282" s="29">
        <v>42751</v>
      </c>
      <c r="B1282" s="28">
        <v>1.581</v>
      </c>
      <c r="C1282" s="28">
        <v>5669076960.7200003</v>
      </c>
    </row>
    <row r="1283" spans="1:3" ht="15.5">
      <c r="A1283" s="29">
        <v>42748</v>
      </c>
      <c r="B1283" s="28">
        <v>1.5760000000000001</v>
      </c>
      <c r="C1283" s="28">
        <v>5651249674.6800003</v>
      </c>
    </row>
    <row r="1284" spans="1:3" ht="15.5">
      <c r="A1284" s="29">
        <v>42747</v>
      </c>
      <c r="B1284" s="28">
        <v>1.5760000000000001</v>
      </c>
      <c r="C1284" s="28">
        <v>5651249674.6800003</v>
      </c>
    </row>
    <row r="1285" spans="1:3" ht="15.5">
      <c r="A1285" s="29">
        <v>42746</v>
      </c>
      <c r="B1285" s="28">
        <v>1.581</v>
      </c>
      <c r="C1285" s="28">
        <v>5669076960.7200003</v>
      </c>
    </row>
    <row r="1286" spans="1:3" ht="15.5">
      <c r="A1286" s="29">
        <v>42745</v>
      </c>
      <c r="B1286" s="28">
        <v>1.581</v>
      </c>
      <c r="C1286" s="28">
        <v>5669076960.7200003</v>
      </c>
    </row>
    <row r="1287" spans="1:3" ht="15.5">
      <c r="A1287" s="29">
        <v>42744</v>
      </c>
      <c r="B1287" s="28">
        <v>1.6009</v>
      </c>
      <c r="C1287" s="28">
        <v>5740386104.8800001</v>
      </c>
    </row>
    <row r="1288" spans="1:3" ht="15.5">
      <c r="A1288" s="29">
        <v>42741</v>
      </c>
      <c r="B1288" s="28">
        <v>1.5959000000000001</v>
      </c>
      <c r="C1288" s="28">
        <v>5722558818.8400002</v>
      </c>
    </row>
    <row r="1289" spans="1:3" ht="15.5">
      <c r="A1289" s="29">
        <v>42740</v>
      </c>
      <c r="B1289" s="28">
        <v>1.581</v>
      </c>
      <c r="C1289" s="28">
        <v>5669076960.7200003</v>
      </c>
    </row>
    <row r="1290" spans="1:3" ht="15.5">
      <c r="A1290" s="29">
        <v>42739</v>
      </c>
      <c r="B1290" s="28">
        <v>1.581</v>
      </c>
      <c r="C1290" s="28">
        <v>5669076960.7200003</v>
      </c>
    </row>
    <row r="1291" spans="1:3" ht="15.5">
      <c r="A1291" s="29">
        <v>42738</v>
      </c>
      <c r="B1291" s="28">
        <v>1.591</v>
      </c>
      <c r="C1291" s="28">
        <v>5704731532.8000002</v>
      </c>
    </row>
    <row r="1292" spans="1:3" ht="15.5">
      <c r="A1292" s="29">
        <v>42734</v>
      </c>
      <c r="B1292" s="28">
        <v>1.5710999999999999</v>
      </c>
      <c r="C1292" s="28">
        <v>5633422388.6400003</v>
      </c>
    </row>
    <row r="1293" spans="1:3" ht="15.5">
      <c r="A1293" s="29">
        <v>42733</v>
      </c>
      <c r="B1293" s="28">
        <v>1.5562</v>
      </c>
      <c r="C1293" s="28">
        <v>5579940530.5200005</v>
      </c>
    </row>
    <row r="1294" spans="1:3" ht="15.5">
      <c r="A1294" s="29">
        <v>42732</v>
      </c>
      <c r="B1294" s="28">
        <v>1.5562</v>
      </c>
      <c r="C1294" s="28">
        <v>5579940530.5200005</v>
      </c>
    </row>
    <row r="1295" spans="1:3" ht="15.5">
      <c r="A1295" s="29">
        <v>42727</v>
      </c>
      <c r="B1295" s="28">
        <v>1.5411999999999999</v>
      </c>
      <c r="C1295" s="28">
        <v>5526458672.3999996</v>
      </c>
    </row>
    <row r="1296" spans="1:3" ht="15.5">
      <c r="A1296" s="29">
        <v>42726</v>
      </c>
      <c r="B1296" s="28">
        <v>1.5263</v>
      </c>
      <c r="C1296" s="28">
        <v>5472976814.2799997</v>
      </c>
    </row>
    <row r="1297" spans="1:3" ht="15.5">
      <c r="A1297" s="29">
        <v>42725</v>
      </c>
      <c r="B1297" s="28">
        <v>1.5164</v>
      </c>
      <c r="C1297" s="28">
        <v>5437322242.1999998</v>
      </c>
    </row>
    <row r="1298" spans="1:3" ht="15.5">
      <c r="A1298" s="29">
        <v>42724</v>
      </c>
      <c r="B1298" s="28">
        <v>1.5114000000000001</v>
      </c>
      <c r="C1298" s="28">
        <v>5419494956.1599998</v>
      </c>
    </row>
    <row r="1299" spans="1:3" ht="15.5">
      <c r="A1299" s="29">
        <v>42723</v>
      </c>
      <c r="B1299" s="28">
        <v>1.4964999999999999</v>
      </c>
      <c r="C1299" s="28">
        <v>5366013098.04</v>
      </c>
    </row>
    <row r="1300" spans="1:3" ht="15.5">
      <c r="A1300" s="29">
        <v>42720</v>
      </c>
      <c r="B1300" s="28">
        <v>1.4964999999999999</v>
      </c>
      <c r="C1300" s="28">
        <v>5366013098.04</v>
      </c>
    </row>
    <row r="1301" spans="1:3" ht="15.5">
      <c r="A1301" s="29">
        <v>42719</v>
      </c>
      <c r="B1301" s="28">
        <v>1.5064</v>
      </c>
      <c r="C1301" s="28">
        <v>5401667670.1199999</v>
      </c>
    </row>
    <row r="1302" spans="1:3" ht="15.5">
      <c r="A1302" s="29">
        <v>42718</v>
      </c>
      <c r="B1302" s="28">
        <v>1.5164</v>
      </c>
      <c r="C1302" s="28">
        <v>5437322242.1999998</v>
      </c>
    </row>
    <row r="1303" spans="1:3" ht="15.5">
      <c r="A1303" s="29">
        <v>42717</v>
      </c>
      <c r="B1303" s="28">
        <v>1.4964999999999999</v>
      </c>
      <c r="C1303" s="28">
        <v>5366013098.04</v>
      </c>
    </row>
    <row r="1304" spans="1:3" ht="15.5">
      <c r="A1304" s="29">
        <v>42716</v>
      </c>
      <c r="B1304" s="28">
        <v>1.5064</v>
      </c>
      <c r="C1304" s="28">
        <v>5401667670.1199999</v>
      </c>
    </row>
    <row r="1305" spans="1:3" ht="15.5">
      <c r="A1305" s="29">
        <v>42713</v>
      </c>
      <c r="B1305" s="28">
        <v>1.4518</v>
      </c>
      <c r="C1305" s="28">
        <v>5205567523.6800003</v>
      </c>
    </row>
    <row r="1306" spans="1:3" ht="15.5">
      <c r="A1306" s="29">
        <v>42712</v>
      </c>
      <c r="B1306" s="28">
        <v>1.4468000000000001</v>
      </c>
      <c r="C1306" s="28">
        <v>5187740237.6400003</v>
      </c>
    </row>
    <row r="1307" spans="1:3" ht="15.5">
      <c r="A1307" s="29">
        <v>42711</v>
      </c>
      <c r="B1307" s="28">
        <v>1.4418</v>
      </c>
      <c r="C1307" s="28">
        <v>5169912951.6000004</v>
      </c>
    </row>
    <row r="1308" spans="1:3" ht="15.5">
      <c r="A1308" s="29">
        <v>42710</v>
      </c>
      <c r="B1308" s="28">
        <v>1.4468000000000001</v>
      </c>
      <c r="C1308" s="28">
        <v>5187740237.6400003</v>
      </c>
    </row>
    <row r="1309" spans="1:3" ht="15.5">
      <c r="A1309" s="29">
        <v>42709</v>
      </c>
      <c r="B1309" s="28">
        <v>1.4617</v>
      </c>
      <c r="C1309" s="28">
        <v>5241222095.7600002</v>
      </c>
    </row>
    <row r="1310" spans="1:3" ht="15.5">
      <c r="A1310" s="29">
        <v>42706</v>
      </c>
      <c r="B1310" s="28">
        <v>1.4368000000000001</v>
      </c>
      <c r="C1310" s="28">
        <v>5152085665.5600004</v>
      </c>
    </row>
    <row r="1311" spans="1:3" ht="15.5">
      <c r="A1311" s="29">
        <v>42705</v>
      </c>
      <c r="B1311" s="28">
        <v>1.4518</v>
      </c>
      <c r="C1311" s="28">
        <v>5205567523.6800003</v>
      </c>
    </row>
    <row r="1312" spans="1:3" ht="15.5">
      <c r="A1312" s="29">
        <v>42704</v>
      </c>
      <c r="B1312" s="28">
        <v>1.4765999999999999</v>
      </c>
      <c r="C1312" s="28">
        <v>5294703953.8800001</v>
      </c>
    </row>
    <row r="1313" spans="1:3" ht="15.5">
      <c r="A1313" s="29">
        <v>42703</v>
      </c>
      <c r="B1313" s="28">
        <v>1.4765999999999999</v>
      </c>
      <c r="C1313" s="28">
        <v>5294703953.8800001</v>
      </c>
    </row>
    <row r="1314" spans="1:3" ht="15.5">
      <c r="A1314" s="29">
        <v>42702</v>
      </c>
      <c r="B1314" s="28">
        <v>1.4666999999999999</v>
      </c>
      <c r="C1314" s="28">
        <v>5259049381.8000002</v>
      </c>
    </row>
    <row r="1315" spans="1:3" ht="15.5">
      <c r="A1315" s="29">
        <v>42699</v>
      </c>
      <c r="B1315" s="28">
        <v>1.4666999999999999</v>
      </c>
      <c r="C1315" s="28">
        <v>5259049381.8000002</v>
      </c>
    </row>
    <row r="1316" spans="1:3" ht="15.5">
      <c r="A1316" s="29">
        <v>42698</v>
      </c>
      <c r="B1316" s="28">
        <v>1.4617</v>
      </c>
      <c r="C1316" s="28">
        <v>5241222095.7600002</v>
      </c>
    </row>
    <row r="1317" spans="1:3" ht="15.5">
      <c r="A1317" s="29">
        <v>42697</v>
      </c>
      <c r="B1317" s="28">
        <v>1.5064</v>
      </c>
      <c r="C1317" s="28">
        <v>5401667670.1199999</v>
      </c>
    </row>
    <row r="1318" spans="1:3" ht="15.5">
      <c r="A1318" s="29">
        <v>42696</v>
      </c>
      <c r="B1318" s="28">
        <v>1.4964999999999999</v>
      </c>
      <c r="C1318" s="28">
        <v>5366013098.04</v>
      </c>
    </row>
    <row r="1319" spans="1:3" ht="15.5">
      <c r="A1319" s="29">
        <v>42695</v>
      </c>
      <c r="B1319" s="28">
        <v>1.4765999999999999</v>
      </c>
      <c r="C1319" s="28">
        <v>5294703953.8800001</v>
      </c>
    </row>
    <row r="1320" spans="1:3" ht="15.5">
      <c r="A1320" s="29">
        <v>42692</v>
      </c>
      <c r="B1320" s="28">
        <v>1.4666999999999999</v>
      </c>
      <c r="C1320" s="28">
        <v>5259049381.8000002</v>
      </c>
    </row>
    <row r="1321" spans="1:3" ht="15.5">
      <c r="A1321" s="29">
        <v>42691</v>
      </c>
      <c r="B1321" s="28">
        <v>1.4518</v>
      </c>
      <c r="C1321" s="28">
        <v>5205567523.6800003</v>
      </c>
    </row>
    <row r="1322" spans="1:3" ht="15.5">
      <c r="A1322" s="29">
        <v>42690</v>
      </c>
      <c r="B1322" s="28">
        <v>1.4269000000000001</v>
      </c>
      <c r="C1322" s="28">
        <v>5116431093.4799995</v>
      </c>
    </row>
    <row r="1323" spans="1:3" ht="15.5">
      <c r="A1323" s="29">
        <v>42689</v>
      </c>
      <c r="B1323" s="28">
        <v>1.4218999999999999</v>
      </c>
      <c r="C1323" s="28">
        <v>5098603807.4399996</v>
      </c>
    </row>
    <row r="1324" spans="1:3" ht="15.5">
      <c r="A1324" s="29">
        <v>42688</v>
      </c>
      <c r="B1324" s="28">
        <v>1.4269000000000001</v>
      </c>
      <c r="C1324" s="28">
        <v>5116431093.4799995</v>
      </c>
    </row>
    <row r="1325" spans="1:3" ht="15.5">
      <c r="A1325" s="29">
        <v>42685</v>
      </c>
      <c r="B1325" s="28">
        <v>1.4418</v>
      </c>
      <c r="C1325" s="28">
        <v>5169912951.6000004</v>
      </c>
    </row>
    <row r="1326" spans="1:3" ht="15.5">
      <c r="A1326" s="29">
        <v>42684</v>
      </c>
      <c r="B1326" s="28">
        <v>1.4567000000000001</v>
      </c>
      <c r="C1326" s="28">
        <v>5223394809.7200003</v>
      </c>
    </row>
    <row r="1327" spans="1:3" ht="15.5">
      <c r="A1327" s="29">
        <v>42683</v>
      </c>
      <c r="B1327" s="28">
        <v>1.4666999999999999</v>
      </c>
      <c r="C1327" s="28">
        <v>5259049381.8000002</v>
      </c>
    </row>
    <row r="1328" spans="1:3" ht="15.5">
      <c r="A1328" s="29">
        <v>42682</v>
      </c>
      <c r="B1328" s="28">
        <v>1.4865999999999999</v>
      </c>
      <c r="C1328" s="28">
        <v>5330358525.96</v>
      </c>
    </row>
    <row r="1329" spans="1:3" ht="15.5">
      <c r="A1329" s="29">
        <v>42681</v>
      </c>
      <c r="B1329" s="28">
        <v>1.4964999999999999</v>
      </c>
      <c r="C1329" s="28">
        <v>5366013098.04</v>
      </c>
    </row>
    <row r="1330" spans="1:3" ht="15.5">
      <c r="A1330" s="29">
        <v>42678</v>
      </c>
      <c r="B1330" s="28">
        <v>1.4816</v>
      </c>
      <c r="C1330" s="28">
        <v>5312531239.9200001</v>
      </c>
    </row>
    <row r="1331" spans="1:3" ht="15.5">
      <c r="A1331" s="29">
        <v>42677</v>
      </c>
      <c r="B1331" s="28">
        <v>1.4915</v>
      </c>
      <c r="C1331" s="28">
        <v>5348185812</v>
      </c>
    </row>
    <row r="1332" spans="1:3" ht="15.5">
      <c r="A1332" s="29">
        <v>42676</v>
      </c>
      <c r="B1332" s="28">
        <v>1.4915</v>
      </c>
      <c r="C1332" s="28">
        <v>5348185812</v>
      </c>
    </row>
    <row r="1333" spans="1:3" ht="15.5">
      <c r="A1333" s="29">
        <v>42675</v>
      </c>
      <c r="B1333" s="28">
        <v>1.4915</v>
      </c>
      <c r="C1333" s="28">
        <v>5348185812</v>
      </c>
    </row>
    <row r="1334" spans="1:3" ht="15.5">
      <c r="A1334" s="29">
        <v>42674</v>
      </c>
      <c r="B1334" s="28">
        <v>1.4915</v>
      </c>
      <c r="C1334" s="28">
        <v>5348185812</v>
      </c>
    </row>
    <row r="1335" spans="1:3" ht="15.5">
      <c r="A1335" s="29">
        <v>42671</v>
      </c>
      <c r="B1335" s="28">
        <v>1.4716</v>
      </c>
      <c r="C1335" s="28">
        <v>5276876667.8400002</v>
      </c>
    </row>
    <row r="1336" spans="1:3" ht="15.5">
      <c r="A1336" s="29">
        <v>42670</v>
      </c>
      <c r="B1336" s="28">
        <v>1.4816</v>
      </c>
      <c r="C1336" s="28">
        <v>5312531239.9200001</v>
      </c>
    </row>
    <row r="1337" spans="1:3" ht="15.5">
      <c r="A1337" s="29">
        <v>42669</v>
      </c>
      <c r="B1337" s="28">
        <v>1.4816</v>
      </c>
      <c r="C1337" s="28">
        <v>5312531239.9200001</v>
      </c>
    </row>
    <row r="1338" spans="1:3" ht="15.5">
      <c r="A1338" s="29">
        <v>42668</v>
      </c>
      <c r="B1338" s="28">
        <v>1.4865999999999999</v>
      </c>
      <c r="C1338" s="28">
        <v>5330358525.96</v>
      </c>
    </row>
    <row r="1339" spans="1:3" ht="15.5">
      <c r="A1339" s="29">
        <v>42667</v>
      </c>
      <c r="B1339" s="28">
        <v>1.4765999999999999</v>
      </c>
      <c r="C1339" s="28">
        <v>5294703953.8800001</v>
      </c>
    </row>
    <row r="1340" spans="1:3" ht="15.5">
      <c r="A1340" s="29">
        <v>42664</v>
      </c>
      <c r="B1340" s="28">
        <v>1.5015000000000001</v>
      </c>
      <c r="C1340" s="28">
        <v>5383840384.0799999</v>
      </c>
    </row>
    <row r="1341" spans="1:3" ht="15.5">
      <c r="A1341" s="29">
        <v>42663</v>
      </c>
      <c r="B1341" s="28">
        <v>1.5214000000000001</v>
      </c>
      <c r="C1341" s="28">
        <v>5455149528.2399998</v>
      </c>
    </row>
    <row r="1342" spans="1:3" ht="15.5">
      <c r="A1342" s="29">
        <v>42662</v>
      </c>
      <c r="B1342" s="28">
        <v>1.5064</v>
      </c>
      <c r="C1342" s="28">
        <v>5401667670.1199999</v>
      </c>
    </row>
    <row r="1343" spans="1:3" ht="15.5">
      <c r="A1343" s="29">
        <v>42661</v>
      </c>
      <c r="B1343" s="28">
        <v>1.5015000000000001</v>
      </c>
      <c r="C1343" s="28">
        <v>5383840384.0799999</v>
      </c>
    </row>
    <row r="1344" spans="1:3" ht="15.5">
      <c r="A1344" s="29">
        <v>42660</v>
      </c>
      <c r="B1344" s="28">
        <v>1.5015000000000001</v>
      </c>
      <c r="C1344" s="28">
        <v>5383840384.0799999</v>
      </c>
    </row>
    <row r="1345" spans="1:3" ht="15.5">
      <c r="A1345" s="29">
        <v>42657</v>
      </c>
      <c r="B1345" s="28">
        <v>1.5015000000000001</v>
      </c>
      <c r="C1345" s="28">
        <v>5383840384.0799999</v>
      </c>
    </row>
    <row r="1346" spans="1:3" ht="15.5">
      <c r="A1346" s="29">
        <v>42656</v>
      </c>
      <c r="B1346" s="28">
        <v>1.5214000000000001</v>
      </c>
      <c r="C1346" s="28">
        <v>5455149528.2399998</v>
      </c>
    </row>
    <row r="1347" spans="1:3" ht="15.5">
      <c r="A1347" s="29">
        <v>42655</v>
      </c>
      <c r="B1347" s="28">
        <v>1.5411999999999999</v>
      </c>
      <c r="C1347" s="28">
        <v>5526458672.3999996</v>
      </c>
    </row>
    <row r="1348" spans="1:3" ht="15.5">
      <c r="A1348" s="29">
        <v>42654</v>
      </c>
      <c r="B1348" s="28">
        <v>1.5511999999999999</v>
      </c>
      <c r="C1348" s="28">
        <v>5562113244.4799995</v>
      </c>
    </row>
    <row r="1349" spans="1:3" ht="15.5">
      <c r="A1349" s="29">
        <v>42653</v>
      </c>
      <c r="B1349" s="28">
        <v>1.5511999999999999</v>
      </c>
      <c r="C1349" s="28">
        <v>5562113244.4799995</v>
      </c>
    </row>
    <row r="1350" spans="1:3" ht="15.5">
      <c r="A1350" s="29">
        <v>42650</v>
      </c>
      <c r="B1350" s="28">
        <v>1.5610999999999999</v>
      </c>
      <c r="C1350" s="28">
        <v>5597767816.5600004</v>
      </c>
    </row>
    <row r="1351" spans="1:3" ht="15.5">
      <c r="A1351" s="29">
        <v>42649</v>
      </c>
      <c r="B1351" s="28">
        <v>1.5710999999999999</v>
      </c>
      <c r="C1351" s="28">
        <v>5633422388.6400003</v>
      </c>
    </row>
    <row r="1352" spans="1:3" ht="15.5">
      <c r="A1352" s="29">
        <v>42648</v>
      </c>
      <c r="B1352" s="28">
        <v>1.5959000000000001</v>
      </c>
      <c r="C1352" s="28">
        <v>5722558818.8400002</v>
      </c>
    </row>
    <row r="1353" spans="1:3" ht="15.5">
      <c r="A1353" s="29">
        <v>42647</v>
      </c>
      <c r="B1353" s="28">
        <v>1.6257999999999999</v>
      </c>
      <c r="C1353" s="28">
        <v>5829522535.0799999</v>
      </c>
    </row>
    <row r="1354" spans="1:3" ht="15.5">
      <c r="A1354" s="29">
        <v>42646</v>
      </c>
      <c r="B1354" s="28">
        <v>1.6307</v>
      </c>
      <c r="C1354" s="28">
        <v>5847349821.1199999</v>
      </c>
    </row>
    <row r="1355" spans="1:3" ht="15.5">
      <c r="A1355" s="29">
        <v>42643</v>
      </c>
      <c r="B1355" s="28">
        <v>1.6307</v>
      </c>
      <c r="C1355" s="28">
        <v>5847349821.1199999</v>
      </c>
    </row>
    <row r="1356" spans="1:3" ht="15.5">
      <c r="A1356" s="29">
        <v>42642</v>
      </c>
      <c r="B1356" s="28">
        <v>1.6356999999999999</v>
      </c>
      <c r="C1356" s="28">
        <v>5865177107.1599998</v>
      </c>
    </row>
    <row r="1357" spans="1:3" ht="15.5">
      <c r="A1357" s="29">
        <v>42641</v>
      </c>
      <c r="B1357" s="28">
        <v>1.6307</v>
      </c>
      <c r="C1357" s="28">
        <v>5847349821.1199999</v>
      </c>
    </row>
    <row r="1358" spans="1:3" ht="15.5">
      <c r="A1358" s="29">
        <v>42640</v>
      </c>
      <c r="B1358" s="28">
        <v>1.6307</v>
      </c>
      <c r="C1358" s="28">
        <v>5847349821.1199999</v>
      </c>
    </row>
    <row r="1359" spans="1:3" ht="15.5">
      <c r="A1359" s="29">
        <v>42639</v>
      </c>
      <c r="B1359" s="28">
        <v>1.6257999999999999</v>
      </c>
      <c r="C1359" s="28">
        <v>5829522535.0799999</v>
      </c>
    </row>
    <row r="1360" spans="1:3" ht="15.5">
      <c r="A1360" s="29">
        <v>42636</v>
      </c>
      <c r="B1360" s="28">
        <v>1.6356999999999999</v>
      </c>
      <c r="C1360" s="28">
        <v>5865177107.1599998</v>
      </c>
    </row>
    <row r="1361" spans="1:3" ht="15.5">
      <c r="A1361" s="29">
        <v>42635</v>
      </c>
      <c r="B1361" s="28">
        <v>1.6108</v>
      </c>
      <c r="C1361" s="28">
        <v>5776040676.96</v>
      </c>
    </row>
    <row r="1362" spans="1:3" ht="15.5">
      <c r="A1362" s="29">
        <v>42634</v>
      </c>
      <c r="B1362" s="28">
        <v>1.6108</v>
      </c>
      <c r="C1362" s="28">
        <v>5776040676.96</v>
      </c>
    </row>
    <row r="1363" spans="1:3" ht="15.5">
      <c r="A1363" s="29">
        <v>42633</v>
      </c>
      <c r="B1363" s="28">
        <v>1.6257999999999999</v>
      </c>
      <c r="C1363" s="28">
        <v>5829522535.0799999</v>
      </c>
    </row>
    <row r="1364" spans="1:3" ht="15.5">
      <c r="A1364" s="29">
        <v>42632</v>
      </c>
      <c r="B1364" s="28">
        <v>1.6108</v>
      </c>
      <c r="C1364" s="28">
        <v>5776040676.96</v>
      </c>
    </row>
    <row r="1365" spans="1:3" ht="15.5">
      <c r="A1365" s="29">
        <v>42629</v>
      </c>
      <c r="B1365" s="28">
        <v>1.5959000000000001</v>
      </c>
      <c r="C1365" s="28">
        <v>5722558818.8400002</v>
      </c>
    </row>
    <row r="1366" spans="1:3" ht="15.5">
      <c r="A1366" s="29">
        <v>42628</v>
      </c>
      <c r="B1366" s="28">
        <v>1.5411999999999999</v>
      </c>
      <c r="C1366" s="28">
        <v>5526458672.3999996</v>
      </c>
    </row>
    <row r="1367" spans="1:3" ht="15.5">
      <c r="A1367" s="29">
        <v>42627</v>
      </c>
      <c r="B1367" s="28">
        <v>1.5411999999999999</v>
      </c>
      <c r="C1367" s="28">
        <v>5526458672.3999996</v>
      </c>
    </row>
    <row r="1368" spans="1:3" ht="15.5">
      <c r="A1368" s="29">
        <v>42626</v>
      </c>
      <c r="B1368" s="28">
        <v>1.5610999999999999</v>
      </c>
      <c r="C1368" s="28">
        <v>5597767816.5600004</v>
      </c>
    </row>
    <row r="1369" spans="1:3" ht="15.5">
      <c r="A1369" s="29">
        <v>42625</v>
      </c>
      <c r="B1369" s="28">
        <v>1.5661</v>
      </c>
      <c r="C1369" s="28">
        <v>5615595102.6000004</v>
      </c>
    </row>
    <row r="1370" spans="1:3" ht="15.5">
      <c r="A1370" s="29">
        <v>42622</v>
      </c>
      <c r="B1370" s="28">
        <v>1.6208</v>
      </c>
      <c r="C1370" s="28">
        <v>5811695249.04</v>
      </c>
    </row>
    <row r="1371" spans="1:3" ht="15.5">
      <c r="A1371" s="29">
        <v>42621</v>
      </c>
      <c r="B1371" s="28">
        <v>1.6208</v>
      </c>
      <c r="C1371" s="28">
        <v>5811695249.04</v>
      </c>
    </row>
    <row r="1372" spans="1:3" ht="15.5">
      <c r="A1372" s="29">
        <v>42620</v>
      </c>
      <c r="B1372" s="28">
        <v>1.6506000000000001</v>
      </c>
      <c r="C1372" s="28">
        <v>5918658965.2799997</v>
      </c>
    </row>
    <row r="1373" spans="1:3" ht="15.5">
      <c r="A1373" s="29">
        <v>42619</v>
      </c>
      <c r="B1373" s="28">
        <v>1.6556</v>
      </c>
      <c r="C1373" s="28">
        <v>5936486251.3199997</v>
      </c>
    </row>
    <row r="1374" spans="1:3" ht="15.5">
      <c r="A1374" s="29">
        <v>42618</v>
      </c>
      <c r="B1374" s="28">
        <v>1.6805000000000001</v>
      </c>
      <c r="C1374" s="28">
        <v>6025622681.5200005</v>
      </c>
    </row>
    <row r="1375" spans="1:3" ht="15.5">
      <c r="A1375" s="29">
        <v>42615</v>
      </c>
      <c r="B1375" s="28">
        <v>1.6606000000000001</v>
      </c>
      <c r="C1375" s="28">
        <v>5954313537.3599997</v>
      </c>
    </row>
    <row r="1376" spans="1:3" ht="15.5">
      <c r="A1376" s="29">
        <v>42614</v>
      </c>
      <c r="B1376" s="28">
        <v>1.6954</v>
      </c>
      <c r="C1376" s="28">
        <v>6079104539.6400003</v>
      </c>
    </row>
    <row r="1377" spans="1:3" ht="15.5">
      <c r="A1377" s="29">
        <v>42613</v>
      </c>
      <c r="B1377" s="28">
        <v>1.7102999999999999</v>
      </c>
      <c r="C1377" s="28">
        <v>6132586397.7600002</v>
      </c>
    </row>
    <row r="1378" spans="1:3" ht="15.5">
      <c r="A1378" s="29">
        <v>42612</v>
      </c>
      <c r="B1378" s="28">
        <v>1.7351000000000001</v>
      </c>
      <c r="C1378" s="28">
        <v>6221722827.96</v>
      </c>
    </row>
    <row r="1379" spans="1:3" ht="15.5">
      <c r="A1379" s="29">
        <v>42611</v>
      </c>
      <c r="B1379" s="28">
        <v>1.7153</v>
      </c>
      <c r="C1379" s="28">
        <v>6150413683.8000002</v>
      </c>
    </row>
    <row r="1380" spans="1:3" ht="15.5">
      <c r="A1380" s="29">
        <v>42608</v>
      </c>
      <c r="B1380" s="28">
        <v>1.7202</v>
      </c>
      <c r="C1380" s="28">
        <v>6168240969.8400002</v>
      </c>
    </row>
    <row r="1381" spans="1:3" ht="15.5">
      <c r="A1381" s="29">
        <v>42607</v>
      </c>
      <c r="B1381" s="28">
        <v>1.7153</v>
      </c>
      <c r="C1381" s="28">
        <v>6150413683.8000002</v>
      </c>
    </row>
    <row r="1382" spans="1:3" ht="15.5">
      <c r="A1382" s="29">
        <v>42606</v>
      </c>
      <c r="B1382" s="28">
        <v>1.6854</v>
      </c>
      <c r="C1382" s="28">
        <v>6043449967.5600004</v>
      </c>
    </row>
    <row r="1383" spans="1:3" ht="15.5">
      <c r="A1383" s="29">
        <v>42605</v>
      </c>
      <c r="B1383" s="28">
        <v>1.6854</v>
      </c>
      <c r="C1383" s="28">
        <v>6043449967.5600004</v>
      </c>
    </row>
    <row r="1384" spans="1:3" ht="15.5">
      <c r="A1384" s="29">
        <v>42604</v>
      </c>
      <c r="B1384" s="28">
        <v>1.7053</v>
      </c>
      <c r="C1384" s="28">
        <v>6114759111.7200003</v>
      </c>
    </row>
    <row r="1385" spans="1:3" ht="15.5">
      <c r="A1385" s="29">
        <v>42601</v>
      </c>
      <c r="B1385" s="28">
        <v>1.6854</v>
      </c>
      <c r="C1385" s="28">
        <v>6043449967.5600004</v>
      </c>
    </row>
    <row r="1386" spans="1:3" ht="15.5">
      <c r="A1386" s="29">
        <v>42600</v>
      </c>
      <c r="B1386" s="28">
        <v>1.6606000000000001</v>
      </c>
      <c r="C1386" s="28">
        <v>5954313537.3599997</v>
      </c>
    </row>
    <row r="1387" spans="1:3" ht="15.5">
      <c r="A1387" s="29">
        <v>42599</v>
      </c>
      <c r="B1387" s="28">
        <v>1.6655</v>
      </c>
      <c r="C1387" s="28">
        <v>5972140823.3999996</v>
      </c>
    </row>
    <row r="1388" spans="1:3" ht="15.5">
      <c r="A1388" s="29">
        <v>42598</v>
      </c>
      <c r="B1388" s="28">
        <v>1.6506000000000001</v>
      </c>
      <c r="C1388" s="28">
        <v>5918658965.2799997</v>
      </c>
    </row>
    <row r="1389" spans="1:3" ht="15.5">
      <c r="A1389" s="29">
        <v>42597</v>
      </c>
      <c r="B1389" s="28">
        <v>1.6805000000000001</v>
      </c>
      <c r="C1389" s="28">
        <v>6025622681.5200005</v>
      </c>
    </row>
    <row r="1390" spans="1:3" ht="15.5">
      <c r="A1390" s="29">
        <v>42594</v>
      </c>
      <c r="B1390" s="28">
        <v>1.6755</v>
      </c>
      <c r="C1390" s="28">
        <v>6007795395.4799995</v>
      </c>
    </row>
    <row r="1391" spans="1:3" ht="15.5">
      <c r="A1391" s="29">
        <v>42593</v>
      </c>
      <c r="B1391" s="28">
        <v>1.6805000000000001</v>
      </c>
      <c r="C1391" s="28">
        <v>6025622681.5200005</v>
      </c>
    </row>
    <row r="1392" spans="1:3" ht="15.5">
      <c r="A1392" s="29">
        <v>42592</v>
      </c>
      <c r="B1392" s="28">
        <v>1.7053</v>
      </c>
      <c r="C1392" s="28">
        <v>6114759111.7200003</v>
      </c>
    </row>
    <row r="1393" spans="1:3" ht="15.5">
      <c r="A1393" s="29">
        <v>42591</v>
      </c>
      <c r="B1393" s="28">
        <v>1.7202</v>
      </c>
      <c r="C1393" s="28">
        <v>6168240969.8400002</v>
      </c>
    </row>
    <row r="1394" spans="1:3" ht="15.5">
      <c r="A1394" s="29">
        <v>42590</v>
      </c>
      <c r="B1394" s="28">
        <v>1.7351000000000001</v>
      </c>
      <c r="C1394" s="28">
        <v>6221722827.96</v>
      </c>
    </row>
    <row r="1395" spans="1:3" ht="15.5">
      <c r="A1395" s="29">
        <v>42587</v>
      </c>
      <c r="B1395" s="28">
        <v>1.7202</v>
      </c>
      <c r="C1395" s="28">
        <v>6168240969.8400002</v>
      </c>
    </row>
    <row r="1396" spans="1:3" ht="15.5">
      <c r="A1396" s="29">
        <v>42586</v>
      </c>
      <c r="B1396" s="28">
        <v>1.7202</v>
      </c>
      <c r="C1396" s="28">
        <v>6168240969.8400002</v>
      </c>
    </row>
    <row r="1397" spans="1:3" ht="15.5">
      <c r="A1397" s="29">
        <v>42585</v>
      </c>
      <c r="B1397" s="28">
        <v>1.7302</v>
      </c>
      <c r="C1397" s="28">
        <v>6203895541.9200001</v>
      </c>
    </row>
    <row r="1398" spans="1:3" ht="15.5">
      <c r="A1398" s="29">
        <v>42584</v>
      </c>
      <c r="B1398" s="28">
        <v>1.7699</v>
      </c>
      <c r="C1398" s="28">
        <v>6346513830.2399998</v>
      </c>
    </row>
    <row r="1399" spans="1:3" ht="15.5">
      <c r="A1399" s="29">
        <v>42583</v>
      </c>
      <c r="B1399" s="28">
        <v>1.7699</v>
      </c>
      <c r="C1399" s="28">
        <v>6346513830.2399998</v>
      </c>
    </row>
    <row r="1400" spans="1:3" ht="15.5">
      <c r="A1400" s="29">
        <v>42580</v>
      </c>
      <c r="B1400" s="28">
        <v>1.76</v>
      </c>
      <c r="C1400" s="28">
        <v>6310859258.1599998</v>
      </c>
    </row>
    <row r="1401" spans="1:3" ht="15.5">
      <c r="A1401" s="29">
        <v>42579</v>
      </c>
      <c r="B1401" s="28">
        <v>1.7302</v>
      </c>
      <c r="C1401" s="28">
        <v>6203895541.9200001</v>
      </c>
    </row>
    <row r="1402" spans="1:3" ht="15.5">
      <c r="A1402" s="29">
        <v>42578</v>
      </c>
      <c r="B1402" s="28">
        <v>1.7202</v>
      </c>
      <c r="C1402" s="28">
        <v>6168240969.8400002</v>
      </c>
    </row>
    <row r="1403" spans="1:3" ht="15.5">
      <c r="A1403" s="29">
        <v>42577</v>
      </c>
      <c r="B1403" s="28">
        <v>1.7451000000000001</v>
      </c>
      <c r="C1403" s="28">
        <v>6257377400.04</v>
      </c>
    </row>
    <row r="1404" spans="1:3" ht="15.5">
      <c r="A1404" s="29">
        <v>42576</v>
      </c>
      <c r="B1404" s="28">
        <v>1.7351000000000001</v>
      </c>
      <c r="C1404" s="28">
        <v>6221722827.96</v>
      </c>
    </row>
    <row r="1405" spans="1:3" ht="15.5">
      <c r="A1405" s="29">
        <v>42573</v>
      </c>
      <c r="B1405" s="28">
        <v>1.7302</v>
      </c>
      <c r="C1405" s="28">
        <v>6203895541.9200001</v>
      </c>
    </row>
    <row r="1406" spans="1:3" ht="15.5">
      <c r="A1406" s="29">
        <v>42572</v>
      </c>
      <c r="B1406" s="28">
        <v>1.7102999999999999</v>
      </c>
      <c r="C1406" s="28">
        <v>6132586397.7600002</v>
      </c>
    </row>
    <row r="1407" spans="1:3" ht="15.5">
      <c r="A1407" s="29">
        <v>42571</v>
      </c>
      <c r="B1407" s="28">
        <v>1.7102999999999999</v>
      </c>
      <c r="C1407" s="28">
        <v>6132586397.7600002</v>
      </c>
    </row>
    <row r="1408" spans="1:3" ht="15.5">
      <c r="A1408" s="29">
        <v>42570</v>
      </c>
      <c r="B1408" s="28">
        <v>1.6903999999999999</v>
      </c>
      <c r="C1408" s="28">
        <v>6061277253.6000004</v>
      </c>
    </row>
    <row r="1409" spans="1:3" ht="15.5">
      <c r="A1409" s="29">
        <v>42569</v>
      </c>
      <c r="B1409" s="28">
        <v>1.6805000000000001</v>
      </c>
      <c r="C1409" s="28">
        <v>6025622681.5200005</v>
      </c>
    </row>
    <row r="1410" spans="1:3" ht="15.5">
      <c r="A1410" s="29">
        <v>42566</v>
      </c>
      <c r="B1410" s="28">
        <v>1.6606000000000001</v>
      </c>
      <c r="C1410" s="28">
        <v>5954313537.3599997</v>
      </c>
    </row>
    <row r="1411" spans="1:3" ht="15.5">
      <c r="A1411" s="29">
        <v>42565</v>
      </c>
      <c r="B1411" s="28">
        <v>1.6456</v>
      </c>
      <c r="C1411" s="28">
        <v>5900831679.2399998</v>
      </c>
    </row>
    <row r="1412" spans="1:3" ht="15.5">
      <c r="A1412" s="29">
        <v>42564</v>
      </c>
      <c r="B1412" s="28">
        <v>1.6356999999999999</v>
      </c>
      <c r="C1412" s="28">
        <v>5865177107.1599998</v>
      </c>
    </row>
    <row r="1413" spans="1:3" ht="15.5">
      <c r="A1413" s="29">
        <v>42563</v>
      </c>
      <c r="B1413" s="28">
        <v>1.6108</v>
      </c>
      <c r="C1413" s="28">
        <v>5776040676.96</v>
      </c>
    </row>
    <row r="1414" spans="1:3" ht="15.5">
      <c r="A1414" s="29">
        <v>42562</v>
      </c>
      <c r="B1414" s="28">
        <v>1.6208</v>
      </c>
      <c r="C1414" s="28">
        <v>5811695249.04</v>
      </c>
    </row>
    <row r="1415" spans="1:3" ht="15.5">
      <c r="A1415" s="29">
        <v>42559</v>
      </c>
      <c r="B1415" s="28">
        <v>1.6108</v>
      </c>
      <c r="C1415" s="28">
        <v>5776040676.96</v>
      </c>
    </row>
    <row r="1416" spans="1:3" ht="15.5">
      <c r="A1416" s="29">
        <v>42558</v>
      </c>
      <c r="B1416" s="28">
        <v>1.6208</v>
      </c>
      <c r="C1416" s="28">
        <v>5811695249.04</v>
      </c>
    </row>
    <row r="1417" spans="1:3" ht="15.5">
      <c r="A1417" s="29">
        <v>42557</v>
      </c>
      <c r="B1417" s="28">
        <v>1.6307</v>
      </c>
      <c r="C1417" s="28">
        <v>5847349821.1199999</v>
      </c>
    </row>
    <row r="1418" spans="1:3" ht="15.5">
      <c r="A1418" s="29">
        <v>42556</v>
      </c>
      <c r="B1418" s="28">
        <v>1.6456</v>
      </c>
      <c r="C1418" s="28">
        <v>5900831679.2399998</v>
      </c>
    </row>
    <row r="1419" spans="1:3" ht="15.5">
      <c r="A1419" s="29">
        <v>42555</v>
      </c>
      <c r="B1419" s="28">
        <v>1.6456</v>
      </c>
      <c r="C1419" s="28">
        <v>5900831679.2399998</v>
      </c>
    </row>
    <row r="1420" spans="1:3" ht="15.5">
      <c r="A1420" s="29">
        <v>42552</v>
      </c>
      <c r="B1420" s="28">
        <v>1.6208</v>
      </c>
      <c r="C1420" s="28">
        <v>5811695249.04</v>
      </c>
    </row>
    <row r="1421" spans="1:3" ht="15.5">
      <c r="A1421" s="29">
        <v>42551</v>
      </c>
      <c r="B1421" s="28">
        <v>1.6307</v>
      </c>
      <c r="C1421" s="28">
        <v>5847349821.1199999</v>
      </c>
    </row>
    <row r="1422" spans="1:3" ht="15.5">
      <c r="A1422" s="29">
        <v>42550</v>
      </c>
      <c r="B1422" s="28">
        <v>1.5860000000000001</v>
      </c>
      <c r="C1422" s="28">
        <v>5686904246.7600002</v>
      </c>
    </row>
    <row r="1423" spans="1:3" ht="15.5">
      <c r="A1423" s="29">
        <v>42549</v>
      </c>
      <c r="B1423" s="28">
        <v>1.581</v>
      </c>
      <c r="C1423" s="28">
        <v>5669076960.7200003</v>
      </c>
    </row>
    <row r="1424" spans="1:3" ht="15.5">
      <c r="A1424" s="29">
        <v>42548</v>
      </c>
      <c r="B1424" s="28">
        <v>1.581</v>
      </c>
      <c r="C1424" s="28">
        <v>5669076960.7200003</v>
      </c>
    </row>
    <row r="1425" spans="1:3" ht="15.5">
      <c r="A1425" s="29">
        <v>42545</v>
      </c>
      <c r="B1425" s="28">
        <v>1.5661</v>
      </c>
      <c r="C1425" s="28">
        <v>5615595102.6000004</v>
      </c>
    </row>
    <row r="1426" spans="1:3" ht="15.5">
      <c r="A1426" s="29">
        <v>42544</v>
      </c>
      <c r="B1426" s="28">
        <v>1.5959000000000001</v>
      </c>
      <c r="C1426" s="28">
        <v>5722558818.8400002</v>
      </c>
    </row>
    <row r="1427" spans="1:3" ht="15.5">
      <c r="A1427" s="29">
        <v>42543</v>
      </c>
      <c r="B1427" s="28">
        <v>1.5860000000000001</v>
      </c>
      <c r="C1427" s="28">
        <v>5686904246.7600002</v>
      </c>
    </row>
    <row r="1428" spans="1:3" ht="15.5">
      <c r="A1428" s="29">
        <v>42542</v>
      </c>
      <c r="B1428" s="28">
        <v>1.591</v>
      </c>
      <c r="C1428" s="28">
        <v>5660216240</v>
      </c>
    </row>
    <row r="1429" spans="1:3" ht="15.5">
      <c r="A1429" s="29">
        <v>42541</v>
      </c>
      <c r="B1429" s="28">
        <v>1.581</v>
      </c>
      <c r="C1429" s="28">
        <v>5624839888.5</v>
      </c>
    </row>
    <row r="1430" spans="1:3" ht="15.5">
      <c r="A1430" s="29">
        <v>42538</v>
      </c>
      <c r="B1430" s="28">
        <v>1.5760000000000001</v>
      </c>
      <c r="C1430" s="28">
        <v>5607151712.75</v>
      </c>
    </row>
    <row r="1431" spans="1:3" ht="15.5">
      <c r="A1431" s="29">
        <v>42537</v>
      </c>
      <c r="B1431" s="28">
        <v>1.581</v>
      </c>
      <c r="C1431" s="28">
        <v>5624839888.5</v>
      </c>
    </row>
    <row r="1432" spans="1:3" ht="15.5">
      <c r="A1432" s="29">
        <v>42536</v>
      </c>
      <c r="B1432" s="28">
        <v>1.5661</v>
      </c>
      <c r="C1432" s="28">
        <v>5571775361.25</v>
      </c>
    </row>
    <row r="1433" spans="1:3" ht="15.5">
      <c r="A1433" s="29">
        <v>42535</v>
      </c>
      <c r="B1433" s="28">
        <v>1.5661</v>
      </c>
      <c r="C1433" s="28">
        <v>5571775361.25</v>
      </c>
    </row>
    <row r="1434" spans="1:3" ht="15.5">
      <c r="A1434" s="29">
        <v>42531</v>
      </c>
      <c r="B1434" s="28">
        <v>1.5661</v>
      </c>
      <c r="C1434" s="28">
        <v>5571775361.25</v>
      </c>
    </row>
    <row r="1435" spans="1:3" ht="15.5">
      <c r="A1435" s="29">
        <v>42530</v>
      </c>
      <c r="B1435" s="28">
        <v>1.5610999999999999</v>
      </c>
      <c r="C1435" s="28">
        <v>5554087185.5</v>
      </c>
    </row>
    <row r="1436" spans="1:3" ht="15.5">
      <c r="A1436" s="29">
        <v>42529</v>
      </c>
      <c r="B1436" s="28">
        <v>1.5610999999999999</v>
      </c>
      <c r="C1436" s="28">
        <v>5554087185.5</v>
      </c>
    </row>
    <row r="1437" spans="1:3" ht="15.5">
      <c r="A1437" s="29">
        <v>42528</v>
      </c>
      <c r="B1437" s="28">
        <v>1.5511999999999999</v>
      </c>
      <c r="C1437" s="28">
        <v>5518710834</v>
      </c>
    </row>
    <row r="1438" spans="1:3" ht="15.5">
      <c r="A1438" s="29">
        <v>42527</v>
      </c>
      <c r="B1438" s="28">
        <v>1.5462</v>
      </c>
      <c r="C1438" s="28">
        <v>5501022658.25</v>
      </c>
    </row>
    <row r="1439" spans="1:3" ht="15.5">
      <c r="A1439" s="29">
        <v>42524</v>
      </c>
      <c r="B1439" s="28">
        <v>1.5214000000000001</v>
      </c>
      <c r="C1439" s="28">
        <v>5412581779.5</v>
      </c>
    </row>
    <row r="1440" spans="1:3" ht="15.5">
      <c r="A1440" s="29">
        <v>42523</v>
      </c>
      <c r="B1440" s="28">
        <v>1.5214000000000001</v>
      </c>
      <c r="C1440" s="28">
        <v>5412581779.5</v>
      </c>
    </row>
    <row r="1441" spans="1:3" ht="15.5">
      <c r="A1441" s="29">
        <v>42522</v>
      </c>
      <c r="B1441" s="28">
        <v>1.5363</v>
      </c>
      <c r="C1441" s="28">
        <v>5465646306.75</v>
      </c>
    </row>
    <row r="1442" spans="1:3" ht="15.5">
      <c r="A1442" s="29">
        <v>42521</v>
      </c>
      <c r="B1442" s="28">
        <v>1.5661</v>
      </c>
      <c r="C1442" s="28">
        <v>5571775361.25</v>
      </c>
    </row>
    <row r="1443" spans="1:3" ht="15.5">
      <c r="A1443" s="29">
        <v>42520</v>
      </c>
      <c r="B1443" s="28">
        <v>1.5661</v>
      </c>
      <c r="C1443" s="28">
        <v>5571775361.25</v>
      </c>
    </row>
    <row r="1444" spans="1:3" ht="15.5">
      <c r="A1444" s="29">
        <v>42517</v>
      </c>
      <c r="B1444" s="28">
        <v>1.5661</v>
      </c>
      <c r="C1444" s="28">
        <v>5571775361.25</v>
      </c>
    </row>
    <row r="1445" spans="1:3" ht="15.5">
      <c r="A1445" s="29">
        <v>42516</v>
      </c>
      <c r="B1445" s="28">
        <v>1.5511999999999999</v>
      </c>
      <c r="C1445" s="28">
        <v>5518710834</v>
      </c>
    </row>
    <row r="1446" spans="1:3" ht="15.5">
      <c r="A1446" s="29">
        <v>42515</v>
      </c>
      <c r="B1446" s="28">
        <v>1.5562</v>
      </c>
      <c r="C1446" s="28">
        <v>5536399009.75</v>
      </c>
    </row>
    <row r="1447" spans="1:3" ht="15.5">
      <c r="A1447" s="29">
        <v>42514</v>
      </c>
      <c r="B1447" s="28">
        <v>1.5462</v>
      </c>
      <c r="C1447" s="28">
        <v>5501022658.25</v>
      </c>
    </row>
    <row r="1448" spans="1:3" ht="15.5">
      <c r="A1448" s="29">
        <v>42513</v>
      </c>
      <c r="B1448" s="28">
        <v>1.5462</v>
      </c>
      <c r="C1448" s="28">
        <v>5501022658.25</v>
      </c>
    </row>
    <row r="1449" spans="1:3" ht="15.5">
      <c r="A1449" s="29">
        <v>42510</v>
      </c>
      <c r="B1449" s="28">
        <v>1.5610999999999999</v>
      </c>
      <c r="C1449" s="28">
        <v>5554087185.5</v>
      </c>
    </row>
    <row r="1450" spans="1:3" ht="15.5">
      <c r="A1450" s="29">
        <v>42509</v>
      </c>
      <c r="B1450" s="28">
        <v>1.5610999999999999</v>
      </c>
      <c r="C1450" s="28">
        <v>5554087185.5</v>
      </c>
    </row>
    <row r="1451" spans="1:3" ht="15.5">
      <c r="A1451" s="29">
        <v>42508</v>
      </c>
      <c r="B1451" s="28">
        <v>1.6059000000000001</v>
      </c>
      <c r="C1451" s="28">
        <v>5713280767.25</v>
      </c>
    </row>
    <row r="1452" spans="1:3" ht="15.5">
      <c r="A1452" s="29">
        <v>42507</v>
      </c>
      <c r="B1452" s="28">
        <v>1.6257999999999999</v>
      </c>
      <c r="C1452" s="28">
        <v>5784033470.25</v>
      </c>
    </row>
    <row r="1453" spans="1:3" ht="15.5">
      <c r="A1453" s="29">
        <v>42506</v>
      </c>
      <c r="B1453" s="28">
        <v>1.5959000000000001</v>
      </c>
      <c r="C1453" s="28">
        <v>5677904415.75</v>
      </c>
    </row>
    <row r="1454" spans="1:3" ht="15.5">
      <c r="A1454" s="29">
        <v>42503</v>
      </c>
      <c r="B1454" s="28">
        <v>1.6407</v>
      </c>
      <c r="C1454" s="28">
        <v>5837097997.5</v>
      </c>
    </row>
    <row r="1455" spans="1:3" ht="15.5">
      <c r="A1455" s="29">
        <v>42502</v>
      </c>
      <c r="B1455" s="28">
        <v>1.6108</v>
      </c>
      <c r="C1455" s="28">
        <v>5730968943</v>
      </c>
    </row>
    <row r="1456" spans="1:3" ht="15.5">
      <c r="A1456" s="29">
        <v>42501</v>
      </c>
      <c r="B1456" s="28">
        <v>1.6108</v>
      </c>
      <c r="C1456" s="28">
        <v>5730968943</v>
      </c>
    </row>
    <row r="1457" spans="1:3" ht="15.5">
      <c r="A1457" s="29">
        <v>42500</v>
      </c>
      <c r="B1457" s="28">
        <v>1.6009</v>
      </c>
      <c r="C1457" s="28">
        <v>5695592591.5</v>
      </c>
    </row>
    <row r="1458" spans="1:3" ht="15.5">
      <c r="A1458" s="29">
        <v>42499</v>
      </c>
      <c r="B1458" s="28">
        <v>1.5959000000000001</v>
      </c>
      <c r="C1458" s="28">
        <v>5677904415.75</v>
      </c>
    </row>
    <row r="1459" spans="1:3" ht="15.5">
      <c r="A1459" s="29">
        <v>42496</v>
      </c>
      <c r="B1459" s="28">
        <v>1.591</v>
      </c>
      <c r="C1459" s="28">
        <v>5660216240</v>
      </c>
    </row>
    <row r="1460" spans="1:3" ht="15.5">
      <c r="A1460" s="29">
        <v>42495</v>
      </c>
      <c r="B1460" s="28">
        <v>1.5710999999999999</v>
      </c>
      <c r="C1460" s="28">
        <v>5589463537</v>
      </c>
    </row>
    <row r="1461" spans="1:3" ht="15.5">
      <c r="A1461" s="29">
        <v>42494</v>
      </c>
      <c r="B1461" s="28">
        <v>1.5610999999999999</v>
      </c>
      <c r="C1461" s="28">
        <v>5554087185.5</v>
      </c>
    </row>
    <row r="1462" spans="1:3" ht="15.5">
      <c r="A1462" s="29">
        <v>42493</v>
      </c>
      <c r="B1462" s="28">
        <v>1.5610999999999999</v>
      </c>
      <c r="C1462" s="28">
        <v>5554087185.5</v>
      </c>
    </row>
    <row r="1463" spans="1:3" ht="15.5">
      <c r="A1463" s="29">
        <v>42492</v>
      </c>
      <c r="B1463" s="28">
        <v>1.5263</v>
      </c>
      <c r="C1463" s="28">
        <v>5430269955.25</v>
      </c>
    </row>
    <row r="1464" spans="1:3" ht="15.5">
      <c r="A1464" s="29">
        <v>42489</v>
      </c>
      <c r="B1464" s="28">
        <v>1.5263</v>
      </c>
      <c r="C1464" s="28">
        <v>5430269955.25</v>
      </c>
    </row>
    <row r="1465" spans="1:3" ht="15.5">
      <c r="A1465" s="29">
        <v>42488</v>
      </c>
      <c r="B1465" s="28">
        <v>1.5214000000000001</v>
      </c>
      <c r="C1465" s="28">
        <v>5412581779.5</v>
      </c>
    </row>
    <row r="1466" spans="1:3" ht="15.5">
      <c r="A1466" s="29">
        <v>42487</v>
      </c>
      <c r="B1466" s="28">
        <v>1.5164</v>
      </c>
      <c r="C1466" s="28">
        <v>5394893603.75</v>
      </c>
    </row>
    <row r="1467" spans="1:3" ht="15.5">
      <c r="A1467" s="29">
        <v>42486</v>
      </c>
      <c r="B1467" s="28">
        <v>1.5164</v>
      </c>
      <c r="C1467" s="28">
        <v>5394893603.75</v>
      </c>
    </row>
    <row r="1468" spans="1:3" ht="15.5">
      <c r="A1468" s="29">
        <v>42482</v>
      </c>
      <c r="B1468" s="28">
        <v>1.5164</v>
      </c>
      <c r="C1468" s="28">
        <v>5394893603.75</v>
      </c>
    </row>
    <row r="1469" spans="1:3" ht="15.5">
      <c r="A1469" s="29">
        <v>42481</v>
      </c>
      <c r="B1469" s="28">
        <v>1.5411999999999999</v>
      </c>
      <c r="C1469" s="28">
        <v>5483334482.5</v>
      </c>
    </row>
    <row r="1470" spans="1:3" ht="15.5">
      <c r="A1470" s="29">
        <v>42480</v>
      </c>
      <c r="B1470" s="28">
        <v>1.5164</v>
      </c>
      <c r="C1470" s="28">
        <v>5394893603.75</v>
      </c>
    </row>
    <row r="1471" spans="1:3" ht="15.5">
      <c r="A1471" s="29">
        <v>42479</v>
      </c>
      <c r="B1471" s="28">
        <v>1.5263</v>
      </c>
      <c r="C1471" s="28">
        <v>5430269955.25</v>
      </c>
    </row>
    <row r="1472" spans="1:3" ht="15.5">
      <c r="A1472" s="29">
        <v>42478</v>
      </c>
      <c r="B1472" s="28">
        <v>1.5164</v>
      </c>
      <c r="C1472" s="28">
        <v>5394893603.75</v>
      </c>
    </row>
    <row r="1473" spans="1:3" ht="15.5">
      <c r="A1473" s="29">
        <v>42475</v>
      </c>
      <c r="B1473" s="28">
        <v>1.5164</v>
      </c>
      <c r="C1473" s="28">
        <v>5394893603.75</v>
      </c>
    </row>
    <row r="1474" spans="1:3" ht="15.5">
      <c r="A1474" s="29">
        <v>42474</v>
      </c>
      <c r="B1474" s="28">
        <v>1.4915</v>
      </c>
      <c r="C1474" s="28">
        <v>5306452725</v>
      </c>
    </row>
    <row r="1475" spans="1:3" ht="15.5">
      <c r="A1475" s="29">
        <v>42473</v>
      </c>
      <c r="B1475" s="28">
        <v>1.4865999999999999</v>
      </c>
      <c r="C1475" s="28">
        <v>5288764549.25</v>
      </c>
    </row>
    <row r="1476" spans="1:3" ht="15.5">
      <c r="A1476" s="29">
        <v>42472</v>
      </c>
      <c r="B1476" s="28">
        <v>1.4716</v>
      </c>
      <c r="C1476" s="28">
        <v>5235700022</v>
      </c>
    </row>
    <row r="1477" spans="1:3" ht="15.5">
      <c r="A1477" s="29">
        <v>42471</v>
      </c>
      <c r="B1477" s="28">
        <v>1.4518</v>
      </c>
      <c r="C1477" s="28">
        <v>5164947319</v>
      </c>
    </row>
    <row r="1478" spans="1:3" ht="15.5">
      <c r="A1478" s="29">
        <v>42468</v>
      </c>
      <c r="B1478" s="28">
        <v>1.4418</v>
      </c>
      <c r="C1478" s="28">
        <v>5129570967.5</v>
      </c>
    </row>
    <row r="1479" spans="1:3" ht="15.5">
      <c r="A1479" s="29">
        <v>42467</v>
      </c>
      <c r="B1479" s="28">
        <v>1.4468000000000001</v>
      </c>
      <c r="C1479" s="28">
        <v>5147259143.25</v>
      </c>
    </row>
    <row r="1480" spans="1:3" ht="15.5">
      <c r="A1480" s="29">
        <v>42466</v>
      </c>
      <c r="B1480" s="28">
        <v>1.4418</v>
      </c>
      <c r="C1480" s="28">
        <v>5129570967.5</v>
      </c>
    </row>
    <row r="1481" spans="1:3" ht="15.5">
      <c r="A1481" s="29">
        <v>42465</v>
      </c>
      <c r="B1481" s="28">
        <v>1.4468000000000001</v>
      </c>
      <c r="C1481" s="28">
        <v>5147259143.25</v>
      </c>
    </row>
    <row r="1482" spans="1:3" ht="15.5">
      <c r="A1482" s="29">
        <v>42464</v>
      </c>
      <c r="B1482" s="28">
        <v>1.4617</v>
      </c>
      <c r="C1482" s="28">
        <v>5200323670.5</v>
      </c>
    </row>
    <row r="1483" spans="1:3" ht="15.5">
      <c r="A1483" s="29">
        <v>42461</v>
      </c>
      <c r="B1483" s="28">
        <v>1.4617</v>
      </c>
      <c r="C1483" s="28">
        <v>5200323670.5</v>
      </c>
    </row>
    <row r="1484" spans="1:3" ht="15.5">
      <c r="A1484" s="29">
        <v>42460</v>
      </c>
      <c r="B1484" s="28">
        <v>1.4816</v>
      </c>
      <c r="C1484" s="28">
        <v>5271076373.5</v>
      </c>
    </row>
    <row r="1485" spans="1:3" ht="15.5">
      <c r="A1485" s="29">
        <v>42459</v>
      </c>
      <c r="B1485" s="28">
        <v>1.4915</v>
      </c>
      <c r="C1485" s="28">
        <v>5263071678</v>
      </c>
    </row>
    <row r="1486" spans="1:3" ht="15.5">
      <c r="A1486" s="29">
        <v>42458</v>
      </c>
      <c r="B1486" s="28">
        <v>1.5164</v>
      </c>
      <c r="C1486" s="28">
        <v>5350789539.3000002</v>
      </c>
    </row>
    <row r="1487" spans="1:3" ht="15.5">
      <c r="A1487" s="29">
        <v>42453</v>
      </c>
      <c r="B1487" s="28">
        <v>1.5015000000000001</v>
      </c>
      <c r="C1487" s="28">
        <v>5298158822.5200005</v>
      </c>
    </row>
    <row r="1488" spans="1:3" ht="15.5">
      <c r="A1488" s="29">
        <v>42452</v>
      </c>
      <c r="B1488" s="28">
        <v>1.4816</v>
      </c>
      <c r="C1488" s="28">
        <v>5227984533.4799995</v>
      </c>
    </row>
    <row r="1489" spans="1:3" ht="15.5">
      <c r="A1489" s="29">
        <v>42451</v>
      </c>
      <c r="B1489" s="28">
        <v>1.4964999999999999</v>
      </c>
      <c r="C1489" s="28">
        <v>5280615250.2600002</v>
      </c>
    </row>
    <row r="1490" spans="1:3" ht="15.5">
      <c r="A1490" s="29">
        <v>42450</v>
      </c>
      <c r="B1490" s="28">
        <v>1.4765999999999999</v>
      </c>
      <c r="C1490" s="28">
        <v>5210440961.2200003</v>
      </c>
    </row>
    <row r="1491" spans="1:3" ht="15.5">
      <c r="A1491" s="29">
        <v>42447</v>
      </c>
      <c r="B1491" s="28">
        <v>1.4666999999999999</v>
      </c>
      <c r="C1491" s="28">
        <v>5175353816.6999998</v>
      </c>
    </row>
    <row r="1492" spans="1:3" ht="15.5">
      <c r="A1492" s="29">
        <v>42446</v>
      </c>
      <c r="B1492" s="28">
        <v>1.4518</v>
      </c>
      <c r="C1492" s="28">
        <v>5122723099.9200001</v>
      </c>
    </row>
    <row r="1493" spans="1:3" ht="15.5">
      <c r="A1493" s="29">
        <v>42445</v>
      </c>
      <c r="B1493" s="28">
        <v>1.4468000000000001</v>
      </c>
      <c r="C1493" s="28">
        <v>5105179527.6599998</v>
      </c>
    </row>
    <row r="1494" spans="1:3" ht="15.5">
      <c r="A1494" s="29">
        <v>42444</v>
      </c>
      <c r="B1494" s="28">
        <v>1.4368000000000001</v>
      </c>
      <c r="C1494" s="28">
        <v>5070092383.1400003</v>
      </c>
    </row>
    <row r="1495" spans="1:3" ht="15.5">
      <c r="A1495" s="29">
        <v>42443</v>
      </c>
      <c r="B1495" s="28">
        <v>1.4468000000000001</v>
      </c>
      <c r="C1495" s="28">
        <v>5105179527.6599998</v>
      </c>
    </row>
    <row r="1496" spans="1:3" ht="15.5">
      <c r="A1496" s="29">
        <v>42440</v>
      </c>
      <c r="B1496" s="28">
        <v>1.4666999999999999</v>
      </c>
      <c r="C1496" s="28">
        <v>5175353816.6999998</v>
      </c>
    </row>
    <row r="1497" spans="1:3" ht="15.5">
      <c r="A1497" s="29">
        <v>42439</v>
      </c>
      <c r="B1497" s="28">
        <v>1.4567000000000001</v>
      </c>
      <c r="C1497" s="28">
        <v>5140266672.1800003</v>
      </c>
    </row>
    <row r="1498" spans="1:3" ht="15.5">
      <c r="A1498" s="29">
        <v>42438</v>
      </c>
      <c r="B1498" s="28">
        <v>1.4617</v>
      </c>
      <c r="C1498" s="28">
        <v>5157810244.4399996</v>
      </c>
    </row>
    <row r="1499" spans="1:3" ht="15.5">
      <c r="A1499" s="29">
        <v>42437</v>
      </c>
      <c r="B1499" s="28">
        <v>1.4368000000000001</v>
      </c>
      <c r="C1499" s="28">
        <v>5070092383.1400003</v>
      </c>
    </row>
    <row r="1500" spans="1:3" ht="15.5">
      <c r="A1500" s="29">
        <v>42436</v>
      </c>
      <c r="B1500" s="28">
        <v>1.4269000000000001</v>
      </c>
      <c r="C1500" s="28">
        <v>5035005238.6199999</v>
      </c>
    </row>
    <row r="1501" spans="1:3" ht="15.5">
      <c r="A1501" s="29">
        <v>42433</v>
      </c>
      <c r="B1501" s="28">
        <v>1.4218999999999999</v>
      </c>
      <c r="C1501" s="28">
        <v>5017461666.3599997</v>
      </c>
    </row>
    <row r="1502" spans="1:3" ht="15.5">
      <c r="A1502" s="29">
        <v>42432</v>
      </c>
      <c r="B1502" s="28">
        <v>1.4418</v>
      </c>
      <c r="C1502" s="28">
        <v>5087635955.3999996</v>
      </c>
    </row>
    <row r="1503" spans="1:3" ht="15.5">
      <c r="A1503" s="29">
        <v>42431</v>
      </c>
      <c r="B1503" s="28">
        <v>1.4319</v>
      </c>
      <c r="C1503" s="28">
        <v>5052548810.8800001</v>
      </c>
    </row>
    <row r="1504" spans="1:3" ht="15.5">
      <c r="A1504" s="29">
        <v>42430</v>
      </c>
      <c r="B1504" s="28">
        <v>1.4418</v>
      </c>
      <c r="C1504" s="28">
        <v>5087635955.3999996</v>
      </c>
    </row>
    <row r="1505" spans="1:3" ht="15.5">
      <c r="A1505" s="29">
        <v>42429</v>
      </c>
      <c r="B1505" s="28">
        <v>1.4567000000000001</v>
      </c>
      <c r="C1505" s="28">
        <v>5140266672.1800003</v>
      </c>
    </row>
    <row r="1506" spans="1:3" ht="15.5">
      <c r="A1506" s="29">
        <v>42426</v>
      </c>
      <c r="B1506" s="28">
        <v>1.4468000000000001</v>
      </c>
      <c r="C1506" s="28">
        <v>5105179527.6599998</v>
      </c>
    </row>
    <row r="1507" spans="1:3" ht="15.5">
      <c r="A1507" s="29">
        <v>42425</v>
      </c>
      <c r="B1507" s="28">
        <v>1.4468000000000001</v>
      </c>
      <c r="C1507" s="28">
        <v>5105179527.6599998</v>
      </c>
    </row>
    <row r="1508" spans="1:3" ht="15.5">
      <c r="A1508" s="29">
        <v>42424</v>
      </c>
      <c r="B1508" s="28">
        <v>1.4368000000000001</v>
      </c>
      <c r="C1508" s="28">
        <v>5070092383.1400003</v>
      </c>
    </row>
    <row r="1509" spans="1:3" ht="15.5">
      <c r="A1509" s="29">
        <v>42423</v>
      </c>
      <c r="B1509" s="28">
        <v>1.4468000000000001</v>
      </c>
      <c r="C1509" s="28">
        <v>5105179527.6599998</v>
      </c>
    </row>
    <row r="1510" spans="1:3" ht="15.5">
      <c r="A1510" s="29">
        <v>42422</v>
      </c>
      <c r="B1510" s="28">
        <v>1.4567000000000001</v>
      </c>
      <c r="C1510" s="28">
        <v>5140266672.1800003</v>
      </c>
    </row>
    <row r="1511" spans="1:3" ht="15.5">
      <c r="A1511" s="29">
        <v>42419</v>
      </c>
      <c r="B1511" s="28">
        <v>1.4666999999999999</v>
      </c>
      <c r="C1511" s="28">
        <v>5175353816.6999998</v>
      </c>
    </row>
    <row r="1512" spans="1:3" ht="15.5">
      <c r="A1512" s="29">
        <v>42418</v>
      </c>
      <c r="B1512" s="28">
        <v>1.4816</v>
      </c>
      <c r="C1512" s="28">
        <v>5227984533.4799995</v>
      </c>
    </row>
    <row r="1513" spans="1:3" ht="15.5">
      <c r="A1513" s="29">
        <v>42417</v>
      </c>
      <c r="B1513" s="28">
        <v>1.4716</v>
      </c>
      <c r="C1513" s="28">
        <v>5192897388.96</v>
      </c>
    </row>
    <row r="1514" spans="1:3" ht="15.5">
      <c r="A1514" s="29">
        <v>42416</v>
      </c>
      <c r="B1514" s="28">
        <v>1.4666999999999999</v>
      </c>
      <c r="C1514" s="28">
        <v>5175353816.6999998</v>
      </c>
    </row>
    <row r="1515" spans="1:3" ht="15.5">
      <c r="A1515" s="29">
        <v>42415</v>
      </c>
      <c r="B1515" s="28">
        <v>1.4716</v>
      </c>
      <c r="C1515" s="28">
        <v>5192897388.96</v>
      </c>
    </row>
    <row r="1516" spans="1:3" ht="15.5">
      <c r="A1516" s="29">
        <v>42412</v>
      </c>
      <c r="B1516" s="28">
        <v>1.4518</v>
      </c>
      <c r="C1516" s="28">
        <v>5122723099.9200001</v>
      </c>
    </row>
    <row r="1517" spans="1:3" ht="15.5">
      <c r="A1517" s="29">
        <v>42411</v>
      </c>
      <c r="B1517" s="28">
        <v>1.4716</v>
      </c>
      <c r="C1517" s="28">
        <v>5192897388.96</v>
      </c>
    </row>
    <row r="1518" spans="1:3" ht="15.5">
      <c r="A1518" s="29">
        <v>42410</v>
      </c>
      <c r="B1518" s="28">
        <v>1.4666999999999999</v>
      </c>
      <c r="C1518" s="28">
        <v>5175353816.6999998</v>
      </c>
    </row>
    <row r="1519" spans="1:3" ht="15.5">
      <c r="A1519" s="29">
        <v>42409</v>
      </c>
      <c r="B1519" s="28">
        <v>1.4816</v>
      </c>
      <c r="C1519" s="28">
        <v>5227984533.4799995</v>
      </c>
    </row>
    <row r="1520" spans="1:3" ht="15.5">
      <c r="A1520" s="29">
        <v>42408</v>
      </c>
      <c r="B1520" s="28">
        <v>1.4964999999999999</v>
      </c>
      <c r="C1520" s="28">
        <v>5280615250.2600002</v>
      </c>
    </row>
    <row r="1521" spans="1:3" ht="15.5">
      <c r="A1521" s="29">
        <v>42405</v>
      </c>
      <c r="B1521" s="28">
        <v>1.4816</v>
      </c>
      <c r="C1521" s="28">
        <v>5227984533.4799995</v>
      </c>
    </row>
    <row r="1522" spans="1:3" ht="15.5">
      <c r="A1522" s="29">
        <v>42404</v>
      </c>
      <c r="B1522" s="28">
        <v>1.4765999999999999</v>
      </c>
      <c r="C1522" s="28">
        <v>5210440961.2200003</v>
      </c>
    </row>
    <row r="1523" spans="1:3" ht="15.5">
      <c r="A1523" s="29">
        <v>42403</v>
      </c>
      <c r="B1523" s="28">
        <v>1.4567000000000001</v>
      </c>
      <c r="C1523" s="28">
        <v>5140266672.1800003</v>
      </c>
    </row>
    <row r="1524" spans="1:3" ht="15.5">
      <c r="A1524" s="29">
        <v>42402</v>
      </c>
      <c r="B1524" s="28">
        <v>1.4716</v>
      </c>
      <c r="C1524" s="28">
        <v>5192897388.96</v>
      </c>
    </row>
    <row r="1525" spans="1:3" ht="15.5">
      <c r="A1525" s="29">
        <v>42401</v>
      </c>
      <c r="B1525" s="28">
        <v>1.4765999999999999</v>
      </c>
      <c r="C1525" s="28">
        <v>5210440961.2200003</v>
      </c>
    </row>
    <row r="1526" spans="1:3" ht="15.5">
      <c r="A1526" s="29">
        <v>42398</v>
      </c>
      <c r="B1526" s="28">
        <v>1.4567000000000001</v>
      </c>
      <c r="C1526" s="28">
        <v>5140266672.1800003</v>
      </c>
    </row>
    <row r="1527" spans="1:3" ht="15.5">
      <c r="A1527" s="29">
        <v>42397</v>
      </c>
      <c r="B1527" s="28">
        <v>1.4368000000000001</v>
      </c>
      <c r="C1527" s="28">
        <v>5070092383.1400003</v>
      </c>
    </row>
    <row r="1528" spans="1:3" ht="15.5">
      <c r="A1528" s="29">
        <v>42396</v>
      </c>
      <c r="B1528" s="28">
        <v>1.4617</v>
      </c>
      <c r="C1528" s="28">
        <v>5157810244.4399996</v>
      </c>
    </row>
    <row r="1529" spans="1:3" ht="15.5">
      <c r="A1529" s="29">
        <v>42394</v>
      </c>
      <c r="B1529" s="28">
        <v>1.4716</v>
      </c>
      <c r="C1529" s="28">
        <v>5192897388.96</v>
      </c>
    </row>
    <row r="1530" spans="1:3" ht="15.5">
      <c r="A1530" s="29">
        <v>42391</v>
      </c>
      <c r="B1530" s="28">
        <v>1.4518</v>
      </c>
      <c r="C1530" s="28">
        <v>5122723099.9200001</v>
      </c>
    </row>
    <row r="1531" spans="1:3" ht="15.5">
      <c r="A1531" s="29">
        <v>42390</v>
      </c>
      <c r="B1531" s="28">
        <v>1.4518</v>
      </c>
      <c r="C1531" s="28">
        <v>5122723099.9200001</v>
      </c>
    </row>
    <row r="1532" spans="1:3" ht="15.5">
      <c r="A1532" s="29">
        <v>42389</v>
      </c>
      <c r="B1532" s="28">
        <v>1.4468000000000001</v>
      </c>
      <c r="C1532" s="28">
        <v>5105179527.6599998</v>
      </c>
    </row>
    <row r="1533" spans="1:3" ht="15.5">
      <c r="A1533" s="29">
        <v>42388</v>
      </c>
      <c r="B1533" s="28">
        <v>1.4368000000000001</v>
      </c>
      <c r="C1533" s="28">
        <v>5070092383.1400003</v>
      </c>
    </row>
    <row r="1534" spans="1:3" ht="15.5">
      <c r="A1534" s="29">
        <v>42387</v>
      </c>
      <c r="B1534" s="28">
        <v>1.4169</v>
      </c>
      <c r="C1534" s="28">
        <v>4999918094.1000004</v>
      </c>
    </row>
    <row r="1535" spans="1:3" ht="15.5">
      <c r="A1535" s="29">
        <v>42384</v>
      </c>
      <c r="B1535" s="28">
        <v>1.4368000000000001</v>
      </c>
      <c r="C1535" s="28">
        <v>5070092383.1400003</v>
      </c>
    </row>
    <row r="1536" spans="1:3" ht="15.5">
      <c r="A1536" s="29">
        <v>42383</v>
      </c>
      <c r="B1536" s="28">
        <v>1.4119999999999999</v>
      </c>
      <c r="C1536" s="28">
        <v>4982374521.8400002</v>
      </c>
    </row>
    <row r="1537" spans="1:3" ht="15.5">
      <c r="A1537" s="29">
        <v>42382</v>
      </c>
      <c r="B1537" s="28">
        <v>1.4119999999999999</v>
      </c>
      <c r="C1537" s="28">
        <v>4982374521.8400002</v>
      </c>
    </row>
    <row r="1538" spans="1:3" ht="15.5">
      <c r="A1538" s="29">
        <v>42381</v>
      </c>
      <c r="B1538" s="28">
        <v>1.4218999999999999</v>
      </c>
      <c r="C1538" s="28">
        <v>5017461666.3599997</v>
      </c>
    </row>
    <row r="1539" spans="1:3" ht="15.5">
      <c r="A1539" s="29">
        <v>42380</v>
      </c>
      <c r="B1539" s="28">
        <v>1.4119999999999999</v>
      </c>
      <c r="C1539" s="28">
        <v>4982374521.8400002</v>
      </c>
    </row>
    <row r="1540" spans="1:3" ht="15.5">
      <c r="A1540" s="29">
        <v>42377</v>
      </c>
      <c r="B1540" s="28">
        <v>1.4269000000000001</v>
      </c>
      <c r="C1540" s="28">
        <v>5035005238.6199999</v>
      </c>
    </row>
    <row r="1541" spans="1:3" ht="15.5">
      <c r="A1541" s="29">
        <v>42376</v>
      </c>
      <c r="B1541" s="28">
        <v>1.4368000000000001</v>
      </c>
      <c r="C1541" s="28">
        <v>5070092383.1400003</v>
      </c>
    </row>
    <row r="1542" spans="1:3" ht="15.5">
      <c r="A1542" s="29">
        <v>42375</v>
      </c>
      <c r="B1542" s="28">
        <v>1.4368000000000001</v>
      </c>
      <c r="C1542" s="28">
        <v>5070092383.1400003</v>
      </c>
    </row>
    <row r="1543" spans="1:3" ht="15.5">
      <c r="A1543" s="29">
        <v>42374</v>
      </c>
      <c r="B1543" s="28">
        <v>1.4319</v>
      </c>
      <c r="C1543" s="28">
        <v>5052548810.8800001</v>
      </c>
    </row>
    <row r="1544" spans="1:3" ht="15.5">
      <c r="A1544" s="29">
        <v>42373</v>
      </c>
      <c r="B1544" s="28">
        <v>1.4567000000000001</v>
      </c>
      <c r="C1544" s="28">
        <v>5140266672.1800003</v>
      </c>
    </row>
    <row r="1545" spans="1:3" ht="15.5">
      <c r="A1545" s="29">
        <v>42369</v>
      </c>
      <c r="B1545" s="28">
        <v>1.4765999999999999</v>
      </c>
      <c r="C1545" s="28">
        <v>5210440961.2200003</v>
      </c>
    </row>
    <row r="1546" spans="1:3" ht="15.5">
      <c r="A1546" s="29">
        <v>42368</v>
      </c>
      <c r="B1546" s="28">
        <v>1.4716</v>
      </c>
      <c r="C1546" s="28">
        <v>5192897388.96</v>
      </c>
    </row>
    <row r="1547" spans="1:3" ht="15.5">
      <c r="A1547" s="29">
        <v>42367</v>
      </c>
      <c r="B1547" s="28">
        <v>1.4617</v>
      </c>
      <c r="C1547" s="28">
        <v>5157810244.4399996</v>
      </c>
    </row>
    <row r="1548" spans="1:3" ht="15.5">
      <c r="A1548" s="29">
        <v>42362</v>
      </c>
      <c r="B1548" s="28">
        <v>1.4468000000000001</v>
      </c>
      <c r="C1548" s="28">
        <v>5105179527.6599998</v>
      </c>
    </row>
    <row r="1549" spans="1:3" ht="15.5">
      <c r="A1549" s="29">
        <v>42361</v>
      </c>
      <c r="B1549" s="28">
        <v>1.4218999999999999</v>
      </c>
      <c r="C1549" s="28">
        <v>5017461666.3599997</v>
      </c>
    </row>
    <row r="1550" spans="1:3" ht="15.5">
      <c r="A1550" s="29">
        <v>42360</v>
      </c>
      <c r="B1550" s="28">
        <v>1.4169</v>
      </c>
      <c r="C1550" s="28">
        <v>4999918094.1000004</v>
      </c>
    </row>
    <row r="1551" spans="1:3" ht="15.5">
      <c r="A1551" s="29">
        <v>42359</v>
      </c>
      <c r="B1551" s="28">
        <v>1.407</v>
      </c>
      <c r="C1551" s="28">
        <v>4964830949.5799999</v>
      </c>
    </row>
    <row r="1552" spans="1:3" ht="15.5">
      <c r="A1552" s="29">
        <v>42356</v>
      </c>
      <c r="B1552" s="28">
        <v>1.4169</v>
      </c>
      <c r="C1552" s="28">
        <v>4999918094.1000004</v>
      </c>
    </row>
    <row r="1553" spans="1:3" ht="15.5">
      <c r="A1553" s="29">
        <v>42355</v>
      </c>
      <c r="B1553" s="28">
        <v>1.4418</v>
      </c>
      <c r="C1553" s="28">
        <v>5087635955.3999996</v>
      </c>
    </row>
    <row r="1554" spans="1:3" ht="15.5">
      <c r="A1554" s="29">
        <v>42354</v>
      </c>
      <c r="B1554" s="28">
        <v>1.3821000000000001</v>
      </c>
      <c r="C1554" s="28">
        <v>4877113088.2799997</v>
      </c>
    </row>
    <row r="1555" spans="1:3" ht="15.5">
      <c r="A1555" s="29">
        <v>42353</v>
      </c>
      <c r="B1555" s="28">
        <v>1.407</v>
      </c>
      <c r="C1555" s="28">
        <v>4964830949.5799999</v>
      </c>
    </row>
    <row r="1556" spans="1:3" ht="15.5">
      <c r="A1556" s="29">
        <v>42352</v>
      </c>
      <c r="B1556" s="28">
        <v>1.4019999999999999</v>
      </c>
      <c r="C1556" s="28">
        <v>4947287377.3199997</v>
      </c>
    </row>
    <row r="1557" spans="1:3" ht="15.5">
      <c r="A1557" s="29">
        <v>42349</v>
      </c>
      <c r="B1557" s="28">
        <v>1.4418</v>
      </c>
      <c r="C1557" s="28">
        <v>5087635955.3999996</v>
      </c>
    </row>
    <row r="1558" spans="1:3" ht="15.5">
      <c r="A1558" s="29">
        <v>42348</v>
      </c>
      <c r="B1558" s="28">
        <v>1.4617</v>
      </c>
      <c r="C1558" s="28">
        <v>5157810244.4399996</v>
      </c>
    </row>
    <row r="1559" spans="1:3" ht="15.5">
      <c r="A1559" s="29">
        <v>42347</v>
      </c>
      <c r="B1559" s="28">
        <v>1.4765999999999999</v>
      </c>
      <c r="C1559" s="28">
        <v>5210440961.2200003</v>
      </c>
    </row>
    <row r="1560" spans="1:3" ht="15.5">
      <c r="A1560" s="29">
        <v>42346</v>
      </c>
      <c r="B1560" s="28">
        <v>1.4716</v>
      </c>
      <c r="C1560" s="28">
        <v>5192897388.96</v>
      </c>
    </row>
    <row r="1561" spans="1:3" ht="15.5">
      <c r="A1561" s="29">
        <v>42345</v>
      </c>
      <c r="B1561" s="28">
        <v>1.4666999999999999</v>
      </c>
      <c r="C1561" s="28">
        <v>5175353816.6999998</v>
      </c>
    </row>
    <row r="1562" spans="1:3" ht="15.5">
      <c r="A1562" s="29">
        <v>42342</v>
      </c>
      <c r="B1562" s="28">
        <v>1.4418</v>
      </c>
      <c r="C1562" s="28">
        <v>5087635955.3999996</v>
      </c>
    </row>
    <row r="1563" spans="1:3" ht="15.5">
      <c r="A1563" s="29">
        <v>42341</v>
      </c>
      <c r="B1563" s="28">
        <v>1.4865999999999999</v>
      </c>
      <c r="C1563" s="28">
        <v>5245528105.7399998</v>
      </c>
    </row>
    <row r="1564" spans="1:3" ht="15.5">
      <c r="A1564" s="29">
        <v>42340</v>
      </c>
      <c r="B1564" s="28">
        <v>1.4915</v>
      </c>
      <c r="C1564" s="28">
        <v>5263071678</v>
      </c>
    </row>
    <row r="1565" spans="1:3" ht="15.5">
      <c r="A1565" s="29">
        <v>42339</v>
      </c>
      <c r="B1565" s="28">
        <v>1.4964999999999999</v>
      </c>
      <c r="C1565" s="28">
        <v>5280615250.2600002</v>
      </c>
    </row>
    <row r="1566" spans="1:3" ht="15.5">
      <c r="A1566" s="29">
        <v>42338</v>
      </c>
      <c r="B1566" s="28">
        <v>1.4964999999999999</v>
      </c>
      <c r="C1566" s="28">
        <v>5280615250.2600002</v>
      </c>
    </row>
    <row r="1567" spans="1:3" ht="15.5">
      <c r="A1567" s="29">
        <v>42335</v>
      </c>
      <c r="B1567" s="28">
        <v>1.4816</v>
      </c>
      <c r="C1567" s="28">
        <v>5227984533.4799995</v>
      </c>
    </row>
    <row r="1568" spans="1:3" ht="15.5">
      <c r="A1568" s="29">
        <v>42334</v>
      </c>
      <c r="B1568" s="28">
        <v>1.4915</v>
      </c>
      <c r="C1568" s="28">
        <v>5263071678</v>
      </c>
    </row>
    <row r="1569" spans="1:3" ht="15.5">
      <c r="A1569" s="29">
        <v>42333</v>
      </c>
      <c r="B1569" s="28">
        <v>1.4865999999999999</v>
      </c>
      <c r="C1569" s="28">
        <v>5245528105.7399998</v>
      </c>
    </row>
    <row r="1570" spans="1:3" ht="15.5">
      <c r="A1570" s="29">
        <v>42332</v>
      </c>
      <c r="B1570" s="28">
        <v>1.5064</v>
      </c>
      <c r="C1570" s="28">
        <v>5315702394.7799997</v>
      </c>
    </row>
    <row r="1571" spans="1:3" ht="15.5">
      <c r="A1571" s="29">
        <v>42331</v>
      </c>
      <c r="B1571" s="28">
        <v>1.5015000000000001</v>
      </c>
      <c r="C1571" s="28">
        <v>5298158822.5200005</v>
      </c>
    </row>
    <row r="1572" spans="1:3" ht="15.5">
      <c r="A1572" s="29">
        <v>42328</v>
      </c>
      <c r="B1572" s="28">
        <v>1.4915</v>
      </c>
      <c r="C1572" s="28">
        <v>5263071678</v>
      </c>
    </row>
    <row r="1573" spans="1:3" ht="15.5">
      <c r="A1573" s="29">
        <v>42327</v>
      </c>
      <c r="B1573" s="28">
        <v>1.5610999999999999</v>
      </c>
      <c r="C1573" s="28">
        <v>5508681689.6400003</v>
      </c>
    </row>
    <row r="1574" spans="1:3" ht="15.5">
      <c r="A1574" s="29">
        <v>42326</v>
      </c>
      <c r="B1574" s="28">
        <v>1.5411999999999999</v>
      </c>
      <c r="C1574" s="28">
        <v>5438507400.6000004</v>
      </c>
    </row>
    <row r="1575" spans="1:3" ht="15.5">
      <c r="A1575" s="29">
        <v>42325</v>
      </c>
      <c r="B1575" s="28">
        <v>1.4865999999999999</v>
      </c>
      <c r="C1575" s="28">
        <v>5245528105.7399998</v>
      </c>
    </row>
    <row r="1576" spans="1:3" ht="15.5">
      <c r="A1576" s="29">
        <v>42324</v>
      </c>
      <c r="B1576" s="28">
        <v>1.4019999999999999</v>
      </c>
      <c r="C1576" s="28">
        <v>4947287377.3199997</v>
      </c>
    </row>
    <row r="1577" spans="1:3" ht="15.5">
      <c r="A1577" s="29">
        <v>42321</v>
      </c>
      <c r="B1577" s="28">
        <v>1.4169</v>
      </c>
      <c r="C1577" s="28">
        <v>4999918094.1000004</v>
      </c>
    </row>
    <row r="1578" spans="1:3" ht="15.5">
      <c r="A1578" s="29">
        <v>42320</v>
      </c>
      <c r="B1578" s="28">
        <v>1.4418</v>
      </c>
      <c r="C1578" s="28">
        <v>5087635955.3999996</v>
      </c>
    </row>
    <row r="1579" spans="1:3" ht="15.5">
      <c r="A1579" s="29">
        <v>42319</v>
      </c>
      <c r="B1579" s="28">
        <v>1.4418</v>
      </c>
      <c r="C1579" s="28">
        <v>5087635955.3999996</v>
      </c>
    </row>
    <row r="1580" spans="1:3" ht="15.5">
      <c r="A1580" s="29">
        <v>42318</v>
      </c>
      <c r="B1580" s="28">
        <v>1.4169</v>
      </c>
      <c r="C1580" s="28">
        <v>4999918094.1000004</v>
      </c>
    </row>
    <row r="1581" spans="1:3" ht="15.5">
      <c r="A1581" s="29">
        <v>42317</v>
      </c>
      <c r="B1581" s="28">
        <v>1.4418</v>
      </c>
      <c r="C1581" s="28">
        <v>5087635955.3999996</v>
      </c>
    </row>
    <row r="1582" spans="1:3" ht="15.5">
      <c r="A1582" s="29">
        <v>42314</v>
      </c>
      <c r="B1582" s="28">
        <v>1.4567000000000001</v>
      </c>
      <c r="C1582" s="28">
        <v>5140266672.1800003</v>
      </c>
    </row>
    <row r="1583" spans="1:3" ht="15.5">
      <c r="A1583" s="29">
        <v>42313</v>
      </c>
      <c r="B1583" s="28">
        <v>1.4567000000000001</v>
      </c>
      <c r="C1583" s="28">
        <v>5140266672.1800003</v>
      </c>
    </row>
    <row r="1584" spans="1:3" ht="15.5">
      <c r="A1584" s="29">
        <v>42312</v>
      </c>
      <c r="B1584" s="28">
        <v>1.4666999999999999</v>
      </c>
      <c r="C1584" s="28">
        <v>5175353816.6999998</v>
      </c>
    </row>
    <row r="1585" spans="1:3" ht="15.5">
      <c r="A1585" s="29">
        <v>42311</v>
      </c>
      <c r="B1585" s="28">
        <v>1.4765999999999999</v>
      </c>
      <c r="C1585" s="28">
        <v>5210440961.2200003</v>
      </c>
    </row>
    <row r="1586" spans="1:3" ht="15.5">
      <c r="A1586" s="29">
        <v>42310</v>
      </c>
      <c r="B1586" s="28">
        <v>1.4617</v>
      </c>
      <c r="C1586" s="28">
        <v>5157810244.4399996</v>
      </c>
    </row>
    <row r="1587" spans="1:3" ht="15.5">
      <c r="A1587" s="29">
        <v>42307</v>
      </c>
      <c r="B1587" s="28">
        <v>1.4368000000000001</v>
      </c>
      <c r="C1587" s="28">
        <v>5070092383.1400003</v>
      </c>
    </row>
    <row r="1588" spans="1:3" ht="15.5">
      <c r="A1588" s="29">
        <v>42306</v>
      </c>
      <c r="B1588" s="28">
        <v>1.4218999999999999</v>
      </c>
      <c r="C1588" s="28">
        <v>5017461666.3599997</v>
      </c>
    </row>
    <row r="1589" spans="1:3" ht="15.5">
      <c r="A1589" s="29">
        <v>42305</v>
      </c>
      <c r="B1589" s="28">
        <v>1.4319</v>
      </c>
      <c r="C1589" s="28">
        <v>5052548810.8800001</v>
      </c>
    </row>
    <row r="1590" spans="1:3" ht="15.5">
      <c r="A1590" s="29">
        <v>42304</v>
      </c>
      <c r="B1590" s="28">
        <v>1.4368000000000001</v>
      </c>
      <c r="C1590" s="28">
        <v>5070092383.1400003</v>
      </c>
    </row>
    <row r="1591" spans="1:3" ht="15.5">
      <c r="A1591" s="29">
        <v>42303</v>
      </c>
      <c r="B1591" s="28">
        <v>1.4368000000000001</v>
      </c>
      <c r="C1591" s="28">
        <v>5070092383.1400003</v>
      </c>
    </row>
    <row r="1592" spans="1:3" ht="15.5">
      <c r="A1592" s="29">
        <v>42300</v>
      </c>
      <c r="B1592" s="28">
        <v>1.4468000000000001</v>
      </c>
      <c r="C1592" s="28">
        <v>5105179527.6599998</v>
      </c>
    </row>
    <row r="1593" spans="1:3" ht="15.5">
      <c r="A1593" s="29">
        <v>42299</v>
      </c>
      <c r="B1593" s="28">
        <v>1.4019999999999999</v>
      </c>
      <c r="C1593" s="28">
        <v>4947287377.3199997</v>
      </c>
    </row>
    <row r="1594" spans="1:3" ht="15.5">
      <c r="A1594" s="29">
        <v>42298</v>
      </c>
      <c r="B1594" s="28">
        <v>1.4019999999999999</v>
      </c>
      <c r="C1594" s="28">
        <v>4947287377.3199997</v>
      </c>
    </row>
    <row r="1595" spans="1:3" ht="15.5">
      <c r="A1595" s="29">
        <v>42297</v>
      </c>
      <c r="B1595" s="28">
        <v>1.4019999999999999</v>
      </c>
      <c r="C1595" s="28">
        <v>4947287377.3199997</v>
      </c>
    </row>
    <row r="1596" spans="1:3" ht="15.5">
      <c r="A1596" s="29">
        <v>42296</v>
      </c>
      <c r="B1596" s="28">
        <v>1.4119999999999999</v>
      </c>
      <c r="C1596" s="28">
        <v>4982374521.8400002</v>
      </c>
    </row>
    <row r="1597" spans="1:3" ht="15.5">
      <c r="A1597" s="29">
        <v>42293</v>
      </c>
      <c r="B1597" s="28">
        <v>1.4218999999999999</v>
      </c>
      <c r="C1597" s="28">
        <v>5017461666.3599997</v>
      </c>
    </row>
    <row r="1598" spans="1:3" ht="15.5">
      <c r="A1598" s="29">
        <v>42292</v>
      </c>
      <c r="B1598" s="28">
        <v>1.3971</v>
      </c>
      <c r="C1598" s="28">
        <v>4929743805.0600004</v>
      </c>
    </row>
    <row r="1599" spans="1:3" ht="15.5">
      <c r="A1599" s="29">
        <v>42291</v>
      </c>
      <c r="B1599" s="28">
        <v>1.3920999999999999</v>
      </c>
      <c r="C1599" s="28">
        <v>4912200232.8000002</v>
      </c>
    </row>
    <row r="1600" spans="1:3" ht="15.5">
      <c r="A1600" s="29">
        <v>42290</v>
      </c>
      <c r="B1600" s="28">
        <v>1.4019999999999999</v>
      </c>
      <c r="C1600" s="28">
        <v>4947287377.3199997</v>
      </c>
    </row>
    <row r="1601" spans="1:3" ht="15.5">
      <c r="A1601" s="29">
        <v>42289</v>
      </c>
      <c r="B1601" s="28">
        <v>1.407</v>
      </c>
      <c r="C1601" s="28">
        <v>4964830949.5799999</v>
      </c>
    </row>
    <row r="1602" spans="1:3" ht="15.5">
      <c r="A1602" s="29">
        <v>42286</v>
      </c>
      <c r="B1602" s="28">
        <v>1.4218999999999999</v>
      </c>
      <c r="C1602" s="28">
        <v>5017461666.3599997</v>
      </c>
    </row>
    <row r="1603" spans="1:3" ht="15.5">
      <c r="A1603" s="29">
        <v>42285</v>
      </c>
      <c r="B1603" s="28">
        <v>1.3971</v>
      </c>
      <c r="C1603" s="28">
        <v>4929743805.0600004</v>
      </c>
    </row>
    <row r="1604" spans="1:3" ht="15.5">
      <c r="A1604" s="29">
        <v>42284</v>
      </c>
      <c r="B1604" s="28">
        <v>1.407</v>
      </c>
      <c r="C1604" s="28">
        <v>4964830949.5799999</v>
      </c>
    </row>
    <row r="1605" spans="1:3" ht="15.5">
      <c r="A1605" s="29">
        <v>42283</v>
      </c>
      <c r="B1605" s="28">
        <v>1.4019999999999999</v>
      </c>
      <c r="C1605" s="28">
        <v>4947287377.3199997</v>
      </c>
    </row>
    <row r="1606" spans="1:3" ht="15.5">
      <c r="A1606" s="29">
        <v>42282</v>
      </c>
      <c r="B1606" s="28">
        <v>1.3772</v>
      </c>
      <c r="C1606" s="28">
        <v>4859569516.0200005</v>
      </c>
    </row>
    <row r="1607" spans="1:3" ht="15.5">
      <c r="A1607" s="29">
        <v>42279</v>
      </c>
      <c r="B1607" s="28">
        <v>1.3623000000000001</v>
      </c>
      <c r="C1607" s="28">
        <v>4806938799.2399998</v>
      </c>
    </row>
    <row r="1608" spans="1:3" ht="15.5">
      <c r="A1608" s="29">
        <v>42278</v>
      </c>
      <c r="B1608" s="28">
        <v>1.3772</v>
      </c>
      <c r="C1608" s="28">
        <v>4859569516.0200005</v>
      </c>
    </row>
    <row r="1609" spans="1:3" ht="15.5">
      <c r="A1609" s="29">
        <v>42277</v>
      </c>
      <c r="B1609" s="28">
        <v>1.3573</v>
      </c>
      <c r="C1609" s="28">
        <v>4789395226.9799995</v>
      </c>
    </row>
    <row r="1610" spans="1:3" ht="15.5">
      <c r="A1610" s="29">
        <v>42276</v>
      </c>
      <c r="B1610" s="28">
        <v>1.3373999999999999</v>
      </c>
      <c r="C1610" s="28">
        <v>4662997997.1049995</v>
      </c>
    </row>
    <row r="1611" spans="1:3" ht="15.5">
      <c r="A1611" s="29">
        <v>42275</v>
      </c>
      <c r="B1611" s="28">
        <v>1.3672</v>
      </c>
      <c r="C1611" s="28">
        <v>4767005387.375</v>
      </c>
    </row>
    <row r="1612" spans="1:3" ht="15.5">
      <c r="A1612" s="29">
        <v>42272</v>
      </c>
      <c r="B1612" s="28">
        <v>1.3424</v>
      </c>
      <c r="C1612" s="28">
        <v>4680332562.1499996</v>
      </c>
    </row>
    <row r="1613" spans="1:3" ht="15.5">
      <c r="A1613" s="29">
        <v>42271</v>
      </c>
      <c r="B1613" s="28">
        <v>1.3523000000000001</v>
      </c>
      <c r="C1613" s="28">
        <v>4715001692.2399998</v>
      </c>
    </row>
    <row r="1614" spans="1:3" ht="15.5">
      <c r="A1614" s="29">
        <v>42270</v>
      </c>
      <c r="B1614" s="28">
        <v>1.3424</v>
      </c>
      <c r="C1614" s="28">
        <v>4680332562.1499996</v>
      </c>
    </row>
    <row r="1615" spans="1:3" ht="15.5">
      <c r="A1615" s="29">
        <v>42269</v>
      </c>
      <c r="B1615" s="28">
        <v>1.3573</v>
      </c>
      <c r="C1615" s="28">
        <v>4732336257.2849998</v>
      </c>
    </row>
    <row r="1616" spans="1:3" ht="15.5">
      <c r="A1616" s="29">
        <v>42268</v>
      </c>
      <c r="B1616" s="28">
        <v>1.3225</v>
      </c>
      <c r="C1616" s="28">
        <v>4610994301.9700003</v>
      </c>
    </row>
    <row r="1617" spans="1:3" ht="15.5">
      <c r="A1617" s="29">
        <v>42265</v>
      </c>
      <c r="B1617" s="28">
        <v>1.3472999999999999</v>
      </c>
      <c r="C1617" s="28">
        <v>4697667127.1949997</v>
      </c>
    </row>
    <row r="1618" spans="1:3" ht="15.5">
      <c r="A1618" s="29">
        <v>42264</v>
      </c>
      <c r="B1618" s="28">
        <v>1.3472999999999999</v>
      </c>
      <c r="C1618" s="28">
        <v>4697667127.1949997</v>
      </c>
    </row>
    <row r="1619" spans="1:3" ht="15.5">
      <c r="A1619" s="29">
        <v>42263</v>
      </c>
      <c r="B1619" s="28">
        <v>1.3225</v>
      </c>
      <c r="C1619" s="28">
        <v>4610994301.9700003</v>
      </c>
    </row>
    <row r="1620" spans="1:3" ht="15.5">
      <c r="A1620" s="29">
        <v>42262</v>
      </c>
      <c r="B1620" s="28">
        <v>1.2877000000000001</v>
      </c>
      <c r="C1620" s="28">
        <v>4489652346.6549997</v>
      </c>
    </row>
    <row r="1621" spans="1:3" ht="15.5">
      <c r="A1621" s="29">
        <v>42261</v>
      </c>
      <c r="B1621" s="28">
        <v>1.3026</v>
      </c>
      <c r="C1621" s="28">
        <v>4541656041.79</v>
      </c>
    </row>
    <row r="1622" spans="1:3" ht="15.5">
      <c r="A1622" s="29">
        <v>42258</v>
      </c>
      <c r="B1622" s="28">
        <v>1.2528999999999999</v>
      </c>
      <c r="C1622" s="28">
        <v>4368310391.3400002</v>
      </c>
    </row>
    <row r="1623" spans="1:3" ht="15.5">
      <c r="A1623" s="29">
        <v>42257</v>
      </c>
      <c r="B1623" s="28">
        <v>1.2777000000000001</v>
      </c>
      <c r="C1623" s="28">
        <v>4454983216.5649996</v>
      </c>
    </row>
    <row r="1624" spans="1:3" ht="15.5">
      <c r="A1624" s="29">
        <v>42256</v>
      </c>
      <c r="B1624" s="28">
        <v>1.3174999999999999</v>
      </c>
      <c r="C1624" s="28">
        <v>4593659736.9250002</v>
      </c>
    </row>
    <row r="1625" spans="1:3" ht="15.5">
      <c r="A1625" s="29">
        <v>42255</v>
      </c>
      <c r="B1625" s="28">
        <v>1.3076000000000001</v>
      </c>
      <c r="C1625" s="28">
        <v>4558990606.835</v>
      </c>
    </row>
    <row r="1626" spans="1:3" ht="15.5">
      <c r="A1626" s="29">
        <v>42254</v>
      </c>
      <c r="B1626" s="28">
        <v>1.2927</v>
      </c>
      <c r="C1626" s="28">
        <v>4506986911.6999998</v>
      </c>
    </row>
    <row r="1627" spans="1:3" ht="15.5">
      <c r="A1627" s="29">
        <v>42251</v>
      </c>
      <c r="B1627" s="28">
        <v>1.2927</v>
      </c>
      <c r="C1627" s="28">
        <v>4506986911.6999998</v>
      </c>
    </row>
    <row r="1628" spans="1:3" ht="15.5">
      <c r="A1628" s="29">
        <v>42250</v>
      </c>
      <c r="B1628" s="28">
        <v>1.2927</v>
      </c>
      <c r="C1628" s="28">
        <v>4506986911.6999998</v>
      </c>
    </row>
    <row r="1629" spans="1:3" ht="15.5">
      <c r="A1629" s="29">
        <v>42249</v>
      </c>
      <c r="B1629" s="28">
        <v>1.3076000000000001</v>
      </c>
      <c r="C1629" s="28">
        <v>4558990606.835</v>
      </c>
    </row>
    <row r="1630" spans="1:3" ht="15.5">
      <c r="A1630" s="29">
        <v>42248</v>
      </c>
      <c r="B1630" s="28">
        <v>1.3076000000000001</v>
      </c>
      <c r="C1630" s="28">
        <v>4558990606.835</v>
      </c>
    </row>
    <row r="1631" spans="1:3" ht="15.5">
      <c r="A1631" s="29">
        <v>42247</v>
      </c>
      <c r="B1631" s="28">
        <v>1.2976000000000001</v>
      </c>
      <c r="C1631" s="28">
        <v>4524321476.7449999</v>
      </c>
    </row>
    <row r="1632" spans="1:3" ht="15.5">
      <c r="A1632" s="29">
        <v>42244</v>
      </c>
      <c r="B1632" s="28">
        <v>1.3125</v>
      </c>
      <c r="C1632" s="28">
        <v>4576325171.8800001</v>
      </c>
    </row>
    <row r="1633" spans="1:3" ht="15.5">
      <c r="A1633" s="29">
        <v>42243</v>
      </c>
      <c r="B1633" s="28">
        <v>1.3225</v>
      </c>
      <c r="C1633" s="28">
        <v>4610994301.9700003</v>
      </c>
    </row>
    <row r="1634" spans="1:3" ht="15.5">
      <c r="A1634" s="29">
        <v>42242</v>
      </c>
      <c r="B1634" s="28">
        <v>1.2976000000000001</v>
      </c>
      <c r="C1634" s="28">
        <v>4524321476.7449999</v>
      </c>
    </row>
    <row r="1635" spans="1:3" ht="15.5">
      <c r="A1635" s="29">
        <v>42241</v>
      </c>
      <c r="B1635" s="28">
        <v>1.2976000000000001</v>
      </c>
      <c r="C1635" s="28">
        <v>4524321476.7449999</v>
      </c>
    </row>
    <row r="1636" spans="1:3" ht="15.5">
      <c r="A1636" s="29">
        <v>42240</v>
      </c>
      <c r="B1636" s="28">
        <v>1.2627999999999999</v>
      </c>
      <c r="C1636" s="28">
        <v>4402979521.4300003</v>
      </c>
    </row>
    <row r="1637" spans="1:3" ht="15.5">
      <c r="A1637" s="29">
        <v>42237</v>
      </c>
      <c r="B1637" s="28">
        <v>1.2827</v>
      </c>
      <c r="C1637" s="28">
        <v>4472317781.6099997</v>
      </c>
    </row>
    <row r="1638" spans="1:3" ht="15.5">
      <c r="A1638" s="29">
        <v>42236</v>
      </c>
      <c r="B1638" s="28">
        <v>1.3174999999999999</v>
      </c>
      <c r="C1638" s="28">
        <v>4593659736.9250002</v>
      </c>
    </row>
    <row r="1639" spans="1:3" ht="15.5">
      <c r="A1639" s="29">
        <v>42235</v>
      </c>
      <c r="B1639" s="28">
        <v>1.3424</v>
      </c>
      <c r="C1639" s="28">
        <v>4680332562.1499996</v>
      </c>
    </row>
    <row r="1640" spans="1:3" ht="15.5">
      <c r="A1640" s="29">
        <v>42234</v>
      </c>
      <c r="B1640" s="28">
        <v>1.3523000000000001</v>
      </c>
      <c r="C1640" s="28">
        <v>4715001692.2399998</v>
      </c>
    </row>
    <row r="1641" spans="1:3" ht="15.5">
      <c r="A1641" s="29">
        <v>42233</v>
      </c>
      <c r="B1641" s="28">
        <v>1.3573</v>
      </c>
      <c r="C1641" s="28">
        <v>4732336257.2849998</v>
      </c>
    </row>
    <row r="1642" spans="1:3" ht="15.5">
      <c r="A1642" s="29">
        <v>42230</v>
      </c>
      <c r="B1642" s="28">
        <v>1.3472999999999999</v>
      </c>
      <c r="C1642" s="28">
        <v>4697667127.1949997</v>
      </c>
    </row>
    <row r="1643" spans="1:3" ht="15.5">
      <c r="A1643" s="29">
        <v>42229</v>
      </c>
      <c r="B1643" s="28">
        <v>1.3573</v>
      </c>
      <c r="C1643" s="28">
        <v>4732336257.2849998</v>
      </c>
    </row>
    <row r="1644" spans="1:3" ht="15.5">
      <c r="A1644" s="29">
        <v>42228</v>
      </c>
      <c r="B1644" s="28">
        <v>1.3523000000000001</v>
      </c>
      <c r="C1644" s="28">
        <v>4715001692.2399998</v>
      </c>
    </row>
    <row r="1645" spans="1:3" ht="15.5">
      <c r="A1645" s="29">
        <v>42227</v>
      </c>
      <c r="B1645" s="28">
        <v>1.3623000000000001</v>
      </c>
      <c r="C1645" s="28">
        <v>4749670822.3299999</v>
      </c>
    </row>
    <row r="1646" spans="1:3" ht="15.5">
      <c r="A1646" s="29">
        <v>42226</v>
      </c>
      <c r="B1646" s="28">
        <v>1.3672</v>
      </c>
      <c r="C1646" s="28">
        <v>4767005387.375</v>
      </c>
    </row>
    <row r="1647" spans="1:3" ht="15.5">
      <c r="A1647" s="29">
        <v>42223</v>
      </c>
      <c r="B1647" s="28">
        <v>1.3324</v>
      </c>
      <c r="C1647" s="28">
        <v>4645663432.0600004</v>
      </c>
    </row>
    <row r="1648" spans="1:3" ht="15.5">
      <c r="A1648" s="29">
        <v>42222</v>
      </c>
      <c r="B1648" s="28">
        <v>1.3472999999999999</v>
      </c>
      <c r="C1648" s="28">
        <v>4697667127.1949997</v>
      </c>
    </row>
    <row r="1649" spans="1:3" ht="15.5">
      <c r="A1649" s="29">
        <v>42221</v>
      </c>
      <c r="B1649" s="28">
        <v>1.3672</v>
      </c>
      <c r="C1649" s="28">
        <v>4767005387.375</v>
      </c>
    </row>
    <row r="1650" spans="1:3" ht="15.5">
      <c r="A1650" s="29">
        <v>42220</v>
      </c>
      <c r="B1650" s="28">
        <v>1.3821000000000001</v>
      </c>
      <c r="C1650" s="28">
        <v>4819009082.5100002</v>
      </c>
    </row>
    <row r="1651" spans="1:3" ht="15.5">
      <c r="A1651" s="29">
        <v>42219</v>
      </c>
      <c r="B1651" s="28">
        <v>1.3623000000000001</v>
      </c>
      <c r="C1651" s="28">
        <v>4749670822.3299999</v>
      </c>
    </row>
    <row r="1652" spans="1:3" ht="15.5">
      <c r="A1652" s="29">
        <v>42216</v>
      </c>
      <c r="B1652" s="28">
        <v>1.3821000000000001</v>
      </c>
      <c r="C1652" s="28">
        <v>4819009082.5100002</v>
      </c>
    </row>
    <row r="1653" spans="1:3" ht="15.5">
      <c r="A1653" s="29">
        <v>42215</v>
      </c>
      <c r="B1653" s="28">
        <v>1.3472999999999999</v>
      </c>
      <c r="C1653" s="28">
        <v>4697667127.1949997</v>
      </c>
    </row>
    <row r="1654" spans="1:3" ht="15.5">
      <c r="A1654" s="29">
        <v>42214</v>
      </c>
      <c r="B1654" s="28">
        <v>1.3424</v>
      </c>
      <c r="C1654" s="28">
        <v>4680332562.1499996</v>
      </c>
    </row>
    <row r="1655" spans="1:3" ht="15.5">
      <c r="A1655" s="29">
        <v>42213</v>
      </c>
      <c r="B1655" s="28">
        <v>1.3225</v>
      </c>
      <c r="C1655" s="28">
        <v>4610994301.9700003</v>
      </c>
    </row>
    <row r="1656" spans="1:3" ht="15.5">
      <c r="A1656" s="29">
        <v>42212</v>
      </c>
      <c r="B1656" s="28">
        <v>1.3424</v>
      </c>
      <c r="C1656" s="28">
        <v>4680332562.1499996</v>
      </c>
    </row>
    <row r="1657" spans="1:3" ht="15.5">
      <c r="A1657" s="29">
        <v>42209</v>
      </c>
      <c r="B1657" s="28">
        <v>1.3125</v>
      </c>
      <c r="C1657" s="28">
        <v>4576325171.8800001</v>
      </c>
    </row>
    <row r="1658" spans="1:3" ht="15.5">
      <c r="A1658" s="29">
        <v>42207</v>
      </c>
      <c r="B1658" s="28">
        <v>1.3424</v>
      </c>
      <c r="C1658" s="28">
        <v>4680332562.1499996</v>
      </c>
    </row>
    <row r="1659" spans="1:3" ht="15.5">
      <c r="A1659" s="29">
        <v>42206</v>
      </c>
      <c r="B1659" s="28">
        <v>1.3821000000000001</v>
      </c>
      <c r="C1659" s="28">
        <v>4819009082.5100002</v>
      </c>
    </row>
    <row r="1660" spans="1:3" ht="15.5">
      <c r="A1660" s="29">
        <v>42205</v>
      </c>
      <c r="B1660" s="28">
        <v>1.3772</v>
      </c>
      <c r="C1660" s="28">
        <v>4801674517.4650002</v>
      </c>
    </row>
    <row r="1661" spans="1:3" ht="15.5">
      <c r="A1661" s="29">
        <v>42202</v>
      </c>
      <c r="B1661" s="28">
        <v>1.3920999999999999</v>
      </c>
      <c r="C1661" s="28">
        <v>4853678212.6000004</v>
      </c>
    </row>
    <row r="1662" spans="1:3" ht="15.5">
      <c r="A1662" s="29">
        <v>42201</v>
      </c>
      <c r="B1662" s="28">
        <v>1.3871</v>
      </c>
      <c r="C1662" s="28">
        <v>4836343647.5550003</v>
      </c>
    </row>
    <row r="1663" spans="1:3" ht="15.5">
      <c r="A1663" s="29">
        <v>42200</v>
      </c>
      <c r="B1663" s="28">
        <v>1.3920999999999999</v>
      </c>
      <c r="C1663" s="28">
        <v>4853678212.6000004</v>
      </c>
    </row>
    <row r="1664" spans="1:3" ht="15.5">
      <c r="A1664" s="29">
        <v>42199</v>
      </c>
      <c r="B1664" s="28">
        <v>1.3821000000000001</v>
      </c>
      <c r="C1664" s="28">
        <v>4819009082.5100002</v>
      </c>
    </row>
    <row r="1665" spans="1:3" ht="15.5">
      <c r="A1665" s="29">
        <v>42198</v>
      </c>
      <c r="B1665" s="28">
        <v>1.3523000000000001</v>
      </c>
      <c r="C1665" s="28">
        <v>4715001692.2399998</v>
      </c>
    </row>
    <row r="1666" spans="1:3" ht="15.5">
      <c r="A1666" s="29">
        <v>42195</v>
      </c>
      <c r="B1666" s="28">
        <v>1.3573</v>
      </c>
      <c r="C1666" s="28">
        <v>4732336257.2849998</v>
      </c>
    </row>
    <row r="1667" spans="1:3" ht="15.5">
      <c r="A1667" s="29">
        <v>42194</v>
      </c>
      <c r="B1667" s="28">
        <v>1.3672</v>
      </c>
      <c r="C1667" s="28">
        <v>4767005387.375</v>
      </c>
    </row>
    <row r="1668" spans="1:3" ht="15.5">
      <c r="A1668" s="29">
        <v>42193</v>
      </c>
      <c r="B1668" s="28">
        <v>1.3821000000000001</v>
      </c>
      <c r="C1668" s="28">
        <v>4819009082.5100002</v>
      </c>
    </row>
    <row r="1669" spans="1:3" ht="15.5">
      <c r="A1669" s="29">
        <v>42192</v>
      </c>
      <c r="B1669" s="28">
        <v>1.3821000000000001</v>
      </c>
      <c r="C1669" s="28">
        <v>4819009082.5100002</v>
      </c>
    </row>
    <row r="1670" spans="1:3" ht="15.5">
      <c r="A1670" s="29">
        <v>42191</v>
      </c>
      <c r="B1670" s="28">
        <v>1.3722000000000001</v>
      </c>
      <c r="C1670" s="28">
        <v>4784339952.4200001</v>
      </c>
    </row>
    <row r="1671" spans="1:3" ht="15.5">
      <c r="A1671" s="29">
        <v>42188</v>
      </c>
      <c r="B1671" s="28">
        <v>1.3971</v>
      </c>
      <c r="C1671" s="28">
        <v>4871012777.6450005</v>
      </c>
    </row>
    <row r="1672" spans="1:3" ht="15.5">
      <c r="A1672" s="29">
        <v>42187</v>
      </c>
      <c r="B1672" s="28">
        <v>1.3971</v>
      </c>
      <c r="C1672" s="28">
        <v>4871012777.6450005</v>
      </c>
    </row>
    <row r="1673" spans="1:3" ht="15.5">
      <c r="A1673" s="29">
        <v>42186</v>
      </c>
      <c r="B1673" s="28">
        <v>1.3672</v>
      </c>
      <c r="C1673" s="28">
        <v>4767005387.375</v>
      </c>
    </row>
    <row r="1674" spans="1:3" ht="15.5">
      <c r="A1674" s="29">
        <v>42185</v>
      </c>
      <c r="B1674" s="28">
        <v>1.3871</v>
      </c>
      <c r="C1674" s="28">
        <v>4836343647.5550003</v>
      </c>
    </row>
    <row r="1675" spans="1:3" ht="15.5">
      <c r="A1675" s="29">
        <v>42184</v>
      </c>
      <c r="B1675" s="28">
        <v>1.4019999999999999</v>
      </c>
      <c r="C1675" s="28">
        <v>4888347342.6899996</v>
      </c>
    </row>
    <row r="1676" spans="1:3" ht="15.5">
      <c r="A1676" s="29">
        <v>42181</v>
      </c>
      <c r="B1676" s="28">
        <v>1.4269000000000001</v>
      </c>
      <c r="C1676" s="28">
        <v>4975020167.915</v>
      </c>
    </row>
    <row r="1677" spans="1:3" ht="15.5">
      <c r="A1677" s="29">
        <v>42180</v>
      </c>
      <c r="B1677" s="28">
        <v>1.4518</v>
      </c>
      <c r="C1677" s="28">
        <v>5061692993.1400003</v>
      </c>
    </row>
    <row r="1678" spans="1:3" ht="15.5">
      <c r="A1678" s="29">
        <v>42179</v>
      </c>
      <c r="B1678" s="28">
        <v>1.4567000000000001</v>
      </c>
      <c r="C1678" s="28">
        <v>5079027558.1850004</v>
      </c>
    </row>
    <row r="1679" spans="1:3" ht="15.5">
      <c r="A1679" s="29">
        <v>42178</v>
      </c>
      <c r="B1679" s="28">
        <v>1.4666999999999999</v>
      </c>
      <c r="C1679" s="28">
        <v>5113696688.2749996</v>
      </c>
    </row>
    <row r="1680" spans="1:3" ht="15.5">
      <c r="A1680" s="29">
        <v>42177</v>
      </c>
      <c r="B1680" s="28">
        <v>1.4368000000000001</v>
      </c>
      <c r="C1680" s="28">
        <v>5009689298.0050001</v>
      </c>
    </row>
    <row r="1681" spans="1:3" ht="15.5">
      <c r="A1681" s="29">
        <v>42174</v>
      </c>
      <c r="B1681" s="28">
        <v>1.4269000000000001</v>
      </c>
      <c r="C1681" s="28">
        <v>4975020167.915</v>
      </c>
    </row>
    <row r="1682" spans="1:3" ht="15.5">
      <c r="A1682" s="29">
        <v>42173</v>
      </c>
      <c r="B1682" s="28">
        <v>1.3920999999999999</v>
      </c>
      <c r="C1682" s="28">
        <v>4853678212.6000004</v>
      </c>
    </row>
    <row r="1683" spans="1:3" ht="15.5">
      <c r="A1683" s="29">
        <v>42172</v>
      </c>
      <c r="B1683" s="28">
        <v>1.4218999999999999</v>
      </c>
      <c r="C1683" s="28">
        <v>4957685602.8699999</v>
      </c>
    </row>
    <row r="1684" spans="1:3" ht="15.5">
      <c r="A1684" s="29">
        <v>42171</v>
      </c>
      <c r="B1684" s="28">
        <v>1.3971</v>
      </c>
      <c r="C1684" s="28">
        <v>4871012777.6450005</v>
      </c>
    </row>
    <row r="1685" spans="1:3" ht="15.5">
      <c r="A1685" s="29">
        <v>42170</v>
      </c>
      <c r="B1685" s="28">
        <v>1.3821000000000001</v>
      </c>
      <c r="C1685" s="28">
        <v>4819009082.5100002</v>
      </c>
    </row>
    <row r="1686" spans="1:3" ht="15.5">
      <c r="A1686" s="29">
        <v>42167</v>
      </c>
      <c r="B1686" s="28">
        <v>1.4218999999999999</v>
      </c>
      <c r="C1686" s="28">
        <v>4957685602.8699999</v>
      </c>
    </row>
    <row r="1687" spans="1:3" ht="15.5">
      <c r="A1687" s="29">
        <v>42166</v>
      </c>
      <c r="B1687" s="28">
        <v>1.3871</v>
      </c>
      <c r="C1687" s="28">
        <v>4836343647.5550003</v>
      </c>
    </row>
    <row r="1688" spans="1:3" ht="15.5">
      <c r="A1688" s="29">
        <v>42165</v>
      </c>
      <c r="B1688" s="28">
        <v>1.3920999999999999</v>
      </c>
      <c r="C1688" s="28">
        <v>4853678212.6000004</v>
      </c>
    </row>
    <row r="1689" spans="1:3" ht="15.5">
      <c r="A1689" s="29">
        <v>42164</v>
      </c>
      <c r="B1689" s="28">
        <v>1.3871</v>
      </c>
      <c r="C1689" s="28">
        <v>4836343647.5550003</v>
      </c>
    </row>
    <row r="1690" spans="1:3" ht="15.5">
      <c r="A1690" s="29">
        <v>42160</v>
      </c>
      <c r="B1690" s="28">
        <v>1.4269000000000001</v>
      </c>
      <c r="C1690" s="28">
        <v>4975020167.915</v>
      </c>
    </row>
    <row r="1691" spans="1:3" ht="15.5">
      <c r="A1691" s="29">
        <v>42159</v>
      </c>
      <c r="B1691" s="28">
        <v>1.4319</v>
      </c>
      <c r="C1691" s="28">
        <v>4992354732.96</v>
      </c>
    </row>
    <row r="1692" spans="1:3" ht="15.5">
      <c r="A1692" s="29">
        <v>42158</v>
      </c>
      <c r="B1692" s="28">
        <v>1.4518</v>
      </c>
      <c r="C1692" s="28">
        <v>5061692993.1400003</v>
      </c>
    </row>
    <row r="1693" spans="1:3" ht="15.5">
      <c r="A1693" s="29">
        <v>42157</v>
      </c>
      <c r="B1693" s="28">
        <v>1.4765999999999999</v>
      </c>
      <c r="C1693" s="28">
        <v>5148365818.3649998</v>
      </c>
    </row>
    <row r="1694" spans="1:3" ht="15.5">
      <c r="A1694" s="29">
        <v>42156</v>
      </c>
      <c r="B1694" s="28">
        <v>1.5015000000000001</v>
      </c>
      <c r="C1694" s="28">
        <v>5235038643.5900002</v>
      </c>
    </row>
    <row r="1695" spans="1:3" ht="15.5">
      <c r="A1695" s="29">
        <v>42153</v>
      </c>
      <c r="B1695" s="28">
        <v>1.5164</v>
      </c>
      <c r="C1695" s="28">
        <v>5287042338.7250004</v>
      </c>
    </row>
    <row r="1696" spans="1:3" ht="15.5">
      <c r="A1696" s="29">
        <v>42152</v>
      </c>
      <c r="B1696" s="28">
        <v>1.5015000000000001</v>
      </c>
      <c r="C1696" s="28">
        <v>5235038643.5900002</v>
      </c>
    </row>
    <row r="1697" spans="1:3" ht="15.5">
      <c r="A1697" s="29">
        <v>42151</v>
      </c>
      <c r="B1697" s="28">
        <v>1.4666999999999999</v>
      </c>
      <c r="C1697" s="28">
        <v>5113696688.2749996</v>
      </c>
    </row>
    <row r="1698" spans="1:3" ht="15.5">
      <c r="A1698" s="29">
        <v>42150</v>
      </c>
      <c r="B1698" s="28">
        <v>1.5064</v>
      </c>
      <c r="C1698" s="28">
        <v>5252373208.6350002</v>
      </c>
    </row>
    <row r="1699" spans="1:3" ht="15.5">
      <c r="A1699" s="29">
        <v>42149</v>
      </c>
      <c r="B1699" s="28">
        <v>1.5114000000000001</v>
      </c>
      <c r="C1699" s="28">
        <v>5269707773.6800003</v>
      </c>
    </row>
    <row r="1700" spans="1:3" ht="15.5">
      <c r="A1700" s="29">
        <v>42146</v>
      </c>
      <c r="B1700" s="28">
        <v>1.4865999999999999</v>
      </c>
      <c r="C1700" s="28">
        <v>5183034948.4549999</v>
      </c>
    </row>
    <row r="1701" spans="1:3" ht="15.5">
      <c r="A1701" s="29">
        <v>42145</v>
      </c>
      <c r="B1701" s="28">
        <v>1.4716</v>
      </c>
      <c r="C1701" s="28">
        <v>5131031253.3199997</v>
      </c>
    </row>
    <row r="1702" spans="1:3" ht="15.5">
      <c r="A1702" s="29">
        <v>42144</v>
      </c>
      <c r="B1702" s="28">
        <v>1.4617</v>
      </c>
      <c r="C1702" s="28">
        <v>5096362123.2299995</v>
      </c>
    </row>
    <row r="1703" spans="1:3" ht="15.5">
      <c r="A1703" s="29">
        <v>42143</v>
      </c>
      <c r="B1703" s="28">
        <v>1.4617</v>
      </c>
      <c r="C1703" s="28">
        <v>5096362123.2299995</v>
      </c>
    </row>
    <row r="1704" spans="1:3" ht="15.5">
      <c r="A1704" s="29">
        <v>42142</v>
      </c>
      <c r="B1704" s="28">
        <v>1.4765999999999999</v>
      </c>
      <c r="C1704" s="28">
        <v>5148365818.3649998</v>
      </c>
    </row>
    <row r="1705" spans="1:3" ht="15.5">
      <c r="A1705" s="29">
        <v>42139</v>
      </c>
      <c r="B1705" s="28">
        <v>1.4716</v>
      </c>
      <c r="C1705" s="28">
        <v>5131031253.3199997</v>
      </c>
    </row>
    <row r="1706" spans="1:3" ht="15.5">
      <c r="A1706" s="29">
        <v>42138</v>
      </c>
      <c r="B1706" s="28">
        <v>1.4518</v>
      </c>
      <c r="C1706" s="28">
        <v>5061692993.1400003</v>
      </c>
    </row>
    <row r="1707" spans="1:3" ht="15.5">
      <c r="A1707" s="29">
        <v>42137</v>
      </c>
      <c r="B1707" s="28">
        <v>1.4319</v>
      </c>
      <c r="C1707" s="28">
        <v>4992354732.96</v>
      </c>
    </row>
    <row r="1708" spans="1:3" ht="15.5">
      <c r="A1708" s="29">
        <v>42136</v>
      </c>
      <c r="B1708" s="28">
        <v>1.4468000000000001</v>
      </c>
      <c r="C1708" s="28">
        <v>5044358428.0950003</v>
      </c>
    </row>
    <row r="1709" spans="1:3" ht="15.5">
      <c r="A1709" s="29">
        <v>42135</v>
      </c>
      <c r="B1709" s="28">
        <v>1.4368000000000001</v>
      </c>
      <c r="C1709" s="28">
        <v>5009689298.0050001</v>
      </c>
    </row>
    <row r="1710" spans="1:3" ht="15.5">
      <c r="A1710" s="29">
        <v>42132</v>
      </c>
      <c r="B1710" s="28">
        <v>1.4368000000000001</v>
      </c>
      <c r="C1710" s="28">
        <v>5009689298.0050001</v>
      </c>
    </row>
    <row r="1711" spans="1:3" ht="15.5">
      <c r="A1711" s="29">
        <v>42131</v>
      </c>
      <c r="B1711" s="28">
        <v>1.4319</v>
      </c>
      <c r="C1711" s="28">
        <v>4992354732.96</v>
      </c>
    </row>
    <row r="1712" spans="1:3" ht="15.5">
      <c r="A1712" s="29">
        <v>42130</v>
      </c>
      <c r="B1712" s="28">
        <v>1.4468000000000001</v>
      </c>
      <c r="C1712" s="28">
        <v>5044358428.0950003</v>
      </c>
    </row>
    <row r="1713" spans="1:3" ht="15.5">
      <c r="A1713" s="29">
        <v>42129</v>
      </c>
      <c r="B1713" s="28">
        <v>1.4865999999999999</v>
      </c>
      <c r="C1713" s="28">
        <v>5183034948.4549999</v>
      </c>
    </row>
    <row r="1714" spans="1:3" ht="15.5">
      <c r="A1714" s="29">
        <v>42128</v>
      </c>
      <c r="B1714" s="28">
        <v>1.4964999999999999</v>
      </c>
      <c r="C1714" s="28">
        <v>5217704078.5450001</v>
      </c>
    </row>
    <row r="1715" spans="1:3" ht="15.5">
      <c r="A1715" s="29">
        <v>42125</v>
      </c>
      <c r="B1715" s="28">
        <v>1.4666999999999999</v>
      </c>
      <c r="C1715" s="28">
        <v>5113696688.2749996</v>
      </c>
    </row>
    <row r="1716" spans="1:3" ht="15.5">
      <c r="A1716" s="29">
        <v>42124</v>
      </c>
      <c r="B1716" s="28">
        <v>1.4666999999999999</v>
      </c>
      <c r="C1716" s="28">
        <v>5113696688.2749996</v>
      </c>
    </row>
    <row r="1717" spans="1:3" ht="15.5">
      <c r="A1717" s="29">
        <v>42123</v>
      </c>
      <c r="B1717" s="28">
        <v>1.4567000000000001</v>
      </c>
      <c r="C1717" s="28">
        <v>5079027558.1850004</v>
      </c>
    </row>
    <row r="1718" spans="1:3" ht="15.5">
      <c r="A1718" s="29">
        <v>42122</v>
      </c>
      <c r="B1718" s="28">
        <v>1.5064</v>
      </c>
      <c r="C1718" s="28">
        <v>5252373208.6350002</v>
      </c>
    </row>
    <row r="1719" spans="1:3" ht="15.5">
      <c r="A1719" s="29">
        <v>42121</v>
      </c>
      <c r="B1719" s="28">
        <v>1.5164</v>
      </c>
      <c r="C1719" s="28">
        <v>5287042338.7250004</v>
      </c>
    </row>
    <row r="1720" spans="1:3" ht="15.5">
      <c r="A1720" s="29">
        <v>42118</v>
      </c>
      <c r="B1720" s="28">
        <v>1.4915</v>
      </c>
      <c r="C1720" s="28">
        <v>5200369513.5</v>
      </c>
    </row>
    <row r="1721" spans="1:3" ht="15.5">
      <c r="A1721" s="29">
        <v>42117</v>
      </c>
      <c r="B1721" s="28">
        <v>1.4617</v>
      </c>
      <c r="C1721" s="28">
        <v>5096362123.2299995</v>
      </c>
    </row>
    <row r="1722" spans="1:3" ht="15.5">
      <c r="A1722" s="29">
        <v>42116</v>
      </c>
      <c r="B1722" s="28">
        <v>1.4666999999999999</v>
      </c>
      <c r="C1722" s="28">
        <v>5113696688.2749996</v>
      </c>
    </row>
    <row r="1723" spans="1:3" ht="15.5">
      <c r="A1723" s="29">
        <v>42115</v>
      </c>
      <c r="B1723" s="28">
        <v>1.4765999999999999</v>
      </c>
      <c r="C1723" s="28">
        <v>5148365818.3649998</v>
      </c>
    </row>
    <row r="1724" spans="1:3" ht="15.5">
      <c r="A1724" s="29">
        <v>42114</v>
      </c>
      <c r="B1724" s="28">
        <v>1.4816</v>
      </c>
      <c r="C1724" s="28">
        <v>5165700383.4099998</v>
      </c>
    </row>
    <row r="1725" spans="1:3" ht="15.5">
      <c r="A1725" s="29">
        <v>42111</v>
      </c>
      <c r="B1725" s="28">
        <v>1.5015000000000001</v>
      </c>
      <c r="C1725" s="28">
        <v>5235038643.5900002</v>
      </c>
    </row>
    <row r="1726" spans="1:3" ht="15.5">
      <c r="A1726" s="29">
        <v>42110</v>
      </c>
      <c r="B1726" s="28">
        <v>1.5114000000000001</v>
      </c>
      <c r="C1726" s="28">
        <v>5269707773.6800003</v>
      </c>
    </row>
    <row r="1727" spans="1:3" ht="15.5">
      <c r="A1727" s="29">
        <v>42109</v>
      </c>
      <c r="B1727" s="28">
        <v>1.4964999999999999</v>
      </c>
      <c r="C1727" s="28">
        <v>5217704078.5450001</v>
      </c>
    </row>
    <row r="1728" spans="1:3" ht="15.5">
      <c r="A1728" s="29">
        <v>42108</v>
      </c>
      <c r="B1728" s="28">
        <v>1.4964999999999999</v>
      </c>
      <c r="C1728" s="28">
        <v>5217704078.5450001</v>
      </c>
    </row>
    <row r="1729" spans="1:3" ht="15.5">
      <c r="A1729" s="29">
        <v>42107</v>
      </c>
      <c r="B1729" s="28">
        <v>1.4964999999999999</v>
      </c>
      <c r="C1729" s="28">
        <v>5217704078.5450001</v>
      </c>
    </row>
    <row r="1730" spans="1:3" ht="15.5">
      <c r="A1730" s="29">
        <v>42104</v>
      </c>
      <c r="B1730" s="28">
        <v>1.4865999999999999</v>
      </c>
      <c r="C1730" s="28">
        <v>5183034948.4549999</v>
      </c>
    </row>
    <row r="1731" spans="1:3" ht="15.5">
      <c r="A1731" s="29">
        <v>42103</v>
      </c>
      <c r="B1731" s="28">
        <v>1.4865999999999999</v>
      </c>
      <c r="C1731" s="28">
        <v>5183034948.4549999</v>
      </c>
    </row>
    <row r="1732" spans="1:3" ht="15.5">
      <c r="A1732" s="29">
        <v>42102</v>
      </c>
      <c r="B1732" s="28">
        <v>1.4816</v>
      </c>
      <c r="C1732" s="28">
        <v>5165700383.4099998</v>
      </c>
    </row>
    <row r="1733" spans="1:3" ht="15.5">
      <c r="A1733" s="29">
        <v>42101</v>
      </c>
      <c r="B1733" s="28">
        <v>1.4518</v>
      </c>
      <c r="C1733" s="28">
        <v>5061692993.1400003</v>
      </c>
    </row>
    <row r="1734" spans="1:3" ht="15.5">
      <c r="A1734" s="29">
        <v>42096</v>
      </c>
      <c r="B1734" s="28">
        <v>1.4716</v>
      </c>
      <c r="C1734" s="28">
        <v>5131031253.3199997</v>
      </c>
    </row>
    <row r="1735" spans="1:3" ht="15.5">
      <c r="A1735" s="29">
        <v>42095</v>
      </c>
      <c r="B1735" s="28">
        <v>1.4666999999999999</v>
      </c>
      <c r="C1735" s="28">
        <v>5113696688.2749996</v>
      </c>
    </row>
    <row r="1736" spans="1:3" ht="15.5">
      <c r="A1736" s="29">
        <v>42094</v>
      </c>
      <c r="B1736" s="28">
        <v>1.4518</v>
      </c>
      <c r="C1736" s="28">
        <v>5061692993.1400003</v>
      </c>
    </row>
    <row r="1737" spans="1:3" ht="15.5">
      <c r="A1737" s="29">
        <v>42093</v>
      </c>
      <c r="B1737" s="28">
        <v>1.4218999999999999</v>
      </c>
      <c r="C1737" s="28">
        <v>4898099151.6599998</v>
      </c>
    </row>
    <row r="1738" spans="1:3" ht="15.5">
      <c r="A1738" s="29">
        <v>42090</v>
      </c>
      <c r="B1738" s="28">
        <v>1.4218999999999999</v>
      </c>
      <c r="C1738" s="28">
        <v>4898099151.6599998</v>
      </c>
    </row>
    <row r="1739" spans="1:3" ht="15.5">
      <c r="A1739" s="29">
        <v>42089</v>
      </c>
      <c r="B1739" s="28">
        <v>1.3920999999999999</v>
      </c>
      <c r="C1739" s="28">
        <v>4795341826.8000002</v>
      </c>
    </row>
    <row r="1740" spans="1:3" ht="15.5">
      <c r="A1740" s="29">
        <v>42088</v>
      </c>
      <c r="B1740" s="28">
        <v>1.3971</v>
      </c>
      <c r="C1740" s="28">
        <v>4812468047.6099997</v>
      </c>
    </row>
    <row r="1741" spans="1:3" ht="15.5">
      <c r="A1741" s="29">
        <v>42087</v>
      </c>
      <c r="B1741" s="28">
        <v>1.4019999999999999</v>
      </c>
      <c r="C1741" s="28">
        <v>4829594268.4200001</v>
      </c>
    </row>
    <row r="1742" spans="1:3" ht="15.5">
      <c r="A1742" s="29">
        <v>42086</v>
      </c>
      <c r="B1742" s="28">
        <v>1.4019999999999999</v>
      </c>
      <c r="C1742" s="28">
        <v>4829594268.4200001</v>
      </c>
    </row>
    <row r="1743" spans="1:3" ht="15.5">
      <c r="A1743" s="29">
        <v>42083</v>
      </c>
      <c r="B1743" s="28">
        <v>1.4119999999999999</v>
      </c>
      <c r="C1743" s="28">
        <v>4863846710.04</v>
      </c>
    </row>
    <row r="1744" spans="1:3" ht="15.5">
      <c r="A1744" s="29">
        <v>42082</v>
      </c>
      <c r="B1744" s="28">
        <v>1.3971</v>
      </c>
      <c r="C1744" s="28">
        <v>4812468047.6099997</v>
      </c>
    </row>
    <row r="1745" spans="1:3" ht="15.5">
      <c r="A1745" s="29">
        <v>42081</v>
      </c>
      <c r="B1745" s="28">
        <v>1.3722000000000001</v>
      </c>
      <c r="C1745" s="28">
        <v>4726836943.5600004</v>
      </c>
    </row>
    <row r="1746" spans="1:3" ht="15.5">
      <c r="A1746" s="29">
        <v>42080</v>
      </c>
      <c r="B1746" s="28">
        <v>1.407</v>
      </c>
      <c r="C1746" s="28">
        <v>4846720489.2299995</v>
      </c>
    </row>
    <row r="1747" spans="1:3" ht="15.5">
      <c r="A1747" s="29">
        <v>42079</v>
      </c>
      <c r="B1747" s="28">
        <v>1.3971</v>
      </c>
      <c r="C1747" s="28">
        <v>4812468047.6099997</v>
      </c>
    </row>
    <row r="1748" spans="1:3" ht="15.5">
      <c r="A1748" s="29">
        <v>42076</v>
      </c>
      <c r="B1748" s="28">
        <v>1.4169</v>
      </c>
      <c r="C1748" s="28">
        <v>4880972930.8500004</v>
      </c>
    </row>
    <row r="1749" spans="1:3" ht="15.5">
      <c r="A1749" s="29">
        <v>42075</v>
      </c>
      <c r="B1749" s="28">
        <v>1.4218999999999999</v>
      </c>
      <c r="C1749" s="28">
        <v>4898099151.6599998</v>
      </c>
    </row>
    <row r="1750" spans="1:3" ht="15.5">
      <c r="A1750" s="29">
        <v>42074</v>
      </c>
      <c r="B1750" s="28">
        <v>1.4418</v>
      </c>
      <c r="C1750" s="28">
        <v>4966604034.8999996</v>
      </c>
    </row>
    <row r="1751" spans="1:3" ht="15.5">
      <c r="A1751" s="29">
        <v>42073</v>
      </c>
      <c r="B1751" s="28">
        <v>1.4269000000000001</v>
      </c>
      <c r="C1751" s="28">
        <v>4915225372.4700003</v>
      </c>
    </row>
    <row r="1752" spans="1:3" ht="15.5">
      <c r="A1752" s="29">
        <v>42072</v>
      </c>
      <c r="B1752" s="28">
        <v>1.4319</v>
      </c>
      <c r="C1752" s="28">
        <v>4932351593.2799997</v>
      </c>
    </row>
    <row r="1753" spans="1:3" ht="15.5">
      <c r="A1753" s="29">
        <v>42069</v>
      </c>
      <c r="B1753" s="28">
        <v>1.4816</v>
      </c>
      <c r="C1753" s="28">
        <v>5103613801.3800001</v>
      </c>
    </row>
    <row r="1754" spans="1:3" ht="15.5">
      <c r="A1754" s="29">
        <v>42068</v>
      </c>
      <c r="B1754" s="28">
        <v>1.4765999999999999</v>
      </c>
      <c r="C1754" s="28">
        <v>5086487580.5699997</v>
      </c>
    </row>
    <row r="1755" spans="1:3" ht="15.5">
      <c r="A1755" s="29">
        <v>42067</v>
      </c>
      <c r="B1755" s="28">
        <v>1.4716</v>
      </c>
      <c r="C1755" s="28">
        <v>5069361359.7600002</v>
      </c>
    </row>
    <row r="1756" spans="1:3" ht="15.5">
      <c r="A1756" s="29">
        <v>42066</v>
      </c>
      <c r="B1756" s="28">
        <v>1.4816</v>
      </c>
      <c r="C1756" s="28">
        <v>5103613801.3800001</v>
      </c>
    </row>
    <row r="1757" spans="1:3" ht="15.5">
      <c r="A1757" s="29">
        <v>42065</v>
      </c>
      <c r="B1757" s="28">
        <v>1.4865999999999999</v>
      </c>
      <c r="C1757" s="28">
        <v>5120740022.1899996</v>
      </c>
    </row>
    <row r="1758" spans="1:3" ht="15.5">
      <c r="A1758" s="29">
        <v>42062</v>
      </c>
      <c r="B1758" s="28">
        <v>1.4567000000000001</v>
      </c>
      <c r="C1758" s="28">
        <v>5017982697.3299999</v>
      </c>
    </row>
    <row r="1759" spans="1:3" ht="15.5">
      <c r="A1759" s="29">
        <v>42061</v>
      </c>
      <c r="B1759" s="28">
        <v>1.4468000000000001</v>
      </c>
      <c r="C1759" s="28">
        <v>4983730255.71</v>
      </c>
    </row>
    <row r="1760" spans="1:3" ht="15.5">
      <c r="A1760" s="29">
        <v>42060</v>
      </c>
      <c r="B1760" s="28">
        <v>1.4617</v>
      </c>
      <c r="C1760" s="28">
        <v>5035108918.1400003</v>
      </c>
    </row>
    <row r="1761" spans="1:3" ht="15.5">
      <c r="A1761" s="29">
        <v>42059</v>
      </c>
      <c r="B1761" s="28">
        <v>1.4368000000000001</v>
      </c>
      <c r="C1761" s="28">
        <v>4949477814.0900002</v>
      </c>
    </row>
    <row r="1762" spans="1:3" ht="15.5">
      <c r="A1762" s="29">
        <v>42058</v>
      </c>
      <c r="B1762" s="28">
        <v>1.4319</v>
      </c>
      <c r="C1762" s="28">
        <v>4932351593.2799997</v>
      </c>
    </row>
    <row r="1763" spans="1:3" ht="15.5">
      <c r="A1763" s="29">
        <v>42055</v>
      </c>
      <c r="B1763" s="28">
        <v>1.4218999999999999</v>
      </c>
      <c r="C1763" s="28">
        <v>4898099151.6599998</v>
      </c>
    </row>
    <row r="1764" spans="1:3" ht="15.5">
      <c r="A1764" s="29">
        <v>42054</v>
      </c>
      <c r="B1764" s="28">
        <v>1.4319</v>
      </c>
      <c r="C1764" s="28">
        <v>4932351593.2799997</v>
      </c>
    </row>
    <row r="1765" spans="1:3" ht="15.5">
      <c r="A1765" s="29">
        <v>42053</v>
      </c>
      <c r="B1765" s="28">
        <v>1.4319</v>
      </c>
      <c r="C1765" s="28">
        <v>4932351593.2799997</v>
      </c>
    </row>
    <row r="1766" spans="1:3" ht="15.5">
      <c r="A1766" s="29">
        <v>42052</v>
      </c>
      <c r="B1766" s="28">
        <v>1.3971</v>
      </c>
      <c r="C1766" s="28">
        <v>4812468047.6099997</v>
      </c>
    </row>
    <row r="1767" spans="1:3" ht="15.5">
      <c r="A1767" s="29">
        <v>42051</v>
      </c>
      <c r="B1767" s="28">
        <v>1.4169</v>
      </c>
      <c r="C1767" s="28">
        <v>4880972930.8500004</v>
      </c>
    </row>
    <row r="1768" spans="1:3" ht="15.5">
      <c r="A1768" s="29">
        <v>42048</v>
      </c>
      <c r="B1768" s="28">
        <v>1.4218999999999999</v>
      </c>
      <c r="C1768" s="28">
        <v>4898099151.6599998</v>
      </c>
    </row>
    <row r="1769" spans="1:3" ht="15.5">
      <c r="A1769" s="29">
        <v>42047</v>
      </c>
      <c r="B1769" s="28">
        <v>1.4019999999999999</v>
      </c>
      <c r="C1769" s="28">
        <v>4829594268.4200001</v>
      </c>
    </row>
    <row r="1770" spans="1:3" ht="15.5">
      <c r="A1770" s="29">
        <v>42046</v>
      </c>
      <c r="B1770" s="28">
        <v>1.4368000000000001</v>
      </c>
      <c r="C1770" s="28">
        <v>4949477814.0900002</v>
      </c>
    </row>
    <row r="1771" spans="1:3" ht="15.5">
      <c r="A1771" s="29">
        <v>42045</v>
      </c>
      <c r="B1771" s="28">
        <v>1.4119999999999999</v>
      </c>
      <c r="C1771" s="28">
        <v>4863846710.04</v>
      </c>
    </row>
    <row r="1772" spans="1:3" ht="15.5">
      <c r="A1772" s="29">
        <v>42044</v>
      </c>
      <c r="B1772" s="28">
        <v>1.4218999999999999</v>
      </c>
      <c r="C1772" s="28">
        <v>4898099151.6599998</v>
      </c>
    </row>
    <row r="1773" spans="1:3" ht="15.5">
      <c r="A1773" s="29">
        <v>42041</v>
      </c>
      <c r="B1773" s="28">
        <v>1.4368000000000001</v>
      </c>
      <c r="C1773" s="28">
        <v>4949477814.0900002</v>
      </c>
    </row>
    <row r="1774" spans="1:3" ht="15.5">
      <c r="A1774" s="29">
        <v>42040</v>
      </c>
      <c r="B1774" s="28">
        <v>1.4218999999999999</v>
      </c>
      <c r="C1774" s="28">
        <v>4898099151.6599998</v>
      </c>
    </row>
    <row r="1775" spans="1:3" ht="15.5">
      <c r="A1775" s="29">
        <v>42039</v>
      </c>
      <c r="B1775" s="28">
        <v>1.4218999999999999</v>
      </c>
      <c r="C1775" s="28">
        <v>4898099151.6599998</v>
      </c>
    </row>
    <row r="1776" spans="1:3" ht="15.5">
      <c r="A1776" s="29">
        <v>42038</v>
      </c>
      <c r="B1776" s="28">
        <v>1.4269000000000001</v>
      </c>
      <c r="C1776" s="28">
        <v>4915225372.4700003</v>
      </c>
    </row>
    <row r="1777" spans="1:3" ht="15.5">
      <c r="A1777" s="29">
        <v>42037</v>
      </c>
      <c r="B1777" s="28">
        <v>1.4319</v>
      </c>
      <c r="C1777" s="28">
        <v>4932351593.2799997</v>
      </c>
    </row>
    <row r="1778" spans="1:3" ht="15.5">
      <c r="A1778" s="29">
        <v>42034</v>
      </c>
      <c r="B1778" s="28">
        <v>1.3920999999999999</v>
      </c>
      <c r="C1778" s="28">
        <v>4795341826.8000002</v>
      </c>
    </row>
    <row r="1779" spans="1:3" ht="15.5">
      <c r="A1779" s="29">
        <v>42033</v>
      </c>
      <c r="B1779" s="28">
        <v>1.3623000000000001</v>
      </c>
      <c r="C1779" s="28">
        <v>4692584501.9399996</v>
      </c>
    </row>
    <row r="1780" spans="1:3" ht="15.5">
      <c r="A1780" s="29">
        <v>42032</v>
      </c>
      <c r="B1780" s="28">
        <v>1.3573</v>
      </c>
      <c r="C1780" s="28">
        <v>4675458281.1300001</v>
      </c>
    </row>
    <row r="1781" spans="1:3" ht="15.5">
      <c r="A1781" s="29">
        <v>42031</v>
      </c>
      <c r="B1781" s="28">
        <v>1.3672</v>
      </c>
      <c r="C1781" s="28">
        <v>4709710722.75</v>
      </c>
    </row>
    <row r="1782" spans="1:3" ht="15.5">
      <c r="A1782" s="29">
        <v>42027</v>
      </c>
      <c r="B1782" s="28">
        <v>1.3920999999999999</v>
      </c>
      <c r="C1782" s="28">
        <v>4795341826.8000002</v>
      </c>
    </row>
    <row r="1783" spans="1:3" ht="15.5">
      <c r="A1783" s="29">
        <v>42026</v>
      </c>
      <c r="B1783" s="28">
        <v>1.3672</v>
      </c>
      <c r="C1783" s="28">
        <v>4709710722.75</v>
      </c>
    </row>
    <row r="1784" spans="1:3" ht="15.5">
      <c r="A1784" s="29">
        <v>42025</v>
      </c>
      <c r="B1784" s="28">
        <v>1.3772</v>
      </c>
      <c r="C1784" s="28">
        <v>4743963164.3699999</v>
      </c>
    </row>
    <row r="1785" spans="1:3" ht="15.5">
      <c r="A1785" s="29">
        <v>42024</v>
      </c>
      <c r="B1785" s="28">
        <v>1.3722000000000001</v>
      </c>
      <c r="C1785" s="28">
        <v>4726836943.5600004</v>
      </c>
    </row>
    <row r="1786" spans="1:3" ht="15.5">
      <c r="A1786" s="29">
        <v>42023</v>
      </c>
      <c r="B1786" s="28">
        <v>1.3722000000000001</v>
      </c>
      <c r="C1786" s="28">
        <v>4726836943.5600004</v>
      </c>
    </row>
    <row r="1787" spans="1:3" ht="15.5">
      <c r="A1787" s="29">
        <v>42020</v>
      </c>
      <c r="B1787" s="28">
        <v>1.3672</v>
      </c>
      <c r="C1787" s="28">
        <v>4709710722.75</v>
      </c>
    </row>
    <row r="1788" spans="1:3" ht="15.5">
      <c r="A1788" s="29">
        <v>42019</v>
      </c>
      <c r="B1788" s="28">
        <v>1.3722000000000001</v>
      </c>
      <c r="C1788" s="28">
        <v>4726836943.5600004</v>
      </c>
    </row>
    <row r="1789" spans="1:3" ht="15.5">
      <c r="A1789" s="29">
        <v>42018</v>
      </c>
      <c r="B1789" s="28">
        <v>1.3623000000000001</v>
      </c>
      <c r="C1789" s="28">
        <v>4692584501.9399996</v>
      </c>
    </row>
    <row r="1790" spans="1:3" ht="15.5">
      <c r="A1790" s="29">
        <v>42017</v>
      </c>
      <c r="B1790" s="28">
        <v>1.3523000000000001</v>
      </c>
      <c r="C1790" s="28">
        <v>4658332060.3199997</v>
      </c>
    </row>
    <row r="1791" spans="1:3" ht="15.5">
      <c r="A1791" s="29">
        <v>42016</v>
      </c>
      <c r="B1791" s="28">
        <v>1.3424</v>
      </c>
      <c r="C1791" s="28">
        <v>4624079618.6999998</v>
      </c>
    </row>
    <row r="1792" spans="1:3" ht="15.5">
      <c r="A1792" s="29">
        <v>42013</v>
      </c>
      <c r="B1792" s="28">
        <v>1.3523000000000001</v>
      </c>
      <c r="C1792" s="28">
        <v>4658332060.3199997</v>
      </c>
    </row>
    <row r="1793" spans="1:3" ht="15.5">
      <c r="A1793" s="29">
        <v>42012</v>
      </c>
      <c r="B1793" s="28">
        <v>1.3373999999999999</v>
      </c>
      <c r="C1793" s="28">
        <v>4606953397.8900003</v>
      </c>
    </row>
    <row r="1794" spans="1:3" ht="15.5">
      <c r="A1794" s="29">
        <v>42011</v>
      </c>
      <c r="B1794" s="28">
        <v>1.3225</v>
      </c>
      <c r="C1794" s="28">
        <v>4555574735.46</v>
      </c>
    </row>
    <row r="1795" spans="1:3" ht="15.5">
      <c r="A1795" s="29">
        <v>42010</v>
      </c>
      <c r="B1795" s="28">
        <v>1.3274999999999999</v>
      </c>
      <c r="C1795" s="28">
        <v>4572700956.2700005</v>
      </c>
    </row>
    <row r="1796" spans="1:3" ht="15.5">
      <c r="A1796" s="29">
        <v>42009</v>
      </c>
      <c r="B1796" s="28">
        <v>1.3324</v>
      </c>
      <c r="C1796" s="28">
        <v>4589827177.0799999</v>
      </c>
    </row>
    <row r="1797" spans="1:3" ht="15.5">
      <c r="A1797" s="29">
        <v>42006</v>
      </c>
      <c r="B1797" s="28">
        <v>1.3174999999999999</v>
      </c>
      <c r="C1797" s="28">
        <v>4538448514.6499996</v>
      </c>
    </row>
    <row r="1798" spans="1:3" ht="15.5">
      <c r="A1798" s="29">
        <v>42004</v>
      </c>
      <c r="B1798" s="28">
        <v>1.3225</v>
      </c>
      <c r="C1798" s="28">
        <v>4555574735.46</v>
      </c>
    </row>
    <row r="1799" spans="1:3" ht="15.5">
      <c r="A1799" s="29">
        <v>42003</v>
      </c>
      <c r="B1799" s="28">
        <v>1.3026</v>
      </c>
      <c r="C1799" s="28">
        <v>4487069852.2200003</v>
      </c>
    </row>
    <row r="1800" spans="1:3" ht="15.5">
      <c r="A1800" s="29">
        <v>42002</v>
      </c>
      <c r="B1800" s="28">
        <v>1.3274999999999999</v>
      </c>
      <c r="C1800" s="28">
        <v>4572700956.2700005</v>
      </c>
    </row>
    <row r="1801" spans="1:3" ht="15.5">
      <c r="A1801" s="29">
        <v>41997</v>
      </c>
      <c r="B1801" s="28">
        <v>1.3225</v>
      </c>
      <c r="C1801" s="28">
        <v>4555574735.46</v>
      </c>
    </row>
    <row r="1802" spans="1:3" ht="15.5">
      <c r="A1802" s="29">
        <v>41996</v>
      </c>
      <c r="B1802" s="28">
        <v>1.3225</v>
      </c>
      <c r="C1802" s="28">
        <v>4555574735.46</v>
      </c>
    </row>
    <row r="1803" spans="1:3" ht="15.5">
      <c r="A1803" s="29">
        <v>41995</v>
      </c>
      <c r="B1803" s="28">
        <v>1.3373999999999999</v>
      </c>
      <c r="C1803" s="28">
        <v>4606953397.8900003</v>
      </c>
    </row>
    <row r="1804" spans="1:3" ht="15.5">
      <c r="A1804" s="29">
        <v>41992</v>
      </c>
      <c r="B1804" s="28">
        <v>1.3274999999999999</v>
      </c>
      <c r="C1804" s="28">
        <v>4572700956.2700005</v>
      </c>
    </row>
    <row r="1805" spans="1:3" ht="15.5">
      <c r="A1805" s="29">
        <v>41991</v>
      </c>
      <c r="B1805" s="28">
        <v>1.2976000000000001</v>
      </c>
      <c r="C1805" s="28">
        <v>4469943631.4099998</v>
      </c>
    </row>
    <row r="1806" spans="1:3" ht="15.5">
      <c r="A1806" s="29">
        <v>41990</v>
      </c>
      <c r="B1806" s="28">
        <v>1.2877000000000001</v>
      </c>
      <c r="C1806" s="28">
        <v>4435691189.79</v>
      </c>
    </row>
    <row r="1807" spans="1:3" ht="15.5">
      <c r="A1807" s="29">
        <v>41989</v>
      </c>
      <c r="B1807" s="28">
        <v>1.3125</v>
      </c>
      <c r="C1807" s="28">
        <v>4521322293.8400002</v>
      </c>
    </row>
    <row r="1808" spans="1:3" ht="15.5">
      <c r="A1808" s="29">
        <v>41988</v>
      </c>
      <c r="B1808" s="28">
        <v>1.3225</v>
      </c>
      <c r="C1808" s="28">
        <v>4555574735.46</v>
      </c>
    </row>
    <row r="1809" spans="1:3" ht="15.5">
      <c r="A1809" s="29">
        <v>41985</v>
      </c>
      <c r="B1809" s="28">
        <v>1.3026</v>
      </c>
      <c r="C1809" s="28">
        <v>4487069852.2200003</v>
      </c>
    </row>
    <row r="1810" spans="1:3" ht="15.5">
      <c r="A1810" s="29">
        <v>41984</v>
      </c>
      <c r="B1810" s="28">
        <v>1.3125</v>
      </c>
      <c r="C1810" s="28">
        <v>4521322293.8400002</v>
      </c>
    </row>
    <row r="1811" spans="1:3" ht="15.5">
      <c r="A1811" s="29">
        <v>41983</v>
      </c>
      <c r="B1811" s="28">
        <v>1.3076000000000001</v>
      </c>
      <c r="C1811" s="28">
        <v>4504196073.0299997</v>
      </c>
    </row>
    <row r="1812" spans="1:3" ht="15.5">
      <c r="A1812" s="29">
        <v>41982</v>
      </c>
      <c r="B1812" s="28">
        <v>1.3225</v>
      </c>
      <c r="C1812" s="28">
        <v>4555574735.46</v>
      </c>
    </row>
    <row r="1813" spans="1:3" ht="15.5">
      <c r="A1813" s="29">
        <v>41981</v>
      </c>
      <c r="B1813" s="28">
        <v>1.3523000000000001</v>
      </c>
      <c r="C1813" s="28">
        <v>4658332060.3199997</v>
      </c>
    </row>
    <row r="1814" spans="1:3" ht="15.5">
      <c r="A1814" s="29">
        <v>41978</v>
      </c>
      <c r="B1814" s="28">
        <v>1.3424</v>
      </c>
      <c r="C1814" s="28">
        <v>4624079618.6999998</v>
      </c>
    </row>
    <row r="1815" spans="1:3" ht="15.5">
      <c r="A1815" s="29">
        <v>41977</v>
      </c>
      <c r="B1815" s="28">
        <v>1.3324</v>
      </c>
      <c r="C1815" s="28">
        <v>4589827177.0799999</v>
      </c>
    </row>
    <row r="1816" spans="1:3" ht="15.5">
      <c r="A1816" s="29">
        <v>41976</v>
      </c>
      <c r="B1816" s="28">
        <v>1.3472999999999999</v>
      </c>
      <c r="C1816" s="28">
        <v>4641205839.5100002</v>
      </c>
    </row>
    <row r="1817" spans="1:3" ht="15.5">
      <c r="A1817" s="29">
        <v>41975</v>
      </c>
      <c r="B1817" s="28">
        <v>1.3225</v>
      </c>
      <c r="C1817" s="28">
        <v>4555574735.46</v>
      </c>
    </row>
    <row r="1818" spans="1:3" ht="15.5">
      <c r="A1818" s="29">
        <v>41974</v>
      </c>
      <c r="B1818" s="28">
        <v>1.2877000000000001</v>
      </c>
      <c r="C1818" s="28">
        <v>4435691189.79</v>
      </c>
    </row>
    <row r="1819" spans="1:3" ht="15.5">
      <c r="A1819" s="29">
        <v>41971</v>
      </c>
      <c r="B1819" s="28">
        <v>1.3125</v>
      </c>
      <c r="C1819" s="28">
        <v>4521322293.8400002</v>
      </c>
    </row>
    <row r="1820" spans="1:3" ht="15.5">
      <c r="A1820" s="29">
        <v>41970</v>
      </c>
      <c r="B1820" s="28">
        <v>1.3125</v>
      </c>
      <c r="C1820" s="28">
        <v>4521322293.8400002</v>
      </c>
    </row>
    <row r="1821" spans="1:3" ht="15.5">
      <c r="A1821" s="29">
        <v>41969</v>
      </c>
      <c r="B1821" s="28">
        <v>1.3324</v>
      </c>
      <c r="C1821" s="28">
        <v>4589827177.0799999</v>
      </c>
    </row>
    <row r="1822" spans="1:3" ht="15.5">
      <c r="A1822" s="29">
        <v>41968</v>
      </c>
      <c r="B1822" s="28">
        <v>1.3174999999999999</v>
      </c>
      <c r="C1822" s="28">
        <v>4538448514.6499996</v>
      </c>
    </row>
    <row r="1823" spans="1:3" ht="15.5">
      <c r="A1823" s="29">
        <v>41967</v>
      </c>
      <c r="B1823" s="28">
        <v>1.3125</v>
      </c>
      <c r="C1823" s="28">
        <v>4521322293.8400002</v>
      </c>
    </row>
    <row r="1824" spans="1:3" ht="15.5">
      <c r="A1824" s="29">
        <v>41964</v>
      </c>
      <c r="B1824" s="28">
        <v>1.3174999999999999</v>
      </c>
      <c r="C1824" s="28">
        <v>4538448514.6499996</v>
      </c>
    </row>
    <row r="1825" spans="1:3" ht="15.5">
      <c r="A1825" s="29">
        <v>41963</v>
      </c>
      <c r="B1825" s="28">
        <v>1.3772</v>
      </c>
      <c r="C1825" s="28">
        <v>4743963164.3699999</v>
      </c>
    </row>
    <row r="1826" spans="1:3" ht="15.5">
      <c r="A1826" s="29">
        <v>41962</v>
      </c>
      <c r="B1826" s="28">
        <v>1.3920999999999999</v>
      </c>
      <c r="C1826" s="28">
        <v>4795341826.8000002</v>
      </c>
    </row>
    <row r="1827" spans="1:3" ht="15.5">
      <c r="A1827" s="29">
        <v>41961</v>
      </c>
      <c r="B1827" s="28">
        <v>1.3920999999999999</v>
      </c>
      <c r="C1827" s="28">
        <v>4795341826.8000002</v>
      </c>
    </row>
    <row r="1828" spans="1:3" ht="15.5">
      <c r="A1828" s="29">
        <v>41960</v>
      </c>
      <c r="B1828" s="28">
        <v>1.3920999999999999</v>
      </c>
      <c r="C1828" s="28">
        <v>4795341826.8000002</v>
      </c>
    </row>
    <row r="1829" spans="1:3" ht="15.5">
      <c r="A1829" s="29">
        <v>41957</v>
      </c>
      <c r="B1829" s="28">
        <v>1.4019999999999999</v>
      </c>
      <c r="C1829" s="28">
        <v>4829594268.4200001</v>
      </c>
    </row>
    <row r="1830" spans="1:3" ht="15.5">
      <c r="A1830" s="29">
        <v>41956</v>
      </c>
      <c r="B1830" s="28">
        <v>1.3871</v>
      </c>
      <c r="C1830" s="28">
        <v>4778215605.9899998</v>
      </c>
    </row>
    <row r="1831" spans="1:3" ht="15.5">
      <c r="A1831" s="29">
        <v>41955</v>
      </c>
      <c r="B1831" s="28">
        <v>1.4169</v>
      </c>
      <c r="C1831" s="28">
        <v>4880972930.8500004</v>
      </c>
    </row>
    <row r="1832" spans="1:3" ht="15.5">
      <c r="A1832" s="29">
        <v>41954</v>
      </c>
      <c r="B1832" s="28">
        <v>1.3920999999999999</v>
      </c>
      <c r="C1832" s="28">
        <v>4795341826.8000002</v>
      </c>
    </row>
    <row r="1833" spans="1:3" ht="15.5">
      <c r="A1833" s="29">
        <v>41953</v>
      </c>
      <c r="B1833" s="28">
        <v>1.4119999999999999</v>
      </c>
      <c r="C1833" s="28">
        <v>4863846710.04</v>
      </c>
    </row>
    <row r="1834" spans="1:3" ht="15.5">
      <c r="A1834" s="29">
        <v>41950</v>
      </c>
      <c r="B1834" s="28">
        <v>1.4119999999999999</v>
      </c>
      <c r="C1834" s="28">
        <v>4863846710.04</v>
      </c>
    </row>
    <row r="1835" spans="1:3" ht="15.5">
      <c r="A1835" s="29">
        <v>41949</v>
      </c>
      <c r="B1835" s="28">
        <v>1.3821000000000001</v>
      </c>
      <c r="C1835" s="28">
        <v>4761089385.1800003</v>
      </c>
    </row>
    <row r="1836" spans="1:3" ht="15.5">
      <c r="A1836" s="29">
        <v>41948</v>
      </c>
      <c r="B1836" s="28">
        <v>1.3871</v>
      </c>
      <c r="C1836" s="28">
        <v>4778215605.9899998</v>
      </c>
    </row>
    <row r="1837" spans="1:3" ht="15.5">
      <c r="A1837" s="29">
        <v>41947</v>
      </c>
      <c r="B1837" s="28">
        <v>1.3772</v>
      </c>
      <c r="C1837" s="28">
        <v>4743963164.3699999</v>
      </c>
    </row>
    <row r="1838" spans="1:3" ht="15.5">
      <c r="A1838" s="29">
        <v>41946</v>
      </c>
      <c r="B1838" s="28">
        <v>1.3573</v>
      </c>
      <c r="C1838" s="28">
        <v>4675458281.1300001</v>
      </c>
    </row>
    <row r="1839" spans="1:3" ht="15.5">
      <c r="A1839" s="29">
        <v>41943</v>
      </c>
      <c r="B1839" s="28">
        <v>1.3672</v>
      </c>
      <c r="C1839" s="28">
        <v>4709710722.75</v>
      </c>
    </row>
    <row r="1840" spans="1:3" ht="15.5">
      <c r="A1840" s="29">
        <v>41942</v>
      </c>
      <c r="B1840" s="28">
        <v>1.3424</v>
      </c>
      <c r="C1840" s="28">
        <v>4624079618.6999998</v>
      </c>
    </row>
    <row r="1841" spans="1:3" ht="15.5">
      <c r="A1841" s="29">
        <v>41941</v>
      </c>
      <c r="B1841" s="28">
        <v>1.3324</v>
      </c>
      <c r="C1841" s="28">
        <v>4589827177.0799999</v>
      </c>
    </row>
    <row r="1842" spans="1:3" ht="15.5">
      <c r="A1842" s="29">
        <v>41940</v>
      </c>
      <c r="B1842" s="28">
        <v>1.3174999999999999</v>
      </c>
      <c r="C1842" s="28">
        <v>4538448514.6499996</v>
      </c>
    </row>
    <row r="1843" spans="1:3" ht="15.5">
      <c r="A1843" s="29">
        <v>41939</v>
      </c>
      <c r="B1843" s="28">
        <v>1.3373999999999999</v>
      </c>
      <c r="C1843" s="28">
        <v>4606953397.8900003</v>
      </c>
    </row>
    <row r="1844" spans="1:3" ht="15.5">
      <c r="A1844" s="29">
        <v>41936</v>
      </c>
      <c r="B1844" s="28">
        <v>1.3324</v>
      </c>
      <c r="C1844" s="28">
        <v>4589827177.0799999</v>
      </c>
    </row>
    <row r="1845" spans="1:3" ht="15.5">
      <c r="A1845" s="29">
        <v>41935</v>
      </c>
      <c r="B1845" s="28">
        <v>1.3324</v>
      </c>
      <c r="C1845" s="28">
        <v>4589827177.0799999</v>
      </c>
    </row>
    <row r="1846" spans="1:3" ht="15.5">
      <c r="A1846" s="29">
        <v>41934</v>
      </c>
      <c r="B1846" s="28">
        <v>1.3174999999999999</v>
      </c>
      <c r="C1846" s="28">
        <v>4538448514.6499996</v>
      </c>
    </row>
    <row r="1847" spans="1:3" ht="15.5">
      <c r="A1847" s="29">
        <v>41933</v>
      </c>
      <c r="B1847" s="28">
        <v>1.3324</v>
      </c>
      <c r="C1847" s="28">
        <v>4589827177.0799999</v>
      </c>
    </row>
    <row r="1848" spans="1:3" ht="15.5">
      <c r="A1848" s="29">
        <v>41932</v>
      </c>
      <c r="B1848" s="28">
        <v>1.3324</v>
      </c>
      <c r="C1848" s="28">
        <v>4589827177.0799999</v>
      </c>
    </row>
    <row r="1849" spans="1:3" ht="15.5">
      <c r="A1849" s="29">
        <v>41929</v>
      </c>
      <c r="B1849" s="28">
        <v>1.3076000000000001</v>
      </c>
      <c r="C1849" s="28">
        <v>4504196073.0299997</v>
      </c>
    </row>
    <row r="1850" spans="1:3" ht="15.5">
      <c r="A1850" s="29">
        <v>41928</v>
      </c>
      <c r="B1850" s="28">
        <v>1.3174999999999999</v>
      </c>
      <c r="C1850" s="28">
        <v>4538448514.6499996</v>
      </c>
    </row>
    <row r="1851" spans="1:3" ht="15.5">
      <c r="A1851" s="29">
        <v>41927</v>
      </c>
      <c r="B1851" s="28">
        <v>1.3274999999999999</v>
      </c>
      <c r="C1851" s="28">
        <v>4572700956.2700005</v>
      </c>
    </row>
    <row r="1852" spans="1:3" ht="15.5">
      <c r="A1852" s="29">
        <v>41926</v>
      </c>
      <c r="B1852" s="28">
        <v>1.3324</v>
      </c>
      <c r="C1852" s="28">
        <v>4589827177.0799999</v>
      </c>
    </row>
    <row r="1853" spans="1:3" ht="15.5">
      <c r="A1853" s="29">
        <v>41925</v>
      </c>
      <c r="B1853" s="28">
        <v>1.3174999999999999</v>
      </c>
      <c r="C1853" s="28">
        <v>4538448514.6499996</v>
      </c>
    </row>
    <row r="1854" spans="1:3" ht="15.5">
      <c r="A1854" s="29">
        <v>41922</v>
      </c>
      <c r="B1854" s="28">
        <v>1.3125</v>
      </c>
      <c r="C1854" s="28">
        <v>4521322293.8400002</v>
      </c>
    </row>
    <row r="1855" spans="1:3" ht="15.5">
      <c r="A1855" s="29">
        <v>41921</v>
      </c>
      <c r="B1855" s="28">
        <v>1.3324</v>
      </c>
      <c r="C1855" s="28">
        <v>4589827177.0799999</v>
      </c>
    </row>
    <row r="1856" spans="1:3" ht="15.5">
      <c r="A1856" s="29">
        <v>41920</v>
      </c>
      <c r="B1856" s="28">
        <v>1.3324</v>
      </c>
      <c r="C1856" s="28">
        <v>4589827177.0799999</v>
      </c>
    </row>
    <row r="1857" spans="1:3" ht="15.5">
      <c r="A1857" s="29">
        <v>41919</v>
      </c>
      <c r="B1857" s="28">
        <v>1.3424</v>
      </c>
      <c r="C1857" s="28">
        <v>4624079618.6999998</v>
      </c>
    </row>
    <row r="1858" spans="1:3" ht="15.5">
      <c r="A1858" s="29">
        <v>41918</v>
      </c>
      <c r="B1858" s="28">
        <v>1.3274999999999999</v>
      </c>
      <c r="C1858" s="28">
        <v>4572700956.2700005</v>
      </c>
    </row>
    <row r="1859" spans="1:3" ht="15.5">
      <c r="A1859" s="29">
        <v>41915</v>
      </c>
      <c r="B1859" s="28">
        <v>1.3373999999999999</v>
      </c>
      <c r="C1859" s="28">
        <v>4606953397.8900003</v>
      </c>
    </row>
    <row r="1860" spans="1:3" ht="15.5">
      <c r="A1860" s="29">
        <v>41914</v>
      </c>
      <c r="B1860" s="28">
        <v>1.3274999999999999</v>
      </c>
      <c r="C1860" s="28">
        <v>4572700956.2700005</v>
      </c>
    </row>
    <row r="1861" spans="1:3" ht="15.5">
      <c r="A1861" s="29">
        <v>41913</v>
      </c>
      <c r="B1861" s="28">
        <v>1.3672</v>
      </c>
      <c r="C1861" s="28">
        <v>4709710722.75</v>
      </c>
    </row>
    <row r="1862" spans="1:3" ht="15.5">
      <c r="A1862" s="29">
        <v>41912</v>
      </c>
      <c r="B1862" s="28">
        <v>1.3573</v>
      </c>
      <c r="C1862" s="28">
        <v>4675458281.1300001</v>
      </c>
    </row>
    <row r="1863" spans="1:3" ht="15.5">
      <c r="A1863" s="29">
        <v>41911</v>
      </c>
      <c r="B1863" s="28">
        <v>1.3472999999999999</v>
      </c>
      <c r="C1863" s="28">
        <v>4588852593.3999996</v>
      </c>
    </row>
    <row r="1864" spans="1:3" ht="15.5">
      <c r="A1864" s="29">
        <v>41908</v>
      </c>
      <c r="B1864" s="28">
        <v>1.3373999999999999</v>
      </c>
      <c r="C1864" s="28">
        <v>4554986522.6000004</v>
      </c>
    </row>
    <row r="1865" spans="1:3" ht="15.5">
      <c r="A1865" s="29">
        <v>41907</v>
      </c>
      <c r="B1865" s="28">
        <v>1.3424</v>
      </c>
      <c r="C1865" s="28">
        <v>4571919558</v>
      </c>
    </row>
    <row r="1866" spans="1:3" ht="15.5">
      <c r="A1866" s="29">
        <v>41906</v>
      </c>
      <c r="B1866" s="28">
        <v>1.3324</v>
      </c>
      <c r="C1866" s="28">
        <v>4538053487.1999998</v>
      </c>
    </row>
    <row r="1867" spans="1:3" ht="15.5">
      <c r="A1867" s="29">
        <v>41905</v>
      </c>
      <c r="B1867" s="28">
        <v>1.3573</v>
      </c>
      <c r="C1867" s="28">
        <v>4622718664.1999998</v>
      </c>
    </row>
    <row r="1868" spans="1:3" ht="15.5">
      <c r="A1868" s="29">
        <v>41904</v>
      </c>
      <c r="B1868" s="28">
        <v>1.3373999999999999</v>
      </c>
      <c r="C1868" s="28">
        <v>4554986522.6000004</v>
      </c>
    </row>
    <row r="1869" spans="1:3" ht="15.5">
      <c r="A1869" s="29">
        <v>41901</v>
      </c>
      <c r="B1869" s="28">
        <v>1.3523000000000001</v>
      </c>
      <c r="C1869" s="28">
        <v>4605785628.8000002</v>
      </c>
    </row>
    <row r="1870" spans="1:3" ht="15.5">
      <c r="A1870" s="29">
        <v>41900</v>
      </c>
      <c r="B1870" s="28">
        <v>1.3373999999999999</v>
      </c>
      <c r="C1870" s="28">
        <v>4554986522.6000004</v>
      </c>
    </row>
    <row r="1871" spans="1:3" ht="15.5">
      <c r="A1871" s="29">
        <v>41899</v>
      </c>
      <c r="B1871" s="28">
        <v>1.3623000000000001</v>
      </c>
      <c r="C1871" s="28">
        <v>4639651699.6000004</v>
      </c>
    </row>
    <row r="1872" spans="1:3" ht="15.5">
      <c r="A1872" s="29">
        <v>41898</v>
      </c>
      <c r="B1872" s="28">
        <v>1.3772</v>
      </c>
      <c r="C1872" s="28">
        <v>4690450805.8000002</v>
      </c>
    </row>
    <row r="1873" spans="1:3" ht="15.5">
      <c r="A1873" s="29">
        <v>41897</v>
      </c>
      <c r="B1873" s="28">
        <v>1.3821000000000001</v>
      </c>
      <c r="C1873" s="28">
        <v>4707383841.1999998</v>
      </c>
    </row>
    <row r="1874" spans="1:3" ht="15.5">
      <c r="A1874" s="29">
        <v>41894</v>
      </c>
      <c r="B1874" s="28">
        <v>1.4218999999999999</v>
      </c>
      <c r="C1874" s="28">
        <v>4842848124.3999996</v>
      </c>
    </row>
    <row r="1875" spans="1:3" ht="15.5">
      <c r="A1875" s="29">
        <v>41893</v>
      </c>
      <c r="B1875" s="28">
        <v>1.407</v>
      </c>
      <c r="C1875" s="28">
        <v>4792049018.1999998</v>
      </c>
    </row>
    <row r="1876" spans="1:3" ht="15.5">
      <c r="A1876" s="29">
        <v>41892</v>
      </c>
      <c r="B1876" s="28">
        <v>1.4269000000000001</v>
      </c>
      <c r="C1876" s="28">
        <v>4859781159.8000002</v>
      </c>
    </row>
    <row r="1877" spans="1:3" ht="15.5">
      <c r="A1877" s="29">
        <v>41891</v>
      </c>
      <c r="B1877" s="28">
        <v>1.4269000000000001</v>
      </c>
      <c r="C1877" s="28">
        <v>4859781159.8000002</v>
      </c>
    </row>
    <row r="1878" spans="1:3" ht="15.5">
      <c r="A1878" s="29">
        <v>41890</v>
      </c>
      <c r="B1878" s="28">
        <v>1.4169</v>
      </c>
      <c r="C1878" s="28">
        <v>4825915089</v>
      </c>
    </row>
    <row r="1879" spans="1:3" ht="15.5">
      <c r="A1879" s="29">
        <v>41887</v>
      </c>
      <c r="B1879" s="28">
        <v>1.4269000000000001</v>
      </c>
      <c r="C1879" s="28">
        <v>4859781159.8000002</v>
      </c>
    </row>
    <row r="1880" spans="1:3" ht="15.5">
      <c r="A1880" s="29">
        <v>41886</v>
      </c>
      <c r="B1880" s="28">
        <v>1.4119999999999999</v>
      </c>
      <c r="C1880" s="28">
        <v>4808982053.6000004</v>
      </c>
    </row>
    <row r="1881" spans="1:3" ht="15.5">
      <c r="A1881" s="29">
        <v>41885</v>
      </c>
      <c r="B1881" s="28">
        <v>1.4319</v>
      </c>
      <c r="C1881" s="28">
        <v>4876714195.1999998</v>
      </c>
    </row>
    <row r="1882" spans="1:3" ht="15.5">
      <c r="A1882" s="29">
        <v>41884</v>
      </c>
      <c r="B1882" s="28">
        <v>1.4368000000000001</v>
      </c>
      <c r="C1882" s="28">
        <v>4893647230.6000004</v>
      </c>
    </row>
    <row r="1883" spans="1:3" ht="15.5">
      <c r="A1883" s="29">
        <v>41883</v>
      </c>
      <c r="B1883" s="28">
        <v>1.4269000000000001</v>
      </c>
      <c r="C1883" s="28">
        <v>4859781159.8000002</v>
      </c>
    </row>
    <row r="1884" spans="1:3" ht="15.5">
      <c r="A1884" s="29">
        <v>41880</v>
      </c>
      <c r="B1884" s="28">
        <v>1.407</v>
      </c>
      <c r="C1884" s="28">
        <v>4792049018.1999998</v>
      </c>
    </row>
    <row r="1885" spans="1:3" ht="15.5">
      <c r="A1885" s="29">
        <v>41879</v>
      </c>
      <c r="B1885" s="28">
        <v>1.407</v>
      </c>
      <c r="C1885" s="28">
        <v>4792049018.1999998</v>
      </c>
    </row>
    <row r="1886" spans="1:3" ht="15.5">
      <c r="A1886" s="29">
        <v>41878</v>
      </c>
      <c r="B1886" s="28">
        <v>1.407</v>
      </c>
      <c r="C1886" s="28">
        <v>4792049018.1999998</v>
      </c>
    </row>
    <row r="1887" spans="1:3" ht="15.5">
      <c r="A1887" s="29">
        <v>41877</v>
      </c>
      <c r="B1887" s="28">
        <v>1.3920999999999999</v>
      </c>
      <c r="C1887" s="28">
        <v>4741249912</v>
      </c>
    </row>
    <row r="1888" spans="1:3" ht="15.5">
      <c r="A1888" s="29">
        <v>41876</v>
      </c>
      <c r="B1888" s="28">
        <v>1.3920999999999999</v>
      </c>
      <c r="C1888" s="28">
        <v>4741249912</v>
      </c>
    </row>
    <row r="1889" spans="1:3" ht="15.5">
      <c r="A1889" s="29">
        <v>41873</v>
      </c>
      <c r="B1889" s="28">
        <v>1.3821000000000001</v>
      </c>
      <c r="C1889" s="28">
        <v>4707383841.1999998</v>
      </c>
    </row>
    <row r="1890" spans="1:3" ht="15.5">
      <c r="A1890" s="29">
        <v>41872</v>
      </c>
      <c r="B1890" s="28">
        <v>1.3920999999999999</v>
      </c>
      <c r="C1890" s="28">
        <v>4741249912</v>
      </c>
    </row>
    <row r="1891" spans="1:3" ht="15.5">
      <c r="A1891" s="29">
        <v>41871</v>
      </c>
      <c r="B1891" s="28">
        <v>1.3920999999999999</v>
      </c>
      <c r="C1891" s="28">
        <v>4741249912</v>
      </c>
    </row>
    <row r="1892" spans="1:3" ht="15.5">
      <c r="A1892" s="29">
        <v>41870</v>
      </c>
      <c r="B1892" s="28">
        <v>1.3722000000000001</v>
      </c>
      <c r="C1892" s="28">
        <v>4673517770.3999996</v>
      </c>
    </row>
    <row r="1893" spans="1:3" ht="15.5">
      <c r="A1893" s="29">
        <v>41869</v>
      </c>
      <c r="B1893" s="28">
        <v>1.3623000000000001</v>
      </c>
      <c r="C1893" s="28">
        <v>4639651699.6000004</v>
      </c>
    </row>
    <row r="1894" spans="1:3" ht="15.5">
      <c r="A1894" s="29">
        <v>41866</v>
      </c>
      <c r="B1894" s="28">
        <v>1.3523000000000001</v>
      </c>
      <c r="C1894" s="28">
        <v>4605785628.8000002</v>
      </c>
    </row>
    <row r="1895" spans="1:3" ht="15.5">
      <c r="A1895" s="29">
        <v>41865</v>
      </c>
      <c r="B1895" s="28">
        <v>1.3573</v>
      </c>
      <c r="C1895" s="28">
        <v>4622718664.1999998</v>
      </c>
    </row>
    <row r="1896" spans="1:3" ht="15.5">
      <c r="A1896" s="29">
        <v>41864</v>
      </c>
      <c r="B1896" s="28">
        <v>1.3373999999999999</v>
      </c>
      <c r="C1896" s="28">
        <v>4554986522.6000004</v>
      </c>
    </row>
    <row r="1897" spans="1:3" ht="15.5">
      <c r="A1897" s="29">
        <v>41863</v>
      </c>
      <c r="B1897" s="28">
        <v>1.3523000000000001</v>
      </c>
      <c r="C1897" s="28">
        <v>4605785628.8000002</v>
      </c>
    </row>
    <row r="1898" spans="1:3" ht="15.5">
      <c r="A1898" s="29">
        <v>41862</v>
      </c>
      <c r="B1898" s="28">
        <v>1.3373999999999999</v>
      </c>
      <c r="C1898" s="28">
        <v>4554986522.6000004</v>
      </c>
    </row>
    <row r="1899" spans="1:3" ht="15.5">
      <c r="A1899" s="29">
        <v>41859</v>
      </c>
      <c r="B1899" s="28">
        <v>1.3472999999999999</v>
      </c>
      <c r="C1899" s="28">
        <v>4588852593.3999996</v>
      </c>
    </row>
    <row r="1900" spans="1:3" ht="15.5">
      <c r="A1900" s="29">
        <v>41858</v>
      </c>
      <c r="B1900" s="28">
        <v>1.3472999999999999</v>
      </c>
      <c r="C1900" s="28">
        <v>4588852593.3999996</v>
      </c>
    </row>
    <row r="1901" spans="1:3" ht="15.5">
      <c r="A1901" s="29">
        <v>41857</v>
      </c>
      <c r="B1901" s="28">
        <v>1.3573</v>
      </c>
      <c r="C1901" s="28">
        <v>4622718664.1999998</v>
      </c>
    </row>
    <row r="1902" spans="1:3" ht="15.5">
      <c r="A1902" s="29">
        <v>41856</v>
      </c>
      <c r="B1902" s="28">
        <v>1.3523000000000001</v>
      </c>
      <c r="C1902" s="28">
        <v>4605785628.8000002</v>
      </c>
    </row>
    <row r="1903" spans="1:3" ht="15.5">
      <c r="A1903" s="29">
        <v>41855</v>
      </c>
      <c r="B1903" s="28">
        <v>1.3472999999999999</v>
      </c>
      <c r="C1903" s="28">
        <v>4588852593.3999996</v>
      </c>
    </row>
    <row r="1904" spans="1:3" ht="15.5">
      <c r="A1904" s="29">
        <v>41852</v>
      </c>
      <c r="B1904" s="28">
        <v>1.3424</v>
      </c>
      <c r="C1904" s="28">
        <v>4571919558</v>
      </c>
    </row>
    <row r="1905" spans="1:3" ht="15.5">
      <c r="A1905" s="29">
        <v>41851</v>
      </c>
      <c r="B1905" s="28">
        <v>1.3424</v>
      </c>
      <c r="C1905" s="28">
        <v>4571919558</v>
      </c>
    </row>
    <row r="1906" spans="1:3" ht="15.5">
      <c r="A1906" s="29">
        <v>41850</v>
      </c>
      <c r="B1906" s="28">
        <v>1.3573</v>
      </c>
      <c r="C1906" s="28">
        <v>4622718664.1999998</v>
      </c>
    </row>
    <row r="1907" spans="1:3" ht="15.5">
      <c r="A1907" s="29">
        <v>41849</v>
      </c>
      <c r="B1907" s="28">
        <v>1.3373999999999999</v>
      </c>
      <c r="C1907" s="28">
        <v>4554986522.6000004</v>
      </c>
    </row>
    <row r="1908" spans="1:3" ht="15.5">
      <c r="A1908" s="29">
        <v>41848</v>
      </c>
      <c r="B1908" s="28">
        <v>1.3424</v>
      </c>
      <c r="C1908" s="28">
        <v>4571919558</v>
      </c>
    </row>
    <row r="1909" spans="1:3" ht="15.5">
      <c r="A1909" s="29">
        <v>41845</v>
      </c>
      <c r="B1909" s="28">
        <v>1.3472999999999999</v>
      </c>
      <c r="C1909" s="28">
        <v>4588852593.3999996</v>
      </c>
    </row>
    <row r="1910" spans="1:3" ht="15.5">
      <c r="A1910" s="29">
        <v>41844</v>
      </c>
      <c r="B1910" s="28">
        <v>1.3424</v>
      </c>
      <c r="C1910" s="28">
        <v>4571919558</v>
      </c>
    </row>
    <row r="1911" spans="1:3" ht="15.5">
      <c r="A1911" s="29">
        <v>41843</v>
      </c>
      <c r="B1911" s="28">
        <v>1.3373999999999999</v>
      </c>
      <c r="C1911" s="28">
        <v>4554986522.6000004</v>
      </c>
    </row>
    <row r="1912" spans="1:3" ht="15.5">
      <c r="A1912" s="29">
        <v>41842</v>
      </c>
      <c r="B1912" s="28">
        <v>1.3472999999999999</v>
      </c>
      <c r="C1912" s="28">
        <v>4588852593.3999996</v>
      </c>
    </row>
    <row r="1913" spans="1:3" ht="15.5">
      <c r="A1913" s="29">
        <v>41841</v>
      </c>
      <c r="B1913" s="28">
        <v>1.3274999999999999</v>
      </c>
      <c r="C1913" s="28">
        <v>4521120451.8000002</v>
      </c>
    </row>
    <row r="1914" spans="1:3" ht="15.5">
      <c r="A1914" s="29">
        <v>41838</v>
      </c>
      <c r="B1914" s="28">
        <v>1.3472999999999999</v>
      </c>
      <c r="C1914" s="28">
        <v>4588852593.3999996</v>
      </c>
    </row>
    <row r="1915" spans="1:3" ht="15.5">
      <c r="A1915" s="29">
        <v>41837</v>
      </c>
      <c r="B1915" s="28">
        <v>1.3373999999999999</v>
      </c>
      <c r="C1915" s="28">
        <v>4554986522.6000004</v>
      </c>
    </row>
    <row r="1916" spans="1:3" ht="15.5">
      <c r="A1916" s="29">
        <v>41836</v>
      </c>
      <c r="B1916" s="28">
        <v>1.3274999999999999</v>
      </c>
      <c r="C1916" s="28">
        <v>4521120451.8000002</v>
      </c>
    </row>
    <row r="1917" spans="1:3" ht="15.5">
      <c r="A1917" s="29">
        <v>41835</v>
      </c>
      <c r="B1917" s="28">
        <v>1.3424</v>
      </c>
      <c r="C1917" s="28">
        <v>4571919558</v>
      </c>
    </row>
    <row r="1918" spans="1:3" ht="15.5">
      <c r="A1918" s="29">
        <v>41834</v>
      </c>
      <c r="B1918" s="28">
        <v>1.3573</v>
      </c>
      <c r="C1918" s="28">
        <v>4622718664.1999998</v>
      </c>
    </row>
    <row r="1919" spans="1:3" ht="15.5">
      <c r="A1919" s="29">
        <v>41831</v>
      </c>
      <c r="B1919" s="28">
        <v>1.3523000000000001</v>
      </c>
      <c r="C1919" s="28">
        <v>4605785628.8000002</v>
      </c>
    </row>
    <row r="1920" spans="1:3" ht="15.5">
      <c r="A1920" s="29">
        <v>41830</v>
      </c>
      <c r="B1920" s="28">
        <v>1.3424</v>
      </c>
      <c r="C1920" s="28">
        <v>4571919558</v>
      </c>
    </row>
    <row r="1921" spans="1:3" ht="15.5">
      <c r="A1921" s="29">
        <v>41829</v>
      </c>
      <c r="B1921" s="28">
        <v>1.3324</v>
      </c>
      <c r="C1921" s="28">
        <v>4538053487.1999998</v>
      </c>
    </row>
    <row r="1922" spans="1:3" ht="15.5">
      <c r="A1922" s="29">
        <v>41828</v>
      </c>
      <c r="B1922" s="28">
        <v>1.3523000000000001</v>
      </c>
      <c r="C1922" s="28">
        <v>4605785628.8000002</v>
      </c>
    </row>
    <row r="1923" spans="1:3" ht="15.5">
      <c r="A1923" s="29">
        <v>41827</v>
      </c>
      <c r="B1923" s="28">
        <v>1.3424</v>
      </c>
      <c r="C1923" s="28">
        <v>4571919558</v>
      </c>
    </row>
    <row r="1924" spans="1:3" ht="15.5">
      <c r="A1924" s="29">
        <v>41824</v>
      </c>
      <c r="B1924" s="28">
        <v>1.3424</v>
      </c>
      <c r="C1924" s="28">
        <v>4571919558</v>
      </c>
    </row>
    <row r="1925" spans="1:3" ht="15.5">
      <c r="A1925" s="29">
        <v>41823</v>
      </c>
      <c r="B1925" s="28">
        <v>1.3373999999999999</v>
      </c>
      <c r="C1925" s="28">
        <v>4554986522.6000004</v>
      </c>
    </row>
    <row r="1926" spans="1:3" ht="15.5">
      <c r="A1926" s="29">
        <v>41822</v>
      </c>
      <c r="B1926" s="28">
        <v>1.3373999999999999</v>
      </c>
      <c r="C1926" s="28">
        <v>4554986522.6000004</v>
      </c>
    </row>
    <row r="1927" spans="1:3" ht="15.5">
      <c r="A1927" s="29">
        <v>41821</v>
      </c>
      <c r="B1927" s="28">
        <v>1.3174999999999999</v>
      </c>
      <c r="C1927" s="28">
        <v>4487254381</v>
      </c>
    </row>
    <row r="1928" spans="1:3" ht="15.5">
      <c r="A1928" s="29">
        <v>41820</v>
      </c>
      <c r="B1928" s="28">
        <v>1.3174999999999999</v>
      </c>
      <c r="C1928" s="28">
        <v>4487254381</v>
      </c>
    </row>
    <row r="1929" spans="1:3" ht="15.5">
      <c r="A1929" s="29">
        <v>41817</v>
      </c>
      <c r="B1929" s="28">
        <v>1.3274999999999999</v>
      </c>
      <c r="C1929" s="28">
        <v>4521120451.8000002</v>
      </c>
    </row>
    <row r="1930" spans="1:3" ht="15.5">
      <c r="A1930" s="29">
        <v>41816</v>
      </c>
      <c r="B1930" s="28">
        <v>1.3324</v>
      </c>
      <c r="C1930" s="28">
        <v>4538053487.1999998</v>
      </c>
    </row>
    <row r="1931" spans="1:3" ht="15.5">
      <c r="A1931" s="29">
        <v>41815</v>
      </c>
      <c r="B1931" s="28">
        <v>1.3125</v>
      </c>
      <c r="C1931" s="28">
        <v>4470321345.6000004</v>
      </c>
    </row>
    <row r="1932" spans="1:3" ht="15.5">
      <c r="A1932" s="29">
        <v>41814</v>
      </c>
      <c r="B1932" s="28">
        <v>1.3225</v>
      </c>
      <c r="C1932" s="28">
        <v>4504187416.3999996</v>
      </c>
    </row>
    <row r="1933" spans="1:3" ht="15.5">
      <c r="A1933" s="29">
        <v>41813</v>
      </c>
      <c r="B1933" s="28">
        <v>1.3424</v>
      </c>
      <c r="C1933" s="28">
        <v>4571919558</v>
      </c>
    </row>
    <row r="1934" spans="1:3" ht="15.5">
      <c r="A1934" s="29">
        <v>41810</v>
      </c>
      <c r="B1934" s="28">
        <v>1.3424</v>
      </c>
      <c r="C1934" s="28">
        <v>4571919558</v>
      </c>
    </row>
    <row r="1935" spans="1:3" ht="15.5">
      <c r="A1935" s="29">
        <v>41809</v>
      </c>
      <c r="B1935" s="28">
        <v>1.3472999999999999</v>
      </c>
      <c r="C1935" s="28">
        <v>4588852593.3999996</v>
      </c>
    </row>
    <row r="1936" spans="1:3" ht="15.5">
      <c r="A1936" s="29">
        <v>41808</v>
      </c>
      <c r="B1936" s="28">
        <v>1.3424</v>
      </c>
      <c r="C1936" s="28">
        <v>4571919558</v>
      </c>
    </row>
    <row r="1937" spans="1:3" ht="15.5">
      <c r="A1937" s="29">
        <v>41807</v>
      </c>
      <c r="B1937" s="28">
        <v>1.3324</v>
      </c>
      <c r="C1937" s="28">
        <v>4538053487.1999998</v>
      </c>
    </row>
    <row r="1938" spans="1:3" ht="15.5">
      <c r="A1938" s="29">
        <v>41806</v>
      </c>
      <c r="B1938" s="28">
        <v>1.3076000000000001</v>
      </c>
      <c r="C1938" s="28">
        <v>4453388310.1999998</v>
      </c>
    </row>
    <row r="1939" spans="1:3" ht="15.5">
      <c r="A1939" s="29">
        <v>41803</v>
      </c>
      <c r="B1939" s="28">
        <v>1.3225</v>
      </c>
      <c r="C1939" s="28">
        <v>4504187416.3999996</v>
      </c>
    </row>
    <row r="1940" spans="1:3" ht="15.5">
      <c r="A1940" s="29">
        <v>41802</v>
      </c>
      <c r="B1940" s="28">
        <v>1.3274999999999999</v>
      </c>
      <c r="C1940" s="28">
        <v>4521120451.8000002</v>
      </c>
    </row>
    <row r="1941" spans="1:3" ht="15.5">
      <c r="A1941" s="29">
        <v>41801</v>
      </c>
      <c r="B1941" s="28">
        <v>1.3225</v>
      </c>
      <c r="C1941" s="28">
        <v>4504187416.3999996</v>
      </c>
    </row>
    <row r="1942" spans="1:3" ht="15.5">
      <c r="A1942" s="29">
        <v>41800</v>
      </c>
      <c r="B1942" s="28">
        <v>1.3324</v>
      </c>
      <c r="C1942" s="28">
        <v>4538053487.1999998</v>
      </c>
    </row>
    <row r="1943" spans="1:3" ht="15.5">
      <c r="A1943" s="29">
        <v>41796</v>
      </c>
      <c r="B1943" s="28">
        <v>1.3424</v>
      </c>
      <c r="C1943" s="28">
        <v>4571919558</v>
      </c>
    </row>
    <row r="1944" spans="1:3" ht="15.5">
      <c r="A1944" s="29">
        <v>41795</v>
      </c>
      <c r="B1944" s="28">
        <v>1.3523000000000001</v>
      </c>
      <c r="C1944" s="28">
        <v>4605785628.8000002</v>
      </c>
    </row>
    <row r="1945" spans="1:3" ht="15.5">
      <c r="A1945" s="29">
        <v>41794</v>
      </c>
      <c r="B1945" s="28">
        <v>1.3623000000000001</v>
      </c>
      <c r="C1945" s="28">
        <v>4639651699.6000004</v>
      </c>
    </row>
    <row r="1946" spans="1:3" ht="15.5">
      <c r="A1946" s="29">
        <v>41793</v>
      </c>
      <c r="B1946" s="28">
        <v>1.3821000000000001</v>
      </c>
      <c r="C1946" s="28">
        <v>4707383841.1999998</v>
      </c>
    </row>
    <row r="1947" spans="1:3" ht="15.5">
      <c r="A1947" s="29">
        <v>41792</v>
      </c>
      <c r="B1947" s="28">
        <v>1.3871</v>
      </c>
      <c r="C1947" s="28">
        <v>4724316876.6000004</v>
      </c>
    </row>
    <row r="1948" spans="1:3" ht="15.5">
      <c r="A1948" s="29">
        <v>41789</v>
      </c>
      <c r="B1948" s="28">
        <v>1.3722000000000001</v>
      </c>
      <c r="C1948" s="28">
        <v>4673517770.3999996</v>
      </c>
    </row>
    <row r="1949" spans="1:3" ht="15.5">
      <c r="A1949" s="29">
        <v>41788</v>
      </c>
      <c r="B1949" s="28">
        <v>1.3722000000000001</v>
      </c>
      <c r="C1949" s="28">
        <v>4673517770.3999996</v>
      </c>
    </row>
    <row r="1950" spans="1:3" ht="15.5">
      <c r="A1950" s="29">
        <v>41787</v>
      </c>
      <c r="B1950" s="28">
        <v>1.3672</v>
      </c>
      <c r="C1950" s="28">
        <v>4656584735</v>
      </c>
    </row>
    <row r="1951" spans="1:3" ht="15.5">
      <c r="A1951" s="29">
        <v>41786</v>
      </c>
      <c r="B1951" s="28">
        <v>1.3623000000000001</v>
      </c>
      <c r="C1951" s="28">
        <v>4639651699.6000004</v>
      </c>
    </row>
    <row r="1952" spans="1:3" ht="15.5">
      <c r="A1952" s="29">
        <v>41785</v>
      </c>
      <c r="B1952" s="28">
        <v>1.3722000000000001</v>
      </c>
      <c r="C1952" s="28">
        <v>4673517770.3999996</v>
      </c>
    </row>
    <row r="1953" spans="1:3" ht="15.5">
      <c r="A1953" s="29">
        <v>41782</v>
      </c>
      <c r="B1953" s="28">
        <v>1.3971</v>
      </c>
      <c r="C1953" s="28">
        <v>4758182947.3999996</v>
      </c>
    </row>
    <row r="1954" spans="1:3" ht="15.5">
      <c r="A1954" s="29">
        <v>41781</v>
      </c>
      <c r="B1954" s="28">
        <v>1.3871</v>
      </c>
      <c r="C1954" s="28">
        <v>4724316876.6000004</v>
      </c>
    </row>
    <row r="1955" spans="1:3" ht="15.5">
      <c r="A1955" s="29">
        <v>41780</v>
      </c>
      <c r="B1955" s="28">
        <v>1.3920999999999999</v>
      </c>
      <c r="C1955" s="28">
        <v>4741249912</v>
      </c>
    </row>
    <row r="1956" spans="1:3" ht="15.5">
      <c r="A1956" s="29">
        <v>41779</v>
      </c>
      <c r="B1956" s="28">
        <v>1.3722000000000001</v>
      </c>
      <c r="C1956" s="28">
        <v>4673517770.3999996</v>
      </c>
    </row>
    <row r="1957" spans="1:3" ht="15.5">
      <c r="A1957" s="29">
        <v>41778</v>
      </c>
      <c r="B1957" s="28">
        <v>1.3523000000000001</v>
      </c>
      <c r="C1957" s="28">
        <v>4605785628.8000002</v>
      </c>
    </row>
    <row r="1958" spans="1:3" ht="15.5">
      <c r="A1958" s="29">
        <v>41775</v>
      </c>
      <c r="B1958" s="28">
        <v>1.3424</v>
      </c>
      <c r="C1958" s="28">
        <v>4571919558</v>
      </c>
    </row>
    <row r="1959" spans="1:3" ht="15.5">
      <c r="A1959" s="29">
        <v>41774</v>
      </c>
      <c r="B1959" s="28">
        <v>1.3523000000000001</v>
      </c>
      <c r="C1959" s="28">
        <v>4605785628.8000002</v>
      </c>
    </row>
    <row r="1960" spans="1:3" ht="15.5">
      <c r="A1960" s="29">
        <v>41773</v>
      </c>
      <c r="B1960" s="28">
        <v>1.3623000000000001</v>
      </c>
      <c r="C1960" s="28">
        <v>4639651699.6000004</v>
      </c>
    </row>
    <row r="1961" spans="1:3" ht="15.5">
      <c r="A1961" s="29">
        <v>41772</v>
      </c>
      <c r="B1961" s="28">
        <v>1.3672</v>
      </c>
      <c r="C1961" s="28">
        <v>4656584735</v>
      </c>
    </row>
    <row r="1962" spans="1:3" ht="15.5">
      <c r="A1962" s="29">
        <v>41771</v>
      </c>
      <c r="B1962" s="28">
        <v>1.3573</v>
      </c>
      <c r="C1962" s="28">
        <v>4622718664.1999998</v>
      </c>
    </row>
    <row r="1963" spans="1:3" ht="15.5">
      <c r="A1963" s="29">
        <v>41768</v>
      </c>
      <c r="B1963" s="28">
        <v>1.3523000000000001</v>
      </c>
      <c r="C1963" s="28">
        <v>4605785628.8000002</v>
      </c>
    </row>
    <row r="1964" spans="1:3" ht="15.5">
      <c r="A1964" s="29">
        <v>41767</v>
      </c>
      <c r="B1964" s="28">
        <v>1.3623000000000001</v>
      </c>
      <c r="C1964" s="28">
        <v>4639651699.6000004</v>
      </c>
    </row>
    <row r="1965" spans="1:3" ht="15.5">
      <c r="A1965" s="29">
        <v>41766</v>
      </c>
      <c r="B1965" s="28">
        <v>1.3523000000000001</v>
      </c>
      <c r="C1965" s="28">
        <v>4605785628.8000002</v>
      </c>
    </row>
    <row r="1966" spans="1:3" ht="15.5">
      <c r="A1966" s="29">
        <v>41765</v>
      </c>
      <c r="B1966" s="28">
        <v>1.3623000000000001</v>
      </c>
      <c r="C1966" s="28">
        <v>4639651699.6000004</v>
      </c>
    </row>
    <row r="1967" spans="1:3" ht="15.5">
      <c r="A1967" s="29">
        <v>41764</v>
      </c>
      <c r="B1967" s="28">
        <v>1.3523000000000001</v>
      </c>
      <c r="C1967" s="28">
        <v>4605785628.8000002</v>
      </c>
    </row>
    <row r="1968" spans="1:3" ht="15.5">
      <c r="A1968" s="29">
        <v>41761</v>
      </c>
      <c r="B1968" s="28">
        <v>1.3623000000000001</v>
      </c>
      <c r="C1968" s="28">
        <v>4639651699.6000004</v>
      </c>
    </row>
    <row r="1969" spans="1:3" ht="15.5">
      <c r="A1969" s="29">
        <v>41760</v>
      </c>
      <c r="B1969" s="28">
        <v>1.3722000000000001</v>
      </c>
      <c r="C1969" s="28">
        <v>4673517770.3999996</v>
      </c>
    </row>
    <row r="1970" spans="1:3" ht="15.5">
      <c r="A1970" s="29">
        <v>41759</v>
      </c>
      <c r="B1970" s="28">
        <v>1.3920999999999999</v>
      </c>
      <c r="C1970" s="28">
        <v>4741249912</v>
      </c>
    </row>
    <row r="1971" spans="1:3" ht="15.5">
      <c r="A1971" s="29">
        <v>41758</v>
      </c>
      <c r="B1971" s="28">
        <v>1.3672</v>
      </c>
      <c r="C1971" s="28">
        <v>4656584735</v>
      </c>
    </row>
    <row r="1972" spans="1:3" ht="15.5">
      <c r="A1972" s="29">
        <v>41757</v>
      </c>
      <c r="B1972" s="28">
        <v>1.3772</v>
      </c>
      <c r="C1972" s="28">
        <v>4690450805.8000002</v>
      </c>
    </row>
    <row r="1973" spans="1:3" ht="15.5">
      <c r="A1973" s="29">
        <v>41753</v>
      </c>
      <c r="B1973" s="28">
        <v>1.3722000000000001</v>
      </c>
      <c r="C1973" s="28">
        <v>4673517770.3999996</v>
      </c>
    </row>
    <row r="1974" spans="1:3" ht="15.5">
      <c r="A1974" s="29">
        <v>41752</v>
      </c>
      <c r="B1974" s="28">
        <v>1.3424</v>
      </c>
      <c r="C1974" s="28">
        <v>4571919558</v>
      </c>
    </row>
    <row r="1975" spans="1:3" ht="15.5">
      <c r="A1975" s="29">
        <v>41751</v>
      </c>
      <c r="B1975" s="28">
        <v>1.3373999999999999</v>
      </c>
      <c r="C1975" s="28">
        <v>4554986522.6000004</v>
      </c>
    </row>
    <row r="1976" spans="1:3" ht="15.5">
      <c r="A1976" s="29">
        <v>41746</v>
      </c>
      <c r="B1976" s="28">
        <v>1.3424</v>
      </c>
      <c r="C1976" s="28">
        <v>4571919558</v>
      </c>
    </row>
    <row r="1977" spans="1:3" ht="15.5">
      <c r="A1977" s="29">
        <v>41745</v>
      </c>
      <c r="B1977" s="28">
        <v>1.3324</v>
      </c>
      <c r="C1977" s="28">
        <v>4538053487.1999998</v>
      </c>
    </row>
    <row r="1978" spans="1:3" ht="15.5">
      <c r="A1978" s="29">
        <v>41744</v>
      </c>
      <c r="B1978" s="28">
        <v>1.3324</v>
      </c>
      <c r="C1978" s="28">
        <v>4538053487.1999998</v>
      </c>
    </row>
    <row r="1979" spans="1:3" ht="15.5">
      <c r="A1979" s="29">
        <v>41743</v>
      </c>
      <c r="B1979" s="28">
        <v>1.3125</v>
      </c>
      <c r="C1979" s="28">
        <v>4470321345.6000004</v>
      </c>
    </row>
    <row r="1980" spans="1:3" ht="15.5">
      <c r="A1980" s="29">
        <v>41740</v>
      </c>
      <c r="B1980" s="28">
        <v>1.3026</v>
      </c>
      <c r="C1980" s="28">
        <v>4436455274.8000002</v>
      </c>
    </row>
    <row r="1981" spans="1:3" ht="15.5">
      <c r="A1981" s="29">
        <v>41739</v>
      </c>
      <c r="B1981" s="28">
        <v>1.3125</v>
      </c>
      <c r="C1981" s="28">
        <v>4470321345.6000004</v>
      </c>
    </row>
    <row r="1982" spans="1:3" ht="15.5">
      <c r="A1982" s="29">
        <v>41738</v>
      </c>
      <c r="B1982" s="28">
        <v>1.3026</v>
      </c>
      <c r="C1982" s="28">
        <v>4436455274.8000002</v>
      </c>
    </row>
    <row r="1983" spans="1:3" ht="15.5">
      <c r="A1983" s="29">
        <v>41737</v>
      </c>
      <c r="B1983" s="28">
        <v>1.2976000000000001</v>
      </c>
      <c r="C1983" s="28">
        <v>4419522239.3999996</v>
      </c>
    </row>
    <row r="1984" spans="1:3" ht="15.5">
      <c r="A1984" s="29">
        <v>41736</v>
      </c>
      <c r="B1984" s="28">
        <v>1.3026</v>
      </c>
      <c r="C1984" s="28">
        <v>4436455274.8000002</v>
      </c>
    </row>
    <row r="1985" spans="1:3" ht="15.5">
      <c r="A1985" s="29">
        <v>41733</v>
      </c>
      <c r="B1985" s="28">
        <v>1.3125</v>
      </c>
      <c r="C1985" s="28">
        <v>4470321345.6000004</v>
      </c>
    </row>
    <row r="1986" spans="1:3" ht="15.5">
      <c r="A1986" s="29">
        <v>41732</v>
      </c>
      <c r="B1986" s="28">
        <v>1.2976000000000001</v>
      </c>
      <c r="C1986" s="28">
        <v>4419522239.3999996</v>
      </c>
    </row>
    <row r="1987" spans="1:3" ht="15.5">
      <c r="A1987" s="29">
        <v>41731</v>
      </c>
      <c r="B1987" s="28">
        <v>1.2927</v>
      </c>
      <c r="C1987" s="28">
        <v>4402589204</v>
      </c>
    </row>
    <row r="1988" spans="1:3" ht="15.5">
      <c r="A1988" s="29">
        <v>41730</v>
      </c>
      <c r="B1988" s="28">
        <v>1.3026</v>
      </c>
      <c r="C1988" s="28">
        <v>4436455274.8000002</v>
      </c>
    </row>
    <row r="1989" spans="1:3" ht="15.5">
      <c r="A1989" s="29">
        <v>41729</v>
      </c>
      <c r="B1989" s="28">
        <v>1.3026</v>
      </c>
      <c r="C1989" s="28">
        <v>4436455274.8000002</v>
      </c>
    </row>
    <row r="1990" spans="1:3" ht="15.5">
      <c r="A1990" s="29">
        <v>41726</v>
      </c>
      <c r="B1990" s="28">
        <v>1.2976000000000001</v>
      </c>
      <c r="C1990" s="28">
        <v>4406104807.5150003</v>
      </c>
    </row>
    <row r="1991" spans="1:3" ht="15.5">
      <c r="A1991" s="29">
        <v>41725</v>
      </c>
      <c r="B1991" s="28">
        <v>1.2827</v>
      </c>
      <c r="C1991" s="28">
        <v>4355459924.6700001</v>
      </c>
    </row>
    <row r="1992" spans="1:3" ht="15.5">
      <c r="A1992" s="29">
        <v>41724</v>
      </c>
      <c r="B1992" s="28">
        <v>1.3125</v>
      </c>
      <c r="C1992" s="28">
        <v>4456749690.3599997</v>
      </c>
    </row>
    <row r="1993" spans="1:3" ht="15.5">
      <c r="A1993" s="29">
        <v>41723</v>
      </c>
      <c r="B1993" s="28">
        <v>1.3026</v>
      </c>
      <c r="C1993" s="28">
        <v>4422986435.1300001</v>
      </c>
    </row>
    <row r="1994" spans="1:3" ht="15.5">
      <c r="A1994" s="29">
        <v>41722</v>
      </c>
      <c r="B1994" s="28">
        <v>1.2927</v>
      </c>
      <c r="C1994" s="28">
        <v>4389223179.8999996</v>
      </c>
    </row>
    <row r="1995" spans="1:3" ht="15.5">
      <c r="A1995" s="29">
        <v>41719</v>
      </c>
      <c r="B1995" s="28">
        <v>1.3026</v>
      </c>
      <c r="C1995" s="28">
        <v>4422986435.1300001</v>
      </c>
    </row>
    <row r="1996" spans="1:3" ht="15.5">
      <c r="A1996" s="29">
        <v>41718</v>
      </c>
      <c r="B1996" s="28">
        <v>1.3026</v>
      </c>
      <c r="C1996" s="28">
        <v>4422986435.1300001</v>
      </c>
    </row>
    <row r="1997" spans="1:3" ht="15.5">
      <c r="A1997" s="29">
        <v>41717</v>
      </c>
      <c r="B1997" s="28">
        <v>1.3125</v>
      </c>
      <c r="C1997" s="28">
        <v>4456749690.3599997</v>
      </c>
    </row>
    <row r="1998" spans="1:3" ht="15.5">
      <c r="A1998" s="29">
        <v>41716</v>
      </c>
      <c r="B1998" s="28">
        <v>1.2927</v>
      </c>
      <c r="C1998" s="28">
        <v>4389223179.8999996</v>
      </c>
    </row>
    <row r="1999" spans="1:3" ht="15.5">
      <c r="A1999" s="29">
        <v>41715</v>
      </c>
      <c r="B1999" s="28">
        <v>1.2877000000000001</v>
      </c>
      <c r="C1999" s="28">
        <v>4372341552.2849998</v>
      </c>
    </row>
    <row r="2000" spans="1:3" ht="15.5">
      <c r="A2000" s="29">
        <v>41712</v>
      </c>
      <c r="B2000" s="28">
        <v>1.2927</v>
      </c>
      <c r="C2000" s="28">
        <v>4389223179.8999996</v>
      </c>
    </row>
    <row r="2001" spans="1:3" ht="15.5">
      <c r="A2001" s="29">
        <v>41711</v>
      </c>
      <c r="B2001" s="28">
        <v>1.3076000000000001</v>
      </c>
      <c r="C2001" s="28">
        <v>4439868062.7449999</v>
      </c>
    </row>
    <row r="2002" spans="1:3" ht="15.5">
      <c r="A2002" s="29">
        <v>41710</v>
      </c>
      <c r="B2002" s="28">
        <v>1.3026</v>
      </c>
      <c r="C2002" s="28">
        <v>4422986435.1300001</v>
      </c>
    </row>
    <row r="2003" spans="1:3" ht="15.5">
      <c r="A2003" s="29">
        <v>41709</v>
      </c>
      <c r="B2003" s="28">
        <v>1.3076000000000001</v>
      </c>
      <c r="C2003" s="28">
        <v>4439868062.7449999</v>
      </c>
    </row>
    <row r="2004" spans="1:3" ht="15.5">
      <c r="A2004" s="29">
        <v>41708</v>
      </c>
      <c r="B2004" s="28">
        <v>1.3174999999999999</v>
      </c>
      <c r="C2004" s="28">
        <v>4473631317.9750004</v>
      </c>
    </row>
    <row r="2005" spans="1:3" ht="15.5">
      <c r="A2005" s="29">
        <v>41705</v>
      </c>
      <c r="B2005" s="28">
        <v>1.3026</v>
      </c>
      <c r="C2005" s="28">
        <v>4422986435.1300001</v>
      </c>
    </row>
    <row r="2006" spans="1:3" ht="15.5">
      <c r="A2006" s="29">
        <v>41704</v>
      </c>
      <c r="B2006" s="28">
        <v>1.3125</v>
      </c>
      <c r="C2006" s="28">
        <v>4456749690.3599997</v>
      </c>
    </row>
    <row r="2007" spans="1:3" ht="15.5">
      <c r="A2007" s="29">
        <v>41703</v>
      </c>
      <c r="B2007" s="28">
        <v>1.3125</v>
      </c>
      <c r="C2007" s="28">
        <v>4456749690.3599997</v>
      </c>
    </row>
    <row r="2008" spans="1:3" ht="15.5">
      <c r="A2008" s="29">
        <v>41702</v>
      </c>
      <c r="B2008" s="28">
        <v>1.3174999999999999</v>
      </c>
      <c r="C2008" s="28">
        <v>4473631317.9750004</v>
      </c>
    </row>
    <row r="2009" spans="1:3" ht="15.5">
      <c r="A2009" s="29">
        <v>41701</v>
      </c>
      <c r="B2009" s="28">
        <v>1.3174999999999999</v>
      </c>
      <c r="C2009" s="28">
        <v>4473631317.9750004</v>
      </c>
    </row>
    <row r="2010" spans="1:3" ht="15.5">
      <c r="A2010" s="29">
        <v>41698</v>
      </c>
      <c r="B2010" s="28">
        <v>1.3174999999999999</v>
      </c>
      <c r="C2010" s="28">
        <v>4473631317.9750004</v>
      </c>
    </row>
    <row r="2011" spans="1:3" ht="15.5">
      <c r="A2011" s="29">
        <v>41697</v>
      </c>
      <c r="B2011" s="28">
        <v>1.3076000000000001</v>
      </c>
      <c r="C2011" s="28">
        <v>4439868062.7449999</v>
      </c>
    </row>
    <row r="2012" spans="1:3" ht="15.5">
      <c r="A2012" s="29">
        <v>41696</v>
      </c>
      <c r="B2012" s="28">
        <v>1.3225</v>
      </c>
      <c r="C2012" s="28">
        <v>4490512945.5900002</v>
      </c>
    </row>
    <row r="2013" spans="1:3" ht="15.5">
      <c r="A2013" s="29">
        <v>41695</v>
      </c>
      <c r="B2013" s="28">
        <v>1.3174999999999999</v>
      </c>
      <c r="C2013" s="28">
        <v>4473631317.9750004</v>
      </c>
    </row>
    <row r="2014" spans="1:3" ht="15.5">
      <c r="A2014" s="29">
        <v>41694</v>
      </c>
      <c r="B2014" s="28">
        <v>1.2927</v>
      </c>
      <c r="C2014" s="28">
        <v>4389223179.8999996</v>
      </c>
    </row>
    <row r="2015" spans="1:3" ht="15.5">
      <c r="A2015" s="29">
        <v>41691</v>
      </c>
      <c r="B2015" s="28">
        <v>1.2877000000000001</v>
      </c>
      <c r="C2015" s="28">
        <v>4372341552.2849998</v>
      </c>
    </row>
    <row r="2016" spans="1:3" ht="15.5">
      <c r="A2016" s="29">
        <v>41690</v>
      </c>
      <c r="B2016" s="28">
        <v>1.2827</v>
      </c>
      <c r="C2016" s="28">
        <v>4355459924.6700001</v>
      </c>
    </row>
    <row r="2017" spans="1:3" ht="15.5">
      <c r="A2017" s="29">
        <v>41689</v>
      </c>
      <c r="B2017" s="28">
        <v>1.2777000000000001</v>
      </c>
      <c r="C2017" s="28">
        <v>4338578297.0550003</v>
      </c>
    </row>
    <row r="2018" spans="1:3" ht="15.5">
      <c r="A2018" s="29">
        <v>41688</v>
      </c>
      <c r="B2018" s="28">
        <v>1.2727999999999999</v>
      </c>
      <c r="C2018" s="28">
        <v>4321696669.4399996</v>
      </c>
    </row>
    <row r="2019" spans="1:3" ht="15.5">
      <c r="A2019" s="29">
        <v>41687</v>
      </c>
      <c r="B2019" s="28">
        <v>1.2727999999999999</v>
      </c>
      <c r="C2019" s="28">
        <v>4321696669.4399996</v>
      </c>
    </row>
    <row r="2020" spans="1:3" ht="15.5">
      <c r="A2020" s="29">
        <v>41684</v>
      </c>
      <c r="B2020" s="28">
        <v>1.2678</v>
      </c>
      <c r="C2020" s="28">
        <v>4304815041.8249998</v>
      </c>
    </row>
    <row r="2021" spans="1:3" ht="15.5">
      <c r="A2021" s="29">
        <v>41683</v>
      </c>
      <c r="B2021" s="28">
        <v>1.2479</v>
      </c>
      <c r="C2021" s="28">
        <v>4237288531.3649998</v>
      </c>
    </row>
    <row r="2022" spans="1:3" ht="15.5">
      <c r="A2022" s="29">
        <v>41682</v>
      </c>
      <c r="B2022" s="28">
        <v>1.228</v>
      </c>
      <c r="C2022" s="28">
        <v>4169762020.9050002</v>
      </c>
    </row>
    <row r="2023" spans="1:3" ht="15.5">
      <c r="A2023" s="29">
        <v>41681</v>
      </c>
      <c r="B2023" s="28">
        <v>1.238</v>
      </c>
      <c r="C2023" s="28">
        <v>4203525276.1350002</v>
      </c>
    </row>
    <row r="2024" spans="1:3" ht="15.5">
      <c r="A2024" s="29">
        <v>41680</v>
      </c>
      <c r="B2024" s="28">
        <v>1.2330000000000001</v>
      </c>
      <c r="C2024" s="28">
        <v>4186643648.52</v>
      </c>
    </row>
    <row r="2025" spans="1:3" ht="15.5">
      <c r="A2025" s="29">
        <v>41677</v>
      </c>
      <c r="B2025" s="28">
        <v>1.2181</v>
      </c>
      <c r="C2025" s="28">
        <v>4135998765.6750002</v>
      </c>
    </row>
    <row r="2026" spans="1:3" ht="15.5">
      <c r="A2026" s="29">
        <v>41676</v>
      </c>
      <c r="B2026" s="28">
        <v>1.2181</v>
      </c>
      <c r="C2026" s="28">
        <v>4135998765.6750002</v>
      </c>
    </row>
    <row r="2027" spans="1:3" ht="15.5">
      <c r="A2027" s="29">
        <v>41675</v>
      </c>
      <c r="B2027" s="28">
        <v>1.2131000000000001</v>
      </c>
      <c r="C2027" s="28">
        <v>4119117138.0599999</v>
      </c>
    </row>
    <row r="2028" spans="1:3" ht="15.5">
      <c r="A2028" s="29">
        <v>41674</v>
      </c>
      <c r="B2028" s="28">
        <v>1.2131000000000001</v>
      </c>
      <c r="C2028" s="28">
        <v>4119117138.0599999</v>
      </c>
    </row>
    <row r="2029" spans="1:3" ht="15.5">
      <c r="A2029" s="29">
        <v>41673</v>
      </c>
      <c r="B2029" s="28">
        <v>1.2181</v>
      </c>
      <c r="C2029" s="28">
        <v>4135998765.6750002</v>
      </c>
    </row>
    <row r="2030" spans="1:3" ht="15.5">
      <c r="A2030" s="29">
        <v>41670</v>
      </c>
      <c r="B2030" s="28">
        <v>1.2330000000000001</v>
      </c>
      <c r="C2030" s="28">
        <v>4186643648.52</v>
      </c>
    </row>
    <row r="2031" spans="1:3" ht="15.5">
      <c r="A2031" s="29">
        <v>41669</v>
      </c>
      <c r="B2031" s="28">
        <v>1.1932</v>
      </c>
      <c r="C2031" s="28">
        <v>4051590627.5999999</v>
      </c>
    </row>
    <row r="2032" spans="1:3" ht="15.5">
      <c r="A2032" s="29">
        <v>41668</v>
      </c>
      <c r="B2032" s="28">
        <v>1.1932</v>
      </c>
      <c r="C2032" s="28">
        <v>4051590627.5999999</v>
      </c>
    </row>
    <row r="2033" spans="1:3" ht="15.5">
      <c r="A2033" s="29">
        <v>41667</v>
      </c>
      <c r="B2033" s="28">
        <v>1.1932</v>
      </c>
      <c r="C2033" s="28">
        <v>4051590627.5999999</v>
      </c>
    </row>
    <row r="2034" spans="1:3" ht="15.5">
      <c r="A2034" s="29">
        <v>41663</v>
      </c>
      <c r="B2034" s="28">
        <v>1.1981999999999999</v>
      </c>
      <c r="C2034" s="28">
        <v>4068472255.2150002</v>
      </c>
    </row>
    <row r="2035" spans="1:3" ht="15.5">
      <c r="A2035" s="29">
        <v>41662</v>
      </c>
      <c r="B2035" s="28">
        <v>1.2231000000000001</v>
      </c>
      <c r="C2035" s="28">
        <v>4152880393.29</v>
      </c>
    </row>
    <row r="2036" spans="1:3" ht="15.5">
      <c r="A2036" s="29">
        <v>41661</v>
      </c>
      <c r="B2036" s="28">
        <v>1.2428999999999999</v>
      </c>
      <c r="C2036" s="28">
        <v>4220406903.75</v>
      </c>
    </row>
    <row r="2037" spans="1:3" ht="15.5">
      <c r="A2037" s="29">
        <v>41660</v>
      </c>
      <c r="B2037" s="28">
        <v>1.2428999999999999</v>
      </c>
      <c r="C2037" s="28">
        <v>4220406903.75</v>
      </c>
    </row>
    <row r="2038" spans="1:3" ht="15.5">
      <c r="A2038" s="29">
        <v>41659</v>
      </c>
      <c r="B2038" s="28">
        <v>1.2428999999999999</v>
      </c>
      <c r="C2038" s="28">
        <v>4220406903.75</v>
      </c>
    </row>
    <row r="2039" spans="1:3" ht="15.5">
      <c r="A2039" s="29">
        <v>41656</v>
      </c>
      <c r="B2039" s="28">
        <v>1.2479</v>
      </c>
      <c r="C2039" s="28">
        <v>4237288531.3649998</v>
      </c>
    </row>
    <row r="2040" spans="1:3" ht="15.5">
      <c r="A2040" s="29">
        <v>41655</v>
      </c>
      <c r="B2040" s="28">
        <v>1.2627999999999999</v>
      </c>
      <c r="C2040" s="28">
        <v>4287933414.21</v>
      </c>
    </row>
    <row r="2041" spans="1:3" ht="15.5">
      <c r="A2041" s="29">
        <v>41654</v>
      </c>
      <c r="B2041" s="28">
        <v>1.238</v>
      </c>
      <c r="C2041" s="28">
        <v>4203525276.1350002</v>
      </c>
    </row>
    <row r="2042" spans="1:3" ht="15.5">
      <c r="A2042" s="29">
        <v>41653</v>
      </c>
      <c r="B2042" s="28">
        <v>1.2428999999999999</v>
      </c>
      <c r="C2042" s="28">
        <v>4220406903.75</v>
      </c>
    </row>
    <row r="2043" spans="1:3" ht="15.5">
      <c r="A2043" s="29">
        <v>41652</v>
      </c>
      <c r="B2043" s="28">
        <v>1.2428999999999999</v>
      </c>
      <c r="C2043" s="28">
        <v>4220406903.75</v>
      </c>
    </row>
    <row r="2044" spans="1:3" ht="15.5">
      <c r="A2044" s="29">
        <v>41649</v>
      </c>
      <c r="B2044" s="28">
        <v>1.2330000000000001</v>
      </c>
      <c r="C2044" s="28">
        <v>4186643648.52</v>
      </c>
    </row>
    <row r="2045" spans="1:3" ht="15.5">
      <c r="A2045" s="29">
        <v>41648</v>
      </c>
      <c r="B2045" s="28">
        <v>1.238</v>
      </c>
      <c r="C2045" s="28">
        <v>4203525276.1350002</v>
      </c>
    </row>
    <row r="2046" spans="1:3" ht="15.5">
      <c r="A2046" s="29">
        <v>41647</v>
      </c>
      <c r="B2046" s="28">
        <v>1.228</v>
      </c>
      <c r="C2046" s="28">
        <v>4169762020.9050002</v>
      </c>
    </row>
    <row r="2047" spans="1:3" ht="15.5">
      <c r="A2047" s="29">
        <v>41646</v>
      </c>
      <c r="B2047" s="28">
        <v>1.2428999999999999</v>
      </c>
      <c r="C2047" s="28">
        <v>4220406903.75</v>
      </c>
    </row>
    <row r="2048" spans="1:3" ht="15.5">
      <c r="A2048" s="29">
        <v>41645</v>
      </c>
      <c r="B2048" s="28">
        <v>1.2428999999999999</v>
      </c>
      <c r="C2048" s="28">
        <v>4220406903.75</v>
      </c>
    </row>
    <row r="2049" spans="1:3" ht="15.5">
      <c r="A2049" s="29">
        <v>41642</v>
      </c>
      <c r="B2049" s="28">
        <v>1.2231000000000001</v>
      </c>
      <c r="C2049" s="28">
        <v>4152880393.29</v>
      </c>
    </row>
    <row r="2050" spans="1:3" ht="15.5">
      <c r="A2050" s="29">
        <v>41641</v>
      </c>
      <c r="B2050" s="28">
        <v>1.238</v>
      </c>
      <c r="C2050" s="28">
        <v>4203525276.1350002</v>
      </c>
    </row>
    <row r="2051" spans="1:3" ht="15.5">
      <c r="A2051" s="29">
        <v>41639</v>
      </c>
      <c r="B2051" s="28">
        <v>1.238</v>
      </c>
      <c r="C2051" s="28">
        <v>4203525276.1350002</v>
      </c>
    </row>
    <row r="2052" spans="1:3" ht="15.5">
      <c r="A2052" s="29">
        <v>41638</v>
      </c>
      <c r="B2052" s="28">
        <v>1.2528999999999999</v>
      </c>
      <c r="C2052" s="28">
        <v>4254170158.98</v>
      </c>
    </row>
    <row r="2053" spans="1:3" ht="15.5">
      <c r="A2053" s="29">
        <v>41635</v>
      </c>
      <c r="B2053" s="28">
        <v>1.2330000000000001</v>
      </c>
      <c r="C2053" s="28">
        <v>4186643648.52</v>
      </c>
    </row>
    <row r="2054" spans="1:3" ht="15.5">
      <c r="A2054" s="29">
        <v>41632</v>
      </c>
      <c r="B2054" s="28">
        <v>1.2330000000000001</v>
      </c>
      <c r="C2054" s="28">
        <v>4186643648.52</v>
      </c>
    </row>
    <row r="2055" spans="1:3" ht="15.5">
      <c r="A2055" s="29">
        <v>41631</v>
      </c>
      <c r="B2055" s="28">
        <v>1.2330000000000001</v>
      </c>
      <c r="C2055" s="28">
        <v>4186643648.52</v>
      </c>
    </row>
    <row r="2056" spans="1:3" ht="15.5">
      <c r="A2056" s="29">
        <v>41628</v>
      </c>
      <c r="B2056" s="28">
        <v>1.2081</v>
      </c>
      <c r="C2056" s="28">
        <v>4102235510.4450002</v>
      </c>
    </row>
    <row r="2057" spans="1:3" ht="15.5">
      <c r="A2057" s="29">
        <v>41627</v>
      </c>
      <c r="B2057" s="28">
        <v>1.1833</v>
      </c>
      <c r="C2057" s="28">
        <v>4017827372.3699999</v>
      </c>
    </row>
    <row r="2058" spans="1:3" ht="15.5">
      <c r="A2058" s="29">
        <v>41626</v>
      </c>
      <c r="B2058" s="28">
        <v>1.1782999999999999</v>
      </c>
      <c r="C2058" s="28">
        <v>4000945744.7550001</v>
      </c>
    </row>
    <row r="2059" spans="1:3" ht="15.5">
      <c r="A2059" s="29">
        <v>41625</v>
      </c>
      <c r="B2059" s="28">
        <v>1.1881999999999999</v>
      </c>
      <c r="C2059" s="28">
        <v>4034708999.9850001</v>
      </c>
    </row>
    <row r="2060" spans="1:3" ht="15.5">
      <c r="A2060" s="29">
        <v>41624</v>
      </c>
      <c r="B2060" s="28">
        <v>1.1881999999999999</v>
      </c>
      <c r="C2060" s="28">
        <v>4034708999.9850001</v>
      </c>
    </row>
    <row r="2061" spans="1:3" ht="15.5">
      <c r="A2061" s="29">
        <v>41621</v>
      </c>
      <c r="B2061" s="28">
        <v>1.1534</v>
      </c>
      <c r="C2061" s="28">
        <v>3916537606.6799998</v>
      </c>
    </row>
    <row r="2062" spans="1:3" ht="15.5">
      <c r="A2062" s="29">
        <v>41620</v>
      </c>
      <c r="B2062" s="28">
        <v>1.1286</v>
      </c>
      <c r="C2062" s="28">
        <v>3832129468.605</v>
      </c>
    </row>
    <row r="2063" spans="1:3" ht="15.5">
      <c r="A2063" s="29">
        <v>41619</v>
      </c>
      <c r="B2063" s="28">
        <v>1.1286</v>
      </c>
      <c r="C2063" s="28">
        <v>3832129468.605</v>
      </c>
    </row>
    <row r="2064" spans="1:3" ht="15.5">
      <c r="A2064" s="29">
        <v>41618</v>
      </c>
      <c r="B2064" s="28">
        <v>1.1286</v>
      </c>
      <c r="C2064" s="28">
        <v>3832129468.605</v>
      </c>
    </row>
    <row r="2065" spans="1:3" ht="15.5">
      <c r="A2065" s="29">
        <v>41617</v>
      </c>
      <c r="B2065" s="28">
        <v>1.1136999999999999</v>
      </c>
      <c r="C2065" s="28">
        <v>3781484585.7600002</v>
      </c>
    </row>
    <row r="2066" spans="1:3" ht="15.5">
      <c r="A2066" s="29">
        <v>41614</v>
      </c>
      <c r="B2066" s="28">
        <v>1.1235999999999999</v>
      </c>
      <c r="C2066" s="28">
        <v>3815247840.9899998</v>
      </c>
    </row>
    <row r="2067" spans="1:3" ht="15.5">
      <c r="A2067" s="29">
        <v>41613</v>
      </c>
      <c r="B2067" s="28">
        <v>1.1235999999999999</v>
      </c>
      <c r="C2067" s="28">
        <v>3815247840.9899998</v>
      </c>
    </row>
    <row r="2068" spans="1:3" ht="15.5">
      <c r="A2068" s="29">
        <v>41612</v>
      </c>
      <c r="B2068" s="28">
        <v>1.1286</v>
      </c>
      <c r="C2068" s="28">
        <v>3832129468.605</v>
      </c>
    </row>
    <row r="2069" spans="1:3" ht="15.5">
      <c r="A2069" s="29">
        <v>41611</v>
      </c>
      <c r="B2069" s="28">
        <v>1.1186</v>
      </c>
      <c r="C2069" s="28">
        <v>3798366213.375</v>
      </c>
    </row>
    <row r="2070" spans="1:3" ht="15.5">
      <c r="A2070" s="29">
        <v>41610</v>
      </c>
      <c r="B2070" s="28">
        <v>1.1235999999999999</v>
      </c>
      <c r="C2070" s="28">
        <v>3815247840.9899998</v>
      </c>
    </row>
    <row r="2071" spans="1:3" ht="15.5">
      <c r="A2071" s="29">
        <v>41607</v>
      </c>
      <c r="B2071" s="28">
        <v>1.1534</v>
      </c>
      <c r="C2071" s="28">
        <v>3916537606.6799998</v>
      </c>
    </row>
    <row r="2072" spans="1:3" ht="15.5">
      <c r="A2072" s="29">
        <v>41606</v>
      </c>
      <c r="B2072" s="28">
        <v>1.1534</v>
      </c>
      <c r="C2072" s="28">
        <v>3916537606.6799998</v>
      </c>
    </row>
    <row r="2073" spans="1:3" ht="15.5">
      <c r="A2073" s="29">
        <v>41605</v>
      </c>
      <c r="B2073" s="28">
        <v>1.1584000000000001</v>
      </c>
      <c r="C2073" s="28">
        <v>3933419234.2950001</v>
      </c>
    </row>
    <row r="2074" spans="1:3" ht="15.5">
      <c r="A2074" s="29">
        <v>41604</v>
      </c>
      <c r="B2074" s="28">
        <v>1.1733</v>
      </c>
      <c r="C2074" s="28">
        <v>3984064117.1399999</v>
      </c>
    </row>
    <row r="2075" spans="1:3" ht="15.5">
      <c r="A2075" s="29">
        <v>41603</v>
      </c>
      <c r="B2075" s="28">
        <v>1.1584000000000001</v>
      </c>
      <c r="C2075" s="28">
        <v>3933419234.2950001</v>
      </c>
    </row>
    <row r="2076" spans="1:3" ht="15.5">
      <c r="A2076" s="29">
        <v>41600</v>
      </c>
      <c r="B2076" s="28">
        <v>1.1733</v>
      </c>
      <c r="C2076" s="28">
        <v>3984064117.1399999</v>
      </c>
    </row>
    <row r="2077" spans="1:3" ht="15.5">
      <c r="A2077" s="29">
        <v>41599</v>
      </c>
      <c r="B2077" s="28">
        <v>1.1534</v>
      </c>
      <c r="C2077" s="28">
        <v>3916537606.6799998</v>
      </c>
    </row>
    <row r="2078" spans="1:3" ht="15.5">
      <c r="A2078" s="29">
        <v>41598</v>
      </c>
      <c r="B2078" s="28">
        <v>1.1733</v>
      </c>
      <c r="C2078" s="28">
        <v>3984064117.1399999</v>
      </c>
    </row>
    <row r="2079" spans="1:3" ht="15.5">
      <c r="A2079" s="29">
        <v>41597</v>
      </c>
      <c r="B2079" s="28">
        <v>1.1684000000000001</v>
      </c>
      <c r="C2079" s="28">
        <v>3967182489.5250001</v>
      </c>
    </row>
    <row r="2080" spans="1:3" ht="15.5">
      <c r="A2080" s="29">
        <v>41596</v>
      </c>
      <c r="B2080" s="28">
        <v>1.1833</v>
      </c>
      <c r="C2080" s="28">
        <v>4017827372.3699999</v>
      </c>
    </row>
    <row r="2081" spans="1:3" ht="15.5">
      <c r="A2081" s="29">
        <v>41593</v>
      </c>
      <c r="B2081" s="28">
        <v>1.2181</v>
      </c>
      <c r="C2081" s="28">
        <v>4135998765.6750002</v>
      </c>
    </row>
    <row r="2082" spans="1:3" ht="15.5">
      <c r="A2082" s="29">
        <v>41592</v>
      </c>
      <c r="B2082" s="28">
        <v>1.2131000000000001</v>
      </c>
      <c r="C2082" s="28">
        <v>4119117138.0599999</v>
      </c>
    </row>
    <row r="2083" spans="1:3" ht="15.5">
      <c r="A2083" s="29">
        <v>41591</v>
      </c>
      <c r="B2083" s="28">
        <v>1.228</v>
      </c>
      <c r="C2083" s="28">
        <v>4169762020.9050002</v>
      </c>
    </row>
    <row r="2084" spans="1:3" ht="15.5">
      <c r="A2084" s="29">
        <v>41590</v>
      </c>
      <c r="B2084" s="28">
        <v>1.228</v>
      </c>
      <c r="C2084" s="28">
        <v>4169762020.9050002</v>
      </c>
    </row>
    <row r="2085" spans="1:3" ht="15.5">
      <c r="A2085" s="29">
        <v>41589</v>
      </c>
      <c r="B2085" s="28">
        <v>1.228</v>
      </c>
      <c r="C2085" s="28">
        <v>4169762020.9050002</v>
      </c>
    </row>
    <row r="2086" spans="1:3" ht="15.5">
      <c r="A2086" s="29">
        <v>41586</v>
      </c>
      <c r="B2086" s="28">
        <v>1.238</v>
      </c>
      <c r="C2086" s="28">
        <v>4203525276.1350002</v>
      </c>
    </row>
    <row r="2087" spans="1:3" ht="15.5">
      <c r="A2087" s="29">
        <v>41585</v>
      </c>
      <c r="B2087" s="28">
        <v>1.2428999999999999</v>
      </c>
      <c r="C2087" s="28">
        <v>4220406903.75</v>
      </c>
    </row>
    <row r="2088" spans="1:3" ht="15.5">
      <c r="A2088" s="29">
        <v>41584</v>
      </c>
      <c r="B2088" s="28">
        <v>1.2231000000000001</v>
      </c>
      <c r="C2088" s="28">
        <v>4152880393.29</v>
      </c>
    </row>
    <row r="2089" spans="1:3" ht="15.5">
      <c r="A2089" s="29">
        <v>41583</v>
      </c>
      <c r="B2089" s="28">
        <v>1.2428999999999999</v>
      </c>
      <c r="C2089" s="28">
        <v>4220406903.75</v>
      </c>
    </row>
    <row r="2090" spans="1:3" ht="15.5">
      <c r="A2090" s="29">
        <v>41582</v>
      </c>
      <c r="B2090" s="28">
        <v>1.2330000000000001</v>
      </c>
      <c r="C2090" s="28">
        <v>4186643648.52</v>
      </c>
    </row>
    <row r="2091" spans="1:3" ht="15.5">
      <c r="A2091" s="29">
        <v>41579</v>
      </c>
      <c r="B2091" s="28">
        <v>1.228</v>
      </c>
      <c r="C2091" s="28">
        <v>4169762020.9050002</v>
      </c>
    </row>
    <row r="2092" spans="1:3" ht="15.5">
      <c r="A2092" s="29">
        <v>41578</v>
      </c>
      <c r="B2092" s="28">
        <v>1.2428999999999999</v>
      </c>
      <c r="C2092" s="28">
        <v>4220406903.75</v>
      </c>
    </row>
    <row r="2093" spans="1:3" ht="15.5">
      <c r="A2093" s="29">
        <v>41577</v>
      </c>
      <c r="B2093" s="28">
        <v>1.2528999999999999</v>
      </c>
      <c r="C2093" s="28">
        <v>4254170158.98</v>
      </c>
    </row>
    <row r="2094" spans="1:3" ht="15.5">
      <c r="A2094" s="29">
        <v>41576</v>
      </c>
      <c r="B2094" s="28">
        <v>1.2428999999999999</v>
      </c>
      <c r="C2094" s="28">
        <v>4220406903.75</v>
      </c>
    </row>
    <row r="2095" spans="1:3" ht="15.5">
      <c r="A2095" s="29">
        <v>41575</v>
      </c>
      <c r="B2095" s="28">
        <v>1.2330000000000001</v>
      </c>
      <c r="C2095" s="28">
        <v>4186643648.52</v>
      </c>
    </row>
    <row r="2096" spans="1:3" ht="15.5">
      <c r="A2096" s="29">
        <v>41572</v>
      </c>
      <c r="B2096" s="28">
        <v>1.2081</v>
      </c>
      <c r="C2096" s="28">
        <v>4102235510.4450002</v>
      </c>
    </row>
    <row r="2097" spans="1:3" ht="15.5">
      <c r="A2097" s="29">
        <v>41571</v>
      </c>
      <c r="B2097" s="28">
        <v>1.2231000000000001</v>
      </c>
      <c r="C2097" s="28">
        <v>4152880393.29</v>
      </c>
    </row>
    <row r="2098" spans="1:3" ht="15.5">
      <c r="A2098" s="29">
        <v>41570</v>
      </c>
      <c r="B2098" s="28">
        <v>1.228</v>
      </c>
      <c r="C2098" s="28">
        <v>4169762020.9050002</v>
      </c>
    </row>
    <row r="2099" spans="1:3" ht="15.5">
      <c r="A2099" s="29">
        <v>41569</v>
      </c>
      <c r="B2099" s="28">
        <v>1.2428999999999999</v>
      </c>
      <c r="C2099" s="28">
        <v>4220406903.75</v>
      </c>
    </row>
    <row r="2100" spans="1:3" ht="15.5">
      <c r="A2100" s="29">
        <v>41568</v>
      </c>
      <c r="B2100" s="28">
        <v>1.2330000000000001</v>
      </c>
      <c r="C2100" s="28">
        <v>4186643648.52</v>
      </c>
    </row>
    <row r="2101" spans="1:3" ht="15.5">
      <c r="A2101" s="29">
        <v>41565</v>
      </c>
      <c r="B2101" s="28">
        <v>1.228</v>
      </c>
      <c r="C2101" s="28">
        <v>4169762020.9050002</v>
      </c>
    </row>
    <row r="2102" spans="1:3" ht="15.5">
      <c r="A2102" s="29">
        <v>41564</v>
      </c>
      <c r="B2102" s="28">
        <v>1.228</v>
      </c>
      <c r="C2102" s="28">
        <v>4169762020.9050002</v>
      </c>
    </row>
    <row r="2103" spans="1:3" ht="15.5">
      <c r="A2103" s="29">
        <v>41563</v>
      </c>
      <c r="B2103" s="28">
        <v>1.228</v>
      </c>
      <c r="C2103" s="28">
        <v>4169762020.9050002</v>
      </c>
    </row>
    <row r="2104" spans="1:3" ht="15.5">
      <c r="A2104" s="29">
        <v>41562</v>
      </c>
      <c r="B2104" s="28">
        <v>1.2231000000000001</v>
      </c>
      <c r="C2104" s="28">
        <v>4152880393.29</v>
      </c>
    </row>
    <row r="2105" spans="1:3" ht="15.5">
      <c r="A2105" s="29">
        <v>41561</v>
      </c>
      <c r="B2105" s="28">
        <v>1.2131000000000001</v>
      </c>
      <c r="C2105" s="28">
        <v>4119117138.0599999</v>
      </c>
    </row>
    <row r="2106" spans="1:3" ht="15.5">
      <c r="A2106" s="29">
        <v>41558</v>
      </c>
      <c r="B2106" s="28">
        <v>1.228</v>
      </c>
      <c r="C2106" s="28">
        <v>4169762020.9050002</v>
      </c>
    </row>
    <row r="2107" spans="1:3" ht="15.5">
      <c r="A2107" s="29">
        <v>41557</v>
      </c>
      <c r="B2107" s="28">
        <v>1.2032</v>
      </c>
      <c r="C2107" s="28">
        <v>4085353882.8299999</v>
      </c>
    </row>
    <row r="2108" spans="1:3" ht="15.5">
      <c r="A2108" s="29">
        <v>41556</v>
      </c>
      <c r="B2108" s="28">
        <v>1.2032</v>
      </c>
      <c r="C2108" s="28">
        <v>4085353882.8299999</v>
      </c>
    </row>
    <row r="2109" spans="1:3" ht="15.5">
      <c r="A2109" s="29">
        <v>41555</v>
      </c>
      <c r="B2109" s="28">
        <v>1.1981999999999999</v>
      </c>
      <c r="C2109" s="28">
        <v>4068472255.2150002</v>
      </c>
    </row>
    <row r="2110" spans="1:3" ht="15.5">
      <c r="A2110" s="29">
        <v>41554</v>
      </c>
      <c r="B2110" s="28">
        <v>1.2032</v>
      </c>
      <c r="C2110" s="28">
        <v>4085353882.8299999</v>
      </c>
    </row>
    <row r="2111" spans="1:3" ht="15.5">
      <c r="A2111" s="29">
        <v>41551</v>
      </c>
      <c r="B2111" s="28">
        <v>1.2081</v>
      </c>
      <c r="C2111" s="28">
        <v>4102235510.4450002</v>
      </c>
    </row>
    <row r="2112" spans="1:3" ht="15.5">
      <c r="A2112" s="29">
        <v>41550</v>
      </c>
      <c r="B2112" s="28">
        <v>1.2081</v>
      </c>
      <c r="C2112" s="28">
        <v>4102235510.4450002</v>
      </c>
    </row>
    <row r="2113" spans="1:3" ht="15.5">
      <c r="A2113" s="29">
        <v>41549</v>
      </c>
      <c r="B2113" s="28">
        <v>1.1932</v>
      </c>
      <c r="C2113" s="28">
        <v>4051590627.5999999</v>
      </c>
    </row>
    <row r="2114" spans="1:3" ht="15.5">
      <c r="A2114" s="29">
        <v>41548</v>
      </c>
      <c r="B2114" s="28">
        <v>1.1932</v>
      </c>
      <c r="C2114" s="28">
        <v>4051590627.5999999</v>
      </c>
    </row>
    <row r="2115" spans="1:3" ht="15.5">
      <c r="A2115" s="29">
        <v>41547</v>
      </c>
      <c r="B2115" s="28">
        <v>1.1932</v>
      </c>
      <c r="C2115" s="28">
        <v>4051590627.5999999</v>
      </c>
    </row>
    <row r="2116" spans="1:3" ht="15.5">
      <c r="A2116" s="29">
        <v>41544</v>
      </c>
      <c r="B2116" s="28">
        <v>1.1981999999999999</v>
      </c>
      <c r="C2116" s="28">
        <v>4068472255.2150002</v>
      </c>
    </row>
    <row r="2117" spans="1:3" ht="15.5">
      <c r="A2117" s="29">
        <v>41543</v>
      </c>
      <c r="B2117" s="28">
        <v>1.1932</v>
      </c>
      <c r="C2117" s="28">
        <v>4051590627.5999999</v>
      </c>
    </row>
    <row r="2118" spans="1:3" ht="15.5">
      <c r="A2118" s="29">
        <v>41542</v>
      </c>
      <c r="B2118" s="28">
        <v>1.1634</v>
      </c>
      <c r="C2118" s="28">
        <v>3950300861.9099998</v>
      </c>
    </row>
    <row r="2119" spans="1:3" ht="15.5">
      <c r="A2119" s="29">
        <v>41541</v>
      </c>
      <c r="B2119" s="28">
        <v>1.1485000000000001</v>
      </c>
      <c r="C2119" s="28">
        <v>3899655979.0650001</v>
      </c>
    </row>
    <row r="2120" spans="1:3" ht="15.5">
      <c r="A2120" s="29">
        <v>41540</v>
      </c>
      <c r="B2120" s="28">
        <v>1.1634</v>
      </c>
      <c r="C2120" s="28">
        <v>3950300861.9099998</v>
      </c>
    </row>
    <row r="2121" spans="1:3" ht="15.5">
      <c r="A2121" s="29">
        <v>41537</v>
      </c>
      <c r="B2121" s="28">
        <v>1.1684000000000001</v>
      </c>
      <c r="C2121" s="28">
        <v>3967182489.5250001</v>
      </c>
    </row>
    <row r="2122" spans="1:3" ht="15.5">
      <c r="A2122" s="29">
        <v>41536</v>
      </c>
      <c r="B2122" s="28">
        <v>1.1684000000000001</v>
      </c>
      <c r="C2122" s="28">
        <v>3967182489.5250001</v>
      </c>
    </row>
    <row r="2123" spans="1:3" ht="15.5">
      <c r="A2123" s="29">
        <v>41535</v>
      </c>
      <c r="B2123" s="28">
        <v>1.1534</v>
      </c>
      <c r="C2123" s="28">
        <v>3916537606.6799998</v>
      </c>
    </row>
    <row r="2124" spans="1:3" ht="15.5">
      <c r="A2124" s="29">
        <v>41534</v>
      </c>
      <c r="B2124" s="28">
        <v>1.1684000000000001</v>
      </c>
      <c r="C2124" s="28">
        <v>3967182489.5250001</v>
      </c>
    </row>
    <row r="2125" spans="1:3" ht="15.5">
      <c r="A2125" s="29">
        <v>41533</v>
      </c>
      <c r="B2125" s="28">
        <v>1.1534</v>
      </c>
      <c r="C2125" s="28">
        <v>3916537606.6799998</v>
      </c>
    </row>
    <row r="2126" spans="1:3" ht="15.5">
      <c r="A2126" s="29">
        <v>41530</v>
      </c>
      <c r="B2126" s="28">
        <v>1.1584000000000001</v>
      </c>
      <c r="C2126" s="28">
        <v>3933419234.2950001</v>
      </c>
    </row>
    <row r="2127" spans="1:3" ht="15.5">
      <c r="A2127" s="29">
        <v>41529</v>
      </c>
      <c r="B2127" s="28">
        <v>1.1584000000000001</v>
      </c>
      <c r="C2127" s="28">
        <v>3933419234.2950001</v>
      </c>
    </row>
    <row r="2128" spans="1:3" ht="15.5">
      <c r="A2128" s="29">
        <v>41528</v>
      </c>
      <c r="B2128" s="28">
        <v>1.1584000000000001</v>
      </c>
      <c r="C2128" s="28">
        <v>3933419234.2950001</v>
      </c>
    </row>
    <row r="2129" spans="1:3" ht="15.5">
      <c r="A2129" s="29">
        <v>41527</v>
      </c>
      <c r="B2129" s="28">
        <v>1.1634</v>
      </c>
      <c r="C2129" s="28">
        <v>3950300861.9099998</v>
      </c>
    </row>
    <row r="2130" spans="1:3" ht="15.5">
      <c r="A2130" s="29">
        <v>41526</v>
      </c>
      <c r="B2130" s="28">
        <v>1.1584000000000001</v>
      </c>
      <c r="C2130" s="28">
        <v>3933419234.2950001</v>
      </c>
    </row>
    <row r="2131" spans="1:3" ht="15.5">
      <c r="A2131" s="29">
        <v>41523</v>
      </c>
      <c r="B2131" s="28">
        <v>1.1534</v>
      </c>
      <c r="C2131" s="28">
        <v>3916537606.6799998</v>
      </c>
    </row>
    <row r="2132" spans="1:3" ht="15.5">
      <c r="A2132" s="29">
        <v>41522</v>
      </c>
      <c r="B2132" s="28">
        <v>1.1385000000000001</v>
      </c>
      <c r="C2132" s="28">
        <v>3865892723.835</v>
      </c>
    </row>
    <row r="2133" spans="1:3" ht="15.5">
      <c r="A2133" s="29">
        <v>41521</v>
      </c>
      <c r="B2133" s="28">
        <v>1.1435</v>
      </c>
      <c r="C2133" s="28">
        <v>3882774351.4499998</v>
      </c>
    </row>
    <row r="2134" spans="1:3" ht="15.5">
      <c r="A2134" s="29">
        <v>41520</v>
      </c>
      <c r="B2134" s="28">
        <v>1.1634</v>
      </c>
      <c r="C2134" s="28">
        <v>3950300861.9099998</v>
      </c>
    </row>
    <row r="2135" spans="1:3" ht="15.5">
      <c r="A2135" s="29">
        <v>41519</v>
      </c>
      <c r="B2135" s="28">
        <v>1.1584000000000001</v>
      </c>
      <c r="C2135" s="28">
        <v>3933419234.2950001</v>
      </c>
    </row>
    <row r="2136" spans="1:3" ht="15.5">
      <c r="A2136" s="29">
        <v>41516</v>
      </c>
      <c r="B2136" s="28">
        <v>1.1485000000000001</v>
      </c>
      <c r="C2136" s="28">
        <v>3899655979.0650001</v>
      </c>
    </row>
    <row r="2137" spans="1:3" ht="15.5">
      <c r="A2137" s="29">
        <v>41515</v>
      </c>
      <c r="B2137" s="28">
        <v>1.1286</v>
      </c>
      <c r="C2137" s="28">
        <v>3832129468.605</v>
      </c>
    </row>
    <row r="2138" spans="1:3" ht="15.5">
      <c r="A2138" s="29">
        <v>41514</v>
      </c>
      <c r="B2138" s="28">
        <v>1.1335999999999999</v>
      </c>
      <c r="C2138" s="28">
        <v>3849011096.2199998</v>
      </c>
    </row>
    <row r="2139" spans="1:3" ht="15.5">
      <c r="A2139" s="29">
        <v>41513</v>
      </c>
      <c r="B2139" s="28">
        <v>1.1534</v>
      </c>
      <c r="C2139" s="28">
        <v>3916537606.6799998</v>
      </c>
    </row>
    <row r="2140" spans="1:3" ht="15.5">
      <c r="A2140" s="29">
        <v>41512</v>
      </c>
      <c r="B2140" s="28">
        <v>1.1534</v>
      </c>
      <c r="C2140" s="28">
        <v>3916537606.6799998</v>
      </c>
    </row>
    <row r="2141" spans="1:3" ht="15.5">
      <c r="A2141" s="29">
        <v>41509</v>
      </c>
      <c r="B2141" s="28">
        <v>1.1534</v>
      </c>
      <c r="C2141" s="28">
        <v>3916537606.6799998</v>
      </c>
    </row>
    <row r="2142" spans="1:3" ht="15.5">
      <c r="A2142" s="29">
        <v>41508</v>
      </c>
      <c r="B2142" s="28">
        <v>1.1684000000000001</v>
      </c>
      <c r="C2142" s="28">
        <v>3967182489.5250001</v>
      </c>
    </row>
    <row r="2143" spans="1:3" ht="15.5">
      <c r="A2143" s="29">
        <v>41507</v>
      </c>
      <c r="B2143" s="28">
        <v>1.1932</v>
      </c>
      <c r="C2143" s="28">
        <v>4051590627.5999999</v>
      </c>
    </row>
    <row r="2144" spans="1:3" ht="15.5">
      <c r="A2144" s="29">
        <v>41506</v>
      </c>
      <c r="B2144" s="28">
        <v>1.1733</v>
      </c>
      <c r="C2144" s="28">
        <v>3984064117.1399999</v>
      </c>
    </row>
    <row r="2145" spans="1:3" ht="15.5">
      <c r="A2145" s="29">
        <v>41505</v>
      </c>
      <c r="B2145" s="28">
        <v>1.1833</v>
      </c>
      <c r="C2145" s="28">
        <v>4017827372.3699999</v>
      </c>
    </row>
    <row r="2146" spans="1:3" ht="15.5">
      <c r="A2146" s="29">
        <v>41502</v>
      </c>
      <c r="B2146" s="28">
        <v>1.1684000000000001</v>
      </c>
      <c r="C2146" s="28">
        <v>3967182489.5250001</v>
      </c>
    </row>
    <row r="2147" spans="1:3" ht="15.5">
      <c r="A2147" s="29">
        <v>41501</v>
      </c>
      <c r="B2147" s="28">
        <v>1.1485000000000001</v>
      </c>
      <c r="C2147" s="28">
        <v>3899655979.0650001</v>
      </c>
    </row>
    <row r="2148" spans="1:3" ht="15.5">
      <c r="A2148" s="29">
        <v>41500</v>
      </c>
      <c r="B2148" s="28">
        <v>1.1634</v>
      </c>
      <c r="C2148" s="28">
        <v>3950300861.9099998</v>
      </c>
    </row>
    <row r="2149" spans="1:3" ht="15.5">
      <c r="A2149" s="29">
        <v>41499</v>
      </c>
      <c r="B2149" s="28">
        <v>1.1634</v>
      </c>
      <c r="C2149" s="28">
        <v>3950300861.9099998</v>
      </c>
    </row>
    <row r="2150" spans="1:3" ht="15.5">
      <c r="A2150" s="29">
        <v>41498</v>
      </c>
      <c r="B2150" s="28">
        <v>1.1733</v>
      </c>
      <c r="C2150" s="28">
        <v>3984064117.1399999</v>
      </c>
    </row>
    <row r="2151" spans="1:3" ht="15.5">
      <c r="A2151" s="29">
        <v>41495</v>
      </c>
      <c r="B2151" s="28">
        <v>1.1534</v>
      </c>
      <c r="C2151" s="28">
        <v>3916537606.6799998</v>
      </c>
    </row>
    <row r="2152" spans="1:3" ht="15.5">
      <c r="A2152" s="29">
        <v>41494</v>
      </c>
      <c r="B2152" s="28">
        <v>1.1385000000000001</v>
      </c>
      <c r="C2152" s="28">
        <v>3865892723.835</v>
      </c>
    </row>
    <row r="2153" spans="1:3" ht="15.5">
      <c r="A2153" s="29">
        <v>41493</v>
      </c>
      <c r="B2153" s="28">
        <v>1.1584000000000001</v>
      </c>
      <c r="C2153" s="28">
        <v>3933419234.2950001</v>
      </c>
    </row>
    <row r="2154" spans="1:3" ht="15.5">
      <c r="A2154" s="29">
        <v>41492</v>
      </c>
      <c r="B2154" s="28">
        <v>1.1782999999999999</v>
      </c>
      <c r="C2154" s="28">
        <v>4000945744.7550001</v>
      </c>
    </row>
    <row r="2155" spans="1:3" ht="15.5">
      <c r="A2155" s="29">
        <v>41491</v>
      </c>
      <c r="B2155" s="28">
        <v>1.1881999999999999</v>
      </c>
      <c r="C2155" s="28">
        <v>4034708999.9850001</v>
      </c>
    </row>
    <row r="2156" spans="1:3" ht="15.5">
      <c r="A2156" s="29">
        <v>41488</v>
      </c>
      <c r="B2156" s="28">
        <v>1.1932</v>
      </c>
      <c r="C2156" s="28">
        <v>4051590627.5999999</v>
      </c>
    </row>
    <row r="2157" spans="1:3" ht="15.5">
      <c r="A2157" s="29">
        <v>41487</v>
      </c>
      <c r="B2157" s="28">
        <v>1.1881999999999999</v>
      </c>
      <c r="C2157" s="28">
        <v>4034708999.9850001</v>
      </c>
    </row>
    <row r="2158" spans="1:3" ht="15.5">
      <c r="A2158" s="29">
        <v>41486</v>
      </c>
      <c r="B2158" s="28">
        <v>1.1733</v>
      </c>
      <c r="C2158" s="28">
        <v>3984064117.1399999</v>
      </c>
    </row>
    <row r="2159" spans="1:3" ht="15.5">
      <c r="A2159" s="29">
        <v>41485</v>
      </c>
      <c r="B2159" s="28">
        <v>1.1684000000000001</v>
      </c>
      <c r="C2159" s="28">
        <v>3967182489.5250001</v>
      </c>
    </row>
    <row r="2160" spans="1:3" ht="15.5">
      <c r="A2160" s="29">
        <v>41484</v>
      </c>
      <c r="B2160" s="28">
        <v>1.1881999999999999</v>
      </c>
      <c r="C2160" s="28">
        <v>4034708999.9850001</v>
      </c>
    </row>
    <row r="2161" spans="1:3" ht="15.5">
      <c r="A2161" s="29">
        <v>41481</v>
      </c>
      <c r="B2161" s="28">
        <v>1.1932</v>
      </c>
      <c r="C2161" s="28">
        <v>4051590627.5999999</v>
      </c>
    </row>
    <row r="2162" spans="1:3" ht="15.5">
      <c r="A2162" s="29">
        <v>41480</v>
      </c>
      <c r="B2162" s="28">
        <v>1.1833</v>
      </c>
      <c r="C2162" s="28">
        <v>4017827372.3699999</v>
      </c>
    </row>
    <row r="2163" spans="1:3" ht="15.5">
      <c r="A2163" s="29">
        <v>41479</v>
      </c>
      <c r="B2163" s="28">
        <v>1.228</v>
      </c>
      <c r="C2163" s="28">
        <v>4169762020.9050002</v>
      </c>
    </row>
    <row r="2164" spans="1:3" ht="15.5">
      <c r="A2164" s="29">
        <v>41478</v>
      </c>
      <c r="B2164" s="28">
        <v>1.2330000000000001</v>
      </c>
      <c r="C2164" s="28">
        <v>4186643648.52</v>
      </c>
    </row>
    <row r="2165" spans="1:3" ht="15.5">
      <c r="A2165" s="29">
        <v>41477</v>
      </c>
      <c r="B2165" s="28">
        <v>1.2330000000000001</v>
      </c>
      <c r="C2165" s="28">
        <v>4186643648.52</v>
      </c>
    </row>
    <row r="2166" spans="1:3" ht="15.5">
      <c r="A2166" s="29">
        <v>41474</v>
      </c>
      <c r="B2166" s="28">
        <v>1.2428999999999999</v>
      </c>
      <c r="C2166" s="28">
        <v>4220406903.75</v>
      </c>
    </row>
    <row r="2167" spans="1:3" ht="15.5">
      <c r="A2167" s="29">
        <v>41473</v>
      </c>
      <c r="B2167" s="28">
        <v>1.228</v>
      </c>
      <c r="C2167" s="28">
        <v>4169762020.9050002</v>
      </c>
    </row>
    <row r="2168" spans="1:3" ht="15.5">
      <c r="A2168" s="29">
        <v>41472</v>
      </c>
      <c r="B2168" s="28">
        <v>1.2131000000000001</v>
      </c>
      <c r="C2168" s="28">
        <v>4119117138.0599999</v>
      </c>
    </row>
    <row r="2169" spans="1:3" ht="15.5">
      <c r="A2169" s="29">
        <v>41471</v>
      </c>
      <c r="B2169" s="28">
        <v>1.2081</v>
      </c>
      <c r="C2169" s="28">
        <v>4102235510.4450002</v>
      </c>
    </row>
    <row r="2170" spans="1:3" ht="15.5">
      <c r="A2170" s="29">
        <v>41470</v>
      </c>
      <c r="B2170" s="28">
        <v>1.1981999999999999</v>
      </c>
      <c r="C2170" s="28">
        <v>4068472255.2150002</v>
      </c>
    </row>
    <row r="2171" spans="1:3" ht="15.5">
      <c r="A2171" s="29">
        <v>41467</v>
      </c>
      <c r="B2171" s="28">
        <v>1.1932</v>
      </c>
      <c r="C2171" s="28">
        <v>4051590627.5999999</v>
      </c>
    </row>
    <row r="2172" spans="1:3" ht="15.5">
      <c r="A2172" s="29">
        <v>41466</v>
      </c>
      <c r="B2172" s="28">
        <v>1.1932</v>
      </c>
      <c r="C2172" s="28">
        <v>4051590627.5999999</v>
      </c>
    </row>
    <row r="2173" spans="1:3" ht="15.5">
      <c r="A2173" s="29">
        <v>41465</v>
      </c>
      <c r="B2173" s="28">
        <v>1.1833</v>
      </c>
      <c r="C2173" s="28">
        <v>4017827372.3699999</v>
      </c>
    </row>
    <row r="2174" spans="1:3" ht="15.5">
      <c r="A2174" s="29">
        <v>41464</v>
      </c>
      <c r="B2174" s="28">
        <v>1.1684000000000001</v>
      </c>
      <c r="C2174" s="28">
        <v>3967182489.5250001</v>
      </c>
    </row>
    <row r="2175" spans="1:3" ht="15.5">
      <c r="A2175" s="29">
        <v>41463</v>
      </c>
      <c r="B2175" s="28">
        <v>1.1684000000000001</v>
      </c>
      <c r="C2175" s="28">
        <v>3967182489.5250001</v>
      </c>
    </row>
    <row r="2176" spans="1:3" ht="15.5">
      <c r="A2176" s="29">
        <v>41460</v>
      </c>
      <c r="B2176" s="28">
        <v>1.1634</v>
      </c>
      <c r="C2176" s="28">
        <v>3950300861.9099998</v>
      </c>
    </row>
    <row r="2177" spans="1:3" ht="15.5">
      <c r="A2177" s="29">
        <v>41459</v>
      </c>
      <c r="B2177" s="28">
        <v>1.1584000000000001</v>
      </c>
      <c r="C2177" s="28">
        <v>3933419234.2950001</v>
      </c>
    </row>
    <row r="2178" spans="1:3" ht="15.5">
      <c r="A2178" s="29">
        <v>41458</v>
      </c>
      <c r="B2178" s="28">
        <v>1.1684000000000001</v>
      </c>
      <c r="C2178" s="28">
        <v>3967182489.5250001</v>
      </c>
    </row>
    <row r="2179" spans="1:3" ht="15.5">
      <c r="A2179" s="29">
        <v>41457</v>
      </c>
      <c r="B2179" s="28">
        <v>1.1634</v>
      </c>
      <c r="C2179" s="28">
        <v>3950300861.9099998</v>
      </c>
    </row>
    <row r="2180" spans="1:3" ht="15.5">
      <c r="A2180" s="29">
        <v>41456</v>
      </c>
      <c r="B2180" s="28">
        <v>1.1435</v>
      </c>
      <c r="C2180" s="28">
        <v>3882774351.4499998</v>
      </c>
    </row>
    <row r="2181" spans="1:3" ht="15.5">
      <c r="A2181" s="29">
        <v>41453</v>
      </c>
      <c r="B2181" s="28">
        <v>1.1684000000000001</v>
      </c>
      <c r="C2181" s="28">
        <v>3967182489.5250001</v>
      </c>
    </row>
    <row r="2182" spans="1:3" ht="15.5">
      <c r="A2182" s="29">
        <v>41452</v>
      </c>
      <c r="B2182" s="28">
        <v>1.1833</v>
      </c>
      <c r="C2182" s="28">
        <v>4007376304.4699998</v>
      </c>
    </row>
    <row r="2183" spans="1:3" ht="15.5">
      <c r="A2183" s="29">
        <v>41451</v>
      </c>
      <c r="B2183" s="28">
        <v>1.1335999999999999</v>
      </c>
      <c r="C2183" s="28">
        <v>3838999148.8200002</v>
      </c>
    </row>
    <row r="2184" spans="1:3" ht="15.5">
      <c r="A2184" s="29">
        <v>41450</v>
      </c>
      <c r="B2184" s="28">
        <v>1.1036999999999999</v>
      </c>
      <c r="C2184" s="28">
        <v>3737972855.4299998</v>
      </c>
    </row>
    <row r="2185" spans="1:3" ht="15.5">
      <c r="A2185" s="29">
        <v>41449</v>
      </c>
      <c r="B2185" s="28">
        <v>1.1335999999999999</v>
      </c>
      <c r="C2185" s="28">
        <v>3838999148.8200002</v>
      </c>
    </row>
    <row r="2186" spans="1:3" ht="15.5">
      <c r="A2186" s="29">
        <v>41446</v>
      </c>
      <c r="B2186" s="28">
        <v>1.1684000000000001</v>
      </c>
      <c r="C2186" s="28">
        <v>3956863157.7750001</v>
      </c>
    </row>
    <row r="2187" spans="1:3" ht="15.5">
      <c r="A2187" s="29">
        <v>41445</v>
      </c>
      <c r="B2187" s="28">
        <v>1.1782999999999999</v>
      </c>
      <c r="C2187" s="28">
        <v>3990538588.9050002</v>
      </c>
    </row>
    <row r="2188" spans="1:3" ht="15.5">
      <c r="A2188" s="29">
        <v>41444</v>
      </c>
      <c r="B2188" s="28">
        <v>1.1782999999999999</v>
      </c>
      <c r="C2188" s="28">
        <v>3990538588.9050002</v>
      </c>
    </row>
    <row r="2189" spans="1:3" ht="15.5">
      <c r="A2189" s="29">
        <v>41443</v>
      </c>
      <c r="B2189" s="28">
        <v>1.1684000000000001</v>
      </c>
      <c r="C2189" s="28">
        <v>3956863157.7750001</v>
      </c>
    </row>
    <row r="2190" spans="1:3" ht="15.5">
      <c r="A2190" s="29">
        <v>41442</v>
      </c>
      <c r="B2190" s="28">
        <v>1.1684000000000001</v>
      </c>
      <c r="C2190" s="28">
        <v>3956863157.7750001</v>
      </c>
    </row>
    <row r="2191" spans="1:3" ht="15.5">
      <c r="A2191" s="29">
        <v>41439</v>
      </c>
      <c r="B2191" s="28">
        <v>1.1584000000000001</v>
      </c>
      <c r="C2191" s="28">
        <v>3923187726.645</v>
      </c>
    </row>
    <row r="2192" spans="1:3" ht="15.5">
      <c r="A2192" s="29">
        <v>41438</v>
      </c>
      <c r="B2192" s="28">
        <v>1.1534</v>
      </c>
      <c r="C2192" s="28">
        <v>3906350011.0799999</v>
      </c>
    </row>
    <row r="2193" spans="1:3" ht="15.5">
      <c r="A2193" s="29">
        <v>41437</v>
      </c>
      <c r="B2193" s="28">
        <v>1.1684000000000001</v>
      </c>
      <c r="C2193" s="28">
        <v>3956863157.7750001</v>
      </c>
    </row>
    <row r="2194" spans="1:3" ht="15.5">
      <c r="A2194" s="29">
        <v>41436</v>
      </c>
      <c r="B2194" s="28">
        <v>1.1782999999999999</v>
      </c>
      <c r="C2194" s="28">
        <v>3990538588.9050002</v>
      </c>
    </row>
    <row r="2195" spans="1:3" ht="15.5">
      <c r="A2195" s="29">
        <v>41432</v>
      </c>
      <c r="B2195" s="28">
        <v>1.1881999999999999</v>
      </c>
      <c r="C2195" s="28">
        <v>4024214020.0349998</v>
      </c>
    </row>
    <row r="2196" spans="1:3" ht="15.5">
      <c r="A2196" s="29">
        <v>41431</v>
      </c>
      <c r="B2196" s="28">
        <v>1.1782999999999999</v>
      </c>
      <c r="C2196" s="28">
        <v>3990538588.9050002</v>
      </c>
    </row>
    <row r="2197" spans="1:3" ht="15.5">
      <c r="A2197" s="29">
        <v>41430</v>
      </c>
      <c r="B2197" s="28">
        <v>1.1833</v>
      </c>
      <c r="C2197" s="28">
        <v>4007376304.4699998</v>
      </c>
    </row>
    <row r="2198" spans="1:3" ht="15.5">
      <c r="A2198" s="29">
        <v>41429</v>
      </c>
      <c r="B2198" s="28">
        <v>1.1981999999999999</v>
      </c>
      <c r="C2198" s="28">
        <v>4057889451.165</v>
      </c>
    </row>
    <row r="2199" spans="1:3" ht="15.5">
      <c r="A2199" s="29">
        <v>41428</v>
      </c>
      <c r="B2199" s="28">
        <v>1.1932</v>
      </c>
      <c r="C2199" s="28">
        <v>4041051735.5999999</v>
      </c>
    </row>
    <row r="2200" spans="1:3" ht="15.5">
      <c r="A2200" s="29">
        <v>41425</v>
      </c>
      <c r="B2200" s="28">
        <v>1.1981999999999999</v>
      </c>
      <c r="C2200" s="28">
        <v>4057889451.165</v>
      </c>
    </row>
    <row r="2201" spans="1:3" ht="15.5">
      <c r="A2201" s="29">
        <v>41424</v>
      </c>
      <c r="B2201" s="28">
        <v>1.1833</v>
      </c>
      <c r="C2201" s="28">
        <v>4007376304.4699998</v>
      </c>
    </row>
    <row r="2202" spans="1:3" ht="15.5">
      <c r="A2202" s="29">
        <v>41423</v>
      </c>
      <c r="B2202" s="28">
        <v>1.1782999999999999</v>
      </c>
      <c r="C2202" s="28">
        <v>3990538588.9050002</v>
      </c>
    </row>
    <row r="2203" spans="1:3" ht="15.5">
      <c r="A2203" s="29">
        <v>41422</v>
      </c>
      <c r="B2203" s="28">
        <v>1.1782999999999999</v>
      </c>
      <c r="C2203" s="28">
        <v>3990538588.9050002</v>
      </c>
    </row>
    <row r="2204" spans="1:3" ht="15.5">
      <c r="A2204" s="29">
        <v>41421</v>
      </c>
      <c r="B2204" s="28">
        <v>1.1833</v>
      </c>
      <c r="C2204" s="28">
        <v>4007376304.4699998</v>
      </c>
    </row>
    <row r="2205" spans="1:3" ht="15.5">
      <c r="A2205" s="29">
        <v>41418</v>
      </c>
      <c r="B2205" s="28">
        <v>1.2032</v>
      </c>
      <c r="C2205" s="28">
        <v>4074727166.73</v>
      </c>
    </row>
    <row r="2206" spans="1:3" ht="15.5">
      <c r="A2206" s="29">
        <v>41417</v>
      </c>
      <c r="B2206" s="28">
        <v>1.1981999999999999</v>
      </c>
      <c r="C2206" s="28">
        <v>4057889451.165</v>
      </c>
    </row>
    <row r="2207" spans="1:3" ht="15.5">
      <c r="A2207" s="29">
        <v>41416</v>
      </c>
      <c r="B2207" s="28">
        <v>1.2777000000000001</v>
      </c>
      <c r="C2207" s="28">
        <v>4327292900.2049999</v>
      </c>
    </row>
    <row r="2208" spans="1:3" ht="15.5">
      <c r="A2208" s="29">
        <v>41415</v>
      </c>
      <c r="B2208" s="28">
        <v>1.2827</v>
      </c>
      <c r="C2208" s="28">
        <v>4344130615.7700005</v>
      </c>
    </row>
    <row r="2209" spans="1:3" ht="15.5">
      <c r="A2209" s="29">
        <v>41414</v>
      </c>
      <c r="B2209" s="28">
        <v>1.2877000000000001</v>
      </c>
      <c r="C2209" s="28">
        <v>4360968331.335</v>
      </c>
    </row>
    <row r="2210" spans="1:3" ht="15.5">
      <c r="A2210" s="29">
        <v>41411</v>
      </c>
      <c r="B2210" s="28">
        <v>1.2877000000000001</v>
      </c>
      <c r="C2210" s="28">
        <v>4360968331.335</v>
      </c>
    </row>
    <row r="2211" spans="1:3" ht="15.5">
      <c r="A2211" s="29">
        <v>41410</v>
      </c>
      <c r="B2211" s="28">
        <v>1.2678</v>
      </c>
      <c r="C2211" s="28">
        <v>4293617469.0749998</v>
      </c>
    </row>
    <row r="2212" spans="1:3" ht="15.5">
      <c r="A2212" s="29">
        <v>41409</v>
      </c>
      <c r="B2212" s="28">
        <v>1.2877000000000001</v>
      </c>
      <c r="C2212" s="28">
        <v>4360968331.335</v>
      </c>
    </row>
    <row r="2213" spans="1:3" ht="15.5">
      <c r="A2213" s="29">
        <v>41408</v>
      </c>
      <c r="B2213" s="28">
        <v>1.2727999999999999</v>
      </c>
      <c r="C2213" s="28">
        <v>4310455184.6400003</v>
      </c>
    </row>
    <row r="2214" spans="1:3" ht="15.5">
      <c r="A2214" s="29">
        <v>41407</v>
      </c>
      <c r="B2214" s="28">
        <v>1.2927</v>
      </c>
      <c r="C2214" s="28">
        <v>4377806046.8999996</v>
      </c>
    </row>
    <row r="2215" spans="1:3" ht="15.5">
      <c r="A2215" s="29">
        <v>41404</v>
      </c>
      <c r="B2215" s="28">
        <v>1.2827</v>
      </c>
      <c r="C2215" s="28">
        <v>4344130615.7700005</v>
      </c>
    </row>
    <row r="2216" spans="1:3" ht="15.5">
      <c r="A2216" s="29">
        <v>41403</v>
      </c>
      <c r="B2216" s="28">
        <v>1.2976000000000001</v>
      </c>
      <c r="C2216" s="28">
        <v>4394643762.4650002</v>
      </c>
    </row>
    <row r="2217" spans="1:3" ht="15.5">
      <c r="A2217" s="29">
        <v>41402</v>
      </c>
      <c r="B2217" s="28">
        <v>1.2877000000000001</v>
      </c>
      <c r="C2217" s="28">
        <v>4360968331.335</v>
      </c>
    </row>
    <row r="2218" spans="1:3" ht="15.5">
      <c r="A2218" s="29">
        <v>41401</v>
      </c>
      <c r="B2218" s="28">
        <v>1.2627999999999999</v>
      </c>
      <c r="C2218" s="28">
        <v>4276779753.5100002</v>
      </c>
    </row>
    <row r="2219" spans="1:3" ht="15.5">
      <c r="A2219" s="29">
        <v>41400</v>
      </c>
      <c r="B2219" s="28">
        <v>1.2479</v>
      </c>
      <c r="C2219" s="28">
        <v>4226266606.8150001</v>
      </c>
    </row>
    <row r="2220" spans="1:3" ht="15.5">
      <c r="A2220" s="29">
        <v>41397</v>
      </c>
      <c r="B2220" s="28">
        <v>1.2479</v>
      </c>
      <c r="C2220" s="28">
        <v>4226266606.8150001</v>
      </c>
    </row>
    <row r="2221" spans="1:3" ht="15.5">
      <c r="A2221" s="29">
        <v>41396</v>
      </c>
      <c r="B2221" s="28">
        <v>1.2479</v>
      </c>
      <c r="C2221" s="28">
        <v>4226266606.8150001</v>
      </c>
    </row>
    <row r="2222" spans="1:3" ht="15.5">
      <c r="A2222" s="29">
        <v>41395</v>
      </c>
      <c r="B2222" s="28">
        <v>1.2479</v>
      </c>
      <c r="C2222" s="28">
        <v>4226266606.8150001</v>
      </c>
    </row>
    <row r="2223" spans="1:3" ht="15.5">
      <c r="A2223" s="29">
        <v>41394</v>
      </c>
      <c r="B2223" s="28">
        <v>1.2479</v>
      </c>
      <c r="C2223" s="28">
        <v>4226266606.8150001</v>
      </c>
    </row>
    <row r="2224" spans="1:3" ht="15.5">
      <c r="A2224" s="29">
        <v>41393</v>
      </c>
      <c r="B2224" s="28">
        <v>1.2528999999999999</v>
      </c>
      <c r="C2224" s="28">
        <v>4243104322.3800001</v>
      </c>
    </row>
    <row r="2225" spans="1:3" ht="15.5">
      <c r="A2225" s="29">
        <v>41390</v>
      </c>
      <c r="B2225" s="28">
        <v>1.2678</v>
      </c>
      <c r="C2225" s="28">
        <v>4293617469.0749998</v>
      </c>
    </row>
    <row r="2226" spans="1:3" ht="15.5">
      <c r="A2226" s="29">
        <v>41388</v>
      </c>
      <c r="B2226" s="28">
        <v>1.2627999999999999</v>
      </c>
      <c r="C2226" s="28">
        <v>4276779753.5100002</v>
      </c>
    </row>
    <row r="2227" spans="1:3" ht="15.5">
      <c r="A2227" s="29">
        <v>41387</v>
      </c>
      <c r="B2227" s="28">
        <v>1.2330000000000001</v>
      </c>
      <c r="C2227" s="28">
        <v>4175753460.1199999</v>
      </c>
    </row>
    <row r="2228" spans="1:3" ht="15.5">
      <c r="A2228" s="29">
        <v>41386</v>
      </c>
      <c r="B2228" s="28">
        <v>1.228</v>
      </c>
      <c r="C2228" s="28">
        <v>4158915744.5549998</v>
      </c>
    </row>
    <row r="2229" spans="1:3" ht="15.5">
      <c r="A2229" s="29">
        <v>41383</v>
      </c>
      <c r="B2229" s="28">
        <v>1.2181</v>
      </c>
      <c r="C2229" s="28">
        <v>4125240313.4250002</v>
      </c>
    </row>
    <row r="2230" spans="1:3" ht="15.5">
      <c r="A2230" s="29">
        <v>41382</v>
      </c>
      <c r="B2230" s="28">
        <v>1.2131000000000001</v>
      </c>
      <c r="C2230" s="28">
        <v>4108402597.8600001</v>
      </c>
    </row>
    <row r="2231" spans="1:3" ht="15.5">
      <c r="A2231" s="29">
        <v>41381</v>
      </c>
      <c r="B2231" s="28">
        <v>1.228</v>
      </c>
      <c r="C2231" s="28">
        <v>4158915744.5549998</v>
      </c>
    </row>
    <row r="2232" spans="1:3" ht="15.5">
      <c r="A2232" s="29">
        <v>41380</v>
      </c>
      <c r="B2232" s="28">
        <v>1.228</v>
      </c>
      <c r="C2232" s="28">
        <v>4158915744.5549998</v>
      </c>
    </row>
    <row r="2233" spans="1:3" ht="15.5">
      <c r="A2233" s="29">
        <v>41379</v>
      </c>
      <c r="B2233" s="28">
        <v>1.2231000000000001</v>
      </c>
      <c r="C2233" s="28">
        <v>4142078028.9899998</v>
      </c>
    </row>
    <row r="2234" spans="1:3" ht="15.5">
      <c r="A2234" s="29">
        <v>41376</v>
      </c>
      <c r="B2234" s="28">
        <v>1.2131000000000001</v>
      </c>
      <c r="C2234" s="28">
        <v>4108402597.8600001</v>
      </c>
    </row>
    <row r="2235" spans="1:3" ht="15.5">
      <c r="A2235" s="29">
        <v>41375</v>
      </c>
      <c r="B2235" s="28">
        <v>1.2131000000000001</v>
      </c>
      <c r="C2235" s="28">
        <v>4108402597.8600001</v>
      </c>
    </row>
    <row r="2236" spans="1:3" ht="15.5">
      <c r="A2236" s="29">
        <v>41374</v>
      </c>
      <c r="B2236" s="28">
        <v>1.2231000000000001</v>
      </c>
      <c r="C2236" s="28">
        <v>4142078028.9899998</v>
      </c>
    </row>
    <row r="2237" spans="1:3" ht="15.5">
      <c r="A2237" s="29">
        <v>41373</v>
      </c>
      <c r="B2237" s="28">
        <v>1.2081</v>
      </c>
      <c r="C2237" s="28">
        <v>4091564882.2950001</v>
      </c>
    </row>
    <row r="2238" spans="1:3" ht="15.5">
      <c r="A2238" s="29">
        <v>41372</v>
      </c>
      <c r="B2238" s="28">
        <v>1.1881999999999999</v>
      </c>
      <c r="C2238" s="28">
        <v>4024214020.0349998</v>
      </c>
    </row>
    <row r="2239" spans="1:3" ht="15.5">
      <c r="A2239" s="29">
        <v>41369</v>
      </c>
      <c r="B2239" s="28">
        <v>1.1932</v>
      </c>
      <c r="C2239" s="28">
        <v>4041051735.5999999</v>
      </c>
    </row>
    <row r="2240" spans="1:3" ht="15.5">
      <c r="A2240" s="29">
        <v>41368</v>
      </c>
      <c r="B2240" s="28">
        <v>1.1881999999999999</v>
      </c>
      <c r="C2240" s="28">
        <v>4024214020.0349998</v>
      </c>
    </row>
    <row r="2241" spans="1:3" ht="15.5">
      <c r="A2241" s="29">
        <v>41367</v>
      </c>
      <c r="B2241" s="28">
        <v>1.1932</v>
      </c>
      <c r="C2241" s="28">
        <v>4041051735.5999999</v>
      </c>
    </row>
    <row r="2242" spans="1:3" ht="15.5">
      <c r="A2242" s="29">
        <v>41366</v>
      </c>
      <c r="B2242" s="28">
        <v>1.1782999999999999</v>
      </c>
      <c r="C2242" s="28">
        <v>3990538588.9050002</v>
      </c>
    </row>
    <row r="2243" spans="1:3" ht="15.5">
      <c r="A2243" s="29">
        <v>41361</v>
      </c>
      <c r="B2243" s="28">
        <v>1.1881999999999999</v>
      </c>
      <c r="C2243" s="28">
        <v>3990846097.1750002</v>
      </c>
    </row>
    <row r="2244" spans="1:3" ht="15.5">
      <c r="A2244" s="29">
        <v>41360</v>
      </c>
      <c r="B2244" s="28">
        <v>1.1833</v>
      </c>
      <c r="C2244" s="28">
        <v>3974147996.3499999</v>
      </c>
    </row>
    <row r="2245" spans="1:3" ht="15.5">
      <c r="A2245" s="29">
        <v>41359</v>
      </c>
      <c r="B2245" s="28">
        <v>1.1782999999999999</v>
      </c>
      <c r="C2245" s="28">
        <v>3957449895.5250001</v>
      </c>
    </row>
    <row r="2246" spans="1:3" ht="15.5">
      <c r="A2246" s="29">
        <v>41358</v>
      </c>
      <c r="B2246" s="28">
        <v>1.1733</v>
      </c>
      <c r="C2246" s="28">
        <v>3940751794.6999998</v>
      </c>
    </row>
    <row r="2247" spans="1:3" ht="15.5">
      <c r="A2247" s="29">
        <v>41355</v>
      </c>
      <c r="B2247" s="28">
        <v>1.1833</v>
      </c>
      <c r="C2247" s="28">
        <v>3974147996.3499999</v>
      </c>
    </row>
    <row r="2248" spans="1:3" ht="15.5">
      <c r="A2248" s="29">
        <v>41354</v>
      </c>
      <c r="B2248" s="28">
        <v>1.1782999999999999</v>
      </c>
      <c r="C2248" s="28">
        <v>3957449895.5250001</v>
      </c>
    </row>
    <row r="2249" spans="1:3" ht="15.5">
      <c r="A2249" s="29">
        <v>41353</v>
      </c>
      <c r="B2249" s="28">
        <v>1.1684000000000001</v>
      </c>
      <c r="C2249" s="28">
        <v>3924053693.875</v>
      </c>
    </row>
    <row r="2250" spans="1:3" ht="15.5">
      <c r="A2250" s="29">
        <v>41352</v>
      </c>
      <c r="B2250" s="28">
        <v>1.1584000000000001</v>
      </c>
      <c r="C2250" s="28">
        <v>3890657492.2249999</v>
      </c>
    </row>
    <row r="2251" spans="1:3" ht="15.5">
      <c r="A2251" s="29">
        <v>41351</v>
      </c>
      <c r="B2251" s="28">
        <v>1.1485000000000001</v>
      </c>
      <c r="C2251" s="28">
        <v>3857261290.5749998</v>
      </c>
    </row>
    <row r="2252" spans="1:3" ht="15.5">
      <c r="A2252" s="29">
        <v>41348</v>
      </c>
      <c r="B2252" s="28">
        <v>1.1833</v>
      </c>
      <c r="C2252" s="28">
        <v>3974147996.3499999</v>
      </c>
    </row>
    <row r="2253" spans="1:3" ht="15.5">
      <c r="A2253" s="29">
        <v>41347</v>
      </c>
      <c r="B2253" s="28">
        <v>1.1435</v>
      </c>
      <c r="C2253" s="28">
        <v>3840563189.75</v>
      </c>
    </row>
    <row r="2254" spans="1:3" ht="15.5">
      <c r="A2254" s="29">
        <v>41346</v>
      </c>
      <c r="B2254" s="28">
        <v>1.1684000000000001</v>
      </c>
      <c r="C2254" s="28">
        <v>3924053693.875</v>
      </c>
    </row>
    <row r="2255" spans="1:3" ht="15.5">
      <c r="A2255" s="29">
        <v>41345</v>
      </c>
      <c r="B2255" s="28">
        <v>1.1534</v>
      </c>
      <c r="C2255" s="28">
        <v>3873959391.4000001</v>
      </c>
    </row>
    <row r="2256" spans="1:3" ht="15.5">
      <c r="A2256" s="29">
        <v>41344</v>
      </c>
      <c r="B2256" s="28">
        <v>1.1684000000000001</v>
      </c>
      <c r="C2256" s="28">
        <v>3924053693.875</v>
      </c>
    </row>
    <row r="2257" spans="1:3" ht="15.5">
      <c r="A2257" s="29">
        <v>41341</v>
      </c>
      <c r="B2257" s="28">
        <v>1.1584000000000001</v>
      </c>
      <c r="C2257" s="28">
        <v>3890657492.2249999</v>
      </c>
    </row>
    <row r="2258" spans="1:3" ht="15.5">
      <c r="A2258" s="29">
        <v>41340</v>
      </c>
      <c r="B2258" s="28">
        <v>1.1385000000000001</v>
      </c>
      <c r="C2258" s="28">
        <v>3823865088.9250002</v>
      </c>
    </row>
    <row r="2259" spans="1:3" ht="15.5">
      <c r="A2259" s="29">
        <v>41339</v>
      </c>
      <c r="B2259" s="28">
        <v>1.1435</v>
      </c>
      <c r="C2259" s="28">
        <v>3840563189.75</v>
      </c>
    </row>
    <row r="2260" spans="1:3" ht="15.5">
      <c r="A2260" s="29">
        <v>41338</v>
      </c>
      <c r="B2260" s="28">
        <v>1.1335999999999999</v>
      </c>
      <c r="C2260" s="28">
        <v>3807166988.0999999</v>
      </c>
    </row>
    <row r="2261" spans="1:3" ht="15.5">
      <c r="A2261" s="29">
        <v>41337</v>
      </c>
      <c r="B2261" s="28">
        <v>1.1584000000000001</v>
      </c>
      <c r="C2261" s="28">
        <v>3890657492.2249999</v>
      </c>
    </row>
    <row r="2262" spans="1:3" ht="15.5">
      <c r="A2262" s="29">
        <v>41334</v>
      </c>
      <c r="B2262" s="28">
        <v>1.1782999999999999</v>
      </c>
      <c r="C2262" s="28">
        <v>3957449895.5250001</v>
      </c>
    </row>
    <row r="2263" spans="1:3" ht="15.5">
      <c r="A2263" s="29">
        <v>41333</v>
      </c>
      <c r="B2263" s="28">
        <v>1.1833</v>
      </c>
      <c r="C2263" s="28">
        <v>3974147996.3499999</v>
      </c>
    </row>
    <row r="2264" spans="1:3" ht="15.5">
      <c r="A2264" s="29">
        <v>41332</v>
      </c>
      <c r="B2264" s="28">
        <v>1.1733</v>
      </c>
      <c r="C2264" s="28">
        <v>3940751794.6999998</v>
      </c>
    </row>
    <row r="2265" spans="1:3" ht="15.5">
      <c r="A2265" s="29">
        <v>41331</v>
      </c>
      <c r="B2265" s="28">
        <v>1.1485000000000001</v>
      </c>
      <c r="C2265" s="28">
        <v>3857261290.5749998</v>
      </c>
    </row>
    <row r="2266" spans="1:3" ht="15.5">
      <c r="A2266" s="29">
        <v>41330</v>
      </c>
      <c r="B2266" s="28">
        <v>1.1634</v>
      </c>
      <c r="C2266" s="28">
        <v>3907355593.0500002</v>
      </c>
    </row>
    <row r="2267" spans="1:3" ht="15.5">
      <c r="A2267" s="29">
        <v>41327</v>
      </c>
      <c r="B2267" s="28">
        <v>1.1485000000000001</v>
      </c>
      <c r="C2267" s="28">
        <v>3857261290.5749998</v>
      </c>
    </row>
    <row r="2268" spans="1:3" ht="15.5">
      <c r="A2268" s="29">
        <v>41326</v>
      </c>
      <c r="B2268" s="28">
        <v>1.1584000000000001</v>
      </c>
      <c r="C2268" s="28">
        <v>3890657492.2249999</v>
      </c>
    </row>
    <row r="2269" spans="1:3" ht="15.5">
      <c r="A2269" s="29">
        <v>41325</v>
      </c>
      <c r="B2269" s="28">
        <v>1.1684000000000001</v>
      </c>
      <c r="C2269" s="28">
        <v>3924053693.875</v>
      </c>
    </row>
    <row r="2270" spans="1:3" ht="15.5">
      <c r="A2270" s="29">
        <v>41324</v>
      </c>
      <c r="B2270" s="28">
        <v>1.1584000000000001</v>
      </c>
      <c r="C2270" s="28">
        <v>3890657492.2249999</v>
      </c>
    </row>
    <row r="2271" spans="1:3" ht="15.5">
      <c r="A2271" s="29">
        <v>41323</v>
      </c>
      <c r="B2271" s="28">
        <v>1.1634</v>
      </c>
      <c r="C2271" s="28">
        <v>3907355593.0500002</v>
      </c>
    </row>
    <row r="2272" spans="1:3" ht="15.5">
      <c r="A2272" s="29">
        <v>41320</v>
      </c>
      <c r="B2272" s="28">
        <v>1.1782999999999999</v>
      </c>
      <c r="C2272" s="28">
        <v>3957449895.5250001</v>
      </c>
    </row>
    <row r="2273" spans="1:3" ht="15.5">
      <c r="A2273" s="29">
        <v>41319</v>
      </c>
      <c r="B2273" s="28">
        <v>1.1782999999999999</v>
      </c>
      <c r="C2273" s="28">
        <v>3957449895.5250001</v>
      </c>
    </row>
    <row r="2274" spans="1:3" ht="15.5">
      <c r="A2274" s="29">
        <v>41318</v>
      </c>
      <c r="B2274" s="28">
        <v>1.1881999999999999</v>
      </c>
      <c r="C2274" s="28">
        <v>3990846097.1750002</v>
      </c>
    </row>
    <row r="2275" spans="1:3" ht="15.5">
      <c r="A2275" s="29">
        <v>41317</v>
      </c>
      <c r="B2275" s="28">
        <v>1.1733</v>
      </c>
      <c r="C2275" s="28">
        <v>3940751794.6999998</v>
      </c>
    </row>
    <row r="2276" spans="1:3" ht="15.5">
      <c r="A2276" s="29">
        <v>41316</v>
      </c>
      <c r="B2276" s="28">
        <v>1.1782999999999999</v>
      </c>
      <c r="C2276" s="28">
        <v>3957449895.5250001</v>
      </c>
    </row>
    <row r="2277" spans="1:3" ht="15.5">
      <c r="A2277" s="29">
        <v>41313</v>
      </c>
      <c r="B2277" s="28">
        <v>1.1684000000000001</v>
      </c>
      <c r="C2277" s="28">
        <v>3924053693.875</v>
      </c>
    </row>
    <row r="2278" spans="1:3" ht="15.5">
      <c r="A2278" s="29">
        <v>41312</v>
      </c>
      <c r="B2278" s="28">
        <v>1.1833</v>
      </c>
      <c r="C2278" s="28">
        <v>3974147996.3499999</v>
      </c>
    </row>
    <row r="2279" spans="1:3" ht="15.5">
      <c r="A2279" s="29">
        <v>41311</v>
      </c>
      <c r="B2279" s="28">
        <v>1.1733</v>
      </c>
      <c r="C2279" s="28">
        <v>3940751794.6999998</v>
      </c>
    </row>
    <row r="2280" spans="1:3" ht="15.5">
      <c r="A2280" s="29">
        <v>41310</v>
      </c>
      <c r="B2280" s="28">
        <v>1.1782999999999999</v>
      </c>
      <c r="C2280" s="28">
        <v>3957449895.5250001</v>
      </c>
    </row>
    <row r="2281" spans="1:3" ht="15.5">
      <c r="A2281" s="29">
        <v>41309</v>
      </c>
      <c r="B2281" s="28">
        <v>1.1733</v>
      </c>
      <c r="C2281" s="28">
        <v>3940751794.6999998</v>
      </c>
    </row>
    <row r="2282" spans="1:3" ht="15.5">
      <c r="A2282" s="29">
        <v>41306</v>
      </c>
      <c r="B2282" s="28">
        <v>1.1684000000000001</v>
      </c>
      <c r="C2282" s="28">
        <v>3924053693.875</v>
      </c>
    </row>
    <row r="2283" spans="1:3" ht="15.5">
      <c r="A2283" s="29">
        <v>41305</v>
      </c>
      <c r="B2283" s="28">
        <v>1.1435</v>
      </c>
      <c r="C2283" s="28">
        <v>3840563189.75</v>
      </c>
    </row>
    <row r="2284" spans="1:3" ht="15.5">
      <c r="A2284" s="29">
        <v>41304</v>
      </c>
      <c r="B2284" s="28">
        <v>1.1485000000000001</v>
      </c>
      <c r="C2284" s="28">
        <v>3857261290.5749998</v>
      </c>
    </row>
    <row r="2285" spans="1:3" ht="15.5">
      <c r="A2285" s="29">
        <v>41303</v>
      </c>
      <c r="B2285" s="28">
        <v>1.1584000000000001</v>
      </c>
      <c r="C2285" s="28">
        <v>3890657492.2249999</v>
      </c>
    </row>
    <row r="2286" spans="1:3" ht="15.5">
      <c r="A2286" s="29">
        <v>41299</v>
      </c>
      <c r="B2286" s="28">
        <v>1.1435</v>
      </c>
      <c r="C2286" s="28">
        <v>3840563189.75</v>
      </c>
    </row>
    <row r="2287" spans="1:3" ht="15.5">
      <c r="A2287" s="29">
        <v>41298</v>
      </c>
      <c r="B2287" s="28">
        <v>1.1534</v>
      </c>
      <c r="C2287" s="28">
        <v>3873959391.4000001</v>
      </c>
    </row>
    <row r="2288" spans="1:3" ht="15.5">
      <c r="A2288" s="29">
        <v>41297</v>
      </c>
      <c r="B2288" s="28">
        <v>1.1286</v>
      </c>
      <c r="C2288" s="28">
        <v>3790468887.2750001</v>
      </c>
    </row>
    <row r="2289" spans="1:3" ht="15.5">
      <c r="A2289" s="29">
        <v>41296</v>
      </c>
      <c r="B2289" s="28">
        <v>1.1136999999999999</v>
      </c>
      <c r="C2289" s="28">
        <v>3740374584.8000002</v>
      </c>
    </row>
    <row r="2290" spans="1:3" ht="15.5">
      <c r="A2290" s="29">
        <v>41295</v>
      </c>
      <c r="B2290" s="28">
        <v>1.1235999999999999</v>
      </c>
      <c r="C2290" s="28">
        <v>3773770786.4499998</v>
      </c>
    </row>
    <row r="2291" spans="1:3" ht="15.5">
      <c r="A2291" s="29">
        <v>41292</v>
      </c>
      <c r="B2291" s="28">
        <v>1.1136999999999999</v>
      </c>
      <c r="C2291" s="28">
        <v>3740374584.8000002</v>
      </c>
    </row>
    <row r="2292" spans="1:3" ht="15.5">
      <c r="A2292" s="29">
        <v>41291</v>
      </c>
      <c r="B2292" s="28">
        <v>1.1036999999999999</v>
      </c>
      <c r="C2292" s="28">
        <v>3706978383.1500001</v>
      </c>
    </row>
    <row r="2293" spans="1:3" ht="15.5">
      <c r="A2293" s="29">
        <v>41290</v>
      </c>
      <c r="B2293" s="28">
        <v>1.1235999999999999</v>
      </c>
      <c r="C2293" s="28">
        <v>3773770786.4499998</v>
      </c>
    </row>
    <row r="2294" spans="1:3" ht="15.5">
      <c r="A2294" s="29">
        <v>41289</v>
      </c>
      <c r="B2294" s="28">
        <v>1.1186</v>
      </c>
      <c r="C2294" s="28">
        <v>3757072685.625</v>
      </c>
    </row>
    <row r="2295" spans="1:3" ht="15.5">
      <c r="A2295" s="29">
        <v>41288</v>
      </c>
      <c r="B2295" s="28">
        <v>1.1235999999999999</v>
      </c>
      <c r="C2295" s="28">
        <v>3773770786.4499998</v>
      </c>
    </row>
    <row r="2296" spans="1:3" ht="15.5">
      <c r="A2296" s="29">
        <v>41285</v>
      </c>
      <c r="B2296" s="28">
        <v>1.1036999999999999</v>
      </c>
      <c r="C2296" s="28">
        <v>3706978383.1500001</v>
      </c>
    </row>
    <row r="2297" spans="1:3" ht="15.5">
      <c r="A2297" s="29">
        <v>41284</v>
      </c>
      <c r="B2297" s="28">
        <v>1.1136999999999999</v>
      </c>
      <c r="C2297" s="28">
        <v>3740374584.8000002</v>
      </c>
    </row>
    <row r="2298" spans="1:3" ht="15.5">
      <c r="A2298" s="29">
        <v>41283</v>
      </c>
      <c r="B2298" s="28">
        <v>1.1087</v>
      </c>
      <c r="C2298" s="28">
        <v>3723676483.9749999</v>
      </c>
    </row>
    <row r="2299" spans="1:3" ht="15.5">
      <c r="A2299" s="29">
        <v>41282</v>
      </c>
      <c r="B2299" s="28">
        <v>1.1286</v>
      </c>
      <c r="C2299" s="28">
        <v>3790468887.2750001</v>
      </c>
    </row>
    <row r="2300" spans="1:3" ht="15.5">
      <c r="A2300" s="29">
        <v>41281</v>
      </c>
      <c r="B2300" s="28">
        <v>1.1036999999999999</v>
      </c>
      <c r="C2300" s="28">
        <v>3706978383.1500001</v>
      </c>
    </row>
    <row r="2301" spans="1:3" ht="15.5">
      <c r="A2301" s="29">
        <v>41278</v>
      </c>
      <c r="B2301" s="28">
        <v>1.1136999999999999</v>
      </c>
      <c r="C2301" s="28">
        <v>3740374584.8000002</v>
      </c>
    </row>
    <row r="2302" spans="1:3" ht="15.5">
      <c r="A2302" s="29">
        <v>41277</v>
      </c>
      <c r="B2302" s="28">
        <v>1.1036999999999999</v>
      </c>
      <c r="C2302" s="28">
        <v>3706978383.1500001</v>
      </c>
    </row>
    <row r="2303" spans="1:3" ht="15.5">
      <c r="A2303" s="29">
        <v>41276</v>
      </c>
      <c r="B2303" s="28">
        <v>1.1136999999999999</v>
      </c>
      <c r="C2303" s="28">
        <v>3740374584.8000002</v>
      </c>
    </row>
    <row r="2304" spans="1:3" ht="15.5">
      <c r="A2304" s="29">
        <v>41274</v>
      </c>
      <c r="B2304" s="28">
        <v>1.1036999999999999</v>
      </c>
      <c r="C2304" s="28">
        <v>3706978383.1500001</v>
      </c>
    </row>
    <row r="2305" spans="1:3" ht="15.5">
      <c r="A2305" s="29">
        <v>41271</v>
      </c>
      <c r="B2305" s="28">
        <v>1.1235999999999999</v>
      </c>
      <c r="C2305" s="28">
        <v>3773770786.4499998</v>
      </c>
    </row>
    <row r="2306" spans="1:3" ht="15.5">
      <c r="A2306" s="29">
        <v>41270</v>
      </c>
      <c r="B2306" s="28">
        <v>1.1087</v>
      </c>
      <c r="C2306" s="28">
        <v>3723676483.9749999</v>
      </c>
    </row>
    <row r="2307" spans="1:3" ht="15.5">
      <c r="A2307" s="29">
        <v>41267</v>
      </c>
      <c r="B2307" s="28">
        <v>1.1186</v>
      </c>
      <c r="C2307" s="28">
        <v>3757072685.625</v>
      </c>
    </row>
    <row r="2308" spans="1:3" ht="15.5">
      <c r="A2308" s="29">
        <v>41264</v>
      </c>
      <c r="B2308" s="28">
        <v>1.1087</v>
      </c>
      <c r="C2308" s="28">
        <v>3723676483.9749999</v>
      </c>
    </row>
    <row r="2309" spans="1:3" ht="15.5">
      <c r="A2309" s="29">
        <v>41263</v>
      </c>
      <c r="B2309" s="28">
        <v>1.1186</v>
      </c>
      <c r="C2309" s="28">
        <v>3757072685.625</v>
      </c>
    </row>
    <row r="2310" spans="1:3" ht="15.5">
      <c r="A2310" s="29">
        <v>41262</v>
      </c>
      <c r="B2310" s="28">
        <v>1.1087</v>
      </c>
      <c r="C2310" s="28">
        <v>3723676483.9749999</v>
      </c>
    </row>
    <row r="2311" spans="1:3" ht="15.5">
      <c r="A2311" s="29">
        <v>41261</v>
      </c>
      <c r="B2311" s="28">
        <v>1.0988</v>
      </c>
      <c r="C2311" s="28">
        <v>3690280282.3249998</v>
      </c>
    </row>
    <row r="2312" spans="1:3" ht="15.5">
      <c r="A2312" s="29">
        <v>41260</v>
      </c>
      <c r="B2312" s="28">
        <v>1.0640000000000001</v>
      </c>
      <c r="C2312" s="28">
        <v>3573393576.5500002</v>
      </c>
    </row>
    <row r="2313" spans="1:3" ht="15.5">
      <c r="A2313" s="29">
        <v>41257</v>
      </c>
      <c r="B2313" s="28">
        <v>1.0739000000000001</v>
      </c>
      <c r="C2313" s="28">
        <v>3606789778.1999998</v>
      </c>
    </row>
    <row r="2314" spans="1:3" ht="15.5">
      <c r="A2314" s="29">
        <v>41256</v>
      </c>
      <c r="B2314" s="28">
        <v>1.0888</v>
      </c>
      <c r="C2314" s="28">
        <v>3656884080.6750002</v>
      </c>
    </row>
    <row r="2315" spans="1:3" ht="15.5">
      <c r="A2315" s="29">
        <v>41255</v>
      </c>
      <c r="B2315" s="28">
        <v>1.0739000000000001</v>
      </c>
      <c r="C2315" s="28">
        <v>3606789778.1999998</v>
      </c>
    </row>
    <row r="2316" spans="1:3" ht="15.5">
      <c r="A2316" s="29">
        <v>41254</v>
      </c>
      <c r="B2316" s="28">
        <v>1.0640000000000001</v>
      </c>
      <c r="C2316" s="28">
        <v>3573393576.5500002</v>
      </c>
    </row>
    <row r="2317" spans="1:3" ht="15.5">
      <c r="A2317" s="29">
        <v>41253</v>
      </c>
      <c r="B2317" s="28">
        <v>1.0441</v>
      </c>
      <c r="C2317" s="28">
        <v>3506601173.25</v>
      </c>
    </row>
    <row r="2318" spans="1:3" ht="15.5">
      <c r="A2318" s="29">
        <v>41250</v>
      </c>
      <c r="B2318" s="28">
        <v>1.0441</v>
      </c>
      <c r="C2318" s="28">
        <v>3506601173.25</v>
      </c>
    </row>
    <row r="2319" spans="1:3" ht="15.5">
      <c r="A2319" s="29">
        <v>41249</v>
      </c>
      <c r="B2319" s="28">
        <v>1.054</v>
      </c>
      <c r="C2319" s="28">
        <v>3539997374.9000001</v>
      </c>
    </row>
    <row r="2320" spans="1:3" ht="15.5">
      <c r="A2320" s="29">
        <v>41248</v>
      </c>
      <c r="B2320" s="28">
        <v>1.0390999999999999</v>
      </c>
      <c r="C2320" s="28">
        <v>3489903072.4250002</v>
      </c>
    </row>
    <row r="2321" spans="1:3" ht="15.5">
      <c r="A2321" s="29">
        <v>41247</v>
      </c>
      <c r="B2321" s="28">
        <v>1.0441</v>
      </c>
      <c r="C2321" s="28">
        <v>3506601173.25</v>
      </c>
    </row>
    <row r="2322" spans="1:3" ht="15.5">
      <c r="A2322" s="29">
        <v>41246</v>
      </c>
      <c r="B2322" s="28">
        <v>1.0390999999999999</v>
      </c>
      <c r="C2322" s="28">
        <v>3489903072.4250002</v>
      </c>
    </row>
    <row r="2323" spans="1:3" ht="15.5">
      <c r="A2323" s="29">
        <v>41243</v>
      </c>
      <c r="B2323" s="28">
        <v>1.054</v>
      </c>
      <c r="C2323" s="28">
        <v>3539997374.9000001</v>
      </c>
    </row>
    <row r="2324" spans="1:3" ht="15.5">
      <c r="A2324" s="29">
        <v>41242</v>
      </c>
      <c r="B2324" s="28">
        <v>1.0390999999999999</v>
      </c>
      <c r="C2324" s="28">
        <v>3489903072.4250002</v>
      </c>
    </row>
    <row r="2325" spans="1:3" ht="15.5">
      <c r="A2325" s="29">
        <v>41241</v>
      </c>
      <c r="B2325" s="28">
        <v>1.0489999999999999</v>
      </c>
      <c r="C2325" s="28">
        <v>3523299274.0749998</v>
      </c>
    </row>
    <row r="2326" spans="1:3" ht="15.5">
      <c r="A2326" s="29">
        <v>41240</v>
      </c>
      <c r="B2326" s="28">
        <v>1.0489999999999999</v>
      </c>
      <c r="C2326" s="28">
        <v>3523299274.0749998</v>
      </c>
    </row>
    <row r="2327" spans="1:3" ht="15.5">
      <c r="A2327" s="29">
        <v>41239</v>
      </c>
      <c r="B2327" s="28">
        <v>1.0390999999999999</v>
      </c>
      <c r="C2327" s="28">
        <v>3489903072.4250002</v>
      </c>
    </row>
    <row r="2328" spans="1:3" ht="15.5">
      <c r="A2328" s="29">
        <v>41236</v>
      </c>
      <c r="B2328" s="28">
        <v>1.0390999999999999</v>
      </c>
      <c r="C2328" s="28">
        <v>3489903072.4250002</v>
      </c>
    </row>
    <row r="2329" spans="1:3" ht="15.5">
      <c r="A2329" s="29">
        <v>41235</v>
      </c>
      <c r="B2329" s="28">
        <v>1.0242</v>
      </c>
      <c r="C2329" s="28">
        <v>3439808769.9499998</v>
      </c>
    </row>
    <row r="2330" spans="1:3" ht="15.5">
      <c r="A2330" s="29">
        <v>41234</v>
      </c>
      <c r="B2330" s="28">
        <v>1.0291999999999999</v>
      </c>
      <c r="C2330" s="28">
        <v>3456506870.7750001</v>
      </c>
    </row>
    <row r="2331" spans="1:3" ht="15.5">
      <c r="A2331" s="29">
        <v>41233</v>
      </c>
      <c r="B2331" s="28">
        <v>1.0341</v>
      </c>
      <c r="C2331" s="28">
        <v>3473204971.5999999</v>
      </c>
    </row>
    <row r="2332" spans="1:3" ht="15.5">
      <c r="A2332" s="29">
        <v>41232</v>
      </c>
      <c r="B2332" s="28">
        <v>1.0341</v>
      </c>
      <c r="C2332" s="28">
        <v>3473204971.5999999</v>
      </c>
    </row>
    <row r="2333" spans="1:3" ht="15.5">
      <c r="A2333" s="29">
        <v>41229</v>
      </c>
      <c r="B2333" s="28">
        <v>1.0093000000000001</v>
      </c>
      <c r="C2333" s="28">
        <v>3389714467.4749999</v>
      </c>
    </row>
    <row r="2334" spans="1:3" ht="15.5">
      <c r="A2334" s="29">
        <v>41228</v>
      </c>
      <c r="B2334" s="28">
        <v>1.0441</v>
      </c>
      <c r="C2334" s="28">
        <v>3506601173.25</v>
      </c>
    </row>
    <row r="2335" spans="1:3" ht="15.5">
      <c r="A2335" s="29">
        <v>41227</v>
      </c>
      <c r="B2335" s="28">
        <v>1.0441</v>
      </c>
      <c r="C2335" s="28">
        <v>3506601173.25</v>
      </c>
    </row>
    <row r="2336" spans="1:3" ht="15.5">
      <c r="A2336" s="29">
        <v>41226</v>
      </c>
      <c r="B2336" s="28">
        <v>1.0242</v>
      </c>
      <c r="C2336" s="28">
        <v>3439808769.9499998</v>
      </c>
    </row>
    <row r="2337" spans="1:3" ht="15.5">
      <c r="A2337" s="29">
        <v>41225</v>
      </c>
      <c r="B2337" s="28">
        <v>1.0489999999999999</v>
      </c>
      <c r="C2337" s="28">
        <v>3523299274.0749998</v>
      </c>
    </row>
    <row r="2338" spans="1:3" ht="15.5">
      <c r="A2338" s="29">
        <v>41222</v>
      </c>
      <c r="B2338" s="28">
        <v>1.054</v>
      </c>
      <c r="C2338" s="28">
        <v>3539997374.9000001</v>
      </c>
    </row>
    <row r="2339" spans="1:3" ht="15.5">
      <c r="A2339" s="29">
        <v>41221</v>
      </c>
      <c r="B2339" s="28">
        <v>1.0441</v>
      </c>
      <c r="C2339" s="28">
        <v>3506601173.25</v>
      </c>
    </row>
    <row r="2340" spans="1:3" ht="15.5">
      <c r="A2340" s="29">
        <v>41220</v>
      </c>
      <c r="B2340" s="28">
        <v>1.0489999999999999</v>
      </c>
      <c r="C2340" s="28">
        <v>3523299274.0749998</v>
      </c>
    </row>
    <row r="2341" spans="1:3" ht="15.5">
      <c r="A2341" s="29">
        <v>41219</v>
      </c>
      <c r="B2341" s="28">
        <v>1.0441</v>
      </c>
      <c r="C2341" s="28">
        <v>3506601173.25</v>
      </c>
    </row>
    <row r="2342" spans="1:3" ht="15.5">
      <c r="A2342" s="29">
        <v>41218</v>
      </c>
      <c r="B2342" s="28">
        <v>1.0441</v>
      </c>
      <c r="C2342" s="28">
        <v>3506601173.25</v>
      </c>
    </row>
    <row r="2343" spans="1:3" ht="15.5">
      <c r="A2343" s="29">
        <v>41215</v>
      </c>
      <c r="B2343" s="28">
        <v>1.0441</v>
      </c>
      <c r="C2343" s="28">
        <v>3506601173.25</v>
      </c>
    </row>
    <row r="2344" spans="1:3" ht="15.5">
      <c r="A2344" s="29">
        <v>41214</v>
      </c>
      <c r="B2344" s="28">
        <v>1.0489999999999999</v>
      </c>
      <c r="C2344" s="28">
        <v>3523299274.0749998</v>
      </c>
    </row>
    <row r="2345" spans="1:3" ht="15.5">
      <c r="A2345" s="29">
        <v>41213</v>
      </c>
      <c r="B2345" s="28">
        <v>1.054</v>
      </c>
      <c r="C2345" s="28">
        <v>3539997374.9000001</v>
      </c>
    </row>
    <row r="2346" spans="1:3" ht="15.5">
      <c r="A2346" s="29">
        <v>41212</v>
      </c>
      <c r="B2346" s="28">
        <v>1.0589999999999999</v>
      </c>
      <c r="C2346" s="28">
        <v>3556695475.7249999</v>
      </c>
    </row>
    <row r="2347" spans="1:3" ht="15.5">
      <c r="A2347" s="29">
        <v>41211</v>
      </c>
      <c r="B2347" s="28">
        <v>1.0441</v>
      </c>
      <c r="C2347" s="28">
        <v>3506601173.25</v>
      </c>
    </row>
    <row r="2348" spans="1:3" ht="15.5">
      <c r="A2348" s="29">
        <v>41208</v>
      </c>
      <c r="B2348" s="28">
        <v>1.0489999999999999</v>
      </c>
      <c r="C2348" s="28">
        <v>3523299274.0749998</v>
      </c>
    </row>
    <row r="2349" spans="1:3" ht="15.5">
      <c r="A2349" s="29">
        <v>41207</v>
      </c>
      <c r="B2349" s="28">
        <v>1.054</v>
      </c>
      <c r="C2349" s="28">
        <v>3539997374.9000001</v>
      </c>
    </row>
    <row r="2350" spans="1:3" ht="15.5">
      <c r="A2350" s="29">
        <v>41206</v>
      </c>
      <c r="B2350" s="28">
        <v>1.054</v>
      </c>
      <c r="C2350" s="28">
        <v>3539997374.9000001</v>
      </c>
    </row>
    <row r="2351" spans="1:3" ht="15.5">
      <c r="A2351" s="29">
        <v>41205</v>
      </c>
      <c r="B2351" s="28">
        <v>1.0589999999999999</v>
      </c>
      <c r="C2351" s="28">
        <v>3556695475.7249999</v>
      </c>
    </row>
    <row r="2352" spans="1:3" ht="15.5">
      <c r="A2352" s="29">
        <v>41204</v>
      </c>
      <c r="B2352" s="28">
        <v>1.0640000000000001</v>
      </c>
      <c r="C2352" s="28">
        <v>3573393576.5500002</v>
      </c>
    </row>
    <row r="2353" spans="1:3" ht="15.5">
      <c r="A2353" s="29">
        <v>41201</v>
      </c>
      <c r="B2353" s="28">
        <v>1.0689</v>
      </c>
      <c r="C2353" s="28">
        <v>3590091677.375</v>
      </c>
    </row>
    <row r="2354" spans="1:3" ht="15.5">
      <c r="A2354" s="29">
        <v>41200</v>
      </c>
      <c r="B2354" s="28">
        <v>1.0640000000000001</v>
      </c>
      <c r="C2354" s="28">
        <v>3573393576.5500002</v>
      </c>
    </row>
    <row r="2355" spans="1:3" ht="15.5">
      <c r="A2355" s="29">
        <v>41199</v>
      </c>
      <c r="B2355" s="28">
        <v>1.0689</v>
      </c>
      <c r="C2355" s="28">
        <v>3590091677.375</v>
      </c>
    </row>
    <row r="2356" spans="1:3" ht="15.5">
      <c r="A2356" s="29">
        <v>41198</v>
      </c>
      <c r="B2356" s="28">
        <v>1.0739000000000001</v>
      </c>
      <c r="C2356" s="28">
        <v>3606789778.1999998</v>
      </c>
    </row>
    <row r="2357" spans="1:3" ht="15.5">
      <c r="A2357" s="29">
        <v>41197</v>
      </c>
      <c r="B2357" s="28">
        <v>1.0640000000000001</v>
      </c>
      <c r="C2357" s="28">
        <v>3573393576.5500002</v>
      </c>
    </row>
    <row r="2358" spans="1:3" ht="15.5">
      <c r="A2358" s="29">
        <v>41194</v>
      </c>
      <c r="B2358" s="28">
        <v>1.0640000000000001</v>
      </c>
      <c r="C2358" s="28">
        <v>3573393576.5500002</v>
      </c>
    </row>
    <row r="2359" spans="1:3" ht="15.5">
      <c r="A2359" s="29">
        <v>41193</v>
      </c>
      <c r="B2359" s="28">
        <v>1.0589999999999999</v>
      </c>
      <c r="C2359" s="28">
        <v>3556695475.7249999</v>
      </c>
    </row>
    <row r="2360" spans="1:3" ht="15.5">
      <c r="A2360" s="29">
        <v>41192</v>
      </c>
      <c r="B2360" s="28">
        <v>1.0489999999999999</v>
      </c>
      <c r="C2360" s="28">
        <v>3523299274.0749998</v>
      </c>
    </row>
    <row r="2361" spans="1:3" ht="15.5">
      <c r="A2361" s="29">
        <v>41191</v>
      </c>
      <c r="B2361" s="28">
        <v>1.054</v>
      </c>
      <c r="C2361" s="28">
        <v>3539997374.9000001</v>
      </c>
    </row>
    <row r="2362" spans="1:3" ht="15.5">
      <c r="A2362" s="29">
        <v>41190</v>
      </c>
      <c r="B2362" s="28">
        <v>1.054</v>
      </c>
      <c r="C2362" s="28">
        <v>3539997374.9000001</v>
      </c>
    </row>
    <row r="2363" spans="1:3" ht="15.5">
      <c r="A2363" s="29">
        <v>41187</v>
      </c>
      <c r="B2363" s="28">
        <v>1.0640000000000001</v>
      </c>
      <c r="C2363" s="28">
        <v>3573393576.5500002</v>
      </c>
    </row>
    <row r="2364" spans="1:3" ht="15.5">
      <c r="A2364" s="29">
        <v>41186</v>
      </c>
      <c r="B2364" s="28">
        <v>1.0640000000000001</v>
      </c>
      <c r="C2364" s="28">
        <v>3573393576.5500002</v>
      </c>
    </row>
    <row r="2365" spans="1:3" ht="15.5">
      <c r="A2365" s="29">
        <v>41185</v>
      </c>
      <c r="B2365" s="28">
        <v>1.0489999999999999</v>
      </c>
      <c r="C2365" s="28">
        <v>3523299274.0749998</v>
      </c>
    </row>
    <row r="2366" spans="1:3" ht="15.5">
      <c r="A2366" s="29">
        <v>41184</v>
      </c>
      <c r="B2366" s="28">
        <v>1.054</v>
      </c>
      <c r="C2366" s="28">
        <v>3539997374.9000001</v>
      </c>
    </row>
    <row r="2367" spans="1:3" ht="15.5">
      <c r="A2367" s="29">
        <v>41183</v>
      </c>
      <c r="B2367" s="28">
        <v>1.0441</v>
      </c>
      <c r="C2367" s="28">
        <v>3506601173.25</v>
      </c>
    </row>
    <row r="2368" spans="1:3" ht="15.5">
      <c r="A2368" s="29">
        <v>41180</v>
      </c>
      <c r="B2368" s="28">
        <v>1.0390999999999999</v>
      </c>
      <c r="C2368" s="28">
        <v>3480497567.6900001</v>
      </c>
    </row>
    <row r="2369" spans="1:3" ht="15.5">
      <c r="A2369" s="29">
        <v>41179</v>
      </c>
      <c r="B2369" s="28">
        <v>1.0341</v>
      </c>
      <c r="C2369" s="28">
        <v>3463844469.2800002</v>
      </c>
    </row>
    <row r="2370" spans="1:3" ht="15.5">
      <c r="A2370" s="29">
        <v>41178</v>
      </c>
      <c r="B2370" s="28">
        <v>1.0341</v>
      </c>
      <c r="C2370" s="28">
        <v>3463844469.2800002</v>
      </c>
    </row>
    <row r="2371" spans="1:3" ht="15.5">
      <c r="A2371" s="29">
        <v>41177</v>
      </c>
      <c r="B2371" s="28">
        <v>1.0043</v>
      </c>
      <c r="C2371" s="28">
        <v>3363925878.8200002</v>
      </c>
    </row>
    <row r="2372" spans="1:3" ht="15.5">
      <c r="A2372" s="29">
        <v>41176</v>
      </c>
      <c r="B2372" s="28">
        <v>1.0192000000000001</v>
      </c>
      <c r="C2372" s="28">
        <v>3413885174.0500002</v>
      </c>
    </row>
    <row r="2373" spans="1:3" ht="15.5">
      <c r="A2373" s="29">
        <v>41173</v>
      </c>
      <c r="B2373" s="28">
        <v>1.0242</v>
      </c>
      <c r="C2373" s="28">
        <v>3430538272.46</v>
      </c>
    </row>
    <row r="2374" spans="1:3" ht="15.5">
      <c r="A2374" s="29">
        <v>41172</v>
      </c>
      <c r="B2374" s="28">
        <v>1.0142</v>
      </c>
      <c r="C2374" s="28">
        <v>3397232075.6399999</v>
      </c>
    </row>
    <row r="2375" spans="1:3" ht="15.5">
      <c r="A2375" s="29">
        <v>41171</v>
      </c>
      <c r="B2375" s="28">
        <v>0.99439999999999995</v>
      </c>
      <c r="C2375" s="28">
        <v>3330619682</v>
      </c>
    </row>
    <row r="2376" spans="1:3" ht="15.5">
      <c r="A2376" s="29">
        <v>41170</v>
      </c>
      <c r="B2376" s="28">
        <v>0.99929999999999997</v>
      </c>
      <c r="C2376" s="28">
        <v>3347272780.4099998</v>
      </c>
    </row>
    <row r="2377" spans="1:3" ht="15.5">
      <c r="A2377" s="29">
        <v>41169</v>
      </c>
      <c r="B2377" s="28">
        <v>0.98440000000000005</v>
      </c>
      <c r="C2377" s="28">
        <v>3297313485.1799998</v>
      </c>
    </row>
    <row r="2378" spans="1:3" ht="15.5">
      <c r="A2378" s="29">
        <v>41166</v>
      </c>
      <c r="B2378" s="28">
        <v>0.99439999999999995</v>
      </c>
      <c r="C2378" s="28">
        <v>3330619682</v>
      </c>
    </row>
    <row r="2379" spans="1:3" ht="15.5">
      <c r="A2379" s="29">
        <v>41165</v>
      </c>
      <c r="B2379" s="28">
        <v>1.0043</v>
      </c>
      <c r="C2379" s="28">
        <v>3363925878.8200002</v>
      </c>
    </row>
    <row r="2380" spans="1:3" ht="15.5">
      <c r="A2380" s="29">
        <v>41164</v>
      </c>
      <c r="B2380" s="28">
        <v>0.99439999999999995</v>
      </c>
      <c r="C2380" s="28">
        <v>3330619682</v>
      </c>
    </row>
    <row r="2381" spans="1:3" ht="15.5">
      <c r="A2381" s="29">
        <v>41163</v>
      </c>
      <c r="B2381" s="28">
        <v>1.0192000000000001</v>
      </c>
      <c r="C2381" s="28">
        <v>3413885174.0500002</v>
      </c>
    </row>
    <row r="2382" spans="1:3" ht="15.5">
      <c r="A2382" s="29">
        <v>41162</v>
      </c>
      <c r="B2382" s="28">
        <v>1.0291999999999999</v>
      </c>
      <c r="C2382" s="28">
        <v>3447191370.8699999</v>
      </c>
    </row>
    <row r="2383" spans="1:3" ht="15.5">
      <c r="A2383" s="29">
        <v>41159</v>
      </c>
      <c r="B2383" s="28">
        <v>1.0441</v>
      </c>
      <c r="C2383" s="28">
        <v>3497150666.0999999</v>
      </c>
    </row>
    <row r="2384" spans="1:3" ht="15.5">
      <c r="A2384" s="29">
        <v>41158</v>
      </c>
      <c r="B2384" s="28">
        <v>1.0291999999999999</v>
      </c>
      <c r="C2384" s="28">
        <v>3447191370.8699999</v>
      </c>
    </row>
    <row r="2385" spans="1:3" ht="15.5">
      <c r="A2385" s="29">
        <v>41157</v>
      </c>
      <c r="B2385" s="28">
        <v>1.0441</v>
      </c>
      <c r="C2385" s="28">
        <v>3497150666.0999999</v>
      </c>
    </row>
    <row r="2386" spans="1:3" ht="15.5">
      <c r="A2386" s="29">
        <v>41156</v>
      </c>
      <c r="B2386" s="28">
        <v>1.0341</v>
      </c>
      <c r="C2386" s="28">
        <v>3463844469.2800002</v>
      </c>
    </row>
    <row r="2387" spans="1:3" ht="15.5">
      <c r="A2387" s="29">
        <v>41155</v>
      </c>
      <c r="B2387" s="28">
        <v>1.054</v>
      </c>
      <c r="C2387" s="28">
        <v>3530456862.9200001</v>
      </c>
    </row>
    <row r="2388" spans="1:3" ht="15.5">
      <c r="A2388" s="29">
        <v>41152</v>
      </c>
      <c r="B2388" s="28">
        <v>1.0489999999999999</v>
      </c>
      <c r="C2388" s="28">
        <v>3513803764.5100002</v>
      </c>
    </row>
    <row r="2389" spans="1:3" ht="15.5">
      <c r="A2389" s="29">
        <v>41151</v>
      </c>
      <c r="B2389" s="28">
        <v>1.054</v>
      </c>
      <c r="C2389" s="28">
        <v>3530456862.9200001</v>
      </c>
    </row>
    <row r="2390" spans="1:3" ht="15.5">
      <c r="A2390" s="29">
        <v>41150</v>
      </c>
      <c r="B2390" s="28">
        <v>1.0142</v>
      </c>
      <c r="C2390" s="28">
        <v>3397232075.6399999</v>
      </c>
    </row>
    <row r="2391" spans="1:3" ht="15.5">
      <c r="A2391" s="29">
        <v>41149</v>
      </c>
      <c r="B2391" s="28">
        <v>1.0093000000000001</v>
      </c>
      <c r="C2391" s="28">
        <v>3380578977.23</v>
      </c>
    </row>
    <row r="2392" spans="1:3" ht="15.5">
      <c r="A2392" s="29">
        <v>41148</v>
      </c>
      <c r="B2392" s="28">
        <v>0.98939999999999995</v>
      </c>
      <c r="C2392" s="28">
        <v>3313966583.5900002</v>
      </c>
    </row>
    <row r="2393" spans="1:3" ht="15.5">
      <c r="A2393" s="29">
        <v>41145</v>
      </c>
      <c r="B2393" s="28">
        <v>0.98440000000000005</v>
      </c>
      <c r="C2393" s="28">
        <v>3297313485.1799998</v>
      </c>
    </row>
    <row r="2394" spans="1:3" ht="15.5">
      <c r="A2394" s="29">
        <v>41144</v>
      </c>
      <c r="B2394" s="28">
        <v>0.98939999999999995</v>
      </c>
      <c r="C2394" s="28">
        <v>3313966583.5900002</v>
      </c>
    </row>
    <row r="2395" spans="1:3" ht="15.5">
      <c r="A2395" s="29">
        <v>41143</v>
      </c>
      <c r="B2395" s="28">
        <v>0.98440000000000005</v>
      </c>
      <c r="C2395" s="28">
        <v>3297313485.1799998</v>
      </c>
    </row>
    <row r="2396" spans="1:3" ht="15.5">
      <c r="A2396" s="29">
        <v>41142</v>
      </c>
      <c r="B2396" s="28">
        <v>0.98939999999999995</v>
      </c>
      <c r="C2396" s="28">
        <v>3313966583.5900002</v>
      </c>
    </row>
    <row r="2397" spans="1:3" ht="15.5">
      <c r="A2397" s="29">
        <v>41141</v>
      </c>
      <c r="B2397" s="28">
        <v>0.97940000000000005</v>
      </c>
      <c r="C2397" s="28">
        <v>3280660386.77</v>
      </c>
    </row>
    <row r="2398" spans="1:3" ht="15.5">
      <c r="A2398" s="29">
        <v>41138</v>
      </c>
      <c r="B2398" s="28">
        <v>0.97940000000000005</v>
      </c>
      <c r="C2398" s="28">
        <v>3280660386.77</v>
      </c>
    </row>
    <row r="2399" spans="1:3" ht="15.5">
      <c r="A2399" s="29">
        <v>41137</v>
      </c>
      <c r="B2399" s="28">
        <v>0.9546</v>
      </c>
      <c r="C2399" s="28">
        <v>3197394894.7199998</v>
      </c>
    </row>
    <row r="2400" spans="1:3" ht="15.5">
      <c r="A2400" s="29">
        <v>41136</v>
      </c>
      <c r="B2400" s="28">
        <v>0.95950000000000002</v>
      </c>
      <c r="C2400" s="28">
        <v>3214047993.1300001</v>
      </c>
    </row>
    <row r="2401" spans="1:3" ht="15.5">
      <c r="A2401" s="29">
        <v>41135</v>
      </c>
      <c r="B2401" s="28">
        <v>0.93969999999999998</v>
      </c>
      <c r="C2401" s="28">
        <v>3147435599.4899998</v>
      </c>
    </row>
    <row r="2402" spans="1:3" ht="15.5">
      <c r="A2402" s="29">
        <v>41134</v>
      </c>
      <c r="B2402" s="28">
        <v>0.96450000000000002</v>
      </c>
      <c r="C2402" s="28">
        <v>3230701091.54</v>
      </c>
    </row>
    <row r="2403" spans="1:3" ht="15.5">
      <c r="A2403" s="29">
        <v>41131</v>
      </c>
      <c r="B2403" s="28">
        <v>0.96450000000000002</v>
      </c>
      <c r="C2403" s="28">
        <v>3230701091.54</v>
      </c>
    </row>
    <row r="2404" spans="1:3" ht="15.5">
      <c r="A2404" s="29">
        <v>41130</v>
      </c>
      <c r="B2404" s="28">
        <v>0.98440000000000005</v>
      </c>
      <c r="C2404" s="28">
        <v>3297313485.1799998</v>
      </c>
    </row>
    <row r="2405" spans="1:3" ht="15.5">
      <c r="A2405" s="29">
        <v>41129</v>
      </c>
      <c r="B2405" s="28">
        <v>0.97450000000000003</v>
      </c>
      <c r="C2405" s="28">
        <v>3264007288.3600001</v>
      </c>
    </row>
    <row r="2406" spans="1:3" ht="15.5">
      <c r="A2406" s="29">
        <v>41128</v>
      </c>
      <c r="B2406" s="28">
        <v>0.99439999999999995</v>
      </c>
      <c r="C2406" s="28">
        <v>3330619682</v>
      </c>
    </row>
    <row r="2407" spans="1:3" ht="15.5">
      <c r="A2407" s="29">
        <v>41127</v>
      </c>
      <c r="B2407" s="28">
        <v>1.0441</v>
      </c>
      <c r="C2407" s="28">
        <v>3497150666.0999999</v>
      </c>
    </row>
    <row r="2408" spans="1:3" ht="15.5">
      <c r="A2408" s="29">
        <v>41124</v>
      </c>
      <c r="B2408" s="28">
        <v>1.054</v>
      </c>
      <c r="C2408" s="28">
        <v>3530456862.9200001</v>
      </c>
    </row>
    <row r="2409" spans="1:3" ht="15.5">
      <c r="A2409" s="29">
        <v>41123</v>
      </c>
      <c r="B2409" s="28">
        <v>1.0441</v>
      </c>
      <c r="C2409" s="28">
        <v>3497150666.0999999</v>
      </c>
    </row>
    <row r="2410" spans="1:3" ht="15.5">
      <c r="A2410" s="29">
        <v>41122</v>
      </c>
      <c r="B2410" s="28">
        <v>1.0441</v>
      </c>
      <c r="C2410" s="28">
        <v>3497150666.0999999</v>
      </c>
    </row>
    <row r="2411" spans="1:3" ht="15.5">
      <c r="A2411" s="29">
        <v>41121</v>
      </c>
      <c r="B2411" s="28">
        <v>1.0489999999999999</v>
      </c>
      <c r="C2411" s="28">
        <v>3513803764.5100002</v>
      </c>
    </row>
    <row r="2412" spans="1:3" ht="15.5">
      <c r="A2412" s="29">
        <v>41120</v>
      </c>
      <c r="B2412" s="28">
        <v>1.0441</v>
      </c>
      <c r="C2412" s="28">
        <v>3497150666.0999999</v>
      </c>
    </row>
    <row r="2413" spans="1:3" ht="15.5">
      <c r="A2413" s="29">
        <v>41117</v>
      </c>
      <c r="B2413" s="28">
        <v>1.0441</v>
      </c>
      <c r="C2413" s="28">
        <v>3497150666.0999999</v>
      </c>
    </row>
    <row r="2414" spans="1:3" ht="15.5">
      <c r="A2414" s="29">
        <v>41116</v>
      </c>
      <c r="B2414" s="28">
        <v>1.0441</v>
      </c>
      <c r="C2414" s="28">
        <v>3497150666.0999999</v>
      </c>
    </row>
    <row r="2415" spans="1:3" ht="15.5">
      <c r="A2415" s="29">
        <v>41115</v>
      </c>
      <c r="B2415" s="28">
        <v>1.0390999999999999</v>
      </c>
      <c r="C2415" s="28">
        <v>3480497567.6900001</v>
      </c>
    </row>
    <row r="2416" spans="1:3" ht="15.5">
      <c r="A2416" s="29">
        <v>41114</v>
      </c>
      <c r="B2416" s="28">
        <v>1.0390999999999999</v>
      </c>
      <c r="C2416" s="28">
        <v>3480497567.6900001</v>
      </c>
    </row>
    <row r="2417" spans="1:3" ht="15.5">
      <c r="A2417" s="29">
        <v>41113</v>
      </c>
      <c r="B2417" s="28">
        <v>1.0441</v>
      </c>
      <c r="C2417" s="28">
        <v>3497150666.0999999</v>
      </c>
    </row>
    <row r="2418" spans="1:3" ht="15.5">
      <c r="A2418" s="29">
        <v>41110</v>
      </c>
      <c r="B2418" s="28">
        <v>1.0640000000000001</v>
      </c>
      <c r="C2418" s="28">
        <v>3563763059.7399998</v>
      </c>
    </row>
    <row r="2419" spans="1:3" ht="15.5">
      <c r="A2419" s="29">
        <v>41109</v>
      </c>
      <c r="B2419" s="28">
        <v>1.0589999999999999</v>
      </c>
      <c r="C2419" s="28">
        <v>3547109961.3299999</v>
      </c>
    </row>
    <row r="2420" spans="1:3" ht="15.5">
      <c r="A2420" s="29">
        <v>41108</v>
      </c>
      <c r="B2420" s="28">
        <v>1.0589999999999999</v>
      </c>
      <c r="C2420" s="28">
        <v>3547109961.3299999</v>
      </c>
    </row>
    <row r="2421" spans="1:3" ht="15.5">
      <c r="A2421" s="29">
        <v>41107</v>
      </c>
      <c r="B2421" s="28">
        <v>1.0589999999999999</v>
      </c>
      <c r="C2421" s="28">
        <v>3547109961.3299999</v>
      </c>
    </row>
    <row r="2422" spans="1:3" ht="15.5">
      <c r="A2422" s="29">
        <v>41106</v>
      </c>
      <c r="B2422" s="28">
        <v>1.0441</v>
      </c>
      <c r="C2422" s="28">
        <v>3497150666.0999999</v>
      </c>
    </row>
    <row r="2423" spans="1:3" ht="15.5">
      <c r="A2423" s="29">
        <v>41103</v>
      </c>
      <c r="B2423" s="28">
        <v>1.0390999999999999</v>
      </c>
      <c r="C2423" s="28">
        <v>3480497567.6900001</v>
      </c>
    </row>
    <row r="2424" spans="1:3" ht="15.5">
      <c r="A2424" s="29">
        <v>41102</v>
      </c>
      <c r="B2424" s="28">
        <v>1.0242</v>
      </c>
      <c r="C2424" s="28">
        <v>3430538272.46</v>
      </c>
    </row>
    <row r="2425" spans="1:3" ht="15.5">
      <c r="A2425" s="29">
        <v>41101</v>
      </c>
      <c r="B2425" s="28">
        <v>1.0341</v>
      </c>
      <c r="C2425" s="28">
        <v>3463844469.2800002</v>
      </c>
    </row>
    <row r="2426" spans="1:3" ht="15.5">
      <c r="A2426" s="29">
        <v>41100</v>
      </c>
      <c r="B2426" s="28">
        <v>1.0192000000000001</v>
      </c>
      <c r="C2426" s="28">
        <v>3413885174.0500002</v>
      </c>
    </row>
    <row r="2427" spans="1:3" ht="15.5">
      <c r="A2427" s="29">
        <v>41099</v>
      </c>
      <c r="B2427" s="28">
        <v>1.0291999999999999</v>
      </c>
      <c r="C2427" s="28">
        <v>3447191370.8699999</v>
      </c>
    </row>
    <row r="2428" spans="1:3" ht="15.5">
      <c r="A2428" s="29">
        <v>41096</v>
      </c>
      <c r="B2428" s="28">
        <v>1.0291999999999999</v>
      </c>
      <c r="C2428" s="28">
        <v>3447191370.8699999</v>
      </c>
    </row>
    <row r="2429" spans="1:3" ht="15.5">
      <c r="A2429" s="29">
        <v>41095</v>
      </c>
      <c r="B2429" s="28">
        <v>1.0291999999999999</v>
      </c>
      <c r="C2429" s="28">
        <v>3447191370.8699999</v>
      </c>
    </row>
    <row r="2430" spans="1:3" ht="15.5">
      <c r="A2430" s="29">
        <v>41094</v>
      </c>
      <c r="B2430" s="28">
        <v>1.0341</v>
      </c>
      <c r="C2430" s="28">
        <v>3463844469.2800002</v>
      </c>
    </row>
    <row r="2431" spans="1:3" ht="15.5">
      <c r="A2431" s="29">
        <v>41093</v>
      </c>
      <c r="B2431" s="28">
        <v>1.0242</v>
      </c>
      <c r="C2431" s="28">
        <v>3430538272.46</v>
      </c>
    </row>
    <row r="2432" spans="1:3" ht="15.5">
      <c r="A2432" s="29">
        <v>41092</v>
      </c>
      <c r="B2432" s="28">
        <v>1.0341</v>
      </c>
      <c r="C2432" s="28">
        <v>3463844469.2800002</v>
      </c>
    </row>
    <row r="2433" spans="1:3" ht="15.5">
      <c r="A2433" s="29">
        <v>41089</v>
      </c>
      <c r="B2433" s="28">
        <v>1.0142</v>
      </c>
      <c r="C2433" s="28">
        <v>3397232075.6399999</v>
      </c>
    </row>
    <row r="2434" spans="1:3" ht="15.5">
      <c r="A2434" s="29">
        <v>41088</v>
      </c>
      <c r="B2434" s="28">
        <v>0.99929999999999997</v>
      </c>
      <c r="C2434" s="28">
        <v>3347272780.4099998</v>
      </c>
    </row>
    <row r="2435" spans="1:3" ht="15.5">
      <c r="A2435" s="29">
        <v>41087</v>
      </c>
      <c r="B2435" s="28">
        <v>1.0093000000000001</v>
      </c>
      <c r="C2435" s="28">
        <v>3380578977.23</v>
      </c>
    </row>
    <row r="2436" spans="1:3" ht="15.5">
      <c r="A2436" s="29">
        <v>41086</v>
      </c>
      <c r="B2436" s="28">
        <v>1.0142</v>
      </c>
      <c r="C2436" s="28">
        <v>3397232075.6399999</v>
      </c>
    </row>
    <row r="2437" spans="1:3" ht="15.5">
      <c r="A2437" s="29">
        <v>41085</v>
      </c>
      <c r="B2437" s="28">
        <v>1.0142</v>
      </c>
      <c r="C2437" s="28">
        <v>3397232075.6399999</v>
      </c>
    </row>
    <row r="2438" spans="1:3" ht="15.5">
      <c r="A2438" s="29">
        <v>41082</v>
      </c>
      <c r="B2438" s="28">
        <v>1.0142</v>
      </c>
      <c r="C2438" s="28">
        <v>3397232075.6399999</v>
      </c>
    </row>
    <row r="2439" spans="1:3" ht="15.5">
      <c r="A2439" s="29">
        <v>41081</v>
      </c>
      <c r="B2439" s="28">
        <v>1.0142</v>
      </c>
      <c r="C2439" s="28">
        <v>3397232075.6399999</v>
      </c>
    </row>
    <row r="2440" spans="1:3" ht="15.5">
      <c r="A2440" s="29">
        <v>41080</v>
      </c>
      <c r="B2440" s="28">
        <v>1.0242</v>
      </c>
      <c r="C2440" s="28">
        <v>3430538272.46</v>
      </c>
    </row>
    <row r="2441" spans="1:3" ht="15.5">
      <c r="A2441" s="29">
        <v>41079</v>
      </c>
      <c r="B2441" s="28">
        <v>1.0291999999999999</v>
      </c>
      <c r="C2441" s="28">
        <v>3447191370.8699999</v>
      </c>
    </row>
    <row r="2442" spans="1:3" ht="15.5">
      <c r="A2442" s="29">
        <v>41078</v>
      </c>
      <c r="B2442" s="28">
        <v>1.0291999999999999</v>
      </c>
      <c r="C2442" s="28">
        <v>3447191370.8699999</v>
      </c>
    </row>
    <row r="2443" spans="1:3" ht="15.5">
      <c r="A2443" s="29">
        <v>41075</v>
      </c>
      <c r="B2443" s="28">
        <v>1.1286</v>
      </c>
      <c r="C2443" s="28">
        <v>3780253339.0700002</v>
      </c>
    </row>
    <row r="2444" spans="1:3" ht="15.5">
      <c r="A2444" s="29">
        <v>41074</v>
      </c>
      <c r="B2444" s="28">
        <v>1.0341</v>
      </c>
      <c r="C2444" s="28">
        <v>3463844469.2800002</v>
      </c>
    </row>
    <row r="2445" spans="1:3" ht="15.5">
      <c r="A2445" s="29">
        <v>41073</v>
      </c>
      <c r="B2445" s="28">
        <v>1.0341</v>
      </c>
      <c r="C2445" s="28">
        <v>3463844469.2800002</v>
      </c>
    </row>
    <row r="2446" spans="1:3" ht="15.5">
      <c r="A2446" s="29">
        <v>41072</v>
      </c>
      <c r="B2446" s="28">
        <v>1.0341</v>
      </c>
      <c r="C2446" s="28">
        <v>3463844469.2800002</v>
      </c>
    </row>
    <row r="2447" spans="1:3" ht="15.5">
      <c r="A2447" s="29">
        <v>41068</v>
      </c>
      <c r="B2447" s="28">
        <v>1.0093000000000001</v>
      </c>
      <c r="C2447" s="28">
        <v>3380578977.23</v>
      </c>
    </row>
    <row r="2448" spans="1:3" ht="15.5">
      <c r="A2448" s="29">
        <v>41067</v>
      </c>
      <c r="B2448" s="28">
        <v>1.0093000000000001</v>
      </c>
      <c r="C2448" s="28">
        <v>3380578977.23</v>
      </c>
    </row>
    <row r="2449" spans="1:3" ht="15.5">
      <c r="A2449" s="29">
        <v>41066</v>
      </c>
      <c r="B2449" s="28">
        <v>1.0093000000000001</v>
      </c>
      <c r="C2449" s="28">
        <v>3380578977.23</v>
      </c>
    </row>
    <row r="2450" spans="1:3" ht="15.5">
      <c r="A2450" s="29">
        <v>41065</v>
      </c>
      <c r="B2450" s="28">
        <v>1.0093000000000001</v>
      </c>
      <c r="C2450" s="28">
        <v>3380578977.23</v>
      </c>
    </row>
    <row r="2451" spans="1:3" ht="15.5">
      <c r="A2451" s="29">
        <v>41064</v>
      </c>
      <c r="B2451" s="28">
        <v>1.0093000000000001</v>
      </c>
      <c r="C2451" s="28">
        <v>3380578977.23</v>
      </c>
    </row>
    <row r="2452" spans="1:3" ht="15.5">
      <c r="A2452" s="29">
        <v>41061</v>
      </c>
      <c r="B2452" s="28">
        <v>1.0043</v>
      </c>
      <c r="C2452" s="28">
        <v>3363925878.8200002</v>
      </c>
    </row>
    <row r="2453" spans="1:3" ht="15.5">
      <c r="A2453" s="29">
        <v>41060</v>
      </c>
      <c r="B2453" s="28">
        <v>1.0043</v>
      </c>
      <c r="C2453" s="28">
        <v>3363925878.8200002</v>
      </c>
    </row>
    <row r="2454" spans="1:3" ht="15.5">
      <c r="A2454" s="29">
        <v>41059</v>
      </c>
      <c r="B2454" s="28">
        <v>0.98939999999999995</v>
      </c>
      <c r="C2454" s="28">
        <v>3313966583.5900002</v>
      </c>
    </row>
    <row r="2455" spans="1:3" ht="15.5">
      <c r="A2455" s="29">
        <v>41058</v>
      </c>
      <c r="B2455" s="28">
        <v>0.99439999999999995</v>
      </c>
      <c r="C2455" s="28">
        <v>3330619682</v>
      </c>
    </row>
    <row r="2456" spans="1:3" ht="15.5">
      <c r="A2456" s="29">
        <v>41057</v>
      </c>
      <c r="B2456" s="28">
        <v>0.99929999999999997</v>
      </c>
      <c r="C2456" s="28">
        <v>3347272780.4099998</v>
      </c>
    </row>
    <row r="2457" spans="1:3" ht="15.5">
      <c r="A2457" s="29">
        <v>41054</v>
      </c>
      <c r="B2457" s="28">
        <v>0.98939999999999995</v>
      </c>
      <c r="C2457" s="28">
        <v>3313966583.5900002</v>
      </c>
    </row>
    <row r="2458" spans="1:3" ht="15.5">
      <c r="A2458" s="29">
        <v>41053</v>
      </c>
      <c r="B2458" s="28">
        <v>0.97940000000000005</v>
      </c>
      <c r="C2458" s="28">
        <v>3280660386.77</v>
      </c>
    </row>
    <row r="2459" spans="1:3" ht="15.5">
      <c r="A2459" s="29">
        <v>41052</v>
      </c>
      <c r="B2459" s="28">
        <v>1.0341</v>
      </c>
      <c r="C2459" s="28">
        <v>3463844469.2800002</v>
      </c>
    </row>
    <row r="2460" spans="1:3" ht="15.5">
      <c r="A2460" s="29">
        <v>41051</v>
      </c>
      <c r="B2460" s="28">
        <v>1.0489999999999999</v>
      </c>
      <c r="C2460" s="28">
        <v>3513803764.5100002</v>
      </c>
    </row>
    <row r="2461" spans="1:3" ht="15.5">
      <c r="A2461" s="29">
        <v>41050</v>
      </c>
      <c r="B2461" s="28">
        <v>1.0689</v>
      </c>
      <c r="C2461" s="28">
        <v>3580416158.1500001</v>
      </c>
    </row>
    <row r="2462" spans="1:3" ht="15.5">
      <c r="A2462" s="29">
        <v>41047</v>
      </c>
      <c r="B2462" s="28">
        <v>1.054</v>
      </c>
      <c r="C2462" s="28">
        <v>3530456862.9200001</v>
      </c>
    </row>
    <row r="2463" spans="1:3" ht="15.5">
      <c r="A2463" s="29">
        <v>41044</v>
      </c>
      <c r="B2463" s="28">
        <v>1.0936999999999999</v>
      </c>
      <c r="C2463" s="28">
        <v>3229284945.4299998</v>
      </c>
    </row>
    <row r="2464" spans="1:3" ht="15.5">
      <c r="A2464" s="29">
        <v>41043</v>
      </c>
      <c r="B2464" s="28">
        <v>1.1034999999999999</v>
      </c>
      <c r="C2464" s="28">
        <v>3258247142.25</v>
      </c>
    </row>
    <row r="2465" spans="1:3" ht="15.5">
      <c r="A2465" s="29">
        <v>41040</v>
      </c>
      <c r="B2465" s="28">
        <v>1.0888</v>
      </c>
      <c r="C2465" s="28">
        <v>3214803847.02</v>
      </c>
    </row>
    <row r="2466" spans="1:3" ht="15.5">
      <c r="A2466" s="29">
        <v>41039</v>
      </c>
      <c r="B2466" s="28">
        <v>1.0839000000000001</v>
      </c>
      <c r="C2466" s="28">
        <v>3200322748.6100001</v>
      </c>
    </row>
    <row r="2467" spans="1:3" ht="15.5">
      <c r="A2467" s="29">
        <v>41038</v>
      </c>
      <c r="B2467" s="28">
        <v>1.0839000000000001</v>
      </c>
      <c r="C2467" s="28">
        <v>3200322748.6100001</v>
      </c>
    </row>
    <row r="2468" spans="1:3" ht="15.5">
      <c r="A2468" s="29">
        <v>41037</v>
      </c>
      <c r="B2468" s="28">
        <v>1.0839000000000001</v>
      </c>
      <c r="C2468" s="28">
        <v>3200322748.6100001</v>
      </c>
    </row>
    <row r="2469" spans="1:3" ht="15.5">
      <c r="A2469" s="29">
        <v>41036</v>
      </c>
      <c r="B2469" s="28">
        <v>1.079</v>
      </c>
      <c r="C2469" s="28">
        <v>3185841650.1999998</v>
      </c>
    </row>
    <row r="2470" spans="1:3" ht="15.5">
      <c r="A2470" s="29">
        <v>41033</v>
      </c>
      <c r="B2470" s="28">
        <v>1.079</v>
      </c>
      <c r="C2470" s="28">
        <v>3185841650.1999998</v>
      </c>
    </row>
    <row r="2471" spans="1:3" ht="15.5">
      <c r="A2471" s="29">
        <v>41032</v>
      </c>
      <c r="B2471" s="28">
        <v>1.0888</v>
      </c>
      <c r="C2471" s="28">
        <v>3214803847.02</v>
      </c>
    </row>
    <row r="2472" spans="1:3" ht="15.5">
      <c r="A2472" s="29">
        <v>41031</v>
      </c>
      <c r="B2472" s="28">
        <v>1.0888</v>
      </c>
      <c r="C2472" s="28">
        <v>3214803847.02</v>
      </c>
    </row>
    <row r="2473" spans="1:3" ht="15.5">
      <c r="A2473" s="29">
        <v>41030</v>
      </c>
      <c r="B2473" s="28">
        <v>1.0986</v>
      </c>
      <c r="C2473" s="28">
        <v>3243766043.8400002</v>
      </c>
    </row>
    <row r="2474" spans="1:3" ht="15.5">
      <c r="A2474" s="29">
        <v>41029</v>
      </c>
      <c r="B2474" s="28">
        <v>1.0839000000000001</v>
      </c>
      <c r="C2474" s="28">
        <v>3200322748.6100001</v>
      </c>
    </row>
    <row r="2475" spans="1:3" ht="15.5">
      <c r="A2475" s="29">
        <v>41026</v>
      </c>
      <c r="B2475" s="28">
        <v>1.0741000000000001</v>
      </c>
      <c r="C2475" s="28">
        <v>3171360551.79</v>
      </c>
    </row>
    <row r="2476" spans="1:3" ht="15.5">
      <c r="A2476" s="29">
        <v>41025</v>
      </c>
      <c r="B2476" s="28">
        <v>1.079</v>
      </c>
      <c r="C2476" s="28">
        <v>3185841650.1999998</v>
      </c>
    </row>
    <row r="2477" spans="1:3" ht="15.5">
      <c r="A2477" s="29">
        <v>41023</v>
      </c>
      <c r="B2477" s="28">
        <v>1.0643</v>
      </c>
      <c r="C2477" s="28">
        <v>3142398354.9699998</v>
      </c>
    </row>
    <row r="2478" spans="1:3" ht="15.5">
      <c r="A2478" s="29">
        <v>41022</v>
      </c>
      <c r="B2478" s="28">
        <v>1.0348999999999999</v>
      </c>
      <c r="C2478" s="28">
        <v>3055511764.5100002</v>
      </c>
    </row>
    <row r="2479" spans="1:3" ht="15.5">
      <c r="A2479" s="29">
        <v>41019</v>
      </c>
      <c r="B2479" s="28">
        <v>1.03</v>
      </c>
      <c r="C2479" s="28">
        <v>3041030666.0999999</v>
      </c>
    </row>
    <row r="2480" spans="1:3" ht="15.5">
      <c r="A2480" s="29">
        <v>41018</v>
      </c>
      <c r="B2480" s="28">
        <v>1.0447</v>
      </c>
      <c r="C2480" s="28">
        <v>3084473961.3299999</v>
      </c>
    </row>
    <row r="2481" spans="1:3" ht="15.5">
      <c r="A2481" s="29">
        <v>41017</v>
      </c>
      <c r="B2481" s="28">
        <v>1.0447</v>
      </c>
      <c r="C2481" s="28">
        <v>3084473961.3299999</v>
      </c>
    </row>
    <row r="2482" spans="1:3" ht="15.5">
      <c r="A2482" s="29">
        <v>41016</v>
      </c>
      <c r="B2482" s="28">
        <v>1.0398000000000001</v>
      </c>
      <c r="C2482" s="28">
        <v>3069992862.9200001</v>
      </c>
    </row>
    <row r="2483" spans="1:3" ht="15.5">
      <c r="A2483" s="29">
        <v>41015</v>
      </c>
      <c r="B2483" s="28">
        <v>1.0496000000000001</v>
      </c>
      <c r="C2483" s="28">
        <v>3098955059.7399998</v>
      </c>
    </row>
    <row r="2484" spans="1:3" ht="15.5">
      <c r="A2484" s="29">
        <v>41012</v>
      </c>
      <c r="B2484" s="28">
        <v>1.0447</v>
      </c>
      <c r="C2484" s="28">
        <v>3084473961.3299999</v>
      </c>
    </row>
    <row r="2485" spans="1:3" ht="15.5">
      <c r="A2485" s="29">
        <v>41011</v>
      </c>
      <c r="B2485" s="28">
        <v>1.0398000000000001</v>
      </c>
      <c r="C2485" s="28">
        <v>3069992862.9200001</v>
      </c>
    </row>
    <row r="2486" spans="1:3" ht="15.5">
      <c r="A2486" s="29">
        <v>41010</v>
      </c>
      <c r="B2486" s="28">
        <v>1.03</v>
      </c>
      <c r="C2486" s="28">
        <v>3041030666.0999999</v>
      </c>
    </row>
    <row r="2487" spans="1:3" ht="15.5">
      <c r="A2487" s="29">
        <v>41009</v>
      </c>
      <c r="B2487" s="28">
        <v>1.0398000000000001</v>
      </c>
      <c r="C2487" s="28">
        <v>3069992862.9200001</v>
      </c>
    </row>
    <row r="2488" spans="1:3" ht="15.5">
      <c r="A2488" s="29">
        <v>41004</v>
      </c>
      <c r="B2488" s="28">
        <v>1.0496000000000001</v>
      </c>
      <c r="C2488" s="28">
        <v>3098955059.7399998</v>
      </c>
    </row>
    <row r="2489" spans="1:3" ht="15.5">
      <c r="A2489" s="29">
        <v>41003</v>
      </c>
      <c r="B2489" s="28">
        <v>1.0447</v>
      </c>
      <c r="C2489" s="28">
        <v>3084473961.3299999</v>
      </c>
    </row>
    <row r="2490" spans="1:3" ht="15.5">
      <c r="A2490" s="29">
        <v>41002</v>
      </c>
      <c r="B2490" s="28">
        <v>1.0496000000000001</v>
      </c>
      <c r="C2490" s="28">
        <v>3098955059.7399998</v>
      </c>
    </row>
    <row r="2491" spans="1:3" ht="15.5">
      <c r="A2491" s="29">
        <v>41001</v>
      </c>
      <c r="B2491" s="28">
        <v>1.0496000000000001</v>
      </c>
      <c r="C2491" s="28">
        <v>3098955059.7399998</v>
      </c>
    </row>
    <row r="2492" spans="1:3" ht="15.5">
      <c r="A2492" s="29">
        <v>40998</v>
      </c>
      <c r="B2492" s="28">
        <v>1.0545</v>
      </c>
      <c r="C2492" s="28">
        <v>3064752119.3000002</v>
      </c>
    </row>
    <row r="2493" spans="1:3" ht="15.5">
      <c r="A2493" s="29">
        <v>40997</v>
      </c>
      <c r="B2493" s="28">
        <v>1.0691999999999999</v>
      </c>
      <c r="C2493" s="28">
        <v>3107516102.3600001</v>
      </c>
    </row>
    <row r="2494" spans="1:3" ht="15.5">
      <c r="A2494" s="29">
        <v>40996</v>
      </c>
      <c r="B2494" s="28">
        <v>1.0545</v>
      </c>
      <c r="C2494" s="28">
        <v>3064752119.3000002</v>
      </c>
    </row>
    <row r="2495" spans="1:3" ht="15.5">
      <c r="A2495" s="29">
        <v>40995</v>
      </c>
      <c r="B2495" s="28">
        <v>1.0496000000000001</v>
      </c>
      <c r="C2495" s="28">
        <v>3050497458.2800002</v>
      </c>
    </row>
    <row r="2496" spans="1:3" ht="15.5">
      <c r="A2496" s="29">
        <v>40994</v>
      </c>
      <c r="B2496" s="28">
        <v>1.0398000000000001</v>
      </c>
      <c r="C2496" s="28">
        <v>3021988136.2399998</v>
      </c>
    </row>
    <row r="2497" spans="1:3" ht="15.5">
      <c r="A2497" s="29">
        <v>40991</v>
      </c>
      <c r="B2497" s="28">
        <v>1.0398000000000001</v>
      </c>
      <c r="C2497" s="28">
        <v>3021988136.2399998</v>
      </c>
    </row>
    <row r="2498" spans="1:3" ht="15.5">
      <c r="A2498" s="29">
        <v>40990</v>
      </c>
      <c r="B2498" s="28">
        <v>1.0202</v>
      </c>
      <c r="C2498" s="28">
        <v>2964969492.1599998</v>
      </c>
    </row>
    <row r="2499" spans="1:3" ht="15.5">
      <c r="A2499" s="29">
        <v>40989</v>
      </c>
      <c r="B2499" s="28">
        <v>1.0202</v>
      </c>
      <c r="C2499" s="28">
        <v>2964969492.1599998</v>
      </c>
    </row>
    <row r="2500" spans="1:3" ht="15.5">
      <c r="A2500" s="29">
        <v>40988</v>
      </c>
      <c r="B2500" s="28">
        <v>1.0250999999999999</v>
      </c>
      <c r="C2500" s="28">
        <v>2979224153.1799998</v>
      </c>
    </row>
    <row r="2501" spans="1:3" ht="15.5">
      <c r="A2501" s="29">
        <v>40987</v>
      </c>
      <c r="B2501" s="28">
        <v>1.0202</v>
      </c>
      <c r="C2501" s="28">
        <v>2964969492.1599998</v>
      </c>
    </row>
    <row r="2502" spans="1:3" ht="15.5">
      <c r="A2502" s="29">
        <v>40984</v>
      </c>
      <c r="B2502" s="28">
        <v>1.0104</v>
      </c>
      <c r="C2502" s="28">
        <v>2936460170.1199999</v>
      </c>
    </row>
    <row r="2503" spans="1:3" ht="15.5">
      <c r="A2503" s="29">
        <v>40983</v>
      </c>
      <c r="B2503" s="28">
        <v>1.0004999999999999</v>
      </c>
      <c r="C2503" s="28">
        <v>2907950848.0799999</v>
      </c>
    </row>
    <row r="2504" spans="1:3" ht="15.5">
      <c r="A2504" s="29">
        <v>40982</v>
      </c>
      <c r="B2504" s="28">
        <v>0.98089999999999999</v>
      </c>
      <c r="C2504" s="28">
        <v>2850932204</v>
      </c>
    </row>
    <row r="2505" spans="1:3" ht="15.5">
      <c r="A2505" s="29">
        <v>40981</v>
      </c>
      <c r="B2505" s="28">
        <v>0.97599999999999998</v>
      </c>
      <c r="C2505" s="28">
        <v>2836677542.98</v>
      </c>
    </row>
    <row r="2506" spans="1:3" ht="15.5">
      <c r="A2506" s="29">
        <v>40980</v>
      </c>
      <c r="B2506" s="28">
        <v>0.96130000000000004</v>
      </c>
      <c r="C2506" s="28">
        <v>2793913559.9200001</v>
      </c>
    </row>
    <row r="2507" spans="1:3" ht="15.5">
      <c r="A2507" s="29">
        <v>40977</v>
      </c>
      <c r="B2507" s="28">
        <v>0.96130000000000004</v>
      </c>
      <c r="C2507" s="28">
        <v>2793913559.9200001</v>
      </c>
    </row>
    <row r="2508" spans="1:3" ht="15.5">
      <c r="A2508" s="29">
        <v>40976</v>
      </c>
      <c r="B2508" s="28">
        <v>0.96619999999999995</v>
      </c>
      <c r="C2508" s="28">
        <v>2808168220.9400001</v>
      </c>
    </row>
    <row r="2509" spans="1:3" ht="15.5">
      <c r="A2509" s="29">
        <v>40975</v>
      </c>
      <c r="B2509" s="28">
        <v>0.98089999999999999</v>
      </c>
      <c r="C2509" s="28">
        <v>2850932204</v>
      </c>
    </row>
    <row r="2510" spans="1:3" ht="15.5">
      <c r="A2510" s="29">
        <v>40974</v>
      </c>
      <c r="B2510" s="28">
        <v>0.96130000000000004</v>
      </c>
      <c r="C2510" s="28">
        <v>2793913559.9200001</v>
      </c>
    </row>
    <row r="2511" spans="1:3" ht="15.5">
      <c r="A2511" s="29">
        <v>40973</v>
      </c>
      <c r="B2511" s="28">
        <v>0.96130000000000004</v>
      </c>
      <c r="C2511" s="28">
        <v>2793913559.9200001</v>
      </c>
    </row>
    <row r="2512" spans="1:3" ht="15.5">
      <c r="A2512" s="29">
        <v>40970</v>
      </c>
      <c r="B2512" s="28">
        <v>0.96619999999999995</v>
      </c>
      <c r="C2512" s="28">
        <v>2808168220.9400001</v>
      </c>
    </row>
    <row r="2513" spans="1:3" ht="15.5">
      <c r="A2513" s="29">
        <v>40969</v>
      </c>
      <c r="B2513" s="28">
        <v>0.96130000000000004</v>
      </c>
      <c r="C2513" s="28">
        <v>2793913559.9200001</v>
      </c>
    </row>
    <row r="2514" spans="1:3" ht="15.5">
      <c r="A2514" s="29">
        <v>40968</v>
      </c>
      <c r="B2514" s="28">
        <v>0.97599999999999998</v>
      </c>
      <c r="C2514" s="28">
        <v>2836677542.98</v>
      </c>
    </row>
    <row r="2515" spans="1:3" ht="15.5">
      <c r="A2515" s="29">
        <v>40967</v>
      </c>
      <c r="B2515" s="28">
        <v>0.96130000000000004</v>
      </c>
      <c r="C2515" s="28">
        <v>2793913559.9200001</v>
      </c>
    </row>
    <row r="2516" spans="1:3" ht="15.5">
      <c r="A2516" s="29">
        <v>40966</v>
      </c>
      <c r="B2516" s="28">
        <v>0.96619999999999995</v>
      </c>
      <c r="C2516" s="28">
        <v>2808168220.9400001</v>
      </c>
    </row>
    <row r="2517" spans="1:3" ht="15.5">
      <c r="A2517" s="29">
        <v>40963</v>
      </c>
      <c r="B2517" s="28">
        <v>0.98089999999999999</v>
      </c>
      <c r="C2517" s="28">
        <v>2850932204</v>
      </c>
    </row>
    <row r="2518" spans="1:3" ht="15.5">
      <c r="A2518" s="29">
        <v>40962</v>
      </c>
      <c r="B2518" s="28">
        <v>0.98089999999999999</v>
      </c>
      <c r="C2518" s="28">
        <v>2850932204</v>
      </c>
    </row>
    <row r="2519" spans="1:3" ht="15.5">
      <c r="A2519" s="29">
        <v>40961</v>
      </c>
      <c r="B2519" s="28">
        <v>0.96619999999999995</v>
      </c>
      <c r="C2519" s="28">
        <v>2808168220.9400001</v>
      </c>
    </row>
    <row r="2520" spans="1:3" ht="15.5">
      <c r="A2520" s="29">
        <v>40960</v>
      </c>
      <c r="B2520" s="28">
        <v>0.98089999999999999</v>
      </c>
      <c r="C2520" s="28">
        <v>2850932204</v>
      </c>
    </row>
    <row r="2521" spans="1:3" ht="15.5">
      <c r="A2521" s="29">
        <v>40959</v>
      </c>
      <c r="B2521" s="28">
        <v>0.98089999999999999</v>
      </c>
      <c r="C2521" s="28">
        <v>2850932204</v>
      </c>
    </row>
    <row r="2522" spans="1:3" ht="15.5">
      <c r="A2522" s="29">
        <v>40956</v>
      </c>
      <c r="B2522" s="28">
        <v>0.97599999999999998</v>
      </c>
      <c r="C2522" s="28">
        <v>2836677542.98</v>
      </c>
    </row>
    <row r="2523" spans="1:3" ht="15.5">
      <c r="A2523" s="29">
        <v>40955</v>
      </c>
      <c r="B2523" s="28">
        <v>0.95150000000000001</v>
      </c>
      <c r="C2523" s="28">
        <v>2765404237.8800001</v>
      </c>
    </row>
    <row r="2524" spans="1:3" ht="15.5">
      <c r="A2524" s="29">
        <v>40954</v>
      </c>
      <c r="B2524" s="28">
        <v>0.96619999999999995</v>
      </c>
      <c r="C2524" s="28">
        <v>2808168220.9400001</v>
      </c>
    </row>
    <row r="2525" spans="1:3" ht="15.5">
      <c r="A2525" s="29">
        <v>40953</v>
      </c>
      <c r="B2525" s="28">
        <v>0.97109999999999996</v>
      </c>
      <c r="C2525" s="28">
        <v>2822422881.96</v>
      </c>
    </row>
    <row r="2526" spans="1:3" ht="15.5">
      <c r="A2526" s="29">
        <v>40952</v>
      </c>
      <c r="B2526" s="28">
        <v>0.97109999999999996</v>
      </c>
      <c r="C2526" s="28">
        <v>2822422881.96</v>
      </c>
    </row>
    <row r="2527" spans="1:3" ht="15.5">
      <c r="A2527" s="29">
        <v>40949</v>
      </c>
      <c r="B2527" s="28">
        <v>0.96619999999999995</v>
      </c>
      <c r="C2527" s="28">
        <v>2808168220.9400001</v>
      </c>
    </row>
    <row r="2528" spans="1:3" ht="15.5">
      <c r="A2528" s="29">
        <v>40948</v>
      </c>
      <c r="B2528" s="28">
        <v>0.96619999999999995</v>
      </c>
      <c r="C2528" s="28">
        <v>2808168220.9400001</v>
      </c>
    </row>
    <row r="2529" spans="1:3" ht="15.5">
      <c r="A2529" s="29">
        <v>40947</v>
      </c>
      <c r="B2529" s="28">
        <v>0.96130000000000004</v>
      </c>
      <c r="C2529" s="28">
        <v>2793913559.9200001</v>
      </c>
    </row>
    <row r="2530" spans="1:3" ht="15.5">
      <c r="A2530" s="29">
        <v>40946</v>
      </c>
      <c r="B2530" s="28">
        <v>0.95640000000000003</v>
      </c>
      <c r="C2530" s="28">
        <v>2779658898.9000001</v>
      </c>
    </row>
    <row r="2531" spans="1:3" ht="15.5">
      <c r="A2531" s="29">
        <v>40945</v>
      </c>
      <c r="B2531" s="28">
        <v>0.96619999999999995</v>
      </c>
      <c r="C2531" s="28">
        <v>2808168220.9400001</v>
      </c>
    </row>
    <row r="2532" spans="1:3" ht="15.5">
      <c r="A2532" s="29">
        <v>40942</v>
      </c>
      <c r="B2532" s="28">
        <v>0.96130000000000004</v>
      </c>
      <c r="C2532" s="28">
        <v>2793913559.9200001</v>
      </c>
    </row>
    <row r="2533" spans="1:3" ht="15.5">
      <c r="A2533" s="29">
        <v>40941</v>
      </c>
      <c r="B2533" s="28">
        <v>0.95640000000000003</v>
      </c>
      <c r="C2533" s="28">
        <v>2779658898.9000001</v>
      </c>
    </row>
    <row r="2534" spans="1:3" ht="15.5">
      <c r="A2534" s="29">
        <v>40940</v>
      </c>
      <c r="B2534" s="28">
        <v>0.95640000000000003</v>
      </c>
      <c r="C2534" s="28">
        <v>2779658898.9000001</v>
      </c>
    </row>
    <row r="2535" spans="1:3" ht="15.5">
      <c r="A2535" s="29">
        <v>40939</v>
      </c>
      <c r="B2535" s="28">
        <v>0.9466</v>
      </c>
      <c r="C2535" s="28">
        <v>2751149576.8600001</v>
      </c>
    </row>
    <row r="2536" spans="1:3" ht="15.5">
      <c r="A2536" s="29">
        <v>40938</v>
      </c>
      <c r="B2536" s="28">
        <v>0.95150000000000001</v>
      </c>
      <c r="C2536" s="28">
        <v>2765404237.8800001</v>
      </c>
    </row>
    <row r="2537" spans="1:3" ht="15.5">
      <c r="A2537" s="29">
        <v>40935</v>
      </c>
      <c r="B2537" s="28">
        <v>0.9466</v>
      </c>
      <c r="C2537" s="28">
        <v>2751149576.8600001</v>
      </c>
    </row>
    <row r="2538" spans="1:3" ht="15.5">
      <c r="A2538" s="29">
        <v>40933</v>
      </c>
      <c r="B2538" s="28">
        <v>0.9466</v>
      </c>
      <c r="C2538" s="28">
        <v>2751149576.8600001</v>
      </c>
    </row>
    <row r="2539" spans="1:3" ht="15.5">
      <c r="A2539" s="29">
        <v>40932</v>
      </c>
      <c r="B2539" s="28">
        <v>0.93679999999999997</v>
      </c>
      <c r="C2539" s="28">
        <v>2722640254.8200002</v>
      </c>
    </row>
    <row r="2540" spans="1:3" ht="15.5">
      <c r="A2540" s="29">
        <v>40931</v>
      </c>
      <c r="B2540" s="28">
        <v>0.93679999999999997</v>
      </c>
      <c r="C2540" s="28">
        <v>2722640254.8200002</v>
      </c>
    </row>
    <row r="2541" spans="1:3" ht="15.5">
      <c r="A2541" s="29">
        <v>40928</v>
      </c>
      <c r="B2541" s="28">
        <v>0.94169999999999998</v>
      </c>
      <c r="C2541" s="28">
        <v>2736894915.8400002</v>
      </c>
    </row>
    <row r="2542" spans="1:3" ht="15.5">
      <c r="A2542" s="29">
        <v>40927</v>
      </c>
      <c r="B2542" s="28">
        <v>0.9466</v>
      </c>
      <c r="C2542" s="28">
        <v>2751149576.8600001</v>
      </c>
    </row>
    <row r="2543" spans="1:3" ht="15.5">
      <c r="A2543" s="29">
        <v>40926</v>
      </c>
      <c r="B2543" s="28">
        <v>0.93189999999999995</v>
      </c>
      <c r="C2543" s="28">
        <v>2708385593.8000002</v>
      </c>
    </row>
    <row r="2544" spans="1:3" ht="15.5">
      <c r="A2544" s="29">
        <v>40925</v>
      </c>
      <c r="B2544" s="28">
        <v>0.92700000000000005</v>
      </c>
      <c r="C2544" s="28">
        <v>2694130932.7800002</v>
      </c>
    </row>
    <row r="2545" spans="1:3" ht="15.5">
      <c r="A2545" s="29">
        <v>40924</v>
      </c>
      <c r="B2545" s="28">
        <v>0.92700000000000005</v>
      </c>
      <c r="C2545" s="28">
        <v>2694130932.7800002</v>
      </c>
    </row>
    <row r="2546" spans="1:3" ht="15.5">
      <c r="A2546" s="29">
        <v>40921</v>
      </c>
      <c r="B2546" s="28">
        <v>0.94169999999999998</v>
      </c>
      <c r="C2546" s="28">
        <v>2736894915.8400002</v>
      </c>
    </row>
    <row r="2547" spans="1:3" ht="15.5">
      <c r="A2547" s="29">
        <v>40920</v>
      </c>
      <c r="B2547" s="28">
        <v>0.94169999999999998</v>
      </c>
      <c r="C2547" s="28">
        <v>2736894915.8400002</v>
      </c>
    </row>
    <row r="2548" spans="1:3" ht="15.5">
      <c r="A2548" s="29">
        <v>40919</v>
      </c>
      <c r="B2548" s="28">
        <v>0.94169999999999998</v>
      </c>
      <c r="C2548" s="28">
        <v>2736894915.8400002</v>
      </c>
    </row>
    <row r="2549" spans="1:3" ht="15.5">
      <c r="A2549" s="29">
        <v>40918</v>
      </c>
      <c r="B2549" s="28">
        <v>0.9466</v>
      </c>
      <c r="C2549" s="28">
        <v>2751149576.8600001</v>
      </c>
    </row>
    <row r="2550" spans="1:3" ht="15.5">
      <c r="A2550" s="29">
        <v>40917</v>
      </c>
      <c r="B2550" s="28">
        <v>0.9466</v>
      </c>
      <c r="C2550" s="28">
        <v>2751149576.8600001</v>
      </c>
    </row>
    <row r="2551" spans="1:3" ht="15.5">
      <c r="A2551" s="29">
        <v>40914</v>
      </c>
      <c r="B2551" s="28">
        <v>0.93679999999999997</v>
      </c>
      <c r="C2551" s="28">
        <v>2722640254.8200002</v>
      </c>
    </row>
    <row r="2552" spans="1:3" ht="15.5">
      <c r="A2552" s="29">
        <v>40913</v>
      </c>
      <c r="B2552" s="28">
        <v>0.94169999999999998</v>
      </c>
      <c r="C2552" s="28">
        <v>2736894915.8400002</v>
      </c>
    </row>
    <row r="2553" spans="1:3" ht="15.5">
      <c r="A2553" s="29">
        <v>40912</v>
      </c>
      <c r="B2553" s="28">
        <v>0.95150000000000001</v>
      </c>
      <c r="C2553" s="28">
        <v>2765404237.8800001</v>
      </c>
    </row>
    <row r="2554" spans="1:3" ht="15.5">
      <c r="A2554" s="29">
        <v>40911</v>
      </c>
      <c r="B2554" s="28">
        <v>0.93679999999999997</v>
      </c>
      <c r="C2554" s="28">
        <v>2722640254.8200002</v>
      </c>
    </row>
    <row r="2555" spans="1:3" ht="15.5">
      <c r="A2555" s="29">
        <v>40907</v>
      </c>
      <c r="B2555" s="28">
        <v>0.92210000000000003</v>
      </c>
      <c r="C2555" s="28">
        <v>2679876271.7600002</v>
      </c>
    </row>
    <row r="2556" spans="1:3" ht="15.5">
      <c r="A2556" s="29">
        <v>40906</v>
      </c>
      <c r="B2556" s="28">
        <v>0.91720000000000002</v>
      </c>
      <c r="C2556" s="28">
        <v>2665621610.7399998</v>
      </c>
    </row>
    <row r="2557" spans="1:3" ht="15.5">
      <c r="A2557" s="29">
        <v>40905</v>
      </c>
      <c r="B2557" s="28">
        <v>0.90249999999999997</v>
      </c>
      <c r="C2557" s="28">
        <v>2622857627.6799998</v>
      </c>
    </row>
    <row r="2558" spans="1:3" ht="15.5">
      <c r="A2558" s="29">
        <v>40900</v>
      </c>
      <c r="B2558" s="28">
        <v>0.93189999999999995</v>
      </c>
      <c r="C2558" s="28">
        <v>2708385593.8000002</v>
      </c>
    </row>
    <row r="2559" spans="1:3" ht="15.5">
      <c r="A2559" s="29">
        <v>40899</v>
      </c>
      <c r="B2559" s="28">
        <v>0.9123</v>
      </c>
      <c r="C2559" s="28">
        <v>2651366949.7199998</v>
      </c>
    </row>
    <row r="2560" spans="1:3" ht="15.5">
      <c r="A2560" s="29">
        <v>40898</v>
      </c>
      <c r="B2560" s="28">
        <v>0.9123</v>
      </c>
      <c r="C2560" s="28">
        <v>2651366949.7199998</v>
      </c>
    </row>
    <row r="2561" spans="1:3" ht="15.5">
      <c r="A2561" s="29">
        <v>40897</v>
      </c>
      <c r="B2561" s="28">
        <v>0.89749999999999996</v>
      </c>
      <c r="C2561" s="28">
        <v>2608602966.6599998</v>
      </c>
    </row>
    <row r="2562" spans="1:3" ht="15.5">
      <c r="A2562" s="29">
        <v>40896</v>
      </c>
      <c r="B2562" s="28">
        <v>0.89749999999999996</v>
      </c>
      <c r="C2562" s="28">
        <v>2608602966.6599998</v>
      </c>
    </row>
    <row r="2563" spans="1:3" ht="15.5">
      <c r="A2563" s="29">
        <v>40893</v>
      </c>
      <c r="B2563" s="28">
        <v>0.9123</v>
      </c>
      <c r="C2563" s="28">
        <v>2651366949.7199998</v>
      </c>
    </row>
    <row r="2564" spans="1:3" ht="15.5">
      <c r="A2564" s="29">
        <v>40892</v>
      </c>
      <c r="B2564" s="28">
        <v>0.90249999999999997</v>
      </c>
      <c r="C2564" s="28">
        <v>2622857627.6799998</v>
      </c>
    </row>
    <row r="2565" spans="1:3" ht="15.5">
      <c r="A2565" s="29">
        <v>40891</v>
      </c>
      <c r="B2565" s="28">
        <v>0.9123</v>
      </c>
      <c r="C2565" s="28">
        <v>2651366949.7199998</v>
      </c>
    </row>
    <row r="2566" spans="1:3" ht="15.5">
      <c r="A2566" s="29">
        <v>40890</v>
      </c>
      <c r="B2566" s="28">
        <v>0.91720000000000002</v>
      </c>
      <c r="C2566" s="28">
        <v>2665621610.7399998</v>
      </c>
    </row>
    <row r="2567" spans="1:3" ht="15.5">
      <c r="A2567" s="29">
        <v>40889</v>
      </c>
      <c r="B2567" s="28">
        <v>0.91720000000000002</v>
      </c>
      <c r="C2567" s="28">
        <v>2665621610.7399998</v>
      </c>
    </row>
    <row r="2568" spans="1:3" ht="15.5">
      <c r="A2568" s="29">
        <v>40886</v>
      </c>
      <c r="B2568" s="28">
        <v>0.91720000000000002</v>
      </c>
      <c r="C2568" s="28">
        <v>2665621610.7399998</v>
      </c>
    </row>
    <row r="2569" spans="1:3" ht="15.5">
      <c r="A2569" s="29">
        <v>40885</v>
      </c>
      <c r="B2569" s="28">
        <v>0.92210000000000003</v>
      </c>
      <c r="C2569" s="28">
        <v>2679876271.7600002</v>
      </c>
    </row>
    <row r="2570" spans="1:3" ht="15.5">
      <c r="A2570" s="29">
        <v>40884</v>
      </c>
      <c r="B2570" s="28">
        <v>0.92700000000000005</v>
      </c>
      <c r="C2570" s="28">
        <v>2694130932.7800002</v>
      </c>
    </row>
    <row r="2571" spans="1:3" ht="15.5">
      <c r="A2571" s="29">
        <v>40883</v>
      </c>
      <c r="B2571" s="28">
        <v>0.93679999999999997</v>
      </c>
      <c r="C2571" s="28">
        <v>2722640254.8200002</v>
      </c>
    </row>
    <row r="2572" spans="1:3" ht="15.5">
      <c r="A2572" s="29">
        <v>40882</v>
      </c>
      <c r="B2572" s="28">
        <v>0.95640000000000003</v>
      </c>
      <c r="C2572" s="28">
        <v>2779658898.9000001</v>
      </c>
    </row>
    <row r="2573" spans="1:3" ht="15.5">
      <c r="A2573" s="29">
        <v>40879</v>
      </c>
      <c r="B2573" s="28">
        <v>0.95150000000000001</v>
      </c>
      <c r="C2573" s="28">
        <v>2765404237.8800001</v>
      </c>
    </row>
    <row r="2574" spans="1:3" ht="15.5">
      <c r="A2574" s="29">
        <v>40878</v>
      </c>
      <c r="B2574" s="28">
        <v>0.94169999999999998</v>
      </c>
      <c r="C2574" s="28">
        <v>2736894915.8400002</v>
      </c>
    </row>
    <row r="2575" spans="1:3" ht="15.5">
      <c r="A2575" s="29">
        <v>40877</v>
      </c>
      <c r="B2575" s="28">
        <v>0.92700000000000005</v>
      </c>
      <c r="C2575" s="28">
        <v>2694130932.7800002</v>
      </c>
    </row>
    <row r="2576" spans="1:3" ht="15.5">
      <c r="A2576" s="29">
        <v>40876</v>
      </c>
      <c r="B2576" s="28">
        <v>0.92210000000000003</v>
      </c>
      <c r="C2576" s="28">
        <v>2679876271.7600002</v>
      </c>
    </row>
    <row r="2577" spans="1:3" ht="15.5">
      <c r="A2577" s="29">
        <v>40875</v>
      </c>
      <c r="B2577" s="28">
        <v>0.89749999999999996</v>
      </c>
      <c r="C2577" s="28">
        <v>2608602966.6599998</v>
      </c>
    </row>
    <row r="2578" spans="1:3" ht="15.5">
      <c r="A2578" s="29">
        <v>40872</v>
      </c>
      <c r="B2578" s="28">
        <v>0.88280000000000003</v>
      </c>
      <c r="C2578" s="28">
        <v>2565838983.5999999</v>
      </c>
    </row>
    <row r="2579" spans="1:3" ht="15.5">
      <c r="A2579" s="29">
        <v>40871</v>
      </c>
      <c r="B2579" s="28">
        <v>0.91720000000000002</v>
      </c>
      <c r="C2579" s="28">
        <v>2665621610.7399998</v>
      </c>
    </row>
    <row r="2580" spans="1:3" ht="15.5">
      <c r="A2580" s="29">
        <v>40870</v>
      </c>
      <c r="B2580" s="28">
        <v>0.91720000000000002</v>
      </c>
      <c r="C2580" s="28">
        <v>2665621610.7399998</v>
      </c>
    </row>
    <row r="2581" spans="1:3" ht="15.5">
      <c r="A2581" s="29">
        <v>40869</v>
      </c>
      <c r="B2581" s="28">
        <v>0.93679999999999997</v>
      </c>
      <c r="C2581" s="28">
        <v>2722640254.8200002</v>
      </c>
    </row>
    <row r="2582" spans="1:3" ht="15.5">
      <c r="A2582" s="29">
        <v>40868</v>
      </c>
      <c r="B2582" s="28">
        <v>0.93189999999999995</v>
      </c>
      <c r="C2582" s="28">
        <v>2708385593.8000002</v>
      </c>
    </row>
    <row r="2583" spans="1:3" ht="15.5">
      <c r="A2583" s="29">
        <v>40865</v>
      </c>
      <c r="B2583" s="28">
        <v>0.97109999999999996</v>
      </c>
      <c r="C2583" s="28">
        <v>2822422881.96</v>
      </c>
    </row>
    <row r="2584" spans="1:3" ht="15.5">
      <c r="A2584" s="29">
        <v>40864</v>
      </c>
      <c r="B2584" s="28">
        <v>0.99070000000000003</v>
      </c>
      <c r="C2584" s="28">
        <v>2879441526.04</v>
      </c>
    </row>
    <row r="2585" spans="1:3" ht="15.5">
      <c r="A2585" s="29">
        <v>40863</v>
      </c>
      <c r="B2585" s="28">
        <v>0.99560000000000004</v>
      </c>
      <c r="C2585" s="28">
        <v>2893696187.0599999</v>
      </c>
    </row>
    <row r="2586" spans="1:3" ht="15.5">
      <c r="A2586" s="29">
        <v>40862</v>
      </c>
      <c r="B2586" s="28">
        <v>1.0004999999999999</v>
      </c>
      <c r="C2586" s="28">
        <v>2907950848.0799999</v>
      </c>
    </row>
    <row r="2587" spans="1:3" ht="15.5">
      <c r="A2587" s="29">
        <v>40861</v>
      </c>
      <c r="B2587" s="28">
        <v>0.98580000000000001</v>
      </c>
      <c r="C2587" s="28">
        <v>2865186865.02</v>
      </c>
    </row>
    <row r="2588" spans="1:3" ht="15.5">
      <c r="A2588" s="29">
        <v>40858</v>
      </c>
      <c r="B2588" s="28">
        <v>1.0004999999999999</v>
      </c>
      <c r="C2588" s="28">
        <v>2907950848.0799999</v>
      </c>
    </row>
    <row r="2589" spans="1:3" ht="15.5">
      <c r="A2589" s="29">
        <v>40857</v>
      </c>
      <c r="B2589" s="28">
        <v>0.97109999999999996</v>
      </c>
      <c r="C2589" s="28">
        <v>2822422881.96</v>
      </c>
    </row>
    <row r="2590" spans="1:3" ht="15.5">
      <c r="A2590" s="29">
        <v>40856</v>
      </c>
      <c r="B2590" s="28">
        <v>0.97109999999999996</v>
      </c>
      <c r="C2590" s="28">
        <v>2822422881.96</v>
      </c>
    </row>
    <row r="2591" spans="1:3" ht="15.5">
      <c r="A2591" s="29">
        <v>40855</v>
      </c>
      <c r="B2591" s="28">
        <v>0.96130000000000004</v>
      </c>
      <c r="C2591" s="28">
        <v>2793913559.9200001</v>
      </c>
    </row>
    <row r="2592" spans="1:3" ht="15.5">
      <c r="A2592" s="29">
        <v>40854</v>
      </c>
      <c r="B2592" s="28">
        <v>0.9466</v>
      </c>
      <c r="C2592" s="28">
        <v>2751149576.8600001</v>
      </c>
    </row>
    <row r="2593" spans="1:3" ht="15.5">
      <c r="A2593" s="29">
        <v>40851</v>
      </c>
      <c r="B2593" s="28">
        <v>0.9466</v>
      </c>
      <c r="C2593" s="28">
        <v>2751149576.8600001</v>
      </c>
    </row>
    <row r="2594" spans="1:3" ht="15.5">
      <c r="A2594" s="29">
        <v>40850</v>
      </c>
      <c r="B2594" s="28">
        <v>0.93189999999999995</v>
      </c>
      <c r="C2594" s="28">
        <v>2708385593.8000002</v>
      </c>
    </row>
    <row r="2595" spans="1:3" ht="15.5">
      <c r="A2595" s="29">
        <v>40849</v>
      </c>
      <c r="B2595" s="28">
        <v>0.96130000000000004</v>
      </c>
      <c r="C2595" s="28">
        <v>2793913559.9200001</v>
      </c>
    </row>
    <row r="2596" spans="1:3" ht="15.5">
      <c r="A2596" s="29">
        <v>40848</v>
      </c>
      <c r="B2596" s="28">
        <v>0.93189999999999995</v>
      </c>
      <c r="C2596" s="28">
        <v>2708385593.8000002</v>
      </c>
    </row>
    <row r="2597" spans="1:3" ht="15.5">
      <c r="A2597" s="29">
        <v>40847</v>
      </c>
      <c r="B2597" s="28">
        <v>0.97599999999999998</v>
      </c>
      <c r="C2597" s="28">
        <v>2836677542.98</v>
      </c>
    </row>
    <row r="2598" spans="1:3" ht="15.5">
      <c r="A2598" s="29">
        <v>40844</v>
      </c>
      <c r="B2598" s="28">
        <v>1.0004999999999999</v>
      </c>
      <c r="C2598" s="28">
        <v>2907950848.0799999</v>
      </c>
    </row>
    <row r="2599" spans="1:3" ht="15.5">
      <c r="A2599" s="29">
        <v>40843</v>
      </c>
      <c r="B2599" s="28">
        <v>0.97109999999999996</v>
      </c>
      <c r="C2599" s="28">
        <v>2822422881.96</v>
      </c>
    </row>
    <row r="2600" spans="1:3" ht="15.5">
      <c r="A2600" s="29">
        <v>40842</v>
      </c>
      <c r="B2600" s="28">
        <v>0.96130000000000004</v>
      </c>
      <c r="C2600" s="28">
        <v>2793913559.9200001</v>
      </c>
    </row>
    <row r="2601" spans="1:3" ht="15.5">
      <c r="A2601" s="29">
        <v>40841</v>
      </c>
      <c r="B2601" s="28">
        <v>0.95150000000000001</v>
      </c>
      <c r="C2601" s="28">
        <v>2765404237.8800001</v>
      </c>
    </row>
    <row r="2602" spans="1:3" ht="15.5">
      <c r="A2602" s="29">
        <v>40840</v>
      </c>
      <c r="B2602" s="28">
        <v>0.97109999999999996</v>
      </c>
      <c r="C2602" s="28">
        <v>2822422881.96</v>
      </c>
    </row>
    <row r="2603" spans="1:3" ht="15.5">
      <c r="A2603" s="29">
        <v>40837</v>
      </c>
      <c r="B2603" s="28">
        <v>0.96619999999999995</v>
      </c>
      <c r="C2603" s="28">
        <v>2808168220.9400001</v>
      </c>
    </row>
    <row r="2604" spans="1:3" ht="15.5">
      <c r="A2604" s="29">
        <v>40836</v>
      </c>
      <c r="B2604" s="28">
        <v>0.9466</v>
      </c>
      <c r="C2604" s="28">
        <v>2751149576.8600001</v>
      </c>
    </row>
    <row r="2605" spans="1:3" ht="15.5">
      <c r="A2605" s="29">
        <v>40835</v>
      </c>
      <c r="B2605" s="28">
        <v>0.95640000000000003</v>
      </c>
      <c r="C2605" s="28">
        <v>2779658898.9000001</v>
      </c>
    </row>
    <row r="2606" spans="1:3" ht="15.5">
      <c r="A2606" s="29">
        <v>40834</v>
      </c>
      <c r="B2606" s="28">
        <v>0.93189999999999995</v>
      </c>
      <c r="C2606" s="28">
        <v>2708385593.8000002</v>
      </c>
    </row>
    <row r="2607" spans="1:3" ht="15.5">
      <c r="A2607" s="29">
        <v>40833</v>
      </c>
      <c r="B2607" s="28">
        <v>0.93679999999999997</v>
      </c>
      <c r="C2607" s="28">
        <v>2722640254.8200002</v>
      </c>
    </row>
    <row r="2608" spans="1:3" ht="15.5">
      <c r="A2608" s="29">
        <v>40830</v>
      </c>
      <c r="B2608" s="28">
        <v>0.92700000000000005</v>
      </c>
      <c r="C2608" s="28">
        <v>2694130932.7800002</v>
      </c>
    </row>
    <row r="2609" spans="1:3" ht="15.5">
      <c r="A2609" s="29">
        <v>40829</v>
      </c>
      <c r="B2609" s="28">
        <v>0.91720000000000002</v>
      </c>
      <c r="C2609" s="28">
        <v>2665621610.7399998</v>
      </c>
    </row>
    <row r="2610" spans="1:3" ht="15.5">
      <c r="A2610" s="29">
        <v>40828</v>
      </c>
      <c r="B2610" s="28">
        <v>0.93679999999999997</v>
      </c>
      <c r="C2610" s="28">
        <v>2722640254.8200002</v>
      </c>
    </row>
    <row r="2611" spans="1:3" ht="15.5">
      <c r="A2611" s="29">
        <v>40827</v>
      </c>
      <c r="B2611" s="28">
        <v>0.92210000000000003</v>
      </c>
      <c r="C2611" s="28">
        <v>2679876271.7600002</v>
      </c>
    </row>
    <row r="2612" spans="1:3" ht="15.5">
      <c r="A2612" s="29">
        <v>40826</v>
      </c>
      <c r="B2612" s="28">
        <v>0.91720000000000002</v>
      </c>
      <c r="C2612" s="28">
        <v>2665621610.7399998</v>
      </c>
    </row>
    <row r="2613" spans="1:3" ht="15.5">
      <c r="A2613" s="29">
        <v>40823</v>
      </c>
      <c r="B2613" s="28">
        <v>0.90249999999999997</v>
      </c>
      <c r="C2613" s="28">
        <v>2622857627.6799998</v>
      </c>
    </row>
    <row r="2614" spans="1:3" ht="15.5">
      <c r="A2614" s="29">
        <v>40822</v>
      </c>
      <c r="B2614" s="28">
        <v>0.90249999999999997</v>
      </c>
      <c r="C2614" s="28">
        <v>2622857627.6799998</v>
      </c>
    </row>
    <row r="2615" spans="1:3" ht="15.5">
      <c r="A2615" s="29">
        <v>40821</v>
      </c>
      <c r="B2615" s="28">
        <v>0.9123</v>
      </c>
      <c r="C2615" s="28">
        <v>2651366949.7199998</v>
      </c>
    </row>
    <row r="2616" spans="1:3" ht="15.5">
      <c r="A2616" s="29">
        <v>40820</v>
      </c>
      <c r="B2616" s="28">
        <v>0.90249999999999997</v>
      </c>
      <c r="C2616" s="28">
        <v>2622857627.6799998</v>
      </c>
    </row>
    <row r="2617" spans="1:3" ht="15.5">
      <c r="A2617" s="29">
        <v>40819</v>
      </c>
      <c r="B2617" s="28">
        <v>0.89749999999999996</v>
      </c>
      <c r="C2617" s="28">
        <v>2608602966.6599998</v>
      </c>
    </row>
    <row r="2618" spans="1:3" ht="15.5">
      <c r="A2618" s="29">
        <v>40816</v>
      </c>
      <c r="B2618" s="28">
        <v>0.91720000000000002</v>
      </c>
      <c r="C2618" s="28">
        <v>2665621610.7399998</v>
      </c>
    </row>
    <row r="2619" spans="1:3" ht="15.5">
      <c r="A2619" s="29">
        <v>40815</v>
      </c>
      <c r="B2619" s="28">
        <v>0.88770000000000004</v>
      </c>
      <c r="C2619" s="28">
        <v>2529579472.2950001</v>
      </c>
    </row>
    <row r="2620" spans="1:3" ht="15.5">
      <c r="A2620" s="29">
        <v>40814</v>
      </c>
      <c r="B2620" s="28">
        <v>0.88770000000000004</v>
      </c>
      <c r="C2620" s="28">
        <v>2529579472.2950001</v>
      </c>
    </row>
    <row r="2621" spans="1:3" ht="15.5">
      <c r="A2621" s="29">
        <v>40813</v>
      </c>
      <c r="B2621" s="28">
        <v>0.89259999999999995</v>
      </c>
      <c r="C2621" s="28">
        <v>2543555049.4899998</v>
      </c>
    </row>
    <row r="2622" spans="1:3" ht="15.5">
      <c r="A2622" s="29">
        <v>40812</v>
      </c>
      <c r="B2622" s="28">
        <v>0.88280000000000003</v>
      </c>
      <c r="C2622" s="28">
        <v>2515603895.0999999</v>
      </c>
    </row>
    <row r="2623" spans="1:3" ht="15.5">
      <c r="A2623" s="29">
        <v>40809</v>
      </c>
      <c r="B2623" s="28">
        <v>0.88770000000000004</v>
      </c>
      <c r="C2623" s="28">
        <v>2529579472.2950001</v>
      </c>
    </row>
    <row r="2624" spans="1:3" ht="15.5">
      <c r="A2624" s="29">
        <v>40808</v>
      </c>
      <c r="B2624" s="28">
        <v>0.88770000000000004</v>
      </c>
      <c r="C2624" s="28">
        <v>2529579472.2950001</v>
      </c>
    </row>
    <row r="2625" spans="1:3" ht="15.5">
      <c r="A2625" s="29">
        <v>40807</v>
      </c>
      <c r="B2625" s="28">
        <v>0.88280000000000003</v>
      </c>
      <c r="C2625" s="28">
        <v>2515603895.0999999</v>
      </c>
    </row>
    <row r="2626" spans="1:3" ht="15.5">
      <c r="A2626" s="29">
        <v>40806</v>
      </c>
      <c r="B2626" s="28">
        <v>0.90739999999999998</v>
      </c>
      <c r="C2626" s="28">
        <v>2585481781.0749998</v>
      </c>
    </row>
    <row r="2627" spans="1:3" ht="15.5">
      <c r="A2627" s="29">
        <v>40805</v>
      </c>
      <c r="B2627" s="28">
        <v>0.90739999999999998</v>
      </c>
      <c r="C2627" s="28">
        <v>2585481781.0749998</v>
      </c>
    </row>
    <row r="2628" spans="1:3" ht="15.5">
      <c r="A2628" s="29">
        <v>40802</v>
      </c>
      <c r="B2628" s="28">
        <v>0.91720000000000002</v>
      </c>
      <c r="C2628" s="28">
        <v>2613432935.4650002</v>
      </c>
    </row>
    <row r="2629" spans="1:3" ht="15.5">
      <c r="A2629" s="29">
        <v>40801</v>
      </c>
      <c r="B2629" s="28">
        <v>0.90739999999999998</v>
      </c>
      <c r="C2629" s="28">
        <v>2585481781.0749998</v>
      </c>
    </row>
    <row r="2630" spans="1:3" ht="15.5">
      <c r="A2630" s="29">
        <v>40800</v>
      </c>
      <c r="B2630" s="28">
        <v>0.89259999999999995</v>
      </c>
      <c r="C2630" s="28">
        <v>2543555049.4899998</v>
      </c>
    </row>
    <row r="2631" spans="1:3" ht="15.5">
      <c r="A2631" s="29">
        <v>40799</v>
      </c>
      <c r="B2631" s="28">
        <v>0.90249999999999997</v>
      </c>
      <c r="C2631" s="28">
        <v>2571506203.8800001</v>
      </c>
    </row>
    <row r="2632" spans="1:3" ht="15.5">
      <c r="A2632" s="29">
        <v>40798</v>
      </c>
      <c r="B2632" s="28">
        <v>0.89259999999999995</v>
      </c>
      <c r="C2632" s="28">
        <v>2543555049.4899998</v>
      </c>
    </row>
    <row r="2633" spans="1:3" ht="15.5">
      <c r="A2633" s="29">
        <v>40795</v>
      </c>
      <c r="B2633" s="28">
        <v>0.9123</v>
      </c>
      <c r="C2633" s="28">
        <v>2599457358.27</v>
      </c>
    </row>
    <row r="2634" spans="1:3" ht="15.5">
      <c r="A2634" s="29">
        <v>40794</v>
      </c>
      <c r="B2634" s="28">
        <v>0.91720000000000002</v>
      </c>
      <c r="C2634" s="28">
        <v>2613432935.4650002</v>
      </c>
    </row>
    <row r="2635" spans="1:3" ht="15.5">
      <c r="A2635" s="29">
        <v>40793</v>
      </c>
      <c r="B2635" s="28">
        <v>0.9123</v>
      </c>
      <c r="C2635" s="28">
        <v>2599457358.27</v>
      </c>
    </row>
    <row r="2636" spans="1:3" ht="15.5">
      <c r="A2636" s="29">
        <v>40792</v>
      </c>
      <c r="B2636" s="28">
        <v>0.89749999999999996</v>
      </c>
      <c r="C2636" s="28">
        <v>2557530626.6849999</v>
      </c>
    </row>
    <row r="2637" spans="1:3" ht="15.5">
      <c r="A2637" s="29">
        <v>40791</v>
      </c>
      <c r="B2637" s="28">
        <v>0.90249999999999997</v>
      </c>
      <c r="C2637" s="28">
        <v>2571506203.8800001</v>
      </c>
    </row>
    <row r="2638" spans="1:3" ht="15.5">
      <c r="A2638" s="29">
        <v>40788</v>
      </c>
      <c r="B2638" s="28">
        <v>0.91720000000000002</v>
      </c>
      <c r="C2638" s="28">
        <v>2613432935.4650002</v>
      </c>
    </row>
    <row r="2639" spans="1:3" ht="15.5">
      <c r="A2639" s="29">
        <v>40787</v>
      </c>
      <c r="B2639" s="28">
        <v>0.92700000000000005</v>
      </c>
      <c r="C2639" s="28">
        <v>2641384089.855</v>
      </c>
    </row>
    <row r="2640" spans="1:3" ht="15.5">
      <c r="A2640" s="29">
        <v>40786</v>
      </c>
      <c r="B2640" s="28">
        <v>0.90739999999999998</v>
      </c>
      <c r="C2640" s="28">
        <v>2585481781.0749998</v>
      </c>
    </row>
    <row r="2641" spans="1:3" ht="15.5">
      <c r="A2641" s="29">
        <v>40785</v>
      </c>
      <c r="B2641" s="28">
        <v>0.93189999999999995</v>
      </c>
      <c r="C2641" s="28">
        <v>2655359667.0500002</v>
      </c>
    </row>
    <row r="2642" spans="1:3" ht="15.5">
      <c r="A2642" s="29">
        <v>40784</v>
      </c>
      <c r="B2642" s="28">
        <v>0.92210000000000003</v>
      </c>
      <c r="C2642" s="28">
        <v>2627408512.6599998</v>
      </c>
    </row>
    <row r="2643" spans="1:3" ht="15.5">
      <c r="A2643" s="29">
        <v>40781</v>
      </c>
      <c r="B2643" s="28">
        <v>0.92210000000000003</v>
      </c>
      <c r="C2643" s="28">
        <v>2627408512.6599998</v>
      </c>
    </row>
    <row r="2644" spans="1:3" ht="15.5">
      <c r="A2644" s="29">
        <v>40780</v>
      </c>
      <c r="B2644" s="28">
        <v>0.91720000000000002</v>
      </c>
      <c r="C2644" s="28">
        <v>2613432935.4650002</v>
      </c>
    </row>
    <row r="2645" spans="1:3" ht="15.5">
      <c r="A2645" s="29">
        <v>40779</v>
      </c>
      <c r="B2645" s="28">
        <v>0.89259999999999995</v>
      </c>
      <c r="C2645" s="28">
        <v>2543555049.4899998</v>
      </c>
    </row>
    <row r="2646" spans="1:3" ht="15.5">
      <c r="A2646" s="29">
        <v>40778</v>
      </c>
      <c r="B2646" s="28">
        <v>0.88770000000000004</v>
      </c>
      <c r="C2646" s="28">
        <v>2529579472.2950001</v>
      </c>
    </row>
    <row r="2647" spans="1:3" ht="15.5">
      <c r="A2647" s="29">
        <v>40777</v>
      </c>
      <c r="B2647" s="28">
        <v>0.88280000000000003</v>
      </c>
      <c r="C2647" s="28">
        <v>2515603895.0999999</v>
      </c>
    </row>
    <row r="2648" spans="1:3" ht="15.5">
      <c r="A2648" s="29">
        <v>40774</v>
      </c>
      <c r="B2648" s="28">
        <v>0.86809999999999998</v>
      </c>
      <c r="C2648" s="28">
        <v>2473677163.5149999</v>
      </c>
    </row>
    <row r="2649" spans="1:3" ht="15.5">
      <c r="A2649" s="29">
        <v>40773</v>
      </c>
      <c r="B2649" s="28">
        <v>0.89749999999999996</v>
      </c>
      <c r="C2649" s="28">
        <v>2557530626.6849999</v>
      </c>
    </row>
    <row r="2650" spans="1:3" ht="15.5">
      <c r="A2650" s="29">
        <v>40772</v>
      </c>
      <c r="B2650" s="28">
        <v>0.88280000000000003</v>
      </c>
      <c r="C2650" s="28">
        <v>2515603895.0999999</v>
      </c>
    </row>
    <row r="2651" spans="1:3" ht="15.5">
      <c r="A2651" s="29">
        <v>40771</v>
      </c>
      <c r="B2651" s="28">
        <v>0.873</v>
      </c>
      <c r="C2651" s="28">
        <v>2487652740.71</v>
      </c>
    </row>
    <row r="2652" spans="1:3" ht="15.5">
      <c r="A2652" s="29">
        <v>40770</v>
      </c>
      <c r="B2652" s="28">
        <v>0.873</v>
      </c>
      <c r="C2652" s="28">
        <v>2487652740.71</v>
      </c>
    </row>
    <row r="2653" spans="1:3" ht="15.5">
      <c r="A2653" s="29">
        <v>40767</v>
      </c>
      <c r="B2653" s="28">
        <v>0.85829999999999995</v>
      </c>
      <c r="C2653" s="28">
        <v>2445726009.125</v>
      </c>
    </row>
    <row r="2654" spans="1:3" ht="15.5">
      <c r="A2654" s="29">
        <v>40766</v>
      </c>
      <c r="B2654" s="28">
        <v>0.84360000000000002</v>
      </c>
      <c r="C2654" s="28">
        <v>2403799277.54</v>
      </c>
    </row>
    <row r="2655" spans="1:3" ht="15.5">
      <c r="A2655" s="29">
        <v>40765</v>
      </c>
      <c r="B2655" s="28">
        <v>0.85340000000000005</v>
      </c>
      <c r="C2655" s="28">
        <v>2431750431.9299998</v>
      </c>
    </row>
    <row r="2656" spans="1:3" ht="15.5">
      <c r="A2656" s="29">
        <v>40764</v>
      </c>
      <c r="B2656" s="28">
        <v>0.83379999999999999</v>
      </c>
      <c r="C2656" s="28">
        <v>2375848123.1500001</v>
      </c>
    </row>
    <row r="2657" spans="1:3" ht="15.5">
      <c r="A2657" s="29">
        <v>40763</v>
      </c>
      <c r="B2657" s="28">
        <v>0.84360000000000002</v>
      </c>
      <c r="C2657" s="28">
        <v>2403799277.54</v>
      </c>
    </row>
    <row r="2658" spans="1:3" ht="15.5">
      <c r="A2658" s="29">
        <v>40760</v>
      </c>
      <c r="B2658" s="28">
        <v>0.86809999999999998</v>
      </c>
      <c r="C2658" s="28">
        <v>2473677163.5149999</v>
      </c>
    </row>
    <row r="2659" spans="1:3" ht="15.5">
      <c r="A2659" s="29">
        <v>40759</v>
      </c>
      <c r="B2659" s="28">
        <v>0.88280000000000003</v>
      </c>
      <c r="C2659" s="28">
        <v>2515603895.0999999</v>
      </c>
    </row>
    <row r="2660" spans="1:3" ht="15.5">
      <c r="A2660" s="29">
        <v>40758</v>
      </c>
      <c r="B2660" s="28">
        <v>0.88770000000000004</v>
      </c>
      <c r="C2660" s="28">
        <v>2529579472.2950001</v>
      </c>
    </row>
    <row r="2661" spans="1:3" ht="15.5">
      <c r="A2661" s="29">
        <v>40757</v>
      </c>
      <c r="B2661" s="28">
        <v>0.90249999999999997</v>
      </c>
      <c r="C2661" s="28">
        <v>2571506203.8800001</v>
      </c>
    </row>
    <row r="2662" spans="1:3" ht="15.5">
      <c r="A2662" s="29">
        <v>40756</v>
      </c>
      <c r="B2662" s="28">
        <v>0.89749999999999996</v>
      </c>
      <c r="C2662" s="28">
        <v>2557530626.6849999</v>
      </c>
    </row>
    <row r="2663" spans="1:3" ht="15.5">
      <c r="A2663" s="29">
        <v>40753</v>
      </c>
      <c r="B2663" s="28">
        <v>0.90249999999999997</v>
      </c>
      <c r="C2663" s="28">
        <v>2571506203.8800001</v>
      </c>
    </row>
    <row r="2664" spans="1:3" ht="15.5">
      <c r="A2664" s="29">
        <v>40752</v>
      </c>
      <c r="B2664" s="28">
        <v>0.88770000000000004</v>
      </c>
      <c r="C2664" s="28">
        <v>2529579472.2950001</v>
      </c>
    </row>
    <row r="2665" spans="1:3" ht="15.5">
      <c r="A2665" s="29">
        <v>40751</v>
      </c>
      <c r="B2665" s="28">
        <v>0.90249999999999997</v>
      </c>
      <c r="C2665" s="28">
        <v>2571506203.8800001</v>
      </c>
    </row>
    <row r="2666" spans="1:3" ht="15.5">
      <c r="A2666" s="29">
        <v>40750</v>
      </c>
      <c r="B2666" s="28">
        <v>0.9123</v>
      </c>
      <c r="C2666" s="28">
        <v>2599457358.27</v>
      </c>
    </row>
    <row r="2667" spans="1:3" ht="15.5">
      <c r="A2667" s="29">
        <v>40749</v>
      </c>
      <c r="B2667" s="28">
        <v>0.89749999999999996</v>
      </c>
      <c r="C2667" s="28">
        <v>2557530626.6849999</v>
      </c>
    </row>
    <row r="2668" spans="1:3" ht="15.5">
      <c r="A2668" s="29">
        <v>40746</v>
      </c>
      <c r="B2668" s="28">
        <v>0.89749999999999996</v>
      </c>
      <c r="C2668" s="28">
        <v>2557530626.6849999</v>
      </c>
    </row>
    <row r="2669" spans="1:3" ht="15.5">
      <c r="A2669" s="29">
        <v>40745</v>
      </c>
      <c r="B2669" s="28">
        <v>0.89259999999999995</v>
      </c>
      <c r="C2669" s="28">
        <v>2543555049.4899998</v>
      </c>
    </row>
    <row r="2670" spans="1:3" ht="15.5">
      <c r="A2670" s="29">
        <v>40744</v>
      </c>
      <c r="B2670" s="28">
        <v>0.89259999999999995</v>
      </c>
      <c r="C2670" s="28">
        <v>2543555049.4899998</v>
      </c>
    </row>
    <row r="2671" spans="1:3" ht="15.5">
      <c r="A2671" s="29">
        <v>40743</v>
      </c>
      <c r="B2671" s="28">
        <v>0.88770000000000004</v>
      </c>
      <c r="C2671" s="28">
        <v>2529579472.2950001</v>
      </c>
    </row>
    <row r="2672" spans="1:3" ht="15.5">
      <c r="A2672" s="29">
        <v>40742</v>
      </c>
      <c r="B2672" s="28">
        <v>0.90739999999999998</v>
      </c>
      <c r="C2672" s="28">
        <v>2585481781.0749998</v>
      </c>
    </row>
    <row r="2673" spans="1:3" ht="15.5">
      <c r="A2673" s="29">
        <v>40739</v>
      </c>
      <c r="B2673" s="28">
        <v>0.89749999999999996</v>
      </c>
      <c r="C2673" s="28">
        <v>2557530626.6849999</v>
      </c>
    </row>
    <row r="2674" spans="1:3" ht="15.5">
      <c r="A2674" s="29">
        <v>40738</v>
      </c>
      <c r="B2674" s="28">
        <v>0.88280000000000003</v>
      </c>
      <c r="C2674" s="28">
        <v>2515603895.0999999</v>
      </c>
    </row>
    <row r="2675" spans="1:3" ht="15.5">
      <c r="A2675" s="29">
        <v>40737</v>
      </c>
      <c r="B2675" s="28">
        <v>0.88770000000000004</v>
      </c>
      <c r="C2675" s="28">
        <v>2529579472.2950001</v>
      </c>
    </row>
    <row r="2676" spans="1:3" ht="15.5">
      <c r="A2676" s="29">
        <v>40736</v>
      </c>
      <c r="B2676" s="28">
        <v>0.88770000000000004</v>
      </c>
      <c r="C2676" s="28">
        <v>2529579472.2950001</v>
      </c>
    </row>
    <row r="2677" spans="1:3" ht="15.5">
      <c r="A2677" s="29">
        <v>40735</v>
      </c>
      <c r="B2677" s="28">
        <v>0.92700000000000005</v>
      </c>
      <c r="C2677" s="28">
        <v>2641384089.855</v>
      </c>
    </row>
    <row r="2678" spans="1:3" ht="15.5">
      <c r="A2678" s="29">
        <v>40732</v>
      </c>
      <c r="B2678" s="28">
        <v>0.93189999999999995</v>
      </c>
      <c r="C2678" s="28">
        <v>2655359667.0500002</v>
      </c>
    </row>
    <row r="2679" spans="1:3" ht="15.5">
      <c r="A2679" s="29">
        <v>40731</v>
      </c>
      <c r="B2679" s="28">
        <v>0.89749999999999996</v>
      </c>
      <c r="C2679" s="28">
        <v>2557530626.6849999</v>
      </c>
    </row>
    <row r="2680" spans="1:3" ht="15.5">
      <c r="A2680" s="29">
        <v>40730</v>
      </c>
      <c r="B2680" s="28">
        <v>0.89749999999999996</v>
      </c>
      <c r="C2680" s="28">
        <v>2557530626.6849999</v>
      </c>
    </row>
    <row r="2681" spans="1:3" ht="15.5">
      <c r="A2681" s="29">
        <v>40729</v>
      </c>
      <c r="B2681" s="28">
        <v>0.9123</v>
      </c>
      <c r="C2681" s="28">
        <v>2599457358.27</v>
      </c>
    </row>
    <row r="2682" spans="1:3" ht="15.5">
      <c r="A2682" s="29">
        <v>40728</v>
      </c>
      <c r="B2682" s="28">
        <v>0.9123</v>
      </c>
      <c r="C2682" s="28">
        <v>2599457358.27</v>
      </c>
    </row>
    <row r="2683" spans="1:3" ht="15.5">
      <c r="A2683" s="29">
        <v>40725</v>
      </c>
      <c r="B2683" s="28">
        <v>0.90249999999999997</v>
      </c>
      <c r="C2683" s="28">
        <v>2571506203.8800001</v>
      </c>
    </row>
    <row r="2684" spans="1:3" ht="15.5">
      <c r="A2684" s="29">
        <v>40724</v>
      </c>
      <c r="B2684" s="28">
        <v>0.92700000000000005</v>
      </c>
      <c r="C2684" s="28">
        <v>2641384089.855</v>
      </c>
    </row>
    <row r="2685" spans="1:3" ht="15.5">
      <c r="A2685" s="29">
        <v>40723</v>
      </c>
      <c r="B2685" s="28">
        <v>0.89749999999999996</v>
      </c>
      <c r="C2685" s="28">
        <v>2557530626.6849999</v>
      </c>
    </row>
    <row r="2686" spans="1:3" ht="15.5">
      <c r="A2686" s="29">
        <v>40722</v>
      </c>
      <c r="B2686" s="28">
        <v>0.89259999999999995</v>
      </c>
      <c r="C2686" s="28">
        <v>2543555049.4899998</v>
      </c>
    </row>
    <row r="2687" spans="1:3" ht="15.5">
      <c r="A2687" s="29">
        <v>40721</v>
      </c>
      <c r="B2687" s="28">
        <v>0.873</v>
      </c>
      <c r="C2687" s="28">
        <v>2487652740.71</v>
      </c>
    </row>
    <row r="2688" spans="1:3" ht="15.5">
      <c r="A2688" s="29">
        <v>40718</v>
      </c>
      <c r="B2688" s="28">
        <v>0.86809999999999998</v>
      </c>
      <c r="C2688" s="28">
        <v>2473677163.5149999</v>
      </c>
    </row>
    <row r="2689" spans="1:3" ht="15.5">
      <c r="A2689" s="29">
        <v>40717</v>
      </c>
      <c r="B2689" s="28">
        <v>0.873</v>
      </c>
      <c r="C2689" s="28">
        <v>2487652740.71</v>
      </c>
    </row>
    <row r="2690" spans="1:3" ht="15.5">
      <c r="A2690" s="29">
        <v>40716</v>
      </c>
      <c r="B2690" s="28">
        <v>0.873</v>
      </c>
      <c r="C2690" s="28">
        <v>2487652740.71</v>
      </c>
    </row>
    <row r="2691" spans="1:3" ht="15.5">
      <c r="A2691" s="29">
        <v>40715</v>
      </c>
      <c r="B2691" s="28">
        <v>0.86809999999999998</v>
      </c>
      <c r="C2691" s="28">
        <v>2473677163.5149999</v>
      </c>
    </row>
    <row r="2692" spans="1:3" ht="15.5">
      <c r="A2692" s="29">
        <v>40714</v>
      </c>
      <c r="B2692" s="28">
        <v>0.87790000000000001</v>
      </c>
      <c r="C2692" s="28">
        <v>2501628317.9050002</v>
      </c>
    </row>
    <row r="2693" spans="1:3" ht="15.5">
      <c r="A2693" s="29">
        <v>40711</v>
      </c>
      <c r="B2693" s="28">
        <v>0.89259999999999995</v>
      </c>
      <c r="C2693" s="28">
        <v>2543555049.4899998</v>
      </c>
    </row>
    <row r="2694" spans="1:3" ht="15.5">
      <c r="A2694" s="29">
        <v>40710</v>
      </c>
      <c r="B2694" s="28">
        <v>0.90739999999999998</v>
      </c>
      <c r="C2694" s="28">
        <v>2585481781.0749998</v>
      </c>
    </row>
    <row r="2695" spans="1:3" ht="15.5">
      <c r="A2695" s="29">
        <v>40709</v>
      </c>
      <c r="B2695" s="28">
        <v>0.90739999999999998</v>
      </c>
      <c r="C2695" s="28">
        <v>2585481781.0749998</v>
      </c>
    </row>
    <row r="2696" spans="1:3" ht="15.5">
      <c r="A2696" s="29">
        <v>40708</v>
      </c>
      <c r="B2696" s="28">
        <v>0.90739999999999998</v>
      </c>
      <c r="C2696" s="28">
        <v>2585481781.0749998</v>
      </c>
    </row>
    <row r="2697" spans="1:3" ht="15.5">
      <c r="A2697" s="29">
        <v>40704</v>
      </c>
      <c r="B2697" s="28">
        <v>0.90739999999999998</v>
      </c>
      <c r="C2697" s="28">
        <v>2585481781.0749998</v>
      </c>
    </row>
    <row r="2698" spans="1:3" ht="15.5">
      <c r="A2698" s="29">
        <v>40703</v>
      </c>
      <c r="B2698" s="28">
        <v>0.90249999999999997</v>
      </c>
      <c r="C2698" s="28">
        <v>2571506203.8800001</v>
      </c>
    </row>
    <row r="2699" spans="1:3" ht="15.5">
      <c r="A2699" s="29">
        <v>40702</v>
      </c>
      <c r="B2699" s="28">
        <v>0.89749999999999996</v>
      </c>
      <c r="C2699" s="28">
        <v>2557530626.6849999</v>
      </c>
    </row>
    <row r="2700" spans="1:3" ht="15.5">
      <c r="A2700" s="29">
        <v>40701</v>
      </c>
      <c r="B2700" s="28">
        <v>0.90739999999999998</v>
      </c>
      <c r="C2700" s="28">
        <v>2585481781.0749998</v>
      </c>
    </row>
    <row r="2701" spans="1:3" ht="15.5">
      <c r="A2701" s="29">
        <v>40700</v>
      </c>
      <c r="B2701" s="28">
        <v>0.90739999999999998</v>
      </c>
      <c r="C2701" s="28">
        <v>2585481781.0749998</v>
      </c>
    </row>
    <row r="2702" spans="1:3" ht="15.5">
      <c r="A2702" s="29">
        <v>40697</v>
      </c>
      <c r="B2702" s="28">
        <v>0.90249999999999997</v>
      </c>
      <c r="C2702" s="28">
        <v>2571506203.8800001</v>
      </c>
    </row>
    <row r="2703" spans="1:3" ht="15.5">
      <c r="A2703" s="29">
        <v>40696</v>
      </c>
      <c r="B2703" s="28">
        <v>0.90739999999999998</v>
      </c>
      <c r="C2703" s="28">
        <v>2585481781.0749998</v>
      </c>
    </row>
    <row r="2704" spans="1:3" ht="15.5">
      <c r="A2704" s="29">
        <v>40695</v>
      </c>
      <c r="B2704" s="28">
        <v>0.90739999999999998</v>
      </c>
      <c r="C2704" s="28">
        <v>2585481781.0749998</v>
      </c>
    </row>
    <row r="2705" spans="1:3" ht="15.5">
      <c r="A2705" s="29">
        <v>40694</v>
      </c>
      <c r="B2705" s="28">
        <v>0.9123</v>
      </c>
      <c r="C2705" s="28">
        <v>2599457358.27</v>
      </c>
    </row>
    <row r="2706" spans="1:3" ht="15.5">
      <c r="A2706" s="29">
        <v>40693</v>
      </c>
      <c r="B2706" s="28">
        <v>0.89259999999999995</v>
      </c>
      <c r="C2706" s="28">
        <v>2543555049.4899998</v>
      </c>
    </row>
    <row r="2707" spans="1:3" ht="15.5">
      <c r="A2707" s="29">
        <v>40690</v>
      </c>
      <c r="B2707" s="28">
        <v>0.89749999999999996</v>
      </c>
      <c r="C2707" s="28">
        <v>2557530626.6849999</v>
      </c>
    </row>
    <row r="2708" spans="1:3" ht="15.5">
      <c r="A2708" s="29">
        <v>40689</v>
      </c>
      <c r="B2708" s="28">
        <v>0.89749999999999996</v>
      </c>
      <c r="C2708" s="28">
        <v>2557530626.6849999</v>
      </c>
    </row>
    <row r="2709" spans="1:3" ht="15.5">
      <c r="A2709" s="29">
        <v>40688</v>
      </c>
      <c r="B2709" s="28">
        <v>0.91720000000000002</v>
      </c>
      <c r="C2709" s="28">
        <v>2613432935.4650002</v>
      </c>
    </row>
    <row r="2710" spans="1:3" ht="15.5">
      <c r="A2710" s="29">
        <v>40687</v>
      </c>
      <c r="B2710" s="28">
        <v>0.93679999999999997</v>
      </c>
      <c r="C2710" s="28">
        <v>2669335244.2449999</v>
      </c>
    </row>
    <row r="2711" spans="1:3" ht="15.5">
      <c r="A2711" s="29">
        <v>40686</v>
      </c>
      <c r="B2711" s="28">
        <v>0.93189999999999995</v>
      </c>
      <c r="C2711" s="28">
        <v>2655359667.0500002</v>
      </c>
    </row>
    <row r="2712" spans="1:3" ht="15.5">
      <c r="A2712" s="29">
        <v>40683</v>
      </c>
      <c r="B2712" s="28">
        <v>0.9123</v>
      </c>
      <c r="C2712" s="28">
        <v>2599457358.27</v>
      </c>
    </row>
    <row r="2713" spans="1:3" ht="15.5">
      <c r="A2713" s="29">
        <v>40682</v>
      </c>
      <c r="B2713" s="28">
        <v>0.9123</v>
      </c>
      <c r="C2713" s="28">
        <v>2599457358.27</v>
      </c>
    </row>
    <row r="2714" spans="1:3" ht="15.5">
      <c r="A2714" s="29">
        <v>40681</v>
      </c>
      <c r="B2714" s="28">
        <v>0.89749999999999996</v>
      </c>
      <c r="C2714" s="28">
        <v>2557530626.6849999</v>
      </c>
    </row>
    <row r="2715" spans="1:3" ht="15.5">
      <c r="A2715" s="29">
        <v>40680</v>
      </c>
      <c r="B2715" s="28">
        <v>0.88770000000000004</v>
      </c>
      <c r="C2715" s="28">
        <v>2529579472.2950001</v>
      </c>
    </row>
    <row r="2716" spans="1:3" ht="15.5">
      <c r="A2716" s="29">
        <v>40679</v>
      </c>
      <c r="B2716" s="28">
        <v>0.86809999999999998</v>
      </c>
      <c r="C2716" s="28">
        <v>2473677163.5149999</v>
      </c>
    </row>
    <row r="2717" spans="1:3" ht="15.5">
      <c r="A2717" s="29">
        <v>40676</v>
      </c>
      <c r="B2717" s="28">
        <v>0.873</v>
      </c>
      <c r="C2717" s="28">
        <v>2487652740.71</v>
      </c>
    </row>
    <row r="2718" spans="1:3" ht="15.5">
      <c r="A2718" s="29">
        <v>40675</v>
      </c>
      <c r="B2718" s="28">
        <v>0.86809999999999998</v>
      </c>
      <c r="C2718" s="28">
        <v>2473677163.5149999</v>
      </c>
    </row>
    <row r="2719" spans="1:3" ht="15.5">
      <c r="A2719" s="29">
        <v>40674</v>
      </c>
      <c r="B2719" s="28">
        <v>0.85829999999999995</v>
      </c>
      <c r="C2719" s="28">
        <v>2445726009.125</v>
      </c>
    </row>
    <row r="2720" spans="1:3" ht="15.5">
      <c r="A2720" s="29">
        <v>40673</v>
      </c>
      <c r="B2720" s="28">
        <v>0.85829999999999995</v>
      </c>
      <c r="C2720" s="28">
        <v>2445726009.125</v>
      </c>
    </row>
    <row r="2721" spans="1:3" ht="15.5">
      <c r="A2721" s="29">
        <v>40672</v>
      </c>
      <c r="B2721" s="28">
        <v>0.86319999999999997</v>
      </c>
      <c r="C2721" s="28">
        <v>2459701586.3200002</v>
      </c>
    </row>
    <row r="2722" spans="1:3" ht="15.5">
      <c r="A2722" s="29">
        <v>40669</v>
      </c>
      <c r="B2722" s="28">
        <v>0.86809999999999998</v>
      </c>
      <c r="C2722" s="28">
        <v>2473677163.5149999</v>
      </c>
    </row>
    <row r="2723" spans="1:3" ht="15.5">
      <c r="A2723" s="29">
        <v>40668</v>
      </c>
      <c r="B2723" s="28">
        <v>0.873</v>
      </c>
      <c r="C2723" s="28">
        <v>2487652740.71</v>
      </c>
    </row>
    <row r="2724" spans="1:3" ht="15.5">
      <c r="A2724" s="29">
        <v>40667</v>
      </c>
      <c r="B2724" s="28">
        <v>0.86319999999999997</v>
      </c>
      <c r="C2724" s="28">
        <v>2459701586.3200002</v>
      </c>
    </row>
    <row r="2725" spans="1:3" ht="15.5">
      <c r="A2725" s="29">
        <v>40666</v>
      </c>
      <c r="B2725" s="28">
        <v>0.86319999999999997</v>
      </c>
      <c r="C2725" s="28">
        <v>2459701586.3200002</v>
      </c>
    </row>
    <row r="2726" spans="1:3" ht="15.5">
      <c r="A2726" s="29">
        <v>40665</v>
      </c>
      <c r="B2726" s="28">
        <v>0.85829999999999995</v>
      </c>
      <c r="C2726" s="28">
        <v>2445726009.125</v>
      </c>
    </row>
    <row r="2727" spans="1:3" ht="15.5">
      <c r="A2727" s="29">
        <v>40662</v>
      </c>
      <c r="B2727" s="28">
        <v>0.85829999999999995</v>
      </c>
      <c r="C2727" s="28">
        <v>2445726009.125</v>
      </c>
    </row>
    <row r="2728" spans="1:3" ht="15.5">
      <c r="A2728" s="29">
        <v>40661</v>
      </c>
      <c r="B2728" s="28">
        <v>0.85829999999999995</v>
      </c>
      <c r="C2728" s="28">
        <v>2445726009.125</v>
      </c>
    </row>
    <row r="2729" spans="1:3" ht="15.5">
      <c r="A2729" s="29">
        <v>40660</v>
      </c>
      <c r="B2729" s="28">
        <v>0.86319999999999997</v>
      </c>
      <c r="C2729" s="28">
        <v>2459701586.3200002</v>
      </c>
    </row>
    <row r="2730" spans="1:3" ht="15.5">
      <c r="A2730" s="29">
        <v>40654</v>
      </c>
      <c r="B2730" s="28">
        <v>0.86319999999999997</v>
      </c>
      <c r="C2730" s="28">
        <v>2459701586.3200002</v>
      </c>
    </row>
    <row r="2731" spans="1:3" ht="15.5">
      <c r="A2731" s="29">
        <v>40653</v>
      </c>
      <c r="B2731" s="28">
        <v>0.86319999999999997</v>
      </c>
      <c r="C2731" s="28">
        <v>2459701586.3200002</v>
      </c>
    </row>
    <row r="2732" spans="1:3" ht="15.5">
      <c r="A2732" s="29">
        <v>40652</v>
      </c>
      <c r="B2732" s="28">
        <v>0.86319999999999997</v>
      </c>
      <c r="C2732" s="28">
        <v>2459701586.3200002</v>
      </c>
    </row>
    <row r="2733" spans="1:3" ht="15.5">
      <c r="A2733" s="29">
        <v>40651</v>
      </c>
      <c r="B2733" s="28">
        <v>0.85829999999999995</v>
      </c>
      <c r="C2733" s="28">
        <v>2445726009.125</v>
      </c>
    </row>
    <row r="2734" spans="1:3" ht="15.5">
      <c r="A2734" s="29">
        <v>40648</v>
      </c>
      <c r="B2734" s="28">
        <v>0.85829999999999995</v>
      </c>
      <c r="C2734" s="28">
        <v>2445726009.125</v>
      </c>
    </row>
    <row r="2735" spans="1:3" ht="15.5">
      <c r="A2735" s="29">
        <v>40647</v>
      </c>
      <c r="B2735" s="28">
        <v>0.85829999999999995</v>
      </c>
      <c r="C2735" s="28">
        <v>2445726009.125</v>
      </c>
    </row>
    <row r="2736" spans="1:3" ht="15.5">
      <c r="A2736" s="29">
        <v>40646</v>
      </c>
      <c r="B2736" s="28">
        <v>0.85340000000000005</v>
      </c>
      <c r="C2736" s="28">
        <v>2431750431.9299998</v>
      </c>
    </row>
    <row r="2737" spans="1:3" ht="15.5">
      <c r="A2737" s="29">
        <v>40645</v>
      </c>
      <c r="B2737" s="28">
        <v>0.85829999999999995</v>
      </c>
      <c r="C2737" s="28">
        <v>2445726009.125</v>
      </c>
    </row>
    <row r="2738" spans="1:3" ht="15.5">
      <c r="A2738" s="29">
        <v>40644</v>
      </c>
      <c r="B2738" s="28">
        <v>0.85829999999999995</v>
      </c>
      <c r="C2738" s="28">
        <v>2445726009.125</v>
      </c>
    </row>
    <row r="2739" spans="1:3" ht="15.5">
      <c r="A2739" s="29">
        <v>40641</v>
      </c>
      <c r="B2739" s="28">
        <v>0.86319999999999997</v>
      </c>
      <c r="C2739" s="28">
        <v>2459701586.3200002</v>
      </c>
    </row>
    <row r="2740" spans="1:3" ht="15.5">
      <c r="A2740" s="29">
        <v>40640</v>
      </c>
      <c r="B2740" s="28">
        <v>0.86809999999999998</v>
      </c>
      <c r="C2740" s="28">
        <v>2473677163.5149999</v>
      </c>
    </row>
    <row r="2741" spans="1:3" ht="15.5">
      <c r="A2741" s="29">
        <v>40639</v>
      </c>
      <c r="B2741" s="28">
        <v>0.873</v>
      </c>
      <c r="C2741" s="28">
        <v>2487652740.71</v>
      </c>
    </row>
    <row r="2742" spans="1:3" ht="15.5">
      <c r="A2742" s="29">
        <v>40638</v>
      </c>
      <c r="B2742" s="28">
        <v>0.873</v>
      </c>
      <c r="C2742" s="28">
        <v>2487652740.71</v>
      </c>
    </row>
    <row r="2743" spans="1:3" ht="15.5">
      <c r="A2743" s="29">
        <v>40637</v>
      </c>
      <c r="B2743" s="28">
        <v>0.873</v>
      </c>
      <c r="C2743" s="28">
        <v>2487652740.71</v>
      </c>
    </row>
    <row r="2744" spans="1:3" ht="15.5">
      <c r="A2744" s="29">
        <v>40634</v>
      </c>
      <c r="B2744" s="28">
        <v>0.86319999999999997</v>
      </c>
      <c r="C2744" s="28">
        <v>2459701586.3200002</v>
      </c>
    </row>
    <row r="2745" spans="1:3" ht="15.5">
      <c r="A2745" s="29">
        <v>40633</v>
      </c>
      <c r="B2745" s="28">
        <v>0.86319999999999997</v>
      </c>
      <c r="C2745" s="28">
        <v>2459701586.3200002</v>
      </c>
    </row>
    <row r="2746" spans="1:3" ht="15.5">
      <c r="A2746" s="29">
        <v>40632</v>
      </c>
      <c r="B2746" s="28">
        <v>0.84850000000000003</v>
      </c>
      <c r="C2746" s="28">
        <v>2339946230.6149998</v>
      </c>
    </row>
    <row r="2747" spans="1:3" ht="15.5">
      <c r="A2747" s="29">
        <v>40631</v>
      </c>
      <c r="B2747" s="28">
        <v>0.84850000000000003</v>
      </c>
      <c r="C2747" s="28">
        <v>2339946230.6149998</v>
      </c>
    </row>
    <row r="2748" spans="1:3" ht="15.5">
      <c r="A2748" s="29">
        <v>40630</v>
      </c>
      <c r="B2748" s="28">
        <v>0.8387</v>
      </c>
      <c r="C2748" s="28">
        <v>2312894829.105</v>
      </c>
    </row>
    <row r="2749" spans="1:3" ht="15.5">
      <c r="A2749" s="29">
        <v>40627</v>
      </c>
      <c r="B2749" s="28">
        <v>0.84360000000000002</v>
      </c>
      <c r="C2749" s="28">
        <v>2326420529.8600001</v>
      </c>
    </row>
    <row r="2750" spans="1:3" ht="15.5">
      <c r="A2750" s="29">
        <v>40626</v>
      </c>
      <c r="B2750" s="28">
        <v>0.83379999999999999</v>
      </c>
      <c r="C2750" s="28">
        <v>2299369128.3499999</v>
      </c>
    </row>
    <row r="2751" spans="1:3" ht="15.5">
      <c r="A2751" s="29">
        <v>40625</v>
      </c>
      <c r="B2751" s="28">
        <v>0.83379999999999999</v>
      </c>
      <c r="C2751" s="28">
        <v>2299369128.3499999</v>
      </c>
    </row>
    <row r="2752" spans="1:3" ht="15.5">
      <c r="A2752" s="29">
        <v>40624</v>
      </c>
      <c r="B2752" s="28">
        <v>0.84360000000000002</v>
      </c>
      <c r="C2752" s="28">
        <v>2326420529.8600001</v>
      </c>
    </row>
    <row r="2753" spans="1:3" ht="15.5">
      <c r="A2753" s="29">
        <v>40623</v>
      </c>
      <c r="B2753" s="28">
        <v>0.8387</v>
      </c>
      <c r="C2753" s="28">
        <v>2312894829.105</v>
      </c>
    </row>
    <row r="2754" spans="1:3" ht="15.5">
      <c r="A2754" s="29">
        <v>40620</v>
      </c>
      <c r="B2754" s="28">
        <v>0.83379999999999999</v>
      </c>
      <c r="C2754" s="28">
        <v>2299369128.3499999</v>
      </c>
    </row>
    <row r="2755" spans="1:3" ht="15.5">
      <c r="A2755" s="29">
        <v>40619</v>
      </c>
      <c r="B2755" s="28">
        <v>0.81420000000000003</v>
      </c>
      <c r="C2755" s="28">
        <v>2245266325.3299999</v>
      </c>
    </row>
    <row r="2756" spans="1:3" ht="15.5">
      <c r="A2756" s="29">
        <v>40618</v>
      </c>
      <c r="B2756" s="28">
        <v>0.82399999999999995</v>
      </c>
      <c r="C2756" s="28">
        <v>2272317726.8400002</v>
      </c>
    </row>
    <row r="2757" spans="1:3" ht="15.5">
      <c r="A2757" s="29">
        <v>40617</v>
      </c>
      <c r="B2757" s="28">
        <v>0.84360000000000002</v>
      </c>
      <c r="C2757" s="28">
        <v>2326420529.8600001</v>
      </c>
    </row>
    <row r="2758" spans="1:3" ht="15.5">
      <c r="A2758" s="29">
        <v>40616</v>
      </c>
      <c r="B2758" s="28">
        <v>0.84360000000000002</v>
      </c>
      <c r="C2758" s="28">
        <v>2326420529.8600001</v>
      </c>
    </row>
    <row r="2759" spans="1:3" ht="15.5">
      <c r="A2759" s="29">
        <v>40613</v>
      </c>
      <c r="B2759" s="28">
        <v>0.84360000000000002</v>
      </c>
      <c r="C2759" s="28">
        <v>2326420529.8600001</v>
      </c>
    </row>
    <row r="2760" spans="1:3" ht="15.5">
      <c r="A2760" s="29">
        <v>40612</v>
      </c>
      <c r="B2760" s="28">
        <v>0.84360000000000002</v>
      </c>
      <c r="C2760" s="28">
        <v>2326420529.8600001</v>
      </c>
    </row>
    <row r="2761" spans="1:3" ht="15.5">
      <c r="A2761" s="29">
        <v>40611</v>
      </c>
      <c r="B2761" s="28">
        <v>0.84360000000000002</v>
      </c>
      <c r="C2761" s="28">
        <v>2326420529.8600001</v>
      </c>
    </row>
    <row r="2762" spans="1:3" ht="15.5">
      <c r="A2762" s="29">
        <v>40610</v>
      </c>
      <c r="B2762" s="28">
        <v>0.85340000000000005</v>
      </c>
      <c r="C2762" s="28">
        <v>2353471931.3699999</v>
      </c>
    </row>
    <row r="2763" spans="1:3" ht="15.5">
      <c r="A2763" s="29">
        <v>40609</v>
      </c>
      <c r="B2763" s="28">
        <v>0.84850000000000003</v>
      </c>
      <c r="C2763" s="28">
        <v>2339946230.6149998</v>
      </c>
    </row>
    <row r="2764" spans="1:3" ht="15.5">
      <c r="A2764" s="29">
        <v>40606</v>
      </c>
      <c r="B2764" s="28">
        <v>0.86319999999999997</v>
      </c>
      <c r="C2764" s="28">
        <v>2380523332.8800001</v>
      </c>
    </row>
    <row r="2765" spans="1:3" ht="15.5">
      <c r="A2765" s="29">
        <v>40605</v>
      </c>
      <c r="B2765" s="28">
        <v>0.84360000000000002</v>
      </c>
      <c r="C2765" s="28">
        <v>2326420529.8600001</v>
      </c>
    </row>
    <row r="2766" spans="1:3" ht="15.5">
      <c r="A2766" s="29">
        <v>40604</v>
      </c>
      <c r="B2766" s="28">
        <v>0.84850000000000003</v>
      </c>
      <c r="C2766" s="28">
        <v>2339946230.6149998</v>
      </c>
    </row>
    <row r="2767" spans="1:3" ht="15.5">
      <c r="A2767" s="29">
        <v>40603</v>
      </c>
      <c r="B2767" s="28">
        <v>0.84850000000000003</v>
      </c>
      <c r="C2767" s="28">
        <v>2339946230.6149998</v>
      </c>
    </row>
    <row r="2768" spans="1:3" ht="15.5">
      <c r="A2768" s="29">
        <v>40602</v>
      </c>
      <c r="B2768" s="28">
        <v>0.85340000000000005</v>
      </c>
      <c r="C2768" s="28">
        <v>2353471931.3699999</v>
      </c>
    </row>
    <row r="2769" spans="1:3" ht="15.5">
      <c r="A2769" s="29">
        <v>40599</v>
      </c>
      <c r="B2769" s="28">
        <v>0.8387</v>
      </c>
      <c r="C2769" s="28">
        <v>2312894829.105</v>
      </c>
    </row>
    <row r="2770" spans="1:3" ht="15.5">
      <c r="A2770" s="29">
        <v>40598</v>
      </c>
      <c r="B2770" s="28">
        <v>0.84850000000000003</v>
      </c>
      <c r="C2770" s="28">
        <v>2339946230.6149998</v>
      </c>
    </row>
    <row r="2771" spans="1:3" ht="15.5">
      <c r="A2771" s="29">
        <v>40597</v>
      </c>
      <c r="B2771" s="28">
        <v>0.85340000000000005</v>
      </c>
      <c r="C2771" s="28">
        <v>2353471931.3699999</v>
      </c>
    </row>
    <row r="2772" spans="1:3" ht="15.5">
      <c r="A2772" s="29">
        <v>40596</v>
      </c>
      <c r="B2772" s="28">
        <v>0.85829999999999995</v>
      </c>
      <c r="C2772" s="28">
        <v>2366997632.125</v>
      </c>
    </row>
    <row r="2773" spans="1:3" ht="15.5">
      <c r="A2773" s="29">
        <v>40595</v>
      </c>
      <c r="B2773" s="28">
        <v>0.86809999999999998</v>
      </c>
      <c r="C2773" s="28">
        <v>2394049033.6350002</v>
      </c>
    </row>
    <row r="2774" spans="1:3" ht="15.5">
      <c r="A2774" s="29">
        <v>40592</v>
      </c>
      <c r="B2774" s="28">
        <v>0.86809999999999998</v>
      </c>
      <c r="C2774" s="28">
        <v>2394049033.6350002</v>
      </c>
    </row>
    <row r="2775" spans="1:3" ht="15.5">
      <c r="A2775" s="29">
        <v>40591</v>
      </c>
      <c r="B2775" s="28">
        <v>0.86319999999999997</v>
      </c>
      <c r="C2775" s="28">
        <v>2380523332.8800001</v>
      </c>
    </row>
    <row r="2776" spans="1:3" ht="15.5">
      <c r="A2776" s="29">
        <v>40590</v>
      </c>
      <c r="B2776" s="28">
        <v>0.85340000000000005</v>
      </c>
      <c r="C2776" s="28">
        <v>2353471931.3699999</v>
      </c>
    </row>
    <row r="2777" spans="1:3" ht="15.5">
      <c r="A2777" s="29">
        <v>40589</v>
      </c>
      <c r="B2777" s="28">
        <v>0.86319999999999997</v>
      </c>
      <c r="C2777" s="28">
        <v>2380523332.8800001</v>
      </c>
    </row>
    <row r="2778" spans="1:3" ht="15.5">
      <c r="A2778" s="29">
        <v>40588</v>
      </c>
      <c r="B2778" s="28">
        <v>0.86319999999999997</v>
      </c>
      <c r="C2778" s="28">
        <v>2380523332.8800001</v>
      </c>
    </row>
    <row r="2779" spans="1:3" ht="15.5">
      <c r="A2779" s="29">
        <v>40585</v>
      </c>
      <c r="B2779" s="28">
        <v>0.85829999999999995</v>
      </c>
      <c r="C2779" s="28">
        <v>2366997632.125</v>
      </c>
    </row>
    <row r="2780" spans="1:3" ht="15.5">
      <c r="A2780" s="29">
        <v>40584</v>
      </c>
      <c r="B2780" s="28">
        <v>0.86319999999999997</v>
      </c>
      <c r="C2780" s="28">
        <v>2380523332.8800001</v>
      </c>
    </row>
    <row r="2781" spans="1:3" ht="15.5">
      <c r="A2781" s="29">
        <v>40583</v>
      </c>
      <c r="B2781" s="28">
        <v>0.86319999999999997</v>
      </c>
      <c r="C2781" s="28">
        <v>2380523332.8800001</v>
      </c>
    </row>
    <row r="2782" spans="1:3" ht="15.5">
      <c r="A2782" s="29">
        <v>40582</v>
      </c>
      <c r="B2782" s="28">
        <v>0.86319999999999997</v>
      </c>
      <c r="C2782" s="28">
        <v>2380523332.8800001</v>
      </c>
    </row>
    <row r="2783" spans="1:3" ht="15.5">
      <c r="A2783" s="29">
        <v>40581</v>
      </c>
      <c r="B2783" s="28">
        <v>0.85340000000000005</v>
      </c>
      <c r="C2783" s="28">
        <v>2353471931.3699999</v>
      </c>
    </row>
    <row r="2784" spans="1:3" ht="15.5">
      <c r="A2784" s="29">
        <v>40578</v>
      </c>
      <c r="B2784" s="28">
        <v>0.85829999999999995</v>
      </c>
      <c r="C2784" s="28">
        <v>2366997632.125</v>
      </c>
    </row>
    <row r="2785" spans="1:3" ht="15.5">
      <c r="A2785" s="29">
        <v>40577</v>
      </c>
      <c r="B2785" s="28">
        <v>0.85829999999999995</v>
      </c>
      <c r="C2785" s="28">
        <v>2366997632.125</v>
      </c>
    </row>
    <row r="2786" spans="1:3" ht="15.5">
      <c r="A2786" s="29">
        <v>40576</v>
      </c>
      <c r="B2786" s="28">
        <v>0.86319999999999997</v>
      </c>
      <c r="C2786" s="28">
        <v>2380523332.8800001</v>
      </c>
    </row>
    <row r="2787" spans="1:3" ht="15.5">
      <c r="A2787" s="29">
        <v>40575</v>
      </c>
      <c r="B2787" s="28">
        <v>0.85340000000000005</v>
      </c>
      <c r="C2787" s="28">
        <v>2353471931.3699999</v>
      </c>
    </row>
    <row r="2788" spans="1:3" ht="15.5">
      <c r="A2788" s="29">
        <v>40574</v>
      </c>
      <c r="B2788" s="28">
        <v>0.86319999999999997</v>
      </c>
      <c r="C2788" s="28">
        <v>2380523332.8800001</v>
      </c>
    </row>
    <row r="2789" spans="1:3" ht="15.5">
      <c r="A2789" s="29">
        <v>40571</v>
      </c>
      <c r="B2789" s="28">
        <v>0.86809999999999998</v>
      </c>
      <c r="C2789" s="28">
        <v>2394049033.6350002</v>
      </c>
    </row>
    <row r="2790" spans="1:3" ht="15.5">
      <c r="A2790" s="29">
        <v>40570</v>
      </c>
      <c r="B2790" s="28">
        <v>0.85829999999999995</v>
      </c>
      <c r="C2790" s="28">
        <v>2366997632.125</v>
      </c>
    </row>
    <row r="2791" spans="1:3" ht="15.5">
      <c r="A2791" s="29">
        <v>40568</v>
      </c>
      <c r="B2791" s="28">
        <v>0.85829999999999995</v>
      </c>
      <c r="C2791" s="28">
        <v>2366997632.125</v>
      </c>
    </row>
    <row r="2792" spans="1:3" ht="15.5">
      <c r="A2792" s="29">
        <v>40567</v>
      </c>
      <c r="B2792" s="28">
        <v>0.86319999999999997</v>
      </c>
      <c r="C2792" s="28">
        <v>2380523332.8800001</v>
      </c>
    </row>
    <row r="2793" spans="1:3" ht="15.5">
      <c r="A2793" s="29">
        <v>40564</v>
      </c>
      <c r="B2793" s="28">
        <v>0.86319999999999997</v>
      </c>
      <c r="C2793" s="28">
        <v>2380523332.8800001</v>
      </c>
    </row>
    <row r="2794" spans="1:3" ht="15.5">
      <c r="A2794" s="29">
        <v>40563</v>
      </c>
      <c r="B2794" s="28">
        <v>0.86809999999999998</v>
      </c>
      <c r="C2794" s="28">
        <v>2394049033.6350002</v>
      </c>
    </row>
    <row r="2795" spans="1:3" ht="15.5">
      <c r="A2795" s="29">
        <v>40562</v>
      </c>
      <c r="B2795" s="28">
        <v>0.87790000000000001</v>
      </c>
      <c r="C2795" s="28">
        <v>2421100435.145</v>
      </c>
    </row>
    <row r="2796" spans="1:3" ht="15.5">
      <c r="A2796" s="29">
        <v>40561</v>
      </c>
      <c r="B2796" s="28">
        <v>0.88280000000000003</v>
      </c>
      <c r="C2796" s="28">
        <v>2434626135.9000001</v>
      </c>
    </row>
    <row r="2797" spans="1:3" ht="15.5">
      <c r="A2797" s="29">
        <v>40560</v>
      </c>
      <c r="B2797" s="28">
        <v>0.86809999999999998</v>
      </c>
      <c r="C2797" s="28">
        <v>2394049033.6350002</v>
      </c>
    </row>
    <row r="2798" spans="1:3" ht="15.5">
      <c r="A2798" s="29">
        <v>40557</v>
      </c>
      <c r="B2798" s="28">
        <v>0.86809999999999998</v>
      </c>
      <c r="C2798" s="28">
        <v>2394049033.6350002</v>
      </c>
    </row>
    <row r="2799" spans="1:3" ht="15.5">
      <c r="A2799" s="29">
        <v>40556</v>
      </c>
      <c r="B2799" s="28">
        <v>0.86809999999999998</v>
      </c>
      <c r="C2799" s="28">
        <v>2394049033.6350002</v>
      </c>
    </row>
    <row r="2800" spans="1:3" ht="15.5">
      <c r="A2800" s="29">
        <v>40555</v>
      </c>
      <c r="B2800" s="28">
        <v>0.86319999999999997</v>
      </c>
      <c r="C2800" s="28">
        <v>2380523332.8800001</v>
      </c>
    </row>
    <row r="2801" spans="1:3" ht="15.5">
      <c r="A2801" s="29">
        <v>40554</v>
      </c>
      <c r="B2801" s="28">
        <v>0.873</v>
      </c>
      <c r="C2801" s="28">
        <v>2407574734.3899999</v>
      </c>
    </row>
    <row r="2802" spans="1:3" ht="15.5">
      <c r="A2802" s="29">
        <v>40553</v>
      </c>
      <c r="B2802" s="28">
        <v>0.87790000000000001</v>
      </c>
      <c r="C2802" s="28">
        <v>2421100435.145</v>
      </c>
    </row>
    <row r="2803" spans="1:3" ht="15.5">
      <c r="A2803" s="29">
        <v>40550</v>
      </c>
      <c r="B2803" s="28">
        <v>0.87790000000000001</v>
      </c>
      <c r="C2803" s="28">
        <v>2421100435.145</v>
      </c>
    </row>
    <row r="2804" spans="1:3" ht="15.5">
      <c r="A2804" s="29">
        <v>40549</v>
      </c>
      <c r="B2804" s="28">
        <v>0.85340000000000005</v>
      </c>
      <c r="C2804" s="28">
        <v>2353471931.3699999</v>
      </c>
    </row>
    <row r="2805" spans="1:3" ht="15.5">
      <c r="A2805" s="29">
        <v>40548</v>
      </c>
      <c r="B2805" s="28">
        <v>0.85340000000000005</v>
      </c>
      <c r="C2805" s="28">
        <v>2353471931.3699999</v>
      </c>
    </row>
    <row r="2806" spans="1:3" ht="15.5">
      <c r="A2806" s="29">
        <v>40547</v>
      </c>
      <c r="B2806" s="28">
        <v>0.84850000000000003</v>
      </c>
      <c r="C2806" s="28">
        <v>2339946230.6149998</v>
      </c>
    </row>
    <row r="2807" spans="1:3" ht="15.5">
      <c r="A2807" s="29">
        <v>40543</v>
      </c>
      <c r="B2807" s="28">
        <v>0.85340000000000005</v>
      </c>
      <c r="C2807" s="28">
        <v>2353471931.3699999</v>
      </c>
    </row>
    <row r="2808" spans="1:3" ht="15.5">
      <c r="A2808" s="29">
        <v>40542</v>
      </c>
      <c r="B2808" s="28">
        <v>0.86319999999999997</v>
      </c>
      <c r="C2808" s="28">
        <v>2380523332.8800001</v>
      </c>
    </row>
    <row r="2809" spans="1:3" ht="15.5">
      <c r="A2809" s="29">
        <v>40541</v>
      </c>
      <c r="B2809" s="28">
        <v>0.85829999999999995</v>
      </c>
      <c r="C2809" s="28">
        <v>2366997632.125</v>
      </c>
    </row>
    <row r="2810" spans="1:3" ht="15.5">
      <c r="A2810" s="29">
        <v>40536</v>
      </c>
      <c r="B2810" s="28">
        <v>0.85340000000000005</v>
      </c>
      <c r="C2810" s="28">
        <v>2353471931.3699999</v>
      </c>
    </row>
    <row r="2811" spans="1:3" ht="15.5">
      <c r="A2811" s="29">
        <v>40535</v>
      </c>
      <c r="B2811" s="28">
        <v>0.86319999999999997</v>
      </c>
      <c r="C2811" s="28">
        <v>2380523332.8800001</v>
      </c>
    </row>
    <row r="2812" spans="1:3" ht="15.5">
      <c r="A2812" s="29">
        <v>40534</v>
      </c>
      <c r="B2812" s="28">
        <v>0.85829999999999995</v>
      </c>
      <c r="C2812" s="28">
        <v>2366997632.125</v>
      </c>
    </row>
    <row r="2813" spans="1:3" ht="15.5">
      <c r="A2813" s="29">
        <v>40533</v>
      </c>
      <c r="B2813" s="28">
        <v>0.86809999999999998</v>
      </c>
      <c r="C2813" s="28">
        <v>2394049033.6350002</v>
      </c>
    </row>
    <row r="2814" spans="1:3" ht="15.5">
      <c r="A2814" s="29">
        <v>40532</v>
      </c>
      <c r="B2814" s="28">
        <v>0.873</v>
      </c>
      <c r="C2814" s="28">
        <v>2407574734.3899999</v>
      </c>
    </row>
    <row r="2815" spans="1:3" ht="15.5">
      <c r="A2815" s="29">
        <v>40529</v>
      </c>
      <c r="B2815" s="28">
        <v>0.88770000000000004</v>
      </c>
      <c r="C2815" s="28">
        <v>2448151836.6550002</v>
      </c>
    </row>
    <row r="2816" spans="1:3" ht="15.5">
      <c r="A2816" s="29">
        <v>40528</v>
      </c>
      <c r="B2816" s="28">
        <v>0.87790000000000001</v>
      </c>
      <c r="C2816" s="28">
        <v>2421100435.145</v>
      </c>
    </row>
    <row r="2817" spans="1:3" ht="15.5">
      <c r="A2817" s="29">
        <v>40527</v>
      </c>
      <c r="B2817" s="28">
        <v>0.85340000000000005</v>
      </c>
      <c r="C2817" s="28">
        <v>2353471931.3699999</v>
      </c>
    </row>
    <row r="2818" spans="1:3" ht="15.5">
      <c r="A2818" s="29">
        <v>40526</v>
      </c>
      <c r="B2818" s="28">
        <v>0.84850000000000003</v>
      </c>
      <c r="C2818" s="28">
        <v>2339946230.6149998</v>
      </c>
    </row>
    <row r="2819" spans="1:3" ht="15.5">
      <c r="A2819" s="29">
        <v>40525</v>
      </c>
      <c r="B2819" s="28">
        <v>0.85340000000000005</v>
      </c>
      <c r="C2819" s="28">
        <v>2353471931.3699999</v>
      </c>
    </row>
    <row r="2820" spans="1:3" ht="15.5">
      <c r="A2820" s="29">
        <v>40522</v>
      </c>
      <c r="B2820" s="28">
        <v>0.84850000000000003</v>
      </c>
      <c r="C2820" s="28">
        <v>2339946230.6149998</v>
      </c>
    </row>
    <row r="2821" spans="1:3" ht="15.5">
      <c r="A2821" s="29">
        <v>40521</v>
      </c>
      <c r="B2821" s="28">
        <v>0.85829999999999995</v>
      </c>
      <c r="C2821" s="28">
        <v>2366997632.125</v>
      </c>
    </row>
    <row r="2822" spans="1:3" ht="15.5">
      <c r="A2822" s="29">
        <v>40520</v>
      </c>
      <c r="B2822" s="28">
        <v>0.873</v>
      </c>
      <c r="C2822" s="28">
        <v>2407574734.3899999</v>
      </c>
    </row>
    <row r="2823" spans="1:3" ht="15.5">
      <c r="A2823" s="29">
        <v>40519</v>
      </c>
      <c r="B2823" s="28">
        <v>0.87790000000000001</v>
      </c>
      <c r="C2823" s="28">
        <v>2421100435.145</v>
      </c>
    </row>
    <row r="2824" spans="1:3" ht="15.5">
      <c r="A2824" s="29">
        <v>40518</v>
      </c>
      <c r="B2824" s="28">
        <v>0.873</v>
      </c>
      <c r="C2824" s="28">
        <v>2407574734.3899999</v>
      </c>
    </row>
    <row r="2825" spans="1:3" ht="15.5">
      <c r="A2825" s="29">
        <v>40515</v>
      </c>
      <c r="B2825" s="28">
        <v>0.87790000000000001</v>
      </c>
      <c r="C2825" s="28">
        <v>2421100435.145</v>
      </c>
    </row>
    <row r="2826" spans="1:3" ht="15.5">
      <c r="A2826" s="29">
        <v>40514</v>
      </c>
      <c r="B2826" s="28">
        <v>0.873</v>
      </c>
      <c r="C2826" s="28">
        <v>2407574734.3899999</v>
      </c>
    </row>
    <row r="2827" spans="1:3" ht="15.5">
      <c r="A2827" s="29">
        <v>40513</v>
      </c>
      <c r="B2827" s="28">
        <v>0.873</v>
      </c>
      <c r="C2827" s="28">
        <v>2407574734.3899999</v>
      </c>
    </row>
    <row r="2828" spans="1:3" ht="15.5">
      <c r="A2828" s="29">
        <v>40512</v>
      </c>
      <c r="B2828" s="28">
        <v>0.88280000000000003</v>
      </c>
      <c r="C2828" s="28">
        <v>2434626135.9000001</v>
      </c>
    </row>
    <row r="2829" spans="1:3" ht="15.5">
      <c r="A2829" s="29">
        <v>40511</v>
      </c>
      <c r="B2829" s="28">
        <v>0.873</v>
      </c>
      <c r="C2829" s="28">
        <v>2407574734.3899999</v>
      </c>
    </row>
    <row r="2830" spans="1:3" ht="15.5">
      <c r="A2830" s="29">
        <v>40508</v>
      </c>
      <c r="B2830" s="28">
        <v>0.88280000000000003</v>
      </c>
      <c r="C2830" s="28">
        <v>2434626135.9000001</v>
      </c>
    </row>
    <row r="2831" spans="1:3" ht="15.5">
      <c r="A2831" s="29">
        <v>40507</v>
      </c>
      <c r="B2831" s="28">
        <v>0.88280000000000003</v>
      </c>
      <c r="C2831" s="28">
        <v>2434626135.9000001</v>
      </c>
    </row>
    <row r="2832" spans="1:3" ht="15.5">
      <c r="A2832" s="29">
        <v>40506</v>
      </c>
      <c r="B2832" s="28">
        <v>0.87790000000000001</v>
      </c>
      <c r="C2832" s="28">
        <v>2421100435.145</v>
      </c>
    </row>
    <row r="2833" spans="1:3" ht="15.5">
      <c r="A2833" s="29">
        <v>40505</v>
      </c>
      <c r="B2833" s="28">
        <v>0.86319999999999997</v>
      </c>
      <c r="C2833" s="28">
        <v>2380523332.8800001</v>
      </c>
    </row>
    <row r="2834" spans="1:3" ht="15.5">
      <c r="A2834" s="29">
        <v>40504</v>
      </c>
      <c r="B2834" s="28">
        <v>0.86319999999999997</v>
      </c>
      <c r="C2834" s="28">
        <v>2380523332.8800001</v>
      </c>
    </row>
    <row r="2835" spans="1:3" ht="15.5">
      <c r="A2835" s="29">
        <v>40501</v>
      </c>
      <c r="B2835" s="28">
        <v>0.89749999999999996</v>
      </c>
      <c r="C2835" s="28">
        <v>2475203238.165</v>
      </c>
    </row>
    <row r="2836" spans="1:3" ht="15.5">
      <c r="A2836" s="29">
        <v>40500</v>
      </c>
      <c r="B2836" s="28">
        <v>0.9123</v>
      </c>
      <c r="C2836" s="28">
        <v>2515780340.4299998</v>
      </c>
    </row>
    <row r="2837" spans="1:3" ht="15.5">
      <c r="A2837" s="29">
        <v>40499</v>
      </c>
      <c r="B2837" s="28">
        <v>0.9123</v>
      </c>
      <c r="C2837" s="28">
        <v>2515780340.4299998</v>
      </c>
    </row>
    <row r="2838" spans="1:3" ht="15.5">
      <c r="A2838" s="29">
        <v>40498</v>
      </c>
      <c r="B2838" s="28">
        <v>0.91720000000000002</v>
      </c>
      <c r="C2838" s="28">
        <v>2529306041.1849999</v>
      </c>
    </row>
    <row r="2839" spans="1:3" ht="15.5">
      <c r="A2839" s="29">
        <v>40497</v>
      </c>
      <c r="B2839" s="28">
        <v>0.92210000000000003</v>
      </c>
      <c r="C2839" s="28">
        <v>2542831741.9400001</v>
      </c>
    </row>
    <row r="2840" spans="1:3" ht="15.5">
      <c r="A2840" s="29">
        <v>40494</v>
      </c>
      <c r="B2840" s="28">
        <v>0.92210000000000003</v>
      </c>
      <c r="C2840" s="28">
        <v>2542831741.9400001</v>
      </c>
    </row>
    <row r="2841" spans="1:3" ht="15.5">
      <c r="A2841" s="29">
        <v>40493</v>
      </c>
      <c r="B2841" s="28">
        <v>0.92210000000000003</v>
      </c>
      <c r="C2841" s="28">
        <v>2542831741.9400001</v>
      </c>
    </row>
    <row r="2842" spans="1:3" ht="15.5">
      <c r="A2842" s="29">
        <v>40492</v>
      </c>
      <c r="B2842" s="28">
        <v>0.90739999999999998</v>
      </c>
      <c r="C2842" s="28">
        <v>2502254639.6750002</v>
      </c>
    </row>
    <row r="2843" spans="1:3" ht="15.5">
      <c r="A2843" s="29">
        <v>40491</v>
      </c>
      <c r="B2843" s="28">
        <v>0.89749999999999996</v>
      </c>
      <c r="C2843" s="28">
        <v>2475203238.165</v>
      </c>
    </row>
    <row r="2844" spans="1:3" ht="15.5">
      <c r="A2844" s="29">
        <v>40490</v>
      </c>
      <c r="B2844" s="28">
        <v>0.89259999999999995</v>
      </c>
      <c r="C2844" s="28">
        <v>2461677537.4099998</v>
      </c>
    </row>
    <row r="2845" spans="1:3" ht="15.5">
      <c r="A2845" s="29">
        <v>40487</v>
      </c>
      <c r="B2845" s="28">
        <v>0.89749999999999996</v>
      </c>
      <c r="C2845" s="28">
        <v>2475203238.165</v>
      </c>
    </row>
    <row r="2846" spans="1:3" ht="15.5">
      <c r="A2846" s="29">
        <v>40486</v>
      </c>
      <c r="B2846" s="28">
        <v>0.91720000000000002</v>
      </c>
      <c r="C2846" s="28">
        <v>2529306041.1849999</v>
      </c>
    </row>
    <row r="2847" spans="1:3" ht="15.5">
      <c r="A2847" s="29">
        <v>40485</v>
      </c>
      <c r="B2847" s="28">
        <v>0.90249999999999997</v>
      </c>
      <c r="C2847" s="28">
        <v>2488728938.9200001</v>
      </c>
    </row>
    <row r="2848" spans="1:3" ht="15.5">
      <c r="A2848" s="29">
        <v>40484</v>
      </c>
      <c r="B2848" s="28">
        <v>0.9123</v>
      </c>
      <c r="C2848" s="28">
        <v>2515780340.4299998</v>
      </c>
    </row>
    <row r="2849" spans="1:3" ht="15.5">
      <c r="A2849" s="29">
        <v>40483</v>
      </c>
      <c r="B2849" s="28">
        <v>0.92210000000000003</v>
      </c>
      <c r="C2849" s="28">
        <v>2542831741.9400001</v>
      </c>
    </row>
    <row r="2850" spans="1:3" ht="15.5">
      <c r="A2850" s="29">
        <v>40480</v>
      </c>
      <c r="B2850" s="28">
        <v>0.9123</v>
      </c>
      <c r="C2850" s="28">
        <v>2515780340.4299998</v>
      </c>
    </row>
    <row r="2851" spans="1:3" ht="15.5">
      <c r="A2851" s="29">
        <v>40479</v>
      </c>
      <c r="B2851" s="28">
        <v>0.9466</v>
      </c>
      <c r="C2851" s="28">
        <v>2610460245.7150002</v>
      </c>
    </row>
    <row r="2852" spans="1:3" ht="15.5">
      <c r="A2852" s="29">
        <v>40478</v>
      </c>
      <c r="B2852" s="28">
        <v>0.91720000000000002</v>
      </c>
      <c r="C2852" s="28">
        <v>2529306041.1849999</v>
      </c>
    </row>
    <row r="2853" spans="1:3" ht="15.5">
      <c r="A2853" s="29">
        <v>40477</v>
      </c>
      <c r="B2853" s="28">
        <v>0.93679999999999997</v>
      </c>
      <c r="C2853" s="28">
        <v>2583408844.2049999</v>
      </c>
    </row>
    <row r="2854" spans="1:3" ht="15.5">
      <c r="A2854" s="29">
        <v>40476</v>
      </c>
      <c r="B2854" s="28">
        <v>0.9466</v>
      </c>
      <c r="C2854" s="28">
        <v>2610460245.7150002</v>
      </c>
    </row>
    <row r="2855" spans="1:3" ht="15.5">
      <c r="A2855" s="29">
        <v>40473</v>
      </c>
      <c r="B2855" s="28">
        <v>0.9123</v>
      </c>
      <c r="C2855" s="28">
        <v>2515780340.4299998</v>
      </c>
    </row>
    <row r="2856" spans="1:3" ht="15.5">
      <c r="A2856" s="29">
        <v>40472</v>
      </c>
      <c r="B2856" s="28">
        <v>0.9123</v>
      </c>
      <c r="C2856" s="28">
        <v>2515780340.4299998</v>
      </c>
    </row>
    <row r="2857" spans="1:3" ht="15.5">
      <c r="A2857" s="29">
        <v>40471</v>
      </c>
      <c r="B2857" s="28">
        <v>0.93189999999999995</v>
      </c>
      <c r="C2857" s="28">
        <v>2569883143.4499998</v>
      </c>
    </row>
    <row r="2858" spans="1:3" ht="15.5">
      <c r="A2858" s="29">
        <v>40470</v>
      </c>
      <c r="B2858" s="28">
        <v>0.90249999999999997</v>
      </c>
      <c r="C2858" s="28">
        <v>2488728938.9200001</v>
      </c>
    </row>
    <row r="2859" spans="1:3" ht="15.5">
      <c r="A2859" s="29">
        <v>40469</v>
      </c>
      <c r="B2859" s="28">
        <v>0.88770000000000004</v>
      </c>
      <c r="C2859" s="28">
        <v>2448151836.6550002</v>
      </c>
    </row>
    <row r="2860" spans="1:3" ht="15.5">
      <c r="A2860" s="29">
        <v>40466</v>
      </c>
      <c r="B2860" s="28">
        <v>0.88280000000000003</v>
      </c>
      <c r="C2860" s="28">
        <v>2434626135.9000001</v>
      </c>
    </row>
    <row r="2861" spans="1:3" ht="15.5">
      <c r="A2861" s="29">
        <v>40465</v>
      </c>
      <c r="B2861" s="28">
        <v>0.85829999999999995</v>
      </c>
      <c r="C2861" s="28">
        <v>2366997632.125</v>
      </c>
    </row>
    <row r="2862" spans="1:3" ht="15.5">
      <c r="A2862" s="29">
        <v>40464</v>
      </c>
      <c r="B2862" s="28">
        <v>0.84360000000000002</v>
      </c>
      <c r="C2862" s="28">
        <v>2326420529.8600001</v>
      </c>
    </row>
    <row r="2863" spans="1:3" ht="15.5">
      <c r="A2863" s="29">
        <v>40463</v>
      </c>
      <c r="B2863" s="28">
        <v>0.85340000000000005</v>
      </c>
      <c r="C2863" s="28">
        <v>2353471931.3699999</v>
      </c>
    </row>
    <row r="2864" spans="1:3" ht="15.5">
      <c r="A2864" s="29">
        <v>40462</v>
      </c>
      <c r="B2864" s="28">
        <v>0.873</v>
      </c>
      <c r="C2864" s="28">
        <v>2407574734.3899999</v>
      </c>
    </row>
    <row r="2865" spans="1:3" ht="15.5">
      <c r="A2865" s="29">
        <v>40459</v>
      </c>
      <c r="B2865" s="28">
        <v>0.87790000000000001</v>
      </c>
      <c r="C2865" s="28">
        <v>2421100435.145</v>
      </c>
    </row>
    <row r="2866" spans="1:3" ht="15.5">
      <c r="A2866" s="29">
        <v>40458</v>
      </c>
      <c r="B2866" s="28">
        <v>0.88280000000000003</v>
      </c>
      <c r="C2866" s="28">
        <v>2434626135.9000001</v>
      </c>
    </row>
    <row r="2867" spans="1:3" ht="15.5">
      <c r="A2867" s="29">
        <v>40457</v>
      </c>
      <c r="B2867" s="28">
        <v>0.88280000000000003</v>
      </c>
      <c r="C2867" s="28">
        <v>2434626135.9000001</v>
      </c>
    </row>
    <row r="2868" spans="1:3" ht="15.5">
      <c r="A2868" s="29">
        <v>40456</v>
      </c>
      <c r="B2868" s="28">
        <v>0.873</v>
      </c>
      <c r="C2868" s="28">
        <v>2407574734.3899999</v>
      </c>
    </row>
    <row r="2869" spans="1:3" ht="15.5">
      <c r="A2869" s="29">
        <v>40455</v>
      </c>
      <c r="B2869" s="28">
        <v>0.85340000000000005</v>
      </c>
      <c r="C2869" s="28">
        <v>2353471931.3699999</v>
      </c>
    </row>
    <row r="2870" spans="1:3" ht="15.5">
      <c r="A2870" s="29">
        <v>40452</v>
      </c>
      <c r="B2870" s="28">
        <v>0.8387</v>
      </c>
      <c r="C2870" s="28">
        <v>2312894829.105</v>
      </c>
    </row>
    <row r="2871" spans="1:3" ht="15.5">
      <c r="A2871" s="29">
        <v>40451</v>
      </c>
      <c r="B2871" s="28">
        <v>0.84360000000000002</v>
      </c>
      <c r="C2871" s="28">
        <v>2326420529.8600001</v>
      </c>
    </row>
    <row r="2872" spans="1:3" ht="15.5">
      <c r="A2872" s="29">
        <v>40450</v>
      </c>
      <c r="B2872" s="28">
        <v>0.86319999999999997</v>
      </c>
      <c r="C2872" s="28">
        <v>2380523332.8800001</v>
      </c>
    </row>
    <row r="2873" spans="1:3" ht="15.5">
      <c r="A2873" s="29">
        <v>40449</v>
      </c>
      <c r="B2873" s="28">
        <v>0.873</v>
      </c>
      <c r="C2873" s="28">
        <v>2407574734.3899999</v>
      </c>
    </row>
    <row r="2874" spans="1:3" ht="15.5">
      <c r="A2874" s="29">
        <v>40448</v>
      </c>
      <c r="B2874" s="28">
        <v>0.86809999999999998</v>
      </c>
      <c r="C2874" s="28">
        <v>2394049033.6350002</v>
      </c>
    </row>
    <row r="2875" spans="1:3" ht="15.5">
      <c r="A2875" s="29">
        <v>40445</v>
      </c>
      <c r="B2875" s="28">
        <v>0.86809999999999998</v>
      </c>
      <c r="C2875" s="28">
        <v>2394049033.6350002</v>
      </c>
    </row>
    <row r="2876" spans="1:3" ht="15.5">
      <c r="A2876" s="29">
        <v>40444</v>
      </c>
      <c r="B2876" s="28">
        <v>0.86809999999999998</v>
      </c>
      <c r="C2876" s="28">
        <v>2394049033.6350002</v>
      </c>
    </row>
    <row r="2877" spans="1:3" ht="15.5">
      <c r="A2877" s="29">
        <v>40443</v>
      </c>
      <c r="B2877" s="28">
        <v>0.86809999999999998</v>
      </c>
      <c r="C2877" s="28">
        <v>2394049033.6350002</v>
      </c>
    </row>
    <row r="2878" spans="1:3" ht="15.5">
      <c r="A2878" s="29">
        <v>40442</v>
      </c>
      <c r="B2878" s="28">
        <v>0.873</v>
      </c>
      <c r="C2878" s="28">
        <v>2407574734.3899999</v>
      </c>
    </row>
    <row r="2879" spans="1:3" ht="15.5">
      <c r="A2879" s="29">
        <v>40441</v>
      </c>
      <c r="B2879" s="28">
        <v>0.85829999999999995</v>
      </c>
      <c r="C2879" s="28">
        <v>2366997632.125</v>
      </c>
    </row>
    <row r="2880" spans="1:3" ht="15.5">
      <c r="A2880" s="29">
        <v>40438</v>
      </c>
      <c r="B2880" s="28">
        <v>0.83379999999999999</v>
      </c>
      <c r="C2880" s="28">
        <v>2299369128.3499999</v>
      </c>
    </row>
    <row r="2881" spans="1:3" ht="15.5">
      <c r="A2881" s="29">
        <v>40437</v>
      </c>
      <c r="B2881" s="28">
        <v>0.83379999999999999</v>
      </c>
      <c r="C2881" s="28">
        <v>2299369128.3499999</v>
      </c>
    </row>
    <row r="2882" spans="1:3" ht="15.5">
      <c r="A2882" s="29">
        <v>40436</v>
      </c>
      <c r="B2882" s="28">
        <v>0.84850000000000003</v>
      </c>
      <c r="C2882" s="28">
        <v>2339946230.6149998</v>
      </c>
    </row>
    <row r="2883" spans="1:3" ht="15.5">
      <c r="A2883" s="29">
        <v>40435</v>
      </c>
      <c r="B2883" s="28">
        <v>0.85340000000000005</v>
      </c>
      <c r="C2883" s="28">
        <v>2353471931.3699999</v>
      </c>
    </row>
    <row r="2884" spans="1:3" ht="15.5">
      <c r="A2884" s="29">
        <v>40434</v>
      </c>
      <c r="B2884" s="28">
        <v>0.86809999999999998</v>
      </c>
      <c r="C2884" s="28">
        <v>2394049033.6350002</v>
      </c>
    </row>
    <row r="2885" spans="1:3" ht="15.5">
      <c r="A2885" s="29">
        <v>40431</v>
      </c>
      <c r="B2885" s="28">
        <v>0.873</v>
      </c>
      <c r="C2885" s="28">
        <v>2407574734.3899999</v>
      </c>
    </row>
    <row r="2886" spans="1:3" ht="15.5">
      <c r="A2886" s="29">
        <v>40430</v>
      </c>
      <c r="B2886" s="28">
        <v>0.87790000000000001</v>
      </c>
      <c r="C2886" s="28">
        <v>2421100435.145</v>
      </c>
    </row>
    <row r="2887" spans="1:3" ht="15.5">
      <c r="A2887" s="29">
        <v>40429</v>
      </c>
      <c r="B2887" s="28">
        <v>0.86809999999999998</v>
      </c>
      <c r="C2887" s="28">
        <v>2394049033.6350002</v>
      </c>
    </row>
    <row r="2888" spans="1:3" ht="15.5">
      <c r="A2888" s="29">
        <v>40428</v>
      </c>
      <c r="B2888" s="28">
        <v>0.87790000000000001</v>
      </c>
      <c r="C2888" s="28">
        <v>2421100435.145</v>
      </c>
    </row>
    <row r="2889" spans="1:3" ht="15.5">
      <c r="A2889" s="29">
        <v>40427</v>
      </c>
      <c r="B2889" s="28">
        <v>0.86809999999999998</v>
      </c>
      <c r="C2889" s="28">
        <v>2394049033.6350002</v>
      </c>
    </row>
    <row r="2890" spans="1:3" ht="15.5">
      <c r="A2890" s="29">
        <v>40424</v>
      </c>
      <c r="B2890" s="28">
        <v>0.84360000000000002</v>
      </c>
      <c r="C2890" s="28">
        <v>2326420529.8600001</v>
      </c>
    </row>
    <row r="2891" spans="1:3" ht="15.5">
      <c r="A2891" s="29">
        <v>40423</v>
      </c>
      <c r="B2891" s="28">
        <v>0.79949999999999999</v>
      </c>
      <c r="C2891" s="28">
        <v>2204689223.0650001</v>
      </c>
    </row>
    <row r="2892" spans="1:3" ht="15.5">
      <c r="A2892" s="29">
        <v>40422</v>
      </c>
      <c r="B2892" s="28">
        <v>0.79949999999999999</v>
      </c>
      <c r="C2892" s="28">
        <v>2204689223.0650001</v>
      </c>
    </row>
    <row r="2893" spans="1:3" ht="15.5">
      <c r="A2893" s="29">
        <v>40421</v>
      </c>
      <c r="B2893" s="28">
        <v>0.78469999999999995</v>
      </c>
      <c r="C2893" s="28">
        <v>2164112120.8000002</v>
      </c>
    </row>
    <row r="2894" spans="1:3" ht="15.5">
      <c r="A2894" s="29">
        <v>40420</v>
      </c>
      <c r="B2894" s="28">
        <v>0.79459999999999997</v>
      </c>
      <c r="C2894" s="28">
        <v>2191163522.3099999</v>
      </c>
    </row>
    <row r="2895" spans="1:3" ht="15.5">
      <c r="A2895" s="29">
        <v>40417</v>
      </c>
      <c r="B2895" s="28">
        <v>0.77490000000000003</v>
      </c>
      <c r="C2895" s="28">
        <v>2137060719.29</v>
      </c>
    </row>
    <row r="2896" spans="1:3" ht="15.5">
      <c r="A2896" s="29">
        <v>40416</v>
      </c>
      <c r="B2896" s="28">
        <v>0.77490000000000003</v>
      </c>
      <c r="C2896" s="28">
        <v>2137060719.29</v>
      </c>
    </row>
    <row r="2897" spans="1:3" ht="15.5">
      <c r="A2897" s="29">
        <v>40415</v>
      </c>
      <c r="B2897" s="28">
        <v>0.78469999999999995</v>
      </c>
      <c r="C2897" s="28">
        <v>2164112120.8000002</v>
      </c>
    </row>
    <row r="2898" spans="1:3" ht="15.5">
      <c r="A2898" s="29">
        <v>40414</v>
      </c>
      <c r="B2898" s="28">
        <v>0.77490000000000003</v>
      </c>
      <c r="C2898" s="28">
        <v>2137060719.29</v>
      </c>
    </row>
    <row r="2899" spans="1:3" ht="15.5">
      <c r="A2899" s="29">
        <v>40413</v>
      </c>
      <c r="B2899" s="28">
        <v>0.77490000000000003</v>
      </c>
      <c r="C2899" s="28">
        <v>2137060719.29</v>
      </c>
    </row>
    <row r="2900" spans="1:3" ht="15.5">
      <c r="A2900" s="29">
        <v>40410</v>
      </c>
      <c r="B2900" s="28">
        <v>0.77980000000000005</v>
      </c>
      <c r="C2900" s="28">
        <v>2150586420.0450001</v>
      </c>
    </row>
    <row r="2901" spans="1:3" ht="15.5">
      <c r="A2901" s="29">
        <v>40409</v>
      </c>
      <c r="B2901" s="28">
        <v>0.78469999999999995</v>
      </c>
      <c r="C2901" s="28">
        <v>2164112120.8000002</v>
      </c>
    </row>
    <row r="2902" spans="1:3" ht="15.5">
      <c r="A2902" s="29">
        <v>40408</v>
      </c>
      <c r="B2902" s="28">
        <v>0.78469999999999995</v>
      </c>
      <c r="C2902" s="28">
        <v>2164112120.8000002</v>
      </c>
    </row>
    <row r="2903" spans="1:3" ht="15.5">
      <c r="A2903" s="29">
        <v>40407</v>
      </c>
      <c r="B2903" s="28">
        <v>0.78469999999999995</v>
      </c>
      <c r="C2903" s="28">
        <v>2164112120.8000002</v>
      </c>
    </row>
    <row r="2904" spans="1:3" ht="15.5">
      <c r="A2904" s="29">
        <v>40406</v>
      </c>
      <c r="B2904" s="28">
        <v>0.7651</v>
      </c>
      <c r="C2904" s="28">
        <v>2110009317.78</v>
      </c>
    </row>
    <row r="2905" spans="1:3" ht="15.5">
      <c r="A2905" s="29">
        <v>40403</v>
      </c>
      <c r="B2905" s="28">
        <v>0.7651</v>
      </c>
      <c r="C2905" s="28">
        <v>2110009317.78</v>
      </c>
    </row>
    <row r="2906" spans="1:3" ht="15.5">
      <c r="A2906" s="29">
        <v>40402</v>
      </c>
      <c r="B2906" s="28">
        <v>0.77</v>
      </c>
      <c r="C2906" s="28">
        <v>2123535018.5350001</v>
      </c>
    </row>
    <row r="2907" spans="1:3" ht="15.5">
      <c r="A2907" s="29">
        <v>40401</v>
      </c>
      <c r="B2907" s="28">
        <v>0.77490000000000003</v>
      </c>
      <c r="C2907" s="28">
        <v>2137060719.29</v>
      </c>
    </row>
    <row r="2908" spans="1:3" ht="15.5">
      <c r="A2908" s="29">
        <v>40400</v>
      </c>
      <c r="B2908" s="28">
        <v>0.77980000000000005</v>
      </c>
      <c r="C2908" s="28">
        <v>2150586420.0450001</v>
      </c>
    </row>
    <row r="2909" spans="1:3" ht="15.5">
      <c r="A2909" s="29">
        <v>40399</v>
      </c>
      <c r="B2909" s="28">
        <v>0.78469999999999995</v>
      </c>
      <c r="C2909" s="28">
        <v>2164112120.8000002</v>
      </c>
    </row>
    <row r="2910" spans="1:3" ht="15.5">
      <c r="A2910" s="29">
        <v>40396</v>
      </c>
      <c r="B2910" s="28">
        <v>0.77</v>
      </c>
      <c r="C2910" s="28">
        <v>2123535018.5350001</v>
      </c>
    </row>
    <row r="2911" spans="1:3" ht="15.5">
      <c r="A2911" s="29">
        <v>40395</v>
      </c>
      <c r="B2911" s="28">
        <v>0.7651</v>
      </c>
      <c r="C2911" s="28">
        <v>2110009317.78</v>
      </c>
    </row>
    <row r="2912" spans="1:3" ht="15.5">
      <c r="A2912" s="29">
        <v>40394</v>
      </c>
      <c r="B2912" s="28">
        <v>0.77490000000000003</v>
      </c>
      <c r="C2912" s="28">
        <v>2137060719.29</v>
      </c>
    </row>
    <row r="2913" spans="1:3" ht="15.5">
      <c r="A2913" s="29">
        <v>40393</v>
      </c>
      <c r="B2913" s="28">
        <v>0.77490000000000003</v>
      </c>
      <c r="C2913" s="28">
        <v>2137060719.29</v>
      </c>
    </row>
    <row r="2914" spans="1:3" ht="15.5">
      <c r="A2914" s="29">
        <v>40392</v>
      </c>
      <c r="B2914" s="28">
        <v>0.78469999999999995</v>
      </c>
      <c r="C2914" s="28">
        <v>2164112120.8000002</v>
      </c>
    </row>
    <row r="2915" spans="1:3" ht="15.5">
      <c r="A2915" s="29">
        <v>40389</v>
      </c>
      <c r="B2915" s="28">
        <v>0.78469999999999995</v>
      </c>
      <c r="C2915" s="28">
        <v>2164112120.8000002</v>
      </c>
    </row>
    <row r="2916" spans="1:3" ht="15.5">
      <c r="A2916" s="29">
        <v>40388</v>
      </c>
      <c r="B2916" s="28">
        <v>0.78469999999999995</v>
      </c>
      <c r="C2916" s="28">
        <v>2164112120.8000002</v>
      </c>
    </row>
    <row r="2917" spans="1:3" ht="15.5">
      <c r="A2917" s="29">
        <v>40387</v>
      </c>
      <c r="B2917" s="28">
        <v>0.8044</v>
      </c>
      <c r="C2917" s="28">
        <v>2218214923.8200002</v>
      </c>
    </row>
    <row r="2918" spans="1:3" ht="15.5">
      <c r="A2918" s="29">
        <v>40386</v>
      </c>
      <c r="B2918" s="28">
        <v>0.79949999999999999</v>
      </c>
      <c r="C2918" s="28">
        <v>2204689223.0650001</v>
      </c>
    </row>
    <row r="2919" spans="1:3" ht="15.5">
      <c r="A2919" s="29">
        <v>40385</v>
      </c>
      <c r="B2919" s="28">
        <v>0.81910000000000005</v>
      </c>
      <c r="C2919" s="28">
        <v>2258792026.085</v>
      </c>
    </row>
    <row r="2920" spans="1:3" ht="15.5">
      <c r="A2920" s="29">
        <v>40382</v>
      </c>
      <c r="B2920" s="28">
        <v>0.79949999999999999</v>
      </c>
      <c r="C2920" s="28">
        <v>2204689223.0650001</v>
      </c>
    </row>
    <row r="2921" spans="1:3" ht="15.5">
      <c r="A2921" s="29">
        <v>40381</v>
      </c>
      <c r="B2921" s="28">
        <v>0.78959999999999997</v>
      </c>
      <c r="C2921" s="28">
        <v>2177637821.5549998</v>
      </c>
    </row>
    <row r="2922" spans="1:3" ht="15.5">
      <c r="A2922" s="29">
        <v>40380</v>
      </c>
      <c r="B2922" s="28">
        <v>0.78959999999999997</v>
      </c>
      <c r="C2922" s="28">
        <v>2177637821.5549998</v>
      </c>
    </row>
    <row r="2923" spans="1:3" ht="15.5">
      <c r="A2923" s="29">
        <v>40379</v>
      </c>
      <c r="B2923" s="28">
        <v>0.77980000000000005</v>
      </c>
      <c r="C2923" s="28">
        <v>2150586420.0450001</v>
      </c>
    </row>
    <row r="2924" spans="1:3" ht="15.5">
      <c r="A2924" s="29">
        <v>40378</v>
      </c>
      <c r="B2924" s="28">
        <v>0.77980000000000005</v>
      </c>
      <c r="C2924" s="28">
        <v>2150586420.0450001</v>
      </c>
    </row>
    <row r="2925" spans="1:3" ht="15.5">
      <c r="A2925" s="29">
        <v>40375</v>
      </c>
      <c r="B2925" s="28">
        <v>0.77980000000000005</v>
      </c>
      <c r="C2925" s="28">
        <v>2150586420.0450001</v>
      </c>
    </row>
    <row r="2926" spans="1:3" ht="15.5">
      <c r="A2926" s="29">
        <v>40374</v>
      </c>
      <c r="B2926" s="28">
        <v>0.79459999999999997</v>
      </c>
      <c r="C2926" s="28">
        <v>2191163522.3099999</v>
      </c>
    </row>
    <row r="2927" spans="1:3" ht="15.5">
      <c r="A2927" s="29">
        <v>40373</v>
      </c>
      <c r="B2927" s="28">
        <v>0.78959999999999997</v>
      </c>
      <c r="C2927" s="28">
        <v>2177637821.5549998</v>
      </c>
    </row>
    <row r="2928" spans="1:3" ht="15.5">
      <c r="A2928" s="29">
        <v>40372</v>
      </c>
      <c r="B2928" s="28">
        <v>0.77980000000000005</v>
      </c>
      <c r="C2928" s="28">
        <v>2150586420.0450001</v>
      </c>
    </row>
    <row r="2929" spans="1:3" ht="15.5">
      <c r="A2929" s="29">
        <v>40371</v>
      </c>
      <c r="B2929" s="28">
        <v>0.77980000000000005</v>
      </c>
      <c r="C2929" s="28">
        <v>2150586420.0450001</v>
      </c>
    </row>
    <row r="2930" spans="1:3" ht="15.5">
      <c r="A2930" s="29">
        <v>40368</v>
      </c>
      <c r="B2930" s="28">
        <v>0.77490000000000003</v>
      </c>
      <c r="C2930" s="28">
        <v>2137060719.29</v>
      </c>
    </row>
    <row r="2931" spans="1:3" ht="15.5">
      <c r="A2931" s="29">
        <v>40367</v>
      </c>
      <c r="B2931" s="28">
        <v>0.77</v>
      </c>
      <c r="C2931" s="28">
        <v>2123535018.5350001</v>
      </c>
    </row>
    <row r="2932" spans="1:3" ht="15.5">
      <c r="A2932" s="29">
        <v>40366</v>
      </c>
      <c r="B2932" s="28">
        <v>0.76019999999999999</v>
      </c>
      <c r="C2932" s="28">
        <v>2096483617.0250001</v>
      </c>
    </row>
    <row r="2933" spans="1:3" ht="15.5">
      <c r="A2933" s="29">
        <v>40365</v>
      </c>
      <c r="B2933" s="28">
        <v>0.7651</v>
      </c>
      <c r="C2933" s="28">
        <v>2110009317.78</v>
      </c>
    </row>
    <row r="2934" spans="1:3" ht="15.5">
      <c r="A2934" s="29">
        <v>40364</v>
      </c>
      <c r="B2934" s="28">
        <v>0.75529999999999997</v>
      </c>
      <c r="C2934" s="28">
        <v>2082957916.27</v>
      </c>
    </row>
    <row r="2935" spans="1:3" ht="15.5">
      <c r="A2935" s="29">
        <v>40361</v>
      </c>
      <c r="B2935" s="28">
        <v>0.76019999999999999</v>
      </c>
      <c r="C2935" s="28">
        <v>2096483617.0250001</v>
      </c>
    </row>
    <row r="2936" spans="1:3" ht="15.5">
      <c r="A2936" s="29">
        <v>40360</v>
      </c>
      <c r="B2936" s="28">
        <v>0.75039999999999996</v>
      </c>
      <c r="C2936" s="28">
        <v>2069432215.5150001</v>
      </c>
    </row>
    <row r="2937" spans="1:3" ht="15.5">
      <c r="A2937" s="29">
        <v>40359</v>
      </c>
      <c r="B2937" s="28">
        <v>0.75039999999999996</v>
      </c>
      <c r="C2937" s="28">
        <v>2069432215.5150001</v>
      </c>
    </row>
    <row r="2938" spans="1:3" ht="15.5">
      <c r="A2938" s="29">
        <v>40358</v>
      </c>
      <c r="B2938" s="28">
        <v>0.74550000000000005</v>
      </c>
      <c r="C2938" s="28">
        <v>2055906514.76</v>
      </c>
    </row>
    <row r="2939" spans="1:3" ht="15.5">
      <c r="A2939" s="29">
        <v>40357</v>
      </c>
      <c r="B2939" s="28">
        <v>0.76019999999999999</v>
      </c>
      <c r="C2939" s="28">
        <v>2096483617.0250001</v>
      </c>
    </row>
    <row r="2940" spans="1:3" ht="15.5">
      <c r="A2940" s="29">
        <v>40354</v>
      </c>
      <c r="B2940" s="28">
        <v>0.77</v>
      </c>
      <c r="C2940" s="28">
        <v>2123535018.5350001</v>
      </c>
    </row>
    <row r="2941" spans="1:3" ht="15.5">
      <c r="A2941" s="29">
        <v>40353</v>
      </c>
      <c r="B2941" s="28">
        <v>0.77</v>
      </c>
      <c r="C2941" s="28">
        <v>2123535018.5350001</v>
      </c>
    </row>
    <row r="2942" spans="1:3" ht="15.5">
      <c r="A2942" s="29">
        <v>40352</v>
      </c>
      <c r="B2942" s="28">
        <v>0.77490000000000003</v>
      </c>
      <c r="C2942" s="28">
        <v>2137060719.29</v>
      </c>
    </row>
    <row r="2943" spans="1:3" ht="15.5">
      <c r="A2943" s="29">
        <v>40351</v>
      </c>
      <c r="B2943" s="28">
        <v>0.8044</v>
      </c>
      <c r="C2943" s="28">
        <v>2218214923.8200002</v>
      </c>
    </row>
    <row r="2944" spans="1:3" ht="15.5">
      <c r="A2944" s="29">
        <v>40350</v>
      </c>
      <c r="B2944" s="28">
        <v>0.8044</v>
      </c>
      <c r="C2944" s="28">
        <v>2218214923.8200002</v>
      </c>
    </row>
    <row r="2945" spans="1:3" ht="15.5">
      <c r="A2945" s="29">
        <v>40347</v>
      </c>
      <c r="B2945" s="28">
        <v>0.82889999999999997</v>
      </c>
      <c r="C2945" s="28">
        <v>2285843427.5949998</v>
      </c>
    </row>
    <row r="2946" spans="1:3" ht="15.5">
      <c r="A2946" s="29">
        <v>40346</v>
      </c>
      <c r="B2946" s="28">
        <v>0.81910000000000005</v>
      </c>
      <c r="C2946" s="28">
        <v>2258792026.085</v>
      </c>
    </row>
    <row r="2947" spans="1:3" ht="15.5">
      <c r="A2947" s="29">
        <v>40345</v>
      </c>
      <c r="B2947" s="28">
        <v>0.82399999999999995</v>
      </c>
      <c r="C2947" s="28">
        <v>2272317726.8400002</v>
      </c>
    </row>
    <row r="2948" spans="1:3" ht="15.5">
      <c r="A2948" s="29">
        <v>40344</v>
      </c>
      <c r="B2948" s="28">
        <v>0.81910000000000005</v>
      </c>
      <c r="C2948" s="28">
        <v>2258792026.085</v>
      </c>
    </row>
    <row r="2949" spans="1:3" ht="15.5">
      <c r="A2949" s="29">
        <v>40340</v>
      </c>
      <c r="B2949" s="28">
        <v>0.80930000000000002</v>
      </c>
      <c r="C2949" s="28">
        <v>2231740624.5749998</v>
      </c>
    </row>
    <row r="2950" spans="1:3" ht="15.5">
      <c r="A2950" s="29">
        <v>40339</v>
      </c>
      <c r="B2950" s="28">
        <v>0.8044</v>
      </c>
      <c r="C2950" s="28">
        <v>2218214923.8200002</v>
      </c>
    </row>
    <row r="2951" spans="1:3" ht="15.5">
      <c r="A2951" s="29">
        <v>40338</v>
      </c>
      <c r="B2951" s="28">
        <v>0.80930000000000002</v>
      </c>
      <c r="C2951" s="28">
        <v>2231740624.5749998</v>
      </c>
    </row>
    <row r="2952" spans="1:3" ht="15.5">
      <c r="A2952" s="29">
        <v>40337</v>
      </c>
      <c r="B2952" s="28">
        <v>0.81910000000000005</v>
      </c>
      <c r="C2952" s="28">
        <v>2258792026.085</v>
      </c>
    </row>
    <row r="2953" spans="1:3" ht="15.5">
      <c r="A2953" s="29">
        <v>40336</v>
      </c>
      <c r="B2953" s="28">
        <v>0.79459999999999997</v>
      </c>
      <c r="C2953" s="28">
        <v>2191163522.3099999</v>
      </c>
    </row>
    <row r="2954" spans="1:3" ht="15.5">
      <c r="A2954" s="29">
        <v>40333</v>
      </c>
      <c r="B2954" s="28">
        <v>0.81420000000000003</v>
      </c>
      <c r="C2954" s="28">
        <v>2245266325.3299999</v>
      </c>
    </row>
    <row r="2955" spans="1:3" ht="15.5">
      <c r="A2955" s="29">
        <v>40332</v>
      </c>
      <c r="B2955" s="28">
        <v>0.82889999999999997</v>
      </c>
      <c r="C2955" s="28">
        <v>2285843427.5949998</v>
      </c>
    </row>
    <row r="2956" spans="1:3" ht="15.5">
      <c r="A2956" s="29">
        <v>40331</v>
      </c>
      <c r="B2956" s="28">
        <v>0.81420000000000003</v>
      </c>
      <c r="C2956" s="28">
        <v>2245266325.3299999</v>
      </c>
    </row>
    <row r="2957" spans="1:3" ht="15.5">
      <c r="A2957" s="29">
        <v>40330</v>
      </c>
      <c r="B2957" s="28">
        <v>0.83379999999999999</v>
      </c>
      <c r="C2957" s="28">
        <v>2299369128.3499999</v>
      </c>
    </row>
    <row r="2958" spans="1:3" ht="15.5">
      <c r="A2958" s="29">
        <v>40329</v>
      </c>
      <c r="B2958" s="28">
        <v>0.82399999999999995</v>
      </c>
      <c r="C2958" s="28">
        <v>2272317726.8400002</v>
      </c>
    </row>
    <row r="2959" spans="1:3" ht="15.5">
      <c r="A2959" s="29">
        <v>40326</v>
      </c>
      <c r="B2959" s="28">
        <v>0.83379999999999999</v>
      </c>
      <c r="C2959" s="28">
        <v>2299369128.3499999</v>
      </c>
    </row>
    <row r="2960" spans="1:3" ht="15.5">
      <c r="A2960" s="29">
        <v>40325</v>
      </c>
      <c r="B2960" s="28">
        <v>0.81420000000000003</v>
      </c>
      <c r="C2960" s="28">
        <v>2245266325.3299999</v>
      </c>
    </row>
    <row r="2961" spans="1:3" ht="15.5">
      <c r="A2961" s="29">
        <v>40324</v>
      </c>
      <c r="B2961" s="28">
        <v>0.82889999999999997</v>
      </c>
      <c r="C2961" s="28">
        <v>2285843427.5949998</v>
      </c>
    </row>
    <row r="2962" spans="1:3" ht="15.5">
      <c r="A2962" s="29">
        <v>40323</v>
      </c>
      <c r="B2962" s="28">
        <v>0.85829999999999995</v>
      </c>
      <c r="C2962" s="28">
        <v>2366997632.125</v>
      </c>
    </row>
    <row r="2963" spans="1:3" ht="15.5">
      <c r="A2963" s="29">
        <v>40322</v>
      </c>
      <c r="B2963" s="28">
        <v>0.88280000000000003</v>
      </c>
      <c r="C2963" s="28">
        <v>2434626135.9000001</v>
      </c>
    </row>
    <row r="2964" spans="1:3" ht="15.5">
      <c r="A2964" s="29">
        <v>40319</v>
      </c>
      <c r="B2964" s="28">
        <v>0.873</v>
      </c>
      <c r="C2964" s="28">
        <v>2407574734.3899999</v>
      </c>
    </row>
    <row r="2965" spans="1:3" ht="15.5">
      <c r="A2965" s="29">
        <v>40318</v>
      </c>
      <c r="B2965" s="28">
        <v>0.89259999999999995</v>
      </c>
      <c r="C2965" s="28">
        <v>2461677537.4099998</v>
      </c>
    </row>
    <row r="2966" spans="1:3" ht="15.5">
      <c r="A2966" s="29">
        <v>40317</v>
      </c>
      <c r="B2966" s="28">
        <v>0.88770000000000004</v>
      </c>
      <c r="C2966" s="28">
        <v>2448151836.6550002</v>
      </c>
    </row>
    <row r="2967" spans="1:3" ht="15.5">
      <c r="A2967" s="29">
        <v>40316</v>
      </c>
      <c r="B2967" s="28">
        <v>0.87790000000000001</v>
      </c>
      <c r="C2967" s="28">
        <v>2421100435.145</v>
      </c>
    </row>
    <row r="2968" spans="1:3" ht="15.5">
      <c r="A2968" s="29">
        <v>40315</v>
      </c>
      <c r="B2968" s="28">
        <v>0.873</v>
      </c>
      <c r="C2968" s="28">
        <v>2407574734.3899999</v>
      </c>
    </row>
    <row r="2969" spans="1:3" ht="15.5">
      <c r="A2969" s="29">
        <v>40312</v>
      </c>
      <c r="B2969" s="28">
        <v>0.89749999999999996</v>
      </c>
      <c r="C2969" s="28">
        <v>2475203238.165</v>
      </c>
    </row>
    <row r="2970" spans="1:3" ht="15.5">
      <c r="A2970" s="29">
        <v>40311</v>
      </c>
      <c r="B2970" s="28">
        <v>0.90249999999999997</v>
      </c>
      <c r="C2970" s="28">
        <v>2488728938.9200001</v>
      </c>
    </row>
    <row r="2971" spans="1:3" ht="15.5">
      <c r="A2971" s="29">
        <v>40310</v>
      </c>
      <c r="B2971" s="28">
        <v>0.88770000000000004</v>
      </c>
      <c r="C2971" s="28">
        <v>2448151836.6550002</v>
      </c>
    </row>
    <row r="2972" spans="1:3" ht="15.5">
      <c r="A2972" s="29">
        <v>40309</v>
      </c>
      <c r="B2972" s="28">
        <v>0.86319999999999997</v>
      </c>
      <c r="C2972" s="28">
        <v>2380523332.8800001</v>
      </c>
    </row>
    <row r="2973" spans="1:3" ht="15.5">
      <c r="A2973" s="29">
        <v>40308</v>
      </c>
      <c r="B2973" s="28">
        <v>0.85340000000000005</v>
      </c>
      <c r="C2973" s="28">
        <v>2353471931.3699999</v>
      </c>
    </row>
    <row r="2974" spans="1:3" ht="15.5">
      <c r="A2974" s="29">
        <v>40305</v>
      </c>
      <c r="B2974" s="28">
        <v>0.85340000000000005</v>
      </c>
      <c r="C2974" s="28">
        <v>2353471931.3699999</v>
      </c>
    </row>
    <row r="2975" spans="1:3" ht="15.5">
      <c r="A2975" s="29">
        <v>40304</v>
      </c>
      <c r="B2975" s="28">
        <v>0.85829999999999995</v>
      </c>
      <c r="C2975" s="28">
        <v>2366997632.125</v>
      </c>
    </row>
    <row r="2976" spans="1:3" ht="15.5">
      <c r="A2976" s="29">
        <v>40303</v>
      </c>
      <c r="B2976" s="28">
        <v>0.86319999999999997</v>
      </c>
      <c r="C2976" s="28">
        <v>2380523332.8800001</v>
      </c>
    </row>
    <row r="2977" spans="1:3" ht="15.5">
      <c r="A2977" s="29">
        <v>40302</v>
      </c>
      <c r="B2977" s="28">
        <v>0.86809999999999998</v>
      </c>
      <c r="C2977" s="28">
        <v>2394049033.6350002</v>
      </c>
    </row>
    <row r="2978" spans="1:3" ht="15.5">
      <c r="A2978" s="29">
        <v>40301</v>
      </c>
      <c r="B2978" s="28">
        <v>0.873</v>
      </c>
      <c r="C2978" s="28">
        <v>2407574734.3899999</v>
      </c>
    </row>
    <row r="2979" spans="1:3" ht="15.5">
      <c r="A2979" s="29">
        <v>40298</v>
      </c>
      <c r="B2979" s="28">
        <v>0.86809999999999998</v>
      </c>
      <c r="C2979" s="28">
        <v>2394049033.6350002</v>
      </c>
    </row>
    <row r="2980" spans="1:3" ht="15.5">
      <c r="A2980" s="29">
        <v>40297</v>
      </c>
      <c r="B2980" s="28">
        <v>0.873</v>
      </c>
      <c r="C2980" s="28">
        <v>2407574734.3899999</v>
      </c>
    </row>
    <row r="2981" spans="1:3" ht="15.5">
      <c r="A2981" s="29">
        <v>40296</v>
      </c>
      <c r="B2981" s="28">
        <v>0.87790000000000001</v>
      </c>
      <c r="C2981" s="28">
        <v>2421100435.145</v>
      </c>
    </row>
    <row r="2982" spans="1:3" ht="15.5">
      <c r="A2982" s="29">
        <v>40295</v>
      </c>
      <c r="B2982" s="28">
        <v>0.90249999999999997</v>
      </c>
      <c r="C2982" s="28">
        <v>2488728938.9200001</v>
      </c>
    </row>
    <row r="2983" spans="1:3" ht="15.5">
      <c r="A2983" s="29">
        <v>40291</v>
      </c>
      <c r="B2983" s="28">
        <v>0.90249999999999997</v>
      </c>
      <c r="C2983" s="28">
        <v>2488728938.9200001</v>
      </c>
    </row>
    <row r="2984" spans="1:3" ht="15.5">
      <c r="A2984" s="29">
        <v>40290</v>
      </c>
      <c r="B2984" s="28">
        <v>0.9123</v>
      </c>
      <c r="C2984" s="28">
        <v>2515780340.4299998</v>
      </c>
    </row>
    <row r="2985" spans="1:3" ht="15.5">
      <c r="A2985" s="29">
        <v>40289</v>
      </c>
      <c r="B2985" s="28">
        <v>0.92700000000000005</v>
      </c>
      <c r="C2985" s="28">
        <v>2556357442.6950002</v>
      </c>
    </row>
    <row r="2986" spans="1:3" ht="15.5">
      <c r="A2986" s="29">
        <v>40288</v>
      </c>
      <c r="B2986" s="28">
        <v>0.92700000000000005</v>
      </c>
      <c r="C2986" s="28">
        <v>2556357442.6950002</v>
      </c>
    </row>
    <row r="2987" spans="1:3" ht="15.5">
      <c r="A2987" s="29">
        <v>40287</v>
      </c>
      <c r="B2987" s="28">
        <v>0.93189999999999995</v>
      </c>
      <c r="C2987" s="28">
        <v>2569883143.4499998</v>
      </c>
    </row>
    <row r="2988" spans="1:3" ht="15.5">
      <c r="A2988" s="29">
        <v>40284</v>
      </c>
      <c r="B2988" s="28">
        <v>0.93679999999999997</v>
      </c>
      <c r="C2988" s="28">
        <v>2583408844.2049999</v>
      </c>
    </row>
    <row r="2989" spans="1:3" ht="15.5">
      <c r="A2989" s="29">
        <v>40283</v>
      </c>
      <c r="B2989" s="28">
        <v>0.93679999999999997</v>
      </c>
      <c r="C2989" s="28">
        <v>2583408844.2049999</v>
      </c>
    </row>
    <row r="2990" spans="1:3" ht="15.5">
      <c r="A2990" s="29">
        <v>40282</v>
      </c>
      <c r="B2990" s="28">
        <v>0.93189999999999995</v>
      </c>
      <c r="C2990" s="28">
        <v>2569883143.4499998</v>
      </c>
    </row>
    <row r="2991" spans="1:3" ht="15.5">
      <c r="A2991" s="29">
        <v>40281</v>
      </c>
      <c r="B2991" s="28">
        <v>0.9123</v>
      </c>
      <c r="C2991" s="28">
        <v>2515780340.4299998</v>
      </c>
    </row>
    <row r="2992" spans="1:3" ht="15.5">
      <c r="A2992" s="29">
        <v>40280</v>
      </c>
      <c r="B2992" s="28">
        <v>0.90249999999999997</v>
      </c>
      <c r="C2992" s="28">
        <v>2488728938.9200001</v>
      </c>
    </row>
    <row r="2993" spans="1:3" ht="15.5">
      <c r="A2993" s="29">
        <v>40277</v>
      </c>
      <c r="B2993" s="28">
        <v>0.88770000000000004</v>
      </c>
      <c r="C2993" s="28">
        <v>2448151836.6550002</v>
      </c>
    </row>
    <row r="2994" spans="1:3" ht="15.5">
      <c r="A2994" s="29">
        <v>40276</v>
      </c>
      <c r="B2994" s="28">
        <v>0.88280000000000003</v>
      </c>
      <c r="C2994" s="28">
        <v>2434626135.9000001</v>
      </c>
    </row>
    <row r="2995" spans="1:3" ht="15.5">
      <c r="A2995" s="29">
        <v>40275</v>
      </c>
      <c r="B2995" s="28">
        <v>0.89259999999999995</v>
      </c>
      <c r="C2995" s="28">
        <v>2461677537.4099998</v>
      </c>
    </row>
    <row r="2996" spans="1:3" ht="15.5">
      <c r="A2996" s="29">
        <v>40274</v>
      </c>
      <c r="B2996" s="28">
        <v>0.89749999999999996</v>
      </c>
      <c r="C2996" s="28">
        <v>2475203238.165</v>
      </c>
    </row>
    <row r="2997" spans="1:3" ht="15.5">
      <c r="A2997" s="29">
        <v>40269</v>
      </c>
      <c r="B2997" s="28">
        <v>0.90249999999999997</v>
      </c>
      <c r="C2997" s="28">
        <v>2488728938.9200001</v>
      </c>
    </row>
    <row r="2998" spans="1:3" ht="15.5">
      <c r="A2998" s="29">
        <v>40268</v>
      </c>
      <c r="B2998" s="28">
        <v>0.88770000000000004</v>
      </c>
      <c r="C2998" s="28">
        <v>2448151836.6550002</v>
      </c>
    </row>
    <row r="2999" spans="1:3" ht="15.5">
      <c r="A2999" s="29">
        <v>40267</v>
      </c>
      <c r="B2999" s="28">
        <v>0.88280000000000003</v>
      </c>
      <c r="C2999" s="28">
        <v>2434626135.9000001</v>
      </c>
    </row>
    <row r="3000" spans="1:3" ht="15.5">
      <c r="A3000" s="29">
        <v>40266</v>
      </c>
      <c r="B3000" s="28">
        <v>0.88280000000000003</v>
      </c>
      <c r="C3000" s="28">
        <v>2434626135.9000001</v>
      </c>
    </row>
    <row r="3001" spans="1:3" ht="15.5">
      <c r="A3001" s="29">
        <v>40263</v>
      </c>
      <c r="B3001" s="28">
        <v>0.86809999999999998</v>
      </c>
      <c r="C3001" s="28">
        <v>2394049033.6350002</v>
      </c>
    </row>
    <row r="3002" spans="1:3" ht="15.5">
      <c r="A3002" s="29">
        <v>40262</v>
      </c>
      <c r="B3002" s="28">
        <v>0.873</v>
      </c>
      <c r="C3002" s="28">
        <v>2407574734.3899999</v>
      </c>
    </row>
    <row r="3003" spans="1:3" ht="15.5">
      <c r="A3003" s="29">
        <v>40261</v>
      </c>
      <c r="B3003" s="28">
        <v>0.88280000000000003</v>
      </c>
      <c r="C3003" s="28">
        <v>2434626135.9000001</v>
      </c>
    </row>
    <row r="3004" spans="1:3" ht="15.5">
      <c r="A3004" s="29">
        <v>40260</v>
      </c>
      <c r="B3004" s="28">
        <v>0.88280000000000003</v>
      </c>
      <c r="C3004" s="28">
        <v>2434626135.9000001</v>
      </c>
    </row>
    <row r="3005" spans="1:3" ht="15.5">
      <c r="A3005" s="29">
        <v>40259</v>
      </c>
      <c r="B3005" s="28">
        <v>0.86809999999999998</v>
      </c>
      <c r="C3005" s="28">
        <v>2394049033.6350002</v>
      </c>
    </row>
    <row r="3006" spans="1:3" ht="15.5">
      <c r="A3006" s="29">
        <v>40256</v>
      </c>
      <c r="B3006" s="28">
        <v>0.85829999999999995</v>
      </c>
      <c r="C3006" s="28">
        <v>2366997632.125</v>
      </c>
    </row>
    <row r="3007" spans="1:3" ht="15.5">
      <c r="A3007" s="29">
        <v>40255</v>
      </c>
      <c r="B3007" s="28">
        <v>0.85829999999999995</v>
      </c>
      <c r="C3007" s="28">
        <v>2366997632.125</v>
      </c>
    </row>
    <row r="3008" spans="1:3" ht="15.5">
      <c r="A3008" s="29">
        <v>40254</v>
      </c>
      <c r="B3008" s="28">
        <v>0.88280000000000003</v>
      </c>
      <c r="C3008" s="28">
        <v>2434626135.9000001</v>
      </c>
    </row>
    <row r="3009" spans="1:3" ht="15.5">
      <c r="A3009" s="29">
        <v>40253</v>
      </c>
      <c r="B3009" s="28">
        <v>0.86809999999999998</v>
      </c>
      <c r="C3009" s="28">
        <v>2394049033.6350002</v>
      </c>
    </row>
    <row r="3010" spans="1:3" ht="15.5">
      <c r="A3010" s="29">
        <v>40252</v>
      </c>
      <c r="B3010" s="28">
        <v>0.873</v>
      </c>
      <c r="C3010" s="28">
        <v>2407574734.3899999</v>
      </c>
    </row>
    <row r="3011" spans="1:3" ht="15.5">
      <c r="A3011" s="29">
        <v>40249</v>
      </c>
      <c r="B3011" s="28">
        <v>0.88280000000000003</v>
      </c>
      <c r="C3011" s="28">
        <v>2434626135.9000001</v>
      </c>
    </row>
    <row r="3012" spans="1:3" ht="15.5">
      <c r="A3012" s="29">
        <v>40248</v>
      </c>
      <c r="B3012" s="28">
        <v>0.88280000000000003</v>
      </c>
      <c r="C3012" s="28">
        <v>2434626135.9000001</v>
      </c>
    </row>
    <row r="3013" spans="1:3" ht="15.5">
      <c r="A3013" s="29">
        <v>40247</v>
      </c>
      <c r="B3013" s="28">
        <v>0.89259999999999995</v>
      </c>
      <c r="C3013" s="28">
        <v>2461677537.4099998</v>
      </c>
    </row>
    <row r="3014" spans="1:3" ht="15.5">
      <c r="A3014" s="29">
        <v>40246</v>
      </c>
      <c r="B3014" s="28">
        <v>0.87790000000000001</v>
      </c>
      <c r="C3014" s="28">
        <v>2421100435.145</v>
      </c>
    </row>
    <row r="3015" spans="1:3" ht="15.5">
      <c r="A3015" s="29">
        <v>40245</v>
      </c>
      <c r="B3015" s="28">
        <v>0.90739999999999998</v>
      </c>
      <c r="C3015" s="28">
        <v>2502254639.6750002</v>
      </c>
    </row>
    <row r="3016" spans="1:3" ht="15.5">
      <c r="A3016" s="29">
        <v>40242</v>
      </c>
      <c r="B3016" s="28">
        <v>0.9123</v>
      </c>
      <c r="C3016" s="28">
        <v>2515780340.4299998</v>
      </c>
    </row>
    <row r="3017" spans="1:3" ht="15.5">
      <c r="A3017" s="29">
        <v>40241</v>
      </c>
      <c r="B3017" s="28">
        <v>0.90739999999999998</v>
      </c>
      <c r="C3017" s="28">
        <v>2502254639.6750002</v>
      </c>
    </row>
    <row r="3018" spans="1:3" ht="15.5">
      <c r="A3018" s="29">
        <v>40240</v>
      </c>
      <c r="B3018" s="28">
        <v>0.92210000000000003</v>
      </c>
      <c r="C3018" s="28">
        <v>2542831741.9400001</v>
      </c>
    </row>
    <row r="3019" spans="1:3" ht="15.5">
      <c r="A3019" s="29">
        <v>40239</v>
      </c>
      <c r="B3019" s="28">
        <v>0.93679999999999997</v>
      </c>
      <c r="C3019" s="28">
        <v>2583408844.2049999</v>
      </c>
    </row>
    <row r="3020" spans="1:3" ht="15.5">
      <c r="A3020" s="29">
        <v>40238</v>
      </c>
      <c r="B3020" s="28">
        <v>0.93679999999999997</v>
      </c>
      <c r="C3020" s="28">
        <v>2583408844.2049999</v>
      </c>
    </row>
    <row r="3021" spans="1:3" ht="15.5">
      <c r="A3021" s="29">
        <v>40235</v>
      </c>
      <c r="B3021" s="28">
        <v>0.92700000000000005</v>
      </c>
      <c r="C3021" s="28">
        <v>2556357442.6950002</v>
      </c>
    </row>
    <row r="3022" spans="1:3" ht="15.5">
      <c r="A3022" s="29">
        <v>40234</v>
      </c>
      <c r="B3022" s="28">
        <v>0.92700000000000005</v>
      </c>
      <c r="C3022" s="28">
        <v>2556357442.6950002</v>
      </c>
    </row>
    <row r="3023" spans="1:3" ht="15.5">
      <c r="A3023" s="29">
        <v>40233</v>
      </c>
      <c r="B3023" s="28">
        <v>0.92700000000000005</v>
      </c>
      <c r="C3023" s="28">
        <v>2556357442.6950002</v>
      </c>
    </row>
    <row r="3024" spans="1:3" ht="15.5">
      <c r="A3024" s="29">
        <v>40232</v>
      </c>
      <c r="B3024" s="28">
        <v>0.92210000000000003</v>
      </c>
      <c r="C3024" s="28">
        <v>2542831741.9400001</v>
      </c>
    </row>
    <row r="3025" spans="1:3" ht="15.5">
      <c r="A3025" s="29">
        <v>40231</v>
      </c>
      <c r="B3025" s="28">
        <v>0.92210000000000003</v>
      </c>
      <c r="C3025" s="28">
        <v>2542831741.9400001</v>
      </c>
    </row>
    <row r="3026" spans="1:3" ht="15.5">
      <c r="A3026" s="29">
        <v>40228</v>
      </c>
      <c r="B3026" s="28">
        <v>0.90249999999999997</v>
      </c>
      <c r="C3026" s="28">
        <v>2488728938.9200001</v>
      </c>
    </row>
    <row r="3027" spans="1:3" ht="15.5">
      <c r="A3027" s="29">
        <v>40227</v>
      </c>
      <c r="B3027" s="28">
        <v>0.87790000000000001</v>
      </c>
      <c r="C3027" s="28">
        <v>2421100435.145</v>
      </c>
    </row>
    <row r="3028" spans="1:3" ht="15.5">
      <c r="A3028" s="29">
        <v>40226</v>
      </c>
      <c r="B3028" s="28">
        <v>0.88770000000000004</v>
      </c>
      <c r="C3028" s="28">
        <v>2448151836.6550002</v>
      </c>
    </row>
    <row r="3029" spans="1:3" ht="15.5">
      <c r="A3029" s="29">
        <v>40225</v>
      </c>
      <c r="B3029" s="28">
        <v>0.89749999999999996</v>
      </c>
      <c r="C3029" s="28">
        <v>2475203238.165</v>
      </c>
    </row>
    <row r="3030" spans="1:3" ht="15.5">
      <c r="A3030" s="29">
        <v>40224</v>
      </c>
      <c r="B3030" s="28">
        <v>0.89749999999999996</v>
      </c>
      <c r="C3030" s="28">
        <v>2475203238.165</v>
      </c>
    </row>
    <row r="3031" spans="1:3" ht="15.5">
      <c r="A3031" s="29">
        <v>40221</v>
      </c>
      <c r="B3031" s="28">
        <v>0.89259999999999995</v>
      </c>
      <c r="C3031" s="28">
        <v>2461677537.4099998</v>
      </c>
    </row>
    <row r="3032" spans="1:3" ht="15.5">
      <c r="A3032" s="29">
        <v>40220</v>
      </c>
      <c r="B3032" s="28">
        <v>0.88280000000000003</v>
      </c>
      <c r="C3032" s="28">
        <v>2434626135.9000001</v>
      </c>
    </row>
    <row r="3033" spans="1:3" ht="15.5">
      <c r="A3033" s="29">
        <v>40219</v>
      </c>
      <c r="B3033" s="28">
        <v>0.86809999999999998</v>
      </c>
      <c r="C3033" s="28">
        <v>2394049033.6350002</v>
      </c>
    </row>
    <row r="3034" spans="1:3" ht="15.5">
      <c r="A3034" s="29">
        <v>40218</v>
      </c>
      <c r="B3034" s="28">
        <v>0.86319999999999997</v>
      </c>
      <c r="C3034" s="28">
        <v>2380523332.8800001</v>
      </c>
    </row>
    <row r="3035" spans="1:3" ht="15.5">
      <c r="A3035" s="29">
        <v>40217</v>
      </c>
      <c r="B3035" s="28">
        <v>0.88770000000000004</v>
      </c>
      <c r="C3035" s="28">
        <v>2448151836.6550002</v>
      </c>
    </row>
    <row r="3036" spans="1:3" ht="15.5">
      <c r="A3036" s="29">
        <v>40214</v>
      </c>
      <c r="B3036" s="28">
        <v>0.87790000000000001</v>
      </c>
      <c r="C3036" s="28">
        <v>2421100435.145</v>
      </c>
    </row>
    <row r="3037" spans="1:3" ht="15.5">
      <c r="A3037" s="29">
        <v>40213</v>
      </c>
      <c r="B3037" s="28">
        <v>0.873</v>
      </c>
      <c r="C3037" s="28">
        <v>2407574734.3899999</v>
      </c>
    </row>
    <row r="3038" spans="1:3" ht="15.5">
      <c r="A3038" s="29">
        <v>40212</v>
      </c>
      <c r="B3038" s="28">
        <v>0.85829999999999995</v>
      </c>
      <c r="C3038" s="28">
        <v>2366997632.125</v>
      </c>
    </row>
    <row r="3039" spans="1:3" ht="15.5">
      <c r="A3039" s="29">
        <v>40211</v>
      </c>
      <c r="B3039" s="28">
        <v>0.85340000000000005</v>
      </c>
      <c r="C3039" s="28">
        <v>2353471931.3699999</v>
      </c>
    </row>
    <row r="3040" spans="1:3" ht="15.5">
      <c r="A3040" s="29">
        <v>40210</v>
      </c>
      <c r="B3040" s="28">
        <v>0.85340000000000005</v>
      </c>
      <c r="C3040" s="28">
        <v>2353471931.3699999</v>
      </c>
    </row>
    <row r="3041" spans="1:3" ht="15.5">
      <c r="A3041" s="29">
        <v>40207</v>
      </c>
      <c r="B3041" s="28">
        <v>0.87790000000000001</v>
      </c>
      <c r="C3041" s="28">
        <v>2421100435.145</v>
      </c>
    </row>
    <row r="3042" spans="1:3" ht="15.5">
      <c r="A3042" s="29">
        <v>40206</v>
      </c>
      <c r="B3042" s="28">
        <v>0.87790000000000001</v>
      </c>
      <c r="C3042" s="28">
        <v>2421100435.145</v>
      </c>
    </row>
    <row r="3043" spans="1:3" ht="15.5">
      <c r="A3043" s="29">
        <v>40205</v>
      </c>
      <c r="B3043" s="28">
        <v>0.873</v>
      </c>
      <c r="C3043" s="28">
        <v>2407574734.3899999</v>
      </c>
    </row>
    <row r="3044" spans="1:3" ht="15.5">
      <c r="A3044" s="29">
        <v>40203</v>
      </c>
      <c r="B3044" s="28">
        <v>0.88770000000000004</v>
      </c>
      <c r="C3044" s="28">
        <v>2448151836.6550002</v>
      </c>
    </row>
    <row r="3045" spans="1:3" ht="15.5">
      <c r="A3045" s="29">
        <v>40200</v>
      </c>
      <c r="B3045" s="28">
        <v>0.88280000000000003</v>
      </c>
      <c r="C3045" s="28">
        <v>2434626135.9000001</v>
      </c>
    </row>
    <row r="3046" spans="1:3" ht="15.5">
      <c r="A3046" s="29">
        <v>40199</v>
      </c>
      <c r="B3046" s="28">
        <v>0.86319999999999997</v>
      </c>
      <c r="C3046" s="28">
        <v>2380523332.8800001</v>
      </c>
    </row>
    <row r="3047" spans="1:3" ht="15.5">
      <c r="A3047" s="29">
        <v>40198</v>
      </c>
      <c r="B3047" s="28">
        <v>0.85829999999999995</v>
      </c>
      <c r="C3047" s="28">
        <v>2366997632.125</v>
      </c>
    </row>
    <row r="3048" spans="1:3" ht="15.5">
      <c r="A3048" s="29">
        <v>40197</v>
      </c>
      <c r="B3048" s="28">
        <v>0.83379999999999999</v>
      </c>
      <c r="C3048" s="28">
        <v>2299369128.3499999</v>
      </c>
    </row>
    <row r="3049" spans="1:3" ht="15.5">
      <c r="A3049" s="29">
        <v>40196</v>
      </c>
      <c r="B3049" s="28">
        <v>0.86809999999999998</v>
      </c>
      <c r="C3049" s="28">
        <v>2394049033.6350002</v>
      </c>
    </row>
    <row r="3050" spans="1:3" ht="15.5">
      <c r="A3050" s="29">
        <v>40193</v>
      </c>
      <c r="B3050" s="28">
        <v>0.87790000000000001</v>
      </c>
      <c r="C3050" s="28">
        <v>2421100435.145</v>
      </c>
    </row>
    <row r="3051" spans="1:3" ht="15.5">
      <c r="A3051" s="29">
        <v>40192</v>
      </c>
      <c r="B3051" s="28">
        <v>0.89749999999999996</v>
      </c>
      <c r="C3051" s="28">
        <v>2475203238.165</v>
      </c>
    </row>
    <row r="3052" spans="1:3" ht="15.5">
      <c r="A3052" s="29">
        <v>40191</v>
      </c>
      <c r="B3052" s="28">
        <v>0.88280000000000003</v>
      </c>
      <c r="C3052" s="28">
        <v>2434626135.9000001</v>
      </c>
    </row>
    <row r="3053" spans="1:3" ht="15.5">
      <c r="A3053" s="29">
        <v>40190</v>
      </c>
      <c r="B3053" s="28">
        <v>0.86319999999999997</v>
      </c>
      <c r="C3053" s="28">
        <v>2380523332.8800001</v>
      </c>
    </row>
    <row r="3054" spans="1:3" ht="15.5">
      <c r="A3054" s="29">
        <v>40189</v>
      </c>
      <c r="B3054" s="28">
        <v>0.873</v>
      </c>
      <c r="C3054" s="28">
        <v>2407574734.3899999</v>
      </c>
    </row>
    <row r="3055" spans="1:3" ht="15.5">
      <c r="A3055" s="29">
        <v>40186</v>
      </c>
      <c r="B3055" s="28">
        <v>0.90249999999999997</v>
      </c>
      <c r="C3055" s="28">
        <v>2488728938.9200001</v>
      </c>
    </row>
    <row r="3056" spans="1:3" ht="15.5">
      <c r="A3056" s="29">
        <v>40185</v>
      </c>
      <c r="B3056" s="28">
        <v>0.87790000000000001</v>
      </c>
      <c r="C3056" s="28">
        <v>2421100435.145</v>
      </c>
    </row>
    <row r="3057" spans="1:3" ht="15.5">
      <c r="A3057" s="29">
        <v>40184</v>
      </c>
      <c r="B3057" s="28">
        <v>0.88770000000000004</v>
      </c>
      <c r="C3057" s="28">
        <v>2448151836.6550002</v>
      </c>
    </row>
    <row r="3058" spans="1:3" ht="15.5">
      <c r="A3058" s="29">
        <v>40183</v>
      </c>
      <c r="B3058" s="28">
        <v>0.88280000000000003</v>
      </c>
      <c r="C3058" s="28">
        <v>2434626135.9000001</v>
      </c>
    </row>
    <row r="3059" spans="1:3" ht="15.5">
      <c r="A3059" s="29">
        <v>40182</v>
      </c>
      <c r="B3059" s="28">
        <v>0.87790000000000001</v>
      </c>
      <c r="C3059" s="28">
        <v>2421100435.145</v>
      </c>
    </row>
    <row r="3060" spans="1:3" ht="15.5">
      <c r="A3060" s="29">
        <v>40178</v>
      </c>
      <c r="B3060" s="28">
        <v>0.89749999999999996</v>
      </c>
      <c r="C3060" s="28">
        <v>2475203238.165</v>
      </c>
    </row>
    <row r="3061" spans="1:3" ht="15.5">
      <c r="A3061" s="29">
        <v>40177</v>
      </c>
      <c r="B3061" s="28">
        <v>0.89749999999999996</v>
      </c>
      <c r="C3061" s="28">
        <v>2475203238.165</v>
      </c>
    </row>
    <row r="3062" spans="1:3" ht="15.5">
      <c r="A3062" s="29">
        <v>40176</v>
      </c>
      <c r="B3062" s="28">
        <v>0.89259999999999995</v>
      </c>
      <c r="C3062" s="28">
        <v>2461677537.4099998</v>
      </c>
    </row>
    <row r="3063" spans="1:3" ht="15.5">
      <c r="A3063" s="29">
        <v>40171</v>
      </c>
      <c r="B3063" s="28">
        <v>0.88280000000000003</v>
      </c>
      <c r="C3063" s="28">
        <v>2434626135.9000001</v>
      </c>
    </row>
    <row r="3064" spans="1:3" ht="15.5">
      <c r="A3064" s="29">
        <v>40170</v>
      </c>
      <c r="B3064" s="28">
        <v>0.88770000000000004</v>
      </c>
      <c r="C3064" s="28">
        <v>2448151836.6550002</v>
      </c>
    </row>
    <row r="3065" spans="1:3" ht="15.5">
      <c r="A3065" s="29">
        <v>40169</v>
      </c>
      <c r="B3065" s="28">
        <v>0.88280000000000003</v>
      </c>
      <c r="C3065" s="28">
        <v>2434626135.9000001</v>
      </c>
    </row>
    <row r="3066" spans="1:3" ht="15.5">
      <c r="A3066" s="29">
        <v>40168</v>
      </c>
      <c r="B3066" s="28">
        <v>0.87790000000000001</v>
      </c>
      <c r="C3066" s="28">
        <v>2383323620.9000001</v>
      </c>
    </row>
    <row r="3067" spans="1:3" ht="15.5">
      <c r="A3067" s="29">
        <v>40165</v>
      </c>
      <c r="B3067" s="28">
        <v>0.88280000000000003</v>
      </c>
      <c r="C3067" s="28">
        <v>2396638278</v>
      </c>
    </row>
    <row r="3068" spans="1:3" ht="15.5">
      <c r="A3068" s="29">
        <v>40164</v>
      </c>
      <c r="B3068" s="28">
        <v>0.86319999999999997</v>
      </c>
      <c r="C3068" s="28">
        <v>2343379649.5999999</v>
      </c>
    </row>
    <row r="3069" spans="1:3" ht="15.5">
      <c r="A3069" s="29">
        <v>40163</v>
      </c>
      <c r="B3069" s="28">
        <v>0.85340000000000005</v>
      </c>
      <c r="C3069" s="28">
        <v>2316750335.4000001</v>
      </c>
    </row>
    <row r="3070" spans="1:3" ht="15.5">
      <c r="A3070" s="29">
        <v>40162</v>
      </c>
      <c r="B3070" s="28">
        <v>0.83379999999999999</v>
      </c>
      <c r="C3070" s="28">
        <v>2263491707</v>
      </c>
    </row>
    <row r="3071" spans="1:3" ht="15.5">
      <c r="A3071" s="29">
        <v>40161</v>
      </c>
      <c r="B3071" s="28">
        <v>0.81420000000000003</v>
      </c>
      <c r="C3071" s="28">
        <v>2210233078.5999999</v>
      </c>
    </row>
    <row r="3072" spans="1:3" ht="15.5">
      <c r="A3072" s="29">
        <v>40158</v>
      </c>
      <c r="B3072" s="28">
        <v>0.81910000000000005</v>
      </c>
      <c r="C3072" s="28">
        <v>2223547735.6999998</v>
      </c>
    </row>
    <row r="3073" spans="1:3" ht="15.5">
      <c r="A3073" s="29">
        <v>40157</v>
      </c>
      <c r="B3073" s="28">
        <v>0.80930000000000002</v>
      </c>
      <c r="C3073" s="28">
        <v>2196918421.5</v>
      </c>
    </row>
    <row r="3074" spans="1:3" ht="15.5">
      <c r="A3074" s="29">
        <v>40156</v>
      </c>
      <c r="B3074" s="28">
        <v>0.82889999999999997</v>
      </c>
      <c r="C3074" s="28">
        <v>2250177049.9000001</v>
      </c>
    </row>
    <row r="3075" spans="1:3" ht="15.5">
      <c r="A3075" s="29">
        <v>40155</v>
      </c>
      <c r="B3075" s="28">
        <v>0.8387</v>
      </c>
      <c r="C3075" s="28">
        <v>2276806364.0999999</v>
      </c>
    </row>
    <row r="3076" spans="1:3" ht="15.5">
      <c r="A3076" s="29">
        <v>40154</v>
      </c>
      <c r="B3076" s="28">
        <v>0.83379999999999999</v>
      </c>
      <c r="C3076" s="28">
        <v>2263491707</v>
      </c>
    </row>
    <row r="3077" spans="1:3" ht="15.5">
      <c r="A3077" s="29">
        <v>40151</v>
      </c>
      <c r="B3077" s="28">
        <v>0.83379999999999999</v>
      </c>
      <c r="C3077" s="28">
        <v>2263491707</v>
      </c>
    </row>
    <row r="3078" spans="1:3" ht="15.5">
      <c r="A3078" s="29">
        <v>40150</v>
      </c>
      <c r="B3078" s="28">
        <v>0.82399999999999995</v>
      </c>
      <c r="C3078" s="28">
        <v>2236862392.8000002</v>
      </c>
    </row>
    <row r="3079" spans="1:3" ht="15.5">
      <c r="A3079" s="29">
        <v>40149</v>
      </c>
      <c r="B3079" s="28">
        <v>0.84360000000000002</v>
      </c>
      <c r="C3079" s="28">
        <v>2290121021.1999998</v>
      </c>
    </row>
    <row r="3080" spans="1:3" ht="15.5">
      <c r="A3080" s="29">
        <v>40148</v>
      </c>
      <c r="B3080" s="28">
        <v>0.8387</v>
      </c>
      <c r="C3080" s="28">
        <v>2276806364.0999999</v>
      </c>
    </row>
    <row r="3081" spans="1:3" ht="15.5">
      <c r="A3081" s="29">
        <v>40147</v>
      </c>
      <c r="B3081" s="28">
        <v>0.84360000000000002</v>
      </c>
      <c r="C3081" s="28">
        <v>2290121021.1999998</v>
      </c>
    </row>
    <row r="3082" spans="1:3" ht="15.5">
      <c r="A3082" s="29">
        <v>40144</v>
      </c>
      <c r="B3082" s="28">
        <v>0.8044</v>
      </c>
      <c r="C3082" s="28">
        <v>2183603764.4000001</v>
      </c>
    </row>
    <row r="3083" spans="1:3" ht="15.5">
      <c r="A3083" s="29">
        <v>40143</v>
      </c>
      <c r="B3083" s="28">
        <v>0.8387</v>
      </c>
      <c r="C3083" s="28">
        <v>2276806364.0999999</v>
      </c>
    </row>
    <row r="3084" spans="1:3" ht="15.5">
      <c r="A3084" s="29">
        <v>40142</v>
      </c>
      <c r="B3084" s="28">
        <v>0.84360000000000002</v>
      </c>
      <c r="C3084" s="28">
        <v>2290121021.1999998</v>
      </c>
    </row>
    <row r="3085" spans="1:3" ht="15.5">
      <c r="A3085" s="29">
        <v>40141</v>
      </c>
      <c r="B3085" s="28">
        <v>0.83379999999999999</v>
      </c>
      <c r="C3085" s="28">
        <v>2263491707</v>
      </c>
    </row>
    <row r="3086" spans="1:3" ht="15.5">
      <c r="A3086" s="29">
        <v>40140</v>
      </c>
      <c r="B3086" s="28">
        <v>0.873</v>
      </c>
      <c r="C3086" s="28">
        <v>2370008963.8000002</v>
      </c>
    </row>
    <row r="3087" spans="1:3" ht="15.5">
      <c r="A3087" s="29">
        <v>40137</v>
      </c>
      <c r="B3087" s="28">
        <v>0.86319999999999997</v>
      </c>
      <c r="C3087" s="28">
        <v>2343379649.5999999</v>
      </c>
    </row>
    <row r="3088" spans="1:3" ht="15.5">
      <c r="A3088" s="29">
        <v>40136</v>
      </c>
      <c r="B3088" s="28">
        <v>0.873</v>
      </c>
      <c r="C3088" s="28">
        <v>2370008963.8000002</v>
      </c>
    </row>
    <row r="3089" spans="1:3" ht="15.5">
      <c r="A3089" s="29">
        <v>40135</v>
      </c>
      <c r="B3089" s="28">
        <v>0.89749999999999996</v>
      </c>
      <c r="C3089" s="28">
        <v>2436582249.3000002</v>
      </c>
    </row>
    <row r="3090" spans="1:3" ht="15.5">
      <c r="A3090" s="29">
        <v>40134</v>
      </c>
      <c r="B3090" s="28">
        <v>0.87790000000000001</v>
      </c>
      <c r="C3090" s="28">
        <v>2383323620.9000001</v>
      </c>
    </row>
    <row r="3091" spans="1:3" ht="15.5">
      <c r="A3091" s="29">
        <v>40133</v>
      </c>
      <c r="B3091" s="28">
        <v>0.88280000000000003</v>
      </c>
      <c r="C3091" s="28">
        <v>2396638278</v>
      </c>
    </row>
    <row r="3092" spans="1:3" ht="15.5">
      <c r="A3092" s="29">
        <v>40130</v>
      </c>
      <c r="B3092" s="28">
        <v>0.86809999999999998</v>
      </c>
      <c r="C3092" s="28">
        <v>2356694306.6999998</v>
      </c>
    </row>
    <row r="3093" spans="1:3" ht="15.5">
      <c r="A3093" s="29">
        <v>40129</v>
      </c>
      <c r="B3093" s="28">
        <v>0.85340000000000005</v>
      </c>
      <c r="C3093" s="28">
        <v>2316750335.4000001</v>
      </c>
    </row>
    <row r="3094" spans="1:3" ht="15.5">
      <c r="A3094" s="29">
        <v>40128</v>
      </c>
      <c r="B3094" s="28">
        <v>0.85340000000000005</v>
      </c>
      <c r="C3094" s="28">
        <v>2316750335.4000001</v>
      </c>
    </row>
    <row r="3095" spans="1:3" ht="15.5">
      <c r="A3095" s="29">
        <v>40127</v>
      </c>
      <c r="B3095" s="28">
        <v>0.87790000000000001</v>
      </c>
      <c r="C3095" s="28">
        <v>2383323620.9000001</v>
      </c>
    </row>
    <row r="3096" spans="1:3" ht="15.5">
      <c r="A3096" s="29">
        <v>40126</v>
      </c>
      <c r="B3096" s="28">
        <v>0.86809999999999998</v>
      </c>
      <c r="C3096" s="28">
        <v>2356694306.6999998</v>
      </c>
    </row>
    <row r="3097" spans="1:3" ht="15.5">
      <c r="A3097" s="29">
        <v>40123</v>
      </c>
      <c r="B3097" s="28">
        <v>0.85340000000000005</v>
      </c>
      <c r="C3097" s="28">
        <v>2316750335.4000001</v>
      </c>
    </row>
    <row r="3098" spans="1:3" ht="15.5">
      <c r="A3098" s="29">
        <v>40122</v>
      </c>
      <c r="B3098" s="28">
        <v>0.85340000000000005</v>
      </c>
      <c r="C3098" s="28">
        <v>2316750335.4000001</v>
      </c>
    </row>
    <row r="3099" spans="1:3" ht="15.5">
      <c r="A3099" s="29">
        <v>40121</v>
      </c>
      <c r="B3099" s="28">
        <v>0.85340000000000005</v>
      </c>
      <c r="C3099" s="28">
        <v>2316750335.4000001</v>
      </c>
    </row>
    <row r="3100" spans="1:3" ht="15.5">
      <c r="A3100" s="29">
        <v>40120</v>
      </c>
      <c r="B3100" s="28">
        <v>0.85829999999999995</v>
      </c>
      <c r="C3100" s="28">
        <v>2330064992.5</v>
      </c>
    </row>
    <row r="3101" spans="1:3" ht="15.5">
      <c r="A3101" s="29">
        <v>40119</v>
      </c>
      <c r="B3101" s="28">
        <v>0.85340000000000005</v>
      </c>
      <c r="C3101" s="28">
        <v>2316750335.4000001</v>
      </c>
    </row>
    <row r="3102" spans="1:3" ht="15.5">
      <c r="A3102" s="29">
        <v>40116</v>
      </c>
      <c r="B3102" s="28">
        <v>0.86319999999999997</v>
      </c>
      <c r="C3102" s="28">
        <v>2343379649.5999999</v>
      </c>
    </row>
    <row r="3103" spans="1:3" ht="15.5">
      <c r="A3103" s="29">
        <v>40115</v>
      </c>
      <c r="B3103" s="28">
        <v>0.873</v>
      </c>
      <c r="C3103" s="28">
        <v>2370008963.8000002</v>
      </c>
    </row>
    <row r="3104" spans="1:3" ht="15.5">
      <c r="A3104" s="29">
        <v>40114</v>
      </c>
      <c r="B3104" s="28">
        <v>0.88280000000000003</v>
      </c>
      <c r="C3104" s="28">
        <v>2396638278</v>
      </c>
    </row>
    <row r="3105" spans="1:3" ht="15.5">
      <c r="A3105" s="29">
        <v>40113</v>
      </c>
      <c r="B3105" s="28">
        <v>0.87790000000000001</v>
      </c>
      <c r="C3105" s="28">
        <v>2383323620.9000001</v>
      </c>
    </row>
    <row r="3106" spans="1:3" ht="15.5">
      <c r="A3106" s="29">
        <v>40112</v>
      </c>
      <c r="B3106" s="28">
        <v>0.88770000000000004</v>
      </c>
      <c r="C3106" s="28">
        <v>2409952935.0999999</v>
      </c>
    </row>
    <row r="3107" spans="1:3" ht="15.5">
      <c r="A3107" s="29">
        <v>40109</v>
      </c>
      <c r="B3107" s="28">
        <v>0.89259999999999995</v>
      </c>
      <c r="C3107" s="28">
        <v>2423267592.1999998</v>
      </c>
    </row>
    <row r="3108" spans="1:3" ht="15.5">
      <c r="A3108" s="29">
        <v>40108</v>
      </c>
      <c r="B3108" s="28">
        <v>0.88280000000000003</v>
      </c>
      <c r="C3108" s="28">
        <v>2396638278</v>
      </c>
    </row>
    <row r="3109" spans="1:3" ht="15.5">
      <c r="A3109" s="29">
        <v>40107</v>
      </c>
      <c r="B3109" s="28">
        <v>0.90249999999999997</v>
      </c>
      <c r="C3109" s="28">
        <v>2449896906.4000001</v>
      </c>
    </row>
    <row r="3110" spans="1:3" ht="15.5">
      <c r="A3110" s="29">
        <v>40106</v>
      </c>
      <c r="B3110" s="28">
        <v>0.88770000000000004</v>
      </c>
      <c r="C3110" s="28">
        <v>2409952935.0999999</v>
      </c>
    </row>
    <row r="3111" spans="1:3" ht="15.5">
      <c r="A3111" s="29">
        <v>40105</v>
      </c>
      <c r="B3111" s="28">
        <v>0.873</v>
      </c>
      <c r="C3111" s="28">
        <v>2370008963.8000002</v>
      </c>
    </row>
    <row r="3112" spans="1:3" ht="15.5">
      <c r="A3112" s="29">
        <v>40102</v>
      </c>
      <c r="B3112" s="28">
        <v>0.86809999999999998</v>
      </c>
      <c r="C3112" s="28">
        <v>2356694306.6999998</v>
      </c>
    </row>
    <row r="3113" spans="1:3" ht="15.5">
      <c r="A3113" s="29">
        <v>40101</v>
      </c>
      <c r="B3113" s="28">
        <v>0.873</v>
      </c>
      <c r="C3113" s="28">
        <v>2370008963.8000002</v>
      </c>
    </row>
    <row r="3114" spans="1:3" ht="15.5">
      <c r="A3114" s="29">
        <v>40100</v>
      </c>
      <c r="B3114" s="28">
        <v>0.86809999999999998</v>
      </c>
      <c r="C3114" s="28">
        <v>2356694306.6999998</v>
      </c>
    </row>
    <row r="3115" spans="1:3" ht="15.5">
      <c r="A3115" s="29">
        <v>40099</v>
      </c>
      <c r="B3115" s="28">
        <v>0.86809999999999998</v>
      </c>
      <c r="C3115" s="28">
        <v>2356694306.6999998</v>
      </c>
    </row>
    <row r="3116" spans="1:3" ht="15.5">
      <c r="A3116" s="29">
        <v>40098</v>
      </c>
      <c r="B3116" s="28">
        <v>0.88280000000000003</v>
      </c>
      <c r="C3116" s="28">
        <v>2396638278</v>
      </c>
    </row>
    <row r="3117" spans="1:3" ht="15.5">
      <c r="A3117" s="29">
        <v>40095</v>
      </c>
      <c r="B3117" s="28">
        <v>0.86809999999999998</v>
      </c>
      <c r="C3117" s="28">
        <v>2356694306.6999998</v>
      </c>
    </row>
    <row r="3118" spans="1:3" ht="15.5">
      <c r="A3118" s="29">
        <v>40094</v>
      </c>
      <c r="B3118" s="28">
        <v>0.86319999999999997</v>
      </c>
      <c r="C3118" s="28">
        <v>2343379649.5999999</v>
      </c>
    </row>
    <row r="3119" spans="1:3" ht="15.5">
      <c r="A3119" s="29">
        <v>40093</v>
      </c>
      <c r="B3119" s="28">
        <v>0.873</v>
      </c>
      <c r="C3119" s="28">
        <v>2370008963.8000002</v>
      </c>
    </row>
    <row r="3120" spans="1:3" ht="15.5">
      <c r="A3120" s="29">
        <v>40092</v>
      </c>
      <c r="B3120" s="28">
        <v>0.88280000000000003</v>
      </c>
      <c r="C3120" s="28">
        <v>2396638278</v>
      </c>
    </row>
    <row r="3121" spans="1:3" ht="15.5">
      <c r="A3121" s="29">
        <v>40091</v>
      </c>
      <c r="B3121" s="28">
        <v>0.873</v>
      </c>
      <c r="C3121" s="28">
        <v>2370008963.8000002</v>
      </c>
    </row>
    <row r="3122" spans="1:3" ht="15.5">
      <c r="A3122" s="29">
        <v>40088</v>
      </c>
      <c r="B3122" s="28">
        <v>0.87790000000000001</v>
      </c>
      <c r="C3122" s="28">
        <v>2383323620.9000001</v>
      </c>
    </row>
    <row r="3123" spans="1:3" ht="15.5">
      <c r="A3123" s="29">
        <v>40087</v>
      </c>
      <c r="B3123" s="28">
        <v>0.88280000000000003</v>
      </c>
      <c r="C3123" s="28">
        <v>2396638278</v>
      </c>
    </row>
    <row r="3124" spans="1:3" ht="15.5">
      <c r="A3124" s="29">
        <v>40086</v>
      </c>
      <c r="B3124" s="28">
        <v>0.86809999999999998</v>
      </c>
      <c r="C3124" s="28">
        <v>2356694306.6999998</v>
      </c>
    </row>
    <row r="3125" spans="1:3" ht="15.5">
      <c r="A3125" s="29">
        <v>40085</v>
      </c>
      <c r="B3125" s="28">
        <v>0.84850000000000003</v>
      </c>
      <c r="C3125" s="28">
        <v>2292682500</v>
      </c>
    </row>
    <row r="3126" spans="1:3" ht="15.5">
      <c r="A3126" s="29">
        <v>40084</v>
      </c>
      <c r="B3126" s="28">
        <v>0.84360000000000002</v>
      </c>
      <c r="C3126" s="28">
        <v>2279430000</v>
      </c>
    </row>
    <row r="3127" spans="1:3" ht="15.5">
      <c r="A3127" s="29">
        <v>40081</v>
      </c>
      <c r="B3127" s="28">
        <v>0.85340000000000005</v>
      </c>
      <c r="C3127" s="28">
        <v>2305935000</v>
      </c>
    </row>
    <row r="3128" spans="1:3" ht="15.5">
      <c r="A3128" s="29">
        <v>40080</v>
      </c>
      <c r="B3128" s="28">
        <v>0.84850000000000003</v>
      </c>
      <c r="C3128" s="28">
        <v>2292682500</v>
      </c>
    </row>
    <row r="3129" spans="1:3" ht="15.5">
      <c r="A3129" s="29">
        <v>40079</v>
      </c>
      <c r="B3129" s="28">
        <v>0.8387</v>
      </c>
      <c r="C3129" s="28">
        <v>2266177500</v>
      </c>
    </row>
    <row r="3130" spans="1:3" ht="15.5">
      <c r="A3130" s="29">
        <v>40078</v>
      </c>
      <c r="B3130" s="28">
        <v>0.8387</v>
      </c>
      <c r="C3130" s="28">
        <v>2266177500</v>
      </c>
    </row>
    <row r="3131" spans="1:3" ht="15.5">
      <c r="A3131" s="29">
        <v>40077</v>
      </c>
      <c r="B3131" s="28">
        <v>0.8387</v>
      </c>
      <c r="C3131" s="28">
        <v>2266177500</v>
      </c>
    </row>
    <row r="3132" spans="1:3" ht="15.5">
      <c r="A3132" s="29">
        <v>40074</v>
      </c>
      <c r="B3132" s="28">
        <v>0.8387</v>
      </c>
      <c r="C3132" s="28">
        <v>2266177500</v>
      </c>
    </row>
    <row r="3133" spans="1:3" ht="15.5">
      <c r="A3133" s="29">
        <v>40073</v>
      </c>
      <c r="B3133" s="28">
        <v>0.84360000000000002</v>
      </c>
      <c r="C3133" s="28">
        <v>2279430000</v>
      </c>
    </row>
    <row r="3134" spans="1:3" ht="15.5">
      <c r="A3134" s="29">
        <v>40072</v>
      </c>
      <c r="B3134" s="28">
        <v>0.82889999999999997</v>
      </c>
      <c r="C3134" s="28">
        <v>2239672500</v>
      </c>
    </row>
    <row r="3135" spans="1:3" ht="15.5">
      <c r="A3135" s="29">
        <v>40071</v>
      </c>
      <c r="B3135" s="28">
        <v>0.80930000000000002</v>
      </c>
      <c r="C3135" s="28">
        <v>2186662500</v>
      </c>
    </row>
    <row r="3136" spans="1:3" ht="15.5">
      <c r="A3136" s="29">
        <v>40070</v>
      </c>
      <c r="B3136" s="28">
        <v>0.81420000000000003</v>
      </c>
      <c r="C3136" s="28">
        <v>2199915000</v>
      </c>
    </row>
    <row r="3137" spans="1:3" ht="15.5">
      <c r="A3137" s="29">
        <v>40067</v>
      </c>
      <c r="B3137" s="28">
        <v>0.81420000000000003</v>
      </c>
      <c r="C3137" s="28">
        <v>2199915000</v>
      </c>
    </row>
    <row r="3138" spans="1:3" ht="15.5">
      <c r="A3138" s="29">
        <v>40066</v>
      </c>
      <c r="B3138" s="28">
        <v>0.81420000000000003</v>
      </c>
      <c r="C3138" s="28">
        <v>2199915000</v>
      </c>
    </row>
    <row r="3139" spans="1:3" ht="15.5">
      <c r="A3139" s="29">
        <v>40065</v>
      </c>
      <c r="B3139" s="28">
        <v>0.79459999999999997</v>
      </c>
      <c r="C3139" s="28">
        <v>2146905000</v>
      </c>
    </row>
    <row r="3140" spans="1:3" ht="15.5">
      <c r="A3140" s="29">
        <v>40064</v>
      </c>
      <c r="B3140" s="28">
        <v>0.78959999999999997</v>
      </c>
      <c r="C3140" s="28">
        <v>2133652500</v>
      </c>
    </row>
    <row r="3141" spans="1:3" ht="15.5">
      <c r="A3141" s="29">
        <v>40063</v>
      </c>
      <c r="B3141" s="28">
        <v>0.78469999999999995</v>
      </c>
      <c r="C3141" s="28">
        <v>2120400000</v>
      </c>
    </row>
    <row r="3142" spans="1:3" ht="15.5">
      <c r="A3142" s="29">
        <v>40060</v>
      </c>
      <c r="B3142" s="28">
        <v>0.77490000000000003</v>
      </c>
      <c r="C3142" s="28">
        <v>2093895000</v>
      </c>
    </row>
    <row r="3143" spans="1:3" ht="15.5">
      <c r="A3143" s="29">
        <v>40059</v>
      </c>
      <c r="B3143" s="28">
        <v>0.77490000000000003</v>
      </c>
      <c r="C3143" s="28">
        <v>2093895000</v>
      </c>
    </row>
    <row r="3144" spans="1:3" ht="15.5">
      <c r="A3144" s="29">
        <v>40058</v>
      </c>
      <c r="B3144" s="28">
        <v>0.7651</v>
      </c>
      <c r="C3144" s="28">
        <v>2067390000</v>
      </c>
    </row>
    <row r="3145" spans="1:3" ht="15.5">
      <c r="A3145" s="29">
        <v>40057</v>
      </c>
      <c r="B3145" s="28">
        <v>0.76019999999999999</v>
      </c>
      <c r="C3145" s="28">
        <v>2054137500</v>
      </c>
    </row>
    <row r="3146" spans="1:3" ht="15.5">
      <c r="A3146" s="29">
        <v>40056</v>
      </c>
      <c r="B3146" s="28">
        <v>0.75529999999999997</v>
      </c>
      <c r="C3146" s="28">
        <v>2040885000</v>
      </c>
    </row>
    <row r="3147" spans="1:3" ht="15.5">
      <c r="A3147" s="29">
        <v>40053</v>
      </c>
      <c r="B3147" s="28">
        <v>0.75039999999999996</v>
      </c>
      <c r="C3147" s="28">
        <v>2027632500</v>
      </c>
    </row>
    <row r="3148" spans="1:3" ht="15.5">
      <c r="A3148" s="29">
        <v>40052</v>
      </c>
      <c r="B3148" s="28">
        <v>0.72589999999999999</v>
      </c>
      <c r="C3148" s="28">
        <v>1961370000</v>
      </c>
    </row>
    <row r="3149" spans="1:3" ht="15.5">
      <c r="A3149" s="29">
        <v>40051</v>
      </c>
      <c r="B3149" s="28">
        <v>0.71609999999999996</v>
      </c>
      <c r="C3149" s="28">
        <v>1934865000</v>
      </c>
    </row>
    <row r="3150" spans="1:3" ht="15.5">
      <c r="A3150" s="29">
        <v>40050</v>
      </c>
      <c r="B3150" s="28">
        <v>0.72099999999999997</v>
      </c>
      <c r="C3150" s="28">
        <v>1948117500</v>
      </c>
    </row>
    <row r="3151" spans="1:3" ht="15.5">
      <c r="A3151" s="29">
        <v>40049</v>
      </c>
      <c r="B3151" s="28">
        <v>0.73570000000000002</v>
      </c>
      <c r="C3151" s="28">
        <v>1987875000</v>
      </c>
    </row>
    <row r="3152" spans="1:3" ht="15.5">
      <c r="A3152" s="29">
        <v>40046</v>
      </c>
      <c r="B3152" s="28">
        <v>0.72589999999999999</v>
      </c>
      <c r="C3152" s="28">
        <v>1961370000</v>
      </c>
    </row>
    <row r="3153" spans="1:3" ht="15.5">
      <c r="A3153" s="29">
        <v>40045</v>
      </c>
      <c r="B3153" s="28">
        <v>0.74550000000000005</v>
      </c>
      <c r="C3153" s="28">
        <v>2014380000</v>
      </c>
    </row>
    <row r="3154" spans="1:3" ht="15.5">
      <c r="A3154" s="29">
        <v>40044</v>
      </c>
      <c r="B3154" s="28">
        <v>0.74550000000000005</v>
      </c>
      <c r="C3154" s="28">
        <v>2014380000</v>
      </c>
    </row>
    <row r="3155" spans="1:3" ht="15.5">
      <c r="A3155" s="29">
        <v>40043</v>
      </c>
      <c r="B3155" s="28">
        <v>0.75529999999999997</v>
      </c>
      <c r="C3155" s="28">
        <v>2040885000</v>
      </c>
    </row>
    <row r="3156" spans="1:3" ht="15.5">
      <c r="A3156" s="29">
        <v>40042</v>
      </c>
      <c r="B3156" s="28">
        <v>0.77</v>
      </c>
      <c r="C3156" s="28">
        <v>2080642500</v>
      </c>
    </row>
    <row r="3157" spans="1:3" ht="15.5">
      <c r="A3157" s="29">
        <v>40039</v>
      </c>
      <c r="B3157" s="28">
        <v>0.76019999999999999</v>
      </c>
      <c r="C3157" s="28">
        <v>2054137500</v>
      </c>
    </row>
    <row r="3158" spans="1:3" ht="15.5">
      <c r="A3158" s="29">
        <v>40038</v>
      </c>
      <c r="B3158" s="28">
        <v>0.77980000000000005</v>
      </c>
      <c r="C3158" s="28">
        <v>2107147500</v>
      </c>
    </row>
    <row r="3159" spans="1:3" ht="15.5">
      <c r="A3159" s="29">
        <v>40037</v>
      </c>
      <c r="B3159" s="28">
        <v>0.76019999999999999</v>
      </c>
      <c r="C3159" s="28">
        <v>2054137500</v>
      </c>
    </row>
    <row r="3160" spans="1:3" ht="15.5">
      <c r="A3160" s="29">
        <v>40036</v>
      </c>
      <c r="B3160" s="28">
        <v>0.77</v>
      </c>
      <c r="C3160" s="28">
        <v>2080642500</v>
      </c>
    </row>
    <row r="3161" spans="1:3" ht="15.5">
      <c r="A3161" s="29">
        <v>40035</v>
      </c>
      <c r="B3161" s="28">
        <v>0.76019999999999999</v>
      </c>
      <c r="C3161" s="28">
        <v>2054137500</v>
      </c>
    </row>
    <row r="3162" spans="1:3" ht="15.5">
      <c r="A3162" s="29">
        <v>40032</v>
      </c>
      <c r="B3162" s="28">
        <v>0.74550000000000005</v>
      </c>
      <c r="C3162" s="28">
        <v>2014380000</v>
      </c>
    </row>
    <row r="3163" spans="1:3" ht="15.5">
      <c r="A3163" s="29">
        <v>40031</v>
      </c>
      <c r="B3163" s="28">
        <v>0.75039999999999996</v>
      </c>
      <c r="C3163" s="28">
        <v>2027632500</v>
      </c>
    </row>
    <row r="3164" spans="1:3" ht="15.5">
      <c r="A3164" s="29">
        <v>40030</v>
      </c>
      <c r="B3164" s="28">
        <v>0.73080000000000001</v>
      </c>
      <c r="C3164" s="28">
        <v>1974622500</v>
      </c>
    </row>
    <row r="3165" spans="1:3" ht="15.5">
      <c r="A3165" s="29">
        <v>40029</v>
      </c>
      <c r="B3165" s="28">
        <v>0.73570000000000002</v>
      </c>
      <c r="C3165" s="28">
        <v>1987875000</v>
      </c>
    </row>
    <row r="3166" spans="1:3" ht="15.5">
      <c r="A3166" s="29">
        <v>40028</v>
      </c>
      <c r="B3166" s="28">
        <v>0.75529999999999997</v>
      </c>
      <c r="C3166" s="28">
        <v>2040885000</v>
      </c>
    </row>
    <row r="3167" spans="1:3" ht="15.5">
      <c r="A3167" s="29">
        <v>40025</v>
      </c>
      <c r="B3167" s="28">
        <v>0.7651</v>
      </c>
      <c r="C3167" s="28">
        <v>2067390000</v>
      </c>
    </row>
    <row r="3168" spans="1:3" ht="15.5">
      <c r="A3168" s="29">
        <v>40024</v>
      </c>
      <c r="B3168" s="28">
        <v>0.75529999999999997</v>
      </c>
      <c r="C3168" s="28">
        <v>2040885000</v>
      </c>
    </row>
    <row r="3169" spans="1:3" ht="15.5">
      <c r="A3169" s="29">
        <v>40023</v>
      </c>
      <c r="B3169" s="28">
        <v>0.77</v>
      </c>
      <c r="C3169" s="28">
        <v>2080642500</v>
      </c>
    </row>
    <row r="3170" spans="1:3" ht="15.5">
      <c r="A3170" s="29">
        <v>40022</v>
      </c>
      <c r="B3170" s="28">
        <v>0.77490000000000003</v>
      </c>
      <c r="C3170" s="28">
        <v>2093895000</v>
      </c>
    </row>
    <row r="3171" spans="1:3" ht="15.5">
      <c r="A3171" s="29">
        <v>40021</v>
      </c>
      <c r="B3171" s="28">
        <v>0.77980000000000005</v>
      </c>
      <c r="C3171" s="28">
        <v>2107147500</v>
      </c>
    </row>
    <row r="3172" spans="1:3" ht="15.5">
      <c r="A3172" s="29">
        <v>40018</v>
      </c>
      <c r="B3172" s="28">
        <v>0.76019999999999999</v>
      </c>
      <c r="C3172" s="28">
        <v>2054137500</v>
      </c>
    </row>
    <row r="3173" spans="1:3" ht="15.5">
      <c r="A3173" s="29">
        <v>40017</v>
      </c>
      <c r="B3173" s="28">
        <v>0.76019999999999999</v>
      </c>
      <c r="C3173" s="28">
        <v>2054137500</v>
      </c>
    </row>
    <row r="3174" spans="1:3" ht="15.5">
      <c r="A3174" s="29">
        <v>40016</v>
      </c>
      <c r="B3174" s="28">
        <v>0.74060000000000004</v>
      </c>
      <c r="C3174" s="28">
        <v>2001127500</v>
      </c>
    </row>
    <row r="3175" spans="1:3" ht="15.5">
      <c r="A3175" s="29">
        <v>40015</v>
      </c>
      <c r="B3175" s="28">
        <v>0.73570000000000002</v>
      </c>
      <c r="C3175" s="28">
        <v>1987875000</v>
      </c>
    </row>
    <row r="3176" spans="1:3" ht="15.5">
      <c r="A3176" s="29">
        <v>40014</v>
      </c>
      <c r="B3176" s="28">
        <v>0.74550000000000005</v>
      </c>
      <c r="C3176" s="28">
        <v>2014380000</v>
      </c>
    </row>
    <row r="3177" spans="1:3" ht="15.5">
      <c r="A3177" s="29">
        <v>40011</v>
      </c>
      <c r="B3177" s="28">
        <v>0.74060000000000004</v>
      </c>
      <c r="C3177" s="28">
        <v>2001127500</v>
      </c>
    </row>
    <row r="3178" spans="1:3" ht="15.5">
      <c r="A3178" s="29">
        <v>40010</v>
      </c>
      <c r="B3178" s="28">
        <v>0.75039999999999996</v>
      </c>
      <c r="C3178" s="28">
        <v>2027632500</v>
      </c>
    </row>
    <row r="3179" spans="1:3" ht="15.5">
      <c r="A3179" s="29">
        <v>40009</v>
      </c>
      <c r="B3179" s="28">
        <v>0.74550000000000005</v>
      </c>
      <c r="C3179" s="28">
        <v>2014380000</v>
      </c>
    </row>
    <row r="3180" spans="1:3" ht="15.5">
      <c r="A3180" s="29">
        <v>40008</v>
      </c>
      <c r="B3180" s="28">
        <v>0.73570000000000002</v>
      </c>
      <c r="C3180" s="28">
        <v>1987875000</v>
      </c>
    </row>
    <row r="3181" spans="1:3" ht="15.5">
      <c r="A3181" s="29">
        <v>40007</v>
      </c>
      <c r="B3181" s="28">
        <v>0.72589999999999999</v>
      </c>
      <c r="C3181" s="28">
        <v>1961370000</v>
      </c>
    </row>
    <row r="3182" spans="1:3" ht="15.5">
      <c r="A3182" s="29">
        <v>40004</v>
      </c>
      <c r="B3182" s="28">
        <v>0.73570000000000002</v>
      </c>
      <c r="C3182" s="28">
        <v>1987875000</v>
      </c>
    </row>
    <row r="3183" spans="1:3" ht="15.5">
      <c r="A3183" s="29">
        <v>40003</v>
      </c>
      <c r="B3183" s="28">
        <v>0.73570000000000002</v>
      </c>
      <c r="C3183" s="28">
        <v>1987875000</v>
      </c>
    </row>
    <row r="3184" spans="1:3" ht="15.5">
      <c r="A3184" s="29">
        <v>40002</v>
      </c>
      <c r="B3184" s="28">
        <v>0.75529999999999997</v>
      </c>
      <c r="C3184" s="28">
        <v>2040885000</v>
      </c>
    </row>
    <row r="3185" spans="1:3" ht="15.5">
      <c r="A3185" s="29">
        <v>40001</v>
      </c>
      <c r="B3185" s="28">
        <v>0.75039999999999996</v>
      </c>
      <c r="C3185" s="28">
        <v>2027632500</v>
      </c>
    </row>
    <row r="3186" spans="1:3" ht="15.5">
      <c r="A3186" s="29">
        <v>40000</v>
      </c>
      <c r="B3186" s="28">
        <v>0.75529999999999997</v>
      </c>
      <c r="C3186" s="28">
        <v>2040885000</v>
      </c>
    </row>
    <row r="3187" spans="1:3" ht="15.5">
      <c r="A3187" s="29">
        <v>39997</v>
      </c>
      <c r="B3187" s="28">
        <v>0.75039999999999996</v>
      </c>
      <c r="C3187" s="28">
        <v>2027632500</v>
      </c>
    </row>
    <row r="3188" spans="1:3" ht="15.5">
      <c r="A3188" s="29">
        <v>39996</v>
      </c>
      <c r="B3188" s="28">
        <v>0.73570000000000002</v>
      </c>
      <c r="C3188" s="28">
        <v>1987875000</v>
      </c>
    </row>
    <row r="3189" spans="1:3" ht="15.5">
      <c r="A3189" s="29">
        <v>39995</v>
      </c>
      <c r="B3189" s="28">
        <v>0.74060000000000004</v>
      </c>
      <c r="C3189" s="28">
        <v>2001127500</v>
      </c>
    </row>
    <row r="3190" spans="1:3" ht="15.5">
      <c r="A3190" s="29">
        <v>39994</v>
      </c>
      <c r="B3190" s="28">
        <v>0.75529999999999997</v>
      </c>
      <c r="C3190" s="28">
        <v>2040885000</v>
      </c>
    </row>
    <row r="3191" spans="1:3" ht="15.5">
      <c r="A3191" s="29">
        <v>39993</v>
      </c>
      <c r="B3191" s="28">
        <v>0.75039999999999996</v>
      </c>
      <c r="C3191" s="28">
        <v>2027632500</v>
      </c>
    </row>
    <row r="3192" spans="1:3" ht="15.5">
      <c r="A3192" s="29">
        <v>39990</v>
      </c>
      <c r="B3192" s="28">
        <v>0.76019999999999999</v>
      </c>
      <c r="C3192" s="28">
        <v>2054137500</v>
      </c>
    </row>
    <row r="3193" spans="1:3" ht="15.5">
      <c r="A3193" s="29">
        <v>39989</v>
      </c>
      <c r="B3193" s="28">
        <v>0.76019999999999999</v>
      </c>
      <c r="C3193" s="28">
        <v>2054137500</v>
      </c>
    </row>
    <row r="3194" spans="1:3" ht="15.5">
      <c r="A3194" s="29">
        <v>39988</v>
      </c>
      <c r="B3194" s="28">
        <v>0.75529999999999997</v>
      </c>
      <c r="C3194" s="28">
        <v>2040885000</v>
      </c>
    </row>
    <row r="3195" spans="1:3" ht="15.5">
      <c r="A3195" s="29">
        <v>39987</v>
      </c>
      <c r="B3195" s="28">
        <v>0.7651</v>
      </c>
      <c r="C3195" s="28">
        <v>2067390000</v>
      </c>
    </row>
    <row r="3196" spans="1:3" ht="15.5">
      <c r="A3196" s="29">
        <v>39986</v>
      </c>
      <c r="B3196" s="28">
        <v>0.7651</v>
      </c>
      <c r="C3196" s="28">
        <v>2067390000</v>
      </c>
    </row>
    <row r="3197" spans="1:3" ht="15.5">
      <c r="A3197" s="29">
        <v>39983</v>
      </c>
      <c r="B3197" s="28">
        <v>0.78469999999999995</v>
      </c>
      <c r="C3197" s="28">
        <v>2120400000</v>
      </c>
    </row>
    <row r="3198" spans="1:3" ht="15.5">
      <c r="A3198" s="29">
        <v>39982</v>
      </c>
      <c r="B3198" s="28">
        <v>0.77490000000000003</v>
      </c>
      <c r="C3198" s="28">
        <v>2093895000</v>
      </c>
    </row>
    <row r="3199" spans="1:3" ht="15.5">
      <c r="A3199" s="29">
        <v>39981</v>
      </c>
      <c r="B3199" s="28">
        <v>0.77</v>
      </c>
      <c r="C3199" s="28">
        <v>2080642500</v>
      </c>
    </row>
    <row r="3200" spans="1:3" ht="15.5">
      <c r="A3200" s="29">
        <v>39980</v>
      </c>
      <c r="B3200" s="28">
        <v>0.8044</v>
      </c>
      <c r="C3200" s="28">
        <v>2173410000</v>
      </c>
    </row>
    <row r="3201" spans="1:3" ht="15.5">
      <c r="A3201" s="29">
        <v>39979</v>
      </c>
      <c r="B3201" s="28">
        <v>0.82399999999999995</v>
      </c>
      <c r="C3201" s="28">
        <v>2226420000</v>
      </c>
    </row>
    <row r="3202" spans="1:3" ht="15.5">
      <c r="A3202" s="29">
        <v>39976</v>
      </c>
      <c r="B3202" s="28">
        <v>0.81910000000000005</v>
      </c>
      <c r="C3202" s="28">
        <v>2213167500</v>
      </c>
    </row>
    <row r="3203" spans="1:3" ht="15.5">
      <c r="A3203" s="29">
        <v>39975</v>
      </c>
      <c r="B3203" s="28">
        <v>0.83379999999999999</v>
      </c>
      <c r="C3203" s="28">
        <v>2252925000</v>
      </c>
    </row>
    <row r="3204" spans="1:3" ht="15.5">
      <c r="A3204" s="29">
        <v>39974</v>
      </c>
      <c r="B3204" s="28">
        <v>0.80930000000000002</v>
      </c>
      <c r="C3204" s="28">
        <v>2186662500</v>
      </c>
    </row>
    <row r="3205" spans="1:3" ht="15.5">
      <c r="A3205" s="29">
        <v>39973</v>
      </c>
      <c r="B3205" s="28">
        <v>0.8044</v>
      </c>
      <c r="C3205" s="28">
        <v>2173410000</v>
      </c>
    </row>
    <row r="3206" spans="1:3" ht="15.5">
      <c r="A3206" s="29">
        <v>39969</v>
      </c>
      <c r="B3206" s="28">
        <v>0.78469999999999995</v>
      </c>
      <c r="C3206" s="28">
        <v>2120400000</v>
      </c>
    </row>
    <row r="3207" spans="1:3" ht="15.5">
      <c r="A3207" s="29">
        <v>39968</v>
      </c>
      <c r="B3207" s="28">
        <v>0.8044</v>
      </c>
      <c r="C3207" s="28">
        <v>2173410000</v>
      </c>
    </row>
    <row r="3208" spans="1:3" ht="15.5">
      <c r="A3208" s="29">
        <v>39967</v>
      </c>
      <c r="B3208" s="28">
        <v>0.79949999999999999</v>
      </c>
      <c r="C3208" s="28">
        <v>2160157500</v>
      </c>
    </row>
    <row r="3209" spans="1:3" ht="15.5">
      <c r="A3209" s="29">
        <v>39966</v>
      </c>
      <c r="B3209" s="28">
        <v>0.78469999999999995</v>
      </c>
      <c r="C3209" s="28">
        <v>2120400000</v>
      </c>
    </row>
    <row r="3210" spans="1:3" ht="15.5">
      <c r="A3210" s="29">
        <v>39965</v>
      </c>
      <c r="B3210" s="28">
        <v>0.7651</v>
      </c>
      <c r="C3210" s="28">
        <v>2067390000</v>
      </c>
    </row>
    <row r="3211" spans="1:3" ht="15.5">
      <c r="A3211" s="29">
        <v>39962</v>
      </c>
      <c r="B3211" s="28">
        <v>0.78469999999999995</v>
      </c>
      <c r="C3211" s="28">
        <v>2120400000</v>
      </c>
    </row>
    <row r="3212" spans="1:3" ht="15.5">
      <c r="A3212" s="29">
        <v>39961</v>
      </c>
      <c r="B3212" s="28">
        <v>0.75039999999999996</v>
      </c>
      <c r="C3212" s="28">
        <v>2027632500</v>
      </c>
    </row>
    <row r="3213" spans="1:3" ht="15.5">
      <c r="A3213" s="29">
        <v>39960</v>
      </c>
      <c r="B3213" s="28">
        <v>0.77980000000000005</v>
      </c>
      <c r="C3213" s="28">
        <v>2107147500</v>
      </c>
    </row>
    <row r="3214" spans="1:3" ht="15.5">
      <c r="A3214" s="29">
        <v>39959</v>
      </c>
      <c r="B3214" s="28">
        <v>0.79459999999999997</v>
      </c>
      <c r="C3214" s="28">
        <v>2146905000</v>
      </c>
    </row>
    <row r="3215" spans="1:3" ht="15.5">
      <c r="A3215" s="29">
        <v>39958</v>
      </c>
      <c r="B3215" s="28">
        <v>0.77980000000000005</v>
      </c>
      <c r="C3215" s="28">
        <v>2107147500</v>
      </c>
    </row>
    <row r="3216" spans="1:3" ht="15.5">
      <c r="A3216" s="29">
        <v>39955</v>
      </c>
      <c r="B3216" s="28">
        <v>0.77980000000000005</v>
      </c>
      <c r="C3216" s="28">
        <v>2107147500</v>
      </c>
    </row>
    <row r="3217" spans="1:3" ht="15.5">
      <c r="A3217" s="29">
        <v>39954</v>
      </c>
      <c r="B3217" s="28">
        <v>0.8044</v>
      </c>
      <c r="C3217" s="28">
        <v>2173410000</v>
      </c>
    </row>
    <row r="3218" spans="1:3" ht="15.5">
      <c r="A3218" s="29">
        <v>39953</v>
      </c>
      <c r="B3218" s="28">
        <v>0.88280000000000003</v>
      </c>
      <c r="C3218" s="28">
        <v>2385450000</v>
      </c>
    </row>
    <row r="3219" spans="1:3" ht="15.5">
      <c r="A3219" s="29">
        <v>39952</v>
      </c>
      <c r="B3219" s="28">
        <v>0.86319999999999997</v>
      </c>
      <c r="C3219" s="28">
        <v>2332440000</v>
      </c>
    </row>
    <row r="3220" spans="1:3" ht="15.5">
      <c r="A3220" s="29">
        <v>39951</v>
      </c>
      <c r="B3220" s="28">
        <v>0.87790000000000001</v>
      </c>
      <c r="C3220" s="28">
        <v>2372197500</v>
      </c>
    </row>
    <row r="3221" spans="1:3" ht="15.5">
      <c r="A3221" s="29">
        <v>39948</v>
      </c>
      <c r="B3221" s="28">
        <v>0.89259999999999995</v>
      </c>
      <c r="C3221" s="28">
        <v>2411955000</v>
      </c>
    </row>
    <row r="3222" spans="1:3" ht="15.5">
      <c r="A3222" s="29">
        <v>39947</v>
      </c>
      <c r="B3222" s="28">
        <v>0.88770000000000004</v>
      </c>
      <c r="C3222" s="28">
        <v>2398702500</v>
      </c>
    </row>
    <row r="3223" spans="1:3" ht="15.5">
      <c r="A3223" s="29">
        <v>39944</v>
      </c>
      <c r="B3223" s="28">
        <v>0.85929999999999995</v>
      </c>
      <c r="C3223" s="28">
        <v>1908360000</v>
      </c>
    </row>
    <row r="3224" spans="1:3" ht="15.5">
      <c r="A3224" s="29">
        <v>39941</v>
      </c>
      <c r="B3224" s="28">
        <v>0.83540000000000003</v>
      </c>
      <c r="C3224" s="28">
        <v>1855350000</v>
      </c>
    </row>
    <row r="3225" spans="1:3" ht="15.5">
      <c r="A3225" s="29">
        <v>39940</v>
      </c>
      <c r="B3225" s="28">
        <v>0.84970000000000001</v>
      </c>
      <c r="C3225" s="28">
        <v>1887156000</v>
      </c>
    </row>
    <row r="3226" spans="1:3" ht="15.5">
      <c r="A3226" s="29">
        <v>39939</v>
      </c>
      <c r="B3226" s="28">
        <v>0.8306</v>
      </c>
      <c r="C3226" s="28">
        <v>1844748000</v>
      </c>
    </row>
    <row r="3227" spans="1:3" ht="15.5">
      <c r="A3227" s="29">
        <v>39938</v>
      </c>
      <c r="B3227" s="28">
        <v>0.84970000000000001</v>
      </c>
      <c r="C3227" s="28">
        <v>1887156000</v>
      </c>
    </row>
    <row r="3228" spans="1:3" ht="15.5">
      <c r="A3228" s="29">
        <v>39937</v>
      </c>
      <c r="B3228" s="28">
        <v>0.89749999999999996</v>
      </c>
      <c r="C3228" s="28">
        <v>1993176000</v>
      </c>
    </row>
    <row r="3229" spans="1:3" ht="15.5">
      <c r="A3229" s="29">
        <v>39934</v>
      </c>
      <c r="B3229" s="28">
        <v>0.92130000000000001</v>
      </c>
      <c r="C3229" s="28">
        <v>2046186000</v>
      </c>
    </row>
    <row r="3230" spans="1:3" ht="15.5">
      <c r="A3230" s="29">
        <v>39933</v>
      </c>
      <c r="B3230" s="28">
        <v>0.95469999999999999</v>
      </c>
      <c r="C3230" s="28">
        <v>2120400000</v>
      </c>
    </row>
    <row r="3231" spans="1:3" ht="15.5">
      <c r="A3231" s="29">
        <v>39932</v>
      </c>
      <c r="B3231" s="28">
        <v>0.93089999999999995</v>
      </c>
      <c r="C3231" s="28">
        <v>2067390000</v>
      </c>
    </row>
    <row r="3232" spans="1:3" ht="15.5">
      <c r="A3232" s="29">
        <v>39931</v>
      </c>
      <c r="B3232" s="28">
        <v>0.90700000000000003</v>
      </c>
      <c r="C3232" s="28">
        <v>2014380000</v>
      </c>
    </row>
    <row r="3233" spans="1:3" ht="15.5">
      <c r="A3233" s="29">
        <v>39930</v>
      </c>
      <c r="B3233" s="28">
        <v>0.89270000000000005</v>
      </c>
      <c r="C3233" s="28">
        <v>1982574000</v>
      </c>
    </row>
    <row r="3234" spans="1:3" ht="15.5">
      <c r="A3234" s="29">
        <v>39927</v>
      </c>
      <c r="B3234" s="28">
        <v>0.8831</v>
      </c>
      <c r="C3234" s="28">
        <v>1961370000</v>
      </c>
    </row>
    <row r="3235" spans="1:3" ht="15.5">
      <c r="A3235" s="29">
        <v>39926</v>
      </c>
      <c r="B3235" s="28">
        <v>0.90700000000000003</v>
      </c>
      <c r="C3235" s="28">
        <v>2014380000</v>
      </c>
    </row>
    <row r="3236" spans="1:3" ht="15.5">
      <c r="A3236" s="29">
        <v>39925</v>
      </c>
      <c r="B3236" s="28">
        <v>0.8831</v>
      </c>
      <c r="C3236" s="28">
        <v>1961370000</v>
      </c>
    </row>
    <row r="3237" spans="1:3" ht="15.5">
      <c r="A3237" s="29">
        <v>39924</v>
      </c>
      <c r="B3237" s="28">
        <v>0.86399999999999999</v>
      </c>
      <c r="C3237" s="28">
        <v>1918962000</v>
      </c>
    </row>
    <row r="3238" spans="1:3" ht="15.5">
      <c r="A3238" s="29">
        <v>39923</v>
      </c>
      <c r="B3238" s="28">
        <v>0.87360000000000004</v>
      </c>
      <c r="C3238" s="28">
        <v>1940166000</v>
      </c>
    </row>
    <row r="3239" spans="1:3" ht="15.5">
      <c r="A3239" s="29">
        <v>39920</v>
      </c>
      <c r="B3239" s="28">
        <v>0.87839999999999996</v>
      </c>
      <c r="C3239" s="28">
        <v>1950768000</v>
      </c>
    </row>
    <row r="3240" spans="1:3" ht="15.5">
      <c r="A3240" s="29">
        <v>39919</v>
      </c>
      <c r="B3240" s="28">
        <v>0.86880000000000002</v>
      </c>
      <c r="C3240" s="28">
        <v>1929564000</v>
      </c>
    </row>
    <row r="3241" spans="1:3" ht="15.5">
      <c r="A3241" s="29">
        <v>39918</v>
      </c>
      <c r="B3241" s="28">
        <v>0.87839999999999996</v>
      </c>
      <c r="C3241" s="28">
        <v>1950768000</v>
      </c>
    </row>
    <row r="3242" spans="1:3" ht="15.5">
      <c r="A3242" s="29">
        <v>39917</v>
      </c>
      <c r="B3242" s="28">
        <v>0.91649999999999998</v>
      </c>
      <c r="C3242" s="28">
        <v>2035584000</v>
      </c>
    </row>
    <row r="3243" spans="1:3" ht="15.5">
      <c r="A3243" s="29">
        <v>39912</v>
      </c>
      <c r="B3243" s="28">
        <v>0.93089999999999995</v>
      </c>
      <c r="C3243" s="28">
        <v>2067390000</v>
      </c>
    </row>
    <row r="3244" spans="1:3" ht="15.5">
      <c r="A3244" s="29">
        <v>39911</v>
      </c>
      <c r="B3244" s="28">
        <v>0.92610000000000003</v>
      </c>
      <c r="C3244" s="28">
        <v>2056788000</v>
      </c>
    </row>
    <row r="3245" spans="1:3" ht="15.5">
      <c r="A3245" s="29">
        <v>39910</v>
      </c>
      <c r="B3245" s="28">
        <v>0.91649999999999998</v>
      </c>
      <c r="C3245" s="28">
        <v>2035584000</v>
      </c>
    </row>
    <row r="3246" spans="1:3" ht="15.5">
      <c r="A3246" s="29">
        <v>39909</v>
      </c>
      <c r="B3246" s="28">
        <v>0.86880000000000002</v>
      </c>
      <c r="C3246" s="28">
        <v>1929564000</v>
      </c>
    </row>
    <row r="3247" spans="1:3" ht="15.5">
      <c r="A3247" s="29">
        <v>39906</v>
      </c>
      <c r="B3247" s="28">
        <v>0.84970000000000001</v>
      </c>
      <c r="C3247" s="28">
        <v>1887156000</v>
      </c>
    </row>
    <row r="3248" spans="1:3" ht="15.5">
      <c r="A3248" s="29">
        <v>39905</v>
      </c>
      <c r="B3248" s="28">
        <v>0.85450000000000004</v>
      </c>
      <c r="C3248" s="28">
        <v>1897758000</v>
      </c>
    </row>
    <row r="3249" spans="1:3" ht="15.5">
      <c r="A3249" s="29">
        <v>39904</v>
      </c>
      <c r="B3249" s="28">
        <v>0.84970000000000001</v>
      </c>
      <c r="C3249" s="28">
        <v>1887156000</v>
      </c>
    </row>
    <row r="3250" spans="1:3" ht="15.5">
      <c r="A3250" s="29">
        <v>39903</v>
      </c>
      <c r="B3250" s="28">
        <v>0.86880000000000002</v>
      </c>
      <c r="C3250" s="28">
        <v>1929564000</v>
      </c>
    </row>
    <row r="3251" spans="1:3" ht="15.5">
      <c r="A3251" s="29">
        <v>39902</v>
      </c>
      <c r="B3251" s="28">
        <v>0.96430000000000005</v>
      </c>
      <c r="C3251" s="28">
        <v>2113606810.0999999</v>
      </c>
    </row>
    <row r="3252" spans="1:3" ht="15.5">
      <c r="A3252" s="29">
        <v>39899</v>
      </c>
      <c r="B3252" s="28">
        <v>0.93559999999999999</v>
      </c>
      <c r="C3252" s="28">
        <v>2050826409.8</v>
      </c>
    </row>
    <row r="3253" spans="1:3" ht="15.5">
      <c r="A3253" s="29">
        <v>39898</v>
      </c>
      <c r="B3253" s="28">
        <v>0.92610000000000003</v>
      </c>
      <c r="C3253" s="28">
        <v>2029899609.7</v>
      </c>
    </row>
    <row r="3254" spans="1:3" ht="15.5">
      <c r="A3254" s="29">
        <v>39897</v>
      </c>
      <c r="B3254" s="28">
        <v>0.90700000000000003</v>
      </c>
      <c r="C3254" s="28">
        <v>1988046009.5</v>
      </c>
    </row>
    <row r="3255" spans="1:3" ht="15.5">
      <c r="A3255" s="29">
        <v>39896</v>
      </c>
      <c r="B3255" s="28">
        <v>0.92610000000000003</v>
      </c>
      <c r="C3255" s="28">
        <v>2029899609.7</v>
      </c>
    </row>
    <row r="3256" spans="1:3" ht="15.5">
      <c r="A3256" s="29">
        <v>39895</v>
      </c>
      <c r="B3256" s="28">
        <v>0.94040000000000001</v>
      </c>
      <c r="C3256" s="28">
        <v>2061289809.8499999</v>
      </c>
    </row>
    <row r="3257" spans="1:3" ht="15.5">
      <c r="A3257" s="29">
        <v>39892</v>
      </c>
      <c r="B3257" s="28">
        <v>0.95469999999999999</v>
      </c>
      <c r="C3257" s="28">
        <v>2092680010</v>
      </c>
    </row>
    <row r="3258" spans="1:3" ht="15.5">
      <c r="A3258" s="29">
        <v>39891</v>
      </c>
      <c r="B3258" s="28">
        <v>0.88790000000000002</v>
      </c>
      <c r="C3258" s="28">
        <v>1946192409.3</v>
      </c>
    </row>
    <row r="3259" spans="1:3" ht="15.5">
      <c r="A3259" s="29">
        <v>39890</v>
      </c>
      <c r="B3259" s="28">
        <v>0.88790000000000002</v>
      </c>
      <c r="C3259" s="28">
        <v>1946192409.3</v>
      </c>
    </row>
    <row r="3260" spans="1:3" ht="15.5">
      <c r="A3260" s="29">
        <v>39889</v>
      </c>
      <c r="B3260" s="28">
        <v>0.87839999999999996</v>
      </c>
      <c r="C3260" s="28">
        <v>1925265609.2</v>
      </c>
    </row>
    <row r="3261" spans="1:3" ht="15.5">
      <c r="A3261" s="29">
        <v>39888</v>
      </c>
      <c r="B3261" s="28">
        <v>0.87360000000000004</v>
      </c>
      <c r="C3261" s="28">
        <v>1914802209.1500001</v>
      </c>
    </row>
    <row r="3262" spans="1:3" ht="15.5">
      <c r="A3262" s="29">
        <v>39885</v>
      </c>
      <c r="B3262" s="28">
        <v>0.89749999999999996</v>
      </c>
      <c r="C3262" s="28">
        <v>1967119209.4000001</v>
      </c>
    </row>
    <row r="3263" spans="1:3" ht="15.5">
      <c r="A3263" s="29">
        <v>39884</v>
      </c>
      <c r="B3263" s="28">
        <v>0.8831</v>
      </c>
      <c r="C3263" s="28">
        <v>1935729009.25</v>
      </c>
    </row>
    <row r="3264" spans="1:3" ht="15.5">
      <c r="A3264" s="29">
        <v>39883</v>
      </c>
      <c r="B3264" s="28">
        <v>0.8306</v>
      </c>
      <c r="C3264" s="28">
        <v>1820631608.7</v>
      </c>
    </row>
    <row r="3265" spans="1:3" ht="15.5">
      <c r="A3265" s="29">
        <v>39882</v>
      </c>
      <c r="B3265" s="28">
        <v>0.84489999999999998</v>
      </c>
      <c r="C3265" s="28">
        <v>1852021808.8499999</v>
      </c>
    </row>
    <row r="3266" spans="1:3" ht="15.5">
      <c r="A3266" s="29">
        <v>39881</v>
      </c>
      <c r="B3266" s="28">
        <v>0.87360000000000004</v>
      </c>
      <c r="C3266" s="28">
        <v>1914802209.1500001</v>
      </c>
    </row>
    <row r="3267" spans="1:3" ht="15.5">
      <c r="A3267" s="29">
        <v>39878</v>
      </c>
      <c r="B3267" s="28">
        <v>0.84489999999999998</v>
      </c>
      <c r="C3267" s="28">
        <v>1852021808.8499999</v>
      </c>
    </row>
    <row r="3268" spans="1:3" ht="15.5">
      <c r="A3268" s="29">
        <v>39877</v>
      </c>
      <c r="B3268" s="28">
        <v>0.85450000000000004</v>
      </c>
      <c r="C3268" s="28">
        <v>1872948608.95</v>
      </c>
    </row>
    <row r="3269" spans="1:3" ht="15.5">
      <c r="A3269" s="29">
        <v>39876</v>
      </c>
      <c r="B3269" s="28">
        <v>0.85929999999999995</v>
      </c>
      <c r="C3269" s="28">
        <v>1883412009</v>
      </c>
    </row>
    <row r="3270" spans="1:3" ht="15.5">
      <c r="A3270" s="29">
        <v>39875</v>
      </c>
      <c r="B3270" s="28">
        <v>0.87360000000000004</v>
      </c>
      <c r="C3270" s="28">
        <v>1914802209.1500001</v>
      </c>
    </row>
    <row r="3271" spans="1:3" ht="15.5">
      <c r="A3271" s="29">
        <v>39874</v>
      </c>
      <c r="B3271" s="28">
        <v>0.88790000000000002</v>
      </c>
      <c r="C3271" s="28">
        <v>1946192409.3</v>
      </c>
    </row>
    <row r="3272" spans="1:3" ht="15.5">
      <c r="A3272" s="29">
        <v>39871</v>
      </c>
      <c r="B3272" s="28">
        <v>0.95469999999999999</v>
      </c>
      <c r="C3272" s="28">
        <v>2092680010</v>
      </c>
    </row>
    <row r="3273" spans="1:3" ht="15.5">
      <c r="A3273" s="29">
        <v>39870</v>
      </c>
      <c r="B3273" s="28">
        <v>1.0359</v>
      </c>
      <c r="C3273" s="28">
        <v>2270557810.8499999</v>
      </c>
    </row>
    <row r="3274" spans="1:3" ht="15.5">
      <c r="A3274" s="29">
        <v>39869</v>
      </c>
      <c r="B3274" s="28">
        <v>1.0502</v>
      </c>
      <c r="C3274" s="28">
        <v>2301948011</v>
      </c>
    </row>
    <row r="3275" spans="1:3" ht="15.5">
      <c r="A3275" s="29">
        <v>39868</v>
      </c>
      <c r="B3275" s="28">
        <v>1.0502</v>
      </c>
      <c r="C3275" s="28">
        <v>2301948011</v>
      </c>
    </row>
    <row r="3276" spans="1:3" ht="15.5">
      <c r="A3276" s="29">
        <v>39867</v>
      </c>
      <c r="B3276" s="28">
        <v>1.0024999999999999</v>
      </c>
      <c r="C3276" s="28">
        <v>2197314010.5</v>
      </c>
    </row>
    <row r="3277" spans="1:3" ht="15.5">
      <c r="A3277" s="29">
        <v>39864</v>
      </c>
      <c r="B3277" s="28">
        <v>1.0024999999999999</v>
      </c>
      <c r="C3277" s="28">
        <v>2197314010.5</v>
      </c>
    </row>
    <row r="3278" spans="1:3" ht="15.5">
      <c r="A3278" s="29">
        <v>39863</v>
      </c>
      <c r="B3278" s="28">
        <v>0.9929</v>
      </c>
      <c r="C3278" s="28">
        <v>2176387210.4000001</v>
      </c>
    </row>
    <row r="3279" spans="1:3" ht="15.5">
      <c r="A3279" s="29">
        <v>39862</v>
      </c>
      <c r="B3279" s="28">
        <v>0.96909999999999996</v>
      </c>
      <c r="C3279" s="28">
        <v>2124070210.1500001</v>
      </c>
    </row>
    <row r="3280" spans="1:3" ht="15.5">
      <c r="A3280" s="29">
        <v>39861</v>
      </c>
      <c r="B3280" s="28">
        <v>0.94520000000000004</v>
      </c>
      <c r="C3280" s="28">
        <v>2071753209.9000001</v>
      </c>
    </row>
    <row r="3281" spans="1:3" ht="15.5">
      <c r="A3281" s="29">
        <v>39860</v>
      </c>
      <c r="B3281" s="28">
        <v>0.99770000000000003</v>
      </c>
      <c r="C3281" s="28">
        <v>2186850610.4499998</v>
      </c>
    </row>
    <row r="3282" spans="1:3" ht="15.5">
      <c r="A3282" s="29">
        <v>39857</v>
      </c>
      <c r="B3282" s="28">
        <v>1.0359</v>
      </c>
      <c r="C3282" s="28">
        <v>2270557810.8499999</v>
      </c>
    </row>
    <row r="3283" spans="1:3" ht="15.5">
      <c r="A3283" s="29">
        <v>39856</v>
      </c>
      <c r="B3283" s="28">
        <v>1.0692999999999999</v>
      </c>
      <c r="C3283" s="28">
        <v>2343801611.1999998</v>
      </c>
    </row>
    <row r="3284" spans="1:3" ht="15.5">
      <c r="A3284" s="29">
        <v>39855</v>
      </c>
      <c r="B3284" s="28">
        <v>1.0216000000000001</v>
      </c>
      <c r="C3284" s="28">
        <v>2239167610.6999998</v>
      </c>
    </row>
    <row r="3285" spans="1:3" ht="15.5">
      <c r="A3285" s="29">
        <v>39854</v>
      </c>
      <c r="B3285" s="28">
        <v>1.0072000000000001</v>
      </c>
      <c r="C3285" s="28">
        <v>2207777410.5500002</v>
      </c>
    </row>
    <row r="3286" spans="1:3" ht="15.5">
      <c r="A3286" s="29">
        <v>39853</v>
      </c>
      <c r="B3286" s="28">
        <v>0.9929</v>
      </c>
      <c r="C3286" s="28">
        <v>2176387210.4000001</v>
      </c>
    </row>
    <row r="3287" spans="1:3" ht="15.5">
      <c r="A3287" s="29">
        <v>39850</v>
      </c>
      <c r="B3287" s="28">
        <v>0.9929</v>
      </c>
      <c r="C3287" s="28">
        <v>2176387210.4000001</v>
      </c>
    </row>
    <row r="3288" spans="1:3" ht="15.5">
      <c r="A3288" s="29">
        <v>39849</v>
      </c>
      <c r="B3288" s="28">
        <v>0.98340000000000005</v>
      </c>
      <c r="C3288" s="28">
        <v>2155460410.3000002</v>
      </c>
    </row>
    <row r="3289" spans="1:3" ht="15.5">
      <c r="A3289" s="29">
        <v>39848</v>
      </c>
      <c r="B3289" s="28">
        <v>1.012</v>
      </c>
      <c r="C3289" s="28">
        <v>2218240810.5999999</v>
      </c>
    </row>
    <row r="3290" spans="1:3" ht="15.5">
      <c r="A3290" s="29">
        <v>39847</v>
      </c>
      <c r="B3290" s="28">
        <v>1.0645</v>
      </c>
      <c r="C3290" s="28">
        <v>2333338211.1500001</v>
      </c>
    </row>
    <row r="3291" spans="1:3" ht="15.5">
      <c r="A3291" s="29">
        <v>39846</v>
      </c>
      <c r="B3291" s="28">
        <v>1.0359</v>
      </c>
      <c r="C3291" s="28">
        <v>2270557810.8499999</v>
      </c>
    </row>
    <row r="3292" spans="1:3" ht="15.5">
      <c r="A3292" s="29">
        <v>39843</v>
      </c>
      <c r="B3292" s="28">
        <v>0.98819999999999997</v>
      </c>
      <c r="C3292" s="28">
        <v>2165923810.3499999</v>
      </c>
    </row>
    <row r="3293" spans="1:3" ht="15.5">
      <c r="A3293" s="29">
        <v>39842</v>
      </c>
      <c r="B3293" s="28">
        <v>1.0024999999999999</v>
      </c>
      <c r="C3293" s="28">
        <v>2197314010.5</v>
      </c>
    </row>
    <row r="3294" spans="1:3" ht="15.5">
      <c r="A3294" s="29">
        <v>39841</v>
      </c>
      <c r="B3294" s="28">
        <v>1.0024999999999999</v>
      </c>
      <c r="C3294" s="28">
        <v>2197314010.5</v>
      </c>
    </row>
    <row r="3295" spans="1:3" ht="15.5">
      <c r="A3295" s="29">
        <v>39840</v>
      </c>
      <c r="B3295" s="28">
        <v>0.99770000000000003</v>
      </c>
      <c r="C3295" s="28">
        <v>2186850610.4499998</v>
      </c>
    </row>
    <row r="3296" spans="1:3" ht="15.5">
      <c r="A3296" s="29">
        <v>39836</v>
      </c>
      <c r="B3296" s="28">
        <v>0.97860000000000003</v>
      </c>
      <c r="C3296" s="28">
        <v>2144997010.25</v>
      </c>
    </row>
    <row r="3297" spans="1:3" ht="15.5">
      <c r="A3297" s="29">
        <v>39835</v>
      </c>
      <c r="B3297" s="28">
        <v>0.97860000000000003</v>
      </c>
      <c r="C3297" s="28">
        <v>2144997010.25</v>
      </c>
    </row>
    <row r="3298" spans="1:3" ht="15.5">
      <c r="A3298" s="29">
        <v>39834</v>
      </c>
      <c r="B3298" s="28">
        <v>0.9929</v>
      </c>
      <c r="C3298" s="28">
        <v>2176387210.4000001</v>
      </c>
    </row>
    <row r="3299" spans="1:3" ht="15.5">
      <c r="A3299" s="29">
        <v>39833</v>
      </c>
      <c r="B3299" s="28">
        <v>0.95469999999999999</v>
      </c>
      <c r="C3299" s="28">
        <v>2092680010</v>
      </c>
    </row>
    <row r="3300" spans="1:3" ht="15.5">
      <c r="A3300" s="29">
        <v>39832</v>
      </c>
      <c r="B3300" s="28">
        <v>0.93559999999999999</v>
      </c>
      <c r="C3300" s="28">
        <v>2050826409.8</v>
      </c>
    </row>
    <row r="3301" spans="1:3" ht="15.5">
      <c r="A3301" s="29">
        <v>39829</v>
      </c>
      <c r="B3301" s="28">
        <v>0.92610000000000003</v>
      </c>
      <c r="C3301" s="28">
        <v>2029899609.7</v>
      </c>
    </row>
    <row r="3302" spans="1:3" ht="15.5">
      <c r="A3302" s="29">
        <v>39828</v>
      </c>
      <c r="B3302" s="28">
        <v>0.89749999999999996</v>
      </c>
      <c r="C3302" s="28">
        <v>1967119209.4000001</v>
      </c>
    </row>
    <row r="3303" spans="1:3" ht="15.5">
      <c r="A3303" s="29">
        <v>39827</v>
      </c>
      <c r="B3303" s="28">
        <v>0.91649999999999998</v>
      </c>
      <c r="C3303" s="28">
        <v>2008972809.5999999</v>
      </c>
    </row>
    <row r="3304" spans="1:3" ht="15.5">
      <c r="A3304" s="29">
        <v>39826</v>
      </c>
      <c r="B3304" s="28">
        <v>0.92130000000000001</v>
      </c>
      <c r="C3304" s="28">
        <v>2019436209.6500001</v>
      </c>
    </row>
    <row r="3305" spans="1:3" ht="15.5">
      <c r="A3305" s="29">
        <v>39825</v>
      </c>
      <c r="B3305" s="28">
        <v>0.88790000000000002</v>
      </c>
      <c r="C3305" s="28">
        <v>1946192409.3</v>
      </c>
    </row>
    <row r="3306" spans="1:3" ht="15.5">
      <c r="A3306" s="29">
        <v>39822</v>
      </c>
      <c r="B3306" s="28">
        <v>0.91180000000000005</v>
      </c>
      <c r="C3306" s="28">
        <v>1998509409.55</v>
      </c>
    </row>
    <row r="3307" spans="1:3" ht="15.5">
      <c r="A3307" s="29">
        <v>39821</v>
      </c>
      <c r="B3307" s="28">
        <v>0.88790000000000002</v>
      </c>
      <c r="C3307" s="28">
        <v>1946192409.3</v>
      </c>
    </row>
    <row r="3308" spans="1:3" ht="15.5">
      <c r="A3308" s="29">
        <v>39820</v>
      </c>
      <c r="B3308" s="28">
        <v>0.89270000000000005</v>
      </c>
      <c r="C3308" s="28">
        <v>1956655809.3499999</v>
      </c>
    </row>
    <row r="3309" spans="1:3" ht="15.5">
      <c r="A3309" s="29">
        <v>39819</v>
      </c>
      <c r="B3309" s="28">
        <v>0.86880000000000002</v>
      </c>
      <c r="C3309" s="28">
        <v>1904338809.0999999</v>
      </c>
    </row>
    <row r="3310" spans="1:3" ht="15.5">
      <c r="A3310" s="29">
        <v>39818</v>
      </c>
      <c r="B3310" s="28">
        <v>0.86399999999999999</v>
      </c>
      <c r="C3310" s="28">
        <v>1893875409.05</v>
      </c>
    </row>
    <row r="3311" spans="1:3" ht="15.5">
      <c r="A3311" s="29">
        <v>39815</v>
      </c>
      <c r="B3311" s="28">
        <v>0.88790000000000002</v>
      </c>
      <c r="C3311" s="28">
        <v>1946192409.3</v>
      </c>
    </row>
    <row r="3312" spans="1:3" ht="15.5">
      <c r="A3312" s="29">
        <v>39813</v>
      </c>
      <c r="B3312" s="28">
        <v>0.90700000000000003</v>
      </c>
      <c r="C3312" s="28">
        <v>1988046009.5</v>
      </c>
    </row>
    <row r="3313" spans="1:3" ht="15.5">
      <c r="A3313" s="29">
        <v>39812</v>
      </c>
      <c r="B3313" s="28">
        <v>0.8831</v>
      </c>
      <c r="C3313" s="28">
        <v>1935729009.25</v>
      </c>
    </row>
    <row r="3314" spans="1:3" ht="15.5">
      <c r="A3314" s="29">
        <v>39811</v>
      </c>
      <c r="B3314" s="28">
        <v>0.8831</v>
      </c>
      <c r="C3314" s="28">
        <v>1935729009.25</v>
      </c>
    </row>
    <row r="3315" spans="1:3" ht="15.5">
      <c r="A3315" s="29">
        <v>39806</v>
      </c>
      <c r="B3315" s="28">
        <v>0.86880000000000002</v>
      </c>
      <c r="C3315" s="28">
        <v>1904338809.0999999</v>
      </c>
    </row>
    <row r="3316" spans="1:3" ht="15.5">
      <c r="A3316" s="29">
        <v>39805</v>
      </c>
      <c r="B3316" s="28">
        <v>0.86880000000000002</v>
      </c>
      <c r="C3316" s="28">
        <v>1904338809.0999999</v>
      </c>
    </row>
    <row r="3317" spans="1:3" ht="15.5">
      <c r="A3317" s="29">
        <v>39804</v>
      </c>
      <c r="B3317" s="28">
        <v>0.86880000000000002</v>
      </c>
      <c r="C3317" s="28">
        <v>1904338809.0999999</v>
      </c>
    </row>
    <row r="3318" spans="1:3" ht="15.5">
      <c r="A3318" s="29">
        <v>39801</v>
      </c>
      <c r="B3318" s="28">
        <v>0.85450000000000004</v>
      </c>
      <c r="C3318" s="28">
        <v>1872948608.95</v>
      </c>
    </row>
    <row r="3319" spans="1:3" ht="15.5">
      <c r="A3319" s="29">
        <v>39800</v>
      </c>
      <c r="B3319" s="28">
        <v>0.88790000000000002</v>
      </c>
      <c r="C3319" s="28">
        <v>1946192409.3</v>
      </c>
    </row>
    <row r="3320" spans="1:3" ht="15.5">
      <c r="A3320" s="29">
        <v>39799</v>
      </c>
      <c r="B3320" s="28">
        <v>0.89270000000000005</v>
      </c>
      <c r="C3320" s="28">
        <v>1956655809.3499999</v>
      </c>
    </row>
    <row r="3321" spans="1:3" ht="15.5">
      <c r="A3321" s="29">
        <v>39798</v>
      </c>
      <c r="B3321" s="28">
        <v>0.89270000000000005</v>
      </c>
      <c r="C3321" s="28">
        <v>1956655809.3499999</v>
      </c>
    </row>
    <row r="3322" spans="1:3" ht="15.5">
      <c r="A3322" s="29">
        <v>39797</v>
      </c>
      <c r="B3322" s="28">
        <v>0.90700000000000003</v>
      </c>
      <c r="C3322" s="28">
        <v>1988046009.5</v>
      </c>
    </row>
    <row r="3323" spans="1:3" ht="15.5">
      <c r="A3323" s="29">
        <v>39794</v>
      </c>
      <c r="B3323" s="28">
        <v>0.84970000000000001</v>
      </c>
      <c r="C3323" s="28">
        <v>1862485208.9000001</v>
      </c>
    </row>
    <row r="3324" spans="1:3" ht="15.5">
      <c r="A3324" s="29">
        <v>39793</v>
      </c>
      <c r="B3324" s="28">
        <v>0.95469999999999999</v>
      </c>
      <c r="C3324" s="28">
        <v>2092680010</v>
      </c>
    </row>
    <row r="3325" spans="1:3" ht="15.5">
      <c r="A3325" s="29">
        <v>39792</v>
      </c>
      <c r="B3325" s="28">
        <v>0.95950000000000002</v>
      </c>
      <c r="C3325" s="28">
        <v>2103143410.05</v>
      </c>
    </row>
    <row r="3326" spans="1:3" ht="15.5">
      <c r="A3326" s="29">
        <v>39791</v>
      </c>
      <c r="B3326" s="28">
        <v>0.92130000000000001</v>
      </c>
      <c r="C3326" s="28">
        <v>2019436209.6500001</v>
      </c>
    </row>
    <row r="3327" spans="1:3" ht="15.5">
      <c r="A3327" s="29">
        <v>39790</v>
      </c>
      <c r="B3327" s="28">
        <v>0.93089999999999995</v>
      </c>
      <c r="C3327" s="28">
        <v>2040363009.75</v>
      </c>
    </row>
    <row r="3328" spans="1:3" ht="15.5">
      <c r="A3328" s="29">
        <v>39787</v>
      </c>
      <c r="B3328" s="28">
        <v>0.91649999999999998</v>
      </c>
      <c r="C3328" s="28">
        <v>2008972809.5999999</v>
      </c>
    </row>
    <row r="3329" spans="1:3" ht="15.5">
      <c r="A3329" s="29">
        <v>39786</v>
      </c>
      <c r="B3329" s="28">
        <v>0.96909999999999996</v>
      </c>
      <c r="C3329" s="28">
        <v>2124070210.1500001</v>
      </c>
    </row>
    <row r="3330" spans="1:3" ht="15.5">
      <c r="A3330" s="29">
        <v>39785</v>
      </c>
      <c r="B3330" s="28">
        <v>0.98340000000000005</v>
      </c>
      <c r="C3330" s="28">
        <v>2155460410.3000002</v>
      </c>
    </row>
    <row r="3331" spans="1:3" ht="15.5">
      <c r="A3331" s="29">
        <v>39784</v>
      </c>
      <c r="B3331" s="28">
        <v>0.9738</v>
      </c>
      <c r="C3331" s="28">
        <v>2134533610.2</v>
      </c>
    </row>
    <row r="3332" spans="1:3" ht="15.5">
      <c r="A3332" s="29">
        <v>39783</v>
      </c>
      <c r="B3332" s="28">
        <v>0.97860000000000003</v>
      </c>
      <c r="C3332" s="28">
        <v>2144997010.25</v>
      </c>
    </row>
    <row r="3333" spans="1:3" ht="15.5">
      <c r="A3333" s="29">
        <v>39780</v>
      </c>
      <c r="B3333" s="28">
        <v>0.98340000000000005</v>
      </c>
      <c r="C3333" s="28">
        <v>2155460410.3000002</v>
      </c>
    </row>
    <row r="3334" spans="1:3" ht="15.5">
      <c r="A3334" s="29">
        <v>39779</v>
      </c>
      <c r="B3334" s="28">
        <v>0.98340000000000005</v>
      </c>
      <c r="C3334" s="28">
        <v>2155460410.3000002</v>
      </c>
    </row>
    <row r="3335" spans="1:3" ht="15.5">
      <c r="A3335" s="29">
        <v>39778</v>
      </c>
      <c r="B3335" s="28">
        <v>0.98340000000000005</v>
      </c>
      <c r="C3335" s="28">
        <v>2155460410.3000002</v>
      </c>
    </row>
    <row r="3336" spans="1:3" ht="15.5">
      <c r="A3336" s="29">
        <v>39777</v>
      </c>
      <c r="B3336" s="28">
        <v>1.0789</v>
      </c>
      <c r="C3336" s="28">
        <v>2364728411.3000002</v>
      </c>
    </row>
    <row r="3337" spans="1:3" ht="15.5">
      <c r="A3337" s="29">
        <v>39776</v>
      </c>
      <c r="B3337" s="28">
        <v>1.0835999999999999</v>
      </c>
      <c r="C3337" s="28">
        <v>2375191811.3499999</v>
      </c>
    </row>
    <row r="3338" spans="1:3" ht="15.5">
      <c r="A3338" s="29">
        <v>39773</v>
      </c>
      <c r="B3338" s="28">
        <v>1.0835999999999999</v>
      </c>
      <c r="C3338" s="28">
        <v>2375191811.3499999</v>
      </c>
    </row>
    <row r="3339" spans="1:3" ht="15.5">
      <c r="A3339" s="29">
        <v>39772</v>
      </c>
      <c r="B3339" s="28">
        <v>1.1266</v>
      </c>
      <c r="C3339" s="28">
        <v>2469362411.8000002</v>
      </c>
    </row>
    <row r="3340" spans="1:3" ht="15.5">
      <c r="A3340" s="29">
        <v>39771</v>
      </c>
      <c r="B3340" s="28">
        <v>1.117</v>
      </c>
      <c r="C3340" s="28">
        <v>2448435611.6999998</v>
      </c>
    </row>
    <row r="3341" spans="1:3" ht="15.5">
      <c r="A3341" s="29">
        <v>39770</v>
      </c>
      <c r="B3341" s="28">
        <v>1.1314</v>
      </c>
      <c r="C3341" s="28">
        <v>2479825811.8499999</v>
      </c>
    </row>
    <row r="3342" spans="1:3" ht="15.5">
      <c r="A3342" s="29">
        <v>39769</v>
      </c>
      <c r="B3342" s="28">
        <v>1.1074999999999999</v>
      </c>
      <c r="C3342" s="28">
        <v>2427508811.5999999</v>
      </c>
    </row>
    <row r="3343" spans="1:3" ht="15.5">
      <c r="A3343" s="29">
        <v>39766</v>
      </c>
      <c r="B3343" s="28">
        <v>1.0979000000000001</v>
      </c>
      <c r="C3343" s="28">
        <v>2406582011.5</v>
      </c>
    </row>
    <row r="3344" spans="1:3" ht="15.5">
      <c r="A3344" s="29">
        <v>39765</v>
      </c>
      <c r="B3344" s="28">
        <v>1.1074999999999999</v>
      </c>
      <c r="C3344" s="28">
        <v>2427508811.5999999</v>
      </c>
    </row>
    <row r="3345" spans="1:3" ht="15.5">
      <c r="A3345" s="29">
        <v>39764</v>
      </c>
      <c r="B3345" s="28">
        <v>1.0741000000000001</v>
      </c>
      <c r="C3345" s="28">
        <v>2354265011.25</v>
      </c>
    </row>
    <row r="3346" spans="1:3" ht="15.5">
      <c r="A3346" s="29">
        <v>39763</v>
      </c>
      <c r="B3346" s="28">
        <v>1.1074999999999999</v>
      </c>
      <c r="C3346" s="28">
        <v>2427508811.5999999</v>
      </c>
    </row>
    <row r="3347" spans="1:3" ht="15.5">
      <c r="A3347" s="29">
        <v>39762</v>
      </c>
      <c r="B3347" s="28">
        <v>1.0884</v>
      </c>
      <c r="C3347" s="28">
        <v>2385655211.4000001</v>
      </c>
    </row>
    <row r="3348" spans="1:3" ht="15.5">
      <c r="A3348" s="29">
        <v>39759</v>
      </c>
      <c r="B3348" s="28">
        <v>1.0645</v>
      </c>
      <c r="C3348" s="28">
        <v>2333338211.1500001</v>
      </c>
    </row>
    <row r="3349" spans="1:3" ht="15.5">
      <c r="A3349" s="29">
        <v>39758</v>
      </c>
      <c r="B3349" s="28">
        <v>1.0549999999999999</v>
      </c>
      <c r="C3349" s="28">
        <v>2312411411.0500002</v>
      </c>
    </row>
    <row r="3350" spans="1:3" ht="15.5">
      <c r="A3350" s="29">
        <v>39757</v>
      </c>
      <c r="B3350" s="28">
        <v>1.0884</v>
      </c>
      <c r="C3350" s="28">
        <v>2385655211.4000001</v>
      </c>
    </row>
    <row r="3351" spans="1:3" ht="15.5">
      <c r="A3351" s="29">
        <v>39756</v>
      </c>
      <c r="B3351" s="28">
        <v>1.0216000000000001</v>
      </c>
      <c r="C3351" s="28">
        <v>2239167610.6999998</v>
      </c>
    </row>
    <row r="3352" spans="1:3" ht="15.5">
      <c r="A3352" s="29">
        <v>39755</v>
      </c>
      <c r="B3352" s="28">
        <v>1.0310999999999999</v>
      </c>
      <c r="C3352" s="28">
        <v>2260094410.8000002</v>
      </c>
    </row>
    <row r="3353" spans="1:3" ht="15.5">
      <c r="A3353" s="29">
        <v>39752</v>
      </c>
      <c r="B3353" s="28">
        <v>1.0502</v>
      </c>
      <c r="C3353" s="28">
        <v>2301948011</v>
      </c>
    </row>
    <row r="3354" spans="1:3" ht="15.5">
      <c r="A3354" s="29">
        <v>39751</v>
      </c>
      <c r="B3354" s="28">
        <v>0.96430000000000005</v>
      </c>
      <c r="C3354" s="28">
        <v>2113606810.0999999</v>
      </c>
    </row>
    <row r="3355" spans="1:3" ht="15.5">
      <c r="A3355" s="29">
        <v>39750</v>
      </c>
      <c r="B3355" s="28">
        <v>0.98340000000000005</v>
      </c>
      <c r="C3355" s="28">
        <v>2155460410.3000002</v>
      </c>
    </row>
    <row r="3356" spans="1:3" ht="15.5">
      <c r="A3356" s="29">
        <v>39749</v>
      </c>
      <c r="B3356" s="28">
        <v>0.95469999999999999</v>
      </c>
      <c r="C3356" s="28">
        <v>2092680010</v>
      </c>
    </row>
    <row r="3357" spans="1:3" ht="15.5">
      <c r="A3357" s="29">
        <v>39748</v>
      </c>
      <c r="B3357" s="28">
        <v>1.0454000000000001</v>
      </c>
      <c r="C3357" s="28">
        <v>2291484610.9499998</v>
      </c>
    </row>
    <row r="3358" spans="1:3" ht="15.5">
      <c r="A3358" s="29">
        <v>39745</v>
      </c>
      <c r="B3358" s="28">
        <v>1.0692999999999999</v>
      </c>
      <c r="C3358" s="28">
        <v>2343801611.1999998</v>
      </c>
    </row>
    <row r="3359" spans="1:3" ht="15.5">
      <c r="A3359" s="29">
        <v>39744</v>
      </c>
      <c r="B3359" s="28">
        <v>1.0692999999999999</v>
      </c>
      <c r="C3359" s="28">
        <v>2343801611.1999998</v>
      </c>
    </row>
    <row r="3360" spans="1:3" ht="15.5">
      <c r="A3360" s="29">
        <v>39743</v>
      </c>
      <c r="B3360" s="28">
        <v>1.0692999999999999</v>
      </c>
      <c r="C3360" s="28">
        <v>2343801611.1999998</v>
      </c>
    </row>
    <row r="3361" spans="1:3" ht="15.5">
      <c r="A3361" s="29">
        <v>39742</v>
      </c>
      <c r="B3361" s="28">
        <v>1.0931999999999999</v>
      </c>
      <c r="C3361" s="28">
        <v>2396118611.4499998</v>
      </c>
    </row>
    <row r="3362" spans="1:3" ht="15.5">
      <c r="A3362" s="29">
        <v>39741</v>
      </c>
      <c r="B3362" s="28">
        <v>1.0979000000000001</v>
      </c>
      <c r="C3362" s="28">
        <v>2406582011.5</v>
      </c>
    </row>
    <row r="3363" spans="1:3" ht="15.5">
      <c r="A3363" s="29">
        <v>39738</v>
      </c>
      <c r="B3363" s="28">
        <v>1.0502</v>
      </c>
      <c r="C3363" s="28">
        <v>2301948011</v>
      </c>
    </row>
    <row r="3364" spans="1:3" ht="15.5">
      <c r="A3364" s="29">
        <v>39737</v>
      </c>
      <c r="B3364" s="28">
        <v>1.0454000000000001</v>
      </c>
      <c r="C3364" s="28">
        <v>2291484610.9499998</v>
      </c>
    </row>
    <row r="3365" spans="1:3" ht="15.5">
      <c r="A3365" s="29">
        <v>39736</v>
      </c>
      <c r="B3365" s="28">
        <v>1.0502</v>
      </c>
      <c r="C3365" s="28">
        <v>2301948011</v>
      </c>
    </row>
    <row r="3366" spans="1:3" ht="15.5">
      <c r="A3366" s="29">
        <v>39735</v>
      </c>
      <c r="B3366" s="28">
        <v>1.117</v>
      </c>
      <c r="C3366" s="28">
        <v>2448435611.6999998</v>
      </c>
    </row>
    <row r="3367" spans="1:3" ht="15.5">
      <c r="A3367" s="29">
        <v>39734</v>
      </c>
      <c r="B3367" s="28">
        <v>1.0931999999999999</v>
      </c>
      <c r="C3367" s="28">
        <v>2396118611.4499998</v>
      </c>
    </row>
    <row r="3368" spans="1:3" ht="15.5">
      <c r="A3368" s="29">
        <v>39731</v>
      </c>
      <c r="B3368" s="28">
        <v>1.0359</v>
      </c>
      <c r="C3368" s="28">
        <v>2270557810.8499999</v>
      </c>
    </row>
    <row r="3369" spans="1:3" ht="15.5">
      <c r="A3369" s="29">
        <v>39730</v>
      </c>
      <c r="B3369" s="28">
        <v>1.1074999999999999</v>
      </c>
      <c r="C3369" s="28">
        <v>2427508811.5999999</v>
      </c>
    </row>
    <row r="3370" spans="1:3" ht="15.5">
      <c r="A3370" s="29">
        <v>39729</v>
      </c>
      <c r="B3370" s="28">
        <v>1.1027</v>
      </c>
      <c r="C3370" s="28">
        <v>2417045411.5500002</v>
      </c>
    </row>
    <row r="3371" spans="1:3" ht="15.5">
      <c r="A3371" s="29">
        <v>39728</v>
      </c>
      <c r="B3371" s="28">
        <v>1.1266</v>
      </c>
      <c r="C3371" s="28">
        <v>2469362411.8000002</v>
      </c>
    </row>
    <row r="3372" spans="1:3" ht="15.5">
      <c r="A3372" s="29">
        <v>39727</v>
      </c>
      <c r="B3372" s="28">
        <v>1.0789</v>
      </c>
      <c r="C3372" s="28">
        <v>2364728411.3000002</v>
      </c>
    </row>
    <row r="3373" spans="1:3" ht="15.5">
      <c r="A3373" s="29">
        <v>39724</v>
      </c>
      <c r="B3373" s="28">
        <v>1.0741000000000001</v>
      </c>
      <c r="C3373" s="28">
        <v>2354265011.25</v>
      </c>
    </row>
    <row r="3374" spans="1:3" ht="15.5">
      <c r="A3374" s="29">
        <v>39723</v>
      </c>
      <c r="B3374" s="28">
        <v>1.0502</v>
      </c>
      <c r="C3374" s="28">
        <v>2301948011</v>
      </c>
    </row>
    <row r="3375" spans="1:3" ht="15.5">
      <c r="A3375" s="29">
        <v>39722</v>
      </c>
      <c r="B3375" s="28">
        <v>1.0454000000000001</v>
      </c>
      <c r="C3375" s="28">
        <v>2291484610.9499998</v>
      </c>
    </row>
    <row r="3376" spans="1:3" ht="15.5">
      <c r="A3376" s="29">
        <v>39721</v>
      </c>
      <c r="B3376" s="28">
        <v>0.9929</v>
      </c>
      <c r="C3376" s="28">
        <v>2176387210.4000001</v>
      </c>
    </row>
    <row r="3377" spans="1:3" ht="15.5">
      <c r="A3377" s="29">
        <v>39720</v>
      </c>
      <c r="B3377" s="28">
        <v>0.9929</v>
      </c>
      <c r="C3377" s="28">
        <v>2176387210.4000001</v>
      </c>
    </row>
    <row r="3378" spans="1:3" ht="15.5">
      <c r="A3378" s="29">
        <v>39717</v>
      </c>
      <c r="B3378" s="28">
        <v>0.9738</v>
      </c>
      <c r="C3378" s="28">
        <v>2134533610.2</v>
      </c>
    </row>
    <row r="3379" spans="1:3" ht="15.5">
      <c r="A3379" s="29">
        <v>39716</v>
      </c>
      <c r="B3379" s="28">
        <v>0.9929</v>
      </c>
      <c r="C3379" s="28">
        <v>2176387210.4000001</v>
      </c>
    </row>
    <row r="3380" spans="1:3" ht="15.5">
      <c r="A3380" s="29">
        <v>39715</v>
      </c>
      <c r="B3380" s="28">
        <v>0.9929</v>
      </c>
      <c r="C3380" s="28">
        <v>2176387210.4000001</v>
      </c>
    </row>
    <row r="3381" spans="1:3" ht="15.5">
      <c r="A3381" s="29">
        <v>39714</v>
      </c>
      <c r="B3381" s="28">
        <v>0.95469999999999999</v>
      </c>
      <c r="C3381" s="28">
        <v>2092680010</v>
      </c>
    </row>
    <row r="3382" spans="1:3" ht="15.5">
      <c r="A3382" s="29">
        <v>39713</v>
      </c>
      <c r="B3382" s="28">
        <v>0.97860000000000003</v>
      </c>
      <c r="C3382" s="28">
        <v>2144997010.25</v>
      </c>
    </row>
    <row r="3383" spans="1:3" ht="15.5">
      <c r="A3383" s="29">
        <v>39710</v>
      </c>
      <c r="B3383" s="28">
        <v>0.98819999999999997</v>
      </c>
      <c r="C3383" s="28">
        <v>2165923810.3499999</v>
      </c>
    </row>
    <row r="3384" spans="1:3" ht="15.5">
      <c r="A3384" s="29">
        <v>39709</v>
      </c>
      <c r="B3384" s="28">
        <v>0.98819999999999997</v>
      </c>
      <c r="C3384" s="28">
        <v>2165923810.3499999</v>
      </c>
    </row>
    <row r="3385" spans="1:3" ht="15.5">
      <c r="A3385" s="29">
        <v>39708</v>
      </c>
      <c r="B3385" s="28">
        <v>1.0167999999999999</v>
      </c>
      <c r="C3385" s="28">
        <v>2228704210.6500001</v>
      </c>
    </row>
    <row r="3386" spans="1:3" ht="15.5">
      <c r="A3386" s="29">
        <v>39707</v>
      </c>
      <c r="B3386" s="28">
        <v>1.012</v>
      </c>
      <c r="C3386" s="28">
        <v>2218240810.5999999</v>
      </c>
    </row>
    <row r="3387" spans="1:3" ht="15.5">
      <c r="A3387" s="29">
        <v>39706</v>
      </c>
      <c r="B3387" s="28">
        <v>1.0310999999999999</v>
      </c>
      <c r="C3387" s="28">
        <v>2260094410.8000002</v>
      </c>
    </row>
    <row r="3388" spans="1:3" ht="15.5">
      <c r="A3388" s="29">
        <v>39703</v>
      </c>
      <c r="B3388" s="28">
        <v>1.0359</v>
      </c>
      <c r="C3388" s="28">
        <v>2270557810.8499999</v>
      </c>
    </row>
    <row r="3389" spans="1:3" ht="15.5">
      <c r="A3389" s="29">
        <v>39702</v>
      </c>
      <c r="B3389" s="28">
        <v>1.0310999999999999</v>
      </c>
      <c r="C3389" s="28">
        <v>2260094410.8000002</v>
      </c>
    </row>
    <row r="3390" spans="1:3" ht="15.5">
      <c r="A3390" s="29">
        <v>39701</v>
      </c>
      <c r="B3390" s="28">
        <v>1.0167999999999999</v>
      </c>
      <c r="C3390" s="28">
        <v>2228704210.6500001</v>
      </c>
    </row>
    <row r="3391" spans="1:3" ht="15.5">
      <c r="A3391" s="29">
        <v>39700</v>
      </c>
      <c r="B3391" s="28">
        <v>1.0502</v>
      </c>
      <c r="C3391" s="28">
        <v>2301948011</v>
      </c>
    </row>
    <row r="3392" spans="1:3" ht="15.5">
      <c r="A3392" s="29">
        <v>39699</v>
      </c>
      <c r="B3392" s="28">
        <v>1.0407</v>
      </c>
      <c r="C3392" s="28">
        <v>2281021210.9000001</v>
      </c>
    </row>
    <row r="3393" spans="1:3" ht="15.5">
      <c r="A3393" s="29">
        <v>39696</v>
      </c>
      <c r="B3393" s="28">
        <v>1.0549999999999999</v>
      </c>
      <c r="C3393" s="28">
        <v>2312411411.0500002</v>
      </c>
    </row>
    <row r="3394" spans="1:3" ht="15.5">
      <c r="A3394" s="29">
        <v>39695</v>
      </c>
      <c r="B3394" s="28">
        <v>1.0692999999999999</v>
      </c>
      <c r="C3394" s="28">
        <v>2343801611.1999998</v>
      </c>
    </row>
    <row r="3395" spans="1:3" ht="15.5">
      <c r="A3395" s="29">
        <v>39694</v>
      </c>
      <c r="B3395" s="28">
        <v>1.0884</v>
      </c>
      <c r="C3395" s="28">
        <v>2385655211.4000001</v>
      </c>
    </row>
    <row r="3396" spans="1:3" ht="15.5">
      <c r="A3396" s="29">
        <v>39693</v>
      </c>
      <c r="B3396" s="28">
        <v>1.0931999999999999</v>
      </c>
      <c r="C3396" s="28">
        <v>2396118611.4499998</v>
      </c>
    </row>
    <row r="3397" spans="1:3" ht="15.5">
      <c r="A3397" s="29">
        <v>39692</v>
      </c>
      <c r="B3397" s="28">
        <v>1.117</v>
      </c>
      <c r="C3397" s="28">
        <v>2448435611.6999998</v>
      </c>
    </row>
    <row r="3398" spans="1:3" ht="15.5">
      <c r="A3398" s="29">
        <v>39689</v>
      </c>
      <c r="B3398" s="28">
        <v>1.0979000000000001</v>
      </c>
      <c r="C3398" s="28">
        <v>2406582011.5</v>
      </c>
    </row>
    <row r="3399" spans="1:3" ht="15.5">
      <c r="A3399" s="29">
        <v>39688</v>
      </c>
      <c r="B3399" s="28">
        <v>1.0979000000000001</v>
      </c>
      <c r="C3399" s="28">
        <v>2406582011.5</v>
      </c>
    </row>
    <row r="3400" spans="1:3" ht="15.5">
      <c r="A3400" s="29">
        <v>39687</v>
      </c>
      <c r="B3400" s="28">
        <v>1.0931999999999999</v>
      </c>
      <c r="C3400" s="28">
        <v>2396118611.4499998</v>
      </c>
    </row>
    <row r="3401" spans="1:3" ht="15.5">
      <c r="A3401" s="29">
        <v>39686</v>
      </c>
      <c r="B3401" s="28">
        <v>1.0789</v>
      </c>
      <c r="C3401" s="28">
        <v>2364728411.3000002</v>
      </c>
    </row>
    <row r="3402" spans="1:3" ht="15.5">
      <c r="A3402" s="29">
        <v>39685</v>
      </c>
      <c r="B3402" s="28">
        <v>1.0979000000000001</v>
      </c>
      <c r="C3402" s="28">
        <v>2406582011.5</v>
      </c>
    </row>
    <row r="3403" spans="1:3" ht="15.5">
      <c r="A3403" s="29">
        <v>39682</v>
      </c>
      <c r="B3403" s="28">
        <v>1.0979000000000001</v>
      </c>
      <c r="C3403" s="28">
        <v>2406582011.5</v>
      </c>
    </row>
    <row r="3404" spans="1:3" ht="15.5">
      <c r="A3404" s="29">
        <v>39681</v>
      </c>
      <c r="B3404" s="28">
        <v>1.0884</v>
      </c>
      <c r="C3404" s="28">
        <v>2385655211.4000001</v>
      </c>
    </row>
    <row r="3405" spans="1:3" ht="15.5">
      <c r="A3405" s="29">
        <v>39680</v>
      </c>
      <c r="B3405" s="28">
        <v>1.1027</v>
      </c>
      <c r="C3405" s="28">
        <v>2417045411.5500002</v>
      </c>
    </row>
    <row r="3406" spans="1:3" ht="15.5">
      <c r="A3406" s="29">
        <v>39679</v>
      </c>
      <c r="B3406" s="28">
        <v>1.0979000000000001</v>
      </c>
      <c r="C3406" s="28">
        <v>2406582011.5</v>
      </c>
    </row>
    <row r="3407" spans="1:3" ht="15.5">
      <c r="A3407" s="29">
        <v>39678</v>
      </c>
      <c r="B3407" s="28">
        <v>1.0979000000000001</v>
      </c>
      <c r="C3407" s="28">
        <v>2406582011.5</v>
      </c>
    </row>
    <row r="3408" spans="1:3" ht="15.5">
      <c r="A3408" s="29">
        <v>39675</v>
      </c>
      <c r="B3408" s="28">
        <v>1.1217999999999999</v>
      </c>
      <c r="C3408" s="28">
        <v>2458899011.75</v>
      </c>
    </row>
    <row r="3409" spans="1:3" ht="15.5">
      <c r="A3409" s="29">
        <v>39674</v>
      </c>
      <c r="B3409" s="28">
        <v>1.1074999999999999</v>
      </c>
      <c r="C3409" s="28">
        <v>2427508811.5999999</v>
      </c>
    </row>
    <row r="3410" spans="1:3" ht="15.5">
      <c r="A3410" s="29">
        <v>39673</v>
      </c>
      <c r="B3410" s="28">
        <v>1.0884</v>
      </c>
      <c r="C3410" s="28">
        <v>2385655211.4000001</v>
      </c>
    </row>
    <row r="3411" spans="1:3" ht="15.5">
      <c r="A3411" s="29">
        <v>39672</v>
      </c>
      <c r="B3411" s="28">
        <v>1.0979000000000001</v>
      </c>
      <c r="C3411" s="28">
        <v>2406582011.5</v>
      </c>
    </row>
    <row r="3412" spans="1:3" ht="15.5">
      <c r="A3412" s="29">
        <v>39671</v>
      </c>
      <c r="B3412" s="28">
        <v>1.0931999999999999</v>
      </c>
      <c r="C3412" s="28">
        <v>2396118611.4499998</v>
      </c>
    </row>
    <row r="3413" spans="1:3" ht="15.5">
      <c r="A3413" s="29">
        <v>39668</v>
      </c>
      <c r="B3413" s="28">
        <v>1.0884</v>
      </c>
      <c r="C3413" s="28">
        <v>2385655211.4000001</v>
      </c>
    </row>
    <row r="3414" spans="1:3" ht="15.5">
      <c r="A3414" s="29">
        <v>39667</v>
      </c>
      <c r="B3414" s="28">
        <v>1.0931999999999999</v>
      </c>
      <c r="C3414" s="28">
        <v>2396118611.4499998</v>
      </c>
    </row>
    <row r="3415" spans="1:3" ht="15.5">
      <c r="A3415" s="29">
        <v>39666</v>
      </c>
      <c r="B3415" s="28">
        <v>1.0979000000000001</v>
      </c>
      <c r="C3415" s="28">
        <v>2406582011.5</v>
      </c>
    </row>
    <row r="3416" spans="1:3" ht="15.5">
      <c r="A3416" s="29">
        <v>39665</v>
      </c>
      <c r="B3416" s="28">
        <v>1.0884</v>
      </c>
      <c r="C3416" s="28">
        <v>2385655211.4000001</v>
      </c>
    </row>
    <row r="3417" spans="1:3" ht="15.5">
      <c r="A3417" s="29">
        <v>39664</v>
      </c>
      <c r="B3417" s="28">
        <v>1.0931999999999999</v>
      </c>
      <c r="C3417" s="28">
        <v>2396118611.4499998</v>
      </c>
    </row>
    <row r="3418" spans="1:3" ht="15.5">
      <c r="A3418" s="29">
        <v>39661</v>
      </c>
      <c r="B3418" s="28">
        <v>1.0835999999999999</v>
      </c>
      <c r="C3418" s="28">
        <v>2375191811.3499999</v>
      </c>
    </row>
    <row r="3419" spans="1:3" ht="15.5">
      <c r="A3419" s="29">
        <v>39660</v>
      </c>
      <c r="B3419" s="28">
        <v>1.0884</v>
      </c>
      <c r="C3419" s="28">
        <v>2385655211.4000001</v>
      </c>
    </row>
    <row r="3420" spans="1:3" ht="15.5">
      <c r="A3420" s="29">
        <v>39659</v>
      </c>
      <c r="B3420" s="28">
        <v>1.0884</v>
      </c>
      <c r="C3420" s="28">
        <v>2385655211.4000001</v>
      </c>
    </row>
    <row r="3421" spans="1:3" ht="15.5">
      <c r="A3421" s="29">
        <v>39658</v>
      </c>
      <c r="B3421" s="28">
        <v>1.0835999999999999</v>
      </c>
      <c r="C3421" s="28">
        <v>2375191811.3499999</v>
      </c>
    </row>
    <row r="3422" spans="1:3" ht="15.5">
      <c r="A3422" s="29">
        <v>39657</v>
      </c>
      <c r="B3422" s="28">
        <v>1.0884</v>
      </c>
      <c r="C3422" s="28">
        <v>2385655211.4000001</v>
      </c>
    </row>
    <row r="3423" spans="1:3" ht="15.5">
      <c r="A3423" s="29">
        <v>39654</v>
      </c>
      <c r="B3423" s="28">
        <v>1.0789</v>
      </c>
      <c r="C3423" s="28">
        <v>2364728411.3000002</v>
      </c>
    </row>
    <row r="3424" spans="1:3" ht="15.5">
      <c r="A3424" s="29">
        <v>39653</v>
      </c>
      <c r="B3424" s="28">
        <v>1.0692999999999999</v>
      </c>
      <c r="C3424" s="28">
        <v>2343801611.1999998</v>
      </c>
    </row>
    <row r="3425" spans="1:3" ht="15.5">
      <c r="A3425" s="29">
        <v>39652</v>
      </c>
      <c r="B3425" s="28">
        <v>1.0789</v>
      </c>
      <c r="C3425" s="28">
        <v>2364728411.3000002</v>
      </c>
    </row>
    <row r="3426" spans="1:3" ht="15.5">
      <c r="A3426" s="29">
        <v>39651</v>
      </c>
      <c r="B3426" s="28">
        <v>1.0979000000000001</v>
      </c>
      <c r="C3426" s="28">
        <v>2406582011.5</v>
      </c>
    </row>
    <row r="3427" spans="1:3" ht="15.5">
      <c r="A3427" s="29">
        <v>39650</v>
      </c>
      <c r="B3427" s="28">
        <v>1.0979000000000001</v>
      </c>
      <c r="C3427" s="28">
        <v>2406582011.5</v>
      </c>
    </row>
    <row r="3428" spans="1:3" ht="15.5">
      <c r="A3428" s="29">
        <v>39647</v>
      </c>
      <c r="B3428" s="28">
        <v>1.0835999999999999</v>
      </c>
      <c r="C3428" s="28">
        <v>2375191811.3499999</v>
      </c>
    </row>
    <row r="3429" spans="1:3" ht="15.5">
      <c r="A3429" s="29">
        <v>39646</v>
      </c>
      <c r="B3429" s="28">
        <v>1.0979000000000001</v>
      </c>
      <c r="C3429" s="28">
        <v>2406582011.5</v>
      </c>
    </row>
    <row r="3430" spans="1:3" ht="15.5">
      <c r="A3430" s="29">
        <v>39645</v>
      </c>
      <c r="B3430" s="28">
        <v>1.0931999999999999</v>
      </c>
      <c r="C3430" s="28">
        <v>2396118611.4499998</v>
      </c>
    </row>
    <row r="3431" spans="1:3" ht="15.5">
      <c r="A3431" s="29">
        <v>39644</v>
      </c>
      <c r="B3431" s="28">
        <v>1.0789</v>
      </c>
      <c r="C3431" s="28">
        <v>2364728411.3000002</v>
      </c>
    </row>
    <row r="3432" spans="1:3" ht="15.5">
      <c r="A3432" s="29">
        <v>39643</v>
      </c>
      <c r="B3432" s="28">
        <v>1.0931999999999999</v>
      </c>
      <c r="C3432" s="28">
        <v>2396118611.4499998</v>
      </c>
    </row>
    <row r="3433" spans="1:3" ht="15.5">
      <c r="A3433" s="29">
        <v>39640</v>
      </c>
      <c r="B3433" s="28">
        <v>1.1027</v>
      </c>
      <c r="C3433" s="28">
        <v>2417045411.5500002</v>
      </c>
    </row>
    <row r="3434" spans="1:3" ht="15.5">
      <c r="A3434" s="29">
        <v>39639</v>
      </c>
      <c r="B3434" s="28">
        <v>1.0884</v>
      </c>
      <c r="C3434" s="28">
        <v>2385655211.4000001</v>
      </c>
    </row>
    <row r="3435" spans="1:3" ht="15.5">
      <c r="A3435" s="29">
        <v>39638</v>
      </c>
      <c r="B3435" s="28">
        <v>1.0692999999999999</v>
      </c>
      <c r="C3435" s="28">
        <v>2343801611.1999998</v>
      </c>
    </row>
    <row r="3436" spans="1:3" ht="15.5">
      <c r="A3436" s="29">
        <v>39637</v>
      </c>
      <c r="B3436" s="28">
        <v>1.0979000000000001</v>
      </c>
      <c r="C3436" s="28">
        <v>2406582011.5</v>
      </c>
    </row>
    <row r="3437" spans="1:3" ht="15.5">
      <c r="A3437" s="29">
        <v>39636</v>
      </c>
      <c r="B3437" s="28">
        <v>1.1074999999999999</v>
      </c>
      <c r="C3437" s="28">
        <v>2427508811.5999999</v>
      </c>
    </row>
    <row r="3438" spans="1:3" ht="15.5">
      <c r="A3438" s="29">
        <v>39633</v>
      </c>
      <c r="B3438" s="28">
        <v>1.1217999999999999</v>
      </c>
      <c r="C3438" s="28">
        <v>2458899011.75</v>
      </c>
    </row>
    <row r="3439" spans="1:3" ht="15.5">
      <c r="A3439" s="29">
        <v>39632</v>
      </c>
      <c r="B3439" s="28">
        <v>1.0884</v>
      </c>
      <c r="C3439" s="28">
        <v>2385655211.4000001</v>
      </c>
    </row>
    <row r="3440" spans="1:3" ht="15.5">
      <c r="A3440" s="29">
        <v>39631</v>
      </c>
      <c r="B3440" s="28">
        <v>1.117</v>
      </c>
      <c r="C3440" s="28">
        <v>2448435611.6999998</v>
      </c>
    </row>
    <row r="3441" spans="1:3" ht="15.5">
      <c r="A3441" s="29">
        <v>39630</v>
      </c>
      <c r="B3441" s="28">
        <v>1.0645</v>
      </c>
      <c r="C3441" s="28">
        <v>2333338211.1500001</v>
      </c>
    </row>
    <row r="3442" spans="1:3" ht="15.5">
      <c r="A3442" s="29">
        <v>39629</v>
      </c>
      <c r="B3442" s="28">
        <v>1.012</v>
      </c>
      <c r="C3442" s="28">
        <v>2218240810.5999999</v>
      </c>
    </row>
    <row r="3443" spans="1:3" ht="15.5">
      <c r="A3443" s="29">
        <v>39626</v>
      </c>
      <c r="B3443" s="28">
        <v>1.0072000000000001</v>
      </c>
      <c r="C3443" s="28">
        <v>2207777410.5500002</v>
      </c>
    </row>
    <row r="3444" spans="1:3" ht="15.5">
      <c r="A3444" s="29">
        <v>39625</v>
      </c>
      <c r="B3444" s="28">
        <v>1.0216000000000001</v>
      </c>
      <c r="C3444" s="28">
        <v>2239167610.6999998</v>
      </c>
    </row>
    <row r="3445" spans="1:3" ht="15.5">
      <c r="A3445" s="29">
        <v>39624</v>
      </c>
      <c r="B3445" s="28">
        <v>1.0502</v>
      </c>
      <c r="C3445" s="28">
        <v>2301948011</v>
      </c>
    </row>
    <row r="3446" spans="1:3" ht="15.5">
      <c r="A3446" s="29">
        <v>39623</v>
      </c>
      <c r="B3446" s="28">
        <v>1.0024999999999999</v>
      </c>
      <c r="C3446" s="28">
        <v>2197314010.5</v>
      </c>
    </row>
    <row r="3447" spans="1:3" ht="15.5">
      <c r="A3447" s="29">
        <v>39622</v>
      </c>
      <c r="B3447" s="28">
        <v>0.96909999999999996</v>
      </c>
      <c r="C3447" s="28">
        <v>2124070210.1500001</v>
      </c>
    </row>
    <row r="3448" spans="1:3" ht="15.5">
      <c r="A3448" s="29">
        <v>39619</v>
      </c>
      <c r="B3448" s="28">
        <v>1.0216000000000001</v>
      </c>
      <c r="C3448" s="28">
        <v>2239167610.6999998</v>
      </c>
    </row>
    <row r="3449" spans="1:3" ht="15.5">
      <c r="A3449" s="29">
        <v>39618</v>
      </c>
      <c r="B3449" s="28">
        <v>1.0692999999999999</v>
      </c>
      <c r="C3449" s="28">
        <v>2343801611.1999998</v>
      </c>
    </row>
    <row r="3450" spans="1:3" ht="15.5">
      <c r="A3450" s="29">
        <v>39617</v>
      </c>
      <c r="B3450" s="28">
        <v>1.0884</v>
      </c>
      <c r="C3450" s="28">
        <v>2385655211.4000001</v>
      </c>
    </row>
    <row r="3451" spans="1:3" ht="15.5">
      <c r="A3451" s="29">
        <v>39616</v>
      </c>
      <c r="B3451" s="28">
        <v>1.1074999999999999</v>
      </c>
      <c r="C3451" s="28">
        <v>2427508811.5999999</v>
      </c>
    </row>
    <row r="3452" spans="1:3" ht="15.5">
      <c r="A3452" s="29">
        <v>39615</v>
      </c>
      <c r="B3452" s="28">
        <v>1.1266</v>
      </c>
      <c r="C3452" s="28">
        <v>2469362411.8000002</v>
      </c>
    </row>
    <row r="3453" spans="1:3" ht="15.5">
      <c r="A3453" s="29">
        <v>39612</v>
      </c>
      <c r="B3453" s="28">
        <v>1.1027</v>
      </c>
      <c r="C3453" s="28">
        <v>2417045411.5500002</v>
      </c>
    </row>
    <row r="3454" spans="1:3" ht="15.5">
      <c r="A3454" s="29">
        <v>39611</v>
      </c>
      <c r="B3454" s="28">
        <v>1.0502</v>
      </c>
      <c r="C3454" s="28">
        <v>2301948011</v>
      </c>
    </row>
    <row r="3455" spans="1:3" ht="15.5">
      <c r="A3455" s="29">
        <v>39610</v>
      </c>
      <c r="B3455" s="28">
        <v>1.1027</v>
      </c>
      <c r="C3455" s="28">
        <v>2417045411.5500002</v>
      </c>
    </row>
    <row r="3456" spans="1:3" ht="15.5">
      <c r="A3456" s="29">
        <v>39609</v>
      </c>
      <c r="B3456" s="28">
        <v>1.1314</v>
      </c>
      <c r="C3456" s="28">
        <v>2479825811.8499999</v>
      </c>
    </row>
    <row r="3457" spans="1:3" ht="15.5">
      <c r="A3457" s="29">
        <v>39605</v>
      </c>
      <c r="B3457" s="28">
        <v>1.1648000000000001</v>
      </c>
      <c r="C3457" s="28">
        <v>2553069612.1999998</v>
      </c>
    </row>
    <row r="3458" spans="1:3" ht="15.5">
      <c r="A3458" s="29">
        <v>39604</v>
      </c>
      <c r="B3458" s="28">
        <v>1.1742999999999999</v>
      </c>
      <c r="C3458" s="28">
        <v>2573996412.3000002</v>
      </c>
    </row>
    <row r="3459" spans="1:3" ht="15.5">
      <c r="A3459" s="29">
        <v>39603</v>
      </c>
      <c r="B3459" s="28">
        <v>1.1886000000000001</v>
      </c>
      <c r="C3459" s="28">
        <v>2605386612.4499998</v>
      </c>
    </row>
    <row r="3460" spans="1:3" ht="15.5">
      <c r="A3460" s="29">
        <v>39602</v>
      </c>
      <c r="B3460" s="28">
        <v>1.1886000000000001</v>
      </c>
      <c r="C3460" s="28">
        <v>2605386612.4499998</v>
      </c>
    </row>
    <row r="3461" spans="1:3" ht="15.5">
      <c r="A3461" s="29">
        <v>39601</v>
      </c>
      <c r="B3461" s="28">
        <v>1.1839</v>
      </c>
      <c r="C3461" s="28">
        <v>2594923212.4000001</v>
      </c>
    </row>
    <row r="3462" spans="1:3" ht="15.5">
      <c r="A3462" s="29">
        <v>39598</v>
      </c>
      <c r="B3462" s="28">
        <v>1.1886000000000001</v>
      </c>
      <c r="C3462" s="28">
        <v>2605386612.4499998</v>
      </c>
    </row>
    <row r="3463" spans="1:3" ht="15.5">
      <c r="A3463" s="29">
        <v>39597</v>
      </c>
      <c r="B3463" s="28">
        <v>1.1886000000000001</v>
      </c>
      <c r="C3463" s="28">
        <v>2605386612.4499998</v>
      </c>
    </row>
    <row r="3464" spans="1:3" ht="15.5">
      <c r="A3464" s="29">
        <v>39596</v>
      </c>
      <c r="B3464" s="28">
        <v>1.1648000000000001</v>
      </c>
      <c r="C3464" s="28">
        <v>2553069612.1999998</v>
      </c>
    </row>
    <row r="3465" spans="1:3" ht="15.5">
      <c r="A3465" s="29">
        <v>39595</v>
      </c>
      <c r="B3465" s="28">
        <v>1.1934</v>
      </c>
      <c r="C3465" s="28">
        <v>2615850012.5</v>
      </c>
    </row>
    <row r="3466" spans="1:3" ht="15.5">
      <c r="A3466" s="29">
        <v>39594</v>
      </c>
      <c r="B3466" s="28">
        <v>1.1552</v>
      </c>
      <c r="C3466" s="28">
        <v>2532142812.0999999</v>
      </c>
    </row>
    <row r="3467" spans="1:3" ht="15.5">
      <c r="A3467" s="29">
        <v>39591</v>
      </c>
      <c r="B3467" s="28">
        <v>1.1742999999999999</v>
      </c>
      <c r="C3467" s="28">
        <v>2573996412.3000002</v>
      </c>
    </row>
    <row r="3468" spans="1:3" ht="15.5">
      <c r="A3468" s="29">
        <v>39590</v>
      </c>
      <c r="B3468" s="28">
        <v>1.1886000000000001</v>
      </c>
      <c r="C3468" s="28">
        <v>2605386612.4499998</v>
      </c>
    </row>
    <row r="3469" spans="1:3" ht="15.5">
      <c r="A3469" s="29">
        <v>39589</v>
      </c>
      <c r="B3469" s="28">
        <v>1.1934</v>
      </c>
      <c r="C3469" s="28">
        <v>2615850012.5</v>
      </c>
    </row>
    <row r="3470" spans="1:3" ht="15.5">
      <c r="A3470" s="29">
        <v>39588</v>
      </c>
      <c r="B3470" s="28">
        <v>1.1839</v>
      </c>
      <c r="C3470" s="28">
        <v>2594923212.4000001</v>
      </c>
    </row>
    <row r="3471" spans="1:3" ht="15.5">
      <c r="A3471" s="29">
        <v>39587</v>
      </c>
      <c r="B3471" s="28">
        <v>1.1934</v>
      </c>
      <c r="C3471" s="28">
        <v>2615850012.5</v>
      </c>
    </row>
    <row r="3472" spans="1:3" ht="15.5">
      <c r="A3472" s="29">
        <v>39584</v>
      </c>
      <c r="B3472" s="28">
        <v>1.1886000000000001</v>
      </c>
      <c r="C3472" s="28">
        <v>2605386612.4499998</v>
      </c>
    </row>
    <row r="3473" spans="1:3" ht="15.5">
      <c r="A3473" s="29">
        <v>39583</v>
      </c>
      <c r="B3473" s="28">
        <v>1.1886000000000001</v>
      </c>
      <c r="C3473" s="28">
        <v>2605386612.4499998</v>
      </c>
    </row>
    <row r="3474" spans="1:3" ht="15.5">
      <c r="A3474" s="29">
        <v>39582</v>
      </c>
      <c r="B3474" s="28">
        <v>1.1886000000000001</v>
      </c>
      <c r="C3474" s="28">
        <v>2605386612.4499998</v>
      </c>
    </row>
    <row r="3475" spans="1:3" ht="15.5">
      <c r="A3475" s="29">
        <v>39581</v>
      </c>
      <c r="B3475" s="28">
        <v>1.1791</v>
      </c>
      <c r="C3475" s="28">
        <v>2584459812.3499999</v>
      </c>
    </row>
    <row r="3476" spans="1:3" ht="15.5">
      <c r="A3476" s="29">
        <v>39580</v>
      </c>
      <c r="B3476" s="28">
        <v>1.1839</v>
      </c>
      <c r="C3476" s="28">
        <v>2594923212.4000001</v>
      </c>
    </row>
    <row r="3477" spans="1:3" ht="15.5">
      <c r="A3477" s="29">
        <v>39577</v>
      </c>
      <c r="B3477" s="28">
        <v>1.2030000000000001</v>
      </c>
      <c r="C3477" s="28">
        <v>2636776812.5999999</v>
      </c>
    </row>
    <row r="3478" spans="1:3" ht="15.5">
      <c r="A3478" s="29">
        <v>39576</v>
      </c>
      <c r="B3478" s="28">
        <v>1.2077</v>
      </c>
      <c r="C3478" s="28">
        <v>2647240212.6500001</v>
      </c>
    </row>
    <row r="3479" spans="1:3" ht="15.5">
      <c r="A3479" s="29">
        <v>39575</v>
      </c>
      <c r="B3479" s="28">
        <v>1.2267999999999999</v>
      </c>
      <c r="C3479" s="28">
        <v>2689093812.8499999</v>
      </c>
    </row>
    <row r="3480" spans="1:3" ht="15.5">
      <c r="A3480" s="29">
        <v>39574</v>
      </c>
      <c r="B3480" s="28">
        <v>1.2030000000000001</v>
      </c>
      <c r="C3480" s="28">
        <v>2636776812.5999999</v>
      </c>
    </row>
    <row r="3481" spans="1:3" ht="15.5">
      <c r="A3481" s="29">
        <v>39573</v>
      </c>
      <c r="B3481" s="28">
        <v>1.2030000000000001</v>
      </c>
      <c r="C3481" s="28">
        <v>2636776812.5999999</v>
      </c>
    </row>
    <row r="3482" spans="1:3" ht="15.5">
      <c r="A3482" s="29">
        <v>39570</v>
      </c>
      <c r="B3482" s="28">
        <v>1.2316</v>
      </c>
      <c r="C3482" s="28">
        <v>2699557212.9000001</v>
      </c>
    </row>
    <row r="3483" spans="1:3" ht="15.5">
      <c r="A3483" s="29">
        <v>39569</v>
      </c>
      <c r="B3483" s="28">
        <v>1.2173</v>
      </c>
      <c r="C3483" s="28">
        <v>2668167012.75</v>
      </c>
    </row>
    <row r="3484" spans="1:3" ht="15.5">
      <c r="A3484" s="29">
        <v>39568</v>
      </c>
      <c r="B3484" s="28">
        <v>1.2124999999999999</v>
      </c>
      <c r="C3484" s="28">
        <v>2657703612.6999998</v>
      </c>
    </row>
    <row r="3485" spans="1:3" ht="15.5">
      <c r="A3485" s="29">
        <v>39567</v>
      </c>
      <c r="B3485" s="28">
        <v>1.2030000000000001</v>
      </c>
      <c r="C3485" s="28">
        <v>2636776812.5999999</v>
      </c>
    </row>
    <row r="3486" spans="1:3" ht="15.5">
      <c r="A3486" s="29">
        <v>39566</v>
      </c>
      <c r="B3486" s="28">
        <v>1.1456999999999999</v>
      </c>
      <c r="C3486" s="28">
        <v>2511216012</v>
      </c>
    </row>
    <row r="3487" spans="1:3" ht="15.5">
      <c r="A3487" s="29">
        <v>39562</v>
      </c>
      <c r="B3487" s="28">
        <v>1.1742999999999999</v>
      </c>
      <c r="C3487" s="28">
        <v>2573996412.3000002</v>
      </c>
    </row>
    <row r="3488" spans="1:3" ht="15.5">
      <c r="A3488" s="29">
        <v>39561</v>
      </c>
      <c r="B3488" s="28">
        <v>1.2363999999999999</v>
      </c>
      <c r="C3488" s="28">
        <v>2710020612.9499998</v>
      </c>
    </row>
    <row r="3489" spans="1:3" ht="15.5">
      <c r="A3489" s="29">
        <v>39560</v>
      </c>
      <c r="B3489" s="28">
        <v>1.2267999999999999</v>
      </c>
      <c r="C3489" s="28">
        <v>2689093812.8499999</v>
      </c>
    </row>
    <row r="3490" spans="1:3" ht="15.5">
      <c r="A3490" s="29">
        <v>39559</v>
      </c>
      <c r="B3490" s="28">
        <v>1.2221</v>
      </c>
      <c r="C3490" s="28">
        <v>2678630412.8000002</v>
      </c>
    </row>
    <row r="3491" spans="1:3" ht="15.5">
      <c r="A3491" s="29">
        <v>39556</v>
      </c>
      <c r="B3491" s="28">
        <v>1.2124999999999999</v>
      </c>
      <c r="C3491" s="28">
        <v>2657703612.6999998</v>
      </c>
    </row>
    <row r="3492" spans="1:3" ht="15.5">
      <c r="A3492" s="29">
        <v>39555</v>
      </c>
      <c r="B3492" s="28">
        <v>1.1981999999999999</v>
      </c>
      <c r="C3492" s="28">
        <v>2626313412.5500002</v>
      </c>
    </row>
    <row r="3493" spans="1:3" ht="15.5">
      <c r="A3493" s="29">
        <v>39554</v>
      </c>
      <c r="B3493" s="28">
        <v>1.1839</v>
      </c>
      <c r="C3493" s="28">
        <v>2594923212.4000001</v>
      </c>
    </row>
    <row r="3494" spans="1:3" ht="15.5">
      <c r="A3494" s="29">
        <v>39553</v>
      </c>
      <c r="B3494" s="28">
        <v>1.1696</v>
      </c>
      <c r="C3494" s="28">
        <v>2563533012.25</v>
      </c>
    </row>
    <row r="3495" spans="1:3" ht="15.5">
      <c r="A3495" s="29">
        <v>39552</v>
      </c>
      <c r="B3495" s="28">
        <v>1.1505000000000001</v>
      </c>
      <c r="C3495" s="28">
        <v>2521679412.0500002</v>
      </c>
    </row>
    <row r="3496" spans="1:3" ht="15.5">
      <c r="A3496" s="29">
        <v>39549</v>
      </c>
      <c r="B3496" s="28">
        <v>1.2221</v>
      </c>
      <c r="C3496" s="28">
        <v>2678630412.8000002</v>
      </c>
    </row>
    <row r="3497" spans="1:3" ht="15.5">
      <c r="A3497" s="29">
        <v>39548</v>
      </c>
      <c r="B3497" s="28">
        <v>1.1742999999999999</v>
      </c>
      <c r="C3497" s="28">
        <v>2573996412.3000002</v>
      </c>
    </row>
    <row r="3498" spans="1:3" ht="15.5">
      <c r="A3498" s="29">
        <v>39547</v>
      </c>
      <c r="B3498" s="28">
        <v>1.2030000000000001</v>
      </c>
      <c r="C3498" s="28">
        <v>2636776812.5999999</v>
      </c>
    </row>
    <row r="3499" spans="1:3" ht="15.5">
      <c r="A3499" s="29">
        <v>39546</v>
      </c>
      <c r="B3499" s="28">
        <v>1.1886000000000001</v>
      </c>
      <c r="C3499" s="28">
        <v>2605386612.4499998</v>
      </c>
    </row>
    <row r="3500" spans="1:3" ht="15.5">
      <c r="A3500" s="29">
        <v>39545</v>
      </c>
      <c r="B3500" s="28">
        <v>1.2267999999999999</v>
      </c>
      <c r="C3500" s="28">
        <v>2689093812.8499999</v>
      </c>
    </row>
    <row r="3501" spans="1:3" ht="15.5">
      <c r="A3501" s="29">
        <v>39542</v>
      </c>
      <c r="B3501" s="28">
        <v>1.2459</v>
      </c>
      <c r="C3501" s="28">
        <v>2730947413.0500002</v>
      </c>
    </row>
    <row r="3502" spans="1:3" ht="15.5">
      <c r="A3502" s="29">
        <v>39541</v>
      </c>
      <c r="B3502" s="28">
        <v>1.2316</v>
      </c>
      <c r="C3502" s="28">
        <v>2699557212.9000001</v>
      </c>
    </row>
    <row r="3503" spans="1:3" ht="15.5">
      <c r="A3503" s="29">
        <v>39540</v>
      </c>
      <c r="B3503" s="28">
        <v>1.1981999999999999</v>
      </c>
      <c r="C3503" s="28">
        <v>2626313412.5500002</v>
      </c>
    </row>
    <row r="3504" spans="1:3" ht="15.5">
      <c r="A3504" s="29">
        <v>39539</v>
      </c>
      <c r="B3504" s="28">
        <v>1.1791</v>
      </c>
      <c r="C3504" s="28">
        <v>2584459812.3499999</v>
      </c>
    </row>
    <row r="3505" spans="1:3" ht="15.5">
      <c r="A3505" s="29">
        <v>39538</v>
      </c>
      <c r="B3505" s="28">
        <v>1.1552</v>
      </c>
      <c r="C3505" s="28">
        <v>2532142812.0999999</v>
      </c>
    </row>
    <row r="3506" spans="1:3" ht="15.5">
      <c r="A3506" s="29">
        <v>39535</v>
      </c>
      <c r="B3506" s="28">
        <v>1.1648000000000001</v>
      </c>
      <c r="C3506" s="28">
        <v>2553069612.1999998</v>
      </c>
    </row>
    <row r="3507" spans="1:3" ht="15.5">
      <c r="A3507" s="29">
        <v>39534</v>
      </c>
      <c r="B3507" s="28">
        <v>1.1599999999999999</v>
      </c>
      <c r="C3507" s="28">
        <v>2542606212.1500001</v>
      </c>
    </row>
    <row r="3508" spans="1:3" ht="15.5">
      <c r="A3508" s="29">
        <v>39533</v>
      </c>
      <c r="B3508" s="28">
        <v>1.1934</v>
      </c>
      <c r="C3508" s="28">
        <v>2615850012.5</v>
      </c>
    </row>
    <row r="3509" spans="1:3" ht="15.5">
      <c r="A3509" s="29">
        <v>39532</v>
      </c>
      <c r="B3509" s="28">
        <v>1.1505000000000001</v>
      </c>
      <c r="C3509" s="28">
        <v>2521679412.0500002</v>
      </c>
    </row>
    <row r="3510" spans="1:3" ht="15.5">
      <c r="A3510" s="29">
        <v>39527</v>
      </c>
      <c r="B3510" s="28">
        <v>1.0789</v>
      </c>
      <c r="C3510" s="28">
        <v>2364728411.3000002</v>
      </c>
    </row>
    <row r="3511" spans="1:3" ht="15.5">
      <c r="A3511" s="29">
        <v>39526</v>
      </c>
      <c r="B3511" s="28">
        <v>1.0931999999999999</v>
      </c>
      <c r="C3511" s="28">
        <v>2396118611.4499998</v>
      </c>
    </row>
    <row r="3512" spans="1:3" ht="15.5">
      <c r="A3512" s="29">
        <v>39525</v>
      </c>
      <c r="B3512" s="28">
        <v>1.0835999999999999</v>
      </c>
      <c r="C3512" s="28">
        <v>2375191811.3499999</v>
      </c>
    </row>
    <row r="3513" spans="1:3" ht="15.5">
      <c r="A3513" s="29">
        <v>39524</v>
      </c>
      <c r="B3513" s="28">
        <v>1.0741000000000001</v>
      </c>
      <c r="C3513" s="28">
        <v>2354265011.25</v>
      </c>
    </row>
    <row r="3514" spans="1:3" ht="15.5">
      <c r="A3514" s="29">
        <v>39521</v>
      </c>
      <c r="B3514" s="28">
        <v>1.1123000000000001</v>
      </c>
      <c r="C3514" s="28">
        <v>2437972211.6500001</v>
      </c>
    </row>
    <row r="3515" spans="1:3" ht="15.5">
      <c r="A3515" s="29">
        <v>39520</v>
      </c>
      <c r="B3515" s="28">
        <v>1.0979000000000001</v>
      </c>
      <c r="C3515" s="28">
        <v>2406582011.5</v>
      </c>
    </row>
    <row r="3516" spans="1:3" ht="15.5">
      <c r="A3516" s="29">
        <v>39519</v>
      </c>
      <c r="B3516" s="28">
        <v>1.0835999999999999</v>
      </c>
      <c r="C3516" s="28">
        <v>2375191811.3499999</v>
      </c>
    </row>
    <row r="3517" spans="1:3" ht="15.5">
      <c r="A3517" s="29">
        <v>39518</v>
      </c>
      <c r="B3517" s="28">
        <v>1.0979000000000001</v>
      </c>
      <c r="C3517" s="28">
        <v>2406582011.5</v>
      </c>
    </row>
    <row r="3518" spans="1:3" ht="15.5">
      <c r="A3518" s="29">
        <v>39517</v>
      </c>
      <c r="B3518" s="28">
        <v>1.117</v>
      </c>
      <c r="C3518" s="28">
        <v>2448435611.6999998</v>
      </c>
    </row>
    <row r="3519" spans="1:3" ht="15.5">
      <c r="A3519" s="29">
        <v>39514</v>
      </c>
      <c r="B3519" s="28">
        <v>1.1361000000000001</v>
      </c>
      <c r="C3519" s="28">
        <v>2490289211.9000001</v>
      </c>
    </row>
    <row r="3520" spans="1:3" ht="15.5">
      <c r="A3520" s="29">
        <v>39513</v>
      </c>
      <c r="B3520" s="28">
        <v>1.1648000000000001</v>
      </c>
      <c r="C3520" s="28">
        <v>2553069612.1999998</v>
      </c>
    </row>
    <row r="3521" spans="1:3" ht="15.5">
      <c r="A3521" s="29">
        <v>39512</v>
      </c>
      <c r="B3521" s="28">
        <v>1.1361000000000001</v>
      </c>
      <c r="C3521" s="28">
        <v>2490289211.9000001</v>
      </c>
    </row>
    <row r="3522" spans="1:3" ht="15.5">
      <c r="A3522" s="29">
        <v>39511</v>
      </c>
      <c r="B3522" s="28">
        <v>1.1456999999999999</v>
      </c>
      <c r="C3522" s="28">
        <v>2511216012</v>
      </c>
    </row>
    <row r="3523" spans="1:3" ht="15.5">
      <c r="A3523" s="29">
        <v>39510</v>
      </c>
      <c r="B3523" s="28">
        <v>1.1696</v>
      </c>
      <c r="C3523" s="28">
        <v>2563533012.25</v>
      </c>
    </row>
    <row r="3524" spans="1:3" ht="15.5">
      <c r="A3524" s="29">
        <v>39507</v>
      </c>
      <c r="B3524" s="28">
        <v>1.1886000000000001</v>
      </c>
      <c r="C3524" s="28">
        <v>2605386612.4499998</v>
      </c>
    </row>
    <row r="3525" spans="1:3" ht="15.5">
      <c r="A3525" s="29">
        <v>39506</v>
      </c>
      <c r="B3525" s="28">
        <v>1.1742999999999999</v>
      </c>
      <c r="C3525" s="28">
        <v>2573996412.3000002</v>
      </c>
    </row>
    <row r="3526" spans="1:3" ht="15.5">
      <c r="A3526" s="29">
        <v>39505</v>
      </c>
      <c r="B3526" s="28">
        <v>1.1934</v>
      </c>
      <c r="C3526" s="28">
        <v>2615850012.5</v>
      </c>
    </row>
    <row r="3527" spans="1:3" ht="15.5">
      <c r="A3527" s="29">
        <v>39504</v>
      </c>
      <c r="B3527" s="28">
        <v>1.1886000000000001</v>
      </c>
      <c r="C3527" s="28">
        <v>2605386612.4499998</v>
      </c>
    </row>
    <row r="3528" spans="1:3" ht="15.5">
      <c r="A3528" s="29">
        <v>39503</v>
      </c>
      <c r="B3528" s="28">
        <v>1.1791</v>
      </c>
      <c r="C3528" s="28">
        <v>2584459812.3499999</v>
      </c>
    </row>
    <row r="3529" spans="1:3" ht="15.5">
      <c r="A3529" s="29">
        <v>39500</v>
      </c>
      <c r="B3529" s="28">
        <v>1.1839</v>
      </c>
      <c r="C3529" s="28">
        <v>2594923212.4000001</v>
      </c>
    </row>
    <row r="3530" spans="1:3" ht="15.5">
      <c r="A3530" s="29">
        <v>39499</v>
      </c>
      <c r="B3530" s="28">
        <v>1.2173</v>
      </c>
      <c r="C3530" s="28">
        <v>2668167012.75</v>
      </c>
    </row>
    <row r="3531" spans="1:3" ht="15.5">
      <c r="A3531" s="29">
        <v>39498</v>
      </c>
      <c r="B3531" s="28">
        <v>1.2030000000000001</v>
      </c>
      <c r="C3531" s="28">
        <v>2636776812.5999999</v>
      </c>
    </row>
    <row r="3532" spans="1:3" ht="15.5">
      <c r="A3532" s="29">
        <v>39497</v>
      </c>
      <c r="B3532" s="28">
        <v>1.2316</v>
      </c>
      <c r="C3532" s="28">
        <v>2699557212.9000001</v>
      </c>
    </row>
    <row r="3533" spans="1:3" ht="15.5">
      <c r="A3533" s="29">
        <v>39496</v>
      </c>
      <c r="B3533" s="28">
        <v>1.2316</v>
      </c>
      <c r="C3533" s="28">
        <v>2699557212.9000001</v>
      </c>
    </row>
    <row r="3534" spans="1:3" ht="15.5">
      <c r="A3534" s="29">
        <v>39493</v>
      </c>
      <c r="B3534" s="28">
        <v>1.2316</v>
      </c>
      <c r="C3534" s="28">
        <v>2699557212.9000001</v>
      </c>
    </row>
    <row r="3535" spans="1:3" ht="15.5">
      <c r="A3535" s="29">
        <v>39492</v>
      </c>
      <c r="B3535" s="28">
        <v>1.2316</v>
      </c>
      <c r="C3535" s="28">
        <v>2699557212.9000001</v>
      </c>
    </row>
    <row r="3536" spans="1:3" ht="15.5">
      <c r="A3536" s="29">
        <v>39491</v>
      </c>
      <c r="B3536" s="28">
        <v>1.2267999999999999</v>
      </c>
      <c r="C3536" s="28">
        <v>2689093812.8499999</v>
      </c>
    </row>
    <row r="3537" spans="1:3" ht="15.5">
      <c r="A3537" s="29">
        <v>39490</v>
      </c>
      <c r="B3537" s="28">
        <v>1.2030000000000001</v>
      </c>
      <c r="C3537" s="28">
        <v>2636776812.5999999</v>
      </c>
    </row>
    <row r="3538" spans="1:3" ht="15.5">
      <c r="A3538" s="29">
        <v>39489</v>
      </c>
      <c r="B3538" s="28">
        <v>1.1742999999999999</v>
      </c>
      <c r="C3538" s="28">
        <v>2573996412.3000002</v>
      </c>
    </row>
    <row r="3539" spans="1:3" ht="15.5">
      <c r="A3539" s="29">
        <v>39486</v>
      </c>
      <c r="B3539" s="28">
        <v>1.1839</v>
      </c>
      <c r="C3539" s="28">
        <v>2594923212.4000001</v>
      </c>
    </row>
    <row r="3540" spans="1:3" ht="15.5">
      <c r="A3540" s="29">
        <v>39485</v>
      </c>
      <c r="B3540" s="28">
        <v>1.1742999999999999</v>
      </c>
      <c r="C3540" s="28">
        <v>2573996412.3000002</v>
      </c>
    </row>
    <row r="3541" spans="1:3" ht="15.5">
      <c r="A3541" s="29">
        <v>39484</v>
      </c>
      <c r="B3541" s="28">
        <v>1.1839</v>
      </c>
      <c r="C3541" s="28">
        <v>2594923212.4000001</v>
      </c>
    </row>
    <row r="3542" spans="1:3" ht="15.5">
      <c r="A3542" s="29">
        <v>39483</v>
      </c>
      <c r="B3542" s="28">
        <v>1.1981999999999999</v>
      </c>
      <c r="C3542" s="28">
        <v>2626313412.5500002</v>
      </c>
    </row>
    <row r="3543" spans="1:3" ht="15.5">
      <c r="A3543" s="29">
        <v>39482</v>
      </c>
      <c r="B3543" s="28">
        <v>1.1981999999999999</v>
      </c>
      <c r="C3543" s="28">
        <v>2626313412.5500002</v>
      </c>
    </row>
    <row r="3544" spans="1:3" ht="15.5">
      <c r="A3544" s="29">
        <v>39479</v>
      </c>
      <c r="B3544" s="28">
        <v>1.1742999999999999</v>
      </c>
      <c r="C3544" s="28">
        <v>2573996412.3000002</v>
      </c>
    </row>
    <row r="3545" spans="1:3" ht="15.5">
      <c r="A3545" s="29">
        <v>39478</v>
      </c>
      <c r="B3545" s="28">
        <v>1.1599999999999999</v>
      </c>
      <c r="C3545" s="28">
        <v>2542606212.1500001</v>
      </c>
    </row>
    <row r="3546" spans="1:3" ht="15.5">
      <c r="A3546" s="29">
        <v>39477</v>
      </c>
      <c r="B3546" s="28">
        <v>1.1742999999999999</v>
      </c>
      <c r="C3546" s="28">
        <v>2573996412.3000002</v>
      </c>
    </row>
    <row r="3547" spans="1:3" ht="15.5">
      <c r="A3547" s="29">
        <v>39476</v>
      </c>
      <c r="B3547" s="28">
        <v>1.2030000000000001</v>
      </c>
      <c r="C3547" s="28">
        <v>2636776812.5999999</v>
      </c>
    </row>
    <row r="3548" spans="1:3" ht="15.5">
      <c r="A3548" s="29">
        <v>39472</v>
      </c>
      <c r="B3548" s="28">
        <v>1.2221</v>
      </c>
      <c r="C3548" s="28">
        <v>2678630412.8000002</v>
      </c>
    </row>
    <row r="3549" spans="1:3" ht="15.5">
      <c r="A3549" s="29">
        <v>39471</v>
      </c>
      <c r="B3549" s="28">
        <v>1.1839</v>
      </c>
      <c r="C3549" s="28">
        <v>2594923212.4000001</v>
      </c>
    </row>
    <row r="3550" spans="1:3" ht="15.5">
      <c r="A3550" s="29">
        <v>39470</v>
      </c>
      <c r="B3550" s="28">
        <v>1.1648000000000001</v>
      </c>
      <c r="C3550" s="28">
        <v>2553069612.1999998</v>
      </c>
    </row>
    <row r="3551" spans="1:3" ht="15.5">
      <c r="A3551" s="29">
        <v>39469</v>
      </c>
      <c r="B3551" s="28">
        <v>1.0789</v>
      </c>
      <c r="C3551" s="28">
        <v>2364728411.3000002</v>
      </c>
    </row>
    <row r="3552" spans="1:3" ht="15.5">
      <c r="A3552" s="29">
        <v>39468</v>
      </c>
      <c r="B3552" s="28">
        <v>1.1361000000000001</v>
      </c>
      <c r="C3552" s="28">
        <v>2490289211.9000001</v>
      </c>
    </row>
    <row r="3553" spans="1:3" ht="15.5">
      <c r="A3553" s="29">
        <v>39465</v>
      </c>
      <c r="B3553" s="28">
        <v>1.1409</v>
      </c>
      <c r="C3553" s="28">
        <v>2500752611.9499998</v>
      </c>
    </row>
    <row r="3554" spans="1:3" ht="15.5">
      <c r="A3554" s="29">
        <v>39464</v>
      </c>
      <c r="B3554" s="28">
        <v>1.1599999999999999</v>
      </c>
      <c r="C3554" s="28">
        <v>2542606212.1500001</v>
      </c>
    </row>
    <row r="3555" spans="1:3" ht="15.5">
      <c r="A3555" s="29">
        <v>39463</v>
      </c>
      <c r="B3555" s="28">
        <v>1.1505000000000001</v>
      </c>
      <c r="C3555" s="28">
        <v>2521679412.0500002</v>
      </c>
    </row>
    <row r="3556" spans="1:3" ht="15.5">
      <c r="A3556" s="29">
        <v>39462</v>
      </c>
      <c r="B3556" s="28">
        <v>1.1552</v>
      </c>
      <c r="C3556" s="28">
        <v>2532142812.0999999</v>
      </c>
    </row>
    <row r="3557" spans="1:3" ht="15.5">
      <c r="A3557" s="29">
        <v>39461</v>
      </c>
      <c r="B3557" s="28">
        <v>1.1696</v>
      </c>
      <c r="C3557" s="28">
        <v>2563533012.25</v>
      </c>
    </row>
    <row r="3558" spans="1:3" ht="15.5">
      <c r="A3558" s="29">
        <v>39458</v>
      </c>
      <c r="B3558" s="28">
        <v>1.1696</v>
      </c>
      <c r="C3558" s="28">
        <v>2563533012.25</v>
      </c>
    </row>
    <row r="3559" spans="1:3" ht="15.5">
      <c r="A3559" s="29">
        <v>39457</v>
      </c>
      <c r="B3559" s="28">
        <v>1.1599999999999999</v>
      </c>
      <c r="C3559" s="28">
        <v>2542606212.1500001</v>
      </c>
    </row>
    <row r="3560" spans="1:3" ht="15.5">
      <c r="A3560" s="29">
        <v>39456</v>
      </c>
      <c r="B3560" s="28">
        <v>1.1599999999999999</v>
      </c>
      <c r="C3560" s="28">
        <v>2542606212.1500001</v>
      </c>
    </row>
    <row r="3561" spans="1:3" ht="15.5">
      <c r="A3561" s="29">
        <v>39455</v>
      </c>
      <c r="B3561" s="28">
        <v>1.1648000000000001</v>
      </c>
      <c r="C3561" s="28">
        <v>2553069612.1999998</v>
      </c>
    </row>
    <row r="3562" spans="1:3" ht="15.5">
      <c r="A3562" s="29">
        <v>39454</v>
      </c>
      <c r="B3562" s="28">
        <v>1.1456999999999999</v>
      </c>
      <c r="C3562" s="28">
        <v>2511216012</v>
      </c>
    </row>
    <row r="3563" spans="1:3" ht="15.5">
      <c r="A3563" s="29">
        <v>39451</v>
      </c>
      <c r="B3563" s="28">
        <v>1.1552</v>
      </c>
      <c r="C3563" s="28">
        <v>2532142812.0999999</v>
      </c>
    </row>
    <row r="3564" spans="1:3" ht="15.5">
      <c r="A3564" s="29">
        <v>39450</v>
      </c>
      <c r="B3564" s="28">
        <v>1.1886000000000001</v>
      </c>
      <c r="C3564" s="28">
        <v>2605386612.4499998</v>
      </c>
    </row>
    <row r="3565" spans="1:3" ht="15.5">
      <c r="A3565" s="29">
        <v>39449</v>
      </c>
      <c r="B3565" s="28">
        <v>1.1552</v>
      </c>
      <c r="C3565" s="28">
        <v>2532142812.0999999</v>
      </c>
    </row>
    <row r="3566" spans="1:3" ht="15.5">
      <c r="A3566" s="29">
        <v>39447</v>
      </c>
      <c r="B3566" s="28">
        <v>1.1552</v>
      </c>
      <c r="C3566" s="28">
        <v>2532142812.0999999</v>
      </c>
    </row>
    <row r="3567" spans="1:3" ht="15.5">
      <c r="A3567" s="29">
        <v>39444</v>
      </c>
      <c r="B3567" s="28">
        <v>1.1409</v>
      </c>
      <c r="C3567" s="28">
        <v>2500752611.9499998</v>
      </c>
    </row>
    <row r="3568" spans="1:3" ht="15.5">
      <c r="A3568" s="29">
        <v>39443</v>
      </c>
      <c r="B3568" s="28">
        <v>1.1552</v>
      </c>
      <c r="C3568" s="28">
        <v>2532142812.0999999</v>
      </c>
    </row>
    <row r="3569" spans="1:3" ht="15.5">
      <c r="A3569" s="29">
        <v>39440</v>
      </c>
      <c r="B3569" s="28">
        <v>1.1409</v>
      </c>
      <c r="C3569" s="28">
        <v>2500752611.9499998</v>
      </c>
    </row>
    <row r="3570" spans="1:3" ht="15.5">
      <c r="A3570" s="29">
        <v>39437</v>
      </c>
      <c r="B3570" s="28">
        <v>1.1648000000000001</v>
      </c>
      <c r="C3570" s="28">
        <v>2553069612.1999998</v>
      </c>
    </row>
    <row r="3571" spans="1:3" ht="15.5">
      <c r="A3571" s="29">
        <v>39436</v>
      </c>
      <c r="B3571" s="28">
        <v>1.1456999999999999</v>
      </c>
      <c r="C3571" s="28">
        <v>2511216012</v>
      </c>
    </row>
    <row r="3572" spans="1:3" ht="15.5">
      <c r="A3572" s="29">
        <v>39435</v>
      </c>
      <c r="B3572" s="28">
        <v>1.1409</v>
      </c>
      <c r="C3572" s="28">
        <v>2500752611.9499998</v>
      </c>
    </row>
    <row r="3573" spans="1:3" ht="15.5">
      <c r="A3573" s="29">
        <v>39434</v>
      </c>
      <c r="B3573" s="28">
        <v>1.1934</v>
      </c>
      <c r="C3573" s="28">
        <v>2615850012.5</v>
      </c>
    </row>
    <row r="3574" spans="1:3" ht="15.5">
      <c r="A3574" s="29">
        <v>39433</v>
      </c>
      <c r="B3574" s="28">
        <v>1.1981999999999999</v>
      </c>
      <c r="C3574" s="28">
        <v>2626313412.5500002</v>
      </c>
    </row>
    <row r="3575" spans="1:3" ht="15.5">
      <c r="A3575" s="29">
        <v>39430</v>
      </c>
      <c r="B3575" s="28">
        <v>1.2030000000000001</v>
      </c>
      <c r="C3575" s="28">
        <v>2636776812.5999999</v>
      </c>
    </row>
    <row r="3576" spans="1:3" ht="15.5">
      <c r="A3576" s="29">
        <v>39429</v>
      </c>
      <c r="B3576" s="28">
        <v>1.2173</v>
      </c>
      <c r="C3576" s="28">
        <v>2668167012.75</v>
      </c>
    </row>
    <row r="3577" spans="1:3" ht="15.5">
      <c r="A3577" s="29">
        <v>39428</v>
      </c>
      <c r="B3577" s="28">
        <v>1.2030000000000001</v>
      </c>
      <c r="C3577" s="28">
        <v>2636776812.5999999</v>
      </c>
    </row>
    <row r="3578" spans="1:3" ht="15.5">
      <c r="A3578" s="29">
        <v>39427</v>
      </c>
      <c r="B3578" s="28">
        <v>1.2030000000000001</v>
      </c>
      <c r="C3578" s="28">
        <v>2636776812.5999999</v>
      </c>
    </row>
    <row r="3579" spans="1:3" ht="15.5">
      <c r="A3579" s="29">
        <v>39426</v>
      </c>
      <c r="B3579" s="28">
        <v>1.2267999999999999</v>
      </c>
      <c r="C3579" s="28">
        <v>2689093812.8499999</v>
      </c>
    </row>
    <row r="3580" spans="1:3" ht="15.5">
      <c r="A3580" s="29">
        <v>39423</v>
      </c>
      <c r="B3580" s="28">
        <v>1.1361000000000001</v>
      </c>
      <c r="C3580" s="28">
        <v>2490289211.9000001</v>
      </c>
    </row>
    <row r="3581" spans="1:3" ht="15.5">
      <c r="A3581" s="29">
        <v>39422</v>
      </c>
      <c r="B3581" s="28">
        <v>1.1409</v>
      </c>
      <c r="C3581" s="28">
        <v>2500752611.9499998</v>
      </c>
    </row>
    <row r="3582" spans="1:3" ht="15.5">
      <c r="A3582" s="29">
        <v>39421</v>
      </c>
      <c r="B3582" s="28">
        <v>1.1314</v>
      </c>
      <c r="C3582" s="28">
        <v>2479825811.8499999</v>
      </c>
    </row>
    <row r="3583" spans="1:3" ht="15.5">
      <c r="A3583" s="29">
        <v>39420</v>
      </c>
      <c r="B3583" s="28">
        <v>1.1505000000000001</v>
      </c>
      <c r="C3583" s="28">
        <v>2521679412.0500002</v>
      </c>
    </row>
    <row r="3584" spans="1:3" ht="15.5">
      <c r="A3584" s="29">
        <v>39419</v>
      </c>
      <c r="B3584" s="28">
        <v>1.1456999999999999</v>
      </c>
      <c r="C3584" s="28">
        <v>2511216012</v>
      </c>
    </row>
    <row r="3585" spans="1:3" ht="15.5">
      <c r="A3585" s="29">
        <v>39416</v>
      </c>
      <c r="B3585" s="28">
        <v>1.1361000000000001</v>
      </c>
      <c r="C3585" s="28">
        <v>2490289211.9000001</v>
      </c>
    </row>
    <row r="3586" spans="1:3" ht="15.5">
      <c r="A3586" s="29">
        <v>39415</v>
      </c>
      <c r="B3586" s="28">
        <v>1.1266</v>
      </c>
      <c r="C3586" s="28">
        <v>2469362411.8000002</v>
      </c>
    </row>
    <row r="3587" spans="1:3" ht="15.5">
      <c r="A3587" s="29">
        <v>39414</v>
      </c>
      <c r="B3587" s="28">
        <v>1.1648000000000001</v>
      </c>
      <c r="C3587" s="28">
        <v>2553069612.1999998</v>
      </c>
    </row>
    <row r="3588" spans="1:3" ht="15.5">
      <c r="A3588" s="29">
        <v>39413</v>
      </c>
      <c r="B3588" s="28">
        <v>1.1648000000000001</v>
      </c>
      <c r="C3588" s="28">
        <v>2553069612.1999998</v>
      </c>
    </row>
    <row r="3589" spans="1:3" ht="15.5">
      <c r="A3589" s="29">
        <v>39412</v>
      </c>
      <c r="B3589" s="28">
        <v>1.1648000000000001</v>
      </c>
      <c r="C3589" s="28">
        <v>2553069612.1999998</v>
      </c>
    </row>
    <row r="3590" spans="1:3" ht="15.5">
      <c r="A3590" s="29">
        <v>39409</v>
      </c>
      <c r="B3590" s="28">
        <v>1.1409</v>
      </c>
      <c r="C3590" s="28">
        <v>2500752611.9499998</v>
      </c>
    </row>
    <row r="3591" spans="1:3" ht="15.5">
      <c r="A3591" s="29">
        <v>39408</v>
      </c>
      <c r="B3591" s="28">
        <v>1.1505000000000001</v>
      </c>
      <c r="C3591" s="28">
        <v>2521679412.0500002</v>
      </c>
    </row>
    <row r="3592" spans="1:3" ht="15.5">
      <c r="A3592" s="29">
        <v>39407</v>
      </c>
      <c r="B3592" s="28">
        <v>1.1552</v>
      </c>
      <c r="C3592" s="28">
        <v>2532142812.0999999</v>
      </c>
    </row>
    <row r="3593" spans="1:3" ht="15.5">
      <c r="A3593" s="29">
        <v>39406</v>
      </c>
      <c r="B3593" s="28">
        <v>1.1696</v>
      </c>
      <c r="C3593" s="28">
        <v>2563533012.25</v>
      </c>
    </row>
    <row r="3594" spans="1:3" ht="15.5">
      <c r="A3594" s="29">
        <v>39405</v>
      </c>
      <c r="B3594" s="28">
        <v>1.2124999999999999</v>
      </c>
      <c r="C3594" s="28">
        <v>2657703612.6999998</v>
      </c>
    </row>
    <row r="3595" spans="1:3" ht="15.5">
      <c r="A3595" s="29">
        <v>39402</v>
      </c>
      <c r="B3595" s="28">
        <v>1.2221</v>
      </c>
      <c r="C3595" s="28">
        <v>2678630412.8000002</v>
      </c>
    </row>
    <row r="3596" spans="1:3" ht="15.5">
      <c r="A3596" s="29">
        <v>39401</v>
      </c>
      <c r="B3596" s="28">
        <v>1.1839</v>
      </c>
      <c r="C3596" s="28">
        <v>2594923212.4000001</v>
      </c>
    </row>
    <row r="3597" spans="1:3" ht="15.5">
      <c r="A3597" s="29">
        <v>39400</v>
      </c>
      <c r="B3597" s="28">
        <v>1.1648000000000001</v>
      </c>
      <c r="C3597" s="28">
        <v>2553069612.1999998</v>
      </c>
    </row>
    <row r="3598" spans="1:3" ht="15.5">
      <c r="A3598" s="29">
        <v>39399</v>
      </c>
      <c r="B3598" s="28">
        <v>1.1361000000000001</v>
      </c>
      <c r="C3598" s="28">
        <v>2490289211.9000001</v>
      </c>
    </row>
    <row r="3599" spans="1:3" ht="15.5">
      <c r="A3599" s="29">
        <v>39398</v>
      </c>
      <c r="B3599" s="28">
        <v>1.1552</v>
      </c>
      <c r="C3599" s="28">
        <v>2532142812.0999999</v>
      </c>
    </row>
    <row r="3600" spans="1:3" ht="15.5">
      <c r="A3600" s="29">
        <v>39395</v>
      </c>
      <c r="B3600" s="28">
        <v>1.1839</v>
      </c>
      <c r="C3600" s="28">
        <v>2594923212.4000001</v>
      </c>
    </row>
    <row r="3601" spans="1:3" ht="15.5">
      <c r="A3601" s="29">
        <v>39394</v>
      </c>
      <c r="B3601" s="28">
        <v>1.1934</v>
      </c>
      <c r="C3601" s="28">
        <v>2615850012.5</v>
      </c>
    </row>
    <row r="3602" spans="1:3" ht="15.5">
      <c r="A3602" s="29">
        <v>39393</v>
      </c>
      <c r="B3602" s="28">
        <v>1.2221</v>
      </c>
      <c r="C3602" s="28">
        <v>2678630412.8000002</v>
      </c>
    </row>
    <row r="3603" spans="1:3" ht="15.5">
      <c r="A3603" s="29">
        <v>39392</v>
      </c>
      <c r="B3603" s="28">
        <v>1.2316</v>
      </c>
      <c r="C3603" s="28">
        <v>2699557212.9000001</v>
      </c>
    </row>
    <row r="3604" spans="1:3" ht="15.5">
      <c r="A3604" s="29">
        <v>39391</v>
      </c>
      <c r="B3604" s="28">
        <v>1.2173</v>
      </c>
      <c r="C3604" s="28">
        <v>2668167012.75</v>
      </c>
    </row>
    <row r="3605" spans="1:3" ht="15.5">
      <c r="A3605" s="29">
        <v>39388</v>
      </c>
      <c r="B3605" s="28">
        <v>1.2363999999999999</v>
      </c>
      <c r="C3605" s="28">
        <v>2710020612.9499998</v>
      </c>
    </row>
    <row r="3606" spans="1:3" ht="15.5">
      <c r="A3606" s="29">
        <v>39387</v>
      </c>
      <c r="B3606" s="28">
        <v>1.2506999999999999</v>
      </c>
      <c r="C3606" s="28">
        <v>2741410813.0999999</v>
      </c>
    </row>
    <row r="3607" spans="1:3" ht="15.5">
      <c r="A3607" s="29">
        <v>39386</v>
      </c>
      <c r="B3607" s="28">
        <v>1.2412000000000001</v>
      </c>
      <c r="C3607" s="28">
        <v>2720484013</v>
      </c>
    </row>
    <row r="3608" spans="1:3" ht="15.5">
      <c r="A3608" s="29">
        <v>39385</v>
      </c>
      <c r="B3608" s="28">
        <v>1.2267999999999999</v>
      </c>
      <c r="C3608" s="28">
        <v>2689093812.8499999</v>
      </c>
    </row>
    <row r="3609" spans="1:3" ht="15.5">
      <c r="A3609" s="29">
        <v>39384</v>
      </c>
      <c r="B3609" s="28">
        <v>1.2173</v>
      </c>
      <c r="C3609" s="28">
        <v>2668167012.75</v>
      </c>
    </row>
    <row r="3610" spans="1:3" ht="15.5">
      <c r="A3610" s="29">
        <v>39381</v>
      </c>
      <c r="B3610" s="28">
        <v>1.2124999999999999</v>
      </c>
      <c r="C3610" s="28">
        <v>2657703612.6999998</v>
      </c>
    </row>
    <row r="3611" spans="1:3" ht="15.5">
      <c r="A3611" s="29">
        <v>39380</v>
      </c>
      <c r="B3611" s="28">
        <v>1.2077</v>
      </c>
      <c r="C3611" s="28">
        <v>2647240212.6500001</v>
      </c>
    </row>
    <row r="3612" spans="1:3" ht="15.5">
      <c r="A3612" s="29">
        <v>39379</v>
      </c>
      <c r="B3612" s="28">
        <v>1.2030000000000001</v>
      </c>
      <c r="C3612" s="28">
        <v>2636776812.5999999</v>
      </c>
    </row>
    <row r="3613" spans="1:3" ht="15.5">
      <c r="A3613" s="29">
        <v>39378</v>
      </c>
      <c r="B3613" s="28">
        <v>1.1981999999999999</v>
      </c>
      <c r="C3613" s="28">
        <v>2626313412.5500002</v>
      </c>
    </row>
    <row r="3614" spans="1:3" ht="15.5">
      <c r="A3614" s="29">
        <v>39377</v>
      </c>
      <c r="B3614" s="28">
        <v>1.1791</v>
      </c>
      <c r="C3614" s="28">
        <v>2584459812.3499999</v>
      </c>
    </row>
    <row r="3615" spans="1:3" ht="15.5">
      <c r="A3615" s="29">
        <v>39374</v>
      </c>
      <c r="B3615" s="28">
        <v>1.1839</v>
      </c>
      <c r="C3615" s="28">
        <v>2594923212.4000001</v>
      </c>
    </row>
    <row r="3616" spans="1:3" ht="15.5">
      <c r="A3616" s="29">
        <v>39373</v>
      </c>
      <c r="B3616" s="28">
        <v>1.2030000000000001</v>
      </c>
      <c r="C3616" s="28">
        <v>2636776812.5999999</v>
      </c>
    </row>
    <row r="3617" spans="1:3" ht="15.5">
      <c r="A3617" s="29">
        <v>39372</v>
      </c>
      <c r="B3617" s="28">
        <v>1.1886000000000001</v>
      </c>
      <c r="C3617" s="28">
        <v>2605386612.4499998</v>
      </c>
    </row>
    <row r="3618" spans="1:3" ht="15.5">
      <c r="A3618" s="29">
        <v>39371</v>
      </c>
      <c r="B3618" s="28">
        <v>1.1839</v>
      </c>
      <c r="C3618" s="28">
        <v>2594923212.4000001</v>
      </c>
    </row>
    <row r="3619" spans="1:3" ht="15.5">
      <c r="A3619" s="29">
        <v>39370</v>
      </c>
      <c r="B3619" s="28">
        <v>1.2077</v>
      </c>
      <c r="C3619" s="28">
        <v>2647240212.6500001</v>
      </c>
    </row>
    <row r="3620" spans="1:3" ht="15.5">
      <c r="A3620" s="29">
        <v>39367</v>
      </c>
      <c r="B3620" s="28">
        <v>1.2030000000000001</v>
      </c>
      <c r="C3620" s="28">
        <v>2636776812.5999999</v>
      </c>
    </row>
    <row r="3621" spans="1:3" ht="15.5">
      <c r="A3621" s="29">
        <v>39366</v>
      </c>
      <c r="B3621" s="28">
        <v>1.2124999999999999</v>
      </c>
      <c r="C3621" s="28">
        <v>2657703612.6999998</v>
      </c>
    </row>
    <row r="3622" spans="1:3" ht="15.5">
      <c r="A3622" s="29">
        <v>39365</v>
      </c>
      <c r="B3622" s="28">
        <v>1.1981999999999999</v>
      </c>
      <c r="C3622" s="28">
        <v>2626313412.5500002</v>
      </c>
    </row>
    <row r="3623" spans="1:3" ht="15.5">
      <c r="A3623" s="29">
        <v>39364</v>
      </c>
      <c r="B3623" s="28">
        <v>1.1742999999999999</v>
      </c>
      <c r="C3623" s="28">
        <v>2573996412.3000002</v>
      </c>
    </row>
    <row r="3624" spans="1:3" ht="15.5">
      <c r="A3624" s="29">
        <v>39363</v>
      </c>
      <c r="B3624" s="28">
        <v>1.2173</v>
      </c>
      <c r="C3624" s="28">
        <v>2668167012.75</v>
      </c>
    </row>
    <row r="3625" spans="1:3" ht="15.5">
      <c r="A3625" s="29">
        <v>39360</v>
      </c>
      <c r="B3625" s="28">
        <v>1.2030000000000001</v>
      </c>
      <c r="C3625" s="28">
        <v>2636776812.5999999</v>
      </c>
    </row>
    <row r="3626" spans="1:3" ht="15.5">
      <c r="A3626" s="29">
        <v>39359</v>
      </c>
      <c r="B3626" s="28">
        <v>1.1696</v>
      </c>
      <c r="C3626" s="28">
        <v>2563533012.25</v>
      </c>
    </row>
    <row r="3627" spans="1:3" ht="15.5">
      <c r="A3627" s="29">
        <v>39358</v>
      </c>
      <c r="B3627" s="28">
        <v>1.2030000000000001</v>
      </c>
      <c r="C3627" s="28">
        <v>2636776812.5999999</v>
      </c>
    </row>
    <row r="3628" spans="1:3" ht="15.5">
      <c r="A3628" s="29">
        <v>39357</v>
      </c>
      <c r="B3628" s="28">
        <v>1.1886000000000001</v>
      </c>
      <c r="C3628" s="28">
        <v>2605386612.4499998</v>
      </c>
    </row>
    <row r="3629" spans="1:3" ht="15.5">
      <c r="A3629" s="29">
        <v>39356</v>
      </c>
      <c r="B3629" s="28">
        <v>1.2077</v>
      </c>
      <c r="C3629" s="28">
        <v>2647240212.6500001</v>
      </c>
    </row>
    <row r="3630" spans="1:3" ht="15.5">
      <c r="A3630" s="29">
        <v>39353</v>
      </c>
      <c r="B3630" s="28">
        <v>1.2124999999999999</v>
      </c>
      <c r="C3630" s="28">
        <v>2657703612.6999998</v>
      </c>
    </row>
    <row r="3631" spans="1:3" ht="15.5">
      <c r="A3631" s="29">
        <v>39352</v>
      </c>
      <c r="B3631" s="28">
        <v>1.2221</v>
      </c>
      <c r="C3631" s="28">
        <v>2678630412.8000002</v>
      </c>
    </row>
    <row r="3632" spans="1:3" ht="15.5">
      <c r="A3632" s="29">
        <v>39351</v>
      </c>
      <c r="B3632" s="28">
        <v>1.2221</v>
      </c>
      <c r="C3632" s="28">
        <v>2678630412.8000002</v>
      </c>
    </row>
    <row r="3633" spans="1:3" ht="15.5">
      <c r="A3633" s="29">
        <v>39350</v>
      </c>
      <c r="B3633" s="28">
        <v>1.2221</v>
      </c>
      <c r="C3633" s="28">
        <v>2678630412.8000002</v>
      </c>
    </row>
    <row r="3634" spans="1:3" ht="15.5">
      <c r="A3634" s="29">
        <v>39349</v>
      </c>
      <c r="B3634" s="28">
        <v>1.2412000000000001</v>
      </c>
      <c r="C3634" s="28">
        <v>2720484013</v>
      </c>
    </row>
    <row r="3635" spans="1:3" ht="15.5">
      <c r="A3635" s="29">
        <v>39346</v>
      </c>
      <c r="B3635" s="28">
        <v>1.1934</v>
      </c>
      <c r="C3635" s="28">
        <v>2615850012.5</v>
      </c>
    </row>
    <row r="3636" spans="1:3" ht="15.5">
      <c r="A3636" s="29">
        <v>39345</v>
      </c>
      <c r="B3636" s="28">
        <v>1.2793000000000001</v>
      </c>
      <c r="C3636" s="28">
        <v>2804191213.4000001</v>
      </c>
    </row>
    <row r="3637" spans="1:3" ht="15.5">
      <c r="A3637" s="29">
        <v>39344</v>
      </c>
      <c r="B3637" s="28">
        <v>1.3270999999999999</v>
      </c>
      <c r="C3637" s="28">
        <v>2908825213.9000001</v>
      </c>
    </row>
    <row r="3638" spans="1:3" ht="15.5">
      <c r="A3638" s="29">
        <v>39343</v>
      </c>
      <c r="B3638" s="28">
        <v>1.3174999999999999</v>
      </c>
      <c r="C3638" s="28">
        <v>2887898413.8000002</v>
      </c>
    </row>
    <row r="3639" spans="1:3" ht="15.5">
      <c r="A3639" s="29">
        <v>39342</v>
      </c>
      <c r="B3639" s="28">
        <v>1.351</v>
      </c>
      <c r="C3639" s="28">
        <v>2961142214.1500001</v>
      </c>
    </row>
    <row r="3640" spans="1:3" ht="15.5">
      <c r="A3640" s="29">
        <v>39339</v>
      </c>
      <c r="B3640" s="28">
        <v>1.3366</v>
      </c>
      <c r="C3640" s="28">
        <v>2929752014</v>
      </c>
    </row>
    <row r="3641" spans="1:3" ht="15.5">
      <c r="A3641" s="29">
        <v>39338</v>
      </c>
      <c r="B3641" s="28">
        <v>1.3223</v>
      </c>
      <c r="C3641" s="28">
        <v>2898361813.8499999</v>
      </c>
    </row>
    <row r="3642" spans="1:3" ht="15.5">
      <c r="A3642" s="29">
        <v>39337</v>
      </c>
      <c r="B3642" s="28">
        <v>1.3270999999999999</v>
      </c>
      <c r="C3642" s="28">
        <v>2908825213.9000001</v>
      </c>
    </row>
    <row r="3643" spans="1:3" ht="15.5">
      <c r="A3643" s="29">
        <v>39336</v>
      </c>
      <c r="B3643" s="28">
        <v>1.3270999999999999</v>
      </c>
      <c r="C3643" s="28">
        <v>2908825213.9000001</v>
      </c>
    </row>
    <row r="3644" spans="1:3" ht="15.5">
      <c r="A3644" s="29">
        <v>39335</v>
      </c>
      <c r="B3644" s="28">
        <v>1.3174999999999999</v>
      </c>
      <c r="C3644" s="28">
        <v>2887898413.8000002</v>
      </c>
    </row>
    <row r="3645" spans="1:3" ht="15.5">
      <c r="A3645" s="29">
        <v>39332</v>
      </c>
      <c r="B3645" s="28">
        <v>1.3270999999999999</v>
      </c>
      <c r="C3645" s="28">
        <v>2908825213.9000001</v>
      </c>
    </row>
    <row r="3646" spans="1:3" ht="15.5">
      <c r="A3646" s="29">
        <v>39331</v>
      </c>
      <c r="B3646" s="28">
        <v>1.3174999999999999</v>
      </c>
      <c r="C3646" s="28">
        <v>2887898413.8000002</v>
      </c>
    </row>
    <row r="3647" spans="1:3" ht="15.5">
      <c r="A3647" s="29">
        <v>39330</v>
      </c>
      <c r="B3647" s="28">
        <v>1.3128</v>
      </c>
      <c r="C3647" s="28">
        <v>2877435013.75</v>
      </c>
    </row>
    <row r="3648" spans="1:3" ht="15.5">
      <c r="A3648" s="29">
        <v>39329</v>
      </c>
      <c r="B3648" s="28">
        <v>1.2746</v>
      </c>
      <c r="C3648" s="28">
        <v>2793727813.3499999</v>
      </c>
    </row>
    <row r="3649" spans="1:3" ht="15.5">
      <c r="A3649" s="29">
        <v>39328</v>
      </c>
      <c r="B3649" s="28">
        <v>1.2984</v>
      </c>
      <c r="C3649" s="28">
        <v>2846044813.5999999</v>
      </c>
    </row>
    <row r="3650" spans="1:3" ht="15.5">
      <c r="A3650" s="29">
        <v>39325</v>
      </c>
      <c r="B3650" s="28">
        <v>1.2698</v>
      </c>
      <c r="C3650" s="28">
        <v>2783264413.3000002</v>
      </c>
    </row>
    <row r="3651" spans="1:3" ht="15.5">
      <c r="A3651" s="29">
        <v>39324</v>
      </c>
      <c r="B3651" s="28">
        <v>1.2746</v>
      </c>
      <c r="C3651" s="28">
        <v>2793727813.3499999</v>
      </c>
    </row>
    <row r="3652" spans="1:3" ht="15.5">
      <c r="A3652" s="29">
        <v>39323</v>
      </c>
      <c r="B3652" s="28">
        <v>1.2649999999999999</v>
      </c>
      <c r="C3652" s="28">
        <v>2772801013.25</v>
      </c>
    </row>
    <row r="3653" spans="1:3" ht="15.5">
      <c r="A3653" s="29">
        <v>39322</v>
      </c>
      <c r="B3653" s="28">
        <v>1.2746</v>
      </c>
      <c r="C3653" s="28">
        <v>2793727813.3499999</v>
      </c>
    </row>
    <row r="3654" spans="1:3" ht="15.5">
      <c r="A3654" s="29">
        <v>39321</v>
      </c>
      <c r="B3654" s="28">
        <v>1.3031999999999999</v>
      </c>
      <c r="C3654" s="28">
        <v>2856508213.6500001</v>
      </c>
    </row>
    <row r="3655" spans="1:3" ht="15.5">
      <c r="A3655" s="29">
        <v>39318</v>
      </c>
      <c r="B3655" s="28">
        <v>1.3128</v>
      </c>
      <c r="C3655" s="28">
        <v>2877435013.75</v>
      </c>
    </row>
    <row r="3656" spans="1:3" ht="15.5">
      <c r="A3656" s="29">
        <v>39317</v>
      </c>
      <c r="B3656" s="28">
        <v>1.3080000000000001</v>
      </c>
      <c r="C3656" s="28">
        <v>2866971613.6999998</v>
      </c>
    </row>
    <row r="3657" spans="1:3" ht="15.5">
      <c r="A3657" s="29">
        <v>39316</v>
      </c>
      <c r="B3657" s="28">
        <v>1.3080000000000001</v>
      </c>
      <c r="C3657" s="28">
        <v>2866971613.6999998</v>
      </c>
    </row>
    <row r="3658" spans="1:3" ht="15.5">
      <c r="A3658" s="29">
        <v>39315</v>
      </c>
      <c r="B3658" s="28">
        <v>1.3031999999999999</v>
      </c>
      <c r="C3658" s="28">
        <v>2856508213.6500001</v>
      </c>
    </row>
    <row r="3659" spans="1:3" ht="15.5">
      <c r="A3659" s="29">
        <v>39314</v>
      </c>
      <c r="B3659" s="28">
        <v>1.3174999999999999</v>
      </c>
      <c r="C3659" s="28">
        <v>2887898413.8000002</v>
      </c>
    </row>
    <row r="3660" spans="1:3" ht="15.5">
      <c r="A3660" s="29">
        <v>39311</v>
      </c>
      <c r="B3660" s="28">
        <v>1.3080000000000001</v>
      </c>
      <c r="C3660" s="28">
        <v>2866971613.6999998</v>
      </c>
    </row>
    <row r="3661" spans="1:3" ht="15.5">
      <c r="A3661" s="29">
        <v>39310</v>
      </c>
      <c r="B3661" s="28">
        <v>1.2746</v>
      </c>
      <c r="C3661" s="28">
        <v>2793727813.3499999</v>
      </c>
    </row>
    <row r="3662" spans="1:3" ht="15.5">
      <c r="A3662" s="29">
        <v>39309</v>
      </c>
      <c r="B3662" s="28">
        <v>1.2937000000000001</v>
      </c>
      <c r="C3662" s="28">
        <v>2835581413.5500002</v>
      </c>
    </row>
    <row r="3663" spans="1:3" ht="15.5">
      <c r="A3663" s="29">
        <v>39308</v>
      </c>
      <c r="B3663" s="28">
        <v>1.3270999999999999</v>
      </c>
      <c r="C3663" s="28">
        <v>2908825213.9000001</v>
      </c>
    </row>
    <row r="3664" spans="1:3" ht="15.5">
      <c r="A3664" s="29">
        <v>39307</v>
      </c>
      <c r="B3664" s="28">
        <v>1.2841</v>
      </c>
      <c r="C3664" s="28">
        <v>2814654613.4499998</v>
      </c>
    </row>
    <row r="3665" spans="1:3" ht="15.5">
      <c r="A3665" s="29">
        <v>39304</v>
      </c>
      <c r="B3665" s="28">
        <v>1.2698</v>
      </c>
      <c r="C3665" s="28">
        <v>2783264413.3000002</v>
      </c>
    </row>
    <row r="3666" spans="1:3" ht="15.5">
      <c r="A3666" s="29">
        <v>39303</v>
      </c>
      <c r="B3666" s="28">
        <v>1.3031999999999999</v>
      </c>
      <c r="C3666" s="28">
        <v>2856508213.6500001</v>
      </c>
    </row>
    <row r="3667" spans="1:3" ht="15.5">
      <c r="A3667" s="29">
        <v>39302</v>
      </c>
      <c r="B3667" s="28">
        <v>1.2937000000000001</v>
      </c>
      <c r="C3667" s="28">
        <v>2835581413.5500002</v>
      </c>
    </row>
    <row r="3668" spans="1:3" ht="15.5">
      <c r="A3668" s="29">
        <v>39301</v>
      </c>
      <c r="B3668" s="28">
        <v>1.2746</v>
      </c>
      <c r="C3668" s="28">
        <v>2793727813.3499999</v>
      </c>
    </row>
    <row r="3669" spans="1:3" ht="15.5">
      <c r="A3669" s="29">
        <v>39300</v>
      </c>
      <c r="B3669" s="28">
        <v>1.2888999999999999</v>
      </c>
      <c r="C3669" s="28">
        <v>2825118013.5</v>
      </c>
    </row>
    <row r="3670" spans="1:3" ht="15.5">
      <c r="A3670" s="29">
        <v>39297</v>
      </c>
      <c r="B3670" s="28">
        <v>1.2937000000000001</v>
      </c>
      <c r="C3670" s="28">
        <v>2835581413.5500002</v>
      </c>
    </row>
    <row r="3671" spans="1:3" ht="15.5">
      <c r="A3671" s="29">
        <v>39296</v>
      </c>
      <c r="B3671" s="28">
        <v>1.2793000000000001</v>
      </c>
      <c r="C3671" s="28">
        <v>2804191213.4000001</v>
      </c>
    </row>
    <row r="3672" spans="1:3" ht="15.5">
      <c r="A3672" s="29">
        <v>39295</v>
      </c>
      <c r="B3672" s="28">
        <v>1.2793000000000001</v>
      </c>
      <c r="C3672" s="28">
        <v>2804191213.4000001</v>
      </c>
    </row>
    <row r="3673" spans="1:3" ht="15.5">
      <c r="A3673" s="29">
        <v>39294</v>
      </c>
      <c r="B3673" s="28">
        <v>1.2937000000000001</v>
      </c>
      <c r="C3673" s="28">
        <v>2835581413.5500002</v>
      </c>
    </row>
    <row r="3674" spans="1:3" ht="15.5">
      <c r="A3674" s="29">
        <v>39293</v>
      </c>
      <c r="B3674" s="28">
        <v>1.3270999999999999</v>
      </c>
      <c r="C3674" s="28">
        <v>2908825213.9000001</v>
      </c>
    </row>
    <row r="3675" spans="1:3" ht="15.5">
      <c r="A3675" s="29">
        <v>39290</v>
      </c>
      <c r="B3675" s="28">
        <v>1.3223</v>
      </c>
      <c r="C3675" s="28">
        <v>2898361813.8499999</v>
      </c>
    </row>
    <row r="3676" spans="1:3" ht="15.5">
      <c r="A3676" s="29">
        <v>39289</v>
      </c>
      <c r="B3676" s="28">
        <v>1.2984</v>
      </c>
      <c r="C3676" s="28">
        <v>2846044813.5999999</v>
      </c>
    </row>
    <row r="3677" spans="1:3" ht="15.5">
      <c r="A3677" s="29">
        <v>39288</v>
      </c>
      <c r="B3677" s="28">
        <v>1.2984</v>
      </c>
      <c r="C3677" s="28">
        <v>2846044813.5999999</v>
      </c>
    </row>
    <row r="3678" spans="1:3" ht="15.5">
      <c r="A3678" s="29">
        <v>39287</v>
      </c>
      <c r="B3678" s="28">
        <v>1.3031999999999999</v>
      </c>
      <c r="C3678" s="28">
        <v>2856508213.6500001</v>
      </c>
    </row>
    <row r="3679" spans="1:3" ht="15.5">
      <c r="A3679" s="29">
        <v>39286</v>
      </c>
      <c r="B3679" s="28">
        <v>1.2937000000000001</v>
      </c>
      <c r="C3679" s="28">
        <v>2835581413.5500002</v>
      </c>
    </row>
    <row r="3680" spans="1:3" ht="15.5">
      <c r="A3680" s="29">
        <v>39283</v>
      </c>
      <c r="B3680" s="28">
        <v>1.3128</v>
      </c>
      <c r="C3680" s="28">
        <v>2877435013.75</v>
      </c>
    </row>
    <row r="3681" spans="1:3" ht="15.5">
      <c r="A3681" s="29">
        <v>39282</v>
      </c>
      <c r="B3681" s="28">
        <v>1.3366</v>
      </c>
      <c r="C3681" s="28">
        <v>2929752014</v>
      </c>
    </row>
    <row r="3682" spans="1:3" ht="15.5">
      <c r="A3682" s="29">
        <v>39281</v>
      </c>
      <c r="B3682" s="28">
        <v>1.3270999999999999</v>
      </c>
      <c r="C3682" s="28">
        <v>2908825213.9000001</v>
      </c>
    </row>
    <row r="3683" spans="1:3" ht="15.5">
      <c r="A3683" s="29">
        <v>39280</v>
      </c>
      <c r="B3683" s="28">
        <v>1.3605</v>
      </c>
      <c r="C3683" s="28">
        <v>2982069014.25</v>
      </c>
    </row>
    <row r="3684" spans="1:3" ht="15.5">
      <c r="A3684" s="29">
        <v>39279</v>
      </c>
      <c r="B3684" s="28">
        <v>1.3653</v>
      </c>
      <c r="C3684" s="28">
        <v>2992532414.3000002</v>
      </c>
    </row>
    <row r="3685" spans="1:3" ht="15.5">
      <c r="A3685" s="29">
        <v>39276</v>
      </c>
      <c r="B3685" s="28">
        <v>1.3653</v>
      </c>
      <c r="C3685" s="28">
        <v>2992532414.3000002</v>
      </c>
    </row>
    <row r="3686" spans="1:3" ht="15.5">
      <c r="A3686" s="29">
        <v>39275</v>
      </c>
      <c r="B3686" s="28">
        <v>1.3938999999999999</v>
      </c>
      <c r="C3686" s="28">
        <v>3055312814.5999999</v>
      </c>
    </row>
    <row r="3687" spans="1:3" ht="15.5">
      <c r="A3687" s="29">
        <v>39274</v>
      </c>
      <c r="B3687" s="28">
        <v>1.3605</v>
      </c>
      <c r="C3687" s="28">
        <v>2982069014.25</v>
      </c>
    </row>
    <row r="3688" spans="1:3" ht="15.5">
      <c r="A3688" s="29">
        <v>39273</v>
      </c>
      <c r="B3688" s="28">
        <v>1.3556999999999999</v>
      </c>
      <c r="C3688" s="28">
        <v>2971605614.1999998</v>
      </c>
    </row>
    <row r="3689" spans="1:3" ht="15.5">
      <c r="A3689" s="29">
        <v>39272</v>
      </c>
      <c r="B3689" s="28">
        <v>1.37</v>
      </c>
      <c r="C3689" s="28">
        <v>3002995814.3499999</v>
      </c>
    </row>
    <row r="3690" spans="1:3" ht="15.5">
      <c r="A3690" s="29">
        <v>39269</v>
      </c>
      <c r="B3690" s="28">
        <v>1.3653</v>
      </c>
      <c r="C3690" s="28">
        <v>2992532414.3000002</v>
      </c>
    </row>
    <row r="3691" spans="1:3" ht="15.5">
      <c r="A3691" s="29">
        <v>39268</v>
      </c>
      <c r="B3691" s="28">
        <v>1.3844000000000001</v>
      </c>
      <c r="C3691" s="28">
        <v>3034386014.5</v>
      </c>
    </row>
    <row r="3692" spans="1:3" ht="15.5">
      <c r="A3692" s="29">
        <v>39267</v>
      </c>
      <c r="B3692" s="28">
        <v>1.4035</v>
      </c>
      <c r="C3692" s="28">
        <v>3076239614.6999998</v>
      </c>
    </row>
    <row r="3693" spans="1:3" ht="15.5">
      <c r="A3693" s="29">
        <v>39266</v>
      </c>
      <c r="B3693" s="28">
        <v>1.4081999999999999</v>
      </c>
      <c r="C3693" s="28">
        <v>3086703014.75</v>
      </c>
    </row>
    <row r="3694" spans="1:3" ht="15.5">
      <c r="A3694" s="29">
        <v>39265</v>
      </c>
      <c r="B3694" s="28">
        <v>1.4035</v>
      </c>
      <c r="C3694" s="28">
        <v>3076239614.6999998</v>
      </c>
    </row>
    <row r="3695" spans="1:3" ht="15.5">
      <c r="A3695" s="29">
        <v>39262</v>
      </c>
      <c r="B3695" s="28">
        <v>1.3938999999999999</v>
      </c>
      <c r="C3695" s="28">
        <v>3055312814.5999999</v>
      </c>
    </row>
    <row r="3696" spans="1:3" ht="15.5">
      <c r="A3696" s="29">
        <v>39261</v>
      </c>
      <c r="B3696" s="28">
        <v>1.37</v>
      </c>
      <c r="C3696" s="28">
        <v>3002995814.3499999</v>
      </c>
    </row>
    <row r="3697" spans="1:3" ht="15.5">
      <c r="A3697" s="29">
        <v>39260</v>
      </c>
      <c r="B3697" s="28">
        <v>1.3653</v>
      </c>
      <c r="C3697" s="28">
        <v>2992532414.3000002</v>
      </c>
    </row>
    <row r="3698" spans="1:3" ht="15.5">
      <c r="A3698" s="29">
        <v>39259</v>
      </c>
      <c r="B3698" s="28">
        <v>1.3653</v>
      </c>
      <c r="C3698" s="28">
        <v>2992532414.3000002</v>
      </c>
    </row>
    <row r="3699" spans="1:3" ht="15.5">
      <c r="A3699" s="29">
        <v>39258</v>
      </c>
      <c r="B3699" s="28">
        <v>1.3605</v>
      </c>
      <c r="C3699" s="28">
        <v>2982069014.25</v>
      </c>
    </row>
    <row r="3700" spans="1:3" ht="15.5">
      <c r="A3700" s="29">
        <v>39255</v>
      </c>
      <c r="B3700" s="28">
        <v>1.3653</v>
      </c>
      <c r="C3700" s="28">
        <v>2992532414.3000002</v>
      </c>
    </row>
    <row r="3701" spans="1:3" ht="15.5">
      <c r="A3701" s="29">
        <v>39254</v>
      </c>
      <c r="B3701" s="28">
        <v>1.37</v>
      </c>
      <c r="C3701" s="28">
        <v>3002995814.3499999</v>
      </c>
    </row>
    <row r="3702" spans="1:3" ht="15.5">
      <c r="A3702" s="29">
        <v>39253</v>
      </c>
      <c r="B3702" s="28">
        <v>1.37</v>
      </c>
      <c r="C3702" s="28">
        <v>3002995814.3499999</v>
      </c>
    </row>
    <row r="3703" spans="1:3" ht="15.5">
      <c r="A3703" s="29">
        <v>39252</v>
      </c>
      <c r="B3703" s="28">
        <v>1.3462000000000001</v>
      </c>
      <c r="C3703" s="28">
        <v>2950678814.0999999</v>
      </c>
    </row>
    <row r="3704" spans="1:3" ht="15.5">
      <c r="A3704" s="29">
        <v>39251</v>
      </c>
      <c r="B3704" s="28">
        <v>1.3605</v>
      </c>
      <c r="C3704" s="28">
        <v>2982069014.25</v>
      </c>
    </row>
    <row r="3705" spans="1:3" ht="15.5">
      <c r="A3705" s="29">
        <v>39248</v>
      </c>
      <c r="B3705" s="28">
        <v>1.351</v>
      </c>
      <c r="C3705" s="28">
        <v>2961142214.1500001</v>
      </c>
    </row>
    <row r="3706" spans="1:3" ht="15.5">
      <c r="A3706" s="29">
        <v>39247</v>
      </c>
      <c r="B3706" s="28">
        <v>1.3605</v>
      </c>
      <c r="C3706" s="28">
        <v>2982069014.25</v>
      </c>
    </row>
    <row r="3707" spans="1:3" ht="15.5">
      <c r="A3707" s="29">
        <v>39246</v>
      </c>
      <c r="B3707" s="28">
        <v>1.3413999999999999</v>
      </c>
      <c r="C3707" s="28">
        <v>2940215414.0500002</v>
      </c>
    </row>
    <row r="3708" spans="1:3" ht="15.5">
      <c r="A3708" s="29">
        <v>39245</v>
      </c>
      <c r="B3708" s="28">
        <v>1.3366</v>
      </c>
      <c r="C3708" s="28">
        <v>2929752014</v>
      </c>
    </row>
    <row r="3709" spans="1:3" ht="15.5">
      <c r="A3709" s="29">
        <v>39241</v>
      </c>
      <c r="B3709" s="28">
        <v>1.3223</v>
      </c>
      <c r="C3709" s="28">
        <v>2898361813.8499999</v>
      </c>
    </row>
    <row r="3710" spans="1:3" ht="15.5">
      <c r="A3710" s="29">
        <v>39240</v>
      </c>
      <c r="B3710" s="28">
        <v>1.3462000000000001</v>
      </c>
      <c r="C3710" s="28">
        <v>2950678814.0999999</v>
      </c>
    </row>
    <row r="3711" spans="1:3" ht="15.5">
      <c r="A3711" s="29">
        <v>39239</v>
      </c>
      <c r="B3711" s="28">
        <v>1.3987000000000001</v>
      </c>
      <c r="C3711" s="28">
        <v>3065776214.6500001</v>
      </c>
    </row>
    <row r="3712" spans="1:3" ht="15.5">
      <c r="A3712" s="29">
        <v>39238</v>
      </c>
      <c r="B3712" s="28">
        <v>1.4607000000000001</v>
      </c>
      <c r="C3712" s="28">
        <v>3201800415.3000002</v>
      </c>
    </row>
    <row r="3713" spans="1:3" ht="15.5">
      <c r="A3713" s="29">
        <v>39237</v>
      </c>
      <c r="B3713" s="28">
        <v>1.4655</v>
      </c>
      <c r="C3713" s="28">
        <v>3212263815.3499999</v>
      </c>
    </row>
    <row r="3714" spans="1:3" ht="15.5">
      <c r="A3714" s="29">
        <v>39234</v>
      </c>
      <c r="B3714" s="28">
        <v>1.4417</v>
      </c>
      <c r="C3714" s="28">
        <v>3159946815.0999999</v>
      </c>
    </row>
    <row r="3715" spans="1:3" ht="15.5">
      <c r="A3715" s="29">
        <v>39233</v>
      </c>
      <c r="B3715" s="28">
        <v>1.456</v>
      </c>
      <c r="C3715" s="28">
        <v>3191337015.25</v>
      </c>
    </row>
    <row r="3716" spans="1:3" ht="15.5">
      <c r="A3716" s="29">
        <v>39232</v>
      </c>
      <c r="B3716" s="28">
        <v>1.4226000000000001</v>
      </c>
      <c r="C3716" s="28">
        <v>3118093214.9000001</v>
      </c>
    </row>
    <row r="3717" spans="1:3" ht="15.5">
      <c r="A3717" s="29">
        <v>39231</v>
      </c>
      <c r="B3717" s="28">
        <v>1.4177999999999999</v>
      </c>
      <c r="C3717" s="28">
        <v>3107629814.8499999</v>
      </c>
    </row>
    <row r="3718" spans="1:3" ht="15.5">
      <c r="A3718" s="29">
        <v>39230</v>
      </c>
      <c r="B3718" s="28">
        <v>1.4035</v>
      </c>
      <c r="C3718" s="28">
        <v>3076239614.6999998</v>
      </c>
    </row>
    <row r="3719" spans="1:3" ht="15.5">
      <c r="A3719" s="29">
        <v>39227</v>
      </c>
      <c r="B3719" s="28">
        <v>1.4177999999999999</v>
      </c>
      <c r="C3719" s="28">
        <v>3107629814.8499999</v>
      </c>
    </row>
    <row r="3720" spans="1:3" ht="15.5">
      <c r="A3720" s="29">
        <v>39226</v>
      </c>
      <c r="B3720" s="28">
        <v>1.4081999999999999</v>
      </c>
      <c r="C3720" s="28">
        <v>3086703014.75</v>
      </c>
    </row>
    <row r="3721" spans="1:3" ht="15.5">
      <c r="A3721" s="29">
        <v>39225</v>
      </c>
      <c r="B3721" s="28">
        <v>1.4035</v>
      </c>
      <c r="C3721" s="28">
        <v>3076239614.6999998</v>
      </c>
    </row>
    <row r="3722" spans="1:3" ht="15.5">
      <c r="A3722" s="29">
        <v>39224</v>
      </c>
      <c r="B3722" s="28">
        <v>1.3891</v>
      </c>
      <c r="C3722" s="28">
        <v>3044849414.5500002</v>
      </c>
    </row>
    <row r="3723" spans="1:3" ht="15.5">
      <c r="A3723" s="29">
        <v>39223</v>
      </c>
      <c r="B3723" s="28">
        <v>1.4177999999999999</v>
      </c>
      <c r="C3723" s="28">
        <v>3107629814.8499999</v>
      </c>
    </row>
    <row r="3724" spans="1:3" ht="15.5">
      <c r="A3724" s="29">
        <v>39220</v>
      </c>
      <c r="B3724" s="28">
        <v>1.413</v>
      </c>
      <c r="C3724" s="28">
        <v>3097166414.8000002</v>
      </c>
    </row>
    <row r="3725" spans="1:3" ht="15.5">
      <c r="A3725" s="29">
        <v>39219</v>
      </c>
      <c r="B3725" s="28">
        <v>1.4177999999999999</v>
      </c>
      <c r="C3725" s="28">
        <v>3107629814.8499999</v>
      </c>
    </row>
    <row r="3726" spans="1:3" ht="15.5">
      <c r="A3726" s="29">
        <v>39218</v>
      </c>
      <c r="B3726" s="28">
        <v>1.3891</v>
      </c>
      <c r="C3726" s="28">
        <v>3044849414.5500002</v>
      </c>
    </row>
    <row r="3727" spans="1:3" ht="15.5">
      <c r="A3727" s="29">
        <v>39217</v>
      </c>
      <c r="B3727" s="28">
        <v>1.4035</v>
      </c>
      <c r="C3727" s="28">
        <v>3076239614.6999998</v>
      </c>
    </row>
    <row r="3728" spans="1:3" ht="15.5">
      <c r="A3728" s="29">
        <v>39216</v>
      </c>
      <c r="B3728" s="28">
        <v>1.3938999999999999</v>
      </c>
      <c r="C3728" s="28">
        <v>3055312814.5999999</v>
      </c>
    </row>
    <row r="3729" spans="1:3" ht="15.5">
      <c r="A3729" s="29">
        <v>39213</v>
      </c>
      <c r="B3729" s="28">
        <v>1.3987000000000001</v>
      </c>
      <c r="C3729" s="28">
        <v>3065776214.6500001</v>
      </c>
    </row>
    <row r="3730" spans="1:3" ht="15.5">
      <c r="A3730" s="29">
        <v>39212</v>
      </c>
      <c r="B3730" s="28">
        <v>1.4177999999999999</v>
      </c>
      <c r="C3730" s="28">
        <v>3107629814.8499999</v>
      </c>
    </row>
    <row r="3731" spans="1:3" ht="15.5">
      <c r="A3731" s="29">
        <v>39211</v>
      </c>
      <c r="B3731" s="28">
        <v>1.4226000000000001</v>
      </c>
      <c r="C3731" s="28">
        <v>3118093214.9000001</v>
      </c>
    </row>
    <row r="3732" spans="1:3" ht="15.5">
      <c r="A3732" s="29">
        <v>39210</v>
      </c>
      <c r="B3732" s="28">
        <v>1.4177999999999999</v>
      </c>
      <c r="C3732" s="28">
        <v>3107629814.8499999</v>
      </c>
    </row>
    <row r="3733" spans="1:3" ht="15.5">
      <c r="A3733" s="29">
        <v>39209</v>
      </c>
      <c r="B3733" s="28">
        <v>1.4273</v>
      </c>
      <c r="C3733" s="28">
        <v>3128556614.9499998</v>
      </c>
    </row>
    <row r="3734" spans="1:3" ht="15.5">
      <c r="A3734" s="29">
        <v>39206</v>
      </c>
      <c r="B3734" s="28">
        <v>1.4226000000000001</v>
      </c>
      <c r="C3734" s="28">
        <v>3118093214.9000001</v>
      </c>
    </row>
    <row r="3735" spans="1:3" ht="15.5">
      <c r="A3735" s="29">
        <v>39205</v>
      </c>
      <c r="B3735" s="28">
        <v>1.4177999999999999</v>
      </c>
      <c r="C3735" s="28">
        <v>3107629814.8499999</v>
      </c>
    </row>
    <row r="3736" spans="1:3" ht="15.5">
      <c r="A3736" s="29">
        <v>39204</v>
      </c>
      <c r="B3736" s="28">
        <v>1.4226000000000001</v>
      </c>
      <c r="C3736" s="28">
        <v>3118093214.9000001</v>
      </c>
    </row>
    <row r="3737" spans="1:3" ht="15.5">
      <c r="A3737" s="29">
        <v>39203</v>
      </c>
      <c r="B3737" s="28">
        <v>1.413</v>
      </c>
      <c r="C3737" s="28">
        <v>3097166414.8000002</v>
      </c>
    </row>
    <row r="3738" spans="1:3" ht="15.5">
      <c r="A3738" s="29">
        <v>39202</v>
      </c>
      <c r="B3738" s="28">
        <v>1.4081999999999999</v>
      </c>
      <c r="C3738" s="28">
        <v>3086703014.75</v>
      </c>
    </row>
    <row r="3739" spans="1:3" ht="15.5">
      <c r="A3739" s="29">
        <v>39199</v>
      </c>
      <c r="B3739" s="28">
        <v>1.3938999999999999</v>
      </c>
      <c r="C3739" s="28">
        <v>3055312814.5999999</v>
      </c>
    </row>
    <row r="3740" spans="1:3" ht="15.5">
      <c r="A3740" s="29">
        <v>39198</v>
      </c>
      <c r="B3740" s="28">
        <v>1.3987000000000001</v>
      </c>
      <c r="C3740" s="28">
        <v>3065776214.6500001</v>
      </c>
    </row>
    <row r="3741" spans="1:3" ht="15.5">
      <c r="A3741" s="29">
        <v>39196</v>
      </c>
      <c r="B3741" s="28">
        <v>1.4177999999999999</v>
      </c>
      <c r="C3741" s="28">
        <v>3107629814.8499999</v>
      </c>
    </row>
    <row r="3742" spans="1:3" ht="15.5">
      <c r="A3742" s="29">
        <v>39195</v>
      </c>
      <c r="B3742" s="28">
        <v>1.4035</v>
      </c>
      <c r="C3742" s="28">
        <v>3076239614.6999998</v>
      </c>
    </row>
    <row r="3743" spans="1:3" ht="15.5">
      <c r="A3743" s="29">
        <v>39192</v>
      </c>
      <c r="B3743" s="28">
        <v>1.3987000000000001</v>
      </c>
      <c r="C3743" s="28">
        <v>3065776214.6500001</v>
      </c>
    </row>
    <row r="3744" spans="1:3" ht="15.5">
      <c r="A3744" s="29">
        <v>39191</v>
      </c>
      <c r="B3744" s="28">
        <v>1.37</v>
      </c>
      <c r="C3744" s="28">
        <v>3002995814.3499999</v>
      </c>
    </row>
    <row r="3745" spans="1:3" ht="15.5">
      <c r="A3745" s="29">
        <v>39190</v>
      </c>
      <c r="B3745" s="28">
        <v>1.3748</v>
      </c>
      <c r="C3745" s="28">
        <v>3013459214.4000001</v>
      </c>
    </row>
    <row r="3746" spans="1:3" ht="15.5">
      <c r="A3746" s="29">
        <v>39189</v>
      </c>
      <c r="B3746" s="28">
        <v>1.3748</v>
      </c>
      <c r="C3746" s="28">
        <v>3013459214.4000001</v>
      </c>
    </row>
    <row r="3747" spans="1:3" ht="15.5">
      <c r="A3747" s="29">
        <v>39188</v>
      </c>
      <c r="B3747" s="28">
        <v>1.3556999999999999</v>
      </c>
      <c r="C3747" s="28">
        <v>2971605614.1999998</v>
      </c>
    </row>
    <row r="3748" spans="1:3" ht="15.5">
      <c r="A3748" s="29">
        <v>39185</v>
      </c>
      <c r="B3748" s="28">
        <v>1.3462000000000001</v>
      </c>
      <c r="C3748" s="28">
        <v>2950678814.0999999</v>
      </c>
    </row>
    <row r="3749" spans="1:3" ht="15.5">
      <c r="A3749" s="29">
        <v>39184</v>
      </c>
      <c r="B3749" s="28">
        <v>1.3462000000000001</v>
      </c>
      <c r="C3749" s="28">
        <v>2950678814.0999999</v>
      </c>
    </row>
    <row r="3750" spans="1:3" ht="15.5">
      <c r="A3750" s="29">
        <v>39183</v>
      </c>
      <c r="B3750" s="28">
        <v>1.3319000000000001</v>
      </c>
      <c r="C3750" s="28">
        <v>2919288613.9499998</v>
      </c>
    </row>
    <row r="3751" spans="1:3" ht="15.5">
      <c r="A3751" s="29">
        <v>39182</v>
      </c>
      <c r="B3751" s="28">
        <v>1.3748</v>
      </c>
      <c r="C3751" s="28">
        <v>3013459214.4000001</v>
      </c>
    </row>
    <row r="3752" spans="1:3" ht="15.5">
      <c r="A3752" s="29">
        <v>39177</v>
      </c>
      <c r="B3752" s="28">
        <v>1.3462000000000001</v>
      </c>
      <c r="C3752" s="28">
        <v>2950678814.0999999</v>
      </c>
    </row>
    <row r="3753" spans="1:3" ht="15.5">
      <c r="A3753" s="29">
        <v>39176</v>
      </c>
      <c r="B3753" s="28">
        <v>1.3653</v>
      </c>
      <c r="C3753" s="28">
        <v>2992532414.3000002</v>
      </c>
    </row>
    <row r="3754" spans="1:3" ht="15.5">
      <c r="A3754" s="29">
        <v>39175</v>
      </c>
      <c r="B3754" s="28">
        <v>1.3556999999999999</v>
      </c>
      <c r="C3754" s="28">
        <v>2971605614.1999998</v>
      </c>
    </row>
    <row r="3755" spans="1:3" ht="15.5">
      <c r="A3755" s="29">
        <v>39174</v>
      </c>
      <c r="B3755" s="28">
        <v>1.351</v>
      </c>
      <c r="C3755" s="28">
        <v>2961142214.1500001</v>
      </c>
    </row>
    <row r="3756" spans="1:3" ht="15.5">
      <c r="A3756" s="29">
        <v>39171</v>
      </c>
      <c r="B3756" s="28">
        <v>1.3556999999999999</v>
      </c>
      <c r="C3756" s="28" t="s">
        <v>1136</v>
      </c>
    </row>
    <row r="3757" spans="1:3" ht="15.5">
      <c r="A3757" s="29">
        <v>39170</v>
      </c>
      <c r="B3757" s="28">
        <v>1.37</v>
      </c>
      <c r="C3757" s="28" t="s">
        <v>1136</v>
      </c>
    </row>
    <row r="3758" spans="1:3" ht="15.5">
      <c r="A3758" s="29">
        <v>39169</v>
      </c>
      <c r="B3758" s="28">
        <v>1.3748</v>
      </c>
      <c r="C3758" s="28" t="s">
        <v>1136</v>
      </c>
    </row>
    <row r="3759" spans="1:3" ht="15.5">
      <c r="A3759" s="29">
        <v>39168</v>
      </c>
      <c r="B3759" s="28">
        <v>1.3748</v>
      </c>
      <c r="C3759" s="28" t="s">
        <v>1136</v>
      </c>
    </row>
    <row r="3760" spans="1:3" ht="15.5">
      <c r="A3760" s="29">
        <v>39167</v>
      </c>
      <c r="B3760" s="28">
        <v>1.3748</v>
      </c>
      <c r="C3760" s="28" t="s">
        <v>1136</v>
      </c>
    </row>
    <row r="3761" spans="1:3" ht="15.5">
      <c r="A3761" s="29">
        <v>39164</v>
      </c>
      <c r="B3761" s="28">
        <v>1.37</v>
      </c>
      <c r="C3761" s="28" t="s">
        <v>1136</v>
      </c>
    </row>
    <row r="3762" spans="1:3" ht="15.5">
      <c r="A3762" s="29">
        <v>39163</v>
      </c>
      <c r="B3762" s="28">
        <v>1.3653</v>
      </c>
      <c r="C3762" s="28" t="s">
        <v>1136</v>
      </c>
    </row>
    <row r="3763" spans="1:3" ht="15.5">
      <c r="A3763" s="29">
        <v>39162</v>
      </c>
      <c r="B3763" s="28">
        <v>1.3605</v>
      </c>
      <c r="C3763" s="28" t="s">
        <v>1136</v>
      </c>
    </row>
    <row r="3764" spans="1:3" ht="15.5">
      <c r="A3764" s="29">
        <v>39161</v>
      </c>
      <c r="B3764" s="28">
        <v>1.3605</v>
      </c>
      <c r="C3764" s="28" t="s">
        <v>1136</v>
      </c>
    </row>
    <row r="3765" spans="1:3" ht="15.5">
      <c r="A3765" s="29">
        <v>39160</v>
      </c>
      <c r="B3765" s="28">
        <v>1.3556999999999999</v>
      </c>
      <c r="C3765" s="28" t="s">
        <v>1136</v>
      </c>
    </row>
    <row r="3766" spans="1:3" ht="15.5">
      <c r="A3766" s="29">
        <v>39157</v>
      </c>
      <c r="B3766" s="28">
        <v>1.3413999999999999</v>
      </c>
      <c r="C3766" s="28" t="s">
        <v>1136</v>
      </c>
    </row>
    <row r="3767" spans="1:3" ht="15.5">
      <c r="A3767" s="29">
        <v>39156</v>
      </c>
      <c r="B3767" s="28">
        <v>1.3462000000000001</v>
      </c>
      <c r="C3767" s="28" t="s">
        <v>1136</v>
      </c>
    </row>
    <row r="3768" spans="1:3" ht="15.5">
      <c r="A3768" s="29">
        <v>39155</v>
      </c>
      <c r="B3768" s="28">
        <v>1.3319000000000001</v>
      </c>
      <c r="C3768" s="28" t="s">
        <v>1136</v>
      </c>
    </row>
    <row r="3769" spans="1:3" ht="15.5">
      <c r="A3769" s="29">
        <v>39154</v>
      </c>
      <c r="B3769" s="28">
        <v>1.3413999999999999</v>
      </c>
      <c r="C3769" s="28" t="s">
        <v>1136</v>
      </c>
    </row>
    <row r="3770" spans="1:3" ht="15.5">
      <c r="A3770" s="29">
        <v>39153</v>
      </c>
      <c r="B3770" s="28">
        <v>1.351</v>
      </c>
      <c r="C3770" s="28" t="s">
        <v>1136</v>
      </c>
    </row>
    <row r="3771" spans="1:3" ht="15.5">
      <c r="A3771" s="29">
        <v>39150</v>
      </c>
      <c r="B3771" s="28">
        <v>1.3605</v>
      </c>
      <c r="C3771" s="28" t="s">
        <v>1136</v>
      </c>
    </row>
    <row r="3772" spans="1:3" ht="15.5">
      <c r="A3772" s="29">
        <v>39149</v>
      </c>
      <c r="B3772" s="28">
        <v>1.3653</v>
      </c>
      <c r="C3772" s="28" t="s">
        <v>1136</v>
      </c>
    </row>
    <row r="3773" spans="1:3" ht="15.5">
      <c r="A3773" s="29">
        <v>39148</v>
      </c>
      <c r="B3773" s="28">
        <v>1.351</v>
      </c>
      <c r="C3773" s="28" t="s">
        <v>1136</v>
      </c>
    </row>
    <row r="3774" spans="1:3" ht="15.5">
      <c r="A3774" s="29">
        <v>39147</v>
      </c>
      <c r="B3774" s="28">
        <v>1.351</v>
      </c>
      <c r="C3774" s="28" t="s">
        <v>1136</v>
      </c>
    </row>
    <row r="3775" spans="1:3" ht="15.5">
      <c r="A3775" s="29">
        <v>39146</v>
      </c>
      <c r="B3775" s="28">
        <v>1.3080000000000001</v>
      </c>
      <c r="C3775" s="28" t="s">
        <v>1136</v>
      </c>
    </row>
    <row r="3776" spans="1:3" ht="15.5">
      <c r="A3776" s="29">
        <v>39143</v>
      </c>
      <c r="B3776" s="28">
        <v>1.3319000000000001</v>
      </c>
      <c r="C3776" s="28" t="s">
        <v>1136</v>
      </c>
    </row>
    <row r="3777" spans="1:3" ht="15.5">
      <c r="A3777" s="29">
        <v>39142</v>
      </c>
      <c r="B3777" s="28">
        <v>1.3223</v>
      </c>
      <c r="C3777" s="28" t="s">
        <v>1136</v>
      </c>
    </row>
    <row r="3778" spans="1:3" ht="15.5">
      <c r="A3778" s="29">
        <v>39141</v>
      </c>
      <c r="B3778" s="28">
        <v>1.3031999999999999</v>
      </c>
      <c r="C3778" s="28" t="s">
        <v>1136</v>
      </c>
    </row>
    <row r="3779" spans="1:3" ht="15.5">
      <c r="A3779" s="29">
        <v>39140</v>
      </c>
      <c r="B3779" s="28">
        <v>1.3223</v>
      </c>
      <c r="C3779" s="28" t="s">
        <v>1136</v>
      </c>
    </row>
    <row r="3780" spans="1:3" ht="15.5">
      <c r="A3780" s="29">
        <v>39139</v>
      </c>
      <c r="B3780" s="28">
        <v>1.3366</v>
      </c>
      <c r="C3780" s="28" t="s">
        <v>1136</v>
      </c>
    </row>
    <row r="3781" spans="1:3" ht="15.5">
      <c r="A3781" s="29">
        <v>39136</v>
      </c>
      <c r="B3781" s="28">
        <v>1.3366</v>
      </c>
      <c r="C3781" s="28" t="s">
        <v>1136</v>
      </c>
    </row>
    <row r="3782" spans="1:3" ht="15.5">
      <c r="A3782" s="29">
        <v>39135</v>
      </c>
      <c r="B3782" s="28">
        <v>1.3366</v>
      </c>
      <c r="C3782" s="28" t="s">
        <v>1136</v>
      </c>
    </row>
    <row r="3783" spans="1:3" ht="15.5">
      <c r="A3783" s="29">
        <v>39134</v>
      </c>
      <c r="B3783" s="28">
        <v>1.3319000000000001</v>
      </c>
      <c r="C3783" s="28" t="s">
        <v>1136</v>
      </c>
    </row>
    <row r="3784" spans="1:3" ht="15.5">
      <c r="A3784" s="29">
        <v>39133</v>
      </c>
      <c r="B3784" s="28">
        <v>1.3270999999999999</v>
      </c>
      <c r="C3784" s="28" t="s">
        <v>1136</v>
      </c>
    </row>
    <row r="3785" spans="1:3" ht="15.5">
      <c r="A3785" s="29">
        <v>39132</v>
      </c>
      <c r="B3785" s="28">
        <v>1.3319000000000001</v>
      </c>
      <c r="C3785" s="28" t="s">
        <v>1136</v>
      </c>
    </row>
    <row r="3786" spans="1:3" ht="15.5">
      <c r="A3786" s="29">
        <v>39129</v>
      </c>
      <c r="B3786" s="28">
        <v>1.3366</v>
      </c>
      <c r="C3786" s="28" t="s">
        <v>1136</v>
      </c>
    </row>
    <row r="3787" spans="1:3" ht="15.5">
      <c r="A3787" s="29">
        <v>39128</v>
      </c>
      <c r="B3787" s="28">
        <v>1.3413999999999999</v>
      </c>
      <c r="C3787" s="28" t="s">
        <v>1136</v>
      </c>
    </row>
    <row r="3788" spans="1:3" ht="15.5">
      <c r="A3788" s="29">
        <v>39127</v>
      </c>
      <c r="B3788" s="28">
        <v>1.3270999999999999</v>
      </c>
      <c r="C3788" s="28" t="s">
        <v>1136</v>
      </c>
    </row>
    <row r="3789" spans="1:3" ht="15.5">
      <c r="A3789" s="29">
        <v>39126</v>
      </c>
      <c r="B3789" s="28">
        <v>1.3413999999999999</v>
      </c>
      <c r="C3789" s="28" t="s">
        <v>1136</v>
      </c>
    </row>
    <row r="3790" spans="1:3" ht="15.5">
      <c r="A3790" s="29">
        <v>39125</v>
      </c>
      <c r="B3790" s="28">
        <v>1.3270999999999999</v>
      </c>
      <c r="C3790" s="28" t="s">
        <v>1136</v>
      </c>
    </row>
    <row r="3791" spans="1:3" ht="15.5">
      <c r="A3791" s="29">
        <v>39122</v>
      </c>
      <c r="B3791" s="28">
        <v>1.3366</v>
      </c>
      <c r="C3791" s="28" t="s">
        <v>1136</v>
      </c>
    </row>
    <row r="3792" spans="1:3" ht="15.5">
      <c r="A3792" s="29">
        <v>39121</v>
      </c>
      <c r="B3792" s="28">
        <v>1.3366</v>
      </c>
      <c r="C3792" s="28" t="s">
        <v>1136</v>
      </c>
    </row>
    <row r="3793" spans="1:3" ht="15.5">
      <c r="A3793" s="29">
        <v>39120</v>
      </c>
      <c r="B3793" s="28">
        <v>1.3319000000000001</v>
      </c>
      <c r="C3793" s="28" t="s">
        <v>1136</v>
      </c>
    </row>
    <row r="3794" spans="1:3" ht="15.5">
      <c r="A3794" s="29">
        <v>39119</v>
      </c>
      <c r="B3794" s="28">
        <v>1.3462000000000001</v>
      </c>
      <c r="C3794" s="28" t="s">
        <v>1136</v>
      </c>
    </row>
    <row r="3795" spans="1:3" ht="15.5">
      <c r="A3795" s="29">
        <v>39118</v>
      </c>
      <c r="B3795" s="28">
        <v>1.3366</v>
      </c>
      <c r="C3795" s="28" t="s">
        <v>1136</v>
      </c>
    </row>
    <row r="3796" spans="1:3" ht="15.5">
      <c r="A3796" s="29">
        <v>39115</v>
      </c>
      <c r="B3796" s="28">
        <v>1.3462000000000001</v>
      </c>
      <c r="C3796" s="28" t="s">
        <v>1136</v>
      </c>
    </row>
    <row r="3797" spans="1:3" ht="15.5">
      <c r="A3797" s="29">
        <v>39114</v>
      </c>
      <c r="B3797" s="28">
        <v>1.3462000000000001</v>
      </c>
      <c r="C3797" s="28" t="s">
        <v>1136</v>
      </c>
    </row>
    <row r="3798" spans="1:3" ht="15.5">
      <c r="A3798" s="29">
        <v>39113</v>
      </c>
      <c r="B3798" s="28">
        <v>1.3413999999999999</v>
      </c>
      <c r="C3798" s="28" t="s">
        <v>1136</v>
      </c>
    </row>
    <row r="3799" spans="1:3" ht="15.5">
      <c r="A3799" s="29">
        <v>39112</v>
      </c>
      <c r="B3799" s="28">
        <v>1.351</v>
      </c>
      <c r="C3799" s="28" t="s">
        <v>1136</v>
      </c>
    </row>
    <row r="3800" spans="1:3" ht="15.5">
      <c r="A3800" s="29">
        <v>39111</v>
      </c>
      <c r="B3800" s="28">
        <v>1.3462000000000001</v>
      </c>
      <c r="C3800" s="28" t="s">
        <v>1136</v>
      </c>
    </row>
    <row r="3801" spans="1:3" ht="15.5">
      <c r="A3801" s="29">
        <v>39107</v>
      </c>
      <c r="B3801" s="28">
        <v>1.351</v>
      </c>
      <c r="C3801" s="28" t="s">
        <v>1136</v>
      </c>
    </row>
    <row r="3802" spans="1:3" ht="15.5">
      <c r="A3802" s="29">
        <v>39106</v>
      </c>
      <c r="B3802" s="28">
        <v>1.3556999999999999</v>
      </c>
      <c r="C3802" s="28" t="s">
        <v>1136</v>
      </c>
    </row>
    <row r="3803" spans="1:3" ht="15.5">
      <c r="A3803" s="29">
        <v>39105</v>
      </c>
      <c r="B3803" s="28">
        <v>1.3462000000000001</v>
      </c>
      <c r="C3803" s="28" t="s">
        <v>1136</v>
      </c>
    </row>
    <row r="3804" spans="1:3" ht="15.5">
      <c r="A3804" s="29">
        <v>39104</v>
      </c>
      <c r="B3804" s="28">
        <v>1.3413999999999999</v>
      </c>
      <c r="C3804" s="28" t="s">
        <v>1136</v>
      </c>
    </row>
    <row r="3805" spans="1:3" ht="15.5">
      <c r="A3805" s="29">
        <v>39101</v>
      </c>
      <c r="B3805" s="28">
        <v>1.351</v>
      </c>
      <c r="C3805" s="28" t="s">
        <v>1136</v>
      </c>
    </row>
    <row r="3806" spans="1:3" ht="15.5">
      <c r="A3806" s="29">
        <v>39100</v>
      </c>
      <c r="B3806" s="28">
        <v>1.3413999999999999</v>
      </c>
      <c r="C3806" s="28" t="s">
        <v>1136</v>
      </c>
    </row>
    <row r="3807" spans="1:3" ht="15.5">
      <c r="A3807" s="29">
        <v>39099</v>
      </c>
      <c r="B3807" s="28">
        <v>1.3462000000000001</v>
      </c>
      <c r="C3807" s="28" t="s">
        <v>1136</v>
      </c>
    </row>
    <row r="3808" spans="1:3" ht="15.5">
      <c r="A3808" s="29">
        <v>39098</v>
      </c>
      <c r="B3808" s="28">
        <v>1.3366</v>
      </c>
      <c r="C3808" s="28" t="s">
        <v>1136</v>
      </c>
    </row>
    <row r="3809" spans="1:3" ht="15.5">
      <c r="A3809" s="29">
        <v>39097</v>
      </c>
      <c r="B3809" s="28">
        <v>1.3319000000000001</v>
      </c>
      <c r="C3809" s="28" t="s">
        <v>1136</v>
      </c>
    </row>
    <row r="3810" spans="1:3" ht="15.5">
      <c r="A3810" s="29">
        <v>39094</v>
      </c>
      <c r="B3810" s="28">
        <v>1.3223</v>
      </c>
      <c r="C3810" s="28" t="s">
        <v>1136</v>
      </c>
    </row>
    <row r="3811" spans="1:3" ht="15.5">
      <c r="A3811" s="29">
        <v>39093</v>
      </c>
      <c r="B3811" s="28">
        <v>1.3174999999999999</v>
      </c>
      <c r="C3811" s="28" t="s">
        <v>1136</v>
      </c>
    </row>
    <row r="3812" spans="1:3" ht="15.5">
      <c r="A3812" s="29">
        <v>39092</v>
      </c>
      <c r="B3812" s="28">
        <v>1.3128</v>
      </c>
      <c r="C3812" s="28" t="s">
        <v>1136</v>
      </c>
    </row>
    <row r="3813" spans="1:3" ht="15.5">
      <c r="A3813" s="29">
        <v>39091</v>
      </c>
      <c r="B3813" s="28">
        <v>1.3174999999999999</v>
      </c>
      <c r="C3813" s="28" t="s">
        <v>1136</v>
      </c>
    </row>
    <row r="3814" spans="1:3" ht="15.5">
      <c r="A3814" s="29">
        <v>39090</v>
      </c>
      <c r="B3814" s="28">
        <v>1.2984</v>
      </c>
      <c r="C3814" s="28" t="s">
        <v>1136</v>
      </c>
    </row>
    <row r="3815" spans="1:3" ht="15.5">
      <c r="A3815" s="29">
        <v>39087</v>
      </c>
      <c r="B3815" s="28">
        <v>1.2984</v>
      </c>
      <c r="C3815" s="28" t="s">
        <v>1136</v>
      </c>
    </row>
    <row r="3816" spans="1:3" ht="15.5">
      <c r="A3816" s="29">
        <v>39086</v>
      </c>
      <c r="B3816" s="28">
        <v>1.2984</v>
      </c>
      <c r="C3816" s="28" t="s">
        <v>1136</v>
      </c>
    </row>
    <row r="3817" spans="1:3" ht="15.5">
      <c r="A3817" s="29">
        <v>39085</v>
      </c>
      <c r="B3817" s="28">
        <v>1.2937000000000001</v>
      </c>
      <c r="C3817" s="28" t="s">
        <v>1136</v>
      </c>
    </row>
    <row r="3818" spans="1:3" ht="15.5">
      <c r="A3818" s="29">
        <v>39084</v>
      </c>
      <c r="B3818" s="28">
        <v>1.2888999999999999</v>
      </c>
      <c r="C3818" s="28" t="s">
        <v>1136</v>
      </c>
    </row>
    <row r="3819" spans="1:3" ht="15.5">
      <c r="A3819" s="29">
        <v>39080</v>
      </c>
      <c r="B3819" s="28">
        <v>1.2793000000000001</v>
      </c>
      <c r="C3819" s="28" t="s">
        <v>1136</v>
      </c>
    </row>
    <row r="3820" spans="1:3" ht="15.5">
      <c r="A3820" s="29">
        <v>39079</v>
      </c>
      <c r="B3820" s="28">
        <v>1.2888999999999999</v>
      </c>
      <c r="C3820" s="28" t="s">
        <v>1136</v>
      </c>
    </row>
    <row r="3821" spans="1:3" ht="15.5">
      <c r="A3821" s="29">
        <v>39078</v>
      </c>
      <c r="B3821" s="28">
        <v>1.2841</v>
      </c>
      <c r="C3821" s="28" t="s">
        <v>1136</v>
      </c>
    </row>
    <row r="3822" spans="1:3" ht="15.5">
      <c r="A3822" s="29">
        <v>39073</v>
      </c>
      <c r="B3822" s="28">
        <v>1.2937000000000001</v>
      </c>
      <c r="C3822" s="28" t="s">
        <v>1136</v>
      </c>
    </row>
    <row r="3823" spans="1:3" ht="15.5">
      <c r="A3823" s="29">
        <v>39072</v>
      </c>
      <c r="B3823" s="28">
        <v>1.2888999999999999</v>
      </c>
      <c r="C3823" s="28" t="s">
        <v>1136</v>
      </c>
    </row>
    <row r="3824" spans="1:3" ht="15.5">
      <c r="A3824" s="29">
        <v>39071</v>
      </c>
      <c r="B3824" s="28">
        <v>1.2937000000000001</v>
      </c>
      <c r="C3824" s="28" t="s">
        <v>1136</v>
      </c>
    </row>
    <row r="3825" spans="1:3" ht="15.5">
      <c r="A3825" s="29">
        <v>39070</v>
      </c>
      <c r="B3825" s="28">
        <v>1.2841</v>
      </c>
      <c r="C3825" s="28" t="s">
        <v>1136</v>
      </c>
    </row>
    <row r="3826" spans="1:3" ht="15.5">
      <c r="A3826" s="29">
        <v>39069</v>
      </c>
      <c r="B3826" s="28">
        <v>1.2793000000000001</v>
      </c>
      <c r="C3826" s="28" t="s">
        <v>1136</v>
      </c>
    </row>
    <row r="3827" spans="1:3" ht="15.5">
      <c r="A3827" s="29">
        <v>39066</v>
      </c>
      <c r="B3827" s="28">
        <v>1.2793000000000001</v>
      </c>
      <c r="C3827" s="28" t="s">
        <v>1136</v>
      </c>
    </row>
    <row r="3828" spans="1:3" ht="15.5">
      <c r="A3828" s="29">
        <v>39065</v>
      </c>
      <c r="B3828" s="28">
        <v>1.2841</v>
      </c>
      <c r="C3828" s="28" t="s">
        <v>1136</v>
      </c>
    </row>
    <row r="3829" spans="1:3" ht="15.5">
      <c r="A3829" s="29">
        <v>39064</v>
      </c>
      <c r="B3829" s="28">
        <v>1.2888999999999999</v>
      </c>
      <c r="C3829" s="28" t="s">
        <v>1136</v>
      </c>
    </row>
    <row r="3830" spans="1:3" ht="15.5">
      <c r="A3830" s="29">
        <v>39063</v>
      </c>
      <c r="B3830" s="28">
        <v>1.2937000000000001</v>
      </c>
      <c r="C3830" s="28" t="s">
        <v>1136</v>
      </c>
    </row>
    <row r="3831" spans="1:3" ht="15.5">
      <c r="A3831" s="29">
        <v>39062</v>
      </c>
      <c r="B3831" s="28">
        <v>1.2888999999999999</v>
      </c>
      <c r="C3831" s="28" t="s">
        <v>1136</v>
      </c>
    </row>
    <row r="3832" spans="1:3" ht="15.5">
      <c r="A3832" s="29">
        <v>39059</v>
      </c>
      <c r="B3832" s="28">
        <v>1.2793000000000001</v>
      </c>
      <c r="C3832" s="28" t="s">
        <v>1136</v>
      </c>
    </row>
    <row r="3833" spans="1:3" ht="15.5">
      <c r="A3833" s="29">
        <v>39058</v>
      </c>
      <c r="B3833" s="28">
        <v>1.2603</v>
      </c>
      <c r="C3833" s="28" t="s">
        <v>1136</v>
      </c>
    </row>
    <row r="3834" spans="1:3" ht="15.5">
      <c r="A3834" s="29">
        <v>39057</v>
      </c>
      <c r="B3834" s="28">
        <v>1.2603</v>
      </c>
      <c r="C3834" s="28" t="s">
        <v>1136</v>
      </c>
    </row>
    <row r="3835" spans="1:3" ht="15.5">
      <c r="A3835" s="29">
        <v>39056</v>
      </c>
      <c r="B3835" s="28">
        <v>1.2506999999999999</v>
      </c>
      <c r="C3835" s="28" t="s">
        <v>1136</v>
      </c>
    </row>
    <row r="3836" spans="1:3" ht="15.5">
      <c r="A3836" s="29">
        <v>39055</v>
      </c>
      <c r="B3836" s="28">
        <v>1.2412000000000001</v>
      </c>
      <c r="C3836" s="28" t="s">
        <v>1136</v>
      </c>
    </row>
    <row r="3837" spans="1:3" ht="15.5">
      <c r="A3837" s="29">
        <v>39052</v>
      </c>
      <c r="B3837" s="28">
        <v>1.2459</v>
      </c>
      <c r="C3837" s="28" t="s">
        <v>1136</v>
      </c>
    </row>
    <row r="3838" spans="1:3" ht="15.5">
      <c r="A3838" s="29">
        <v>39051</v>
      </c>
      <c r="B3838" s="28">
        <v>1.2363999999999999</v>
      </c>
      <c r="C3838" s="28" t="s">
        <v>1136</v>
      </c>
    </row>
    <row r="3839" spans="1:3" ht="15.5">
      <c r="A3839" s="29">
        <v>39050</v>
      </c>
      <c r="B3839" s="28">
        <v>1.2221</v>
      </c>
      <c r="C3839" s="28" t="s">
        <v>1136</v>
      </c>
    </row>
    <row r="3840" spans="1:3" ht="15.5">
      <c r="A3840" s="29">
        <v>39049</v>
      </c>
      <c r="B3840" s="28">
        <v>1.2221</v>
      </c>
      <c r="C3840" s="28" t="s">
        <v>1136</v>
      </c>
    </row>
    <row r="3841" spans="1:3" ht="15.5">
      <c r="A3841" s="29">
        <v>39048</v>
      </c>
      <c r="B3841" s="28">
        <v>1.2793000000000001</v>
      </c>
      <c r="C3841" s="28" t="s">
        <v>1136</v>
      </c>
    </row>
    <row r="3842" spans="1:3" ht="15.5">
      <c r="A3842" s="29">
        <v>39045</v>
      </c>
      <c r="B3842" s="28">
        <v>1.2793000000000001</v>
      </c>
      <c r="C3842" s="28" t="s">
        <v>1136</v>
      </c>
    </row>
    <row r="3843" spans="1:3" ht="15.5">
      <c r="A3843" s="29">
        <v>39044</v>
      </c>
      <c r="B3843" s="28">
        <v>1.2746</v>
      </c>
      <c r="C3843" s="28" t="s">
        <v>1136</v>
      </c>
    </row>
    <row r="3844" spans="1:3" ht="15.5">
      <c r="A3844" s="29">
        <v>39043</v>
      </c>
      <c r="B3844" s="28">
        <v>1.2746</v>
      </c>
      <c r="C3844" s="28" t="s">
        <v>1136</v>
      </c>
    </row>
    <row r="3845" spans="1:3" ht="15.5">
      <c r="A3845" s="29">
        <v>39042</v>
      </c>
      <c r="B3845" s="28">
        <v>1.2793000000000001</v>
      </c>
      <c r="C3845" s="28" t="s">
        <v>1136</v>
      </c>
    </row>
    <row r="3846" spans="1:3" ht="15.5">
      <c r="A3846" s="29">
        <v>39041</v>
      </c>
      <c r="B3846" s="28">
        <v>1.2649999999999999</v>
      </c>
      <c r="C3846" s="28" t="s">
        <v>1136</v>
      </c>
    </row>
    <row r="3847" spans="1:3" ht="15.5">
      <c r="A3847" s="29">
        <v>39038</v>
      </c>
      <c r="B3847" s="28">
        <v>1.2841</v>
      </c>
      <c r="C3847" s="28" t="s">
        <v>1136</v>
      </c>
    </row>
    <row r="3848" spans="1:3" ht="15.5">
      <c r="A3848" s="29">
        <v>39037</v>
      </c>
      <c r="B3848" s="28">
        <v>1.2746</v>
      </c>
      <c r="C3848" s="28" t="s">
        <v>1136</v>
      </c>
    </row>
    <row r="3849" spans="1:3" ht="15.5">
      <c r="A3849" s="29">
        <v>39036</v>
      </c>
      <c r="B3849" s="28">
        <v>1.2793000000000001</v>
      </c>
      <c r="C3849" s="28" t="s">
        <v>1136</v>
      </c>
    </row>
    <row r="3850" spans="1:3" ht="15.5">
      <c r="A3850" s="29">
        <v>39035</v>
      </c>
      <c r="B3850" s="28">
        <v>1.2888999999999999</v>
      </c>
      <c r="C3850" s="28" t="s">
        <v>1136</v>
      </c>
    </row>
    <row r="3851" spans="1:3" ht="15.5">
      <c r="A3851" s="29">
        <v>39034</v>
      </c>
      <c r="B3851" s="28">
        <v>1.2793000000000001</v>
      </c>
      <c r="C3851" s="28" t="s">
        <v>1136</v>
      </c>
    </row>
    <row r="3852" spans="1:3" ht="15.5">
      <c r="A3852" s="29">
        <v>39031</v>
      </c>
      <c r="B3852" s="28">
        <v>1.2841</v>
      </c>
      <c r="C3852" s="28" t="s">
        <v>1136</v>
      </c>
    </row>
    <row r="3853" spans="1:3" ht="15.5">
      <c r="A3853" s="29">
        <v>39030</v>
      </c>
      <c r="B3853" s="28">
        <v>1.2888999999999999</v>
      </c>
      <c r="C3853" s="28" t="s">
        <v>1136</v>
      </c>
    </row>
    <row r="3854" spans="1:3" ht="15.5">
      <c r="A3854" s="29">
        <v>39029</v>
      </c>
      <c r="B3854" s="28">
        <v>1.2793000000000001</v>
      </c>
      <c r="C3854" s="28" t="s">
        <v>1136</v>
      </c>
    </row>
    <row r="3855" spans="1:3" ht="15.5">
      <c r="A3855" s="29">
        <v>39028</v>
      </c>
      <c r="B3855" s="28">
        <v>1.2555000000000001</v>
      </c>
      <c r="C3855" s="28" t="s">
        <v>1136</v>
      </c>
    </row>
    <row r="3856" spans="1:3" ht="15.5">
      <c r="A3856" s="29">
        <v>39027</v>
      </c>
      <c r="B3856" s="28">
        <v>1.2506999999999999</v>
      </c>
      <c r="C3856" s="28" t="s">
        <v>1136</v>
      </c>
    </row>
    <row r="3857" spans="1:3" ht="15.5">
      <c r="A3857" s="29">
        <v>39024</v>
      </c>
      <c r="B3857" s="28">
        <v>1.2412000000000001</v>
      </c>
      <c r="C3857" s="28" t="s">
        <v>1136</v>
      </c>
    </row>
    <row r="3858" spans="1:3" ht="15.5">
      <c r="A3858" s="29">
        <v>39023</v>
      </c>
      <c r="B3858" s="28">
        <v>1.2506999999999999</v>
      </c>
      <c r="C3858" s="28" t="s">
        <v>1136</v>
      </c>
    </row>
    <row r="3859" spans="1:3" ht="15.5">
      <c r="A3859" s="29">
        <v>39022</v>
      </c>
      <c r="B3859" s="28">
        <v>1.2412000000000001</v>
      </c>
      <c r="C3859" s="28" t="s">
        <v>1136</v>
      </c>
    </row>
    <row r="3860" spans="1:3" ht="15.5">
      <c r="A3860" s="29">
        <v>39021</v>
      </c>
      <c r="B3860" s="28">
        <v>1.2412000000000001</v>
      </c>
      <c r="C3860" s="28" t="s">
        <v>1136</v>
      </c>
    </row>
    <row r="3861" spans="1:3" ht="15.5">
      <c r="A3861" s="29">
        <v>39020</v>
      </c>
      <c r="B3861" s="28">
        <v>1.2412000000000001</v>
      </c>
      <c r="C3861" s="28" t="s">
        <v>1136</v>
      </c>
    </row>
    <row r="3862" spans="1:3" ht="15.5">
      <c r="A3862" s="29">
        <v>39017</v>
      </c>
      <c r="B3862" s="28">
        <v>1.2412000000000001</v>
      </c>
      <c r="C3862" s="28" t="s">
        <v>1136</v>
      </c>
    </row>
    <row r="3863" spans="1:3" ht="15.5">
      <c r="A3863" s="29">
        <v>39016</v>
      </c>
      <c r="B3863" s="28">
        <v>1.2412000000000001</v>
      </c>
      <c r="C3863" s="28" t="s">
        <v>1136</v>
      </c>
    </row>
    <row r="3864" spans="1:3" ht="15.5">
      <c r="A3864" s="29">
        <v>39015</v>
      </c>
      <c r="B3864" s="28">
        <v>1.2412000000000001</v>
      </c>
      <c r="C3864" s="28" t="s">
        <v>1136</v>
      </c>
    </row>
    <row r="3865" spans="1:3" ht="15.5">
      <c r="A3865" s="29">
        <v>39014</v>
      </c>
      <c r="B3865" s="28">
        <v>1.2316</v>
      </c>
      <c r="C3865" s="28" t="s">
        <v>1136</v>
      </c>
    </row>
    <row r="3866" spans="1:3" ht="15.5">
      <c r="A3866" s="29">
        <v>39013</v>
      </c>
      <c r="B3866" s="28">
        <v>1.2412000000000001</v>
      </c>
      <c r="C3866" s="28" t="s">
        <v>1136</v>
      </c>
    </row>
    <row r="3867" spans="1:3" ht="15.5">
      <c r="A3867" s="29">
        <v>39010</v>
      </c>
      <c r="B3867" s="28">
        <v>1.2412000000000001</v>
      </c>
      <c r="C3867" s="28" t="s">
        <v>1136</v>
      </c>
    </row>
    <row r="3868" spans="1:3" ht="15.5">
      <c r="A3868" s="29">
        <v>39009</v>
      </c>
      <c r="B3868" s="28">
        <v>1.2412000000000001</v>
      </c>
      <c r="C3868" s="28" t="s">
        <v>1136</v>
      </c>
    </row>
    <row r="3869" spans="1:3" ht="15.5">
      <c r="A3869" s="29">
        <v>39008</v>
      </c>
      <c r="B3869" s="28">
        <v>1.2412000000000001</v>
      </c>
      <c r="C3869" s="28" t="s">
        <v>1136</v>
      </c>
    </row>
    <row r="3870" spans="1:3" ht="15.5">
      <c r="A3870" s="29">
        <v>39007</v>
      </c>
      <c r="B3870" s="28">
        <v>1.2506999999999999</v>
      </c>
      <c r="C3870" s="28" t="s">
        <v>1136</v>
      </c>
    </row>
    <row r="3871" spans="1:3" ht="15.5">
      <c r="A3871" s="29">
        <v>39006</v>
      </c>
      <c r="B3871" s="28">
        <v>1.2555000000000001</v>
      </c>
      <c r="C3871" s="28" t="s">
        <v>1136</v>
      </c>
    </row>
    <row r="3872" spans="1:3" ht="15.5">
      <c r="A3872" s="29">
        <v>39003</v>
      </c>
      <c r="B3872" s="28">
        <v>1.2506999999999999</v>
      </c>
      <c r="C3872" s="28" t="s">
        <v>1136</v>
      </c>
    </row>
    <row r="3873" spans="1:3" ht="15.5">
      <c r="A3873" s="29">
        <v>39002</v>
      </c>
      <c r="B3873" s="28">
        <v>1.2412000000000001</v>
      </c>
      <c r="C3873" s="28" t="s">
        <v>1136</v>
      </c>
    </row>
    <row r="3874" spans="1:3" ht="15.5">
      <c r="A3874" s="29">
        <v>39001</v>
      </c>
      <c r="B3874" s="28">
        <v>1.2459</v>
      </c>
      <c r="C3874" s="28" t="s">
        <v>1136</v>
      </c>
    </row>
    <row r="3875" spans="1:3" ht="15.5">
      <c r="A3875" s="29">
        <v>39000</v>
      </c>
      <c r="B3875" s="28">
        <v>1.2555000000000001</v>
      </c>
      <c r="C3875" s="28" t="s">
        <v>1136</v>
      </c>
    </row>
    <row r="3876" spans="1:3" ht="15.5">
      <c r="A3876" s="29">
        <v>38999</v>
      </c>
      <c r="B3876" s="28">
        <v>1.2506999999999999</v>
      </c>
      <c r="C3876" s="28" t="s">
        <v>1136</v>
      </c>
    </row>
    <row r="3877" spans="1:3" ht="15.5">
      <c r="A3877" s="29">
        <v>38996</v>
      </c>
      <c r="B3877" s="28">
        <v>1.2459</v>
      </c>
      <c r="C3877" s="28" t="s">
        <v>1136</v>
      </c>
    </row>
    <row r="3878" spans="1:3" ht="15.5">
      <c r="A3878" s="29">
        <v>38995</v>
      </c>
      <c r="B3878" s="28">
        <v>1.2459</v>
      </c>
      <c r="C3878" s="28" t="s">
        <v>1136</v>
      </c>
    </row>
    <row r="3879" spans="1:3" ht="15.5">
      <c r="A3879" s="29">
        <v>38994</v>
      </c>
      <c r="B3879" s="28">
        <v>1.2363999999999999</v>
      </c>
      <c r="C3879" s="28" t="s">
        <v>1136</v>
      </c>
    </row>
    <row r="3880" spans="1:3" ht="15.5">
      <c r="A3880" s="29">
        <v>38993</v>
      </c>
      <c r="B3880" s="28">
        <v>1.2412000000000001</v>
      </c>
      <c r="C3880" s="28" t="s">
        <v>1136</v>
      </c>
    </row>
    <row r="3881" spans="1:3" ht="15.5">
      <c r="A3881" s="29">
        <v>38992</v>
      </c>
      <c r="B3881" s="28">
        <v>1.2506999999999999</v>
      </c>
      <c r="C3881" s="28" t="s">
        <v>1136</v>
      </c>
    </row>
    <row r="3882" spans="1:3" ht="15.5">
      <c r="A3882" s="29">
        <v>38989</v>
      </c>
      <c r="B3882" s="28">
        <v>1.2459</v>
      </c>
      <c r="C3882" s="28" t="s">
        <v>1136</v>
      </c>
    </row>
    <row r="3883" spans="1:3" ht="15.5">
      <c r="A3883" s="29">
        <v>38988</v>
      </c>
      <c r="B3883" s="28">
        <v>1.2412000000000001</v>
      </c>
      <c r="C3883" s="28" t="s">
        <v>1136</v>
      </c>
    </row>
    <row r="3884" spans="1:3" ht="15.5">
      <c r="A3884" s="29">
        <v>38987</v>
      </c>
      <c r="B3884" s="28">
        <v>1.2316</v>
      </c>
      <c r="C3884" s="28" t="s">
        <v>1136</v>
      </c>
    </row>
    <row r="3885" spans="1:3" ht="15.5">
      <c r="A3885" s="29">
        <v>38986</v>
      </c>
      <c r="B3885" s="28">
        <v>1.2267999999999999</v>
      </c>
      <c r="C3885" s="28" t="s">
        <v>1136</v>
      </c>
    </row>
    <row r="3886" spans="1:3" ht="15.5">
      <c r="A3886" s="29">
        <v>38985</v>
      </c>
      <c r="B3886" s="28">
        <v>1.2316</v>
      </c>
      <c r="C3886" s="28" t="s">
        <v>1136</v>
      </c>
    </row>
    <row r="3887" spans="1:3" ht="15.5">
      <c r="A3887" s="29">
        <v>38982</v>
      </c>
      <c r="B3887" s="28">
        <v>1.2363999999999999</v>
      </c>
      <c r="C3887" s="28" t="s">
        <v>1136</v>
      </c>
    </row>
    <row r="3888" spans="1:3" ht="15.5">
      <c r="A3888" s="29">
        <v>38981</v>
      </c>
      <c r="B3888" s="28">
        <v>1.2316</v>
      </c>
      <c r="C3888" s="28" t="s">
        <v>1136</v>
      </c>
    </row>
    <row r="3889" spans="1:3" ht="15.5">
      <c r="A3889" s="29">
        <v>38980</v>
      </c>
      <c r="B3889" s="28">
        <v>1.2412000000000001</v>
      </c>
      <c r="C3889" s="28" t="s">
        <v>1136</v>
      </c>
    </row>
    <row r="3890" spans="1:3" ht="15.5">
      <c r="A3890" s="29">
        <v>38979</v>
      </c>
      <c r="B3890" s="28">
        <v>1.2267999999999999</v>
      </c>
      <c r="C3890" s="28" t="s">
        <v>1136</v>
      </c>
    </row>
    <row r="3891" spans="1:3" ht="15.5">
      <c r="A3891" s="29">
        <v>38978</v>
      </c>
      <c r="B3891" s="28">
        <v>1.2506999999999999</v>
      </c>
      <c r="C3891" s="28" t="s">
        <v>1136</v>
      </c>
    </row>
    <row r="3892" spans="1:3" ht="15.5">
      <c r="A3892" s="29">
        <v>38975</v>
      </c>
      <c r="B3892" s="28">
        <v>1.2267999999999999</v>
      </c>
      <c r="C3892" s="28" t="s">
        <v>1136</v>
      </c>
    </row>
    <row r="3893" spans="1:3" ht="15.5">
      <c r="A3893" s="29">
        <v>38974</v>
      </c>
      <c r="B3893" s="28">
        <v>1.2412000000000001</v>
      </c>
      <c r="C3893" s="28" t="s">
        <v>1136</v>
      </c>
    </row>
    <row r="3894" spans="1:3" ht="15.5">
      <c r="A3894" s="29">
        <v>38973</v>
      </c>
      <c r="B3894" s="28">
        <v>1.2267999999999999</v>
      </c>
      <c r="C3894" s="28" t="s">
        <v>1136</v>
      </c>
    </row>
    <row r="3895" spans="1:3" ht="15.5">
      <c r="A3895" s="29">
        <v>38972</v>
      </c>
      <c r="B3895" s="28">
        <v>1.2363999999999999</v>
      </c>
      <c r="C3895" s="28" t="s">
        <v>1136</v>
      </c>
    </row>
    <row r="3896" spans="1:3" ht="15.5">
      <c r="A3896" s="29">
        <v>38971</v>
      </c>
      <c r="B3896" s="28">
        <v>1.2316</v>
      </c>
      <c r="C3896" s="28" t="s">
        <v>1136</v>
      </c>
    </row>
    <row r="3897" spans="1:3" ht="15.5">
      <c r="A3897" s="29">
        <v>38968</v>
      </c>
      <c r="B3897" s="28">
        <v>1.2412000000000001</v>
      </c>
      <c r="C3897" s="28" t="s">
        <v>1136</v>
      </c>
    </row>
    <row r="3898" spans="1:3" ht="15.5">
      <c r="A3898" s="29">
        <v>38967</v>
      </c>
      <c r="B3898" s="28">
        <v>1.2412000000000001</v>
      </c>
      <c r="C3898" s="28" t="s">
        <v>1136</v>
      </c>
    </row>
    <row r="3899" spans="1:3" ht="15.5">
      <c r="A3899" s="29">
        <v>38966</v>
      </c>
      <c r="B3899" s="28">
        <v>1.2363999999999999</v>
      </c>
      <c r="C3899" s="28" t="s">
        <v>1136</v>
      </c>
    </row>
    <row r="3900" spans="1:3" ht="15.5">
      <c r="A3900" s="29">
        <v>38965</v>
      </c>
      <c r="B3900" s="28">
        <v>1.2316</v>
      </c>
      <c r="C3900" s="28" t="s">
        <v>1136</v>
      </c>
    </row>
    <row r="3901" spans="1:3" ht="15.5">
      <c r="A3901" s="29">
        <v>38964</v>
      </c>
      <c r="B3901" s="28">
        <v>1.2221</v>
      </c>
      <c r="C3901" s="28" t="s">
        <v>1136</v>
      </c>
    </row>
    <row r="3902" spans="1:3" ht="15.5">
      <c r="A3902" s="29">
        <v>38961</v>
      </c>
      <c r="B3902" s="28">
        <v>1.2221</v>
      </c>
      <c r="C3902" s="28" t="s">
        <v>1136</v>
      </c>
    </row>
    <row r="3903" spans="1:3" ht="15.5">
      <c r="A3903" s="29">
        <v>38960</v>
      </c>
      <c r="B3903" s="28">
        <v>1.2316</v>
      </c>
      <c r="C3903" s="28" t="s">
        <v>1136</v>
      </c>
    </row>
    <row r="3904" spans="1:3" ht="15.5">
      <c r="A3904" s="29">
        <v>38959</v>
      </c>
      <c r="B3904" s="28">
        <v>1.2363999999999999</v>
      </c>
      <c r="C3904" s="28" t="s">
        <v>1136</v>
      </c>
    </row>
    <row r="3905" spans="1:3" ht="15.5">
      <c r="A3905" s="29">
        <v>38958</v>
      </c>
      <c r="B3905" s="28">
        <v>1.2316</v>
      </c>
      <c r="C3905" s="28" t="s">
        <v>1136</v>
      </c>
    </row>
    <row r="3906" spans="1:3" ht="15.5">
      <c r="A3906" s="29">
        <v>38957</v>
      </c>
      <c r="B3906" s="28">
        <v>1.2221</v>
      </c>
      <c r="C3906" s="28" t="s">
        <v>1136</v>
      </c>
    </row>
    <row r="3907" spans="1:3" ht="15.5">
      <c r="A3907" s="29">
        <v>38954</v>
      </c>
      <c r="B3907" s="28">
        <v>1.2316</v>
      </c>
      <c r="C3907" s="28" t="s">
        <v>1136</v>
      </c>
    </row>
    <row r="3908" spans="1:3" ht="15.5">
      <c r="A3908" s="29">
        <v>38953</v>
      </c>
      <c r="B3908" s="28">
        <v>1.2221</v>
      </c>
      <c r="C3908" s="28" t="s">
        <v>1136</v>
      </c>
    </row>
    <row r="3909" spans="1:3" ht="15.5">
      <c r="A3909" s="29">
        <v>38952</v>
      </c>
      <c r="B3909" s="28">
        <v>1.2412000000000001</v>
      </c>
      <c r="C3909" s="28" t="s">
        <v>1136</v>
      </c>
    </row>
    <row r="3910" spans="1:3" ht="15.5">
      <c r="A3910" s="29">
        <v>38951</v>
      </c>
      <c r="B3910" s="28">
        <v>1.2316</v>
      </c>
      <c r="C3910" s="28" t="s">
        <v>1136</v>
      </c>
    </row>
    <row r="3911" spans="1:3" ht="15.5">
      <c r="A3911" s="29">
        <v>38950</v>
      </c>
      <c r="B3911" s="28">
        <v>1.2267999999999999</v>
      </c>
      <c r="C3911" s="28" t="s">
        <v>1136</v>
      </c>
    </row>
    <row r="3912" spans="1:3" ht="15.5">
      <c r="A3912" s="29">
        <v>38947</v>
      </c>
      <c r="B3912" s="28">
        <v>1.2221</v>
      </c>
      <c r="C3912" s="28" t="s">
        <v>1136</v>
      </c>
    </row>
    <row r="3913" spans="1:3" ht="15.5">
      <c r="A3913" s="29">
        <v>38946</v>
      </c>
      <c r="B3913" s="28">
        <v>1.2267999999999999</v>
      </c>
      <c r="C3913" s="28" t="s">
        <v>1136</v>
      </c>
    </row>
    <row r="3914" spans="1:3" ht="15.5">
      <c r="A3914" s="29">
        <v>38945</v>
      </c>
      <c r="B3914" s="28">
        <v>1.2221</v>
      </c>
      <c r="C3914" s="28" t="s">
        <v>1136</v>
      </c>
    </row>
    <row r="3915" spans="1:3" ht="15.5">
      <c r="A3915" s="29">
        <v>38944</v>
      </c>
      <c r="B3915" s="28">
        <v>1.2316</v>
      </c>
      <c r="C3915" s="28" t="s">
        <v>1136</v>
      </c>
    </row>
    <row r="3916" spans="1:3" ht="15.5">
      <c r="A3916" s="29">
        <v>38943</v>
      </c>
      <c r="B3916" s="28">
        <v>1.2221</v>
      </c>
      <c r="C3916" s="28" t="s">
        <v>1136</v>
      </c>
    </row>
    <row r="3917" spans="1:3" ht="15.5">
      <c r="A3917" s="29">
        <v>38940</v>
      </c>
      <c r="B3917" s="28">
        <v>1.2221</v>
      </c>
      <c r="C3917" s="28" t="s">
        <v>1136</v>
      </c>
    </row>
    <row r="3918" spans="1:3" ht="15.5">
      <c r="A3918" s="29">
        <v>38939</v>
      </c>
      <c r="B3918" s="28">
        <v>1.2221</v>
      </c>
      <c r="C3918" s="28" t="s">
        <v>1136</v>
      </c>
    </row>
    <row r="3919" spans="1:3" ht="15.5">
      <c r="A3919" s="29">
        <v>38938</v>
      </c>
      <c r="B3919" s="28">
        <v>1.2316</v>
      </c>
      <c r="C3919" s="28" t="s">
        <v>1136</v>
      </c>
    </row>
    <row r="3920" spans="1:3" ht="15.5">
      <c r="A3920" s="29">
        <v>38937</v>
      </c>
      <c r="B3920" s="28">
        <v>1.2363999999999999</v>
      </c>
      <c r="C3920" s="28" t="s">
        <v>1136</v>
      </c>
    </row>
    <row r="3921" spans="1:3" ht="15.5">
      <c r="A3921" s="29">
        <v>38936</v>
      </c>
      <c r="B3921" s="28">
        <v>1.2363999999999999</v>
      </c>
      <c r="C3921" s="28" t="s">
        <v>1136</v>
      </c>
    </row>
    <row r="3922" spans="1:3" ht="15.5">
      <c r="A3922" s="29">
        <v>38933</v>
      </c>
      <c r="B3922" s="28">
        <v>1.2363999999999999</v>
      </c>
      <c r="C3922" s="28" t="s">
        <v>1136</v>
      </c>
    </row>
    <row r="3923" spans="1:3" ht="15.5">
      <c r="A3923" s="29">
        <v>38932</v>
      </c>
      <c r="B3923" s="28">
        <v>1.2412000000000001</v>
      </c>
      <c r="C3923" s="28" t="s">
        <v>1136</v>
      </c>
    </row>
    <row r="3924" spans="1:3" ht="15.5">
      <c r="A3924" s="29">
        <v>38931</v>
      </c>
      <c r="B3924" s="28">
        <v>1.2363999999999999</v>
      </c>
      <c r="C3924" s="28" t="s">
        <v>1136</v>
      </c>
    </row>
    <row r="3925" spans="1:3" ht="15.5">
      <c r="A3925" s="29">
        <v>38930</v>
      </c>
      <c r="B3925" s="28">
        <v>1.2412000000000001</v>
      </c>
      <c r="C3925" s="28" t="s">
        <v>1136</v>
      </c>
    </row>
    <row r="3926" spans="1:3" ht="15.5">
      <c r="A3926" s="29">
        <v>38929</v>
      </c>
      <c r="B3926" s="28">
        <v>1.2316</v>
      </c>
      <c r="C3926" s="28" t="s">
        <v>1136</v>
      </c>
    </row>
    <row r="3927" spans="1:3" ht="15.5">
      <c r="A3927" s="29">
        <v>38926</v>
      </c>
      <c r="B3927" s="28">
        <v>1.2363999999999999</v>
      </c>
      <c r="C3927" s="28" t="s">
        <v>1136</v>
      </c>
    </row>
    <row r="3928" spans="1:3" ht="15.5">
      <c r="A3928" s="29">
        <v>38925</v>
      </c>
      <c r="B3928" s="28">
        <v>1.2173</v>
      </c>
      <c r="C3928" s="28" t="s">
        <v>1136</v>
      </c>
    </row>
    <row r="3929" spans="1:3" ht="15.5">
      <c r="A3929" s="29">
        <v>38924</v>
      </c>
      <c r="B3929" s="28">
        <v>1.2173</v>
      </c>
      <c r="C3929" s="28" t="s">
        <v>1136</v>
      </c>
    </row>
    <row r="3930" spans="1:3" ht="15.5">
      <c r="A3930" s="29">
        <v>38923</v>
      </c>
      <c r="B3930" s="28">
        <v>1.2316</v>
      </c>
      <c r="C3930" s="28" t="s">
        <v>1136</v>
      </c>
    </row>
    <row r="3931" spans="1:3" ht="15.5">
      <c r="A3931" s="29">
        <v>38922</v>
      </c>
      <c r="B3931" s="28">
        <v>1.2363999999999999</v>
      </c>
      <c r="C3931" s="28" t="s">
        <v>1136</v>
      </c>
    </row>
    <row r="3932" spans="1:3" ht="15.5">
      <c r="A3932" s="29">
        <v>38919</v>
      </c>
      <c r="B3932" s="28">
        <v>1.2267999999999999</v>
      </c>
      <c r="C3932" s="28" t="s">
        <v>1136</v>
      </c>
    </row>
    <row r="3933" spans="1:3" ht="15.5">
      <c r="A3933" s="29">
        <v>38918</v>
      </c>
      <c r="B3933" s="28">
        <v>1.2124999999999999</v>
      </c>
      <c r="C3933" s="28" t="s">
        <v>1136</v>
      </c>
    </row>
    <row r="3934" spans="1:3" ht="15.5">
      <c r="A3934" s="29">
        <v>38917</v>
      </c>
      <c r="B3934" s="28">
        <v>1.2173</v>
      </c>
      <c r="C3934" s="28" t="s">
        <v>1136</v>
      </c>
    </row>
    <row r="3935" spans="1:3" ht="15.5">
      <c r="A3935" s="29">
        <v>38916</v>
      </c>
      <c r="B3935" s="28">
        <v>1.2221</v>
      </c>
      <c r="C3935" s="28" t="s">
        <v>1136</v>
      </c>
    </row>
    <row r="3936" spans="1:3" ht="15.5">
      <c r="A3936" s="29">
        <v>38915</v>
      </c>
      <c r="B3936" s="28">
        <v>1.1839</v>
      </c>
      <c r="C3936" s="28" t="s">
        <v>1136</v>
      </c>
    </row>
    <row r="3937" spans="1:3" ht="15.5">
      <c r="A3937" s="29">
        <v>38912</v>
      </c>
      <c r="B3937" s="28">
        <v>1.1886000000000001</v>
      </c>
      <c r="C3937" s="28" t="s">
        <v>1136</v>
      </c>
    </row>
    <row r="3938" spans="1:3" ht="15.5">
      <c r="A3938" s="29">
        <v>38911</v>
      </c>
      <c r="B3938" s="28">
        <v>1.1934</v>
      </c>
      <c r="C3938" s="28" t="s">
        <v>1136</v>
      </c>
    </row>
    <row r="3939" spans="1:3" ht="15.5">
      <c r="A3939" s="29">
        <v>38910</v>
      </c>
      <c r="B3939" s="28">
        <v>1.2030000000000001</v>
      </c>
      <c r="C3939" s="28" t="s">
        <v>1136</v>
      </c>
    </row>
    <row r="3940" spans="1:3" ht="15.5">
      <c r="A3940" s="29">
        <v>38909</v>
      </c>
      <c r="B3940" s="28">
        <v>1.1934</v>
      </c>
      <c r="C3940" s="28" t="s">
        <v>1136</v>
      </c>
    </row>
    <row r="3941" spans="1:3" ht="15.5">
      <c r="A3941" s="29">
        <v>38908</v>
      </c>
      <c r="B3941" s="28">
        <v>1.2173</v>
      </c>
      <c r="C3941" s="28" t="s">
        <v>1136</v>
      </c>
    </row>
    <row r="3942" spans="1:3" ht="15.5">
      <c r="A3942" s="29">
        <v>38905</v>
      </c>
      <c r="B3942" s="28">
        <v>1.2221</v>
      </c>
      <c r="C3942" s="28" t="s">
        <v>1136</v>
      </c>
    </row>
    <row r="3943" spans="1:3" ht="15.5">
      <c r="A3943" s="29">
        <v>38904</v>
      </c>
      <c r="B3943" s="28">
        <v>1.2316</v>
      </c>
      <c r="C3943" s="28" t="s">
        <v>1136</v>
      </c>
    </row>
    <row r="3944" spans="1:3" ht="15.5">
      <c r="A3944" s="29">
        <v>38903</v>
      </c>
      <c r="B3944" s="28">
        <v>1.1981999999999999</v>
      </c>
      <c r="C3944" s="28" t="s">
        <v>1136</v>
      </c>
    </row>
    <row r="3945" spans="1:3" ht="15.5">
      <c r="A3945" s="29">
        <v>38902</v>
      </c>
      <c r="B3945" s="28">
        <v>1.2030000000000001</v>
      </c>
      <c r="C3945" s="28" t="s">
        <v>1136</v>
      </c>
    </row>
    <row r="3946" spans="1:3" ht="15.5">
      <c r="A3946" s="29">
        <v>38901</v>
      </c>
      <c r="B3946" s="28">
        <v>1.2077</v>
      </c>
      <c r="C3946" s="28" t="s">
        <v>1136</v>
      </c>
    </row>
    <row r="3947" spans="1:3" ht="15.5">
      <c r="A3947" s="29">
        <v>38898</v>
      </c>
      <c r="B3947" s="28">
        <v>1.2030000000000001</v>
      </c>
      <c r="C3947" s="28" t="s">
        <v>1136</v>
      </c>
    </row>
    <row r="3948" spans="1:3" ht="15.5">
      <c r="A3948" s="29">
        <v>38897</v>
      </c>
      <c r="B3948" s="28">
        <v>1.2077</v>
      </c>
      <c r="C3948" s="28" t="s">
        <v>1136</v>
      </c>
    </row>
    <row r="3949" spans="1:3" ht="15.5">
      <c r="A3949" s="29">
        <v>38896</v>
      </c>
      <c r="B3949" s="28">
        <v>1.2173</v>
      </c>
      <c r="C3949" s="28" t="s">
        <v>1136</v>
      </c>
    </row>
    <row r="3950" spans="1:3" ht="15.5">
      <c r="A3950" s="29">
        <v>38895</v>
      </c>
      <c r="B3950" s="28">
        <v>1.2173</v>
      </c>
      <c r="C3950" s="28" t="s">
        <v>1136</v>
      </c>
    </row>
    <row r="3951" spans="1:3" ht="15.5">
      <c r="A3951" s="29">
        <v>38894</v>
      </c>
      <c r="B3951" s="28">
        <v>1.2124999999999999</v>
      </c>
      <c r="C3951" s="28" t="s">
        <v>1136</v>
      </c>
    </row>
    <row r="3952" spans="1:3" ht="15.5">
      <c r="A3952" s="29">
        <v>38891</v>
      </c>
      <c r="B3952" s="28">
        <v>1.2173</v>
      </c>
      <c r="C3952" s="28" t="s">
        <v>1136</v>
      </c>
    </row>
    <row r="3953" spans="1:3" ht="15.5">
      <c r="A3953" s="29">
        <v>38890</v>
      </c>
      <c r="B3953" s="28">
        <v>1.2077</v>
      </c>
      <c r="C3953" s="28" t="s">
        <v>1136</v>
      </c>
    </row>
    <row r="3954" spans="1:3" ht="15.5">
      <c r="A3954" s="29">
        <v>38889</v>
      </c>
      <c r="B3954" s="28">
        <v>1.2077</v>
      </c>
      <c r="C3954" s="28" t="s">
        <v>1136</v>
      </c>
    </row>
    <row r="3955" spans="1:3" ht="15.5">
      <c r="A3955" s="29">
        <v>38888</v>
      </c>
      <c r="B3955" s="28">
        <v>1.1981999999999999</v>
      </c>
      <c r="C3955" s="28" t="s">
        <v>1136</v>
      </c>
    </row>
    <row r="3956" spans="1:3" ht="15.5">
      <c r="A3956" s="29">
        <v>38887</v>
      </c>
      <c r="B3956" s="28">
        <v>1.2124999999999999</v>
      </c>
      <c r="C3956" s="28" t="s">
        <v>1136</v>
      </c>
    </row>
    <row r="3957" spans="1:3" ht="15.5">
      <c r="A3957" s="29">
        <v>38884</v>
      </c>
      <c r="B3957" s="28">
        <v>1.2030000000000001</v>
      </c>
      <c r="C3957" s="28" t="s">
        <v>1136</v>
      </c>
    </row>
    <row r="3958" spans="1:3" ht="15.5">
      <c r="A3958" s="29">
        <v>38883</v>
      </c>
      <c r="B3958" s="28">
        <v>1.2030000000000001</v>
      </c>
      <c r="C3958" s="28" t="s">
        <v>1136</v>
      </c>
    </row>
    <row r="3959" spans="1:3" ht="15.5">
      <c r="A3959" s="29">
        <v>38882</v>
      </c>
      <c r="B3959" s="28">
        <v>1.2124999999999999</v>
      </c>
      <c r="C3959" s="28" t="s">
        <v>1136</v>
      </c>
    </row>
    <row r="3960" spans="1:3" ht="15.5">
      <c r="A3960" s="29">
        <v>38881</v>
      </c>
      <c r="B3960" s="28">
        <v>1.2077</v>
      </c>
      <c r="C3960" s="28" t="s">
        <v>1136</v>
      </c>
    </row>
    <row r="3961" spans="1:3" ht="15.5">
      <c r="A3961" s="29">
        <v>38877</v>
      </c>
      <c r="B3961" s="28">
        <v>1.2124999999999999</v>
      </c>
      <c r="C3961" s="28" t="s">
        <v>1136</v>
      </c>
    </row>
    <row r="3962" spans="1:3" ht="15.5">
      <c r="A3962" s="29">
        <v>38876</v>
      </c>
      <c r="B3962" s="28">
        <v>1.1791</v>
      </c>
      <c r="C3962" s="28" t="s">
        <v>1136</v>
      </c>
    </row>
    <row r="3963" spans="1:3" ht="15.5">
      <c r="A3963" s="29">
        <v>38875</v>
      </c>
      <c r="B3963" s="28">
        <v>1.2124999999999999</v>
      </c>
      <c r="C3963" s="28" t="s">
        <v>1136</v>
      </c>
    </row>
    <row r="3964" spans="1:3" ht="15.5">
      <c r="A3964" s="29">
        <v>38874</v>
      </c>
      <c r="B3964" s="28">
        <v>1.2124999999999999</v>
      </c>
      <c r="C3964" s="28" t="s">
        <v>1136</v>
      </c>
    </row>
    <row r="3965" spans="1:3" ht="15.5">
      <c r="A3965" s="29">
        <v>38873</v>
      </c>
      <c r="B3965" s="28">
        <v>1.1934</v>
      </c>
      <c r="C3965" s="28" t="s">
        <v>1136</v>
      </c>
    </row>
    <row r="3966" spans="1:3" ht="15.5">
      <c r="A3966" s="29">
        <v>38870</v>
      </c>
      <c r="B3966" s="28">
        <v>1.2077</v>
      </c>
      <c r="C3966" s="28" t="s">
        <v>1136</v>
      </c>
    </row>
    <row r="3967" spans="1:3" ht="15.5">
      <c r="A3967" s="29">
        <v>38869</v>
      </c>
      <c r="B3967" s="28">
        <v>1.1934</v>
      </c>
      <c r="C3967" s="28" t="s">
        <v>1136</v>
      </c>
    </row>
    <row r="3968" spans="1:3" ht="15.5">
      <c r="A3968" s="29">
        <v>38868</v>
      </c>
      <c r="B3968" s="28">
        <v>1.1886000000000001</v>
      </c>
      <c r="C3968" s="28" t="s">
        <v>1136</v>
      </c>
    </row>
    <row r="3969" spans="1:3" ht="15.5">
      <c r="A3969" s="29">
        <v>38867</v>
      </c>
      <c r="B3969" s="28">
        <v>1.1742999999999999</v>
      </c>
      <c r="C3969" s="28" t="s">
        <v>1136</v>
      </c>
    </row>
    <row r="3970" spans="1:3" ht="15.5">
      <c r="A3970" s="29">
        <v>38866</v>
      </c>
      <c r="B3970" s="28">
        <v>1.1791</v>
      </c>
      <c r="C3970" s="28" t="s">
        <v>1136</v>
      </c>
    </row>
    <row r="3971" spans="1:3" ht="15.5">
      <c r="A3971" s="29">
        <v>38863</v>
      </c>
      <c r="B3971" s="28">
        <v>1.1791</v>
      </c>
      <c r="C3971" s="28" t="s">
        <v>1136</v>
      </c>
    </row>
    <row r="3972" spans="1:3" ht="15.5">
      <c r="A3972" s="29">
        <v>38862</v>
      </c>
      <c r="B3972" s="28">
        <v>1.1505000000000001</v>
      </c>
      <c r="C3972" s="28" t="s">
        <v>1136</v>
      </c>
    </row>
    <row r="3973" spans="1:3" ht="15.5">
      <c r="A3973" s="29">
        <v>38861</v>
      </c>
      <c r="B3973" s="28">
        <v>1.1648000000000001</v>
      </c>
      <c r="C3973" s="28" t="s">
        <v>1136</v>
      </c>
    </row>
    <row r="3974" spans="1:3" ht="15.5">
      <c r="A3974" s="29">
        <v>38860</v>
      </c>
      <c r="B3974" s="28">
        <v>1.2030000000000001</v>
      </c>
      <c r="C3974" s="28" t="s">
        <v>1136</v>
      </c>
    </row>
    <row r="3975" spans="1:3" ht="15.5">
      <c r="A3975" s="29">
        <v>38859</v>
      </c>
      <c r="B3975" s="28">
        <v>1.1981999999999999</v>
      </c>
      <c r="C3975" s="28" t="s">
        <v>1136</v>
      </c>
    </row>
    <row r="3976" spans="1:3" ht="15.5">
      <c r="A3976" s="29">
        <v>38856</v>
      </c>
      <c r="B3976" s="28">
        <v>1.1981999999999999</v>
      </c>
      <c r="C3976" s="28" t="s">
        <v>1136</v>
      </c>
    </row>
    <row r="3977" spans="1:3" ht="15.5">
      <c r="A3977" s="29">
        <v>38855</v>
      </c>
      <c r="B3977" s="28">
        <v>1.1981999999999999</v>
      </c>
      <c r="C3977" s="28" t="s">
        <v>1136</v>
      </c>
    </row>
    <row r="3978" spans="1:3" ht="15.5">
      <c r="A3978" s="29">
        <v>38854</v>
      </c>
      <c r="B3978" s="28">
        <v>1.2316</v>
      </c>
      <c r="C3978" s="28" t="s">
        <v>1136</v>
      </c>
    </row>
    <row r="3979" spans="1:3" ht="15.5">
      <c r="A3979" s="29">
        <v>38853</v>
      </c>
      <c r="B3979" s="28">
        <v>1.2124999999999999</v>
      </c>
      <c r="C3979" s="28" t="s">
        <v>1136</v>
      </c>
    </row>
    <row r="3980" spans="1:3" ht="15.5">
      <c r="A3980" s="29">
        <v>38852</v>
      </c>
      <c r="B3980" s="28">
        <v>1.2124999999999999</v>
      </c>
      <c r="C3980" s="28" t="s">
        <v>1136</v>
      </c>
    </row>
    <row r="3981" spans="1:3" ht="15.5">
      <c r="A3981" s="29">
        <v>38849</v>
      </c>
      <c r="B3981" s="28">
        <v>1.2124999999999999</v>
      </c>
      <c r="C3981" s="28" t="s">
        <v>1136</v>
      </c>
    </row>
    <row r="3982" spans="1:3" ht="15.5">
      <c r="A3982" s="29">
        <v>38848</v>
      </c>
      <c r="B3982" s="28">
        <v>1.2363999999999999</v>
      </c>
      <c r="C3982" s="28" t="s">
        <v>1136</v>
      </c>
    </row>
    <row r="3983" spans="1:3" ht="15.5">
      <c r="A3983" s="29">
        <v>38847</v>
      </c>
      <c r="B3983" s="28">
        <v>1.2412000000000001</v>
      </c>
      <c r="C3983" s="28" t="s">
        <v>1136</v>
      </c>
    </row>
    <row r="3984" spans="1:3" ht="15.5">
      <c r="A3984" s="29">
        <v>38846</v>
      </c>
      <c r="B3984" s="28">
        <v>1.2316</v>
      </c>
      <c r="C3984" s="28" t="s">
        <v>1136</v>
      </c>
    </row>
    <row r="3985" spans="1:3" ht="15.5">
      <c r="A3985" s="29">
        <v>38845</v>
      </c>
      <c r="B3985" s="28">
        <v>1.2316</v>
      </c>
      <c r="C3985" s="28" t="s">
        <v>1136</v>
      </c>
    </row>
    <row r="3986" spans="1:3" ht="15.5">
      <c r="A3986" s="29">
        <v>38842</v>
      </c>
      <c r="B3986" s="28">
        <v>1.2316</v>
      </c>
      <c r="C3986" s="28" t="s">
        <v>1136</v>
      </c>
    </row>
    <row r="3987" spans="1:3" ht="15.5">
      <c r="A3987" s="29">
        <v>38841</v>
      </c>
      <c r="B3987" s="28">
        <v>1.2173</v>
      </c>
      <c r="C3987" s="28" t="s">
        <v>1136</v>
      </c>
    </row>
    <row r="3988" spans="1:3" ht="15.5">
      <c r="A3988" s="29">
        <v>38840</v>
      </c>
      <c r="B3988" s="28">
        <v>1.2221</v>
      </c>
      <c r="C3988" s="28" t="s">
        <v>1136</v>
      </c>
    </row>
    <row r="3989" spans="1:3" ht="15.5">
      <c r="A3989" s="29">
        <v>38839</v>
      </c>
      <c r="B3989" s="28">
        <v>1.2316</v>
      </c>
      <c r="C3989" s="28" t="s">
        <v>1136</v>
      </c>
    </row>
    <row r="3990" spans="1:3" ht="15.5">
      <c r="A3990" s="29">
        <v>38838</v>
      </c>
      <c r="B3990" s="28">
        <v>1.2363999999999999</v>
      </c>
      <c r="C3990" s="28" t="s">
        <v>1136</v>
      </c>
    </row>
    <row r="3991" spans="1:3" ht="15.5">
      <c r="A3991" s="29">
        <v>38835</v>
      </c>
      <c r="B3991" s="28">
        <v>1.2363999999999999</v>
      </c>
      <c r="C3991" s="28" t="s">
        <v>1136</v>
      </c>
    </row>
    <row r="3992" spans="1:3" ht="15.5">
      <c r="A3992" s="29">
        <v>38834</v>
      </c>
      <c r="B3992" s="28">
        <v>1.2316</v>
      </c>
      <c r="C3992" s="28" t="s">
        <v>1136</v>
      </c>
    </row>
    <row r="3993" spans="1:3" ht="15.5">
      <c r="A3993" s="29">
        <v>38833</v>
      </c>
      <c r="B3993" s="28">
        <v>1.2363999999999999</v>
      </c>
      <c r="C3993" s="28" t="s">
        <v>1136</v>
      </c>
    </row>
    <row r="3994" spans="1:3" ht="15.5">
      <c r="A3994" s="29">
        <v>38831</v>
      </c>
      <c r="B3994" s="28">
        <v>1.2267999999999999</v>
      </c>
      <c r="C3994" s="28" t="s">
        <v>1136</v>
      </c>
    </row>
    <row r="3995" spans="1:3" ht="15.5">
      <c r="A3995" s="29">
        <v>38828</v>
      </c>
      <c r="B3995" s="28">
        <v>1.2316</v>
      </c>
      <c r="C3995" s="28" t="s">
        <v>1136</v>
      </c>
    </row>
    <row r="3996" spans="1:3" ht="15.5">
      <c r="A3996" s="29">
        <v>38827</v>
      </c>
      <c r="B3996" s="28">
        <v>1.2459</v>
      </c>
      <c r="C3996" s="28" t="s">
        <v>1136</v>
      </c>
    </row>
    <row r="3997" spans="1:3" ht="15.5">
      <c r="A3997" s="29">
        <v>38826</v>
      </c>
      <c r="B3997" s="28">
        <v>1.2412000000000001</v>
      </c>
      <c r="C3997" s="28" t="s">
        <v>1136</v>
      </c>
    </row>
    <row r="3998" spans="1:3" ht="15.5">
      <c r="A3998" s="29">
        <v>38825</v>
      </c>
      <c r="B3998" s="28">
        <v>1.2412000000000001</v>
      </c>
      <c r="C3998" s="28" t="s">
        <v>1136</v>
      </c>
    </row>
    <row r="3999" spans="1:3" ht="15.5">
      <c r="A3999" s="29">
        <v>38820</v>
      </c>
      <c r="B3999" s="28">
        <v>1.2316</v>
      </c>
      <c r="C3999" s="28" t="s">
        <v>1136</v>
      </c>
    </row>
    <row r="4000" spans="1:3" ht="15.5">
      <c r="A4000" s="29">
        <v>38819</v>
      </c>
      <c r="B4000" s="28">
        <v>1.2316</v>
      </c>
      <c r="C4000" s="28" t="s">
        <v>1136</v>
      </c>
    </row>
    <row r="4001" spans="1:3" ht="15.5">
      <c r="A4001" s="29">
        <v>38818</v>
      </c>
      <c r="B4001" s="28">
        <v>1.2363999999999999</v>
      </c>
      <c r="C4001" s="28" t="s">
        <v>1136</v>
      </c>
    </row>
    <row r="4002" spans="1:3" ht="15.5">
      <c r="A4002" s="29">
        <v>38817</v>
      </c>
      <c r="B4002" s="28">
        <v>1.2412000000000001</v>
      </c>
      <c r="C4002" s="28" t="s">
        <v>1136</v>
      </c>
    </row>
    <row r="4003" spans="1:3" ht="15.5">
      <c r="A4003" s="29">
        <v>38814</v>
      </c>
      <c r="B4003" s="28">
        <v>1.2555000000000001</v>
      </c>
      <c r="C4003" s="28" t="s">
        <v>1136</v>
      </c>
    </row>
    <row r="4004" spans="1:3" ht="15.5">
      <c r="A4004" s="29">
        <v>38813</v>
      </c>
      <c r="B4004" s="28">
        <v>1.2603</v>
      </c>
      <c r="C4004" s="28" t="s">
        <v>1136</v>
      </c>
    </row>
    <row r="4005" spans="1:3" ht="15.5">
      <c r="A4005" s="29">
        <v>38812</v>
      </c>
      <c r="B4005" s="28">
        <v>1.2459</v>
      </c>
      <c r="C4005" s="28" t="s">
        <v>1136</v>
      </c>
    </row>
    <row r="4006" spans="1:3" ht="15.5">
      <c r="A4006" s="29">
        <v>38811</v>
      </c>
      <c r="B4006" s="28">
        <v>1.2363999999999999</v>
      </c>
      <c r="C4006" s="28" t="s">
        <v>1136</v>
      </c>
    </row>
    <row r="4007" spans="1:3" ht="15.5">
      <c r="A4007" s="29">
        <v>38810</v>
      </c>
      <c r="B4007" s="28">
        <v>1.2412000000000001</v>
      </c>
      <c r="C4007" s="28" t="s">
        <v>1136</v>
      </c>
    </row>
    <row r="4008" spans="1:3" ht="15.5">
      <c r="A4008" s="29">
        <v>38807</v>
      </c>
      <c r="B4008" s="28">
        <v>1.2412000000000001</v>
      </c>
      <c r="C4008" s="28" t="s">
        <v>1136</v>
      </c>
    </row>
    <row r="4009" spans="1:3" ht="15.5">
      <c r="A4009" s="29">
        <v>38806</v>
      </c>
      <c r="B4009" s="28">
        <v>1.2316</v>
      </c>
      <c r="C4009" s="28" t="s">
        <v>1136</v>
      </c>
    </row>
    <row r="4010" spans="1:3" ht="15.5">
      <c r="A4010" s="29">
        <v>38805</v>
      </c>
      <c r="B4010" s="28">
        <v>1.2316</v>
      </c>
      <c r="C4010" s="28" t="s">
        <v>1136</v>
      </c>
    </row>
    <row r="4011" spans="1:3" ht="15.5">
      <c r="A4011" s="29">
        <v>38804</v>
      </c>
      <c r="B4011" s="28">
        <v>1.2363999999999999</v>
      </c>
      <c r="C4011" s="28" t="s">
        <v>1136</v>
      </c>
    </row>
    <row r="4012" spans="1:3" ht="15.5">
      <c r="A4012" s="29">
        <v>38803</v>
      </c>
      <c r="B4012" s="28">
        <v>1.2316</v>
      </c>
      <c r="C4012" s="28" t="s">
        <v>1136</v>
      </c>
    </row>
    <row r="4013" spans="1:3" ht="15.5">
      <c r="A4013" s="29">
        <v>38800</v>
      </c>
      <c r="B4013" s="28">
        <v>1.2316</v>
      </c>
      <c r="C4013" s="28" t="s">
        <v>1136</v>
      </c>
    </row>
    <row r="4014" spans="1:3" ht="15.5">
      <c r="A4014" s="29">
        <v>38799</v>
      </c>
      <c r="B4014" s="28">
        <v>1.2459</v>
      </c>
      <c r="C4014" s="28" t="s">
        <v>1136</v>
      </c>
    </row>
    <row r="4015" spans="1:3" ht="15.5">
      <c r="A4015" s="29">
        <v>38798</v>
      </c>
      <c r="B4015" s="28">
        <v>1.2412000000000001</v>
      </c>
      <c r="C4015" s="28" t="s">
        <v>1136</v>
      </c>
    </row>
    <row r="4016" spans="1:3" ht="15.5">
      <c r="A4016" s="29">
        <v>38797</v>
      </c>
      <c r="B4016" s="28">
        <v>1.2267999999999999</v>
      </c>
      <c r="C4016" s="28" t="s">
        <v>1136</v>
      </c>
    </row>
    <row r="4017" spans="1:3" ht="15.5">
      <c r="A4017" s="29">
        <v>38796</v>
      </c>
      <c r="B4017" s="28">
        <v>1.2316</v>
      </c>
      <c r="C4017" s="28" t="s">
        <v>1136</v>
      </c>
    </row>
    <row r="4018" spans="1:3" ht="15.5">
      <c r="A4018" s="29">
        <v>38793</v>
      </c>
      <c r="B4018" s="28">
        <v>1.2267999999999999</v>
      </c>
      <c r="C4018" s="28" t="s">
        <v>1136</v>
      </c>
    </row>
    <row r="4019" spans="1:3" ht="15.5">
      <c r="A4019" s="29">
        <v>38792</v>
      </c>
      <c r="B4019" s="28">
        <v>1.2506999999999999</v>
      </c>
      <c r="C4019" s="28" t="s">
        <v>1136</v>
      </c>
    </row>
    <row r="4020" spans="1:3" ht="15.5">
      <c r="A4020" s="29">
        <v>38791</v>
      </c>
      <c r="B4020" s="28">
        <v>1.2459</v>
      </c>
      <c r="C4020" s="28" t="s">
        <v>1136</v>
      </c>
    </row>
    <row r="4021" spans="1:3" ht="15.5">
      <c r="A4021" s="29">
        <v>38790</v>
      </c>
      <c r="B4021" s="28">
        <v>1.2603</v>
      </c>
      <c r="C4021" s="28" t="s">
        <v>1136</v>
      </c>
    </row>
    <row r="4022" spans="1:3" ht="15.5">
      <c r="A4022" s="29">
        <v>38789</v>
      </c>
      <c r="B4022" s="28">
        <v>1.2698</v>
      </c>
      <c r="C4022" s="28" t="s">
        <v>1136</v>
      </c>
    </row>
    <row r="4023" spans="1:3" ht="15.5">
      <c r="A4023" s="29">
        <v>38786</v>
      </c>
      <c r="B4023" s="28">
        <v>1.2649999999999999</v>
      </c>
      <c r="C4023" s="28" t="s">
        <v>1136</v>
      </c>
    </row>
    <row r="4024" spans="1:3" ht="15.5">
      <c r="A4024" s="29">
        <v>38785</v>
      </c>
      <c r="B4024" s="28">
        <v>1.2649999999999999</v>
      </c>
      <c r="C4024" s="28" t="s">
        <v>1136</v>
      </c>
    </row>
    <row r="4025" spans="1:3" ht="15.5">
      <c r="A4025" s="29">
        <v>38784</v>
      </c>
      <c r="B4025" s="28">
        <v>1.2649999999999999</v>
      </c>
      <c r="C4025" s="28" t="s">
        <v>1136</v>
      </c>
    </row>
    <row r="4026" spans="1:3" ht="15.5">
      <c r="A4026" s="29">
        <v>38783</v>
      </c>
      <c r="B4026" s="28">
        <v>1.2698</v>
      </c>
      <c r="C4026" s="28" t="s">
        <v>1136</v>
      </c>
    </row>
    <row r="4027" spans="1:3" ht="15.5">
      <c r="A4027" s="29">
        <v>38782</v>
      </c>
      <c r="B4027" s="28">
        <v>1.2698</v>
      </c>
      <c r="C4027" s="28" t="s">
        <v>1136</v>
      </c>
    </row>
    <row r="4028" spans="1:3" ht="15.5">
      <c r="A4028" s="29">
        <v>38779</v>
      </c>
      <c r="B4028" s="28">
        <v>1.2698</v>
      </c>
      <c r="C4028" s="28" t="s">
        <v>1136</v>
      </c>
    </row>
    <row r="4029" spans="1:3" ht="15.5">
      <c r="A4029" s="29">
        <v>38778</v>
      </c>
      <c r="B4029" s="28">
        <v>1.2603</v>
      </c>
      <c r="C4029" s="28" t="s">
        <v>1136</v>
      </c>
    </row>
    <row r="4030" spans="1:3" ht="15.5">
      <c r="A4030" s="29">
        <v>38777</v>
      </c>
      <c r="B4030" s="28">
        <v>1.2603</v>
      </c>
      <c r="C4030" s="28" t="s">
        <v>1136</v>
      </c>
    </row>
    <row r="4031" spans="1:3" ht="15.5">
      <c r="A4031" s="29">
        <v>38776</v>
      </c>
      <c r="B4031" s="28">
        <v>1.2649999999999999</v>
      </c>
      <c r="C4031" s="28" t="s">
        <v>1136</v>
      </c>
    </row>
    <row r="4032" spans="1:3" ht="15.5">
      <c r="A4032" s="29">
        <v>38775</v>
      </c>
      <c r="B4032" s="28">
        <v>1.2698</v>
      </c>
      <c r="C4032" s="28" t="s">
        <v>1136</v>
      </c>
    </row>
    <row r="4033" spans="1:3" ht="15.5">
      <c r="A4033" s="29">
        <v>38772</v>
      </c>
      <c r="B4033" s="28">
        <v>1.2746</v>
      </c>
      <c r="C4033" s="28" t="s">
        <v>1136</v>
      </c>
    </row>
    <row r="4034" spans="1:3" ht="15.5">
      <c r="A4034" s="29">
        <v>38771</v>
      </c>
      <c r="B4034" s="28">
        <v>1.2793000000000001</v>
      </c>
      <c r="C4034" s="28" t="s">
        <v>1136</v>
      </c>
    </row>
    <row r="4035" spans="1:3" ht="15.5">
      <c r="A4035" s="29">
        <v>38770</v>
      </c>
      <c r="B4035" s="28">
        <v>1.2746</v>
      </c>
      <c r="C4035" s="28" t="s">
        <v>1136</v>
      </c>
    </row>
    <row r="4036" spans="1:3" ht="15.5">
      <c r="A4036" s="29">
        <v>38769</v>
      </c>
      <c r="B4036" s="28">
        <v>1.2649999999999999</v>
      </c>
      <c r="C4036" s="28" t="s">
        <v>1136</v>
      </c>
    </row>
    <row r="4037" spans="1:3" ht="15.5">
      <c r="A4037" s="29">
        <v>38768</v>
      </c>
      <c r="B4037" s="28">
        <v>1.2698</v>
      </c>
      <c r="C4037" s="28" t="s">
        <v>1136</v>
      </c>
    </row>
    <row r="4038" spans="1:3" ht="15.5">
      <c r="A4038" s="29">
        <v>38765</v>
      </c>
      <c r="B4038" s="28">
        <v>1.2649999999999999</v>
      </c>
      <c r="C4038" s="28" t="s">
        <v>1136</v>
      </c>
    </row>
    <row r="4039" spans="1:3" ht="15.5">
      <c r="A4039" s="29">
        <v>38764</v>
      </c>
      <c r="B4039" s="28">
        <v>1.2459</v>
      </c>
      <c r="C4039" s="28" t="s">
        <v>1136</v>
      </c>
    </row>
    <row r="4040" spans="1:3" ht="15.5">
      <c r="A4040" s="29">
        <v>38763</v>
      </c>
      <c r="B4040" s="28">
        <v>1.2506999999999999</v>
      </c>
      <c r="C4040" s="28" t="s">
        <v>1136</v>
      </c>
    </row>
    <row r="4041" spans="1:3" ht="15.5">
      <c r="A4041" s="29">
        <v>38762</v>
      </c>
      <c r="B4041" s="28">
        <v>1.2506999999999999</v>
      </c>
      <c r="C4041" s="28" t="s">
        <v>1136</v>
      </c>
    </row>
    <row r="4042" spans="1:3" ht="15.5">
      <c r="A4042" s="29">
        <v>38761</v>
      </c>
      <c r="B4042" s="28">
        <v>1.2555000000000001</v>
      </c>
      <c r="C4042" s="28" t="s">
        <v>1136</v>
      </c>
    </row>
    <row r="4043" spans="1:3" ht="15.5">
      <c r="A4043" s="29">
        <v>38758</v>
      </c>
      <c r="B4043" s="28">
        <v>1.2603</v>
      </c>
      <c r="C4043" s="28" t="s">
        <v>1136</v>
      </c>
    </row>
    <row r="4044" spans="1:3" ht="15.5">
      <c r="A4044" s="29">
        <v>38757</v>
      </c>
      <c r="B4044" s="28">
        <v>1.2698</v>
      </c>
      <c r="C4044" s="28" t="s">
        <v>1136</v>
      </c>
    </row>
    <row r="4045" spans="1:3" ht="15.5">
      <c r="A4045" s="29">
        <v>38756</v>
      </c>
      <c r="B4045" s="28">
        <v>1.2698</v>
      </c>
      <c r="C4045" s="28" t="s">
        <v>1136</v>
      </c>
    </row>
    <row r="4046" spans="1:3" ht="15.5">
      <c r="A4046" s="29">
        <v>38755</v>
      </c>
      <c r="B4046" s="28">
        <v>1.2506999999999999</v>
      </c>
      <c r="C4046" s="28" t="s">
        <v>1136</v>
      </c>
    </row>
    <row r="4047" spans="1:3" ht="15.5">
      <c r="A4047" s="29">
        <v>38754</v>
      </c>
      <c r="B4047" s="28">
        <v>1.2459</v>
      </c>
      <c r="C4047" s="28" t="s">
        <v>1136</v>
      </c>
    </row>
    <row r="4048" spans="1:3" ht="15.5">
      <c r="A4048" s="29">
        <v>38751</v>
      </c>
      <c r="B4048" s="28">
        <v>1.2459</v>
      </c>
      <c r="C4048" s="28" t="s">
        <v>1136</v>
      </c>
    </row>
    <row r="4049" spans="1:3" ht="15.5">
      <c r="A4049" s="29">
        <v>38750</v>
      </c>
      <c r="B4049" s="28">
        <v>1.2316</v>
      </c>
      <c r="C4049" s="28" t="s">
        <v>1136</v>
      </c>
    </row>
    <row r="4050" spans="1:3" ht="15.5">
      <c r="A4050" s="29">
        <v>38749</v>
      </c>
      <c r="B4050" s="28">
        <v>1.2363999999999999</v>
      </c>
      <c r="C4050" s="28" t="s">
        <v>1136</v>
      </c>
    </row>
    <row r="4051" spans="1:3" ht="15.5">
      <c r="A4051" s="29">
        <v>38748</v>
      </c>
      <c r="B4051" s="28">
        <v>1.2412000000000001</v>
      </c>
      <c r="C4051" s="28" t="s">
        <v>1136</v>
      </c>
    </row>
    <row r="4052" spans="1:3" ht="15.5">
      <c r="A4052" s="29">
        <v>38747</v>
      </c>
      <c r="B4052" s="28">
        <v>1.2412000000000001</v>
      </c>
      <c r="C4052" s="28" t="s">
        <v>1136</v>
      </c>
    </row>
    <row r="4053" spans="1:3" ht="15.5">
      <c r="A4053" s="29">
        <v>38744</v>
      </c>
      <c r="B4053" s="28">
        <v>1.2316</v>
      </c>
      <c r="C4053" s="28" t="s">
        <v>1136</v>
      </c>
    </row>
    <row r="4054" spans="1:3" ht="15.5">
      <c r="A4054" s="29">
        <v>38742</v>
      </c>
      <c r="B4054" s="28">
        <v>1.2316</v>
      </c>
      <c r="C4054" s="28" t="s">
        <v>1136</v>
      </c>
    </row>
    <row r="4055" spans="1:3" ht="15.5">
      <c r="A4055" s="29">
        <v>38741</v>
      </c>
      <c r="B4055" s="28">
        <v>1.2363999999999999</v>
      </c>
      <c r="C4055" s="28" t="s">
        <v>1136</v>
      </c>
    </row>
    <row r="4056" spans="1:3" ht="15.5">
      <c r="A4056" s="29">
        <v>38740</v>
      </c>
      <c r="B4056" s="28">
        <v>1.2459</v>
      </c>
      <c r="C4056" s="28" t="s">
        <v>1136</v>
      </c>
    </row>
    <row r="4057" spans="1:3" ht="15.5">
      <c r="A4057" s="29">
        <v>38737</v>
      </c>
      <c r="B4057" s="28">
        <v>1.2459</v>
      </c>
      <c r="C4057" s="28" t="s">
        <v>1136</v>
      </c>
    </row>
    <row r="4058" spans="1:3" ht="15.5">
      <c r="A4058" s="29">
        <v>38736</v>
      </c>
      <c r="B4058" s="28">
        <v>1.2506999999999999</v>
      </c>
      <c r="C4058" s="28" t="s">
        <v>1136</v>
      </c>
    </row>
    <row r="4059" spans="1:3" ht="15.5">
      <c r="A4059" s="29">
        <v>38735</v>
      </c>
      <c r="B4059" s="28">
        <v>1.2412000000000001</v>
      </c>
      <c r="C4059" s="28" t="s">
        <v>1136</v>
      </c>
    </row>
    <row r="4060" spans="1:3" ht="15.5">
      <c r="A4060" s="29">
        <v>38734</v>
      </c>
      <c r="B4060" s="28">
        <v>1.2316</v>
      </c>
      <c r="C4060" s="28" t="s">
        <v>1136</v>
      </c>
    </row>
    <row r="4061" spans="1:3" ht="15.5">
      <c r="A4061" s="29">
        <v>38733</v>
      </c>
      <c r="B4061" s="28">
        <v>1.2459</v>
      </c>
      <c r="C4061" s="28" t="s">
        <v>1136</v>
      </c>
    </row>
    <row r="4062" spans="1:3" ht="15.5">
      <c r="A4062" s="29">
        <v>38730</v>
      </c>
      <c r="B4062" s="28">
        <v>1.2412000000000001</v>
      </c>
      <c r="C4062" s="28" t="s">
        <v>1136</v>
      </c>
    </row>
    <row r="4063" spans="1:3" ht="15.5">
      <c r="A4063" s="29">
        <v>38729</v>
      </c>
      <c r="B4063" s="28">
        <v>1.2506999999999999</v>
      </c>
      <c r="C4063" s="28" t="s">
        <v>1136</v>
      </c>
    </row>
    <row r="4064" spans="1:3" ht="15.5">
      <c r="A4064" s="29">
        <v>38728</v>
      </c>
      <c r="B4064" s="28">
        <v>1.2555000000000001</v>
      </c>
      <c r="C4064" s="28" t="s">
        <v>1136</v>
      </c>
    </row>
    <row r="4065" spans="1:3" ht="15.5">
      <c r="A4065" s="29">
        <v>38727</v>
      </c>
      <c r="B4065" s="28">
        <v>1.2459</v>
      </c>
      <c r="C4065" s="28" t="s">
        <v>1136</v>
      </c>
    </row>
    <row r="4066" spans="1:3" ht="15.5">
      <c r="A4066" s="29">
        <v>38726</v>
      </c>
      <c r="B4066" s="28">
        <v>1.2412000000000001</v>
      </c>
      <c r="C4066" s="28" t="s">
        <v>1136</v>
      </c>
    </row>
    <row r="4067" spans="1:3" ht="15.5">
      <c r="A4067" s="29">
        <v>38723</v>
      </c>
      <c r="B4067" s="28">
        <v>1.2555000000000001</v>
      </c>
      <c r="C4067" s="28" t="s">
        <v>1136</v>
      </c>
    </row>
    <row r="4068" spans="1:3" ht="15.5">
      <c r="A4068" s="29">
        <v>38722</v>
      </c>
      <c r="B4068" s="28">
        <v>1.2649999999999999</v>
      </c>
      <c r="C4068" s="28" t="s">
        <v>1136</v>
      </c>
    </row>
    <row r="4069" spans="1:3" ht="15.5">
      <c r="A4069" s="29">
        <v>38721</v>
      </c>
      <c r="B4069" s="28">
        <v>1.2649999999999999</v>
      </c>
      <c r="C4069" s="28" t="s">
        <v>1136</v>
      </c>
    </row>
    <row r="4070" spans="1:3" ht="15.5">
      <c r="A4070" s="29">
        <v>38720</v>
      </c>
      <c r="B4070" s="28">
        <v>1.2841</v>
      </c>
      <c r="C4070" s="28" t="s">
        <v>1136</v>
      </c>
    </row>
    <row r="4071" spans="1:3" ht="15.5">
      <c r="A4071" s="29">
        <v>38716</v>
      </c>
      <c r="B4071" s="28">
        <v>1.2649999999999999</v>
      </c>
      <c r="C4071" s="28" t="s">
        <v>1136</v>
      </c>
    </row>
    <row r="4072" spans="1:3" ht="15.5">
      <c r="A4072" s="29">
        <v>38715</v>
      </c>
      <c r="B4072" s="28">
        <v>1.2793000000000001</v>
      </c>
      <c r="C4072" s="28" t="s">
        <v>1136</v>
      </c>
    </row>
    <row r="4073" spans="1:3" ht="15.5">
      <c r="A4073" s="29">
        <v>38714</v>
      </c>
      <c r="B4073" s="28">
        <v>1.3080000000000001</v>
      </c>
      <c r="C4073" s="28" t="s">
        <v>1136</v>
      </c>
    </row>
    <row r="4074" spans="1:3" ht="15.5">
      <c r="A4074" s="29">
        <v>38709</v>
      </c>
      <c r="B4074" s="28">
        <v>1.3128</v>
      </c>
      <c r="C4074" s="28" t="s">
        <v>1136</v>
      </c>
    </row>
    <row r="4075" spans="1:3" ht="15.5">
      <c r="A4075" s="29">
        <v>38708</v>
      </c>
      <c r="B4075" s="28">
        <v>1.2937000000000001</v>
      </c>
      <c r="C4075" s="28" t="s">
        <v>1136</v>
      </c>
    </row>
    <row r="4076" spans="1:3" ht="15.5">
      <c r="A4076" s="29">
        <v>38707</v>
      </c>
      <c r="B4076" s="28">
        <v>1.2841</v>
      </c>
      <c r="C4076" s="28" t="s">
        <v>1136</v>
      </c>
    </row>
    <row r="4077" spans="1:3" ht="15.5">
      <c r="A4077" s="29">
        <v>38706</v>
      </c>
      <c r="B4077" s="28">
        <v>1.2603</v>
      </c>
      <c r="C4077" s="28" t="s">
        <v>1136</v>
      </c>
    </row>
    <row r="4078" spans="1:3" ht="15.5">
      <c r="A4078" s="29">
        <v>38705</v>
      </c>
      <c r="B4078" s="28">
        <v>1.2459</v>
      </c>
      <c r="C4078" s="28" t="s">
        <v>1136</v>
      </c>
    </row>
    <row r="4079" spans="1:3" ht="15.5">
      <c r="A4079" s="29">
        <v>38702</v>
      </c>
      <c r="B4079" s="28">
        <v>1.2316</v>
      </c>
      <c r="C4079" s="28" t="s">
        <v>1136</v>
      </c>
    </row>
    <row r="4080" spans="1:3" ht="15.5">
      <c r="A4080" s="29">
        <v>38701</v>
      </c>
      <c r="B4080" s="28">
        <v>1.2363999999999999</v>
      </c>
      <c r="C4080" s="28" t="s">
        <v>1136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C31D9-4CFF-4142-8735-9B11C07D12AA}">
  <sheetPr codeName="Sheet5">
    <tabColor theme="5"/>
  </sheetPr>
  <dimension ref="A1:T64"/>
  <sheetViews>
    <sheetView showGridLines="0" zoomScale="85" zoomScaleNormal="85" workbookViewId="0">
      <pane xSplit="5" ySplit="4" topLeftCell="F5" activePane="bottomRight" state="frozen"/>
      <selection pane="topRight" activeCell="F1" sqref="F1"/>
      <selection pane="bottomLeft" activeCell="A5" sqref="A5"/>
      <selection pane="bottomRight" activeCell="F5" sqref="F5"/>
    </sheetView>
  </sheetViews>
  <sheetFormatPr defaultRowHeight="14.25"/>
  <cols>
    <col min="2" max="2" width="29.33203125" customWidth="1"/>
    <col min="3" max="3" width="1.83203125" customWidth="1"/>
    <col min="4" max="4" width="18.58203125" customWidth="1"/>
    <col min="5" max="5" width="4.33203125" customWidth="1"/>
    <col min="6" max="6" width="1.5" customWidth="1"/>
    <col min="7" max="7" width="17.33203125" bestFit="1" customWidth="1"/>
    <col min="8" max="8" width="25.58203125" bestFit="1" customWidth="1"/>
    <col min="9" max="11" width="17.33203125" bestFit="1" customWidth="1"/>
    <col min="12" max="12" width="20.83203125" bestFit="1" customWidth="1"/>
    <col min="13" max="13" width="20.83203125" customWidth="1"/>
    <col min="14" max="17" width="18.58203125" bestFit="1" customWidth="1"/>
    <col min="18" max="18" width="18.83203125" customWidth="1"/>
    <col min="19" max="20" width="20.08203125" customWidth="1"/>
  </cols>
  <sheetData>
    <row r="1" spans="1:19" ht="20" thickBot="1">
      <c r="A1" s="32" t="s">
        <v>45</v>
      </c>
      <c r="B1" s="32"/>
      <c r="C1" s="32"/>
      <c r="D1" s="32"/>
      <c r="E1" s="32"/>
      <c r="F1" s="32"/>
      <c r="G1" s="32"/>
      <c r="H1" s="32"/>
      <c r="I1" s="32"/>
      <c r="J1" s="32"/>
      <c r="K1" s="32"/>
      <c r="L1" s="32"/>
      <c r="M1" s="32"/>
      <c r="N1" s="32"/>
      <c r="O1" s="32"/>
      <c r="P1" s="32"/>
      <c r="Q1" s="32"/>
      <c r="R1" s="32"/>
    </row>
    <row r="2" spans="1:19" ht="15" thickTop="1"/>
    <row r="4" spans="1:19">
      <c r="B4" s="116" t="s">
        <v>46</v>
      </c>
      <c r="E4" t="s">
        <v>47</v>
      </c>
      <c r="H4" s="1">
        <v>2011</v>
      </c>
      <c r="I4" s="1">
        <v>2012</v>
      </c>
      <c r="J4" s="1">
        <v>2013</v>
      </c>
      <c r="K4" s="1">
        <v>2014</v>
      </c>
      <c r="L4" s="1">
        <v>2015</v>
      </c>
      <c r="M4" s="1">
        <v>2016</v>
      </c>
      <c r="N4" s="1">
        <v>2017</v>
      </c>
      <c r="O4" s="1">
        <v>2018</v>
      </c>
      <c r="P4" s="1">
        <v>2019</v>
      </c>
      <c r="Q4" s="1">
        <v>2020</v>
      </c>
      <c r="R4" s="1">
        <v>2021</v>
      </c>
      <c r="S4" s="1">
        <v>2022</v>
      </c>
    </row>
    <row r="5" spans="1:19">
      <c r="B5" s="116"/>
    </row>
    <row r="6" spans="1:19" s="136" customFormat="1" ht="17.5" thickBot="1">
      <c r="A6"/>
      <c r="B6" s="136" t="s">
        <v>48</v>
      </c>
    </row>
    <row r="7" spans="1:19" ht="15" thickTop="1">
      <c r="D7" s="116"/>
    </row>
    <row r="8" spans="1:19">
      <c r="B8" s="5" t="s">
        <v>49</v>
      </c>
    </row>
    <row r="9" spans="1:19">
      <c r="B9" s="5"/>
    </row>
    <row r="10" spans="1:19">
      <c r="B10" t="s">
        <v>50</v>
      </c>
      <c r="D10" t="s">
        <v>51</v>
      </c>
      <c r="G10" s="64"/>
      <c r="H10" s="171">
        <f>('Trailing average adjustment'!E152+'SKI - RIN'!G21*1000+'SKI - RIN'!G31*1000)/2</f>
        <v>1371303359.6332338</v>
      </c>
      <c r="I10" s="171">
        <f>('Trailing average adjustment'!F152+'Trailing average adjustment'!E152)/2</f>
        <v>1473406332.7433653</v>
      </c>
      <c r="J10" s="171">
        <f>('Trailing average adjustment'!G152+'Trailing average adjustment'!F152)/2</f>
        <v>1566679583.8599472</v>
      </c>
      <c r="K10" s="171">
        <f>('Trailing average adjustment'!H152+'Trailing average adjustment'!G152)/2</f>
        <v>1665626189.5219607</v>
      </c>
      <c r="L10" s="171">
        <f>('Trailing average adjustment'!I152+'Trailing average adjustment'!H152)/2</f>
        <v>1742126902.7153296</v>
      </c>
      <c r="M10" s="171">
        <f>('Trailing average adjustment'!J152+'Trailing average adjustment'!I152)/2</f>
        <v>1850381195.4430184</v>
      </c>
      <c r="N10" s="171">
        <f>('Trailing average adjustment'!K152+'Trailing average adjustment'!J152)/2</f>
        <v>1941637767.7484183</v>
      </c>
      <c r="O10" s="171">
        <f>('Trailing average adjustment'!L152+'Trailing average adjustment'!K152)/2</f>
        <v>1956443086.4824557</v>
      </c>
      <c r="P10" s="171">
        <f>('Trailing average adjustment'!M152+'Trailing average adjustment'!L152)/2</f>
        <v>1969172971.7340374</v>
      </c>
      <c r="Q10" s="171">
        <f>('Trailing average adjustment'!N152+'Trailing average adjustment'!M152)/2</f>
        <v>1994184276</v>
      </c>
      <c r="R10" s="171">
        <f>'Trailing average adjustment'!O152</f>
        <v>1983468724.7530122</v>
      </c>
      <c r="S10" s="64"/>
    </row>
    <row r="11" spans="1:19">
      <c r="B11" t="s">
        <v>52</v>
      </c>
      <c r="D11" t="s">
        <v>51</v>
      </c>
      <c r="G11" s="64"/>
      <c r="H11" s="171">
        <f>('Trailing average adjustment'!E189+'SKI - RIN'!G51*1000+'SKI - RIN'!G61*1000)/2</f>
        <v>2352747557.3706975</v>
      </c>
      <c r="I11" s="171">
        <f>('Trailing average adjustment'!F189+'Trailing average adjustment'!E189)/2</f>
        <v>2559829268.9970593</v>
      </c>
      <c r="J11" s="171">
        <f>('Trailing average adjustment'!G189+'Trailing average adjustment'!F189)/2</f>
        <v>2780118934.6050406</v>
      </c>
      <c r="K11" s="171">
        <f>('Trailing average adjustment'!H189+'Trailing average adjustment'!G189)/2</f>
        <v>3014805226.3779879</v>
      </c>
      <c r="L11" s="171">
        <f>('Trailing average adjustment'!I189+'Trailing average adjustment'!H189)/2</f>
        <v>3230309345.5610743</v>
      </c>
      <c r="M11" s="171">
        <f>('Trailing average adjustment'!J189+'Trailing average adjustment'!I189)/2</f>
        <v>3546825297.9552879</v>
      </c>
      <c r="N11" s="171">
        <f>('Trailing average adjustment'!K189+'Trailing average adjustment'!J189)/2</f>
        <v>3868280835.9155154</v>
      </c>
      <c r="O11" s="171">
        <f>('Trailing average adjustment'!L189+'Trailing average adjustment'!K189)/2</f>
        <v>4059003561.1164937</v>
      </c>
      <c r="P11" s="171">
        <f>('Trailing average adjustment'!M189+'Trailing average adjustment'!L189)/2</f>
        <v>4257478737.2009783</v>
      </c>
      <c r="Q11" s="171">
        <f>('Trailing average adjustment'!N189+'Trailing average adjustment'!M189)/2</f>
        <v>4476523891.5</v>
      </c>
      <c r="R11" s="171">
        <f>'Trailing average adjustment'!O189</f>
        <v>4524047197.9340792</v>
      </c>
      <c r="S11" s="64"/>
    </row>
    <row r="12" spans="1:19">
      <c r="B12" t="s">
        <v>43</v>
      </c>
      <c r="D12" t="s">
        <v>51</v>
      </c>
      <c r="G12" s="64"/>
      <c r="H12" s="171">
        <f>'Trailing average adjustment'!E226</f>
        <v>4724751887.6782007</v>
      </c>
      <c r="I12" s="171">
        <f>'Trailing average adjustment'!F226</f>
        <v>4981986045.157649</v>
      </c>
      <c r="J12" s="171">
        <f>'Trailing average adjustment'!G226</f>
        <v>5288644187.7974691</v>
      </c>
      <c r="K12" s="171">
        <f>'Trailing average adjustment'!H226</f>
        <v>5833875360.7173347</v>
      </c>
      <c r="L12" s="171">
        <f>'Trailing average adjustment'!I226</f>
        <v>5983666284.3869867</v>
      </c>
      <c r="M12" s="171">
        <f>'Trailing average adjustment'!J226</f>
        <v>6082443295.085988</v>
      </c>
      <c r="N12" s="171">
        <f>'Trailing average adjustment'!K226</f>
        <v>6030010661.7457294</v>
      </c>
      <c r="O12" s="171">
        <f>'Trailing average adjustment'!L226</f>
        <v>6053065301.0150719</v>
      </c>
      <c r="P12" s="171">
        <f>'Trailing average adjustment'!M226</f>
        <v>6317014244.8444128</v>
      </c>
      <c r="Q12" s="171">
        <f>'Trailing average adjustment'!N226</f>
        <v>6373474963</v>
      </c>
      <c r="R12" s="171">
        <f>'Trailing average adjustment'!O226</f>
        <v>6351267726.663763</v>
      </c>
      <c r="S12" s="64"/>
    </row>
    <row r="13" spans="1:19">
      <c r="B13" t="s">
        <v>53</v>
      </c>
      <c r="D13" t="s">
        <v>51</v>
      </c>
      <c r="G13" s="64"/>
      <c r="H13" s="171">
        <f>'Trailing average adjustment'!E115</f>
        <v>3149184101.4788342</v>
      </c>
      <c r="I13" s="171">
        <f>'Trailing average adjustment'!F115</f>
        <v>3337033760.3329821</v>
      </c>
      <c r="J13" s="171">
        <f>'Trailing average adjustment'!G115</f>
        <v>3547866809.2124777</v>
      </c>
      <c r="K13" s="171">
        <f>'Trailing average adjustment'!H115</f>
        <v>3715955576.4281383</v>
      </c>
      <c r="L13" s="171">
        <f>'Trailing average adjustment'!I115</f>
        <v>3837316330.5772347</v>
      </c>
      <c r="M13" s="171">
        <f>'Trailing average adjustment'!J115</f>
        <v>3933779885.7872362</v>
      </c>
      <c r="N13" s="171">
        <f>'Trailing average adjustment'!K115</f>
        <v>3971622211.5831723</v>
      </c>
      <c r="O13" s="171">
        <f>'Trailing average adjustment'!L115</f>
        <v>4119057011.4600005</v>
      </c>
      <c r="P13" s="171">
        <f>'Trailing average adjustment'!M115</f>
        <v>4274016713.2400002</v>
      </c>
      <c r="Q13" s="171">
        <f>'Trailing average adjustment'!N115</f>
        <v>4319762281.5799999</v>
      </c>
      <c r="R13" s="171">
        <f>'Trailing average adjustment'!O115</f>
        <v>4304710863.2588148</v>
      </c>
      <c r="S13" s="64"/>
    </row>
    <row r="14" spans="1:19">
      <c r="B14" t="s">
        <v>54</v>
      </c>
      <c r="G14" s="64"/>
      <c r="H14" s="171"/>
      <c r="I14" s="171"/>
      <c r="J14" s="171">
        <f>('Annual Report'!H90+'Annual Report'!H104+'Annual Report'!H111)*1000000</f>
        <v>6689500000</v>
      </c>
      <c r="K14" s="171">
        <f>('Annual Report'!I90+'Annual Report'!I104+'Annual Report'!I111)*1000000</f>
        <v>6874300000</v>
      </c>
      <c r="L14" s="171">
        <f>('Annual Report'!J90+'Annual Report'!J104+'Annual Report'!J111)*1000000</f>
        <v>7011599999.999999</v>
      </c>
      <c r="M14" s="171"/>
      <c r="N14" s="171"/>
      <c r="O14" s="171"/>
      <c r="P14" s="171"/>
      <c r="Q14" s="171"/>
      <c r="R14" s="171"/>
      <c r="S14" s="64"/>
    </row>
    <row r="15" spans="1:19">
      <c r="G15" s="64"/>
      <c r="H15" s="64"/>
      <c r="I15" s="64"/>
      <c r="J15" s="64"/>
      <c r="K15" s="64"/>
      <c r="L15" s="64"/>
      <c r="M15" s="64"/>
      <c r="N15" s="64"/>
      <c r="O15" s="64"/>
      <c r="P15" s="64"/>
      <c r="Q15" s="64"/>
      <c r="R15" s="64"/>
      <c r="S15" s="64"/>
    </row>
    <row r="16" spans="1:19">
      <c r="G16" s="64"/>
      <c r="H16" s="64"/>
      <c r="I16" s="64"/>
      <c r="J16" s="64"/>
      <c r="K16" s="64"/>
      <c r="L16" s="64"/>
      <c r="M16" s="64"/>
      <c r="N16" s="64"/>
      <c r="O16" s="64"/>
      <c r="P16" s="64"/>
      <c r="Q16" s="64"/>
      <c r="R16" s="64"/>
      <c r="S16" s="64"/>
    </row>
    <row r="17" spans="2:19">
      <c r="B17" s="5" t="s">
        <v>55</v>
      </c>
      <c r="G17" s="64"/>
      <c r="H17" s="64"/>
      <c r="I17" s="64"/>
      <c r="J17" s="64"/>
      <c r="K17" s="64"/>
      <c r="L17" s="64"/>
      <c r="M17" s="64"/>
      <c r="N17" s="64"/>
      <c r="O17" s="64"/>
      <c r="P17" s="64"/>
      <c r="Q17" s="64"/>
      <c r="R17" s="64"/>
      <c r="S17" s="64"/>
    </row>
    <row r="18" spans="2:19">
      <c r="G18" s="64"/>
      <c r="H18" s="64"/>
      <c r="I18" s="64"/>
      <c r="J18" s="64"/>
      <c r="K18" s="64"/>
      <c r="L18" s="64"/>
      <c r="M18" s="64"/>
      <c r="N18" s="64"/>
      <c r="O18" s="64"/>
      <c r="P18" s="64"/>
      <c r="Q18" s="64"/>
      <c r="R18" s="64"/>
      <c r="S18" s="64"/>
    </row>
    <row r="19" spans="2:19">
      <c r="B19" t="s">
        <v>50</v>
      </c>
      <c r="D19" t="s">
        <v>51</v>
      </c>
      <c r="G19" s="64"/>
      <c r="H19" s="171">
        <f>H10</f>
        <v>1371303359.6332338</v>
      </c>
      <c r="I19" s="171">
        <f>('Trailing average adjustment'!F184+'Trailing average adjustment'!E184)/2</f>
        <v>1473406332.7433653</v>
      </c>
      <c r="J19" s="171">
        <f>('Trailing average adjustment'!G184+'Trailing average adjustment'!F184)/2</f>
        <v>1566679583.8599472</v>
      </c>
      <c r="K19" s="171">
        <f>('Trailing average adjustment'!H184+'Trailing average adjustment'!G184)/2</f>
        <v>1665626189.5219607</v>
      </c>
      <c r="L19" s="171">
        <f>('Trailing average adjustment'!I184+'Trailing average adjustment'!H184)/2</f>
        <v>1742126902.7153296</v>
      </c>
      <c r="M19" s="171">
        <f>('Trailing average adjustment'!J184+'Trailing average adjustment'!I184)/2</f>
        <v>1850381195.4430184</v>
      </c>
      <c r="N19" s="171">
        <f>('Trailing average adjustment'!K184+'Trailing average adjustment'!J184)/2</f>
        <v>1973743642.9070563</v>
      </c>
      <c r="O19" s="171">
        <f>('Trailing average adjustment'!L184+'Trailing average adjustment'!K184)/2</f>
        <v>2006714238.603461</v>
      </c>
      <c r="P19" s="171">
        <f>('Trailing average adjustment'!M184+'Trailing average adjustment'!L184)/2</f>
        <v>2059698477.347692</v>
      </c>
      <c r="Q19" s="171">
        <f>('Trailing average adjustment'!N184+'Trailing average adjustment'!M184)/2</f>
        <v>2152980255.4991951</v>
      </c>
      <c r="R19" s="171">
        <f>'Trailing average adjustment'!O184</f>
        <v>2092210021.259815</v>
      </c>
      <c r="S19" s="64"/>
    </row>
    <row r="20" spans="2:19">
      <c r="B20" t="s">
        <v>52</v>
      </c>
      <c r="D20" t="s">
        <v>51</v>
      </c>
      <c r="G20" s="64"/>
      <c r="H20" s="171">
        <f>H11</f>
        <v>2352747557.3706975</v>
      </c>
      <c r="I20" s="171">
        <f>('Trailing average adjustment'!F221+'Trailing average adjustment'!E221)/2</f>
        <v>2559829268.9970593</v>
      </c>
      <c r="J20" s="171">
        <f>('Trailing average adjustment'!G221+'Trailing average adjustment'!F221)/2</f>
        <v>2780118934.6050406</v>
      </c>
      <c r="K20" s="171">
        <f>('Trailing average adjustment'!H221+'Trailing average adjustment'!G221)/2</f>
        <v>3014805226.3779879</v>
      </c>
      <c r="L20" s="171">
        <f>('Trailing average adjustment'!I221+'Trailing average adjustment'!H221)/2</f>
        <v>3230309345.5610743</v>
      </c>
      <c r="M20" s="171">
        <f>('Trailing average adjustment'!J221+'Trailing average adjustment'!I221)/2</f>
        <v>3546825297.9552879</v>
      </c>
      <c r="N20" s="171">
        <f>('Trailing average adjustment'!K221+'Trailing average adjustment'!J221)/2</f>
        <v>3933553940.0290761</v>
      </c>
      <c r="O20" s="171">
        <f>('Trailing average adjustment'!L221+'Trailing average adjustment'!K221)/2</f>
        <v>4162713747.2459688</v>
      </c>
      <c r="P20" s="171">
        <f>('Trailing average adjustment'!M221+'Trailing average adjustment'!L221)/2</f>
        <v>4455683812.9130192</v>
      </c>
      <c r="Q20" s="171">
        <f>('Trailing average adjustment'!N221+'Trailing average adjustment'!M221)/2</f>
        <v>4833441153.7426195</v>
      </c>
      <c r="R20" s="171">
        <f>'Trailing average adjustment'!O221</f>
        <v>4772072665.4506283</v>
      </c>
      <c r="S20" s="64"/>
    </row>
    <row r="21" spans="2:19">
      <c r="B21" t="s">
        <v>43</v>
      </c>
      <c r="D21" t="s">
        <v>51</v>
      </c>
      <c r="G21" s="64"/>
      <c r="H21" s="171">
        <f>'Trailing average adjustment'!E261</f>
        <v>4724751887.6782007</v>
      </c>
      <c r="I21" s="171">
        <f>'Trailing average adjustment'!F261</f>
        <v>4981986045.157649</v>
      </c>
      <c r="J21" s="171">
        <f>'Trailing average adjustment'!G261</f>
        <v>5288644187.7974691</v>
      </c>
      <c r="K21" s="171">
        <f>'Trailing average adjustment'!H261</f>
        <v>5833875360.7173347</v>
      </c>
      <c r="L21" s="171">
        <f>'Trailing average adjustment'!I261</f>
        <v>5983666284.3869867</v>
      </c>
      <c r="M21" s="171">
        <f>'Trailing average adjustment'!J261</f>
        <v>6160328706.0173359</v>
      </c>
      <c r="N21" s="171">
        <f>'Trailing average adjustment'!K261</f>
        <v>6227093558.6966419</v>
      </c>
      <c r="O21" s="171">
        <f>'Trailing average adjustment'!L261</f>
        <v>6212779037.4688606</v>
      </c>
      <c r="P21" s="171">
        <f>'Trailing average adjustment'!M261</f>
        <v>6684741840.5041428</v>
      </c>
      <c r="Q21" s="171">
        <f>'Trailing average adjustment'!N261</f>
        <v>6702280785.0186882</v>
      </c>
      <c r="R21" s="171">
        <f>'Trailing average adjustment'!O261</f>
        <v>6723231742.0956383</v>
      </c>
      <c r="S21" s="64"/>
    </row>
    <row r="22" spans="2:19">
      <c r="B22" t="s">
        <v>53</v>
      </c>
      <c r="D22" t="s">
        <v>51</v>
      </c>
      <c r="G22" s="64"/>
      <c r="H22" s="171">
        <f>'Trailing average adjustment'!E147</f>
        <v>3149184101.4788342</v>
      </c>
      <c r="I22" s="171">
        <f>'Trailing average adjustment'!F147</f>
        <v>3337033760.3329821</v>
      </c>
      <c r="J22" s="171">
        <f>'Trailing average adjustment'!G147</f>
        <v>3547866809.2124777</v>
      </c>
      <c r="K22" s="171">
        <f>'Trailing average adjustment'!H147</f>
        <v>3715955576.4281383</v>
      </c>
      <c r="L22" s="171">
        <f>'Trailing average adjustment'!I147</f>
        <v>3837316330.5772347</v>
      </c>
      <c r="M22" s="171">
        <f>'Trailing average adjustment'!J147</f>
        <v>3933779885.7872362</v>
      </c>
      <c r="N22" s="171">
        <f>'Trailing average adjustment'!K147</f>
        <v>4047737531.9226813</v>
      </c>
      <c r="O22" s="171">
        <f>'Trailing average adjustment'!L147</f>
        <v>4193799280.257771</v>
      </c>
      <c r="P22" s="171">
        <f>'Trailing average adjustment'!M147</f>
        <v>4499858269.3586025</v>
      </c>
      <c r="Q22" s="171">
        <f>'Trailing average adjustment'!N147</f>
        <v>4525775655.0752373</v>
      </c>
      <c r="R22" s="171">
        <f>'Trailing average adjustment'!O147</f>
        <v>4558697386.6931248</v>
      </c>
      <c r="S22" s="64"/>
    </row>
    <row r="23" spans="2:19">
      <c r="B23" t="s">
        <v>54</v>
      </c>
      <c r="G23" s="64"/>
      <c r="H23" s="171">
        <f>('Annual Report'!D90+'Annual Report'!D104+'Annual Report'!D111)*1000000</f>
        <v>0</v>
      </c>
      <c r="I23" s="171">
        <f>('Annual Report'!E90+'Annual Report'!E104+'Annual Report'!E111)*1000000</f>
        <v>0</v>
      </c>
      <c r="J23" s="171">
        <f>('Annual Report'!H90+'Annual Report'!H104+'Annual Report'!H111)*1000000</f>
        <v>6689500000</v>
      </c>
      <c r="K23" s="171">
        <f>('Annual Report'!I90+'Annual Report'!I104+'Annual Report'!I111)*1000000</f>
        <v>6874300000</v>
      </c>
      <c r="L23" s="171">
        <f>('Annual Report'!J90+'Annual Report'!J104+'Annual Report'!J111)*1000000</f>
        <v>7011599999.999999</v>
      </c>
      <c r="M23" s="171"/>
      <c r="N23" s="171"/>
      <c r="O23" s="171"/>
      <c r="P23" s="171"/>
      <c r="Q23" s="171"/>
      <c r="R23" s="171"/>
      <c r="S23" s="64"/>
    </row>
    <row r="24" spans="2:19">
      <c r="G24" s="64"/>
      <c r="H24" s="64"/>
      <c r="I24" s="64"/>
      <c r="J24" s="64"/>
      <c r="K24" s="64"/>
      <c r="L24" s="64"/>
      <c r="M24" s="64"/>
      <c r="N24" s="64"/>
      <c r="O24" s="64"/>
      <c r="P24" s="64"/>
      <c r="Q24" s="64"/>
      <c r="R24" s="64"/>
      <c r="S24" s="64"/>
    </row>
    <row r="25" spans="2:19">
      <c r="G25" s="64"/>
      <c r="H25" s="64"/>
      <c r="I25" s="64"/>
      <c r="J25" s="64"/>
      <c r="K25" s="64"/>
      <c r="L25" s="64"/>
      <c r="M25" s="64"/>
      <c r="N25" s="64"/>
      <c r="O25" s="64"/>
      <c r="P25" s="64"/>
      <c r="Q25" s="64"/>
      <c r="R25" s="64"/>
      <c r="S25" s="64"/>
    </row>
    <row r="26" spans="2:19">
      <c r="G26" s="64"/>
      <c r="H26" s="64"/>
      <c r="I26" s="64"/>
      <c r="J26" s="64"/>
      <c r="K26" s="64"/>
      <c r="L26" s="64"/>
      <c r="M26" s="64"/>
      <c r="N26" s="64"/>
      <c r="O26" s="64"/>
      <c r="P26" s="64"/>
      <c r="Q26" s="64"/>
      <c r="R26" s="64"/>
      <c r="S26" s="64"/>
    </row>
    <row r="27" spans="2:19">
      <c r="B27" s="148" t="s">
        <v>56</v>
      </c>
      <c r="G27" s="64"/>
      <c r="H27" s="64"/>
      <c r="I27" s="64"/>
      <c r="J27" s="64"/>
      <c r="K27" s="64"/>
      <c r="L27" s="64"/>
      <c r="M27" s="64"/>
      <c r="N27" s="64"/>
      <c r="O27" s="64"/>
      <c r="P27" s="64"/>
      <c r="Q27" s="64"/>
      <c r="R27" s="64"/>
      <c r="S27" s="64"/>
    </row>
    <row r="29" spans="2:19">
      <c r="B29" t="s">
        <v>50</v>
      </c>
      <c r="D29" t="s">
        <v>57</v>
      </c>
      <c r="G29" s="7"/>
      <c r="H29" s="172">
        <v>0.49</v>
      </c>
      <c r="I29" s="172">
        <v>0.49</v>
      </c>
      <c r="J29" s="172">
        <v>0.49</v>
      </c>
      <c r="K29" s="172">
        <v>0.49</v>
      </c>
      <c r="L29" s="172">
        <v>0.49</v>
      </c>
      <c r="M29" s="172">
        <v>0.49</v>
      </c>
      <c r="N29" s="172">
        <v>0.49</v>
      </c>
      <c r="O29" s="172">
        <v>0.49</v>
      </c>
      <c r="P29" s="172">
        <v>0.49</v>
      </c>
      <c r="Q29" s="172">
        <v>0.49</v>
      </c>
      <c r="R29" s="172">
        <v>0.49</v>
      </c>
      <c r="S29" s="7"/>
    </row>
    <row r="30" spans="2:19">
      <c r="B30" t="s">
        <v>52</v>
      </c>
      <c r="D30" t="s">
        <v>57</v>
      </c>
      <c r="G30" s="7"/>
      <c r="H30" s="172">
        <v>0.49</v>
      </c>
      <c r="I30" s="172">
        <v>0.49</v>
      </c>
      <c r="J30" s="172">
        <v>0.49</v>
      </c>
      <c r="K30" s="172">
        <v>0.49</v>
      </c>
      <c r="L30" s="172">
        <v>0.49</v>
      </c>
      <c r="M30" s="172">
        <v>0.49</v>
      </c>
      <c r="N30" s="172">
        <v>0.49</v>
      </c>
      <c r="O30" s="172">
        <v>0.49</v>
      </c>
      <c r="P30" s="172">
        <v>0.49</v>
      </c>
      <c r="Q30" s="172">
        <v>0.49</v>
      </c>
      <c r="R30" s="172">
        <v>0.49</v>
      </c>
      <c r="S30" s="7"/>
    </row>
    <row r="31" spans="2:19">
      <c r="B31" t="s">
        <v>43</v>
      </c>
      <c r="D31" t="s">
        <v>57</v>
      </c>
      <c r="G31" s="7"/>
      <c r="H31" s="172">
        <v>0</v>
      </c>
      <c r="I31" s="172">
        <v>0</v>
      </c>
      <c r="J31" s="172">
        <v>0</v>
      </c>
      <c r="K31" s="172">
        <v>0</v>
      </c>
      <c r="L31" s="172">
        <v>0</v>
      </c>
      <c r="M31" s="172">
        <v>0.15010000000000001</v>
      </c>
      <c r="N31" s="172">
        <v>0.15010000000000001</v>
      </c>
      <c r="O31" s="172">
        <v>0.15010000000000001</v>
      </c>
      <c r="P31" s="172">
        <v>0.15010000000000001</v>
      </c>
      <c r="Q31" s="172">
        <v>0.15010000000000001</v>
      </c>
      <c r="R31" s="172">
        <v>0.15010000000000001</v>
      </c>
      <c r="S31" s="7"/>
    </row>
    <row r="32" spans="2:19">
      <c r="B32" t="s">
        <v>53</v>
      </c>
      <c r="D32" t="s">
        <v>57</v>
      </c>
      <c r="G32" s="7"/>
      <c r="H32" s="172">
        <v>0.49</v>
      </c>
      <c r="I32" s="172">
        <v>0.49</v>
      </c>
      <c r="J32" s="172">
        <v>0.49</v>
      </c>
      <c r="K32" s="172">
        <v>0.49</v>
      </c>
      <c r="L32" s="172">
        <v>0.49</v>
      </c>
      <c r="M32" s="172">
        <v>0.49</v>
      </c>
      <c r="N32" s="172">
        <v>0.49</v>
      </c>
      <c r="O32" s="172">
        <v>0.49</v>
      </c>
      <c r="P32" s="172">
        <v>0.49</v>
      </c>
      <c r="Q32" s="172">
        <v>0.49</v>
      </c>
      <c r="R32" s="172">
        <v>0.49</v>
      </c>
      <c r="S32" s="7"/>
    </row>
    <row r="33" spans="1:19">
      <c r="B33" t="s">
        <v>54</v>
      </c>
      <c r="H33" s="177">
        <v>0</v>
      </c>
      <c r="I33" s="177">
        <v>0</v>
      </c>
      <c r="J33" s="177">
        <v>0</v>
      </c>
      <c r="K33" s="177">
        <v>0.14099999999999999</v>
      </c>
      <c r="L33" s="177">
        <v>0.124</v>
      </c>
      <c r="M33" s="177">
        <v>0</v>
      </c>
      <c r="N33" s="177">
        <v>0</v>
      </c>
      <c r="O33" s="177">
        <v>0</v>
      </c>
      <c r="P33" s="177">
        <v>0</v>
      </c>
      <c r="Q33" s="177">
        <v>0</v>
      </c>
      <c r="R33" s="177">
        <v>0</v>
      </c>
    </row>
    <row r="36" spans="1:19">
      <c r="B36" t="s">
        <v>50</v>
      </c>
      <c r="D36" t="s">
        <v>58</v>
      </c>
      <c r="G36" s="8"/>
      <c r="H36" s="171">
        <f t="shared" ref="H36:R36" si="0">H29*H10</f>
        <v>671938646.22028458</v>
      </c>
      <c r="I36" s="171">
        <f t="shared" si="0"/>
        <v>721969103.04424894</v>
      </c>
      <c r="J36" s="171">
        <f t="shared" si="0"/>
        <v>767672996.09137416</v>
      </c>
      <c r="K36" s="171">
        <f t="shared" si="0"/>
        <v>816156832.8657608</v>
      </c>
      <c r="L36" s="171">
        <f t="shared" si="0"/>
        <v>853642182.33051157</v>
      </c>
      <c r="M36" s="171">
        <f t="shared" si="0"/>
        <v>906686785.767079</v>
      </c>
      <c r="N36" s="171">
        <f t="shared" si="0"/>
        <v>951402506.19672501</v>
      </c>
      <c r="O36" s="171">
        <f t="shared" si="0"/>
        <v>958657112.37640333</v>
      </c>
      <c r="P36" s="171">
        <f t="shared" si="0"/>
        <v>964894756.14967835</v>
      </c>
      <c r="Q36" s="171">
        <f t="shared" si="0"/>
        <v>977150295.24000001</v>
      </c>
      <c r="R36" s="171">
        <f t="shared" si="0"/>
        <v>971899675.12897599</v>
      </c>
      <c r="S36" s="64"/>
    </row>
    <row r="37" spans="1:19">
      <c r="B37" t="s">
        <v>52</v>
      </c>
      <c r="D37" t="s">
        <v>58</v>
      </c>
      <c r="G37" s="8"/>
      <c r="H37" s="171">
        <f t="shared" ref="H37:R37" si="1">H30*H11</f>
        <v>1152846303.1116416</v>
      </c>
      <c r="I37" s="171">
        <f t="shared" si="1"/>
        <v>1254316341.8085589</v>
      </c>
      <c r="J37" s="171">
        <f t="shared" si="1"/>
        <v>1362258277.9564698</v>
      </c>
      <c r="K37" s="171">
        <f t="shared" si="1"/>
        <v>1477254560.9252141</v>
      </c>
      <c r="L37" s="171">
        <f t="shared" si="1"/>
        <v>1582851579.3249264</v>
      </c>
      <c r="M37" s="171">
        <f t="shared" si="1"/>
        <v>1737944395.998091</v>
      </c>
      <c r="N37" s="171">
        <f t="shared" si="1"/>
        <v>1895457609.5986025</v>
      </c>
      <c r="O37" s="171">
        <f t="shared" si="1"/>
        <v>1988911744.9470818</v>
      </c>
      <c r="P37" s="171">
        <f t="shared" si="1"/>
        <v>2086164581.2284794</v>
      </c>
      <c r="Q37" s="171">
        <f t="shared" si="1"/>
        <v>2193496706.835</v>
      </c>
      <c r="R37" s="171">
        <f t="shared" si="1"/>
        <v>2216783126.9876986</v>
      </c>
      <c r="S37" s="64"/>
    </row>
    <row r="38" spans="1:19">
      <c r="B38" t="s">
        <v>43</v>
      </c>
      <c r="D38" t="s">
        <v>58</v>
      </c>
      <c r="G38" s="8"/>
      <c r="H38" s="171">
        <f t="shared" ref="H38:R38" si="2">H31*H12</f>
        <v>0</v>
      </c>
      <c r="I38" s="171">
        <f t="shared" si="2"/>
        <v>0</v>
      </c>
      <c r="J38" s="171">
        <f t="shared" si="2"/>
        <v>0</v>
      </c>
      <c r="K38" s="171">
        <f t="shared" si="2"/>
        <v>0</v>
      </c>
      <c r="L38" s="171">
        <f t="shared" si="2"/>
        <v>0</v>
      </c>
      <c r="M38" s="171">
        <f t="shared" si="2"/>
        <v>912974738.59240687</v>
      </c>
      <c r="N38" s="171">
        <f t="shared" si="2"/>
        <v>905104600.32803404</v>
      </c>
      <c r="O38" s="171">
        <f t="shared" si="2"/>
        <v>908565101.68236232</v>
      </c>
      <c r="P38" s="171">
        <f t="shared" si="2"/>
        <v>948183838.15114641</v>
      </c>
      <c r="Q38" s="171">
        <f t="shared" si="2"/>
        <v>956658591.94630003</v>
      </c>
      <c r="R38" s="171">
        <f t="shared" si="2"/>
        <v>953325285.77223086</v>
      </c>
      <c r="S38" s="64"/>
    </row>
    <row r="39" spans="1:19">
      <c r="B39" t="s">
        <v>53</v>
      </c>
      <c r="D39" t="s">
        <v>58</v>
      </c>
      <c r="G39" s="8"/>
      <c r="H39" s="171">
        <f t="shared" ref="H39:R39" si="3">H32*H13</f>
        <v>1543100209.7246287</v>
      </c>
      <c r="I39" s="171">
        <f t="shared" si="3"/>
        <v>1635146542.5631611</v>
      </c>
      <c r="J39" s="171">
        <f t="shared" si="3"/>
        <v>1738454736.5141141</v>
      </c>
      <c r="K39" s="171">
        <f t="shared" si="3"/>
        <v>1820818232.4497876</v>
      </c>
      <c r="L39" s="171">
        <f t="shared" si="3"/>
        <v>1880285001.9828451</v>
      </c>
      <c r="M39" s="171">
        <f t="shared" si="3"/>
        <v>1927552144.0357456</v>
      </c>
      <c r="N39" s="171">
        <f t="shared" si="3"/>
        <v>1946094883.6757543</v>
      </c>
      <c r="O39" s="171">
        <f t="shared" si="3"/>
        <v>2018337935.6154003</v>
      </c>
      <c r="P39" s="171">
        <f t="shared" si="3"/>
        <v>2094268189.4876001</v>
      </c>
      <c r="Q39" s="171">
        <f t="shared" si="3"/>
        <v>2116683517.9742</v>
      </c>
      <c r="R39" s="171">
        <f t="shared" si="3"/>
        <v>2109308322.9968193</v>
      </c>
      <c r="S39" s="64"/>
    </row>
    <row r="40" spans="1:19">
      <c r="B40" t="s">
        <v>54</v>
      </c>
      <c r="D40" t="s">
        <v>58</v>
      </c>
      <c r="G40" s="8"/>
      <c r="H40" s="171">
        <f t="shared" ref="H40:R40" si="4">H33*H14</f>
        <v>0</v>
      </c>
      <c r="I40" s="171">
        <f t="shared" si="4"/>
        <v>0</v>
      </c>
      <c r="J40" s="171">
        <f t="shared" si="4"/>
        <v>0</v>
      </c>
      <c r="K40" s="171">
        <f t="shared" si="4"/>
        <v>969276299.99999988</v>
      </c>
      <c r="L40" s="171">
        <f t="shared" si="4"/>
        <v>869438399.99999988</v>
      </c>
      <c r="M40" s="171">
        <f t="shared" si="4"/>
        <v>0</v>
      </c>
      <c r="N40" s="171">
        <f t="shared" si="4"/>
        <v>0</v>
      </c>
      <c r="O40" s="171">
        <f t="shared" si="4"/>
        <v>0</v>
      </c>
      <c r="P40" s="171">
        <f t="shared" si="4"/>
        <v>0</v>
      </c>
      <c r="Q40" s="171">
        <f t="shared" si="4"/>
        <v>0</v>
      </c>
      <c r="R40" s="171">
        <f t="shared" si="4"/>
        <v>0</v>
      </c>
      <c r="S40" s="64"/>
    </row>
    <row r="41" spans="1:19" s="8" customFormat="1">
      <c r="A41"/>
      <c r="B41"/>
      <c r="C41"/>
      <c r="D41"/>
      <c r="E41"/>
      <c r="F41"/>
    </row>
    <row r="42" spans="1:19">
      <c r="G42" s="8"/>
      <c r="H42" s="8"/>
      <c r="I42" s="8"/>
      <c r="J42" s="8"/>
      <c r="K42" s="8"/>
      <c r="L42" s="8"/>
      <c r="M42" s="8"/>
      <c r="N42" s="8"/>
      <c r="O42" s="8"/>
      <c r="P42" s="8"/>
      <c r="Q42" s="8"/>
    </row>
    <row r="43" spans="1:19">
      <c r="B43" t="s">
        <v>59</v>
      </c>
      <c r="D43" t="s">
        <v>48</v>
      </c>
      <c r="G43" s="8"/>
      <c r="H43" s="171">
        <f>SUM(H36:H41)</f>
        <v>3367885159.0565548</v>
      </c>
      <c r="I43" s="171">
        <f t="shared" ref="I43:R43" si="5">SUM(I36:I41)</f>
        <v>3611431987.4159689</v>
      </c>
      <c r="J43" s="171">
        <f t="shared" si="5"/>
        <v>3868386010.5619583</v>
      </c>
      <c r="K43" s="171">
        <f t="shared" si="5"/>
        <v>5083505926.2407618</v>
      </c>
      <c r="L43" s="171">
        <f t="shared" si="5"/>
        <v>5186217163.6382828</v>
      </c>
      <c r="M43" s="171">
        <f t="shared" si="5"/>
        <v>5485158064.393322</v>
      </c>
      <c r="N43" s="171">
        <f t="shared" si="5"/>
        <v>5698059599.7991161</v>
      </c>
      <c r="O43" s="171">
        <f t="shared" si="5"/>
        <v>5874471894.6212482</v>
      </c>
      <c r="P43" s="171">
        <f t="shared" si="5"/>
        <v>6093511365.0169039</v>
      </c>
      <c r="Q43" s="171">
        <f t="shared" si="5"/>
        <v>6243989111.9954996</v>
      </c>
      <c r="R43" s="171">
        <f t="shared" si="5"/>
        <v>6251316410.885725</v>
      </c>
      <c r="S43" s="62"/>
    </row>
    <row r="44" spans="1:19">
      <c r="B44" t="s">
        <v>60</v>
      </c>
      <c r="D44" t="s">
        <v>48</v>
      </c>
      <c r="H44" s="171">
        <f t="shared" ref="H44:R44" si="6">H29*H19+H30*H20+H31*H21+H32*H22+H23*H33</f>
        <v>3367885159.0565548</v>
      </c>
      <c r="I44" s="171">
        <f t="shared" si="6"/>
        <v>3611431987.4159689</v>
      </c>
      <c r="J44" s="171">
        <f t="shared" si="6"/>
        <v>3868386010.5619583</v>
      </c>
      <c r="K44" s="171">
        <f t="shared" si="6"/>
        <v>5083505926.2407618</v>
      </c>
      <c r="L44" s="171">
        <f t="shared" si="6"/>
        <v>5186217163.6382828</v>
      </c>
      <c r="M44" s="171">
        <f t="shared" si="6"/>
        <v>5496848664.5741177</v>
      </c>
      <c r="N44" s="171">
        <f t="shared" si="6"/>
        <v>5812653949.441185</v>
      </c>
      <c r="O44" s="171">
        <f t="shared" si="6"/>
        <v>6010519493.916604</v>
      </c>
      <c r="P44" s="171">
        <f t="shared" si="6"/>
        <v>6400847624.473135</v>
      </c>
      <c r="Q44" s="171">
        <f t="shared" si="6"/>
        <v>6646988907.3466606</v>
      </c>
      <c r="R44" s="171">
        <f t="shared" si="6"/>
        <v>6606417320.4563046</v>
      </c>
    </row>
    <row r="46" spans="1:19" s="136" customFormat="1" ht="17.5" thickBot="1">
      <c r="A46"/>
      <c r="B46" s="136" t="s">
        <v>61</v>
      </c>
      <c r="N46" s="149"/>
      <c r="O46" s="149"/>
      <c r="P46" s="149"/>
      <c r="Q46" s="149"/>
    </row>
    <row r="47" spans="1:19" ht="15" thickTop="1"/>
    <row r="48" spans="1:19">
      <c r="B48" s="5" t="s">
        <v>49</v>
      </c>
    </row>
    <row r="50" spans="2:20">
      <c r="B50" t="s">
        <v>62</v>
      </c>
      <c r="G50" s="8"/>
      <c r="H50" s="171">
        <f>'Trailing average adjustment'!E8*0.75+'Trailing average adjustment'!F8*0.25</f>
        <v>2275405015.25</v>
      </c>
      <c r="I50" s="171">
        <f>'Trailing average adjustment'!F8*0.75+'Trailing average adjustment'!G8*0.25</f>
        <v>2349432741.5</v>
      </c>
      <c r="J50" s="171">
        <f>'Trailing average adjustment'!G8*0.75+'Trailing average adjustment'!H8*0.25</f>
        <v>2445016334.9416122</v>
      </c>
      <c r="K50" s="171">
        <f>'Trailing average adjustment'!H8*0.75+'Trailing average adjustment'!I8*0.25</f>
        <v>2615116615.5386438</v>
      </c>
      <c r="L50" s="171">
        <f>'Trailing average adjustment'!I8*0.75+'Trailing average adjustment'!J8*0.25</f>
        <v>2852586825.7563419</v>
      </c>
      <c r="M50" s="171">
        <f>'Trailing average adjustment'!J8*0.75+'Trailing average adjustment'!K8*0.25</f>
        <v>2898373404.7761307</v>
      </c>
      <c r="N50" s="171">
        <f>'Trailing average adjustment'!K8*0.75+'Trailing average adjustment'!L8*0.25</f>
        <v>2950940324.3190074</v>
      </c>
      <c r="O50" s="171">
        <f>'Trailing average adjustment'!L8*0.75+'Trailing average adjustment'!M8*0.25</f>
        <v>2944097038.7114019</v>
      </c>
      <c r="P50" s="171">
        <f>'Trailing average adjustment'!M8*0.75+'Trailing average adjustment'!N8*0.25</f>
        <v>2967749715.8495493</v>
      </c>
      <c r="Q50" s="171">
        <f>'Trailing average adjustment'!N8*0.75+'Trailing average adjustment'!O8*0.25</f>
        <v>3054908708.5157757</v>
      </c>
      <c r="R50" s="171">
        <f>'Trailing average adjustment'!O8*0.75+'Trailing average adjustment'!P8*0.25</f>
        <v>3113490488.4976783</v>
      </c>
      <c r="S50" s="171">
        <f>'Trailing average adjustment'!P8*0.75+'Trailing average adjustment'!Q8*0.25</f>
        <v>3166909676.6958618</v>
      </c>
      <c r="T50" s="64"/>
    </row>
    <row r="51" spans="2:20">
      <c r="B51" t="s">
        <v>63</v>
      </c>
      <c r="G51" s="8"/>
      <c r="H51" s="171">
        <f>'Trailing average adjustment'!E41*0.5+('AST - RIN'!G31+'AST - RIN'!G41)*0.5</f>
        <v>2192396429.5294781</v>
      </c>
      <c r="I51" s="171">
        <f>'Trailing average adjustment'!F41*0.5+'Trailing average adjustment'!E41*0.5</f>
        <v>2427142072.8343496</v>
      </c>
      <c r="J51" s="171">
        <f>'Trailing average adjustment'!G41*0.5+'Trailing average adjustment'!F41*0.5</f>
        <v>2718703993.9379969</v>
      </c>
      <c r="K51" s="171">
        <f>'Trailing average adjustment'!H41*0.5+'Trailing average adjustment'!G41*0.5</f>
        <v>3033036913.4338026</v>
      </c>
      <c r="L51" s="171">
        <f>'Trailing average adjustment'!I41*0.5+'Trailing average adjustment'!H41*0.5</f>
        <v>3336990269.535902</v>
      </c>
      <c r="M51" s="171">
        <f>'Trailing average adjustment'!J41*0.5+'Trailing average adjustment'!I41*0.5</f>
        <v>3548280014.9719582</v>
      </c>
      <c r="N51" s="171">
        <f>'Trailing average adjustment'!K41*0.5+'Trailing average adjustment'!J41*0.5</f>
        <v>3723699565.4848366</v>
      </c>
      <c r="O51" s="171">
        <f>'Trailing average adjustment'!L41*0.5+'Trailing average adjustment'!K41*0.5</f>
        <v>4105235705.1255636</v>
      </c>
      <c r="P51" s="171">
        <f>'Trailing average adjustment'!M41*0.5+'Trailing average adjustment'!L41*0.5</f>
        <v>4507968494.343441</v>
      </c>
      <c r="Q51" s="171">
        <f>'Trailing average adjustment'!N41*0.5+'Trailing average adjustment'!M41*0.5</f>
        <v>4732271354.9892464</v>
      </c>
      <c r="R51" s="171">
        <f>'Trailing average adjustment'!O41</f>
        <v>4758436924.623889</v>
      </c>
      <c r="S51" s="171">
        <f>'Trailing average adjustment'!P41</f>
        <v>4941453797.4171152</v>
      </c>
      <c r="T51" s="64"/>
    </row>
    <row r="52" spans="2:20">
      <c r="B52" t="s">
        <v>64</v>
      </c>
      <c r="G52" s="62"/>
      <c r="H52" s="171">
        <f>'Trailing average adjustment'!E80*0.5+'AST - RIN'!H45*0.5</f>
        <v>1181923840.378721</v>
      </c>
      <c r="I52" s="171">
        <f>'Trailing average adjustment'!E80*0.5+'Trailing average adjustment'!F80*0.5</f>
        <v>1249447481.6302376</v>
      </c>
      <c r="J52" s="171">
        <f>'Trailing average adjustment'!F80*0.5+'Trailing average adjustment'!G80*0.5</f>
        <v>1319400872.1898293</v>
      </c>
      <c r="K52" s="171">
        <f>'Trailing average adjustment'!G80*0.5+'Trailing average adjustment'!H80*0.5</f>
        <v>1385680346.843071</v>
      </c>
      <c r="L52" s="171">
        <f>'Trailing average adjustment'!H80*0.5+'Trailing average adjustment'!I80*0.5</f>
        <v>1451882837.9529805</v>
      </c>
      <c r="M52" s="171">
        <f>'Trailing average adjustment'!I80*0.5+'Trailing average adjustment'!J80*0.5</f>
        <v>1503743391.0237861</v>
      </c>
      <c r="N52" s="171">
        <f>'Trailing average adjustment'!J80*0.5+'Trailing average adjustment'!K80*0.5</f>
        <v>1540863422.9340324</v>
      </c>
      <c r="O52" s="171">
        <f>'Trailing average adjustment'!K80*0.5+'Trailing average adjustment'!L80*0.5</f>
        <v>1582360494.7142465</v>
      </c>
      <c r="P52" s="171">
        <f>'Trailing average adjustment'!L80*0.5+'Trailing average adjustment'!M80*0.5</f>
        <v>1641068321.0787923</v>
      </c>
      <c r="Q52" s="171">
        <f>'Trailing average adjustment'!M80*0.5+'Trailing average adjustment'!N80*0.5</f>
        <v>1698617429.903491</v>
      </c>
      <c r="R52" s="171">
        <f>'Trailing average adjustment'!N80*0.5+'Trailing average adjustment'!O80*0.5</f>
        <v>1737567495.0997469</v>
      </c>
      <c r="S52" s="171">
        <f>'Trailing average adjustment'!O80*0.5+'Trailing average adjustment'!P80*0.5</f>
        <v>1760956392.4902096</v>
      </c>
      <c r="T52" s="64"/>
    </row>
    <row r="53" spans="2:20">
      <c r="G53" s="8"/>
      <c r="H53" s="8"/>
      <c r="I53" s="8"/>
      <c r="J53" s="8"/>
      <c r="K53" s="8"/>
      <c r="L53" s="8"/>
      <c r="M53" s="8"/>
      <c r="N53" s="8"/>
      <c r="O53" s="8"/>
      <c r="P53" s="8"/>
      <c r="Q53" s="62"/>
    </row>
    <row r="54" spans="2:20">
      <c r="B54" s="5" t="s">
        <v>55</v>
      </c>
      <c r="G54" s="62"/>
      <c r="H54" s="8"/>
      <c r="I54" s="8"/>
      <c r="J54" s="8"/>
      <c r="K54" s="8"/>
      <c r="L54" s="8"/>
      <c r="M54" s="8"/>
      <c r="N54" s="8"/>
      <c r="O54" s="8"/>
      <c r="P54" s="8"/>
      <c r="Q54" s="62"/>
      <c r="R54" s="62"/>
      <c r="S54" s="62"/>
    </row>
    <row r="56" spans="2:20">
      <c r="B56" t="s">
        <v>62</v>
      </c>
      <c r="H56" s="171">
        <f>'Trailing average adjustment'!E36*0.75+'Trailing average adjustment'!F36*0.25</f>
        <v>2275405015.25</v>
      </c>
      <c r="I56" s="171">
        <f>'Trailing average adjustment'!F36*0.75+'Trailing average adjustment'!G36*0.25</f>
        <v>2349432741.5</v>
      </c>
      <c r="J56" s="171">
        <f>'Trailing average adjustment'!G36*0.75+'Trailing average adjustment'!H36*0.25</f>
        <v>2445016334.9416122</v>
      </c>
      <c r="K56" s="171">
        <f>'Trailing average adjustment'!H36*0.75+'Trailing average adjustment'!I36*0.25</f>
        <v>2615116615.5386438</v>
      </c>
      <c r="L56" s="171">
        <f>'Trailing average adjustment'!I36*0.75+'Trailing average adjustment'!J36*0.25</f>
        <v>2852586825.7563419</v>
      </c>
      <c r="M56" s="171">
        <f>'Trailing average adjustment'!J36*0.75+'Trailing average adjustment'!K36*0.25</f>
        <v>2898373404.7761307</v>
      </c>
      <c r="N56" s="171">
        <f>'Trailing average adjustment'!K36*0.75+'Trailing average adjustment'!L36*0.25</f>
        <v>2950940324.3190074</v>
      </c>
      <c r="O56" s="171">
        <f>'Trailing average adjustment'!L36*0.75+'Trailing average adjustment'!M36*0.25</f>
        <v>2953287690.7353125</v>
      </c>
      <c r="P56" s="171">
        <f>'Trailing average adjustment'!M36*0.75+'Trailing average adjustment'!N36*0.25</f>
        <v>3037156610.1884813</v>
      </c>
      <c r="Q56" s="171">
        <f>'Trailing average adjustment'!N36*0.75+'Trailing average adjustment'!O36*0.25</f>
        <v>3216320592.1563239</v>
      </c>
      <c r="R56" s="171">
        <f>'Trailing average adjustment'!O36*0.75+'Trailing average adjustment'!P36*0.25</f>
        <v>3262613863.7350979</v>
      </c>
      <c r="S56" s="171">
        <f>'Trailing average adjustment'!P36*0.75+'Trailing average adjustment'!Q36*0.25</f>
        <v>3332518351.5781822</v>
      </c>
    </row>
    <row r="57" spans="2:20">
      <c r="B57" t="s">
        <v>63</v>
      </c>
      <c r="H57" s="171">
        <f>H51</f>
        <v>2192396429.5294781</v>
      </c>
      <c r="I57" s="171">
        <f>'Trailing average adjustment'!E75*0.5+'Trailing average adjustment'!F75*0.5</f>
        <v>2427142072.8343496</v>
      </c>
      <c r="J57" s="171">
        <f>'Trailing average adjustment'!F75*0.5+'Trailing average adjustment'!G75*0.5</f>
        <v>2718703993.9379969</v>
      </c>
      <c r="K57" s="171">
        <f>'Trailing average adjustment'!G75*0.5+'Trailing average adjustment'!H75*0.5</f>
        <v>3033036913.4338026</v>
      </c>
      <c r="L57" s="171">
        <f>'Trailing average adjustment'!H75*0.5+'Trailing average adjustment'!I75*0.5</f>
        <v>3336990269.535902</v>
      </c>
      <c r="M57" s="171">
        <f>'Trailing average adjustment'!I75*0.5+'Trailing average adjustment'!J75*0.5</f>
        <v>3548280014.9719582</v>
      </c>
      <c r="N57" s="171">
        <f>'Trailing average adjustment'!J75*0.5+'Trailing average adjustment'!K75*0.5</f>
        <v>3786746322.5905285</v>
      </c>
      <c r="O57" s="171">
        <f>'Trailing average adjustment'!K75*0.5+'Trailing average adjustment'!L75*0.5</f>
        <v>4208823594.6223793</v>
      </c>
      <c r="P57" s="171">
        <f>'Trailing average adjustment'!L75*0.5+'Trailing average adjustment'!M75*0.5</f>
        <v>4718301747.0068054</v>
      </c>
      <c r="Q57" s="171">
        <f>'Trailing average adjustment'!M75*0.5+'Trailing average adjustment'!N75*0.5</f>
        <v>5109426998.4725227</v>
      </c>
      <c r="R57" s="171">
        <f>'Trailing average adjustment'!O75</f>
        <v>5019312528.0916862</v>
      </c>
      <c r="S57" s="171">
        <f>'Trailing average adjustment'!P75</f>
        <v>5058885895.0951805</v>
      </c>
    </row>
    <row r="58" spans="2:20">
      <c r="B58" t="s">
        <v>64</v>
      </c>
      <c r="H58" s="171">
        <f>H52</f>
        <v>1181923840.378721</v>
      </c>
      <c r="I58" s="171">
        <f>'Trailing average adjustment'!E108*0.5+'Trailing average adjustment'!F108*0.5</f>
        <v>1249447481.6302376</v>
      </c>
      <c r="J58" s="171">
        <f>'Trailing average adjustment'!F108*0.5+'Trailing average adjustment'!G108*0.5</f>
        <v>1319400872.1898293</v>
      </c>
      <c r="K58" s="171">
        <f>'Trailing average adjustment'!G108*0.5+'Trailing average adjustment'!H108*0.5</f>
        <v>1385680346.843071</v>
      </c>
      <c r="L58" s="171">
        <f>'Trailing average adjustment'!H108*0.5+'Trailing average adjustment'!I108*0.5</f>
        <v>1451882837.9529805</v>
      </c>
      <c r="M58" s="171">
        <f>'Trailing average adjustment'!I108*0.5+'Trailing average adjustment'!J108*0.5</f>
        <v>1503743391.0237861</v>
      </c>
      <c r="N58" s="171">
        <f>'Trailing average adjustment'!J108*0.5+'Trailing average adjustment'!K108*0.5</f>
        <v>1540863422.9340324</v>
      </c>
      <c r="O58" s="171">
        <f>'Trailing average adjustment'!K108*0.5+'Trailing average adjustment'!L108*0.5</f>
        <v>1582360494.7142465</v>
      </c>
      <c r="P58" s="171">
        <f>'Trailing average adjustment'!L108*0.5+'Trailing average adjustment'!M108*0.5</f>
        <v>1700869598.7225993</v>
      </c>
      <c r="Q58" s="171">
        <f>'Trailing average adjustment'!M108*0.5+'Trailing average adjustment'!N108*0.5</f>
        <v>1836277235.0696063</v>
      </c>
      <c r="R58" s="171">
        <f>'Trailing average adjustment'!N108*0.5+'Trailing average adjustment'!O108*0.5</f>
        <v>1839685022.1707528</v>
      </c>
      <c r="S58" s="171">
        <f>'Trailing average adjustment'!O108*0.5+'Trailing average adjustment'!P108*0.5</f>
        <v>1808757137.6729903</v>
      </c>
    </row>
    <row r="61" spans="2:20">
      <c r="B61" s="5" t="s">
        <v>56</v>
      </c>
    </row>
    <row r="63" spans="2:20">
      <c r="B63" t="s">
        <v>59</v>
      </c>
      <c r="H63" s="171">
        <f t="shared" ref="H63:S63" si="7">SUM(H50:H52)</f>
        <v>5649725285.1581993</v>
      </c>
      <c r="I63" s="171">
        <f t="shared" si="7"/>
        <v>6026022295.9645872</v>
      </c>
      <c r="J63" s="171">
        <f t="shared" si="7"/>
        <v>6483121201.0694389</v>
      </c>
      <c r="K63" s="171">
        <f t="shared" si="7"/>
        <v>7033833875.8155174</v>
      </c>
      <c r="L63" s="171">
        <f t="shared" si="7"/>
        <v>7641459933.245224</v>
      </c>
      <c r="M63" s="171">
        <f t="shared" si="7"/>
        <v>7950396810.7718754</v>
      </c>
      <c r="N63" s="171">
        <f t="shared" si="7"/>
        <v>8215503312.7378769</v>
      </c>
      <c r="O63" s="171">
        <f t="shared" si="7"/>
        <v>8631693238.5512123</v>
      </c>
      <c r="P63" s="171">
        <f t="shared" si="7"/>
        <v>9116786531.2717819</v>
      </c>
      <c r="Q63" s="171">
        <f t="shared" si="7"/>
        <v>9485797493.4085121</v>
      </c>
      <c r="R63" s="171">
        <f t="shared" si="7"/>
        <v>9609494908.2213135</v>
      </c>
      <c r="S63" s="171">
        <f t="shared" si="7"/>
        <v>9869319866.6031876</v>
      </c>
    </row>
    <row r="64" spans="2:20">
      <c r="B64" t="s">
        <v>60</v>
      </c>
      <c r="H64" s="171">
        <f t="shared" ref="H64:S64" si="8">SUM(H56:H58)</f>
        <v>5649725285.1581993</v>
      </c>
      <c r="I64" s="171">
        <f t="shared" si="8"/>
        <v>6026022295.9645872</v>
      </c>
      <c r="J64" s="171">
        <f t="shared" si="8"/>
        <v>6483121201.0694389</v>
      </c>
      <c r="K64" s="171">
        <f t="shared" si="8"/>
        <v>7033833875.8155174</v>
      </c>
      <c r="L64" s="171">
        <f t="shared" si="8"/>
        <v>7641459933.245224</v>
      </c>
      <c r="M64" s="171">
        <f t="shared" si="8"/>
        <v>7950396810.7718754</v>
      </c>
      <c r="N64" s="171">
        <f t="shared" si="8"/>
        <v>8278550069.8435688</v>
      </c>
      <c r="O64" s="171">
        <f t="shared" si="8"/>
        <v>8744471780.0719376</v>
      </c>
      <c r="P64" s="171">
        <f t="shared" si="8"/>
        <v>9456327955.9178867</v>
      </c>
      <c r="Q64" s="171">
        <f t="shared" si="8"/>
        <v>10162024825.698454</v>
      </c>
      <c r="R64" s="171">
        <f t="shared" si="8"/>
        <v>10121611413.997538</v>
      </c>
      <c r="S64" s="171">
        <f t="shared" si="8"/>
        <v>10200161384.346354</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C6EDD-EA6D-4BA6-B9A4-E0CE73BAF54C}">
  <sheetPr codeName="Sheet1">
    <tabColor theme="0" tint="-0.249977111117893"/>
  </sheetPr>
  <dimension ref="A1:Q719"/>
  <sheetViews>
    <sheetView zoomScaleNormal="100" workbookViewId="0">
      <pane xSplit="1" ySplit="12" topLeftCell="B61" activePane="bottomRight" state="frozen"/>
      <selection activeCell="R116" sqref="R116"/>
      <selection pane="topRight" activeCell="R116" sqref="R116"/>
      <selection pane="bottomLeft" activeCell="R116" sqref="R116"/>
      <selection pane="bottomRight" activeCell="R116" sqref="R116"/>
    </sheetView>
  </sheetViews>
  <sheetFormatPr defaultColWidth="8.33203125" defaultRowHeight="11.75"/>
  <cols>
    <col min="1" max="1" width="12.33203125" style="83" customWidth="1"/>
    <col min="2" max="2" width="18.08203125" style="84" customWidth="1"/>
    <col min="3" max="3" width="23.33203125" style="84" customWidth="1"/>
    <col min="4" max="4" width="24" style="84" customWidth="1"/>
    <col min="5" max="5" width="25" style="84" customWidth="1"/>
    <col min="6" max="6" width="25.25" style="84" customWidth="1"/>
    <col min="7" max="7" width="24.33203125" style="84" customWidth="1"/>
    <col min="8" max="8" width="24.58203125" style="84" customWidth="1"/>
    <col min="9" max="9" width="24.5" style="84" customWidth="1"/>
    <col min="10" max="10" width="19" style="84" customWidth="1"/>
    <col min="11" max="11" width="19.58203125" style="84" customWidth="1"/>
    <col min="12" max="12" width="20" style="84" customWidth="1"/>
    <col min="13" max="256" width="8.33203125" style="52"/>
    <col min="257" max="257" width="12.33203125" style="52" customWidth="1"/>
    <col min="258" max="258" width="18.08203125" style="52" customWidth="1"/>
    <col min="259" max="259" width="23.33203125" style="52" customWidth="1"/>
    <col min="260" max="260" width="24" style="52" customWidth="1"/>
    <col min="261" max="261" width="25" style="52" customWidth="1"/>
    <col min="262" max="262" width="25.25" style="52" customWidth="1"/>
    <col min="263" max="263" width="24.33203125" style="52" customWidth="1"/>
    <col min="264" max="264" width="24.58203125" style="52" customWidth="1"/>
    <col min="265" max="265" width="24.5" style="52" customWidth="1"/>
    <col min="266" max="266" width="19" style="52" customWidth="1"/>
    <col min="267" max="267" width="19.58203125" style="52" customWidth="1"/>
    <col min="268" max="268" width="20" style="52" customWidth="1"/>
    <col min="269" max="512" width="8.33203125" style="52"/>
    <col min="513" max="513" width="12.33203125" style="52" customWidth="1"/>
    <col min="514" max="514" width="18.08203125" style="52" customWidth="1"/>
    <col min="515" max="515" width="23.33203125" style="52" customWidth="1"/>
    <col min="516" max="516" width="24" style="52" customWidth="1"/>
    <col min="517" max="517" width="25" style="52" customWidth="1"/>
    <col min="518" max="518" width="25.25" style="52" customWidth="1"/>
    <col min="519" max="519" width="24.33203125" style="52" customWidth="1"/>
    <col min="520" max="520" width="24.58203125" style="52" customWidth="1"/>
    <col min="521" max="521" width="24.5" style="52" customWidth="1"/>
    <col min="522" max="522" width="19" style="52" customWidth="1"/>
    <col min="523" max="523" width="19.58203125" style="52" customWidth="1"/>
    <col min="524" max="524" width="20" style="52" customWidth="1"/>
    <col min="525" max="768" width="8.33203125" style="52"/>
    <col min="769" max="769" width="12.33203125" style="52" customWidth="1"/>
    <col min="770" max="770" width="18.08203125" style="52" customWidth="1"/>
    <col min="771" max="771" width="23.33203125" style="52" customWidth="1"/>
    <col min="772" max="772" width="24" style="52" customWidth="1"/>
    <col min="773" max="773" width="25" style="52" customWidth="1"/>
    <col min="774" max="774" width="25.25" style="52" customWidth="1"/>
    <col min="775" max="775" width="24.33203125" style="52" customWidth="1"/>
    <col min="776" max="776" width="24.58203125" style="52" customWidth="1"/>
    <col min="777" max="777" width="24.5" style="52" customWidth="1"/>
    <col min="778" max="778" width="19" style="52" customWidth="1"/>
    <col min="779" max="779" width="19.58203125" style="52" customWidth="1"/>
    <col min="780" max="780" width="20" style="52" customWidth="1"/>
    <col min="781" max="1024" width="8.33203125" style="52"/>
    <col min="1025" max="1025" width="12.33203125" style="52" customWidth="1"/>
    <col min="1026" max="1026" width="18.08203125" style="52" customWidth="1"/>
    <col min="1027" max="1027" width="23.33203125" style="52" customWidth="1"/>
    <col min="1028" max="1028" width="24" style="52" customWidth="1"/>
    <col min="1029" max="1029" width="25" style="52" customWidth="1"/>
    <col min="1030" max="1030" width="25.25" style="52" customWidth="1"/>
    <col min="1031" max="1031" width="24.33203125" style="52" customWidth="1"/>
    <col min="1032" max="1032" width="24.58203125" style="52" customWidth="1"/>
    <col min="1033" max="1033" width="24.5" style="52" customWidth="1"/>
    <col min="1034" max="1034" width="19" style="52" customWidth="1"/>
    <col min="1035" max="1035" width="19.58203125" style="52" customWidth="1"/>
    <col min="1036" max="1036" width="20" style="52" customWidth="1"/>
    <col min="1037" max="1280" width="8.33203125" style="52"/>
    <col min="1281" max="1281" width="12.33203125" style="52" customWidth="1"/>
    <col min="1282" max="1282" width="18.08203125" style="52" customWidth="1"/>
    <col min="1283" max="1283" width="23.33203125" style="52" customWidth="1"/>
    <col min="1284" max="1284" width="24" style="52" customWidth="1"/>
    <col min="1285" max="1285" width="25" style="52" customWidth="1"/>
    <col min="1286" max="1286" width="25.25" style="52" customWidth="1"/>
    <col min="1287" max="1287" width="24.33203125" style="52" customWidth="1"/>
    <col min="1288" max="1288" width="24.58203125" style="52" customWidth="1"/>
    <col min="1289" max="1289" width="24.5" style="52" customWidth="1"/>
    <col min="1290" max="1290" width="19" style="52" customWidth="1"/>
    <col min="1291" max="1291" width="19.58203125" style="52" customWidth="1"/>
    <col min="1292" max="1292" width="20" style="52" customWidth="1"/>
    <col min="1293" max="1536" width="8.33203125" style="52"/>
    <col min="1537" max="1537" width="12.33203125" style="52" customWidth="1"/>
    <col min="1538" max="1538" width="18.08203125" style="52" customWidth="1"/>
    <col min="1539" max="1539" width="23.33203125" style="52" customWidth="1"/>
    <col min="1540" max="1540" width="24" style="52" customWidth="1"/>
    <col min="1541" max="1541" width="25" style="52" customWidth="1"/>
    <col min="1542" max="1542" width="25.25" style="52" customWidth="1"/>
    <col min="1543" max="1543" width="24.33203125" style="52" customWidth="1"/>
    <col min="1544" max="1544" width="24.58203125" style="52" customWidth="1"/>
    <col min="1545" max="1545" width="24.5" style="52" customWidth="1"/>
    <col min="1546" max="1546" width="19" style="52" customWidth="1"/>
    <col min="1547" max="1547" width="19.58203125" style="52" customWidth="1"/>
    <col min="1548" max="1548" width="20" style="52" customWidth="1"/>
    <col min="1549" max="1792" width="8.33203125" style="52"/>
    <col min="1793" max="1793" width="12.33203125" style="52" customWidth="1"/>
    <col min="1794" max="1794" width="18.08203125" style="52" customWidth="1"/>
    <col min="1795" max="1795" width="23.33203125" style="52" customWidth="1"/>
    <col min="1796" max="1796" width="24" style="52" customWidth="1"/>
    <col min="1797" max="1797" width="25" style="52" customWidth="1"/>
    <col min="1798" max="1798" width="25.25" style="52" customWidth="1"/>
    <col min="1799" max="1799" width="24.33203125" style="52" customWidth="1"/>
    <col min="1800" max="1800" width="24.58203125" style="52" customWidth="1"/>
    <col min="1801" max="1801" width="24.5" style="52" customWidth="1"/>
    <col min="1802" max="1802" width="19" style="52" customWidth="1"/>
    <col min="1803" max="1803" width="19.58203125" style="52" customWidth="1"/>
    <col min="1804" max="1804" width="20" style="52" customWidth="1"/>
    <col min="1805" max="2048" width="8.33203125" style="52"/>
    <col min="2049" max="2049" width="12.33203125" style="52" customWidth="1"/>
    <col min="2050" max="2050" width="18.08203125" style="52" customWidth="1"/>
    <col min="2051" max="2051" width="23.33203125" style="52" customWidth="1"/>
    <col min="2052" max="2052" width="24" style="52" customWidth="1"/>
    <col min="2053" max="2053" width="25" style="52" customWidth="1"/>
    <col min="2054" max="2054" width="25.25" style="52" customWidth="1"/>
    <col min="2055" max="2055" width="24.33203125" style="52" customWidth="1"/>
    <col min="2056" max="2056" width="24.58203125" style="52" customWidth="1"/>
    <col min="2057" max="2057" width="24.5" style="52" customWidth="1"/>
    <col min="2058" max="2058" width="19" style="52" customWidth="1"/>
    <col min="2059" max="2059" width="19.58203125" style="52" customWidth="1"/>
    <col min="2060" max="2060" width="20" style="52" customWidth="1"/>
    <col min="2061" max="2304" width="8.33203125" style="52"/>
    <col min="2305" max="2305" width="12.33203125" style="52" customWidth="1"/>
    <col min="2306" max="2306" width="18.08203125" style="52" customWidth="1"/>
    <col min="2307" max="2307" width="23.33203125" style="52" customWidth="1"/>
    <col min="2308" max="2308" width="24" style="52" customWidth="1"/>
    <col min="2309" max="2309" width="25" style="52" customWidth="1"/>
    <col min="2310" max="2310" width="25.25" style="52" customWidth="1"/>
    <col min="2311" max="2311" width="24.33203125" style="52" customWidth="1"/>
    <col min="2312" max="2312" width="24.58203125" style="52" customWidth="1"/>
    <col min="2313" max="2313" width="24.5" style="52" customWidth="1"/>
    <col min="2314" max="2314" width="19" style="52" customWidth="1"/>
    <col min="2315" max="2315" width="19.58203125" style="52" customWidth="1"/>
    <col min="2316" max="2316" width="20" style="52" customWidth="1"/>
    <col min="2317" max="2560" width="8.33203125" style="52"/>
    <col min="2561" max="2561" width="12.33203125" style="52" customWidth="1"/>
    <col min="2562" max="2562" width="18.08203125" style="52" customWidth="1"/>
    <col min="2563" max="2563" width="23.33203125" style="52" customWidth="1"/>
    <col min="2564" max="2564" width="24" style="52" customWidth="1"/>
    <col min="2565" max="2565" width="25" style="52" customWidth="1"/>
    <col min="2566" max="2566" width="25.25" style="52" customWidth="1"/>
    <col min="2567" max="2567" width="24.33203125" style="52" customWidth="1"/>
    <col min="2568" max="2568" width="24.58203125" style="52" customWidth="1"/>
    <col min="2569" max="2569" width="24.5" style="52" customWidth="1"/>
    <col min="2570" max="2570" width="19" style="52" customWidth="1"/>
    <col min="2571" max="2571" width="19.58203125" style="52" customWidth="1"/>
    <col min="2572" max="2572" width="20" style="52" customWidth="1"/>
    <col min="2573" max="2816" width="8.33203125" style="52"/>
    <col min="2817" max="2817" width="12.33203125" style="52" customWidth="1"/>
    <col min="2818" max="2818" width="18.08203125" style="52" customWidth="1"/>
    <col min="2819" max="2819" width="23.33203125" style="52" customWidth="1"/>
    <col min="2820" max="2820" width="24" style="52" customWidth="1"/>
    <col min="2821" max="2821" width="25" style="52" customWidth="1"/>
    <col min="2822" max="2822" width="25.25" style="52" customWidth="1"/>
    <col min="2823" max="2823" width="24.33203125" style="52" customWidth="1"/>
    <col min="2824" max="2824" width="24.58203125" style="52" customWidth="1"/>
    <col min="2825" max="2825" width="24.5" style="52" customWidth="1"/>
    <col min="2826" max="2826" width="19" style="52" customWidth="1"/>
    <col min="2827" max="2827" width="19.58203125" style="52" customWidth="1"/>
    <col min="2828" max="2828" width="20" style="52" customWidth="1"/>
    <col min="2829" max="3072" width="8.33203125" style="52"/>
    <col min="3073" max="3073" width="12.33203125" style="52" customWidth="1"/>
    <col min="3074" max="3074" width="18.08203125" style="52" customWidth="1"/>
    <col min="3075" max="3075" width="23.33203125" style="52" customWidth="1"/>
    <col min="3076" max="3076" width="24" style="52" customWidth="1"/>
    <col min="3077" max="3077" width="25" style="52" customWidth="1"/>
    <col min="3078" max="3078" width="25.25" style="52" customWidth="1"/>
    <col min="3079" max="3079" width="24.33203125" style="52" customWidth="1"/>
    <col min="3080" max="3080" width="24.58203125" style="52" customWidth="1"/>
    <col min="3081" max="3081" width="24.5" style="52" customWidth="1"/>
    <col min="3082" max="3082" width="19" style="52" customWidth="1"/>
    <col min="3083" max="3083" width="19.58203125" style="52" customWidth="1"/>
    <col min="3084" max="3084" width="20" style="52" customWidth="1"/>
    <col min="3085" max="3328" width="8.33203125" style="52"/>
    <col min="3329" max="3329" width="12.33203125" style="52" customWidth="1"/>
    <col min="3330" max="3330" width="18.08203125" style="52" customWidth="1"/>
    <col min="3331" max="3331" width="23.33203125" style="52" customWidth="1"/>
    <col min="3332" max="3332" width="24" style="52" customWidth="1"/>
    <col min="3333" max="3333" width="25" style="52" customWidth="1"/>
    <col min="3334" max="3334" width="25.25" style="52" customWidth="1"/>
    <col min="3335" max="3335" width="24.33203125" style="52" customWidth="1"/>
    <col min="3336" max="3336" width="24.58203125" style="52" customWidth="1"/>
    <col min="3337" max="3337" width="24.5" style="52" customWidth="1"/>
    <col min="3338" max="3338" width="19" style="52" customWidth="1"/>
    <col min="3339" max="3339" width="19.58203125" style="52" customWidth="1"/>
    <col min="3340" max="3340" width="20" style="52" customWidth="1"/>
    <col min="3341" max="3584" width="8.33203125" style="52"/>
    <col min="3585" max="3585" width="12.33203125" style="52" customWidth="1"/>
    <col min="3586" max="3586" width="18.08203125" style="52" customWidth="1"/>
    <col min="3587" max="3587" width="23.33203125" style="52" customWidth="1"/>
    <col min="3588" max="3588" width="24" style="52" customWidth="1"/>
    <col min="3589" max="3589" width="25" style="52" customWidth="1"/>
    <col min="3590" max="3590" width="25.25" style="52" customWidth="1"/>
    <col min="3591" max="3591" width="24.33203125" style="52" customWidth="1"/>
    <col min="3592" max="3592" width="24.58203125" style="52" customWidth="1"/>
    <col min="3593" max="3593" width="24.5" style="52" customWidth="1"/>
    <col min="3594" max="3594" width="19" style="52" customWidth="1"/>
    <col min="3595" max="3595" width="19.58203125" style="52" customWidth="1"/>
    <col min="3596" max="3596" width="20" style="52" customWidth="1"/>
    <col min="3597" max="3840" width="8.33203125" style="52"/>
    <col min="3841" max="3841" width="12.33203125" style="52" customWidth="1"/>
    <col min="3842" max="3842" width="18.08203125" style="52" customWidth="1"/>
    <col min="3843" max="3843" width="23.33203125" style="52" customWidth="1"/>
    <col min="3844" max="3844" width="24" style="52" customWidth="1"/>
    <col min="3845" max="3845" width="25" style="52" customWidth="1"/>
    <col min="3846" max="3846" width="25.25" style="52" customWidth="1"/>
    <col min="3847" max="3847" width="24.33203125" style="52" customWidth="1"/>
    <col min="3848" max="3848" width="24.58203125" style="52" customWidth="1"/>
    <col min="3849" max="3849" width="24.5" style="52" customWidth="1"/>
    <col min="3850" max="3850" width="19" style="52" customWidth="1"/>
    <col min="3851" max="3851" width="19.58203125" style="52" customWidth="1"/>
    <col min="3852" max="3852" width="20" style="52" customWidth="1"/>
    <col min="3853" max="4096" width="8.33203125" style="52"/>
    <col min="4097" max="4097" width="12.33203125" style="52" customWidth="1"/>
    <col min="4098" max="4098" width="18.08203125" style="52" customWidth="1"/>
    <col min="4099" max="4099" width="23.33203125" style="52" customWidth="1"/>
    <col min="4100" max="4100" width="24" style="52" customWidth="1"/>
    <col min="4101" max="4101" width="25" style="52" customWidth="1"/>
    <col min="4102" max="4102" width="25.25" style="52" customWidth="1"/>
    <col min="4103" max="4103" width="24.33203125" style="52" customWidth="1"/>
    <col min="4104" max="4104" width="24.58203125" style="52" customWidth="1"/>
    <col min="4105" max="4105" width="24.5" style="52" customWidth="1"/>
    <col min="4106" max="4106" width="19" style="52" customWidth="1"/>
    <col min="4107" max="4107" width="19.58203125" style="52" customWidth="1"/>
    <col min="4108" max="4108" width="20" style="52" customWidth="1"/>
    <col min="4109" max="4352" width="8.33203125" style="52"/>
    <col min="4353" max="4353" width="12.33203125" style="52" customWidth="1"/>
    <col min="4354" max="4354" width="18.08203125" style="52" customWidth="1"/>
    <col min="4355" max="4355" width="23.33203125" style="52" customWidth="1"/>
    <col min="4356" max="4356" width="24" style="52" customWidth="1"/>
    <col min="4357" max="4357" width="25" style="52" customWidth="1"/>
    <col min="4358" max="4358" width="25.25" style="52" customWidth="1"/>
    <col min="4359" max="4359" width="24.33203125" style="52" customWidth="1"/>
    <col min="4360" max="4360" width="24.58203125" style="52" customWidth="1"/>
    <col min="4361" max="4361" width="24.5" style="52" customWidth="1"/>
    <col min="4362" max="4362" width="19" style="52" customWidth="1"/>
    <col min="4363" max="4363" width="19.58203125" style="52" customWidth="1"/>
    <col min="4364" max="4364" width="20" style="52" customWidth="1"/>
    <col min="4365" max="4608" width="8.33203125" style="52"/>
    <col min="4609" max="4609" width="12.33203125" style="52" customWidth="1"/>
    <col min="4610" max="4610" width="18.08203125" style="52" customWidth="1"/>
    <col min="4611" max="4611" width="23.33203125" style="52" customWidth="1"/>
    <col min="4612" max="4612" width="24" style="52" customWidth="1"/>
    <col min="4613" max="4613" width="25" style="52" customWidth="1"/>
    <col min="4614" max="4614" width="25.25" style="52" customWidth="1"/>
    <col min="4615" max="4615" width="24.33203125" style="52" customWidth="1"/>
    <col min="4616" max="4616" width="24.58203125" style="52" customWidth="1"/>
    <col min="4617" max="4617" width="24.5" style="52" customWidth="1"/>
    <col min="4618" max="4618" width="19" style="52" customWidth="1"/>
    <col min="4619" max="4619" width="19.58203125" style="52" customWidth="1"/>
    <col min="4620" max="4620" width="20" style="52" customWidth="1"/>
    <col min="4621" max="4864" width="8.33203125" style="52"/>
    <col min="4865" max="4865" width="12.33203125" style="52" customWidth="1"/>
    <col min="4866" max="4866" width="18.08203125" style="52" customWidth="1"/>
    <col min="4867" max="4867" width="23.33203125" style="52" customWidth="1"/>
    <col min="4868" max="4868" width="24" style="52" customWidth="1"/>
    <col min="4869" max="4869" width="25" style="52" customWidth="1"/>
    <col min="4870" max="4870" width="25.25" style="52" customWidth="1"/>
    <col min="4871" max="4871" width="24.33203125" style="52" customWidth="1"/>
    <col min="4872" max="4872" width="24.58203125" style="52" customWidth="1"/>
    <col min="4873" max="4873" width="24.5" style="52" customWidth="1"/>
    <col min="4874" max="4874" width="19" style="52" customWidth="1"/>
    <col min="4875" max="4875" width="19.58203125" style="52" customWidth="1"/>
    <col min="4876" max="4876" width="20" style="52" customWidth="1"/>
    <col min="4877" max="5120" width="8.33203125" style="52"/>
    <col min="5121" max="5121" width="12.33203125" style="52" customWidth="1"/>
    <col min="5122" max="5122" width="18.08203125" style="52" customWidth="1"/>
    <col min="5123" max="5123" width="23.33203125" style="52" customWidth="1"/>
    <col min="5124" max="5124" width="24" style="52" customWidth="1"/>
    <col min="5125" max="5125" width="25" style="52" customWidth="1"/>
    <col min="5126" max="5126" width="25.25" style="52" customWidth="1"/>
    <col min="5127" max="5127" width="24.33203125" style="52" customWidth="1"/>
    <col min="5128" max="5128" width="24.58203125" style="52" customWidth="1"/>
    <col min="5129" max="5129" width="24.5" style="52" customWidth="1"/>
    <col min="5130" max="5130" width="19" style="52" customWidth="1"/>
    <col min="5131" max="5131" width="19.58203125" style="52" customWidth="1"/>
    <col min="5132" max="5132" width="20" style="52" customWidth="1"/>
    <col min="5133" max="5376" width="8.33203125" style="52"/>
    <col min="5377" max="5377" width="12.33203125" style="52" customWidth="1"/>
    <col min="5378" max="5378" width="18.08203125" style="52" customWidth="1"/>
    <col min="5379" max="5379" width="23.33203125" style="52" customWidth="1"/>
    <col min="5380" max="5380" width="24" style="52" customWidth="1"/>
    <col min="5381" max="5381" width="25" style="52" customWidth="1"/>
    <col min="5382" max="5382" width="25.25" style="52" customWidth="1"/>
    <col min="5383" max="5383" width="24.33203125" style="52" customWidth="1"/>
    <col min="5384" max="5384" width="24.58203125" style="52" customWidth="1"/>
    <col min="5385" max="5385" width="24.5" style="52" customWidth="1"/>
    <col min="5386" max="5386" width="19" style="52" customWidth="1"/>
    <col min="5387" max="5387" width="19.58203125" style="52" customWidth="1"/>
    <col min="5388" max="5388" width="20" style="52" customWidth="1"/>
    <col min="5389" max="5632" width="8.33203125" style="52"/>
    <col min="5633" max="5633" width="12.33203125" style="52" customWidth="1"/>
    <col min="5634" max="5634" width="18.08203125" style="52" customWidth="1"/>
    <col min="5635" max="5635" width="23.33203125" style="52" customWidth="1"/>
    <col min="5636" max="5636" width="24" style="52" customWidth="1"/>
    <col min="5637" max="5637" width="25" style="52" customWidth="1"/>
    <col min="5638" max="5638" width="25.25" style="52" customWidth="1"/>
    <col min="5639" max="5639" width="24.33203125" style="52" customWidth="1"/>
    <col min="5640" max="5640" width="24.58203125" style="52" customWidth="1"/>
    <col min="5641" max="5641" width="24.5" style="52" customWidth="1"/>
    <col min="5642" max="5642" width="19" style="52" customWidth="1"/>
    <col min="5643" max="5643" width="19.58203125" style="52" customWidth="1"/>
    <col min="5644" max="5644" width="20" style="52" customWidth="1"/>
    <col min="5645" max="5888" width="8.33203125" style="52"/>
    <col min="5889" max="5889" width="12.33203125" style="52" customWidth="1"/>
    <col min="5890" max="5890" width="18.08203125" style="52" customWidth="1"/>
    <col min="5891" max="5891" width="23.33203125" style="52" customWidth="1"/>
    <col min="5892" max="5892" width="24" style="52" customWidth="1"/>
    <col min="5893" max="5893" width="25" style="52" customWidth="1"/>
    <col min="5894" max="5894" width="25.25" style="52" customWidth="1"/>
    <col min="5895" max="5895" width="24.33203125" style="52" customWidth="1"/>
    <col min="5896" max="5896" width="24.58203125" style="52" customWidth="1"/>
    <col min="5897" max="5897" width="24.5" style="52" customWidth="1"/>
    <col min="5898" max="5898" width="19" style="52" customWidth="1"/>
    <col min="5899" max="5899" width="19.58203125" style="52" customWidth="1"/>
    <col min="5900" max="5900" width="20" style="52" customWidth="1"/>
    <col min="5901" max="6144" width="8.33203125" style="52"/>
    <col min="6145" max="6145" width="12.33203125" style="52" customWidth="1"/>
    <col min="6146" max="6146" width="18.08203125" style="52" customWidth="1"/>
    <col min="6147" max="6147" width="23.33203125" style="52" customWidth="1"/>
    <col min="6148" max="6148" width="24" style="52" customWidth="1"/>
    <col min="6149" max="6149" width="25" style="52" customWidth="1"/>
    <col min="6150" max="6150" width="25.25" style="52" customWidth="1"/>
    <col min="6151" max="6151" width="24.33203125" style="52" customWidth="1"/>
    <col min="6152" max="6152" width="24.58203125" style="52" customWidth="1"/>
    <col min="6153" max="6153" width="24.5" style="52" customWidth="1"/>
    <col min="6154" max="6154" width="19" style="52" customWidth="1"/>
    <col min="6155" max="6155" width="19.58203125" style="52" customWidth="1"/>
    <col min="6156" max="6156" width="20" style="52" customWidth="1"/>
    <col min="6157" max="6400" width="8.33203125" style="52"/>
    <col min="6401" max="6401" width="12.33203125" style="52" customWidth="1"/>
    <col min="6402" max="6402" width="18.08203125" style="52" customWidth="1"/>
    <col min="6403" max="6403" width="23.33203125" style="52" customWidth="1"/>
    <col min="6404" max="6404" width="24" style="52" customWidth="1"/>
    <col min="6405" max="6405" width="25" style="52" customWidth="1"/>
    <col min="6406" max="6406" width="25.25" style="52" customWidth="1"/>
    <col min="6407" max="6407" width="24.33203125" style="52" customWidth="1"/>
    <col min="6408" max="6408" width="24.58203125" style="52" customWidth="1"/>
    <col min="6409" max="6409" width="24.5" style="52" customWidth="1"/>
    <col min="6410" max="6410" width="19" style="52" customWidth="1"/>
    <col min="6411" max="6411" width="19.58203125" style="52" customWidth="1"/>
    <col min="6412" max="6412" width="20" style="52" customWidth="1"/>
    <col min="6413" max="6656" width="8.33203125" style="52"/>
    <col min="6657" max="6657" width="12.33203125" style="52" customWidth="1"/>
    <col min="6658" max="6658" width="18.08203125" style="52" customWidth="1"/>
    <col min="6659" max="6659" width="23.33203125" style="52" customWidth="1"/>
    <col min="6660" max="6660" width="24" style="52" customWidth="1"/>
    <col min="6661" max="6661" width="25" style="52" customWidth="1"/>
    <col min="6662" max="6662" width="25.25" style="52" customWidth="1"/>
    <col min="6663" max="6663" width="24.33203125" style="52" customWidth="1"/>
    <col min="6664" max="6664" width="24.58203125" style="52" customWidth="1"/>
    <col min="6665" max="6665" width="24.5" style="52" customWidth="1"/>
    <col min="6666" max="6666" width="19" style="52" customWidth="1"/>
    <col min="6667" max="6667" width="19.58203125" style="52" customWidth="1"/>
    <col min="6668" max="6668" width="20" style="52" customWidth="1"/>
    <col min="6669" max="6912" width="8.33203125" style="52"/>
    <col min="6913" max="6913" width="12.33203125" style="52" customWidth="1"/>
    <col min="6914" max="6914" width="18.08203125" style="52" customWidth="1"/>
    <col min="6915" max="6915" width="23.33203125" style="52" customWidth="1"/>
    <col min="6916" max="6916" width="24" style="52" customWidth="1"/>
    <col min="6917" max="6917" width="25" style="52" customWidth="1"/>
    <col min="6918" max="6918" width="25.25" style="52" customWidth="1"/>
    <col min="6919" max="6919" width="24.33203125" style="52" customWidth="1"/>
    <col min="6920" max="6920" width="24.58203125" style="52" customWidth="1"/>
    <col min="6921" max="6921" width="24.5" style="52" customWidth="1"/>
    <col min="6922" max="6922" width="19" style="52" customWidth="1"/>
    <col min="6923" max="6923" width="19.58203125" style="52" customWidth="1"/>
    <col min="6924" max="6924" width="20" style="52" customWidth="1"/>
    <col min="6925" max="7168" width="8.33203125" style="52"/>
    <col min="7169" max="7169" width="12.33203125" style="52" customWidth="1"/>
    <col min="7170" max="7170" width="18.08203125" style="52" customWidth="1"/>
    <col min="7171" max="7171" width="23.33203125" style="52" customWidth="1"/>
    <col min="7172" max="7172" width="24" style="52" customWidth="1"/>
    <col min="7173" max="7173" width="25" style="52" customWidth="1"/>
    <col min="7174" max="7174" width="25.25" style="52" customWidth="1"/>
    <col min="7175" max="7175" width="24.33203125" style="52" customWidth="1"/>
    <col min="7176" max="7176" width="24.58203125" style="52" customWidth="1"/>
    <col min="7177" max="7177" width="24.5" style="52" customWidth="1"/>
    <col min="7178" max="7178" width="19" style="52" customWidth="1"/>
    <col min="7179" max="7179" width="19.58203125" style="52" customWidth="1"/>
    <col min="7180" max="7180" width="20" style="52" customWidth="1"/>
    <col min="7181" max="7424" width="8.33203125" style="52"/>
    <col min="7425" max="7425" width="12.33203125" style="52" customWidth="1"/>
    <col min="7426" max="7426" width="18.08203125" style="52" customWidth="1"/>
    <col min="7427" max="7427" width="23.33203125" style="52" customWidth="1"/>
    <col min="7428" max="7428" width="24" style="52" customWidth="1"/>
    <col min="7429" max="7429" width="25" style="52" customWidth="1"/>
    <col min="7430" max="7430" width="25.25" style="52" customWidth="1"/>
    <col min="7431" max="7431" width="24.33203125" style="52" customWidth="1"/>
    <col min="7432" max="7432" width="24.58203125" style="52" customWidth="1"/>
    <col min="7433" max="7433" width="24.5" style="52" customWidth="1"/>
    <col min="7434" max="7434" width="19" style="52" customWidth="1"/>
    <col min="7435" max="7435" width="19.58203125" style="52" customWidth="1"/>
    <col min="7436" max="7436" width="20" style="52" customWidth="1"/>
    <col min="7437" max="7680" width="8.33203125" style="52"/>
    <col min="7681" max="7681" width="12.33203125" style="52" customWidth="1"/>
    <col min="7682" max="7682" width="18.08203125" style="52" customWidth="1"/>
    <col min="7683" max="7683" width="23.33203125" style="52" customWidth="1"/>
    <col min="7684" max="7684" width="24" style="52" customWidth="1"/>
    <col min="7685" max="7685" width="25" style="52" customWidth="1"/>
    <col min="7686" max="7686" width="25.25" style="52" customWidth="1"/>
    <col min="7687" max="7687" width="24.33203125" style="52" customWidth="1"/>
    <col min="7688" max="7688" width="24.58203125" style="52" customWidth="1"/>
    <col min="7689" max="7689" width="24.5" style="52" customWidth="1"/>
    <col min="7690" max="7690" width="19" style="52" customWidth="1"/>
    <col min="7691" max="7691" width="19.58203125" style="52" customWidth="1"/>
    <col min="7692" max="7692" width="20" style="52" customWidth="1"/>
    <col min="7693" max="7936" width="8.33203125" style="52"/>
    <col min="7937" max="7937" width="12.33203125" style="52" customWidth="1"/>
    <col min="7938" max="7938" width="18.08203125" style="52" customWidth="1"/>
    <col min="7939" max="7939" width="23.33203125" style="52" customWidth="1"/>
    <col min="7940" max="7940" width="24" style="52" customWidth="1"/>
    <col min="7941" max="7941" width="25" style="52" customWidth="1"/>
    <col min="7942" max="7942" width="25.25" style="52" customWidth="1"/>
    <col min="7943" max="7943" width="24.33203125" style="52" customWidth="1"/>
    <col min="7944" max="7944" width="24.58203125" style="52" customWidth="1"/>
    <col min="7945" max="7945" width="24.5" style="52" customWidth="1"/>
    <col min="7946" max="7946" width="19" style="52" customWidth="1"/>
    <col min="7947" max="7947" width="19.58203125" style="52" customWidth="1"/>
    <col min="7948" max="7948" width="20" style="52" customWidth="1"/>
    <col min="7949" max="8192" width="8.33203125" style="52"/>
    <col min="8193" max="8193" width="12.33203125" style="52" customWidth="1"/>
    <col min="8194" max="8194" width="18.08203125" style="52" customWidth="1"/>
    <col min="8195" max="8195" width="23.33203125" style="52" customWidth="1"/>
    <col min="8196" max="8196" width="24" style="52" customWidth="1"/>
    <col min="8197" max="8197" width="25" style="52" customWidth="1"/>
    <col min="8198" max="8198" width="25.25" style="52" customWidth="1"/>
    <col min="8199" max="8199" width="24.33203125" style="52" customWidth="1"/>
    <col min="8200" max="8200" width="24.58203125" style="52" customWidth="1"/>
    <col min="8201" max="8201" width="24.5" style="52" customWidth="1"/>
    <col min="8202" max="8202" width="19" style="52" customWidth="1"/>
    <col min="8203" max="8203" width="19.58203125" style="52" customWidth="1"/>
    <col min="8204" max="8204" width="20" style="52" customWidth="1"/>
    <col min="8205" max="8448" width="8.33203125" style="52"/>
    <col min="8449" max="8449" width="12.33203125" style="52" customWidth="1"/>
    <col min="8450" max="8450" width="18.08203125" style="52" customWidth="1"/>
    <col min="8451" max="8451" width="23.33203125" style="52" customWidth="1"/>
    <col min="8452" max="8452" width="24" style="52" customWidth="1"/>
    <col min="8453" max="8453" width="25" style="52" customWidth="1"/>
    <col min="8454" max="8454" width="25.25" style="52" customWidth="1"/>
    <col min="8455" max="8455" width="24.33203125" style="52" customWidth="1"/>
    <col min="8456" max="8456" width="24.58203125" style="52" customWidth="1"/>
    <col min="8457" max="8457" width="24.5" style="52" customWidth="1"/>
    <col min="8458" max="8458" width="19" style="52" customWidth="1"/>
    <col min="8459" max="8459" width="19.58203125" style="52" customWidth="1"/>
    <col min="8460" max="8460" width="20" style="52" customWidth="1"/>
    <col min="8461" max="8704" width="8.33203125" style="52"/>
    <col min="8705" max="8705" width="12.33203125" style="52" customWidth="1"/>
    <col min="8706" max="8706" width="18.08203125" style="52" customWidth="1"/>
    <col min="8707" max="8707" width="23.33203125" style="52" customWidth="1"/>
    <col min="8708" max="8708" width="24" style="52" customWidth="1"/>
    <col min="8709" max="8709" width="25" style="52" customWidth="1"/>
    <col min="8710" max="8710" width="25.25" style="52" customWidth="1"/>
    <col min="8711" max="8711" width="24.33203125" style="52" customWidth="1"/>
    <col min="8712" max="8712" width="24.58203125" style="52" customWidth="1"/>
    <col min="8713" max="8713" width="24.5" style="52" customWidth="1"/>
    <col min="8714" max="8714" width="19" style="52" customWidth="1"/>
    <col min="8715" max="8715" width="19.58203125" style="52" customWidth="1"/>
    <col min="8716" max="8716" width="20" style="52" customWidth="1"/>
    <col min="8717" max="8960" width="8.33203125" style="52"/>
    <col min="8961" max="8961" width="12.33203125" style="52" customWidth="1"/>
    <col min="8962" max="8962" width="18.08203125" style="52" customWidth="1"/>
    <col min="8963" max="8963" width="23.33203125" style="52" customWidth="1"/>
    <col min="8964" max="8964" width="24" style="52" customWidth="1"/>
    <col min="8965" max="8965" width="25" style="52" customWidth="1"/>
    <col min="8966" max="8966" width="25.25" style="52" customWidth="1"/>
    <col min="8967" max="8967" width="24.33203125" style="52" customWidth="1"/>
    <col min="8968" max="8968" width="24.58203125" style="52" customWidth="1"/>
    <col min="8969" max="8969" width="24.5" style="52" customWidth="1"/>
    <col min="8970" max="8970" width="19" style="52" customWidth="1"/>
    <col min="8971" max="8971" width="19.58203125" style="52" customWidth="1"/>
    <col min="8972" max="8972" width="20" style="52" customWidth="1"/>
    <col min="8973" max="9216" width="8.33203125" style="52"/>
    <col min="9217" max="9217" width="12.33203125" style="52" customWidth="1"/>
    <col min="9218" max="9218" width="18.08203125" style="52" customWidth="1"/>
    <col min="9219" max="9219" width="23.33203125" style="52" customWidth="1"/>
    <col min="9220" max="9220" width="24" style="52" customWidth="1"/>
    <col min="9221" max="9221" width="25" style="52" customWidth="1"/>
    <col min="9222" max="9222" width="25.25" style="52" customWidth="1"/>
    <col min="9223" max="9223" width="24.33203125" style="52" customWidth="1"/>
    <col min="9224" max="9224" width="24.58203125" style="52" customWidth="1"/>
    <col min="9225" max="9225" width="24.5" style="52" customWidth="1"/>
    <col min="9226" max="9226" width="19" style="52" customWidth="1"/>
    <col min="9227" max="9227" width="19.58203125" style="52" customWidth="1"/>
    <col min="9228" max="9228" width="20" style="52" customWidth="1"/>
    <col min="9229" max="9472" width="8.33203125" style="52"/>
    <col min="9473" max="9473" width="12.33203125" style="52" customWidth="1"/>
    <col min="9474" max="9474" width="18.08203125" style="52" customWidth="1"/>
    <col min="9475" max="9475" width="23.33203125" style="52" customWidth="1"/>
    <col min="9476" max="9476" width="24" style="52" customWidth="1"/>
    <col min="9477" max="9477" width="25" style="52" customWidth="1"/>
    <col min="9478" max="9478" width="25.25" style="52" customWidth="1"/>
    <col min="9479" max="9479" width="24.33203125" style="52" customWidth="1"/>
    <col min="9480" max="9480" width="24.58203125" style="52" customWidth="1"/>
    <col min="9481" max="9481" width="24.5" style="52" customWidth="1"/>
    <col min="9482" max="9482" width="19" style="52" customWidth="1"/>
    <col min="9483" max="9483" width="19.58203125" style="52" customWidth="1"/>
    <col min="9484" max="9484" width="20" style="52" customWidth="1"/>
    <col min="9485" max="9728" width="8.33203125" style="52"/>
    <col min="9729" max="9729" width="12.33203125" style="52" customWidth="1"/>
    <col min="9730" max="9730" width="18.08203125" style="52" customWidth="1"/>
    <col min="9731" max="9731" width="23.33203125" style="52" customWidth="1"/>
    <col min="9732" max="9732" width="24" style="52" customWidth="1"/>
    <col min="9733" max="9733" width="25" style="52" customWidth="1"/>
    <col min="9734" max="9734" width="25.25" style="52" customWidth="1"/>
    <col min="9735" max="9735" width="24.33203125" style="52" customWidth="1"/>
    <col min="9736" max="9736" width="24.58203125" style="52" customWidth="1"/>
    <col min="9737" max="9737" width="24.5" style="52" customWidth="1"/>
    <col min="9738" max="9738" width="19" style="52" customWidth="1"/>
    <col min="9739" max="9739" width="19.58203125" style="52" customWidth="1"/>
    <col min="9740" max="9740" width="20" style="52" customWidth="1"/>
    <col min="9741" max="9984" width="8.33203125" style="52"/>
    <col min="9985" max="9985" width="12.33203125" style="52" customWidth="1"/>
    <col min="9986" max="9986" width="18.08203125" style="52" customWidth="1"/>
    <col min="9987" max="9987" width="23.33203125" style="52" customWidth="1"/>
    <col min="9988" max="9988" width="24" style="52" customWidth="1"/>
    <col min="9989" max="9989" width="25" style="52" customWidth="1"/>
    <col min="9990" max="9990" width="25.25" style="52" customWidth="1"/>
    <col min="9991" max="9991" width="24.33203125" style="52" customWidth="1"/>
    <col min="9992" max="9992" width="24.58203125" style="52" customWidth="1"/>
    <col min="9993" max="9993" width="24.5" style="52" customWidth="1"/>
    <col min="9994" max="9994" width="19" style="52" customWidth="1"/>
    <col min="9995" max="9995" width="19.58203125" style="52" customWidth="1"/>
    <col min="9996" max="9996" width="20" style="52" customWidth="1"/>
    <col min="9997" max="10240" width="8.33203125" style="52"/>
    <col min="10241" max="10241" width="12.33203125" style="52" customWidth="1"/>
    <col min="10242" max="10242" width="18.08203125" style="52" customWidth="1"/>
    <col min="10243" max="10243" width="23.33203125" style="52" customWidth="1"/>
    <col min="10244" max="10244" width="24" style="52" customWidth="1"/>
    <col min="10245" max="10245" width="25" style="52" customWidth="1"/>
    <col min="10246" max="10246" width="25.25" style="52" customWidth="1"/>
    <col min="10247" max="10247" width="24.33203125" style="52" customWidth="1"/>
    <col min="10248" max="10248" width="24.58203125" style="52" customWidth="1"/>
    <col min="10249" max="10249" width="24.5" style="52" customWidth="1"/>
    <col min="10250" max="10250" width="19" style="52" customWidth="1"/>
    <col min="10251" max="10251" width="19.58203125" style="52" customWidth="1"/>
    <col min="10252" max="10252" width="20" style="52" customWidth="1"/>
    <col min="10253" max="10496" width="8.33203125" style="52"/>
    <col min="10497" max="10497" width="12.33203125" style="52" customWidth="1"/>
    <col min="10498" max="10498" width="18.08203125" style="52" customWidth="1"/>
    <col min="10499" max="10499" width="23.33203125" style="52" customWidth="1"/>
    <col min="10500" max="10500" width="24" style="52" customWidth="1"/>
    <col min="10501" max="10501" width="25" style="52" customWidth="1"/>
    <col min="10502" max="10502" width="25.25" style="52" customWidth="1"/>
    <col min="10503" max="10503" width="24.33203125" style="52" customWidth="1"/>
    <col min="10504" max="10504" width="24.58203125" style="52" customWidth="1"/>
    <col min="10505" max="10505" width="24.5" style="52" customWidth="1"/>
    <col min="10506" max="10506" width="19" style="52" customWidth="1"/>
    <col min="10507" max="10507" width="19.58203125" style="52" customWidth="1"/>
    <col min="10508" max="10508" width="20" style="52" customWidth="1"/>
    <col min="10509" max="10752" width="8.33203125" style="52"/>
    <col min="10753" max="10753" width="12.33203125" style="52" customWidth="1"/>
    <col min="10754" max="10754" width="18.08203125" style="52" customWidth="1"/>
    <col min="10755" max="10755" width="23.33203125" style="52" customWidth="1"/>
    <col min="10756" max="10756" width="24" style="52" customWidth="1"/>
    <col min="10757" max="10757" width="25" style="52" customWidth="1"/>
    <col min="10758" max="10758" width="25.25" style="52" customWidth="1"/>
    <col min="10759" max="10759" width="24.33203125" style="52" customWidth="1"/>
    <col min="10760" max="10760" width="24.58203125" style="52" customWidth="1"/>
    <col min="10761" max="10761" width="24.5" style="52" customWidth="1"/>
    <col min="10762" max="10762" width="19" style="52" customWidth="1"/>
    <col min="10763" max="10763" width="19.58203125" style="52" customWidth="1"/>
    <col min="10764" max="10764" width="20" style="52" customWidth="1"/>
    <col min="10765" max="11008" width="8.33203125" style="52"/>
    <col min="11009" max="11009" width="12.33203125" style="52" customWidth="1"/>
    <col min="11010" max="11010" width="18.08203125" style="52" customWidth="1"/>
    <col min="11011" max="11011" width="23.33203125" style="52" customWidth="1"/>
    <col min="11012" max="11012" width="24" style="52" customWidth="1"/>
    <col min="11013" max="11013" width="25" style="52" customWidth="1"/>
    <col min="11014" max="11014" width="25.25" style="52" customWidth="1"/>
    <col min="11015" max="11015" width="24.33203125" style="52" customWidth="1"/>
    <col min="11016" max="11016" width="24.58203125" style="52" customWidth="1"/>
    <col min="11017" max="11017" width="24.5" style="52" customWidth="1"/>
    <col min="11018" max="11018" width="19" style="52" customWidth="1"/>
    <col min="11019" max="11019" width="19.58203125" style="52" customWidth="1"/>
    <col min="11020" max="11020" width="20" style="52" customWidth="1"/>
    <col min="11021" max="11264" width="8.33203125" style="52"/>
    <col min="11265" max="11265" width="12.33203125" style="52" customWidth="1"/>
    <col min="11266" max="11266" width="18.08203125" style="52" customWidth="1"/>
    <col min="11267" max="11267" width="23.33203125" style="52" customWidth="1"/>
    <col min="11268" max="11268" width="24" style="52" customWidth="1"/>
    <col min="11269" max="11269" width="25" style="52" customWidth="1"/>
    <col min="11270" max="11270" width="25.25" style="52" customWidth="1"/>
    <col min="11271" max="11271" width="24.33203125" style="52" customWidth="1"/>
    <col min="11272" max="11272" width="24.58203125" style="52" customWidth="1"/>
    <col min="11273" max="11273" width="24.5" style="52" customWidth="1"/>
    <col min="11274" max="11274" width="19" style="52" customWidth="1"/>
    <col min="11275" max="11275" width="19.58203125" style="52" customWidth="1"/>
    <col min="11276" max="11276" width="20" style="52" customWidth="1"/>
    <col min="11277" max="11520" width="8.33203125" style="52"/>
    <col min="11521" max="11521" width="12.33203125" style="52" customWidth="1"/>
    <col min="11522" max="11522" width="18.08203125" style="52" customWidth="1"/>
    <col min="11523" max="11523" width="23.33203125" style="52" customWidth="1"/>
    <col min="11524" max="11524" width="24" style="52" customWidth="1"/>
    <col min="11525" max="11525" width="25" style="52" customWidth="1"/>
    <col min="11526" max="11526" width="25.25" style="52" customWidth="1"/>
    <col min="11527" max="11527" width="24.33203125" style="52" customWidth="1"/>
    <col min="11528" max="11528" width="24.58203125" style="52" customWidth="1"/>
    <col min="11529" max="11529" width="24.5" style="52" customWidth="1"/>
    <col min="11530" max="11530" width="19" style="52" customWidth="1"/>
    <col min="11531" max="11531" width="19.58203125" style="52" customWidth="1"/>
    <col min="11532" max="11532" width="20" style="52" customWidth="1"/>
    <col min="11533" max="11776" width="8.33203125" style="52"/>
    <col min="11777" max="11777" width="12.33203125" style="52" customWidth="1"/>
    <col min="11778" max="11778" width="18.08203125" style="52" customWidth="1"/>
    <col min="11779" max="11779" width="23.33203125" style="52" customWidth="1"/>
    <col min="11780" max="11780" width="24" style="52" customWidth="1"/>
    <col min="11781" max="11781" width="25" style="52" customWidth="1"/>
    <col min="11782" max="11782" width="25.25" style="52" customWidth="1"/>
    <col min="11783" max="11783" width="24.33203125" style="52" customWidth="1"/>
    <col min="11784" max="11784" width="24.58203125" style="52" customWidth="1"/>
    <col min="11785" max="11785" width="24.5" style="52" customWidth="1"/>
    <col min="11786" max="11786" width="19" style="52" customWidth="1"/>
    <col min="11787" max="11787" width="19.58203125" style="52" customWidth="1"/>
    <col min="11788" max="11788" width="20" style="52" customWidth="1"/>
    <col min="11789" max="12032" width="8.33203125" style="52"/>
    <col min="12033" max="12033" width="12.33203125" style="52" customWidth="1"/>
    <col min="12034" max="12034" width="18.08203125" style="52" customWidth="1"/>
    <col min="12035" max="12035" width="23.33203125" style="52" customWidth="1"/>
    <col min="12036" max="12036" width="24" style="52" customWidth="1"/>
    <col min="12037" max="12037" width="25" style="52" customWidth="1"/>
    <col min="12038" max="12038" width="25.25" style="52" customWidth="1"/>
    <col min="12039" max="12039" width="24.33203125" style="52" customWidth="1"/>
    <col min="12040" max="12040" width="24.58203125" style="52" customWidth="1"/>
    <col min="12041" max="12041" width="24.5" style="52" customWidth="1"/>
    <col min="12042" max="12042" width="19" style="52" customWidth="1"/>
    <col min="12043" max="12043" width="19.58203125" style="52" customWidth="1"/>
    <col min="12044" max="12044" width="20" style="52" customWidth="1"/>
    <col min="12045" max="12288" width="8.33203125" style="52"/>
    <col min="12289" max="12289" width="12.33203125" style="52" customWidth="1"/>
    <col min="12290" max="12290" width="18.08203125" style="52" customWidth="1"/>
    <col min="12291" max="12291" width="23.33203125" style="52" customWidth="1"/>
    <col min="12292" max="12292" width="24" style="52" customWidth="1"/>
    <col min="12293" max="12293" width="25" style="52" customWidth="1"/>
    <col min="12294" max="12294" width="25.25" style="52" customWidth="1"/>
    <col min="12295" max="12295" width="24.33203125" style="52" customWidth="1"/>
    <col min="12296" max="12296" width="24.58203125" style="52" customWidth="1"/>
    <col min="12297" max="12297" width="24.5" style="52" customWidth="1"/>
    <col min="12298" max="12298" width="19" style="52" customWidth="1"/>
    <col min="12299" max="12299" width="19.58203125" style="52" customWidth="1"/>
    <col min="12300" max="12300" width="20" style="52" customWidth="1"/>
    <col min="12301" max="12544" width="8.33203125" style="52"/>
    <col min="12545" max="12545" width="12.33203125" style="52" customWidth="1"/>
    <col min="12546" max="12546" width="18.08203125" style="52" customWidth="1"/>
    <col min="12547" max="12547" width="23.33203125" style="52" customWidth="1"/>
    <col min="12548" max="12548" width="24" style="52" customWidth="1"/>
    <col min="12549" max="12549" width="25" style="52" customWidth="1"/>
    <col min="12550" max="12550" width="25.25" style="52" customWidth="1"/>
    <col min="12551" max="12551" width="24.33203125" style="52" customWidth="1"/>
    <col min="12552" max="12552" width="24.58203125" style="52" customWidth="1"/>
    <col min="12553" max="12553" width="24.5" style="52" customWidth="1"/>
    <col min="12554" max="12554" width="19" style="52" customWidth="1"/>
    <col min="12555" max="12555" width="19.58203125" style="52" customWidth="1"/>
    <col min="12556" max="12556" width="20" style="52" customWidth="1"/>
    <col min="12557" max="12800" width="8.33203125" style="52"/>
    <col min="12801" max="12801" width="12.33203125" style="52" customWidth="1"/>
    <col min="12802" max="12802" width="18.08203125" style="52" customWidth="1"/>
    <col min="12803" max="12803" width="23.33203125" style="52" customWidth="1"/>
    <col min="12804" max="12804" width="24" style="52" customWidth="1"/>
    <col min="12805" max="12805" width="25" style="52" customWidth="1"/>
    <col min="12806" max="12806" width="25.25" style="52" customWidth="1"/>
    <col min="12807" max="12807" width="24.33203125" style="52" customWidth="1"/>
    <col min="12808" max="12808" width="24.58203125" style="52" customWidth="1"/>
    <col min="12809" max="12809" width="24.5" style="52" customWidth="1"/>
    <col min="12810" max="12810" width="19" style="52" customWidth="1"/>
    <col min="12811" max="12811" width="19.58203125" style="52" customWidth="1"/>
    <col min="12812" max="12812" width="20" style="52" customWidth="1"/>
    <col min="12813" max="13056" width="8.33203125" style="52"/>
    <col min="13057" max="13057" width="12.33203125" style="52" customWidth="1"/>
    <col min="13058" max="13058" width="18.08203125" style="52" customWidth="1"/>
    <col min="13059" max="13059" width="23.33203125" style="52" customWidth="1"/>
    <col min="13060" max="13060" width="24" style="52" customWidth="1"/>
    <col min="13061" max="13061" width="25" style="52" customWidth="1"/>
    <col min="13062" max="13062" width="25.25" style="52" customWidth="1"/>
    <col min="13063" max="13063" width="24.33203125" style="52" customWidth="1"/>
    <col min="13064" max="13064" width="24.58203125" style="52" customWidth="1"/>
    <col min="13065" max="13065" width="24.5" style="52" customWidth="1"/>
    <col min="13066" max="13066" width="19" style="52" customWidth="1"/>
    <col min="13067" max="13067" width="19.58203125" style="52" customWidth="1"/>
    <col min="13068" max="13068" width="20" style="52" customWidth="1"/>
    <col min="13069" max="13312" width="8.33203125" style="52"/>
    <col min="13313" max="13313" width="12.33203125" style="52" customWidth="1"/>
    <col min="13314" max="13314" width="18.08203125" style="52" customWidth="1"/>
    <col min="13315" max="13315" width="23.33203125" style="52" customWidth="1"/>
    <col min="13316" max="13316" width="24" style="52" customWidth="1"/>
    <col min="13317" max="13317" width="25" style="52" customWidth="1"/>
    <col min="13318" max="13318" width="25.25" style="52" customWidth="1"/>
    <col min="13319" max="13319" width="24.33203125" style="52" customWidth="1"/>
    <col min="13320" max="13320" width="24.58203125" style="52" customWidth="1"/>
    <col min="13321" max="13321" width="24.5" style="52" customWidth="1"/>
    <col min="13322" max="13322" width="19" style="52" customWidth="1"/>
    <col min="13323" max="13323" width="19.58203125" style="52" customWidth="1"/>
    <col min="13324" max="13324" width="20" style="52" customWidth="1"/>
    <col min="13325" max="13568" width="8.33203125" style="52"/>
    <col min="13569" max="13569" width="12.33203125" style="52" customWidth="1"/>
    <col min="13570" max="13570" width="18.08203125" style="52" customWidth="1"/>
    <col min="13571" max="13571" width="23.33203125" style="52" customWidth="1"/>
    <col min="13572" max="13572" width="24" style="52" customWidth="1"/>
    <col min="13573" max="13573" width="25" style="52" customWidth="1"/>
    <col min="13574" max="13574" width="25.25" style="52" customWidth="1"/>
    <col min="13575" max="13575" width="24.33203125" style="52" customWidth="1"/>
    <col min="13576" max="13576" width="24.58203125" style="52" customWidth="1"/>
    <col min="13577" max="13577" width="24.5" style="52" customWidth="1"/>
    <col min="13578" max="13578" width="19" style="52" customWidth="1"/>
    <col min="13579" max="13579" width="19.58203125" style="52" customWidth="1"/>
    <col min="13580" max="13580" width="20" style="52" customWidth="1"/>
    <col min="13581" max="13824" width="8.33203125" style="52"/>
    <col min="13825" max="13825" width="12.33203125" style="52" customWidth="1"/>
    <col min="13826" max="13826" width="18.08203125" style="52" customWidth="1"/>
    <col min="13827" max="13827" width="23.33203125" style="52" customWidth="1"/>
    <col min="13828" max="13828" width="24" style="52" customWidth="1"/>
    <col min="13829" max="13829" width="25" style="52" customWidth="1"/>
    <col min="13830" max="13830" width="25.25" style="52" customWidth="1"/>
    <col min="13831" max="13831" width="24.33203125" style="52" customWidth="1"/>
    <col min="13832" max="13832" width="24.58203125" style="52" customWidth="1"/>
    <col min="13833" max="13833" width="24.5" style="52" customWidth="1"/>
    <col min="13834" max="13834" width="19" style="52" customWidth="1"/>
    <col min="13835" max="13835" width="19.58203125" style="52" customWidth="1"/>
    <col min="13836" max="13836" width="20" style="52" customWidth="1"/>
    <col min="13837" max="14080" width="8.33203125" style="52"/>
    <col min="14081" max="14081" width="12.33203125" style="52" customWidth="1"/>
    <col min="14082" max="14082" width="18.08203125" style="52" customWidth="1"/>
    <col min="14083" max="14083" width="23.33203125" style="52" customWidth="1"/>
    <col min="14084" max="14084" width="24" style="52" customWidth="1"/>
    <col min="14085" max="14085" width="25" style="52" customWidth="1"/>
    <col min="14086" max="14086" width="25.25" style="52" customWidth="1"/>
    <col min="14087" max="14087" width="24.33203125" style="52" customWidth="1"/>
    <col min="14088" max="14088" width="24.58203125" style="52" customWidth="1"/>
    <col min="14089" max="14089" width="24.5" style="52" customWidth="1"/>
    <col min="14090" max="14090" width="19" style="52" customWidth="1"/>
    <col min="14091" max="14091" width="19.58203125" style="52" customWidth="1"/>
    <col min="14092" max="14092" width="20" style="52" customWidth="1"/>
    <col min="14093" max="14336" width="8.33203125" style="52"/>
    <col min="14337" max="14337" width="12.33203125" style="52" customWidth="1"/>
    <col min="14338" max="14338" width="18.08203125" style="52" customWidth="1"/>
    <col min="14339" max="14339" width="23.33203125" style="52" customWidth="1"/>
    <col min="14340" max="14340" width="24" style="52" customWidth="1"/>
    <col min="14341" max="14341" width="25" style="52" customWidth="1"/>
    <col min="14342" max="14342" width="25.25" style="52" customWidth="1"/>
    <col min="14343" max="14343" width="24.33203125" style="52" customWidth="1"/>
    <col min="14344" max="14344" width="24.58203125" style="52" customWidth="1"/>
    <col min="14345" max="14345" width="24.5" style="52" customWidth="1"/>
    <col min="14346" max="14346" width="19" style="52" customWidth="1"/>
    <col min="14347" max="14347" width="19.58203125" style="52" customWidth="1"/>
    <col min="14348" max="14348" width="20" style="52" customWidth="1"/>
    <col min="14349" max="14592" width="8.33203125" style="52"/>
    <col min="14593" max="14593" width="12.33203125" style="52" customWidth="1"/>
    <col min="14594" max="14594" width="18.08203125" style="52" customWidth="1"/>
    <col min="14595" max="14595" width="23.33203125" style="52" customWidth="1"/>
    <col min="14596" max="14596" width="24" style="52" customWidth="1"/>
    <col min="14597" max="14597" width="25" style="52" customWidth="1"/>
    <col min="14598" max="14598" width="25.25" style="52" customWidth="1"/>
    <col min="14599" max="14599" width="24.33203125" style="52" customWidth="1"/>
    <col min="14600" max="14600" width="24.58203125" style="52" customWidth="1"/>
    <col min="14601" max="14601" width="24.5" style="52" customWidth="1"/>
    <col min="14602" max="14602" width="19" style="52" customWidth="1"/>
    <col min="14603" max="14603" width="19.58203125" style="52" customWidth="1"/>
    <col min="14604" max="14604" width="20" style="52" customWidth="1"/>
    <col min="14605" max="14848" width="8.33203125" style="52"/>
    <col min="14849" max="14849" width="12.33203125" style="52" customWidth="1"/>
    <col min="14850" max="14850" width="18.08203125" style="52" customWidth="1"/>
    <col min="14851" max="14851" width="23.33203125" style="52" customWidth="1"/>
    <col min="14852" max="14852" width="24" style="52" customWidth="1"/>
    <col min="14853" max="14853" width="25" style="52" customWidth="1"/>
    <col min="14854" max="14854" width="25.25" style="52" customWidth="1"/>
    <col min="14855" max="14855" width="24.33203125" style="52" customWidth="1"/>
    <col min="14856" max="14856" width="24.58203125" style="52" customWidth="1"/>
    <col min="14857" max="14857" width="24.5" style="52" customWidth="1"/>
    <col min="14858" max="14858" width="19" style="52" customWidth="1"/>
    <col min="14859" max="14859" width="19.58203125" style="52" customWidth="1"/>
    <col min="14860" max="14860" width="20" style="52" customWidth="1"/>
    <col min="14861" max="15104" width="8.33203125" style="52"/>
    <col min="15105" max="15105" width="12.33203125" style="52" customWidth="1"/>
    <col min="15106" max="15106" width="18.08203125" style="52" customWidth="1"/>
    <col min="15107" max="15107" width="23.33203125" style="52" customWidth="1"/>
    <col min="15108" max="15108" width="24" style="52" customWidth="1"/>
    <col min="15109" max="15109" width="25" style="52" customWidth="1"/>
    <col min="15110" max="15110" width="25.25" style="52" customWidth="1"/>
    <col min="15111" max="15111" width="24.33203125" style="52" customWidth="1"/>
    <col min="15112" max="15112" width="24.58203125" style="52" customWidth="1"/>
    <col min="15113" max="15113" width="24.5" style="52" customWidth="1"/>
    <col min="15114" max="15114" width="19" style="52" customWidth="1"/>
    <col min="15115" max="15115" width="19.58203125" style="52" customWidth="1"/>
    <col min="15116" max="15116" width="20" style="52" customWidth="1"/>
    <col min="15117" max="15360" width="8.33203125" style="52"/>
    <col min="15361" max="15361" width="12.33203125" style="52" customWidth="1"/>
    <col min="15362" max="15362" width="18.08203125" style="52" customWidth="1"/>
    <col min="15363" max="15363" width="23.33203125" style="52" customWidth="1"/>
    <col min="15364" max="15364" width="24" style="52" customWidth="1"/>
    <col min="15365" max="15365" width="25" style="52" customWidth="1"/>
    <col min="15366" max="15366" width="25.25" style="52" customWidth="1"/>
    <col min="15367" max="15367" width="24.33203125" style="52" customWidth="1"/>
    <col min="15368" max="15368" width="24.58203125" style="52" customWidth="1"/>
    <col min="15369" max="15369" width="24.5" style="52" customWidth="1"/>
    <col min="15370" max="15370" width="19" style="52" customWidth="1"/>
    <col min="15371" max="15371" width="19.58203125" style="52" customWidth="1"/>
    <col min="15372" max="15372" width="20" style="52" customWidth="1"/>
    <col min="15373" max="15616" width="8.33203125" style="52"/>
    <col min="15617" max="15617" width="12.33203125" style="52" customWidth="1"/>
    <col min="15618" max="15618" width="18.08203125" style="52" customWidth="1"/>
    <col min="15619" max="15619" width="23.33203125" style="52" customWidth="1"/>
    <col min="15620" max="15620" width="24" style="52" customWidth="1"/>
    <col min="15621" max="15621" width="25" style="52" customWidth="1"/>
    <col min="15622" max="15622" width="25.25" style="52" customWidth="1"/>
    <col min="15623" max="15623" width="24.33203125" style="52" customWidth="1"/>
    <col min="15624" max="15624" width="24.58203125" style="52" customWidth="1"/>
    <col min="15625" max="15625" width="24.5" style="52" customWidth="1"/>
    <col min="15626" max="15626" width="19" style="52" customWidth="1"/>
    <col min="15627" max="15627" width="19.58203125" style="52" customWidth="1"/>
    <col min="15628" max="15628" width="20" style="52" customWidth="1"/>
    <col min="15629" max="15872" width="8.33203125" style="52"/>
    <col min="15873" max="15873" width="12.33203125" style="52" customWidth="1"/>
    <col min="15874" max="15874" width="18.08203125" style="52" customWidth="1"/>
    <col min="15875" max="15875" width="23.33203125" style="52" customWidth="1"/>
    <col min="15876" max="15876" width="24" style="52" customWidth="1"/>
    <col min="15877" max="15877" width="25" style="52" customWidth="1"/>
    <col min="15878" max="15878" width="25.25" style="52" customWidth="1"/>
    <col min="15879" max="15879" width="24.33203125" style="52" customWidth="1"/>
    <col min="15880" max="15880" width="24.58203125" style="52" customWidth="1"/>
    <col min="15881" max="15881" width="24.5" style="52" customWidth="1"/>
    <col min="15882" max="15882" width="19" style="52" customWidth="1"/>
    <col min="15883" max="15883" width="19.58203125" style="52" customWidth="1"/>
    <col min="15884" max="15884" width="20" style="52" customWidth="1"/>
    <col min="15885" max="16128" width="8.33203125" style="52"/>
    <col min="16129" max="16129" width="12.33203125" style="52" customWidth="1"/>
    <col min="16130" max="16130" width="18.08203125" style="52" customWidth="1"/>
    <col min="16131" max="16131" width="23.33203125" style="52" customWidth="1"/>
    <col min="16132" max="16132" width="24" style="52" customWidth="1"/>
    <col min="16133" max="16133" width="25" style="52" customWidth="1"/>
    <col min="16134" max="16134" width="25.25" style="52" customWidth="1"/>
    <col min="16135" max="16135" width="24.33203125" style="52" customWidth="1"/>
    <col min="16136" max="16136" width="24.58203125" style="52" customWidth="1"/>
    <col min="16137" max="16137" width="24.5" style="52" customWidth="1"/>
    <col min="16138" max="16138" width="19" style="52" customWidth="1"/>
    <col min="16139" max="16139" width="19.58203125" style="52" customWidth="1"/>
    <col min="16140" max="16140" width="20" style="52" customWidth="1"/>
    <col min="16141" max="16384" width="8.33203125" style="52"/>
  </cols>
  <sheetData>
    <row r="1" spans="1:17" s="78" customFormat="1" ht="12" customHeight="1">
      <c r="A1" s="65" t="s">
        <v>639</v>
      </c>
      <c r="B1" s="77"/>
      <c r="C1" s="77"/>
      <c r="D1" s="77"/>
    </row>
    <row r="2" spans="1:17" s="78" customFormat="1">
      <c r="A2" s="79" t="s">
        <v>640</v>
      </c>
      <c r="B2" s="78" t="s">
        <v>641</v>
      </c>
      <c r="C2" s="78" t="s">
        <v>642</v>
      </c>
      <c r="D2" s="78" t="s">
        <v>643</v>
      </c>
      <c r="E2" s="78" t="s">
        <v>644</v>
      </c>
      <c r="F2" s="78" t="s">
        <v>645</v>
      </c>
      <c r="G2" s="78" t="s">
        <v>646</v>
      </c>
      <c r="H2" s="78" t="s">
        <v>647</v>
      </c>
      <c r="I2" s="78" t="s">
        <v>648</v>
      </c>
      <c r="J2" s="80" t="s">
        <v>649</v>
      </c>
      <c r="K2" s="80" t="s">
        <v>650</v>
      </c>
      <c r="L2" s="80" t="s">
        <v>651</v>
      </c>
    </row>
    <row r="3" spans="1:17" s="78" customFormat="1" ht="35.25">
      <c r="A3" s="79" t="s">
        <v>403</v>
      </c>
      <c r="B3" s="78" t="s">
        <v>652</v>
      </c>
      <c r="C3" s="78" t="s">
        <v>653</v>
      </c>
      <c r="D3" s="78" t="s">
        <v>654</v>
      </c>
      <c r="E3" s="78" t="s">
        <v>655</v>
      </c>
      <c r="F3" s="78" t="s">
        <v>656</v>
      </c>
      <c r="G3" s="78" t="s">
        <v>657</v>
      </c>
      <c r="H3" s="78" t="s">
        <v>658</v>
      </c>
      <c r="I3" s="78" t="s">
        <v>659</v>
      </c>
      <c r="J3" s="78" t="s">
        <v>660</v>
      </c>
      <c r="K3" s="78" t="s">
        <v>661</v>
      </c>
      <c r="L3" s="78" t="s">
        <v>662</v>
      </c>
    </row>
    <row r="4" spans="1:17" s="78" customFormat="1" ht="12" customHeight="1">
      <c r="A4" s="79" t="s">
        <v>663</v>
      </c>
      <c r="B4" s="78" t="s">
        <v>664</v>
      </c>
      <c r="C4" s="78" t="s">
        <v>664</v>
      </c>
      <c r="D4" s="78" t="s">
        <v>664</v>
      </c>
      <c r="E4" s="78" t="s">
        <v>664</v>
      </c>
      <c r="F4" s="78" t="s">
        <v>664</v>
      </c>
      <c r="G4" s="78" t="s">
        <v>664</v>
      </c>
      <c r="H4" s="78" t="s">
        <v>664</v>
      </c>
      <c r="I4" s="78" t="s">
        <v>664</v>
      </c>
      <c r="J4" s="78" t="s">
        <v>665</v>
      </c>
      <c r="K4" s="78" t="s">
        <v>665</v>
      </c>
      <c r="L4" s="78" t="s">
        <v>665</v>
      </c>
    </row>
    <row r="5" spans="1:17" s="78" customFormat="1" ht="12" customHeight="1">
      <c r="A5" s="79" t="s">
        <v>666</v>
      </c>
      <c r="B5" s="78" t="s">
        <v>667</v>
      </c>
      <c r="C5" s="78" t="s">
        <v>667</v>
      </c>
      <c r="D5" s="78" t="s">
        <v>667</v>
      </c>
      <c r="E5" s="78" t="s">
        <v>667</v>
      </c>
      <c r="F5" s="78" t="s">
        <v>667</v>
      </c>
      <c r="G5" s="78" t="s">
        <v>667</v>
      </c>
      <c r="H5" s="78" t="s">
        <v>667</v>
      </c>
      <c r="I5" s="78" t="s">
        <v>667</v>
      </c>
      <c r="J5" s="78" t="s">
        <v>667</v>
      </c>
      <c r="K5" s="78" t="s">
        <v>667</v>
      </c>
      <c r="L5" s="78" t="s">
        <v>667</v>
      </c>
    </row>
    <row r="6" spans="1:17" s="78" customFormat="1" ht="12" customHeight="1">
      <c r="A6" s="79" t="s">
        <v>668</v>
      </c>
      <c r="B6" s="78" t="s">
        <v>669</v>
      </c>
      <c r="C6" s="78" t="s">
        <v>669</v>
      </c>
      <c r="D6" s="78" t="s">
        <v>669</v>
      </c>
      <c r="E6" s="78" t="s">
        <v>669</v>
      </c>
      <c r="F6" s="78" t="s">
        <v>669</v>
      </c>
      <c r="G6" s="78" t="s">
        <v>669</v>
      </c>
      <c r="H6" s="78" t="s">
        <v>669</v>
      </c>
      <c r="I6" s="78" t="s">
        <v>669</v>
      </c>
      <c r="J6" s="78" t="s">
        <v>669</v>
      </c>
      <c r="K6" s="78" t="s">
        <v>669</v>
      </c>
      <c r="L6" s="78" t="s">
        <v>669</v>
      </c>
    </row>
    <row r="7" spans="1:17" s="78" customFormat="1" ht="12" customHeight="1">
      <c r="A7" s="79"/>
    </row>
    <row r="8" spans="1:17" s="78" customFormat="1" ht="12" customHeight="1"/>
    <row r="9" spans="1:17" s="78" customFormat="1" ht="12" customHeight="1">
      <c r="A9" s="79" t="s">
        <v>520</v>
      </c>
      <c r="B9" s="81" t="s">
        <v>532</v>
      </c>
      <c r="C9" s="81" t="s">
        <v>532</v>
      </c>
      <c r="D9" s="82" t="s">
        <v>670</v>
      </c>
      <c r="E9" s="82" t="s">
        <v>670</v>
      </c>
      <c r="F9" s="82" t="s">
        <v>670</v>
      </c>
      <c r="G9" s="78" t="s">
        <v>671</v>
      </c>
      <c r="H9" s="78" t="s">
        <v>671</v>
      </c>
      <c r="I9" s="78" t="s">
        <v>671</v>
      </c>
      <c r="J9" s="81" t="s">
        <v>532</v>
      </c>
      <c r="K9" s="81" t="s">
        <v>532</v>
      </c>
      <c r="L9" s="81" t="s">
        <v>532</v>
      </c>
    </row>
    <row r="10" spans="1:17" s="78" customFormat="1" ht="12" customHeight="1">
      <c r="A10" s="83" t="s">
        <v>672</v>
      </c>
      <c r="B10" s="84" t="s">
        <v>673</v>
      </c>
      <c r="C10" s="84" t="s">
        <v>673</v>
      </c>
      <c r="D10" s="84" t="s">
        <v>673</v>
      </c>
      <c r="E10" s="84" t="s">
        <v>673</v>
      </c>
      <c r="F10" s="84" t="s">
        <v>673</v>
      </c>
      <c r="G10" s="84" t="s">
        <v>673</v>
      </c>
      <c r="H10" s="84" t="s">
        <v>673</v>
      </c>
      <c r="I10" s="84" t="s">
        <v>673</v>
      </c>
      <c r="J10" s="84" t="s">
        <v>673</v>
      </c>
      <c r="K10" s="84" t="s">
        <v>673</v>
      </c>
      <c r="L10" s="84" t="s">
        <v>673</v>
      </c>
    </row>
    <row r="11" spans="1:17" s="78" customFormat="1" ht="12" customHeight="1">
      <c r="A11" s="79" t="s">
        <v>674</v>
      </c>
      <c r="B11" s="81" t="s">
        <v>675</v>
      </c>
      <c r="C11" s="81" t="s">
        <v>676</v>
      </c>
      <c r="D11" s="81" t="s">
        <v>677</v>
      </c>
      <c r="E11" s="81" t="s">
        <v>678</v>
      </c>
      <c r="F11" s="81" t="s">
        <v>679</v>
      </c>
      <c r="G11" s="81" t="s">
        <v>680</v>
      </c>
      <c r="H11" s="81" t="s">
        <v>681</v>
      </c>
      <c r="I11" s="81" t="s">
        <v>682</v>
      </c>
      <c r="J11" s="81" t="s">
        <v>683</v>
      </c>
      <c r="K11" s="81" t="s">
        <v>684</v>
      </c>
      <c r="L11" s="81" t="s">
        <v>685</v>
      </c>
    </row>
    <row r="12" spans="1:17" s="86" customFormat="1" ht="12" customHeight="1">
      <c r="A12" s="71">
        <v>25384</v>
      </c>
      <c r="B12" s="85"/>
      <c r="C12" s="85"/>
      <c r="D12" s="85"/>
      <c r="E12" s="85">
        <v>5.9</v>
      </c>
      <c r="F12" s="85"/>
      <c r="G12" s="85"/>
      <c r="H12" s="85"/>
      <c r="I12" s="85"/>
      <c r="J12" s="85"/>
      <c r="K12" s="85"/>
      <c r="L12" s="85"/>
      <c r="M12" s="85"/>
      <c r="N12" s="85"/>
      <c r="O12" s="85"/>
      <c r="P12" s="85"/>
      <c r="Q12" s="85"/>
    </row>
    <row r="13" spans="1:17" s="56" customFormat="1">
      <c r="A13" s="71">
        <v>25415</v>
      </c>
      <c r="B13" s="85"/>
      <c r="C13" s="85"/>
      <c r="D13" s="85"/>
      <c r="E13" s="85">
        <v>5.8</v>
      </c>
      <c r="F13" s="85"/>
      <c r="G13" s="85"/>
      <c r="H13" s="85"/>
      <c r="I13" s="85"/>
      <c r="J13" s="85"/>
      <c r="K13" s="85"/>
      <c r="L13" s="85"/>
      <c r="M13" s="85"/>
      <c r="N13" s="85"/>
      <c r="O13" s="85"/>
      <c r="P13" s="85"/>
      <c r="Q13" s="85"/>
    </row>
    <row r="14" spans="1:17" s="56" customFormat="1">
      <c r="A14" s="71">
        <v>25446</v>
      </c>
      <c r="B14" s="85"/>
      <c r="C14" s="85"/>
      <c r="D14" s="85"/>
      <c r="E14" s="85">
        <v>6.1</v>
      </c>
      <c r="F14" s="85"/>
      <c r="G14" s="85"/>
      <c r="H14" s="85"/>
      <c r="I14" s="85"/>
      <c r="J14" s="85"/>
      <c r="K14" s="85"/>
      <c r="L14" s="85"/>
      <c r="M14" s="85"/>
      <c r="N14" s="85"/>
      <c r="O14" s="85"/>
      <c r="P14" s="85"/>
      <c r="Q14" s="85"/>
    </row>
    <row r="15" spans="1:17" s="56" customFormat="1">
      <c r="A15" s="71">
        <v>25476</v>
      </c>
      <c r="B15" s="85"/>
      <c r="C15" s="85"/>
      <c r="D15" s="85"/>
      <c r="E15" s="85">
        <v>5.8</v>
      </c>
      <c r="F15" s="85"/>
      <c r="G15" s="85"/>
      <c r="H15" s="85"/>
      <c r="I15" s="85"/>
      <c r="J15" s="85"/>
      <c r="K15" s="85"/>
      <c r="L15" s="85"/>
      <c r="M15" s="85"/>
      <c r="N15" s="85"/>
      <c r="O15" s="85"/>
      <c r="P15" s="85"/>
      <c r="Q15" s="85"/>
    </row>
    <row r="16" spans="1:17" s="56" customFormat="1">
      <c r="A16" s="71">
        <v>25507</v>
      </c>
      <c r="B16" s="85"/>
      <c r="C16" s="85"/>
      <c r="D16" s="85"/>
      <c r="E16" s="85">
        <v>5.6</v>
      </c>
      <c r="F16" s="85"/>
      <c r="G16" s="85"/>
      <c r="H16" s="85"/>
      <c r="I16" s="85"/>
      <c r="J16" s="85"/>
      <c r="K16" s="85"/>
      <c r="L16" s="85"/>
      <c r="M16" s="85"/>
      <c r="N16" s="85"/>
      <c r="O16" s="85"/>
      <c r="P16" s="85"/>
      <c r="Q16" s="85"/>
    </row>
    <row r="17" spans="1:17" s="56" customFormat="1">
      <c r="A17" s="71">
        <v>25537</v>
      </c>
      <c r="B17" s="85"/>
      <c r="C17" s="85"/>
      <c r="D17" s="85"/>
      <c r="E17" s="85">
        <v>5.7</v>
      </c>
      <c r="F17" s="85"/>
      <c r="G17" s="85"/>
      <c r="H17" s="85"/>
      <c r="I17" s="85"/>
      <c r="J17" s="85"/>
      <c r="K17" s="85"/>
      <c r="L17" s="85"/>
      <c r="M17" s="85"/>
      <c r="N17" s="85"/>
      <c r="O17" s="85"/>
      <c r="P17" s="85"/>
      <c r="Q17" s="85"/>
    </row>
    <row r="18" spans="1:17" s="56" customFormat="1">
      <c r="A18" s="71">
        <v>25568</v>
      </c>
      <c r="B18" s="85"/>
      <c r="C18" s="85"/>
      <c r="D18" s="85"/>
      <c r="E18" s="85">
        <v>5.65</v>
      </c>
      <c r="F18" s="85"/>
      <c r="G18" s="85"/>
      <c r="H18" s="85"/>
      <c r="I18" s="85"/>
      <c r="J18" s="85"/>
      <c r="K18" s="85"/>
      <c r="L18" s="85"/>
      <c r="M18" s="85"/>
      <c r="N18" s="85"/>
      <c r="O18" s="85"/>
      <c r="P18" s="85"/>
      <c r="Q18" s="85"/>
    </row>
    <row r="19" spans="1:17" s="56" customFormat="1">
      <c r="A19" s="71">
        <v>25599</v>
      </c>
      <c r="B19" s="85"/>
      <c r="C19" s="85"/>
      <c r="D19" s="85"/>
      <c r="E19" s="85">
        <v>5.8</v>
      </c>
      <c r="F19" s="85"/>
      <c r="G19" s="85"/>
      <c r="H19" s="85"/>
      <c r="I19" s="85"/>
      <c r="J19" s="85"/>
      <c r="K19" s="85"/>
      <c r="L19" s="85"/>
      <c r="M19" s="85"/>
      <c r="N19" s="85"/>
      <c r="O19" s="85"/>
      <c r="P19" s="85"/>
      <c r="Q19" s="85"/>
    </row>
    <row r="20" spans="1:17" s="56" customFormat="1">
      <c r="A20" s="71">
        <v>25627</v>
      </c>
      <c r="B20" s="85"/>
      <c r="C20" s="85"/>
      <c r="D20" s="85"/>
      <c r="E20" s="85">
        <v>6.3</v>
      </c>
      <c r="F20" s="85"/>
      <c r="G20" s="85"/>
      <c r="H20" s="85"/>
      <c r="I20" s="85"/>
      <c r="J20" s="85"/>
      <c r="K20" s="85"/>
      <c r="L20" s="85"/>
      <c r="M20" s="85"/>
      <c r="N20" s="85"/>
      <c r="O20" s="85"/>
      <c r="P20" s="85"/>
      <c r="Q20" s="85"/>
    </row>
    <row r="21" spans="1:17" s="56" customFormat="1">
      <c r="A21" s="71">
        <v>25658</v>
      </c>
      <c r="B21" s="85"/>
      <c r="C21" s="85"/>
      <c r="D21" s="85"/>
      <c r="E21" s="85">
        <v>7.15</v>
      </c>
      <c r="F21" s="85"/>
      <c r="G21" s="85"/>
      <c r="H21" s="85"/>
      <c r="I21" s="85"/>
      <c r="J21" s="85"/>
      <c r="K21" s="85"/>
      <c r="L21" s="85"/>
      <c r="M21" s="85"/>
      <c r="N21" s="85"/>
      <c r="O21" s="85"/>
      <c r="P21" s="85"/>
      <c r="Q21" s="85"/>
    </row>
    <row r="22" spans="1:17" s="56" customFormat="1">
      <c r="A22" s="71">
        <v>25688</v>
      </c>
      <c r="B22" s="85"/>
      <c r="C22" s="85"/>
      <c r="D22" s="85"/>
      <c r="E22" s="85">
        <v>8.6</v>
      </c>
      <c r="F22" s="85"/>
      <c r="G22" s="85"/>
      <c r="H22" s="85"/>
      <c r="I22" s="85"/>
      <c r="J22" s="85"/>
      <c r="K22" s="85"/>
      <c r="L22" s="85"/>
      <c r="M22" s="85"/>
      <c r="N22" s="85"/>
      <c r="O22" s="85"/>
      <c r="P22" s="85"/>
      <c r="Q22" s="85"/>
    </row>
    <row r="23" spans="1:17" s="56" customFormat="1">
      <c r="A23" s="71">
        <v>25719</v>
      </c>
      <c r="B23" s="85"/>
      <c r="C23" s="85"/>
      <c r="D23" s="85"/>
      <c r="E23" s="85">
        <v>9.1</v>
      </c>
      <c r="F23" s="85"/>
      <c r="G23" s="85"/>
      <c r="H23" s="85"/>
      <c r="I23" s="85"/>
      <c r="J23" s="85"/>
      <c r="K23" s="85"/>
      <c r="L23" s="85"/>
      <c r="M23" s="85"/>
      <c r="N23" s="85"/>
      <c r="O23" s="85"/>
      <c r="P23" s="85"/>
      <c r="Q23" s="85"/>
    </row>
    <row r="24" spans="1:17" s="56" customFormat="1">
      <c r="A24" s="71">
        <v>25749</v>
      </c>
      <c r="B24" s="85"/>
      <c r="C24" s="85"/>
      <c r="D24" s="85"/>
      <c r="E24" s="85">
        <v>8.6999999999999993</v>
      </c>
      <c r="F24" s="85"/>
      <c r="G24" s="85"/>
      <c r="H24" s="85"/>
      <c r="I24" s="85"/>
      <c r="J24" s="85"/>
      <c r="K24" s="85"/>
      <c r="L24" s="85"/>
      <c r="M24" s="85"/>
      <c r="N24" s="85"/>
      <c r="O24" s="85"/>
      <c r="P24" s="85"/>
      <c r="Q24" s="85"/>
    </row>
    <row r="25" spans="1:17" s="56" customFormat="1">
      <c r="A25" s="71">
        <v>25780</v>
      </c>
      <c r="B25" s="85"/>
      <c r="C25" s="85"/>
      <c r="D25" s="85"/>
      <c r="E25" s="85">
        <v>7.4</v>
      </c>
      <c r="F25" s="85"/>
      <c r="G25" s="85"/>
      <c r="H25" s="85"/>
      <c r="I25" s="85"/>
      <c r="J25" s="85"/>
      <c r="K25" s="85"/>
      <c r="L25" s="85"/>
      <c r="M25" s="85"/>
      <c r="N25" s="85"/>
      <c r="O25" s="85"/>
      <c r="P25" s="85"/>
      <c r="Q25" s="85"/>
    </row>
    <row r="26" spans="1:17" s="56" customFormat="1">
      <c r="A26" s="71">
        <v>25811</v>
      </c>
      <c r="B26" s="85"/>
      <c r="C26" s="85"/>
      <c r="D26" s="85"/>
      <c r="E26" s="85">
        <v>6.8</v>
      </c>
      <c r="F26" s="85"/>
      <c r="G26" s="85"/>
      <c r="H26" s="85"/>
      <c r="I26" s="85"/>
      <c r="J26" s="85"/>
      <c r="K26" s="85"/>
      <c r="L26" s="85"/>
      <c r="M26" s="85"/>
      <c r="N26" s="85"/>
      <c r="O26" s="85"/>
      <c r="P26" s="85"/>
      <c r="Q26" s="85"/>
    </row>
    <row r="27" spans="1:17" s="56" customFormat="1">
      <c r="A27" s="71">
        <v>25841</v>
      </c>
      <c r="B27" s="85"/>
      <c r="C27" s="85"/>
      <c r="D27" s="85"/>
      <c r="E27" s="85">
        <v>6.35</v>
      </c>
      <c r="F27" s="85"/>
      <c r="G27" s="85"/>
      <c r="H27" s="85"/>
      <c r="I27" s="85"/>
      <c r="J27" s="85"/>
      <c r="K27" s="85"/>
      <c r="L27" s="85"/>
      <c r="M27" s="85"/>
      <c r="N27" s="85"/>
      <c r="O27" s="85"/>
      <c r="P27" s="85"/>
      <c r="Q27" s="85"/>
    </row>
    <row r="28" spans="1:17" s="56" customFormat="1">
      <c r="A28" s="71">
        <v>25872</v>
      </c>
      <c r="B28" s="85"/>
      <c r="C28" s="85"/>
      <c r="D28" s="85"/>
      <c r="E28" s="85">
        <v>6.4</v>
      </c>
      <c r="F28" s="85"/>
      <c r="G28" s="85"/>
      <c r="H28" s="85"/>
      <c r="I28" s="85"/>
      <c r="J28" s="85"/>
      <c r="K28" s="85"/>
      <c r="L28" s="85"/>
      <c r="M28" s="85"/>
      <c r="N28" s="85"/>
      <c r="O28" s="85"/>
      <c r="P28" s="85"/>
      <c r="Q28" s="85"/>
    </row>
    <row r="29" spans="1:17" s="56" customFormat="1">
      <c r="A29" s="71">
        <v>25902</v>
      </c>
      <c r="B29" s="85"/>
      <c r="C29" s="85"/>
      <c r="D29" s="85"/>
      <c r="E29" s="85">
        <v>6.2</v>
      </c>
      <c r="F29" s="85"/>
      <c r="G29" s="85"/>
      <c r="H29" s="85"/>
      <c r="I29" s="85"/>
      <c r="J29" s="85"/>
      <c r="K29" s="85"/>
      <c r="L29" s="85"/>
      <c r="M29" s="85"/>
      <c r="N29" s="85"/>
      <c r="O29" s="85"/>
      <c r="P29" s="85"/>
      <c r="Q29" s="85"/>
    </row>
    <row r="30" spans="1:17" s="56" customFormat="1">
      <c r="A30" s="71">
        <v>25933</v>
      </c>
      <c r="B30" s="85"/>
      <c r="C30" s="85"/>
      <c r="D30" s="85"/>
      <c r="E30" s="85">
        <v>6.5</v>
      </c>
      <c r="F30" s="85"/>
      <c r="G30" s="85"/>
      <c r="H30" s="85"/>
      <c r="I30" s="85"/>
      <c r="J30" s="85"/>
      <c r="K30" s="85"/>
      <c r="L30" s="85"/>
      <c r="M30" s="85"/>
      <c r="N30" s="85"/>
      <c r="O30" s="85"/>
      <c r="P30" s="85"/>
      <c r="Q30" s="85"/>
    </row>
    <row r="31" spans="1:17" s="56" customFormat="1">
      <c r="A31" s="71">
        <v>25964</v>
      </c>
      <c r="B31" s="85"/>
      <c r="C31" s="85"/>
      <c r="D31" s="85"/>
      <c r="E31" s="85">
        <v>6.6</v>
      </c>
      <c r="F31" s="85"/>
      <c r="G31" s="85"/>
      <c r="H31" s="85"/>
      <c r="I31" s="85"/>
      <c r="J31" s="85"/>
      <c r="K31" s="85"/>
      <c r="L31" s="85"/>
      <c r="M31" s="85"/>
      <c r="N31" s="85"/>
      <c r="O31" s="85"/>
      <c r="P31" s="85"/>
      <c r="Q31" s="85"/>
    </row>
    <row r="32" spans="1:17" s="56" customFormat="1">
      <c r="A32" s="71">
        <v>25992</v>
      </c>
      <c r="B32" s="85"/>
      <c r="C32" s="85"/>
      <c r="D32" s="85"/>
      <c r="E32" s="85">
        <v>7.6</v>
      </c>
      <c r="F32" s="85"/>
      <c r="G32" s="85"/>
      <c r="H32" s="85"/>
      <c r="I32" s="85"/>
      <c r="J32" s="85"/>
      <c r="K32" s="85"/>
      <c r="L32" s="85"/>
      <c r="M32" s="85"/>
      <c r="N32" s="85"/>
      <c r="O32" s="85"/>
      <c r="P32" s="85"/>
      <c r="Q32" s="85"/>
    </row>
    <row r="33" spans="1:17" s="56" customFormat="1">
      <c r="A33" s="71">
        <v>26023</v>
      </c>
      <c r="B33" s="85"/>
      <c r="C33" s="85"/>
      <c r="D33" s="85"/>
      <c r="E33" s="85">
        <v>8</v>
      </c>
      <c r="F33" s="85"/>
      <c r="G33" s="85"/>
      <c r="H33" s="85"/>
      <c r="I33" s="85"/>
      <c r="J33" s="85"/>
      <c r="K33" s="85"/>
      <c r="L33" s="85"/>
      <c r="M33" s="85"/>
      <c r="N33" s="85"/>
      <c r="O33" s="85"/>
      <c r="P33" s="85"/>
      <c r="Q33" s="85"/>
    </row>
    <row r="34" spans="1:17" s="56" customFormat="1">
      <c r="A34" s="71">
        <v>26053</v>
      </c>
      <c r="B34" s="85"/>
      <c r="C34" s="85"/>
      <c r="D34" s="85"/>
      <c r="E34" s="85">
        <v>7.8</v>
      </c>
      <c r="F34" s="85"/>
      <c r="G34" s="85"/>
      <c r="H34" s="85"/>
      <c r="I34" s="85"/>
      <c r="J34" s="85"/>
      <c r="K34" s="85"/>
      <c r="L34" s="85"/>
      <c r="M34" s="85"/>
      <c r="N34" s="85"/>
      <c r="O34" s="85"/>
      <c r="P34" s="85"/>
      <c r="Q34" s="85"/>
    </row>
    <row r="35" spans="1:17" s="56" customFormat="1">
      <c r="A35" s="71">
        <v>26084</v>
      </c>
      <c r="B35" s="85"/>
      <c r="C35" s="85"/>
      <c r="D35" s="85"/>
      <c r="E35" s="85">
        <v>7.8</v>
      </c>
      <c r="F35" s="85"/>
      <c r="G35" s="85"/>
      <c r="H35" s="85"/>
      <c r="I35" s="85"/>
      <c r="J35" s="85"/>
      <c r="K35" s="85"/>
      <c r="L35" s="85"/>
      <c r="M35" s="85"/>
      <c r="N35" s="85"/>
      <c r="O35" s="85"/>
      <c r="P35" s="85"/>
      <c r="Q35" s="85"/>
    </row>
    <row r="36" spans="1:17" s="56" customFormat="1">
      <c r="A36" s="71">
        <v>26114</v>
      </c>
      <c r="B36" s="85"/>
      <c r="C36" s="85"/>
      <c r="D36" s="85"/>
      <c r="E36" s="85">
        <v>8.15</v>
      </c>
      <c r="F36" s="85"/>
      <c r="G36" s="85"/>
      <c r="H36" s="85"/>
      <c r="I36" s="85"/>
      <c r="J36" s="85"/>
      <c r="K36" s="85"/>
      <c r="L36" s="85"/>
      <c r="M36" s="85"/>
      <c r="N36" s="85"/>
      <c r="O36" s="85"/>
      <c r="P36" s="85"/>
      <c r="Q36" s="85"/>
    </row>
    <row r="37" spans="1:17" s="56" customFormat="1">
      <c r="A37" s="71">
        <v>26145</v>
      </c>
      <c r="B37" s="85"/>
      <c r="C37" s="85"/>
      <c r="D37" s="85"/>
      <c r="E37" s="85">
        <v>6.8</v>
      </c>
      <c r="F37" s="85"/>
      <c r="G37" s="85"/>
      <c r="H37" s="85"/>
      <c r="I37" s="85"/>
      <c r="J37" s="85"/>
      <c r="K37" s="85"/>
      <c r="L37" s="85"/>
      <c r="M37" s="85"/>
      <c r="N37" s="85"/>
      <c r="O37" s="85"/>
      <c r="P37" s="85"/>
      <c r="Q37" s="85"/>
    </row>
    <row r="38" spans="1:17" s="56" customFormat="1">
      <c r="A38" s="71">
        <v>26176</v>
      </c>
      <c r="B38" s="85"/>
      <c r="C38" s="85"/>
      <c r="D38" s="85"/>
      <c r="E38" s="85">
        <v>6.7</v>
      </c>
      <c r="F38" s="85"/>
      <c r="G38" s="85"/>
      <c r="H38" s="85"/>
      <c r="I38" s="85"/>
      <c r="J38" s="85"/>
      <c r="K38" s="85"/>
      <c r="L38" s="85"/>
      <c r="M38" s="85"/>
      <c r="N38" s="85"/>
      <c r="O38" s="85"/>
      <c r="P38" s="85"/>
      <c r="Q38" s="85"/>
    </row>
    <row r="39" spans="1:17" s="56" customFormat="1">
      <c r="A39" s="71">
        <v>26206</v>
      </c>
      <c r="B39" s="85"/>
      <c r="C39" s="85"/>
      <c r="D39" s="85"/>
      <c r="E39" s="85">
        <v>6.45</v>
      </c>
      <c r="F39" s="85"/>
      <c r="G39" s="85"/>
      <c r="H39" s="85"/>
      <c r="I39" s="85"/>
      <c r="J39" s="85"/>
      <c r="K39" s="85"/>
      <c r="L39" s="85"/>
      <c r="M39" s="85"/>
      <c r="N39" s="85"/>
      <c r="O39" s="85"/>
      <c r="P39" s="85"/>
      <c r="Q39" s="85"/>
    </row>
    <row r="40" spans="1:17" s="56" customFormat="1">
      <c r="A40" s="71">
        <v>26237</v>
      </c>
      <c r="B40" s="85"/>
      <c r="C40" s="85"/>
      <c r="D40" s="85"/>
      <c r="E40" s="85">
        <v>6.3</v>
      </c>
      <c r="F40" s="85"/>
      <c r="G40" s="85"/>
      <c r="H40" s="85"/>
      <c r="I40" s="85"/>
      <c r="J40" s="85"/>
      <c r="K40" s="85"/>
      <c r="L40" s="85"/>
      <c r="M40" s="85"/>
      <c r="N40" s="85"/>
      <c r="O40" s="85"/>
      <c r="P40" s="85"/>
      <c r="Q40" s="85"/>
    </row>
    <row r="41" spans="1:17" s="56" customFormat="1">
      <c r="A41" s="71">
        <v>26267</v>
      </c>
      <c r="B41" s="85"/>
      <c r="C41" s="85"/>
      <c r="D41" s="85"/>
      <c r="E41" s="85">
        <v>6</v>
      </c>
      <c r="F41" s="85"/>
      <c r="G41" s="85"/>
      <c r="H41" s="85"/>
      <c r="I41" s="85"/>
      <c r="J41" s="85"/>
      <c r="K41" s="85"/>
      <c r="L41" s="85"/>
      <c r="M41" s="85"/>
      <c r="N41" s="85"/>
      <c r="O41" s="85"/>
      <c r="P41" s="85"/>
      <c r="Q41" s="85"/>
    </row>
    <row r="42" spans="1:17" s="56" customFormat="1">
      <c r="A42" s="71">
        <v>26298</v>
      </c>
      <c r="B42" s="85"/>
      <c r="C42" s="85"/>
      <c r="D42" s="85"/>
      <c r="E42" s="85">
        <v>5.9</v>
      </c>
      <c r="F42" s="85"/>
      <c r="G42" s="85"/>
      <c r="H42" s="85"/>
      <c r="I42" s="85"/>
      <c r="J42" s="85"/>
      <c r="K42" s="85"/>
      <c r="L42" s="85"/>
      <c r="M42" s="85"/>
      <c r="N42" s="85"/>
      <c r="O42" s="85"/>
      <c r="P42" s="85"/>
      <c r="Q42" s="85"/>
    </row>
    <row r="43" spans="1:17" s="56" customFormat="1">
      <c r="A43" s="71">
        <v>26329</v>
      </c>
      <c r="B43" s="85"/>
      <c r="C43" s="85"/>
      <c r="D43" s="85"/>
      <c r="E43" s="85">
        <v>5.6</v>
      </c>
      <c r="F43" s="85"/>
      <c r="G43" s="85"/>
      <c r="H43" s="85"/>
      <c r="I43" s="85"/>
      <c r="J43" s="85"/>
      <c r="K43" s="85"/>
      <c r="L43" s="85"/>
      <c r="M43" s="85"/>
      <c r="N43" s="85"/>
      <c r="O43" s="85"/>
      <c r="P43" s="85"/>
      <c r="Q43" s="85"/>
    </row>
    <row r="44" spans="1:17" s="56" customFormat="1">
      <c r="A44" s="71">
        <v>26358</v>
      </c>
      <c r="B44" s="85"/>
      <c r="C44" s="85"/>
      <c r="D44" s="85"/>
      <c r="E44" s="85">
        <v>5.5</v>
      </c>
      <c r="F44" s="85"/>
      <c r="G44" s="85"/>
      <c r="H44" s="85"/>
      <c r="I44" s="85"/>
      <c r="J44" s="85"/>
      <c r="K44" s="85"/>
      <c r="L44" s="85"/>
      <c r="M44" s="85"/>
      <c r="N44" s="85"/>
      <c r="O44" s="85"/>
      <c r="P44" s="85"/>
      <c r="Q44" s="85"/>
    </row>
    <row r="45" spans="1:17" s="56" customFormat="1">
      <c r="A45" s="71">
        <v>26389</v>
      </c>
      <c r="B45" s="85"/>
      <c r="C45" s="85"/>
      <c r="D45" s="85"/>
      <c r="E45" s="85">
        <v>5.5</v>
      </c>
      <c r="F45" s="85"/>
      <c r="G45" s="85"/>
      <c r="H45" s="85"/>
      <c r="I45" s="85"/>
      <c r="J45" s="85"/>
      <c r="K45" s="85"/>
      <c r="L45" s="85"/>
      <c r="M45" s="85"/>
      <c r="N45" s="85"/>
      <c r="O45" s="85"/>
      <c r="P45" s="85"/>
      <c r="Q45" s="85"/>
    </row>
    <row r="46" spans="1:17" s="56" customFormat="1">
      <c r="A46" s="71">
        <v>26419</v>
      </c>
      <c r="B46" s="85"/>
      <c r="C46" s="85"/>
      <c r="D46" s="85"/>
      <c r="E46" s="85">
        <v>5.5</v>
      </c>
      <c r="F46" s="85"/>
      <c r="G46" s="85"/>
      <c r="H46" s="85"/>
      <c r="I46" s="85"/>
      <c r="J46" s="85"/>
      <c r="K46" s="85"/>
      <c r="L46" s="85"/>
      <c r="M46" s="85"/>
      <c r="N46" s="85"/>
      <c r="O46" s="85"/>
      <c r="P46" s="85"/>
      <c r="Q46" s="85"/>
    </row>
    <row r="47" spans="1:17" s="56" customFormat="1">
      <c r="A47" s="71">
        <v>26450</v>
      </c>
      <c r="B47" s="85"/>
      <c r="C47" s="85"/>
      <c r="D47" s="85"/>
      <c r="E47" s="85">
        <v>5.6</v>
      </c>
      <c r="F47" s="85"/>
      <c r="G47" s="85"/>
      <c r="H47" s="85"/>
      <c r="I47" s="85"/>
      <c r="J47" s="85"/>
      <c r="K47" s="85"/>
      <c r="L47" s="85"/>
      <c r="M47" s="85"/>
      <c r="N47" s="85"/>
      <c r="O47" s="85"/>
      <c r="P47" s="85"/>
      <c r="Q47" s="85"/>
    </row>
    <row r="48" spans="1:17" s="56" customFormat="1">
      <c r="A48" s="71">
        <v>26480</v>
      </c>
      <c r="B48" s="85"/>
      <c r="C48" s="85"/>
      <c r="D48" s="85"/>
      <c r="E48" s="85">
        <v>5.75</v>
      </c>
      <c r="F48" s="85"/>
      <c r="G48" s="85"/>
      <c r="H48" s="85"/>
      <c r="I48" s="85"/>
      <c r="J48" s="85"/>
      <c r="K48" s="85"/>
      <c r="L48" s="85"/>
      <c r="M48" s="85"/>
      <c r="N48" s="85"/>
      <c r="O48" s="85"/>
      <c r="P48" s="85"/>
      <c r="Q48" s="85"/>
    </row>
    <row r="49" spans="1:17" s="56" customFormat="1">
      <c r="A49" s="71">
        <v>26511</v>
      </c>
      <c r="B49" s="85"/>
      <c r="C49" s="85"/>
      <c r="D49" s="85"/>
      <c r="E49" s="85">
        <v>4.5999999999999996</v>
      </c>
      <c r="F49" s="85"/>
      <c r="G49" s="85"/>
      <c r="H49" s="85"/>
      <c r="I49" s="85"/>
      <c r="J49" s="85"/>
      <c r="K49" s="85"/>
      <c r="L49" s="85"/>
      <c r="M49" s="85"/>
      <c r="N49" s="85"/>
      <c r="O49" s="85"/>
      <c r="P49" s="85"/>
      <c r="Q49" s="85"/>
    </row>
    <row r="50" spans="1:17" s="56" customFormat="1">
      <c r="A50" s="71">
        <v>26542</v>
      </c>
      <c r="B50" s="85"/>
      <c r="C50" s="85"/>
      <c r="D50" s="85"/>
      <c r="E50" s="85">
        <v>4.5999999999999996</v>
      </c>
      <c r="F50" s="85"/>
      <c r="G50" s="85"/>
      <c r="H50" s="85"/>
      <c r="I50" s="85"/>
      <c r="J50" s="85"/>
      <c r="K50" s="85"/>
      <c r="L50" s="85"/>
      <c r="M50" s="85"/>
      <c r="N50" s="85"/>
      <c r="O50" s="85"/>
      <c r="P50" s="85"/>
      <c r="Q50" s="85"/>
    </row>
    <row r="51" spans="1:17" s="56" customFormat="1">
      <c r="A51" s="71">
        <v>26572</v>
      </c>
      <c r="B51" s="85"/>
      <c r="C51" s="85"/>
      <c r="D51" s="85"/>
      <c r="E51" s="85">
        <v>4.5</v>
      </c>
      <c r="F51" s="85"/>
      <c r="G51" s="85"/>
      <c r="H51" s="85"/>
      <c r="I51" s="85"/>
      <c r="J51" s="85"/>
      <c r="K51" s="85"/>
      <c r="L51" s="85"/>
      <c r="M51" s="85"/>
      <c r="N51" s="85"/>
      <c r="O51" s="85"/>
      <c r="P51" s="85"/>
      <c r="Q51" s="85"/>
    </row>
    <row r="52" spans="1:17" s="56" customFormat="1">
      <c r="A52" s="71">
        <v>26603</v>
      </c>
      <c r="B52" s="85"/>
      <c r="C52" s="85"/>
      <c r="D52" s="85"/>
      <c r="E52" s="85">
        <v>4.3</v>
      </c>
      <c r="F52" s="85"/>
      <c r="G52" s="85"/>
      <c r="H52" s="85"/>
      <c r="I52" s="85"/>
      <c r="J52" s="85"/>
      <c r="K52" s="85"/>
      <c r="L52" s="85"/>
      <c r="M52" s="85"/>
      <c r="N52" s="85"/>
      <c r="O52" s="85"/>
      <c r="P52" s="85"/>
      <c r="Q52" s="85"/>
    </row>
    <row r="53" spans="1:17" s="56" customFormat="1">
      <c r="A53" s="71">
        <v>26633</v>
      </c>
      <c r="B53" s="85"/>
      <c r="C53" s="85"/>
      <c r="D53" s="85"/>
      <c r="E53" s="85">
        <v>5.0999999999999996</v>
      </c>
      <c r="F53" s="85"/>
      <c r="G53" s="85"/>
      <c r="H53" s="85"/>
      <c r="I53" s="85"/>
      <c r="J53" s="85"/>
      <c r="K53" s="85"/>
      <c r="L53" s="85"/>
      <c r="M53" s="85"/>
      <c r="N53" s="85"/>
      <c r="O53" s="85"/>
      <c r="P53" s="85"/>
      <c r="Q53" s="85"/>
    </row>
    <row r="54" spans="1:17" s="56" customFormat="1">
      <c r="A54" s="71">
        <v>26664</v>
      </c>
      <c r="B54" s="85"/>
      <c r="C54" s="85"/>
      <c r="D54" s="85"/>
      <c r="E54" s="85">
        <v>4.45</v>
      </c>
      <c r="F54" s="85"/>
      <c r="G54" s="85"/>
      <c r="H54" s="85"/>
      <c r="I54" s="85"/>
      <c r="J54" s="85"/>
      <c r="K54" s="85"/>
      <c r="L54" s="85"/>
      <c r="M54" s="85"/>
      <c r="N54" s="85"/>
      <c r="O54" s="85"/>
      <c r="P54" s="85"/>
      <c r="Q54" s="85"/>
    </row>
    <row r="55" spans="1:17" s="56" customFormat="1">
      <c r="A55" s="71">
        <v>26695</v>
      </c>
      <c r="B55" s="85"/>
      <c r="C55" s="85"/>
      <c r="D55" s="85"/>
      <c r="E55" s="85">
        <v>4.7</v>
      </c>
      <c r="F55" s="85"/>
      <c r="G55" s="85"/>
      <c r="H55" s="85"/>
      <c r="I55" s="85"/>
      <c r="J55" s="85"/>
      <c r="K55" s="85"/>
      <c r="L55" s="85"/>
      <c r="M55" s="85"/>
      <c r="N55" s="85"/>
      <c r="O55" s="85"/>
      <c r="P55" s="85"/>
      <c r="Q55" s="85"/>
    </row>
    <row r="56" spans="1:17" s="56" customFormat="1">
      <c r="A56" s="71">
        <v>26723</v>
      </c>
      <c r="B56" s="85"/>
      <c r="C56" s="85"/>
      <c r="D56" s="85"/>
      <c r="E56" s="85">
        <v>4.8</v>
      </c>
      <c r="F56" s="85"/>
      <c r="G56" s="85"/>
      <c r="H56" s="85"/>
      <c r="I56" s="85"/>
      <c r="J56" s="85"/>
      <c r="K56" s="85"/>
      <c r="L56" s="85"/>
      <c r="M56" s="85"/>
      <c r="N56" s="85"/>
      <c r="O56" s="85"/>
      <c r="P56" s="85"/>
      <c r="Q56" s="85"/>
    </row>
    <row r="57" spans="1:17" s="56" customFormat="1">
      <c r="A57" s="71">
        <v>26754</v>
      </c>
      <c r="B57" s="85"/>
      <c r="C57" s="85"/>
      <c r="D57" s="85"/>
      <c r="E57" s="85">
        <v>5.45</v>
      </c>
      <c r="F57" s="85"/>
      <c r="G57" s="85"/>
      <c r="H57" s="85"/>
      <c r="I57" s="85"/>
      <c r="J57" s="85"/>
      <c r="K57" s="85"/>
      <c r="L57" s="85"/>
      <c r="M57" s="85"/>
      <c r="N57" s="85"/>
      <c r="O57" s="85"/>
      <c r="P57" s="85"/>
      <c r="Q57" s="85"/>
    </row>
    <row r="58" spans="1:17" s="56" customFormat="1">
      <c r="A58" s="71">
        <v>26784</v>
      </c>
      <c r="B58" s="85"/>
      <c r="C58" s="85"/>
      <c r="D58" s="85"/>
      <c r="E58" s="85">
        <v>5.8</v>
      </c>
      <c r="F58" s="85"/>
      <c r="G58" s="85"/>
      <c r="H58" s="85"/>
      <c r="I58" s="85"/>
      <c r="J58" s="85"/>
      <c r="K58" s="85"/>
      <c r="L58" s="85"/>
      <c r="M58" s="85"/>
      <c r="N58" s="85"/>
      <c r="O58" s="85"/>
      <c r="P58" s="85"/>
      <c r="Q58" s="85"/>
    </row>
    <row r="59" spans="1:17" s="56" customFormat="1">
      <c r="A59" s="71">
        <v>26815</v>
      </c>
      <c r="B59" s="85"/>
      <c r="C59" s="85"/>
      <c r="D59" s="85"/>
      <c r="E59" s="85">
        <v>6.4</v>
      </c>
      <c r="F59" s="85"/>
      <c r="G59" s="85"/>
      <c r="H59" s="85"/>
      <c r="I59" s="85"/>
      <c r="J59" s="85"/>
      <c r="K59" s="85"/>
      <c r="L59" s="85"/>
      <c r="M59" s="85"/>
      <c r="N59" s="85"/>
      <c r="O59" s="85"/>
      <c r="P59" s="85"/>
      <c r="Q59" s="85"/>
    </row>
    <row r="60" spans="1:17" s="56" customFormat="1">
      <c r="A60" s="71">
        <v>26845</v>
      </c>
      <c r="B60" s="85"/>
      <c r="C60" s="85"/>
      <c r="D60" s="85"/>
      <c r="E60" s="85">
        <v>6.4</v>
      </c>
      <c r="F60" s="85"/>
      <c r="G60" s="85"/>
      <c r="H60" s="85"/>
      <c r="I60" s="85"/>
      <c r="J60" s="85"/>
      <c r="K60" s="85"/>
      <c r="L60" s="85"/>
      <c r="M60" s="85"/>
      <c r="N60" s="85"/>
      <c r="O60" s="85"/>
      <c r="P60" s="85"/>
      <c r="Q60" s="85"/>
    </row>
    <row r="61" spans="1:17" s="56" customFormat="1">
      <c r="A61" s="71">
        <v>26876</v>
      </c>
      <c r="B61" s="85"/>
      <c r="C61" s="85"/>
      <c r="D61" s="85"/>
      <c r="E61" s="85">
        <v>6.5</v>
      </c>
      <c r="F61" s="85"/>
      <c r="G61" s="85"/>
      <c r="H61" s="85"/>
      <c r="I61" s="85"/>
      <c r="J61" s="85"/>
      <c r="K61" s="85"/>
      <c r="L61" s="85"/>
      <c r="M61" s="85"/>
      <c r="N61" s="85"/>
      <c r="O61" s="85"/>
      <c r="P61" s="85"/>
      <c r="Q61" s="85"/>
    </row>
    <row r="62" spans="1:17" s="56" customFormat="1">
      <c r="A62" s="71">
        <v>26907</v>
      </c>
      <c r="B62" s="85"/>
      <c r="C62" s="85"/>
      <c r="D62" s="85"/>
      <c r="E62" s="85">
        <v>6.4</v>
      </c>
      <c r="F62" s="85"/>
      <c r="G62" s="85"/>
      <c r="H62" s="85"/>
      <c r="I62" s="85"/>
      <c r="J62" s="85"/>
      <c r="K62" s="85"/>
      <c r="L62" s="85"/>
      <c r="M62" s="85"/>
      <c r="N62" s="85"/>
      <c r="O62" s="85"/>
      <c r="P62" s="85"/>
      <c r="Q62" s="85"/>
    </row>
    <row r="63" spans="1:17" s="56" customFormat="1">
      <c r="A63" s="71">
        <v>26937</v>
      </c>
      <c r="B63" s="85"/>
      <c r="C63" s="85"/>
      <c r="D63" s="85"/>
      <c r="E63" s="85">
        <v>9.25</v>
      </c>
      <c r="F63" s="85"/>
      <c r="G63" s="85"/>
      <c r="H63" s="85"/>
      <c r="I63" s="85"/>
      <c r="J63" s="85"/>
      <c r="K63" s="85"/>
      <c r="L63" s="85"/>
      <c r="M63" s="85"/>
      <c r="N63" s="85"/>
      <c r="O63" s="85"/>
      <c r="P63" s="85"/>
      <c r="Q63" s="85"/>
    </row>
    <row r="64" spans="1:17" s="56" customFormat="1">
      <c r="A64" s="71">
        <v>26968</v>
      </c>
      <c r="B64" s="85"/>
      <c r="C64" s="85"/>
      <c r="D64" s="85"/>
      <c r="E64" s="85">
        <v>9.65</v>
      </c>
      <c r="F64" s="85"/>
      <c r="G64" s="85"/>
      <c r="H64" s="85"/>
      <c r="I64" s="85"/>
      <c r="J64" s="85"/>
      <c r="K64" s="85"/>
      <c r="L64" s="85"/>
      <c r="M64" s="85"/>
      <c r="N64" s="85"/>
      <c r="O64" s="85"/>
      <c r="P64" s="85"/>
      <c r="Q64" s="85"/>
    </row>
    <row r="65" spans="1:17" s="56" customFormat="1">
      <c r="A65" s="71">
        <v>26998</v>
      </c>
      <c r="B65" s="85"/>
      <c r="C65" s="85"/>
      <c r="D65" s="85"/>
      <c r="E65" s="85">
        <v>9.1999999999999993</v>
      </c>
      <c r="F65" s="85"/>
      <c r="G65" s="85"/>
      <c r="H65" s="85"/>
      <c r="I65" s="85"/>
      <c r="J65" s="85"/>
      <c r="K65" s="85"/>
      <c r="L65" s="85"/>
      <c r="M65" s="85"/>
      <c r="N65" s="85"/>
      <c r="O65" s="85"/>
      <c r="P65" s="85"/>
      <c r="Q65" s="85"/>
    </row>
    <row r="66" spans="1:17" s="56" customFormat="1">
      <c r="A66" s="71">
        <v>27029</v>
      </c>
      <c r="B66" s="85"/>
      <c r="C66" s="85"/>
      <c r="D66" s="85"/>
      <c r="E66" s="85">
        <v>9.25</v>
      </c>
      <c r="F66" s="85"/>
      <c r="G66" s="85"/>
      <c r="H66" s="85"/>
      <c r="I66" s="85"/>
      <c r="J66" s="85"/>
      <c r="K66" s="85"/>
      <c r="L66" s="85"/>
      <c r="M66" s="85"/>
      <c r="N66" s="85"/>
      <c r="O66" s="85"/>
      <c r="P66" s="85"/>
      <c r="Q66" s="85"/>
    </row>
    <row r="67" spans="1:17" s="56" customFormat="1">
      <c r="A67" s="71">
        <v>27060</v>
      </c>
      <c r="B67" s="85"/>
      <c r="C67" s="85"/>
      <c r="D67" s="85"/>
      <c r="E67" s="85">
        <v>9.25</v>
      </c>
      <c r="F67" s="85"/>
      <c r="G67" s="85"/>
      <c r="H67" s="85"/>
      <c r="I67" s="85"/>
      <c r="J67" s="85"/>
      <c r="K67" s="85"/>
      <c r="L67" s="85"/>
      <c r="M67" s="85"/>
      <c r="N67" s="85"/>
      <c r="O67" s="85"/>
      <c r="P67" s="85"/>
      <c r="Q67" s="85"/>
    </row>
    <row r="68" spans="1:17" s="56" customFormat="1">
      <c r="A68" s="71">
        <v>27088</v>
      </c>
      <c r="B68" s="85"/>
      <c r="C68" s="85"/>
      <c r="D68" s="85"/>
      <c r="E68" s="85">
        <v>9.5</v>
      </c>
      <c r="F68" s="85"/>
      <c r="G68" s="85"/>
      <c r="H68" s="85"/>
      <c r="I68" s="85"/>
      <c r="J68" s="85"/>
      <c r="K68" s="85"/>
      <c r="L68" s="85"/>
      <c r="M68" s="85"/>
      <c r="N68" s="85"/>
      <c r="O68" s="85"/>
      <c r="P68" s="85"/>
      <c r="Q68" s="85"/>
    </row>
    <row r="69" spans="1:17" s="56" customFormat="1">
      <c r="A69" s="71">
        <v>27119</v>
      </c>
      <c r="B69" s="85"/>
      <c r="C69" s="85"/>
      <c r="D69" s="85"/>
      <c r="E69" s="85">
        <v>10.1</v>
      </c>
      <c r="F69" s="85"/>
      <c r="G69" s="85"/>
      <c r="H69" s="85"/>
      <c r="I69" s="85"/>
      <c r="J69" s="85"/>
      <c r="K69" s="85"/>
      <c r="L69" s="85"/>
      <c r="M69" s="85"/>
      <c r="N69" s="85"/>
      <c r="O69" s="85"/>
      <c r="P69" s="85"/>
      <c r="Q69" s="85"/>
    </row>
    <row r="70" spans="1:17" s="56" customFormat="1">
      <c r="A70" s="71">
        <v>27149</v>
      </c>
      <c r="B70" s="85"/>
      <c r="C70" s="85"/>
      <c r="D70" s="85"/>
      <c r="E70" s="85">
        <v>16.25</v>
      </c>
      <c r="F70" s="85"/>
      <c r="G70" s="85"/>
      <c r="H70" s="85"/>
      <c r="I70" s="85"/>
      <c r="J70" s="85"/>
      <c r="K70" s="85"/>
      <c r="L70" s="85"/>
      <c r="M70" s="85"/>
      <c r="N70" s="85"/>
      <c r="O70" s="85"/>
      <c r="P70" s="85"/>
      <c r="Q70" s="85"/>
    </row>
    <row r="71" spans="1:17" s="56" customFormat="1">
      <c r="A71" s="71">
        <v>27180</v>
      </c>
      <c r="B71" s="85"/>
      <c r="C71" s="85"/>
      <c r="D71" s="85"/>
      <c r="E71" s="85">
        <v>21.75</v>
      </c>
      <c r="F71" s="85"/>
      <c r="G71" s="85"/>
      <c r="H71" s="85"/>
      <c r="I71" s="85"/>
      <c r="J71" s="85"/>
      <c r="K71" s="85"/>
      <c r="L71" s="85"/>
      <c r="M71" s="85"/>
      <c r="N71" s="85"/>
      <c r="O71" s="85"/>
      <c r="P71" s="85"/>
      <c r="Q71" s="85"/>
    </row>
    <row r="72" spans="1:17" s="56" customFormat="1">
      <c r="A72" s="71">
        <v>27210</v>
      </c>
      <c r="B72" s="85"/>
      <c r="C72" s="85"/>
      <c r="D72" s="85"/>
      <c r="E72" s="85">
        <v>18.8</v>
      </c>
      <c r="F72" s="85"/>
      <c r="G72" s="85"/>
      <c r="H72" s="85"/>
      <c r="I72" s="85"/>
      <c r="J72" s="85"/>
      <c r="K72" s="85"/>
      <c r="L72" s="85"/>
      <c r="M72" s="85"/>
      <c r="N72" s="85"/>
      <c r="O72" s="85"/>
      <c r="P72" s="85"/>
      <c r="Q72" s="85"/>
    </row>
    <row r="73" spans="1:17" s="56" customFormat="1">
      <c r="A73" s="71">
        <v>27241</v>
      </c>
      <c r="B73" s="85"/>
      <c r="C73" s="85"/>
      <c r="D73" s="85"/>
      <c r="E73" s="85">
        <v>15</v>
      </c>
      <c r="F73" s="85"/>
      <c r="G73" s="85"/>
      <c r="H73" s="85"/>
      <c r="I73" s="85"/>
      <c r="J73" s="85"/>
      <c r="K73" s="85"/>
      <c r="L73" s="85"/>
      <c r="M73" s="85"/>
      <c r="N73" s="85"/>
      <c r="O73" s="85"/>
      <c r="P73" s="85"/>
      <c r="Q73" s="85"/>
    </row>
    <row r="74" spans="1:17" s="56" customFormat="1">
      <c r="A74" s="71">
        <v>27272</v>
      </c>
      <c r="B74" s="85"/>
      <c r="C74" s="85"/>
      <c r="D74" s="85"/>
      <c r="E74" s="85">
        <v>14.2</v>
      </c>
      <c r="F74" s="85"/>
      <c r="G74" s="85"/>
      <c r="H74" s="85"/>
      <c r="I74" s="85"/>
      <c r="J74" s="85"/>
      <c r="K74" s="85"/>
      <c r="L74" s="85"/>
      <c r="M74" s="85"/>
      <c r="N74" s="85"/>
      <c r="O74" s="85"/>
      <c r="P74" s="85"/>
      <c r="Q74" s="85"/>
    </row>
    <row r="75" spans="1:17" s="56" customFormat="1">
      <c r="A75" s="71">
        <v>27302</v>
      </c>
      <c r="B75" s="85"/>
      <c r="C75" s="85"/>
      <c r="D75" s="85"/>
      <c r="E75" s="85">
        <v>12.6</v>
      </c>
      <c r="F75" s="85"/>
      <c r="G75" s="85"/>
      <c r="H75" s="85"/>
      <c r="I75" s="85"/>
      <c r="J75" s="85"/>
      <c r="K75" s="85"/>
      <c r="L75" s="85"/>
      <c r="M75" s="85"/>
      <c r="N75" s="85"/>
      <c r="O75" s="85"/>
      <c r="P75" s="85"/>
      <c r="Q75" s="85"/>
    </row>
    <row r="76" spans="1:17" s="56" customFormat="1">
      <c r="A76" s="71">
        <v>27333</v>
      </c>
      <c r="B76" s="85"/>
      <c r="C76" s="85"/>
      <c r="D76" s="85"/>
      <c r="E76" s="85">
        <v>10.4</v>
      </c>
      <c r="F76" s="85"/>
      <c r="G76" s="85"/>
      <c r="H76" s="85"/>
      <c r="I76" s="85"/>
      <c r="J76" s="85"/>
      <c r="K76" s="85"/>
      <c r="L76" s="85"/>
      <c r="M76" s="85"/>
      <c r="N76" s="85"/>
      <c r="O76" s="85"/>
      <c r="P76" s="85"/>
      <c r="Q76" s="85"/>
    </row>
    <row r="77" spans="1:17" s="56" customFormat="1">
      <c r="A77" s="71">
        <v>27363</v>
      </c>
      <c r="B77" s="85"/>
      <c r="C77" s="85"/>
      <c r="D77" s="85"/>
      <c r="E77" s="85">
        <v>10.3</v>
      </c>
      <c r="F77" s="85"/>
      <c r="G77" s="85"/>
      <c r="H77" s="85"/>
      <c r="I77" s="85"/>
      <c r="J77" s="85"/>
      <c r="K77" s="85"/>
      <c r="L77" s="85"/>
      <c r="M77" s="85"/>
      <c r="N77" s="85"/>
      <c r="O77" s="85"/>
      <c r="P77" s="85"/>
      <c r="Q77" s="85"/>
    </row>
    <row r="78" spans="1:17" s="56" customFormat="1">
      <c r="A78" s="71">
        <v>27394</v>
      </c>
      <c r="B78" s="85"/>
      <c r="C78" s="85"/>
      <c r="D78" s="85"/>
      <c r="E78" s="85">
        <v>9.75</v>
      </c>
      <c r="F78" s="85"/>
      <c r="G78" s="85"/>
      <c r="H78" s="85"/>
      <c r="I78" s="85"/>
      <c r="J78" s="85"/>
      <c r="K78" s="85"/>
      <c r="L78" s="85"/>
      <c r="M78" s="85"/>
      <c r="N78" s="85"/>
      <c r="O78" s="85"/>
      <c r="P78" s="85"/>
      <c r="Q78" s="85"/>
    </row>
    <row r="79" spans="1:17" s="56" customFormat="1">
      <c r="A79" s="71">
        <v>27425</v>
      </c>
      <c r="B79" s="85"/>
      <c r="C79" s="85"/>
      <c r="D79" s="85"/>
      <c r="E79" s="85">
        <v>8.9499999999999993</v>
      </c>
      <c r="F79" s="85"/>
      <c r="G79" s="85"/>
      <c r="H79" s="85"/>
      <c r="I79" s="85"/>
      <c r="J79" s="85"/>
      <c r="K79" s="85"/>
      <c r="L79" s="85"/>
      <c r="M79" s="85"/>
      <c r="N79" s="85"/>
      <c r="O79" s="85"/>
      <c r="P79" s="85"/>
      <c r="Q79" s="85"/>
    </row>
    <row r="80" spans="1:17" s="56" customFormat="1">
      <c r="A80" s="71">
        <v>27453</v>
      </c>
      <c r="B80" s="85"/>
      <c r="C80" s="85"/>
      <c r="D80" s="85"/>
      <c r="E80" s="85">
        <v>9</v>
      </c>
      <c r="F80" s="85"/>
      <c r="G80" s="85"/>
      <c r="H80" s="85"/>
      <c r="I80" s="85"/>
      <c r="J80" s="85"/>
      <c r="K80" s="85"/>
      <c r="L80" s="85"/>
      <c r="M80" s="85"/>
      <c r="N80" s="85"/>
      <c r="O80" s="85"/>
      <c r="P80" s="85"/>
      <c r="Q80" s="85"/>
    </row>
    <row r="81" spans="1:17" s="56" customFormat="1">
      <c r="A81" s="71">
        <v>27484</v>
      </c>
      <c r="B81" s="85"/>
      <c r="C81" s="85"/>
      <c r="D81" s="85"/>
      <c r="E81" s="85">
        <v>8.75</v>
      </c>
      <c r="F81" s="85"/>
      <c r="G81" s="85"/>
      <c r="H81" s="85"/>
      <c r="I81" s="85"/>
      <c r="J81" s="85"/>
      <c r="K81" s="85"/>
      <c r="L81" s="85"/>
      <c r="M81" s="85"/>
      <c r="N81" s="85"/>
      <c r="O81" s="85"/>
      <c r="P81" s="85"/>
      <c r="Q81" s="85"/>
    </row>
    <row r="82" spans="1:17" s="56" customFormat="1">
      <c r="A82" s="71">
        <v>27514</v>
      </c>
      <c r="B82" s="85"/>
      <c r="C82" s="85"/>
      <c r="D82" s="85"/>
      <c r="E82" s="85">
        <v>9.8000000000000007</v>
      </c>
      <c r="F82" s="85"/>
      <c r="G82" s="85"/>
      <c r="H82" s="85"/>
      <c r="I82" s="85"/>
      <c r="J82" s="85"/>
      <c r="K82" s="85"/>
      <c r="L82" s="85"/>
      <c r="M82" s="85"/>
      <c r="N82" s="85"/>
      <c r="O82" s="85"/>
      <c r="P82" s="85"/>
      <c r="Q82" s="85"/>
    </row>
    <row r="83" spans="1:17" s="56" customFormat="1">
      <c r="A83" s="71">
        <v>27545</v>
      </c>
      <c r="B83" s="85"/>
      <c r="C83" s="85"/>
      <c r="D83" s="85"/>
      <c r="E83" s="85">
        <v>8.9</v>
      </c>
      <c r="F83" s="85"/>
      <c r="G83" s="85"/>
      <c r="H83" s="85"/>
      <c r="I83" s="85"/>
      <c r="J83" s="85"/>
      <c r="K83" s="85"/>
      <c r="L83" s="85"/>
      <c r="M83" s="85"/>
      <c r="N83" s="85"/>
      <c r="O83" s="85"/>
      <c r="P83" s="85"/>
      <c r="Q83" s="85"/>
    </row>
    <row r="84" spans="1:17" s="56" customFormat="1">
      <c r="A84" s="71">
        <v>27575</v>
      </c>
      <c r="B84" s="85"/>
      <c r="C84" s="85"/>
      <c r="D84" s="85"/>
      <c r="E84" s="85">
        <v>8.8000000000000007</v>
      </c>
      <c r="F84" s="85"/>
      <c r="G84" s="85"/>
      <c r="H84" s="85"/>
      <c r="I84" s="85"/>
      <c r="J84" s="85"/>
      <c r="K84" s="85"/>
      <c r="L84" s="85"/>
      <c r="M84" s="85"/>
      <c r="N84" s="85"/>
      <c r="O84" s="85"/>
      <c r="P84" s="85"/>
      <c r="Q84" s="85"/>
    </row>
    <row r="85" spans="1:17" s="56" customFormat="1">
      <c r="A85" s="71">
        <v>27606</v>
      </c>
      <c r="B85" s="85"/>
      <c r="C85" s="85"/>
      <c r="D85" s="85"/>
      <c r="E85" s="85">
        <v>8.15</v>
      </c>
      <c r="F85" s="85"/>
      <c r="G85" s="85"/>
      <c r="H85" s="85"/>
      <c r="I85" s="85"/>
      <c r="J85" s="85"/>
      <c r="K85" s="85"/>
      <c r="L85" s="85"/>
      <c r="M85" s="85"/>
      <c r="N85" s="85"/>
      <c r="O85" s="85"/>
      <c r="P85" s="85"/>
      <c r="Q85" s="85"/>
    </row>
    <row r="86" spans="1:17" s="56" customFormat="1">
      <c r="A86" s="71">
        <v>27637</v>
      </c>
      <c r="B86" s="85"/>
      <c r="C86" s="85"/>
      <c r="D86" s="85"/>
      <c r="E86" s="85">
        <v>8.15</v>
      </c>
      <c r="F86" s="85"/>
      <c r="G86" s="85"/>
      <c r="H86" s="85"/>
      <c r="I86" s="85"/>
      <c r="J86" s="85"/>
      <c r="K86" s="85"/>
      <c r="L86" s="85"/>
      <c r="M86" s="85"/>
      <c r="N86" s="85"/>
      <c r="O86" s="85"/>
      <c r="P86" s="85"/>
      <c r="Q86" s="85"/>
    </row>
    <row r="87" spans="1:17" s="56" customFormat="1">
      <c r="A87" s="71">
        <v>27667</v>
      </c>
      <c r="B87" s="85"/>
      <c r="C87" s="85"/>
      <c r="D87" s="85"/>
      <c r="E87" s="85">
        <v>8.1</v>
      </c>
      <c r="F87" s="85"/>
      <c r="G87" s="85"/>
      <c r="H87" s="85"/>
      <c r="I87" s="85"/>
      <c r="J87" s="85"/>
      <c r="K87" s="85"/>
      <c r="L87" s="85"/>
      <c r="M87" s="85"/>
      <c r="N87" s="85"/>
      <c r="O87" s="85"/>
      <c r="P87" s="85"/>
      <c r="Q87" s="85"/>
    </row>
    <row r="88" spans="1:17" s="56" customFormat="1">
      <c r="A88" s="71">
        <v>27698</v>
      </c>
      <c r="B88" s="85"/>
      <c r="C88" s="85"/>
      <c r="D88" s="85"/>
      <c r="E88" s="85">
        <v>7.95</v>
      </c>
      <c r="F88" s="85"/>
      <c r="G88" s="85"/>
      <c r="H88" s="85"/>
      <c r="I88" s="85"/>
      <c r="J88" s="85"/>
      <c r="K88" s="85"/>
      <c r="L88" s="85"/>
      <c r="M88" s="85"/>
      <c r="N88" s="85"/>
      <c r="O88" s="85"/>
      <c r="P88" s="85"/>
      <c r="Q88" s="85"/>
    </row>
    <row r="89" spans="1:17" s="56" customFormat="1">
      <c r="A89" s="71">
        <v>27728</v>
      </c>
      <c r="B89" s="85"/>
      <c r="C89" s="85"/>
      <c r="D89" s="85"/>
      <c r="E89" s="85">
        <v>8.0500000000000007</v>
      </c>
      <c r="F89" s="85"/>
      <c r="G89" s="85"/>
      <c r="H89" s="85"/>
      <c r="I89" s="85"/>
      <c r="J89" s="85"/>
      <c r="K89" s="85"/>
      <c r="L89" s="85"/>
      <c r="M89" s="85"/>
      <c r="N89" s="85"/>
      <c r="O89" s="85"/>
      <c r="P89" s="85"/>
      <c r="Q89" s="85"/>
    </row>
    <row r="90" spans="1:17" s="56" customFormat="1">
      <c r="A90" s="71">
        <v>27759</v>
      </c>
      <c r="B90" s="85"/>
      <c r="C90" s="85"/>
      <c r="D90" s="85"/>
      <c r="E90" s="85">
        <v>7.7</v>
      </c>
      <c r="F90" s="85"/>
      <c r="G90" s="85"/>
      <c r="H90" s="85"/>
      <c r="I90" s="85"/>
      <c r="J90" s="85"/>
      <c r="K90" s="85"/>
      <c r="L90" s="85"/>
      <c r="M90" s="85"/>
      <c r="N90" s="85"/>
      <c r="O90" s="85"/>
      <c r="P90" s="85"/>
      <c r="Q90" s="85"/>
    </row>
    <row r="91" spans="1:17" s="56" customFormat="1">
      <c r="A91" s="71">
        <v>27790</v>
      </c>
      <c r="B91" s="85"/>
      <c r="C91" s="85"/>
      <c r="D91" s="85"/>
      <c r="E91" s="85">
        <v>7.65</v>
      </c>
      <c r="F91" s="85"/>
      <c r="G91" s="85"/>
      <c r="H91" s="85"/>
      <c r="I91" s="85"/>
      <c r="J91" s="85"/>
      <c r="K91" s="85"/>
      <c r="L91" s="85"/>
      <c r="M91" s="85"/>
      <c r="N91" s="85"/>
      <c r="O91" s="85"/>
      <c r="P91" s="85"/>
      <c r="Q91" s="85"/>
    </row>
    <row r="92" spans="1:17" s="56" customFormat="1">
      <c r="A92" s="71">
        <v>27819</v>
      </c>
      <c r="B92" s="85"/>
      <c r="C92" s="85"/>
      <c r="D92" s="85"/>
      <c r="E92" s="85">
        <v>8.35</v>
      </c>
      <c r="F92" s="85"/>
      <c r="G92" s="85"/>
      <c r="H92" s="85"/>
      <c r="I92" s="85"/>
      <c r="J92" s="85"/>
      <c r="K92" s="85"/>
      <c r="L92" s="85"/>
      <c r="M92" s="85"/>
      <c r="N92" s="85"/>
      <c r="O92" s="85"/>
      <c r="P92" s="85"/>
      <c r="Q92" s="85"/>
    </row>
    <row r="93" spans="1:17" s="56" customFormat="1">
      <c r="A93" s="71">
        <v>27850</v>
      </c>
      <c r="B93" s="85"/>
      <c r="C93" s="85"/>
      <c r="D93" s="85"/>
      <c r="E93" s="85">
        <v>8.4</v>
      </c>
      <c r="F93" s="85"/>
      <c r="G93" s="85"/>
      <c r="H93" s="85"/>
      <c r="I93" s="85"/>
      <c r="J93" s="85"/>
      <c r="K93" s="85"/>
      <c r="L93" s="85"/>
      <c r="M93" s="85"/>
      <c r="N93" s="85"/>
      <c r="O93" s="85"/>
      <c r="P93" s="85"/>
      <c r="Q93" s="85"/>
    </row>
    <row r="94" spans="1:17" s="56" customFormat="1">
      <c r="A94" s="71">
        <v>27880</v>
      </c>
      <c r="B94" s="85"/>
      <c r="C94" s="85"/>
      <c r="D94" s="85"/>
      <c r="E94" s="85">
        <v>9.61</v>
      </c>
      <c r="F94" s="85"/>
      <c r="G94" s="85"/>
      <c r="H94" s="85"/>
      <c r="I94" s="85"/>
      <c r="J94" s="85"/>
      <c r="K94" s="85"/>
      <c r="L94" s="85"/>
      <c r="M94" s="85"/>
      <c r="N94" s="85"/>
      <c r="O94" s="85"/>
      <c r="P94" s="85"/>
      <c r="Q94" s="85"/>
    </row>
    <row r="95" spans="1:17" s="56" customFormat="1">
      <c r="A95" s="71">
        <v>27911</v>
      </c>
      <c r="B95" s="85"/>
      <c r="C95" s="85">
        <v>7.7060000000000004</v>
      </c>
      <c r="D95" s="85"/>
      <c r="E95" s="85">
        <v>10.24</v>
      </c>
      <c r="F95" s="85"/>
      <c r="G95" s="85"/>
      <c r="H95" s="85"/>
      <c r="I95" s="85"/>
      <c r="J95" s="85"/>
      <c r="K95" s="85"/>
      <c r="L95" s="85"/>
      <c r="M95" s="87"/>
      <c r="N95" s="85"/>
      <c r="O95" s="85"/>
      <c r="P95" s="85"/>
      <c r="Q95" s="85"/>
    </row>
    <row r="96" spans="1:17" s="56" customFormat="1">
      <c r="A96" s="71">
        <v>27941</v>
      </c>
      <c r="B96" s="85"/>
      <c r="C96" s="85">
        <v>8.0229999999999997</v>
      </c>
      <c r="D96" s="85"/>
      <c r="E96" s="85">
        <v>10.27</v>
      </c>
      <c r="F96" s="85"/>
      <c r="G96" s="85"/>
      <c r="H96" s="85"/>
      <c r="I96" s="85"/>
      <c r="J96" s="85"/>
      <c r="K96" s="85"/>
      <c r="L96" s="85"/>
      <c r="M96" s="87"/>
      <c r="N96" s="85"/>
      <c r="O96" s="85"/>
      <c r="P96" s="85"/>
      <c r="Q96" s="85"/>
    </row>
    <row r="97" spans="1:17" s="56" customFormat="1">
      <c r="A97" s="71">
        <v>27972</v>
      </c>
      <c r="B97" s="85"/>
      <c r="C97" s="85">
        <v>7.5709999999999997</v>
      </c>
      <c r="D97" s="85"/>
      <c r="E97" s="85">
        <v>9.67</v>
      </c>
      <c r="F97" s="85"/>
      <c r="G97" s="85"/>
      <c r="H97" s="85"/>
      <c r="I97" s="85"/>
      <c r="J97" s="85"/>
      <c r="K97" s="85"/>
      <c r="L97" s="85"/>
      <c r="M97" s="87"/>
      <c r="N97" s="85"/>
      <c r="O97" s="85"/>
      <c r="P97" s="85"/>
      <c r="Q97" s="85"/>
    </row>
    <row r="98" spans="1:17" s="56" customFormat="1">
      <c r="A98" s="71">
        <v>28003</v>
      </c>
      <c r="B98" s="85"/>
      <c r="C98" s="85">
        <v>7.7489999999999997</v>
      </c>
      <c r="D98" s="85"/>
      <c r="E98" s="85">
        <v>9.36</v>
      </c>
      <c r="F98" s="85"/>
      <c r="G98" s="85"/>
      <c r="H98" s="85"/>
      <c r="I98" s="85"/>
      <c r="J98" s="85"/>
      <c r="K98" s="85"/>
      <c r="L98" s="85"/>
      <c r="M98" s="87"/>
      <c r="N98" s="85"/>
      <c r="O98" s="85"/>
      <c r="P98" s="85"/>
      <c r="Q98" s="85"/>
    </row>
    <row r="99" spans="1:17" s="56" customFormat="1">
      <c r="A99" s="71">
        <v>28033</v>
      </c>
      <c r="B99" s="85"/>
      <c r="C99" s="85">
        <v>7.4619999999999997</v>
      </c>
      <c r="D99" s="85"/>
      <c r="E99" s="85">
        <v>9.31</v>
      </c>
      <c r="F99" s="85"/>
      <c r="G99" s="85"/>
      <c r="H99" s="85"/>
      <c r="I99" s="85"/>
      <c r="J99" s="85"/>
      <c r="K99" s="85"/>
      <c r="L99" s="85"/>
      <c r="M99" s="87"/>
      <c r="N99" s="85"/>
      <c r="O99" s="85"/>
      <c r="P99" s="85"/>
      <c r="Q99" s="85"/>
    </row>
    <row r="100" spans="1:17" s="56" customFormat="1">
      <c r="A100" s="71">
        <v>28064</v>
      </c>
      <c r="B100" s="85"/>
      <c r="C100" s="85">
        <v>7.2770000000000001</v>
      </c>
      <c r="D100" s="85"/>
      <c r="E100" s="85">
        <v>9.06</v>
      </c>
      <c r="F100" s="85"/>
      <c r="G100" s="85"/>
      <c r="H100" s="85"/>
      <c r="I100" s="85"/>
      <c r="J100" s="85"/>
      <c r="K100" s="85"/>
      <c r="L100" s="85"/>
      <c r="M100" s="87"/>
      <c r="N100" s="85"/>
      <c r="O100" s="85"/>
      <c r="P100" s="85"/>
      <c r="Q100" s="85"/>
    </row>
    <row r="101" spans="1:17" s="56" customFormat="1">
      <c r="A101" s="71">
        <v>28094</v>
      </c>
      <c r="B101" s="85"/>
      <c r="C101" s="85">
        <v>7.1749999999999998</v>
      </c>
      <c r="D101" s="85"/>
      <c r="E101" s="85">
        <v>9.52</v>
      </c>
      <c r="F101" s="85"/>
      <c r="G101" s="85"/>
      <c r="H101" s="85"/>
      <c r="I101" s="85"/>
      <c r="J101" s="85"/>
      <c r="K101" s="85"/>
      <c r="L101" s="85"/>
      <c r="M101" s="87"/>
      <c r="N101" s="85"/>
      <c r="O101" s="85"/>
      <c r="P101" s="85"/>
      <c r="Q101" s="85"/>
    </row>
    <row r="102" spans="1:17" s="56" customFormat="1">
      <c r="A102" s="71">
        <v>28125</v>
      </c>
      <c r="B102" s="85"/>
      <c r="C102" s="85">
        <v>6.3719999999999999</v>
      </c>
      <c r="D102" s="85"/>
      <c r="E102" s="85">
        <v>9.44</v>
      </c>
      <c r="F102" s="85"/>
      <c r="G102" s="85"/>
      <c r="H102" s="85"/>
      <c r="I102" s="85"/>
      <c r="J102" s="85"/>
      <c r="K102" s="85"/>
      <c r="L102" s="85"/>
      <c r="M102" s="87"/>
      <c r="N102" s="85"/>
      <c r="O102" s="85"/>
      <c r="P102" s="85"/>
      <c r="Q102" s="85"/>
    </row>
    <row r="103" spans="1:17" s="56" customFormat="1">
      <c r="A103" s="71">
        <v>28156</v>
      </c>
      <c r="B103" s="85"/>
      <c r="C103" s="85">
        <v>7.4560000000000004</v>
      </c>
      <c r="D103" s="85"/>
      <c r="E103" s="85">
        <v>8.93</v>
      </c>
      <c r="F103" s="85"/>
      <c r="G103" s="85"/>
      <c r="H103" s="85"/>
      <c r="I103" s="85"/>
      <c r="J103" s="85"/>
      <c r="K103" s="85"/>
      <c r="L103" s="85"/>
      <c r="M103" s="87"/>
      <c r="N103" s="85"/>
      <c r="O103" s="85"/>
      <c r="P103" s="85"/>
      <c r="Q103" s="85"/>
    </row>
    <row r="104" spans="1:17" s="56" customFormat="1">
      <c r="A104" s="71">
        <v>28184</v>
      </c>
      <c r="B104" s="85"/>
      <c r="C104" s="85">
        <v>7.4240000000000004</v>
      </c>
      <c r="D104" s="85"/>
      <c r="E104" s="85">
        <v>9.31</v>
      </c>
      <c r="F104" s="85"/>
      <c r="G104" s="85"/>
      <c r="H104" s="85"/>
      <c r="I104" s="85"/>
      <c r="J104" s="85"/>
      <c r="K104" s="85"/>
      <c r="L104" s="85"/>
      <c r="M104" s="87"/>
      <c r="N104" s="85"/>
      <c r="O104" s="85"/>
      <c r="P104" s="85"/>
      <c r="Q104" s="85"/>
    </row>
    <row r="105" spans="1:17" s="56" customFormat="1">
      <c r="A105" s="71">
        <v>28215</v>
      </c>
      <c r="B105" s="85"/>
      <c r="C105" s="85">
        <v>7.5759999999999996</v>
      </c>
      <c r="D105" s="85"/>
      <c r="E105" s="85">
        <v>9.73</v>
      </c>
      <c r="F105" s="85"/>
      <c r="G105" s="85"/>
      <c r="H105" s="85"/>
      <c r="I105" s="85"/>
      <c r="J105" s="85"/>
      <c r="K105" s="85"/>
      <c r="L105" s="85"/>
      <c r="M105" s="87"/>
      <c r="N105" s="85"/>
      <c r="O105" s="85"/>
      <c r="P105" s="85"/>
      <c r="Q105" s="85"/>
    </row>
    <row r="106" spans="1:17" s="56" customFormat="1">
      <c r="A106" s="71">
        <v>28245</v>
      </c>
      <c r="B106" s="85"/>
      <c r="C106" s="85">
        <v>7.3620000000000001</v>
      </c>
      <c r="D106" s="85"/>
      <c r="E106" s="85">
        <v>10.86</v>
      </c>
      <c r="F106" s="85"/>
      <c r="G106" s="85"/>
      <c r="H106" s="85"/>
      <c r="I106" s="85"/>
      <c r="J106" s="85"/>
      <c r="K106" s="85"/>
      <c r="L106" s="85"/>
      <c r="M106" s="87"/>
      <c r="N106" s="85"/>
      <c r="O106" s="85"/>
      <c r="P106" s="85"/>
      <c r="Q106" s="85"/>
    </row>
    <row r="107" spans="1:17" s="56" customFormat="1">
      <c r="A107" s="71">
        <v>28276</v>
      </c>
      <c r="B107" s="85"/>
      <c r="C107" s="85">
        <v>8.6440000000000001</v>
      </c>
      <c r="D107" s="85"/>
      <c r="E107" s="85">
        <v>10.94</v>
      </c>
      <c r="F107" s="85"/>
      <c r="G107" s="85"/>
      <c r="H107" s="85"/>
      <c r="I107" s="85"/>
      <c r="J107" s="85"/>
      <c r="K107" s="85"/>
      <c r="L107" s="85"/>
      <c r="M107" s="87"/>
      <c r="N107" s="85"/>
      <c r="O107" s="85"/>
      <c r="P107" s="85"/>
      <c r="Q107" s="85"/>
    </row>
    <row r="108" spans="1:17" s="56" customFormat="1">
      <c r="A108" s="71">
        <v>28306</v>
      </c>
      <c r="B108" s="85"/>
      <c r="C108" s="85">
        <v>9.52</v>
      </c>
      <c r="D108" s="85"/>
      <c r="E108" s="85">
        <v>10.95</v>
      </c>
      <c r="F108" s="85"/>
      <c r="G108" s="85"/>
      <c r="H108" s="85"/>
      <c r="I108" s="85"/>
      <c r="J108" s="85"/>
      <c r="K108" s="85"/>
      <c r="L108" s="85"/>
      <c r="M108" s="87"/>
      <c r="N108" s="85"/>
      <c r="O108" s="85"/>
      <c r="P108" s="85"/>
      <c r="Q108" s="85"/>
    </row>
    <row r="109" spans="1:17" s="56" customFormat="1">
      <c r="A109" s="71">
        <v>28337</v>
      </c>
      <c r="B109" s="85"/>
      <c r="C109" s="85">
        <v>9.3360000000000003</v>
      </c>
      <c r="D109" s="85"/>
      <c r="E109" s="85">
        <v>10.72</v>
      </c>
      <c r="F109" s="85"/>
      <c r="G109" s="85"/>
      <c r="H109" s="85"/>
      <c r="I109" s="85"/>
      <c r="J109" s="85"/>
      <c r="K109" s="85"/>
      <c r="L109" s="85"/>
      <c r="M109" s="87"/>
      <c r="N109" s="85"/>
      <c r="O109" s="85"/>
      <c r="P109" s="85"/>
      <c r="Q109" s="85"/>
    </row>
    <row r="110" spans="1:17" s="56" customFormat="1">
      <c r="A110" s="71">
        <v>28368</v>
      </c>
      <c r="B110" s="85"/>
      <c r="C110" s="85">
        <v>9.67</v>
      </c>
      <c r="D110" s="85"/>
      <c r="E110" s="85">
        <v>10.9</v>
      </c>
      <c r="F110" s="85"/>
      <c r="G110" s="85"/>
      <c r="H110" s="85"/>
      <c r="I110" s="85"/>
      <c r="J110" s="85"/>
      <c r="K110" s="85"/>
      <c r="L110" s="85"/>
      <c r="M110" s="87"/>
      <c r="N110" s="85"/>
      <c r="O110" s="85"/>
      <c r="P110" s="85"/>
      <c r="Q110" s="85"/>
    </row>
    <row r="111" spans="1:17" s="56" customFormat="1">
      <c r="A111" s="71">
        <v>28398</v>
      </c>
      <c r="B111" s="85"/>
      <c r="C111" s="85">
        <v>9.4689999999999994</v>
      </c>
      <c r="D111" s="85"/>
      <c r="E111" s="85">
        <v>10.43</v>
      </c>
      <c r="F111" s="85"/>
      <c r="G111" s="85"/>
      <c r="H111" s="85"/>
      <c r="I111" s="85"/>
      <c r="J111" s="85"/>
      <c r="K111" s="85"/>
      <c r="L111" s="85"/>
      <c r="M111" s="87"/>
      <c r="N111" s="85"/>
      <c r="O111" s="85"/>
      <c r="P111" s="85"/>
      <c r="Q111" s="85"/>
    </row>
    <row r="112" spans="1:17" s="56" customFormat="1">
      <c r="A112" s="71">
        <v>28429</v>
      </c>
      <c r="B112" s="85"/>
      <c r="C112" s="85">
        <v>8.8550000000000004</v>
      </c>
      <c r="D112" s="85"/>
      <c r="E112" s="85">
        <v>10.02</v>
      </c>
      <c r="F112" s="85"/>
      <c r="G112" s="85"/>
      <c r="H112" s="85"/>
      <c r="I112" s="85"/>
      <c r="J112" s="85"/>
      <c r="K112" s="85"/>
      <c r="L112" s="85"/>
      <c r="M112" s="87"/>
      <c r="N112" s="85"/>
      <c r="O112" s="85"/>
      <c r="P112" s="85"/>
      <c r="Q112" s="85"/>
    </row>
    <row r="113" spans="1:17" s="56" customFormat="1">
      <c r="A113" s="71">
        <v>28459</v>
      </c>
      <c r="B113" s="85"/>
      <c r="C113" s="85">
        <v>9.1639999999999997</v>
      </c>
      <c r="D113" s="85"/>
      <c r="E113" s="85">
        <v>10.01</v>
      </c>
      <c r="F113" s="85"/>
      <c r="G113" s="85"/>
      <c r="H113" s="85"/>
      <c r="I113" s="85"/>
      <c r="J113" s="85"/>
      <c r="K113" s="85"/>
      <c r="L113" s="85"/>
      <c r="M113" s="87"/>
      <c r="N113" s="85"/>
      <c r="O113" s="85"/>
      <c r="P113" s="85"/>
      <c r="Q113" s="85"/>
    </row>
    <row r="114" spans="1:17" s="56" customFormat="1">
      <c r="A114" s="71">
        <v>28490</v>
      </c>
      <c r="B114" s="85"/>
      <c r="C114" s="85">
        <v>9.1479999999999997</v>
      </c>
      <c r="D114" s="85"/>
      <c r="E114" s="85">
        <v>9.75</v>
      </c>
      <c r="F114" s="85"/>
      <c r="G114" s="85"/>
      <c r="H114" s="85"/>
      <c r="I114" s="85"/>
      <c r="J114" s="85"/>
      <c r="K114" s="85"/>
      <c r="L114" s="85"/>
      <c r="M114" s="87"/>
      <c r="N114" s="85"/>
      <c r="O114" s="85"/>
      <c r="P114" s="85"/>
      <c r="Q114" s="85"/>
    </row>
    <row r="115" spans="1:17" s="56" customFormat="1">
      <c r="A115" s="71">
        <v>28521</v>
      </c>
      <c r="B115" s="85"/>
      <c r="C115" s="85">
        <v>8.7550000000000008</v>
      </c>
      <c r="D115" s="85"/>
      <c r="E115" s="85">
        <v>9.49</v>
      </c>
      <c r="F115" s="85"/>
      <c r="G115" s="85"/>
      <c r="H115" s="85"/>
      <c r="I115" s="85"/>
      <c r="J115" s="85"/>
      <c r="K115" s="85"/>
      <c r="L115" s="85"/>
      <c r="M115" s="87"/>
      <c r="N115" s="85"/>
      <c r="O115" s="85"/>
      <c r="P115" s="85"/>
      <c r="Q115" s="85"/>
    </row>
    <row r="116" spans="1:17" s="56" customFormat="1">
      <c r="A116" s="71">
        <v>28549</v>
      </c>
      <c r="B116" s="85"/>
      <c r="C116" s="85">
        <v>8.4190000000000005</v>
      </c>
      <c r="D116" s="85"/>
      <c r="E116" s="85">
        <v>9.5500000000000007</v>
      </c>
      <c r="F116" s="85"/>
      <c r="G116" s="85"/>
      <c r="H116" s="85"/>
      <c r="I116" s="85"/>
      <c r="J116" s="85"/>
      <c r="K116" s="85"/>
      <c r="L116" s="85"/>
      <c r="M116" s="87"/>
      <c r="N116" s="85"/>
      <c r="O116" s="85"/>
      <c r="P116" s="85"/>
      <c r="Q116" s="85"/>
    </row>
    <row r="117" spans="1:17" s="56" customFormat="1">
      <c r="A117" s="71">
        <v>28580</v>
      </c>
      <c r="B117" s="85"/>
      <c r="C117" s="85">
        <v>7.9530000000000003</v>
      </c>
      <c r="D117" s="85"/>
      <c r="E117" s="85">
        <v>10.039999999999999</v>
      </c>
      <c r="F117" s="85"/>
      <c r="G117" s="85"/>
      <c r="H117" s="85"/>
      <c r="I117" s="85"/>
      <c r="J117" s="85"/>
      <c r="K117" s="85"/>
      <c r="L117" s="85"/>
      <c r="M117" s="87"/>
      <c r="N117" s="85"/>
      <c r="O117" s="85"/>
      <c r="P117" s="85"/>
      <c r="Q117" s="85"/>
    </row>
    <row r="118" spans="1:17" s="56" customFormat="1">
      <c r="A118" s="71">
        <v>28610</v>
      </c>
      <c r="B118" s="85"/>
      <c r="C118" s="85">
        <v>7.673</v>
      </c>
      <c r="D118" s="85"/>
      <c r="E118" s="85">
        <v>10.86</v>
      </c>
      <c r="F118" s="85"/>
      <c r="G118" s="85"/>
      <c r="H118" s="85"/>
      <c r="I118" s="85"/>
      <c r="J118" s="85"/>
      <c r="K118" s="85"/>
      <c r="L118" s="85"/>
      <c r="M118" s="87"/>
      <c r="N118" s="85"/>
      <c r="O118" s="85"/>
      <c r="P118" s="85"/>
      <c r="Q118" s="85"/>
    </row>
    <row r="119" spans="1:17" s="56" customFormat="1">
      <c r="A119" s="71">
        <v>28641</v>
      </c>
      <c r="B119" s="85"/>
      <c r="C119" s="85">
        <v>9.109</v>
      </c>
      <c r="D119" s="85"/>
      <c r="E119" s="85">
        <v>10.6</v>
      </c>
      <c r="F119" s="85"/>
      <c r="G119" s="85"/>
      <c r="H119" s="85"/>
      <c r="I119" s="85"/>
      <c r="J119" s="85"/>
      <c r="K119" s="85"/>
      <c r="L119" s="85"/>
      <c r="M119" s="87"/>
      <c r="N119" s="85"/>
      <c r="O119" s="85"/>
      <c r="P119" s="85"/>
      <c r="Q119" s="85"/>
    </row>
    <row r="120" spans="1:17" s="56" customFormat="1">
      <c r="A120" s="71">
        <v>28671</v>
      </c>
      <c r="B120" s="85"/>
      <c r="C120" s="85">
        <v>9.0399999999999991</v>
      </c>
      <c r="D120" s="85"/>
      <c r="E120" s="85">
        <v>10.63</v>
      </c>
      <c r="F120" s="85"/>
      <c r="G120" s="85"/>
      <c r="H120" s="85"/>
      <c r="I120" s="85"/>
      <c r="J120" s="85"/>
      <c r="K120" s="85"/>
      <c r="L120" s="85"/>
      <c r="M120" s="87"/>
      <c r="N120" s="85"/>
      <c r="O120" s="85"/>
      <c r="P120" s="85"/>
      <c r="Q120" s="85"/>
    </row>
    <row r="121" spans="1:17" s="56" customFormat="1">
      <c r="A121" s="71">
        <v>28702</v>
      </c>
      <c r="B121" s="85"/>
      <c r="C121" s="85">
        <v>8.8130000000000006</v>
      </c>
      <c r="D121" s="85"/>
      <c r="E121" s="85">
        <v>9.84</v>
      </c>
      <c r="F121" s="85"/>
      <c r="G121" s="85"/>
      <c r="H121" s="85"/>
      <c r="I121" s="85"/>
      <c r="J121" s="85"/>
      <c r="K121" s="85"/>
      <c r="L121" s="85"/>
      <c r="M121" s="87"/>
      <c r="N121" s="85"/>
      <c r="O121" s="85"/>
      <c r="P121" s="85"/>
      <c r="Q121" s="85"/>
    </row>
    <row r="122" spans="1:17" s="56" customFormat="1">
      <c r="A122" s="71">
        <v>28733</v>
      </c>
      <c r="B122" s="85"/>
      <c r="C122" s="85">
        <v>9.0079999999999991</v>
      </c>
      <c r="D122" s="85"/>
      <c r="E122" s="85">
        <v>9.6999999999999993</v>
      </c>
      <c r="F122" s="85"/>
      <c r="G122" s="85"/>
      <c r="H122" s="85"/>
      <c r="I122" s="85"/>
      <c r="J122" s="85"/>
      <c r="K122" s="85"/>
      <c r="L122" s="85"/>
      <c r="M122" s="87"/>
      <c r="N122" s="85"/>
      <c r="O122" s="85"/>
      <c r="P122" s="85"/>
      <c r="Q122" s="85"/>
    </row>
    <row r="123" spans="1:17" s="56" customFormat="1">
      <c r="A123" s="71">
        <v>28763</v>
      </c>
      <c r="B123" s="85"/>
      <c r="C123" s="85">
        <v>9.18</v>
      </c>
      <c r="D123" s="85"/>
      <c r="E123" s="85">
        <v>9.7200000000000006</v>
      </c>
      <c r="F123" s="85"/>
      <c r="G123" s="85"/>
      <c r="H123" s="85"/>
      <c r="I123" s="85"/>
      <c r="J123" s="85"/>
      <c r="K123" s="85"/>
      <c r="L123" s="85"/>
      <c r="M123" s="87"/>
      <c r="N123" s="85"/>
      <c r="O123" s="85"/>
      <c r="P123" s="85"/>
      <c r="Q123" s="85"/>
    </row>
    <row r="124" spans="1:17" s="56" customFormat="1">
      <c r="A124" s="71">
        <v>28794</v>
      </c>
      <c r="B124" s="85"/>
      <c r="C124" s="85">
        <v>9.3989999999999991</v>
      </c>
      <c r="D124" s="85"/>
      <c r="E124" s="85">
        <v>9.74</v>
      </c>
      <c r="F124" s="85"/>
      <c r="G124" s="85"/>
      <c r="H124" s="85"/>
      <c r="I124" s="85"/>
      <c r="J124" s="85"/>
      <c r="K124" s="85"/>
      <c r="L124" s="85"/>
      <c r="M124" s="87"/>
      <c r="N124" s="85"/>
      <c r="O124" s="85"/>
      <c r="P124" s="85"/>
      <c r="Q124" s="85"/>
    </row>
    <row r="125" spans="1:17" s="56" customFormat="1">
      <c r="A125" s="71">
        <v>28824</v>
      </c>
      <c r="B125" s="85"/>
      <c r="C125" s="85">
        <v>7.97</v>
      </c>
      <c r="D125" s="85"/>
      <c r="E125" s="85">
        <v>9.19</v>
      </c>
      <c r="F125" s="85"/>
      <c r="G125" s="85"/>
      <c r="H125" s="85"/>
      <c r="I125" s="85"/>
      <c r="J125" s="85"/>
      <c r="K125" s="85"/>
      <c r="L125" s="85"/>
      <c r="M125" s="87"/>
      <c r="N125" s="85"/>
      <c r="O125" s="85"/>
      <c r="P125" s="85"/>
      <c r="Q125" s="85"/>
    </row>
    <row r="126" spans="1:17" s="56" customFormat="1">
      <c r="A126" s="71">
        <v>28855</v>
      </c>
      <c r="B126" s="85"/>
      <c r="C126" s="85">
        <v>8.3149999999999995</v>
      </c>
      <c r="D126" s="85"/>
      <c r="E126" s="85">
        <v>8.76</v>
      </c>
      <c r="F126" s="85"/>
      <c r="G126" s="85"/>
      <c r="H126" s="85"/>
      <c r="I126" s="85"/>
      <c r="J126" s="85"/>
      <c r="K126" s="85"/>
      <c r="L126" s="85"/>
      <c r="M126" s="87"/>
      <c r="N126" s="85"/>
      <c r="O126" s="85"/>
      <c r="P126" s="85"/>
      <c r="Q126" s="85"/>
    </row>
    <row r="127" spans="1:17" s="56" customFormat="1">
      <c r="A127" s="71">
        <v>28886</v>
      </c>
      <c r="B127" s="85"/>
      <c r="C127" s="85">
        <v>8.1790000000000003</v>
      </c>
      <c r="D127" s="85"/>
      <c r="E127" s="85">
        <v>8.51</v>
      </c>
      <c r="F127" s="85"/>
      <c r="G127" s="85"/>
      <c r="H127" s="85"/>
      <c r="I127" s="85"/>
      <c r="J127" s="85"/>
      <c r="K127" s="85"/>
      <c r="L127" s="85"/>
      <c r="M127" s="87"/>
      <c r="N127" s="85"/>
      <c r="O127" s="85"/>
      <c r="P127" s="85"/>
      <c r="Q127" s="85"/>
    </row>
    <row r="128" spans="1:17" s="56" customFormat="1">
      <c r="A128" s="71">
        <v>28914</v>
      </c>
      <c r="B128" s="85"/>
      <c r="C128" s="85">
        <v>7.8250000000000002</v>
      </c>
      <c r="D128" s="85"/>
      <c r="E128" s="85">
        <v>8.6</v>
      </c>
      <c r="F128" s="85"/>
      <c r="G128" s="85"/>
      <c r="H128" s="85"/>
      <c r="I128" s="85"/>
      <c r="J128" s="85"/>
      <c r="K128" s="85"/>
      <c r="L128" s="85"/>
      <c r="M128" s="87"/>
      <c r="N128" s="85"/>
      <c r="O128" s="85"/>
      <c r="P128" s="85"/>
      <c r="Q128" s="85"/>
    </row>
    <row r="129" spans="1:17" s="56" customFormat="1">
      <c r="A129" s="71">
        <v>28945</v>
      </c>
      <c r="B129" s="85"/>
      <c r="C129" s="85">
        <v>8.1820000000000004</v>
      </c>
      <c r="D129" s="85"/>
      <c r="E129" s="85">
        <v>9.16</v>
      </c>
      <c r="F129" s="85"/>
      <c r="G129" s="85"/>
      <c r="H129" s="85"/>
      <c r="I129" s="85"/>
      <c r="J129" s="85"/>
      <c r="K129" s="85"/>
      <c r="L129" s="85"/>
      <c r="M129" s="87"/>
      <c r="N129" s="85"/>
      <c r="O129" s="85"/>
      <c r="P129" s="85"/>
      <c r="Q129" s="85"/>
    </row>
    <row r="130" spans="1:17" s="56" customFormat="1">
      <c r="A130" s="71">
        <v>28975</v>
      </c>
      <c r="B130" s="85"/>
      <c r="C130" s="85">
        <v>8.6110000000000007</v>
      </c>
      <c r="D130" s="85"/>
      <c r="E130" s="85">
        <v>10.42</v>
      </c>
      <c r="F130" s="85"/>
      <c r="G130" s="85"/>
      <c r="H130" s="85"/>
      <c r="I130" s="85"/>
      <c r="J130" s="85"/>
      <c r="K130" s="85"/>
      <c r="L130" s="85"/>
      <c r="M130" s="87"/>
      <c r="N130" s="85"/>
      <c r="O130" s="85"/>
      <c r="P130" s="85"/>
      <c r="Q130" s="85"/>
    </row>
    <row r="131" spans="1:17" s="56" customFormat="1">
      <c r="A131" s="71">
        <v>29006</v>
      </c>
      <c r="B131" s="85"/>
      <c r="C131" s="85">
        <v>9.4459999999999997</v>
      </c>
      <c r="D131" s="85"/>
      <c r="E131" s="85">
        <v>10.54</v>
      </c>
      <c r="F131" s="85"/>
      <c r="G131" s="85"/>
      <c r="H131" s="85"/>
      <c r="I131" s="85"/>
      <c r="J131" s="85"/>
      <c r="K131" s="85"/>
      <c r="L131" s="85"/>
      <c r="M131" s="87"/>
      <c r="N131" s="85"/>
      <c r="O131" s="85"/>
      <c r="P131" s="85"/>
      <c r="Q131" s="85"/>
    </row>
    <row r="132" spans="1:17" s="56" customFormat="1">
      <c r="A132" s="71">
        <v>29036</v>
      </c>
      <c r="B132" s="85"/>
      <c r="C132" s="85">
        <v>8.7140000000000004</v>
      </c>
      <c r="D132" s="85"/>
      <c r="E132" s="85">
        <v>10.26</v>
      </c>
      <c r="F132" s="85"/>
      <c r="G132" s="85"/>
      <c r="H132" s="85"/>
      <c r="I132" s="85"/>
      <c r="J132" s="85"/>
      <c r="K132" s="85"/>
      <c r="L132" s="85"/>
      <c r="M132" s="87"/>
      <c r="N132" s="85"/>
      <c r="O132" s="85"/>
      <c r="P132" s="85"/>
      <c r="Q132" s="85"/>
    </row>
    <row r="133" spans="1:17" s="56" customFormat="1">
      <c r="A133" s="71">
        <v>29067</v>
      </c>
      <c r="B133" s="85"/>
      <c r="C133" s="85">
        <v>10.057</v>
      </c>
      <c r="D133" s="85"/>
      <c r="E133" s="85">
        <v>9.86</v>
      </c>
      <c r="F133" s="85"/>
      <c r="G133" s="85"/>
      <c r="H133" s="85"/>
      <c r="I133" s="85"/>
      <c r="J133" s="85"/>
      <c r="K133" s="85"/>
      <c r="L133" s="85"/>
      <c r="M133" s="87"/>
      <c r="N133" s="85"/>
      <c r="O133" s="85"/>
      <c r="P133" s="85"/>
      <c r="Q133" s="85"/>
    </row>
    <row r="134" spans="1:17" s="56" customFormat="1">
      <c r="A134" s="71">
        <v>29098</v>
      </c>
      <c r="B134" s="85"/>
      <c r="C134" s="85">
        <v>10.63</v>
      </c>
      <c r="D134" s="85"/>
      <c r="E134" s="85">
        <v>9.7799999999999994</v>
      </c>
      <c r="F134" s="85"/>
      <c r="G134" s="85"/>
      <c r="H134" s="85"/>
      <c r="I134" s="85"/>
      <c r="J134" s="85"/>
      <c r="K134" s="85"/>
      <c r="L134" s="85"/>
      <c r="M134" s="87"/>
      <c r="N134" s="85"/>
      <c r="O134" s="85"/>
      <c r="P134" s="85"/>
      <c r="Q134" s="85"/>
    </row>
    <row r="135" spans="1:17" s="56" customFormat="1">
      <c r="A135" s="71">
        <v>29128</v>
      </c>
      <c r="B135" s="85"/>
      <c r="C135" s="85">
        <v>9.4130000000000003</v>
      </c>
      <c r="D135" s="85"/>
      <c r="E135" s="85">
        <v>9.8699999999999992</v>
      </c>
      <c r="F135" s="85"/>
      <c r="G135" s="85"/>
      <c r="H135" s="85"/>
      <c r="I135" s="85"/>
      <c r="J135" s="85"/>
      <c r="K135" s="85"/>
      <c r="L135" s="85"/>
      <c r="M135" s="87"/>
      <c r="N135" s="85"/>
      <c r="O135" s="85"/>
      <c r="P135" s="85"/>
      <c r="Q135" s="85"/>
    </row>
    <row r="136" spans="1:17" s="56" customFormat="1">
      <c r="A136" s="71">
        <v>29159</v>
      </c>
      <c r="B136" s="85"/>
      <c r="C136" s="85">
        <v>9.0500000000000007</v>
      </c>
      <c r="D136" s="85"/>
      <c r="E136" s="85">
        <v>10.039999999999999</v>
      </c>
      <c r="F136" s="85"/>
      <c r="G136" s="85"/>
      <c r="H136" s="85"/>
      <c r="I136" s="85"/>
      <c r="J136" s="85"/>
      <c r="K136" s="85"/>
      <c r="L136" s="85"/>
      <c r="M136" s="87"/>
      <c r="N136" s="85"/>
      <c r="O136" s="85"/>
      <c r="P136" s="85"/>
      <c r="Q136" s="85"/>
    </row>
    <row r="137" spans="1:17" s="56" customFormat="1">
      <c r="A137" s="71">
        <v>29189</v>
      </c>
      <c r="B137" s="85"/>
      <c r="C137" s="85">
        <v>8.9890000000000008</v>
      </c>
      <c r="D137" s="85"/>
      <c r="E137" s="85">
        <v>10.119999999999999</v>
      </c>
      <c r="F137" s="85"/>
      <c r="G137" s="85"/>
      <c r="H137" s="85"/>
      <c r="I137" s="85"/>
      <c r="J137" s="85"/>
      <c r="K137" s="85"/>
      <c r="L137" s="85"/>
      <c r="M137" s="87"/>
      <c r="N137" s="85"/>
      <c r="O137" s="85"/>
      <c r="P137" s="85"/>
      <c r="Q137" s="85"/>
    </row>
    <row r="138" spans="1:17" s="56" customFormat="1">
      <c r="A138" s="71">
        <v>29220</v>
      </c>
      <c r="B138" s="85"/>
      <c r="C138" s="85">
        <v>9.5</v>
      </c>
      <c r="D138" s="85"/>
      <c r="E138" s="85">
        <v>10.119999999999999</v>
      </c>
      <c r="F138" s="85"/>
      <c r="G138" s="85"/>
      <c r="H138" s="85"/>
      <c r="I138" s="85"/>
      <c r="J138" s="85"/>
      <c r="K138" s="85"/>
      <c r="L138" s="85"/>
      <c r="M138" s="87"/>
      <c r="N138" s="85"/>
      <c r="O138" s="85"/>
      <c r="P138" s="85"/>
      <c r="Q138" s="85"/>
    </row>
    <row r="139" spans="1:17" s="56" customFormat="1">
      <c r="A139" s="71">
        <v>29251</v>
      </c>
      <c r="B139" s="85"/>
      <c r="C139" s="85">
        <v>9.2379999999999995</v>
      </c>
      <c r="D139" s="85"/>
      <c r="E139" s="85">
        <v>10.029999999999999</v>
      </c>
      <c r="F139" s="85"/>
      <c r="G139" s="85"/>
      <c r="H139" s="85"/>
      <c r="I139" s="85"/>
      <c r="J139" s="85"/>
      <c r="K139" s="85"/>
      <c r="L139" s="85"/>
      <c r="M139" s="87"/>
      <c r="N139" s="85"/>
      <c r="O139" s="85"/>
      <c r="P139" s="85"/>
      <c r="Q139" s="85"/>
    </row>
    <row r="140" spans="1:17" s="56" customFormat="1">
      <c r="A140" s="71">
        <v>29280</v>
      </c>
      <c r="B140" s="85"/>
      <c r="C140" s="85">
        <v>8.8569999999999993</v>
      </c>
      <c r="D140" s="85"/>
      <c r="E140" s="85">
        <v>10.06</v>
      </c>
      <c r="F140" s="85"/>
      <c r="G140" s="85"/>
      <c r="H140" s="85"/>
      <c r="I140" s="85"/>
      <c r="J140" s="85"/>
      <c r="K140" s="85"/>
      <c r="L140" s="85"/>
      <c r="M140" s="87"/>
      <c r="N140" s="85"/>
      <c r="O140" s="85"/>
      <c r="P140" s="85"/>
      <c r="Q140" s="85"/>
    </row>
    <row r="141" spans="1:17" s="56" customFormat="1">
      <c r="A141" s="71">
        <v>29311</v>
      </c>
      <c r="B141" s="85"/>
      <c r="C141" s="85">
        <v>10.404999999999999</v>
      </c>
      <c r="D141" s="85"/>
      <c r="E141" s="85">
        <v>11.47</v>
      </c>
      <c r="F141" s="85"/>
      <c r="G141" s="85"/>
      <c r="H141" s="85"/>
      <c r="I141" s="85"/>
      <c r="J141" s="85"/>
      <c r="K141" s="85"/>
      <c r="L141" s="85"/>
      <c r="M141" s="87"/>
      <c r="N141" s="85"/>
      <c r="O141" s="85"/>
      <c r="P141" s="85"/>
      <c r="Q141" s="85"/>
    </row>
    <row r="142" spans="1:17" s="56" customFormat="1">
      <c r="A142" s="71">
        <v>29341</v>
      </c>
      <c r="B142" s="85"/>
      <c r="C142" s="85">
        <v>10.683999999999999</v>
      </c>
      <c r="D142" s="85"/>
      <c r="E142" s="85">
        <v>13.28</v>
      </c>
      <c r="F142" s="85"/>
      <c r="G142" s="85"/>
      <c r="H142" s="85"/>
      <c r="I142" s="85"/>
      <c r="J142" s="85"/>
      <c r="K142" s="85"/>
      <c r="L142" s="85"/>
      <c r="M142" s="87"/>
      <c r="N142" s="85"/>
      <c r="O142" s="85"/>
      <c r="P142" s="85"/>
      <c r="Q142" s="85"/>
    </row>
    <row r="143" spans="1:17" s="56" customFormat="1">
      <c r="A143" s="71">
        <v>29372</v>
      </c>
      <c r="B143" s="85"/>
      <c r="C143" s="85">
        <v>13.715999999999999</v>
      </c>
      <c r="D143" s="85"/>
      <c r="E143" s="85">
        <v>13.83</v>
      </c>
      <c r="F143" s="85"/>
      <c r="G143" s="85"/>
      <c r="H143" s="85"/>
      <c r="I143" s="85"/>
      <c r="J143" s="85"/>
      <c r="K143" s="85"/>
      <c r="L143" s="85"/>
      <c r="M143" s="87"/>
      <c r="N143" s="85"/>
      <c r="O143" s="85"/>
      <c r="P143" s="85"/>
      <c r="Q143" s="85"/>
    </row>
    <row r="144" spans="1:17" s="56" customFormat="1">
      <c r="A144" s="71">
        <v>29402</v>
      </c>
      <c r="B144" s="85"/>
      <c r="C144" s="85">
        <v>13.726000000000001</v>
      </c>
      <c r="D144" s="85"/>
      <c r="E144" s="85">
        <v>13.83</v>
      </c>
      <c r="F144" s="85"/>
      <c r="G144" s="85"/>
      <c r="H144" s="85"/>
      <c r="I144" s="85"/>
      <c r="J144" s="85"/>
      <c r="K144" s="85"/>
      <c r="L144" s="85"/>
      <c r="M144" s="87"/>
      <c r="N144" s="85"/>
      <c r="O144" s="85"/>
      <c r="P144" s="85"/>
      <c r="Q144" s="85"/>
    </row>
    <row r="145" spans="1:17" s="56" customFormat="1">
      <c r="A145" s="71">
        <v>29433</v>
      </c>
      <c r="B145" s="85"/>
      <c r="C145" s="85">
        <v>12.859</v>
      </c>
      <c r="D145" s="85"/>
      <c r="E145" s="85">
        <v>12.87</v>
      </c>
      <c r="F145" s="85"/>
      <c r="G145" s="85"/>
      <c r="H145" s="85"/>
      <c r="I145" s="85"/>
      <c r="J145" s="85"/>
      <c r="K145" s="85"/>
      <c r="L145" s="85"/>
      <c r="M145" s="87"/>
      <c r="N145" s="85"/>
      <c r="O145" s="85"/>
      <c r="P145" s="85"/>
      <c r="Q145" s="85"/>
    </row>
    <row r="146" spans="1:17" s="56" customFormat="1">
      <c r="A146" s="71">
        <v>29464</v>
      </c>
      <c r="B146" s="85"/>
      <c r="C146" s="85">
        <v>12.417</v>
      </c>
      <c r="D146" s="85"/>
      <c r="E146" s="85">
        <v>12.33</v>
      </c>
      <c r="F146" s="85"/>
      <c r="G146" s="85"/>
      <c r="H146" s="85"/>
      <c r="I146" s="85"/>
      <c r="J146" s="85"/>
      <c r="K146" s="85"/>
      <c r="L146" s="85"/>
      <c r="M146" s="87"/>
      <c r="N146" s="85"/>
      <c r="O146" s="85"/>
      <c r="P146" s="85"/>
      <c r="Q146" s="85"/>
    </row>
    <row r="147" spans="1:17" s="56" customFormat="1">
      <c r="A147" s="71">
        <v>29494</v>
      </c>
      <c r="B147" s="85"/>
      <c r="C147" s="85">
        <v>11.227</v>
      </c>
      <c r="D147" s="85"/>
      <c r="E147" s="85">
        <v>11.69</v>
      </c>
      <c r="F147" s="85"/>
      <c r="G147" s="85"/>
      <c r="H147" s="85"/>
      <c r="I147" s="85"/>
      <c r="J147" s="85"/>
      <c r="K147" s="85"/>
      <c r="L147" s="85"/>
      <c r="M147" s="87"/>
      <c r="N147" s="85"/>
      <c r="O147" s="85"/>
      <c r="P147" s="85"/>
      <c r="Q147" s="85"/>
    </row>
    <row r="148" spans="1:17" s="56" customFormat="1">
      <c r="A148" s="71">
        <v>29525</v>
      </c>
      <c r="B148" s="85"/>
      <c r="C148" s="85">
        <v>9.8260000000000005</v>
      </c>
      <c r="D148" s="85"/>
      <c r="E148" s="85">
        <v>11.22</v>
      </c>
      <c r="F148" s="85"/>
      <c r="G148" s="85"/>
      <c r="H148" s="85"/>
      <c r="I148" s="85"/>
      <c r="J148" s="85"/>
      <c r="K148" s="85"/>
      <c r="L148" s="85"/>
      <c r="M148" s="87"/>
      <c r="N148" s="85"/>
      <c r="O148" s="85"/>
      <c r="P148" s="85"/>
      <c r="Q148" s="85"/>
    </row>
    <row r="149" spans="1:17" s="56" customFormat="1">
      <c r="A149" s="71">
        <v>29555</v>
      </c>
      <c r="B149" s="85"/>
      <c r="C149" s="85">
        <v>10.324999999999999</v>
      </c>
      <c r="D149" s="85"/>
      <c r="E149" s="85">
        <v>11.27</v>
      </c>
      <c r="F149" s="85"/>
      <c r="G149" s="85"/>
      <c r="H149" s="85"/>
      <c r="I149" s="85"/>
      <c r="J149" s="85"/>
      <c r="K149" s="85"/>
      <c r="L149" s="85"/>
      <c r="M149" s="87"/>
      <c r="N149" s="85"/>
      <c r="O149" s="85"/>
      <c r="P149" s="85"/>
      <c r="Q149" s="85"/>
    </row>
    <row r="150" spans="1:17" s="56" customFormat="1">
      <c r="A150" s="71">
        <v>29586</v>
      </c>
      <c r="B150" s="85"/>
      <c r="C150" s="85">
        <v>10.881</v>
      </c>
      <c r="D150" s="85"/>
      <c r="E150" s="85">
        <v>12.45</v>
      </c>
      <c r="F150" s="85"/>
      <c r="G150" s="85"/>
      <c r="H150" s="85"/>
      <c r="I150" s="85"/>
      <c r="J150" s="85"/>
      <c r="K150" s="85"/>
      <c r="L150" s="85"/>
      <c r="M150" s="87"/>
      <c r="N150" s="85"/>
      <c r="O150" s="85"/>
      <c r="P150" s="85"/>
      <c r="Q150" s="85"/>
    </row>
    <row r="151" spans="1:17" s="56" customFormat="1">
      <c r="A151" s="71">
        <v>29617</v>
      </c>
      <c r="B151" s="85"/>
      <c r="C151" s="85">
        <v>10.675000000000001</v>
      </c>
      <c r="D151" s="85"/>
      <c r="E151" s="85">
        <v>12.61</v>
      </c>
      <c r="F151" s="85"/>
      <c r="G151" s="85"/>
      <c r="H151" s="85"/>
      <c r="I151" s="85"/>
      <c r="J151" s="85"/>
      <c r="K151" s="85"/>
      <c r="L151" s="85"/>
      <c r="M151" s="87"/>
      <c r="N151" s="85"/>
      <c r="O151" s="85"/>
      <c r="P151" s="85"/>
      <c r="Q151" s="85"/>
    </row>
    <row r="152" spans="1:17" s="56" customFormat="1">
      <c r="A152" s="71">
        <v>29645</v>
      </c>
      <c r="B152" s="85"/>
      <c r="C152" s="85">
        <v>11</v>
      </c>
      <c r="D152" s="85"/>
      <c r="E152" s="85">
        <v>13.36</v>
      </c>
      <c r="F152" s="85"/>
      <c r="G152" s="85"/>
      <c r="H152" s="85"/>
      <c r="I152" s="85"/>
      <c r="J152" s="85"/>
      <c r="K152" s="85"/>
      <c r="L152" s="85"/>
      <c r="M152" s="87"/>
      <c r="N152" s="85"/>
      <c r="O152" s="85"/>
      <c r="P152" s="85"/>
      <c r="Q152" s="85"/>
    </row>
    <row r="153" spans="1:17" s="56" customFormat="1">
      <c r="A153" s="71">
        <v>29676</v>
      </c>
      <c r="B153" s="85"/>
      <c r="C153" s="85">
        <v>11.989000000000001</v>
      </c>
      <c r="D153" s="85"/>
      <c r="E153" s="85">
        <v>14.63</v>
      </c>
      <c r="F153" s="85"/>
      <c r="G153" s="85"/>
      <c r="H153" s="85"/>
      <c r="I153" s="85"/>
      <c r="J153" s="85"/>
      <c r="K153" s="85"/>
      <c r="L153" s="85"/>
      <c r="M153" s="87"/>
      <c r="N153" s="85"/>
      <c r="O153" s="85"/>
      <c r="P153" s="85"/>
      <c r="Q153" s="85"/>
    </row>
    <row r="154" spans="1:17" s="56" customFormat="1">
      <c r="A154" s="71">
        <v>29706</v>
      </c>
      <c r="B154" s="85"/>
      <c r="C154" s="85">
        <v>13.087999999999999</v>
      </c>
      <c r="D154" s="85"/>
      <c r="E154" s="85">
        <v>16.690000000000001</v>
      </c>
      <c r="F154" s="85"/>
      <c r="G154" s="85"/>
      <c r="H154" s="85"/>
      <c r="I154" s="85"/>
      <c r="J154" s="85"/>
      <c r="K154" s="85"/>
      <c r="L154" s="85"/>
      <c r="M154" s="87"/>
      <c r="N154" s="85"/>
      <c r="O154" s="85"/>
      <c r="P154" s="85"/>
      <c r="Q154" s="85"/>
    </row>
    <row r="155" spans="1:17" s="56" customFormat="1">
      <c r="A155" s="71">
        <v>29737</v>
      </c>
      <c r="B155" s="85"/>
      <c r="C155" s="85">
        <v>14.19</v>
      </c>
      <c r="D155" s="85"/>
      <c r="E155" s="85">
        <v>16.28</v>
      </c>
      <c r="F155" s="85"/>
      <c r="G155" s="85"/>
      <c r="H155" s="85"/>
      <c r="I155" s="85"/>
      <c r="J155" s="85"/>
      <c r="K155" s="85"/>
      <c r="L155" s="85"/>
      <c r="M155" s="87"/>
      <c r="N155" s="85"/>
      <c r="O155" s="85"/>
      <c r="P155" s="85"/>
      <c r="Q155" s="85"/>
    </row>
    <row r="156" spans="1:17" s="56" customFormat="1">
      <c r="A156" s="71">
        <v>29767</v>
      </c>
      <c r="B156" s="85"/>
      <c r="C156" s="85">
        <v>15.33</v>
      </c>
      <c r="D156" s="85"/>
      <c r="E156" s="85">
        <v>15.58</v>
      </c>
      <c r="F156" s="85"/>
      <c r="G156" s="85"/>
      <c r="H156" s="85"/>
      <c r="I156" s="85"/>
      <c r="J156" s="85"/>
      <c r="K156" s="85"/>
      <c r="L156" s="85"/>
      <c r="M156" s="87"/>
      <c r="N156" s="85"/>
      <c r="O156" s="85"/>
      <c r="P156" s="85"/>
      <c r="Q156" s="85"/>
    </row>
    <row r="157" spans="1:17" s="56" customFormat="1">
      <c r="A157" s="71">
        <v>29798</v>
      </c>
      <c r="B157" s="85"/>
      <c r="C157" s="85">
        <v>15.44</v>
      </c>
      <c r="D157" s="85"/>
      <c r="E157" s="85">
        <v>15.39</v>
      </c>
      <c r="F157" s="85"/>
      <c r="G157" s="85"/>
      <c r="H157" s="85"/>
      <c r="I157" s="85"/>
      <c r="J157" s="85"/>
      <c r="K157" s="85"/>
      <c r="L157" s="85"/>
      <c r="M157" s="87"/>
      <c r="N157" s="85"/>
      <c r="O157" s="85"/>
      <c r="P157" s="85"/>
      <c r="Q157" s="85"/>
    </row>
    <row r="158" spans="1:17" s="56" customFormat="1">
      <c r="A158" s="71">
        <v>29829</v>
      </c>
      <c r="B158" s="85"/>
      <c r="C158" s="85">
        <v>15</v>
      </c>
      <c r="D158" s="85"/>
      <c r="E158" s="85">
        <v>15.72</v>
      </c>
      <c r="F158" s="85"/>
      <c r="G158" s="85"/>
      <c r="H158" s="85"/>
      <c r="I158" s="85"/>
      <c r="J158" s="85"/>
      <c r="K158" s="85"/>
      <c r="L158" s="85"/>
      <c r="M158" s="87"/>
      <c r="N158" s="85"/>
      <c r="O158" s="85"/>
      <c r="P158" s="85"/>
      <c r="Q158" s="85"/>
    </row>
    <row r="159" spans="1:17" s="56" customFormat="1">
      <c r="A159" s="71">
        <v>29859</v>
      </c>
      <c r="B159" s="85"/>
      <c r="C159" s="85">
        <v>14.676</v>
      </c>
      <c r="D159" s="85"/>
      <c r="E159" s="85">
        <v>15.35</v>
      </c>
      <c r="F159" s="85"/>
      <c r="G159" s="85"/>
      <c r="H159" s="85"/>
      <c r="I159" s="85"/>
      <c r="J159" s="85"/>
      <c r="K159" s="85"/>
      <c r="L159" s="85"/>
      <c r="M159" s="87"/>
      <c r="N159" s="85"/>
      <c r="O159" s="85"/>
      <c r="P159" s="85"/>
      <c r="Q159" s="85"/>
    </row>
    <row r="160" spans="1:17" s="56" customFormat="1">
      <c r="A160" s="71">
        <v>29890</v>
      </c>
      <c r="B160" s="85"/>
      <c r="C160" s="85">
        <v>14.335000000000001</v>
      </c>
      <c r="D160" s="85"/>
      <c r="E160" s="85">
        <v>14.69</v>
      </c>
      <c r="F160" s="85"/>
      <c r="G160" s="85"/>
      <c r="H160" s="85"/>
      <c r="I160" s="85"/>
      <c r="J160" s="85"/>
      <c r="K160" s="85"/>
      <c r="L160" s="85"/>
      <c r="M160" s="87"/>
      <c r="N160" s="85"/>
      <c r="O160" s="85"/>
      <c r="P160" s="85"/>
      <c r="Q160" s="85"/>
    </row>
    <row r="161" spans="1:17" s="56" customFormat="1">
      <c r="A161" s="71">
        <v>29920</v>
      </c>
      <c r="B161" s="85"/>
      <c r="C161" s="85">
        <v>14.542</v>
      </c>
      <c r="D161" s="85"/>
      <c r="E161" s="85">
        <v>14.62</v>
      </c>
      <c r="F161" s="85"/>
      <c r="G161" s="85"/>
      <c r="H161" s="85"/>
      <c r="I161" s="85"/>
      <c r="J161" s="85"/>
      <c r="K161" s="85"/>
      <c r="L161" s="85"/>
      <c r="M161" s="87"/>
      <c r="N161" s="85"/>
      <c r="O161" s="85"/>
      <c r="P161" s="85"/>
      <c r="Q161" s="85"/>
    </row>
    <row r="162" spans="1:17" s="56" customFormat="1">
      <c r="A162" s="71">
        <v>29951</v>
      </c>
      <c r="B162" s="85"/>
      <c r="C162" s="85">
        <v>15.619</v>
      </c>
      <c r="D162" s="85"/>
      <c r="E162" s="85">
        <v>15.54</v>
      </c>
      <c r="F162" s="85"/>
      <c r="G162" s="85"/>
      <c r="H162" s="85"/>
      <c r="I162" s="85"/>
      <c r="J162" s="85"/>
      <c r="K162" s="85"/>
      <c r="L162" s="85"/>
      <c r="M162" s="87"/>
      <c r="N162" s="85"/>
      <c r="O162" s="85"/>
      <c r="P162" s="85"/>
      <c r="Q162" s="85"/>
    </row>
    <row r="163" spans="1:17" s="56" customFormat="1">
      <c r="A163" s="71">
        <v>29982</v>
      </c>
      <c r="B163" s="85"/>
      <c r="C163" s="85">
        <v>14.994</v>
      </c>
      <c r="D163" s="85"/>
      <c r="E163" s="85">
        <v>16.21</v>
      </c>
      <c r="F163" s="85"/>
      <c r="G163" s="85"/>
      <c r="H163" s="85"/>
      <c r="I163" s="85"/>
      <c r="J163" s="85"/>
      <c r="K163" s="85"/>
      <c r="L163" s="85"/>
      <c r="M163" s="87"/>
      <c r="N163" s="85"/>
      <c r="O163" s="85"/>
      <c r="P163" s="85"/>
      <c r="Q163" s="85"/>
    </row>
    <row r="164" spans="1:17" s="56" customFormat="1">
      <c r="A164" s="71">
        <v>30010</v>
      </c>
      <c r="B164" s="85"/>
      <c r="C164" s="85">
        <v>15.204000000000001</v>
      </c>
      <c r="D164" s="85"/>
      <c r="E164" s="85">
        <v>17.12</v>
      </c>
      <c r="F164" s="85"/>
      <c r="G164" s="85"/>
      <c r="H164" s="85"/>
      <c r="I164" s="85"/>
      <c r="J164" s="85"/>
      <c r="K164" s="85"/>
      <c r="L164" s="85"/>
      <c r="M164" s="87"/>
      <c r="N164" s="85"/>
      <c r="O164" s="85"/>
      <c r="P164" s="85"/>
      <c r="Q164" s="85"/>
    </row>
    <row r="165" spans="1:17" s="56" customFormat="1">
      <c r="A165" s="71">
        <v>30041</v>
      </c>
      <c r="B165" s="85"/>
      <c r="C165" s="85">
        <v>16.082000000000001</v>
      </c>
      <c r="D165" s="85"/>
      <c r="E165" s="85">
        <v>18.89</v>
      </c>
      <c r="F165" s="85"/>
      <c r="G165" s="85"/>
      <c r="H165" s="85"/>
      <c r="I165" s="85"/>
      <c r="J165" s="85"/>
      <c r="K165" s="85"/>
      <c r="L165" s="85"/>
      <c r="M165" s="87"/>
      <c r="N165" s="85"/>
      <c r="O165" s="85"/>
      <c r="P165" s="85"/>
      <c r="Q165" s="85"/>
    </row>
    <row r="166" spans="1:17" s="56" customFormat="1">
      <c r="A166" s="71">
        <v>30071</v>
      </c>
      <c r="B166" s="85"/>
      <c r="C166" s="85">
        <v>19.094000000000001</v>
      </c>
      <c r="D166" s="85"/>
      <c r="E166" s="85">
        <v>21.39</v>
      </c>
      <c r="F166" s="85"/>
      <c r="G166" s="85"/>
      <c r="H166" s="85"/>
      <c r="I166" s="85"/>
      <c r="J166" s="85"/>
      <c r="K166" s="85"/>
      <c r="L166" s="85"/>
      <c r="M166" s="87"/>
      <c r="N166" s="85"/>
      <c r="O166" s="85"/>
      <c r="P166" s="85"/>
      <c r="Q166" s="85"/>
    </row>
    <row r="167" spans="1:17" s="56" customFormat="1">
      <c r="A167" s="71">
        <v>30102</v>
      </c>
      <c r="B167" s="85"/>
      <c r="C167" s="85">
        <v>18.393000000000001</v>
      </c>
      <c r="D167" s="85"/>
      <c r="E167" s="85">
        <v>18.45</v>
      </c>
      <c r="F167" s="85"/>
      <c r="G167" s="85"/>
      <c r="H167" s="85"/>
      <c r="I167" s="85"/>
      <c r="J167" s="85"/>
      <c r="K167" s="85"/>
      <c r="L167" s="85"/>
      <c r="M167" s="87"/>
      <c r="N167" s="85"/>
      <c r="O167" s="85"/>
      <c r="P167" s="85"/>
      <c r="Q167" s="85"/>
    </row>
    <row r="168" spans="1:17" s="56" customFormat="1">
      <c r="A168" s="71">
        <v>30132</v>
      </c>
      <c r="B168" s="85"/>
      <c r="C168" s="85">
        <v>17.579999999999998</v>
      </c>
      <c r="D168" s="85"/>
      <c r="E168" s="85">
        <v>18.57</v>
      </c>
      <c r="F168" s="85"/>
      <c r="G168" s="85"/>
      <c r="H168" s="85"/>
      <c r="I168" s="85"/>
      <c r="J168" s="85"/>
      <c r="K168" s="85"/>
      <c r="L168" s="85"/>
      <c r="M168" s="87"/>
      <c r="N168" s="85"/>
      <c r="O168" s="85"/>
      <c r="P168" s="85"/>
      <c r="Q168" s="85"/>
    </row>
    <row r="169" spans="1:17" s="56" customFormat="1">
      <c r="A169" s="71">
        <v>30163</v>
      </c>
      <c r="B169" s="85"/>
      <c r="C169" s="85">
        <v>16.510999999999999</v>
      </c>
      <c r="D169" s="85"/>
      <c r="E169" s="85">
        <v>17.29</v>
      </c>
      <c r="F169" s="85"/>
      <c r="G169" s="85"/>
      <c r="H169" s="85"/>
      <c r="I169" s="85"/>
      <c r="J169" s="85"/>
      <c r="K169" s="85"/>
      <c r="L169" s="85"/>
      <c r="M169" s="87"/>
      <c r="N169" s="85"/>
      <c r="O169" s="85"/>
      <c r="P169" s="85"/>
      <c r="Q169" s="85"/>
    </row>
    <row r="170" spans="1:17" s="56" customFormat="1">
      <c r="A170" s="71">
        <v>30194</v>
      </c>
      <c r="B170" s="85"/>
      <c r="C170" s="85">
        <v>20.766999999999999</v>
      </c>
      <c r="D170" s="85"/>
      <c r="E170" s="85">
        <v>17.170000000000002</v>
      </c>
      <c r="F170" s="85"/>
      <c r="G170" s="85"/>
      <c r="H170" s="85"/>
      <c r="I170" s="85"/>
      <c r="J170" s="85"/>
      <c r="K170" s="85"/>
      <c r="L170" s="85"/>
      <c r="M170" s="87"/>
      <c r="N170" s="85"/>
      <c r="O170" s="85"/>
      <c r="P170" s="85"/>
      <c r="Q170" s="85"/>
    </row>
    <row r="171" spans="1:17" s="56" customFormat="1">
      <c r="A171" s="71">
        <v>30224</v>
      </c>
      <c r="B171" s="85"/>
      <c r="C171" s="85">
        <v>16.097000000000001</v>
      </c>
      <c r="D171" s="85"/>
      <c r="E171" s="85">
        <v>15.46</v>
      </c>
      <c r="F171" s="85"/>
      <c r="G171" s="85"/>
      <c r="H171" s="85"/>
      <c r="I171" s="85"/>
      <c r="J171" s="85"/>
      <c r="K171" s="85"/>
      <c r="L171" s="85"/>
      <c r="M171" s="87"/>
      <c r="N171" s="85"/>
      <c r="O171" s="85"/>
      <c r="P171" s="85"/>
      <c r="Q171" s="85"/>
    </row>
    <row r="172" spans="1:17" s="56" customFormat="1">
      <c r="A172" s="71">
        <v>30255</v>
      </c>
      <c r="B172" s="85"/>
      <c r="C172" s="85">
        <v>15.696</v>
      </c>
      <c r="D172" s="85"/>
      <c r="E172" s="85">
        <v>14.57</v>
      </c>
      <c r="F172" s="85"/>
      <c r="G172" s="85"/>
      <c r="H172" s="85"/>
      <c r="I172" s="85"/>
      <c r="J172" s="85"/>
      <c r="K172" s="85"/>
      <c r="L172" s="85"/>
      <c r="M172" s="87"/>
      <c r="N172" s="85"/>
      <c r="O172" s="85"/>
      <c r="P172" s="85"/>
      <c r="Q172" s="85"/>
    </row>
    <row r="173" spans="1:17" s="56" customFormat="1">
      <c r="A173" s="71">
        <v>30285</v>
      </c>
      <c r="B173" s="85"/>
      <c r="C173" s="85">
        <v>14</v>
      </c>
      <c r="D173" s="85"/>
      <c r="E173" s="85">
        <v>14.76</v>
      </c>
      <c r="F173" s="85"/>
      <c r="G173" s="85"/>
      <c r="H173" s="85"/>
      <c r="I173" s="85"/>
      <c r="J173" s="85"/>
      <c r="K173" s="85"/>
      <c r="L173" s="85"/>
      <c r="M173" s="87"/>
      <c r="N173" s="85"/>
      <c r="O173" s="85"/>
      <c r="P173" s="85"/>
      <c r="Q173" s="85"/>
    </row>
    <row r="174" spans="1:17" s="56" customFormat="1">
      <c r="A174" s="71">
        <v>30316</v>
      </c>
      <c r="B174" s="85"/>
      <c r="C174" s="85">
        <v>11.458</v>
      </c>
      <c r="D174" s="85"/>
      <c r="E174" s="85">
        <v>12.13</v>
      </c>
      <c r="F174" s="85"/>
      <c r="G174" s="85"/>
      <c r="H174" s="85"/>
      <c r="I174" s="85"/>
      <c r="J174" s="85"/>
      <c r="K174" s="85"/>
      <c r="L174" s="85"/>
      <c r="M174" s="87"/>
      <c r="N174" s="85"/>
      <c r="O174" s="85"/>
      <c r="P174" s="85"/>
      <c r="Q174" s="85"/>
    </row>
    <row r="175" spans="1:17" s="56" customFormat="1">
      <c r="A175" s="71">
        <v>30347</v>
      </c>
      <c r="B175" s="85"/>
      <c r="C175" s="85">
        <v>12.362</v>
      </c>
      <c r="D175" s="85"/>
      <c r="E175" s="85">
        <v>10.65</v>
      </c>
      <c r="F175" s="85"/>
      <c r="G175" s="85"/>
      <c r="H175" s="85"/>
      <c r="I175" s="85"/>
      <c r="J175" s="85"/>
      <c r="K175" s="85"/>
      <c r="L175" s="85"/>
      <c r="M175" s="87"/>
      <c r="N175" s="85"/>
      <c r="O175" s="85"/>
      <c r="P175" s="85"/>
      <c r="Q175" s="85"/>
    </row>
    <row r="176" spans="1:17" s="56" customFormat="1">
      <c r="A176" s="71">
        <v>30375</v>
      </c>
      <c r="B176" s="85"/>
      <c r="C176" s="85">
        <v>12.675000000000001</v>
      </c>
      <c r="D176" s="85"/>
      <c r="E176" s="85">
        <v>13.77</v>
      </c>
      <c r="F176" s="85"/>
      <c r="G176" s="85"/>
      <c r="H176" s="85"/>
      <c r="I176" s="85"/>
      <c r="J176" s="85"/>
      <c r="K176" s="85"/>
      <c r="L176" s="85"/>
      <c r="M176" s="87"/>
      <c r="N176" s="85"/>
      <c r="O176" s="85"/>
      <c r="P176" s="85"/>
      <c r="Q176" s="85"/>
    </row>
    <row r="177" spans="1:17" s="56" customFormat="1">
      <c r="A177" s="71">
        <v>30406</v>
      </c>
      <c r="B177" s="85"/>
      <c r="C177" s="85">
        <v>16.734000000000002</v>
      </c>
      <c r="D177" s="85"/>
      <c r="E177" s="85">
        <v>15.26</v>
      </c>
      <c r="F177" s="85"/>
      <c r="G177" s="85"/>
      <c r="H177" s="85"/>
      <c r="I177" s="85"/>
      <c r="J177" s="85"/>
      <c r="K177" s="85"/>
      <c r="L177" s="85"/>
      <c r="M177" s="87"/>
      <c r="N177" s="85"/>
      <c r="O177" s="85"/>
      <c r="P177" s="85"/>
      <c r="Q177" s="85"/>
    </row>
    <row r="178" spans="1:17" s="56" customFormat="1">
      <c r="A178" s="71">
        <v>30436</v>
      </c>
      <c r="B178" s="85"/>
      <c r="C178" s="85">
        <v>12.611000000000001</v>
      </c>
      <c r="D178" s="85"/>
      <c r="E178" s="85">
        <v>13.92</v>
      </c>
      <c r="F178" s="85"/>
      <c r="G178" s="85"/>
      <c r="H178" s="85"/>
      <c r="I178" s="85"/>
      <c r="J178" s="85"/>
      <c r="K178" s="85"/>
      <c r="L178" s="85"/>
      <c r="M178" s="87"/>
      <c r="N178" s="85"/>
      <c r="O178" s="85"/>
      <c r="P178" s="85"/>
      <c r="Q178" s="85"/>
    </row>
    <row r="179" spans="1:17" s="56" customFormat="1">
      <c r="A179" s="71">
        <v>30467</v>
      </c>
      <c r="B179" s="85"/>
      <c r="C179" s="85">
        <v>11.898</v>
      </c>
      <c r="D179" s="85"/>
      <c r="E179" s="85">
        <v>12.15</v>
      </c>
      <c r="F179" s="85"/>
      <c r="G179" s="85"/>
      <c r="H179" s="85"/>
      <c r="I179" s="85"/>
      <c r="J179" s="85"/>
      <c r="K179" s="85"/>
      <c r="L179" s="85"/>
      <c r="M179" s="87"/>
      <c r="N179" s="85"/>
      <c r="O179" s="85"/>
      <c r="P179" s="85"/>
      <c r="Q179" s="85"/>
    </row>
    <row r="180" spans="1:17" s="56" customFormat="1">
      <c r="A180" s="71">
        <v>30497</v>
      </c>
      <c r="B180" s="85"/>
      <c r="C180" s="85">
        <v>11.744</v>
      </c>
      <c r="D180" s="85"/>
      <c r="E180" s="85">
        <v>14.24</v>
      </c>
      <c r="F180" s="85"/>
      <c r="G180" s="85"/>
      <c r="H180" s="85"/>
      <c r="I180" s="85"/>
      <c r="J180" s="85"/>
      <c r="K180" s="85"/>
      <c r="L180" s="85"/>
      <c r="M180" s="87"/>
      <c r="N180" s="85"/>
      <c r="O180" s="85"/>
      <c r="P180" s="85"/>
      <c r="Q180" s="85"/>
    </row>
    <row r="181" spans="1:17" s="56" customFormat="1">
      <c r="A181" s="71">
        <v>30528</v>
      </c>
      <c r="B181" s="85"/>
      <c r="C181" s="85">
        <v>10.345000000000001</v>
      </c>
      <c r="D181" s="85"/>
      <c r="E181" s="85">
        <v>12.8</v>
      </c>
      <c r="F181" s="85"/>
      <c r="G181" s="85"/>
      <c r="H181" s="85"/>
      <c r="I181" s="85"/>
      <c r="J181" s="85"/>
      <c r="K181" s="85"/>
      <c r="L181" s="85"/>
      <c r="M181" s="87"/>
      <c r="N181" s="85"/>
      <c r="O181" s="85"/>
      <c r="P181" s="85"/>
      <c r="Q181" s="85"/>
    </row>
    <row r="182" spans="1:17" s="56" customFormat="1">
      <c r="A182" s="71">
        <v>30559</v>
      </c>
      <c r="B182" s="85"/>
      <c r="C182" s="85">
        <v>10.667999999999999</v>
      </c>
      <c r="D182" s="85"/>
      <c r="E182" s="85">
        <v>12.16</v>
      </c>
      <c r="F182" s="85"/>
      <c r="G182" s="85"/>
      <c r="H182" s="85"/>
      <c r="I182" s="85"/>
      <c r="J182" s="85"/>
      <c r="K182" s="85"/>
      <c r="L182" s="85"/>
      <c r="M182" s="87"/>
      <c r="N182" s="85"/>
      <c r="O182" s="85"/>
      <c r="P182" s="85"/>
      <c r="Q182" s="85"/>
    </row>
    <row r="183" spans="1:17" s="56" customFormat="1">
      <c r="A183" s="71">
        <v>30589</v>
      </c>
      <c r="B183" s="85"/>
      <c r="C183" s="85">
        <v>10.983000000000001</v>
      </c>
      <c r="D183" s="85"/>
      <c r="E183" s="85">
        <v>11.06</v>
      </c>
      <c r="F183" s="85"/>
      <c r="G183" s="85"/>
      <c r="H183" s="85"/>
      <c r="I183" s="85"/>
      <c r="J183" s="85"/>
      <c r="K183" s="85"/>
      <c r="L183" s="85"/>
      <c r="M183" s="87"/>
      <c r="N183" s="85"/>
      <c r="O183" s="85"/>
      <c r="P183" s="85"/>
      <c r="Q183" s="85"/>
    </row>
    <row r="184" spans="1:17" s="56" customFormat="1">
      <c r="A184" s="71">
        <v>30620</v>
      </c>
      <c r="B184" s="85"/>
      <c r="C184" s="85">
        <v>10.244</v>
      </c>
      <c r="D184" s="85"/>
      <c r="E184" s="85">
        <v>10.94</v>
      </c>
      <c r="F184" s="85"/>
      <c r="G184" s="85"/>
      <c r="H184" s="85"/>
      <c r="I184" s="85"/>
      <c r="J184" s="85"/>
      <c r="K184" s="85"/>
      <c r="L184" s="85"/>
      <c r="M184" s="87"/>
      <c r="N184" s="85"/>
      <c r="O184" s="85"/>
      <c r="P184" s="85"/>
      <c r="Q184" s="85"/>
    </row>
    <row r="185" spans="1:17" s="56" customFormat="1">
      <c r="A185" s="71">
        <v>30650</v>
      </c>
      <c r="B185" s="85"/>
      <c r="C185" s="85">
        <v>9.9659999999999993</v>
      </c>
      <c r="D185" s="85"/>
      <c r="E185" s="85">
        <v>10.55</v>
      </c>
      <c r="F185" s="85"/>
      <c r="G185" s="85"/>
      <c r="H185" s="85"/>
      <c r="I185" s="85"/>
      <c r="J185" s="85"/>
      <c r="K185" s="85"/>
      <c r="L185" s="85"/>
      <c r="M185" s="87"/>
      <c r="N185" s="85"/>
      <c r="O185" s="85"/>
      <c r="P185" s="85"/>
      <c r="Q185" s="85"/>
    </row>
    <row r="186" spans="1:17" s="56" customFormat="1">
      <c r="A186" s="71">
        <v>30681</v>
      </c>
      <c r="B186" s="85"/>
      <c r="C186" s="85">
        <v>4.7560000000000002</v>
      </c>
      <c r="D186" s="85"/>
      <c r="E186" s="85">
        <v>8.89</v>
      </c>
      <c r="F186" s="85"/>
      <c r="G186" s="85"/>
      <c r="H186" s="85"/>
      <c r="I186" s="85"/>
      <c r="J186" s="85"/>
      <c r="K186" s="85"/>
      <c r="L186" s="85"/>
      <c r="M186" s="87"/>
      <c r="N186" s="85"/>
      <c r="O186" s="85"/>
      <c r="P186" s="85"/>
      <c r="Q186" s="85"/>
    </row>
    <row r="187" spans="1:17" s="56" customFormat="1">
      <c r="A187" s="71">
        <v>30712</v>
      </c>
      <c r="B187" s="85"/>
      <c r="C187" s="85">
        <v>9.1310000000000002</v>
      </c>
      <c r="D187" s="85"/>
      <c r="E187" s="85">
        <v>9.76</v>
      </c>
      <c r="F187" s="85"/>
      <c r="G187" s="85"/>
      <c r="H187" s="85"/>
      <c r="I187" s="85"/>
      <c r="J187" s="85"/>
      <c r="K187" s="85"/>
      <c r="L187" s="85"/>
      <c r="M187" s="87"/>
      <c r="N187" s="85"/>
      <c r="O187" s="85"/>
      <c r="P187" s="85"/>
      <c r="Q187" s="85"/>
    </row>
    <row r="188" spans="1:17" s="56" customFormat="1">
      <c r="A188" s="71">
        <v>30741</v>
      </c>
      <c r="B188" s="85"/>
      <c r="C188" s="85">
        <v>9.7789999999999999</v>
      </c>
      <c r="D188" s="85"/>
      <c r="E188" s="85">
        <v>12.04</v>
      </c>
      <c r="F188" s="85"/>
      <c r="G188" s="85"/>
      <c r="H188" s="85"/>
      <c r="I188" s="85"/>
      <c r="J188" s="85"/>
      <c r="K188" s="85"/>
      <c r="L188" s="85"/>
      <c r="M188" s="87"/>
      <c r="N188" s="85"/>
      <c r="O188" s="85"/>
      <c r="P188" s="85"/>
      <c r="Q188" s="85"/>
    </row>
    <row r="189" spans="1:17" s="56" customFormat="1">
      <c r="A189" s="71">
        <v>30772</v>
      </c>
      <c r="B189" s="85"/>
      <c r="C189" s="85">
        <v>12.551</v>
      </c>
      <c r="D189" s="85"/>
      <c r="E189" s="85">
        <v>13.77</v>
      </c>
      <c r="F189" s="85"/>
      <c r="G189" s="85"/>
      <c r="H189" s="85"/>
      <c r="I189" s="85"/>
      <c r="J189" s="85"/>
      <c r="K189" s="85"/>
      <c r="L189" s="85"/>
      <c r="M189" s="87"/>
      <c r="N189" s="85"/>
      <c r="O189" s="85"/>
      <c r="P189" s="85"/>
      <c r="Q189" s="85"/>
    </row>
    <row r="190" spans="1:17" s="56" customFormat="1">
      <c r="A190" s="71">
        <v>30802</v>
      </c>
      <c r="B190" s="85"/>
      <c r="C190" s="85">
        <v>15.147</v>
      </c>
      <c r="D190" s="85"/>
      <c r="E190" s="85">
        <v>13.88</v>
      </c>
      <c r="F190" s="85"/>
      <c r="G190" s="85"/>
      <c r="H190" s="85"/>
      <c r="I190" s="85"/>
      <c r="J190" s="85"/>
      <c r="K190" s="85"/>
      <c r="L190" s="85"/>
      <c r="M190" s="87"/>
      <c r="N190" s="85"/>
      <c r="O190" s="85"/>
      <c r="P190" s="85"/>
      <c r="Q190" s="85"/>
    </row>
    <row r="191" spans="1:17" s="56" customFormat="1">
      <c r="A191" s="71">
        <v>30833</v>
      </c>
      <c r="B191" s="85"/>
      <c r="C191" s="85">
        <v>14.076000000000001</v>
      </c>
      <c r="D191" s="85"/>
      <c r="E191" s="85">
        <v>13.78</v>
      </c>
      <c r="F191" s="85"/>
      <c r="G191" s="85"/>
      <c r="H191" s="85"/>
      <c r="I191" s="85"/>
      <c r="J191" s="85"/>
      <c r="K191" s="85"/>
      <c r="L191" s="85"/>
      <c r="M191" s="87"/>
      <c r="N191" s="85"/>
      <c r="O191" s="85"/>
      <c r="P191" s="85"/>
      <c r="Q191" s="85"/>
    </row>
    <row r="192" spans="1:17" s="56" customFormat="1">
      <c r="A192" s="71">
        <v>30863</v>
      </c>
      <c r="B192" s="85"/>
      <c r="C192" s="85">
        <v>12.333</v>
      </c>
      <c r="D192" s="85"/>
      <c r="E192" s="85">
        <v>12.81</v>
      </c>
      <c r="F192" s="85"/>
      <c r="G192" s="85"/>
      <c r="H192" s="85"/>
      <c r="I192" s="85"/>
      <c r="J192" s="85"/>
      <c r="K192" s="85"/>
      <c r="L192" s="85"/>
      <c r="M192" s="87"/>
      <c r="N192" s="85"/>
      <c r="O192" s="85"/>
      <c r="P192" s="85"/>
      <c r="Q192" s="85"/>
    </row>
    <row r="193" spans="1:17" s="56" customFormat="1">
      <c r="A193" s="71">
        <v>30894</v>
      </c>
      <c r="B193" s="85"/>
      <c r="C193" s="85">
        <v>12.193</v>
      </c>
      <c r="D193" s="85"/>
      <c r="E193" s="85">
        <v>12.3</v>
      </c>
      <c r="F193" s="85"/>
      <c r="G193" s="85"/>
      <c r="H193" s="85"/>
      <c r="I193" s="85"/>
      <c r="J193" s="85"/>
      <c r="K193" s="85"/>
      <c r="L193" s="85"/>
      <c r="M193" s="87"/>
      <c r="N193" s="85"/>
      <c r="O193" s="85"/>
      <c r="P193" s="85"/>
      <c r="Q193" s="85"/>
    </row>
    <row r="194" spans="1:17" s="56" customFormat="1">
      <c r="A194" s="71">
        <v>30925</v>
      </c>
      <c r="B194" s="85"/>
      <c r="C194" s="85">
        <v>11.614000000000001</v>
      </c>
      <c r="D194" s="85"/>
      <c r="E194" s="85">
        <v>11.56</v>
      </c>
      <c r="F194" s="85"/>
      <c r="G194" s="85"/>
      <c r="H194" s="85"/>
      <c r="I194" s="85"/>
      <c r="J194" s="85"/>
      <c r="K194" s="85"/>
      <c r="L194" s="85"/>
      <c r="M194" s="87"/>
      <c r="N194" s="85"/>
      <c r="O194" s="85"/>
      <c r="P194" s="85"/>
      <c r="Q194" s="85"/>
    </row>
    <row r="195" spans="1:17" s="56" customFormat="1">
      <c r="A195" s="71">
        <v>30955</v>
      </c>
      <c r="B195" s="85"/>
      <c r="C195" s="85">
        <v>11.069000000000001</v>
      </c>
      <c r="D195" s="85"/>
      <c r="E195" s="85">
        <v>10.53</v>
      </c>
      <c r="F195" s="85"/>
      <c r="G195" s="85"/>
      <c r="H195" s="85"/>
      <c r="I195" s="85"/>
      <c r="J195" s="85"/>
      <c r="K195" s="85"/>
      <c r="L195" s="85"/>
      <c r="M195" s="87"/>
      <c r="N195" s="85"/>
      <c r="O195" s="85"/>
      <c r="P195" s="85"/>
      <c r="Q195" s="85"/>
    </row>
    <row r="196" spans="1:17" s="56" customFormat="1">
      <c r="A196" s="71">
        <v>30986</v>
      </c>
      <c r="B196" s="85"/>
      <c r="C196" s="85">
        <v>11.141</v>
      </c>
      <c r="D196" s="85"/>
      <c r="E196" s="85">
        <v>11.17</v>
      </c>
      <c r="F196" s="85"/>
      <c r="G196" s="85"/>
      <c r="H196" s="85"/>
      <c r="I196" s="85"/>
      <c r="J196" s="85"/>
      <c r="K196" s="85"/>
      <c r="L196" s="85"/>
      <c r="M196" s="87"/>
      <c r="N196" s="85"/>
      <c r="O196" s="85"/>
      <c r="P196" s="85"/>
      <c r="Q196" s="85"/>
    </row>
    <row r="197" spans="1:17" s="56" customFormat="1">
      <c r="A197" s="71">
        <v>31016</v>
      </c>
      <c r="B197" s="85"/>
      <c r="C197" s="85">
        <v>11.522</v>
      </c>
      <c r="D197" s="85"/>
      <c r="E197" s="85">
        <v>11.26</v>
      </c>
      <c r="F197" s="85"/>
      <c r="G197" s="85"/>
      <c r="H197" s="85"/>
      <c r="I197" s="85"/>
      <c r="J197" s="85"/>
      <c r="K197" s="85"/>
      <c r="L197" s="85"/>
      <c r="M197" s="87"/>
      <c r="N197" s="85"/>
      <c r="O197" s="85"/>
      <c r="P197" s="85"/>
      <c r="Q197" s="85"/>
    </row>
    <row r="198" spans="1:17" s="56" customFormat="1">
      <c r="A198" s="71">
        <v>31047</v>
      </c>
      <c r="B198" s="85"/>
      <c r="C198" s="85">
        <v>12.007</v>
      </c>
      <c r="D198" s="85"/>
      <c r="E198" s="85">
        <v>12.34</v>
      </c>
      <c r="F198" s="85"/>
      <c r="G198" s="85"/>
      <c r="H198" s="85"/>
      <c r="I198" s="85"/>
      <c r="J198" s="85"/>
      <c r="K198" s="85"/>
      <c r="L198" s="85"/>
      <c r="M198" s="87"/>
      <c r="N198" s="85"/>
      <c r="O198" s="85"/>
      <c r="P198" s="85"/>
      <c r="Q198" s="85"/>
    </row>
    <row r="199" spans="1:17" s="56" customFormat="1">
      <c r="A199" s="71">
        <v>31078</v>
      </c>
      <c r="B199" s="85"/>
      <c r="C199" s="85">
        <v>11.268000000000001</v>
      </c>
      <c r="D199" s="85"/>
      <c r="E199" s="85">
        <v>13.35</v>
      </c>
      <c r="F199" s="85"/>
      <c r="G199" s="85"/>
      <c r="H199" s="85"/>
      <c r="I199" s="85"/>
      <c r="J199" s="85"/>
      <c r="K199" s="85"/>
      <c r="L199" s="85"/>
      <c r="M199" s="87"/>
      <c r="N199" s="85"/>
      <c r="O199" s="85"/>
      <c r="P199" s="85"/>
      <c r="Q199" s="85"/>
    </row>
    <row r="200" spans="1:17" s="56" customFormat="1">
      <c r="A200" s="71">
        <v>31106</v>
      </c>
      <c r="B200" s="85"/>
      <c r="C200" s="85">
        <v>11.644</v>
      </c>
      <c r="D200" s="85"/>
      <c r="E200" s="85">
        <v>13.81</v>
      </c>
      <c r="F200" s="85"/>
      <c r="G200" s="85"/>
      <c r="H200" s="85"/>
      <c r="I200" s="85"/>
      <c r="J200" s="85"/>
      <c r="K200" s="85"/>
      <c r="L200" s="85"/>
      <c r="M200" s="87"/>
      <c r="N200" s="85"/>
      <c r="O200" s="85"/>
      <c r="P200" s="85"/>
      <c r="Q200" s="85"/>
    </row>
    <row r="201" spans="1:17" s="56" customFormat="1">
      <c r="A201" s="71">
        <v>31137</v>
      </c>
      <c r="B201" s="85"/>
      <c r="C201" s="85">
        <v>13.97</v>
      </c>
      <c r="D201" s="85"/>
      <c r="E201" s="85">
        <v>15.29</v>
      </c>
      <c r="F201" s="85"/>
      <c r="G201" s="85"/>
      <c r="H201" s="85"/>
      <c r="I201" s="85"/>
      <c r="J201" s="85"/>
      <c r="K201" s="85"/>
      <c r="L201" s="85"/>
      <c r="M201" s="87"/>
      <c r="N201" s="85"/>
      <c r="O201" s="85"/>
      <c r="P201" s="85"/>
      <c r="Q201" s="85"/>
    </row>
    <row r="202" spans="1:17" s="56" customFormat="1">
      <c r="A202" s="71">
        <v>31167</v>
      </c>
      <c r="B202" s="85"/>
      <c r="C202" s="85">
        <v>15.395</v>
      </c>
      <c r="D202" s="85"/>
      <c r="E202" s="85">
        <v>15.79</v>
      </c>
      <c r="F202" s="85"/>
      <c r="G202" s="85"/>
      <c r="H202" s="85"/>
      <c r="I202" s="85"/>
      <c r="J202" s="85"/>
      <c r="K202" s="85"/>
      <c r="L202" s="85"/>
      <c r="M202" s="87"/>
      <c r="N202" s="85"/>
      <c r="O202" s="85"/>
      <c r="P202" s="85"/>
      <c r="Q202" s="85"/>
    </row>
    <row r="203" spans="1:17" s="56" customFormat="1">
      <c r="A203" s="71">
        <v>31198</v>
      </c>
      <c r="B203" s="85"/>
      <c r="C203" s="85">
        <v>15.837</v>
      </c>
      <c r="D203" s="85"/>
      <c r="E203" s="85">
        <v>15.53</v>
      </c>
      <c r="F203" s="85"/>
      <c r="G203" s="85"/>
      <c r="H203" s="85"/>
      <c r="I203" s="85"/>
      <c r="J203" s="85"/>
      <c r="K203" s="85"/>
      <c r="L203" s="85"/>
      <c r="M203" s="87"/>
      <c r="N203" s="85"/>
      <c r="O203" s="85"/>
      <c r="P203" s="85"/>
      <c r="Q203" s="85"/>
    </row>
    <row r="204" spans="1:17" s="56" customFormat="1">
      <c r="A204" s="71">
        <v>31228</v>
      </c>
      <c r="B204" s="85"/>
      <c r="C204" s="85">
        <v>18.919</v>
      </c>
      <c r="D204" s="85"/>
      <c r="E204" s="85">
        <v>15.75</v>
      </c>
      <c r="F204" s="85"/>
      <c r="G204" s="85"/>
      <c r="H204" s="85"/>
      <c r="I204" s="85"/>
      <c r="J204" s="85"/>
      <c r="K204" s="85"/>
      <c r="L204" s="85"/>
      <c r="M204" s="87"/>
      <c r="N204" s="85"/>
      <c r="O204" s="85"/>
      <c r="P204" s="85"/>
      <c r="Q204" s="85"/>
    </row>
    <row r="205" spans="1:17" s="56" customFormat="1">
      <c r="A205" s="71">
        <v>31259</v>
      </c>
      <c r="B205" s="85"/>
      <c r="C205" s="85">
        <v>15.475</v>
      </c>
      <c r="D205" s="85"/>
      <c r="E205" s="85">
        <v>15.14</v>
      </c>
      <c r="F205" s="85"/>
      <c r="G205" s="85"/>
      <c r="H205" s="85"/>
      <c r="I205" s="85"/>
      <c r="J205" s="85"/>
      <c r="K205" s="85"/>
      <c r="L205" s="85"/>
      <c r="M205" s="87"/>
      <c r="N205" s="85"/>
      <c r="O205" s="85"/>
      <c r="P205" s="85"/>
      <c r="Q205" s="85"/>
    </row>
    <row r="206" spans="1:17" s="56" customFormat="1">
      <c r="A206" s="71">
        <v>31290</v>
      </c>
      <c r="B206" s="85"/>
      <c r="C206" s="85">
        <v>16.5</v>
      </c>
      <c r="D206" s="85"/>
      <c r="E206" s="85">
        <v>16.25</v>
      </c>
      <c r="F206" s="85"/>
      <c r="G206" s="85"/>
      <c r="H206" s="85"/>
      <c r="I206" s="85"/>
      <c r="J206" s="85"/>
      <c r="K206" s="85"/>
      <c r="L206" s="85"/>
      <c r="M206" s="87"/>
      <c r="N206" s="85"/>
      <c r="O206" s="85"/>
      <c r="P206" s="85"/>
      <c r="Q206" s="85"/>
    </row>
    <row r="207" spans="1:17" s="56" customFormat="1">
      <c r="A207" s="71">
        <v>31320</v>
      </c>
      <c r="B207" s="85"/>
      <c r="C207" s="85">
        <v>16.411000000000001</v>
      </c>
      <c r="D207" s="85"/>
      <c r="E207" s="85">
        <v>16.78</v>
      </c>
      <c r="F207" s="85"/>
      <c r="G207" s="85"/>
      <c r="H207" s="85"/>
      <c r="I207" s="85"/>
      <c r="J207" s="85"/>
      <c r="K207" s="85"/>
      <c r="L207" s="85"/>
      <c r="M207" s="87"/>
      <c r="N207" s="85"/>
      <c r="O207" s="85"/>
      <c r="P207" s="85"/>
      <c r="Q207" s="85"/>
    </row>
    <row r="208" spans="1:17" s="56" customFormat="1">
      <c r="A208" s="71">
        <v>31351</v>
      </c>
      <c r="B208" s="85"/>
      <c r="C208" s="85">
        <v>16.087</v>
      </c>
      <c r="D208" s="85"/>
      <c r="E208" s="85">
        <v>16.36</v>
      </c>
      <c r="F208" s="85"/>
      <c r="G208" s="85"/>
      <c r="H208" s="85"/>
      <c r="I208" s="85"/>
      <c r="J208" s="85"/>
      <c r="K208" s="85"/>
      <c r="L208" s="85"/>
      <c r="M208" s="87"/>
      <c r="N208" s="85"/>
      <c r="O208" s="85"/>
      <c r="P208" s="85"/>
      <c r="Q208" s="85"/>
    </row>
    <row r="209" spans="1:17" s="56" customFormat="1">
      <c r="A209" s="71">
        <v>31381</v>
      </c>
      <c r="B209" s="85"/>
      <c r="C209" s="85">
        <v>18.119</v>
      </c>
      <c r="D209" s="85"/>
      <c r="E209" s="85">
        <v>18.18</v>
      </c>
      <c r="F209" s="85"/>
      <c r="G209" s="85"/>
      <c r="H209" s="85"/>
      <c r="I209" s="85"/>
      <c r="J209" s="85"/>
      <c r="K209" s="85"/>
      <c r="L209" s="85"/>
      <c r="M209" s="87"/>
      <c r="N209" s="85"/>
      <c r="O209" s="85"/>
      <c r="P209" s="85"/>
      <c r="Q209" s="85"/>
    </row>
    <row r="210" spans="1:17" s="56" customFormat="1">
      <c r="A210" s="71">
        <v>31412</v>
      </c>
      <c r="B210" s="85"/>
      <c r="C210" s="85">
        <v>19.393999999999998</v>
      </c>
      <c r="D210" s="85"/>
      <c r="E210" s="85">
        <v>19.559999999999999</v>
      </c>
      <c r="F210" s="85"/>
      <c r="G210" s="85"/>
      <c r="H210" s="85"/>
      <c r="I210" s="85"/>
      <c r="J210" s="85"/>
      <c r="K210" s="85"/>
      <c r="L210" s="85"/>
      <c r="M210" s="87"/>
      <c r="N210" s="85"/>
      <c r="O210" s="85"/>
      <c r="P210" s="85"/>
      <c r="Q210" s="85"/>
    </row>
    <row r="211" spans="1:17" s="56" customFormat="1">
      <c r="A211" s="71">
        <v>31443</v>
      </c>
      <c r="B211" s="85"/>
      <c r="C211" s="85">
        <v>18.905000000000001</v>
      </c>
      <c r="D211" s="85"/>
      <c r="E211" s="85">
        <v>18.97</v>
      </c>
      <c r="F211" s="85"/>
      <c r="G211" s="85"/>
      <c r="H211" s="85"/>
      <c r="I211" s="85"/>
      <c r="J211" s="85"/>
      <c r="K211" s="85"/>
      <c r="L211" s="85"/>
      <c r="M211" s="87"/>
      <c r="N211" s="85"/>
      <c r="O211" s="85"/>
      <c r="P211" s="85"/>
      <c r="Q211" s="85"/>
    </row>
    <row r="212" spans="1:17" s="56" customFormat="1">
      <c r="A212" s="71">
        <v>31471</v>
      </c>
      <c r="B212" s="85"/>
      <c r="C212" s="85">
        <v>18.581</v>
      </c>
      <c r="D212" s="85"/>
      <c r="E212" s="85">
        <v>18.29</v>
      </c>
      <c r="F212" s="85"/>
      <c r="G212" s="85"/>
      <c r="H212" s="85"/>
      <c r="I212" s="85"/>
      <c r="J212" s="85"/>
      <c r="K212" s="85"/>
      <c r="L212" s="85"/>
      <c r="M212" s="87"/>
      <c r="N212" s="85"/>
      <c r="O212" s="85"/>
      <c r="P212" s="85"/>
      <c r="Q212" s="85"/>
    </row>
    <row r="213" spans="1:17" s="56" customFormat="1">
      <c r="A213" s="71">
        <v>31502</v>
      </c>
      <c r="B213" s="85"/>
      <c r="C213" s="85">
        <v>17.289000000000001</v>
      </c>
      <c r="D213" s="85"/>
      <c r="E213" s="85">
        <v>16.440000000000001</v>
      </c>
      <c r="F213" s="85"/>
      <c r="G213" s="85"/>
      <c r="H213" s="85"/>
      <c r="I213" s="85"/>
      <c r="J213" s="85"/>
      <c r="K213" s="85"/>
      <c r="L213" s="85"/>
      <c r="M213" s="87"/>
      <c r="N213" s="85"/>
      <c r="O213" s="85"/>
      <c r="P213" s="85"/>
      <c r="Q213" s="85"/>
    </row>
    <row r="214" spans="1:17" s="56" customFormat="1">
      <c r="A214" s="71">
        <v>31532</v>
      </c>
      <c r="B214" s="85"/>
      <c r="C214" s="85">
        <v>17.149000000000001</v>
      </c>
      <c r="D214" s="85"/>
      <c r="E214" s="85">
        <v>15.76</v>
      </c>
      <c r="F214" s="85"/>
      <c r="G214" s="85"/>
      <c r="H214" s="85"/>
      <c r="I214" s="85"/>
      <c r="J214" s="85"/>
      <c r="K214" s="85"/>
      <c r="L214" s="85"/>
      <c r="M214" s="87"/>
      <c r="N214" s="85"/>
      <c r="O214" s="85"/>
      <c r="P214" s="85"/>
      <c r="Q214" s="85"/>
    </row>
    <row r="215" spans="1:17" s="56" customFormat="1">
      <c r="A215" s="71">
        <v>31563</v>
      </c>
      <c r="B215" s="85"/>
      <c r="C215" s="85">
        <v>15.108000000000001</v>
      </c>
      <c r="D215" s="85"/>
      <c r="E215" s="85">
        <v>14.73</v>
      </c>
      <c r="F215" s="85"/>
      <c r="G215" s="85"/>
      <c r="H215" s="85"/>
      <c r="I215" s="85"/>
      <c r="J215" s="85"/>
      <c r="K215" s="85"/>
      <c r="L215" s="85"/>
      <c r="M215" s="87"/>
      <c r="N215" s="85"/>
      <c r="O215" s="85"/>
      <c r="P215" s="85"/>
      <c r="Q215" s="85"/>
    </row>
    <row r="216" spans="1:17" s="56" customFormat="1">
      <c r="A216" s="71">
        <v>31593</v>
      </c>
      <c r="B216" s="85"/>
      <c r="C216" s="85">
        <v>15.435</v>
      </c>
      <c r="D216" s="85"/>
      <c r="E216" s="85">
        <v>14.68</v>
      </c>
      <c r="F216" s="85"/>
      <c r="G216" s="85"/>
      <c r="H216" s="85"/>
      <c r="I216" s="85"/>
      <c r="J216" s="85"/>
      <c r="K216" s="85"/>
      <c r="L216" s="85"/>
      <c r="M216" s="87"/>
      <c r="N216" s="85"/>
      <c r="O216" s="85"/>
      <c r="P216" s="85"/>
      <c r="Q216" s="85"/>
    </row>
    <row r="217" spans="1:17" s="56" customFormat="1">
      <c r="A217" s="71">
        <v>31624</v>
      </c>
      <c r="B217" s="85"/>
      <c r="C217" s="85">
        <v>14.712</v>
      </c>
      <c r="D217" s="85"/>
      <c r="E217" s="85">
        <v>14.85</v>
      </c>
      <c r="F217" s="85"/>
      <c r="G217" s="85"/>
      <c r="H217" s="85"/>
      <c r="I217" s="85"/>
      <c r="J217" s="85"/>
      <c r="K217" s="85"/>
      <c r="L217" s="85"/>
      <c r="M217" s="87"/>
      <c r="N217" s="85"/>
      <c r="O217" s="85"/>
      <c r="P217" s="85"/>
      <c r="Q217" s="85"/>
    </row>
    <row r="218" spans="1:17" s="56" customFormat="1">
      <c r="A218" s="71">
        <v>31655</v>
      </c>
      <c r="B218" s="85"/>
      <c r="C218" s="85">
        <v>17.78</v>
      </c>
      <c r="D218" s="85"/>
      <c r="E218" s="85">
        <v>17.37</v>
      </c>
      <c r="F218" s="85"/>
      <c r="G218" s="85"/>
      <c r="H218" s="85"/>
      <c r="I218" s="85"/>
      <c r="J218" s="85"/>
      <c r="K218" s="85"/>
      <c r="L218" s="85"/>
      <c r="M218" s="87"/>
      <c r="N218" s="85"/>
      <c r="O218" s="85"/>
      <c r="P218" s="85"/>
      <c r="Q218" s="85"/>
    </row>
    <row r="219" spans="1:17" s="56" customFormat="1">
      <c r="A219" s="71">
        <v>31685</v>
      </c>
      <c r="B219" s="85"/>
      <c r="C219" s="85">
        <v>17.698</v>
      </c>
      <c r="D219" s="85"/>
      <c r="E219" s="85">
        <v>18.079999999999998</v>
      </c>
      <c r="F219" s="85"/>
      <c r="G219" s="85"/>
      <c r="H219" s="85"/>
      <c r="I219" s="85"/>
      <c r="J219" s="85"/>
      <c r="K219" s="85"/>
      <c r="L219" s="85"/>
      <c r="M219" s="87"/>
      <c r="N219" s="85"/>
      <c r="O219" s="85"/>
      <c r="P219" s="85"/>
      <c r="Q219" s="85"/>
    </row>
    <row r="220" spans="1:17" s="56" customFormat="1">
      <c r="A220" s="71">
        <v>31716</v>
      </c>
      <c r="B220" s="85"/>
      <c r="C220" s="85">
        <v>16.641999999999999</v>
      </c>
      <c r="D220" s="85"/>
      <c r="E220" s="85">
        <v>16.82</v>
      </c>
      <c r="F220" s="85"/>
      <c r="G220" s="85"/>
      <c r="H220" s="85"/>
      <c r="I220" s="85"/>
      <c r="J220" s="85"/>
      <c r="K220" s="85"/>
      <c r="L220" s="85"/>
      <c r="M220" s="87"/>
      <c r="N220" s="85"/>
      <c r="O220" s="85"/>
      <c r="P220" s="85"/>
      <c r="Q220" s="85"/>
    </row>
    <row r="221" spans="1:17" s="56" customFormat="1">
      <c r="A221" s="71">
        <v>31746</v>
      </c>
      <c r="B221" s="85"/>
      <c r="C221" s="85">
        <v>16.350999999999999</v>
      </c>
      <c r="D221" s="85"/>
      <c r="E221" s="85">
        <v>15.9</v>
      </c>
      <c r="F221" s="85"/>
      <c r="G221" s="85"/>
      <c r="H221" s="85"/>
      <c r="I221" s="85"/>
      <c r="J221" s="85"/>
      <c r="K221" s="85"/>
      <c r="L221" s="85"/>
      <c r="M221" s="87"/>
      <c r="N221" s="85"/>
      <c r="O221" s="85"/>
      <c r="P221" s="85"/>
      <c r="Q221" s="85"/>
    </row>
    <row r="222" spans="1:17" s="56" customFormat="1">
      <c r="A222" s="71">
        <v>31777</v>
      </c>
      <c r="B222" s="85"/>
      <c r="C222" s="85">
        <v>15.500999999999999</v>
      </c>
      <c r="D222" s="85"/>
      <c r="E222" s="85">
        <v>15.53</v>
      </c>
      <c r="F222" s="85"/>
      <c r="G222" s="85"/>
      <c r="H222" s="85"/>
      <c r="I222" s="85"/>
      <c r="J222" s="85"/>
      <c r="K222" s="85"/>
      <c r="L222" s="85"/>
      <c r="M222" s="87"/>
      <c r="N222" s="85"/>
      <c r="O222" s="85"/>
      <c r="P222" s="85"/>
      <c r="Q222" s="85"/>
    </row>
    <row r="223" spans="1:17" s="56" customFormat="1">
      <c r="A223" s="71">
        <v>31808</v>
      </c>
      <c r="B223" s="85"/>
      <c r="C223" s="85">
        <v>16.62</v>
      </c>
      <c r="D223" s="85"/>
      <c r="E223" s="85">
        <v>15.86</v>
      </c>
      <c r="F223" s="85"/>
      <c r="G223" s="85"/>
      <c r="H223" s="85"/>
      <c r="I223" s="85"/>
      <c r="J223" s="85"/>
      <c r="K223" s="85"/>
      <c r="L223" s="85"/>
      <c r="M223" s="87"/>
      <c r="N223" s="85"/>
      <c r="O223" s="85"/>
      <c r="P223" s="85"/>
      <c r="Q223" s="85"/>
    </row>
    <row r="224" spans="1:17" s="56" customFormat="1">
      <c r="A224" s="71">
        <v>31836</v>
      </c>
      <c r="B224" s="85"/>
      <c r="C224" s="85">
        <v>16.431000000000001</v>
      </c>
      <c r="D224" s="85"/>
      <c r="E224" s="85">
        <v>16.7</v>
      </c>
      <c r="F224" s="85"/>
      <c r="G224" s="85"/>
      <c r="H224" s="85"/>
      <c r="I224" s="85"/>
      <c r="J224" s="85"/>
      <c r="K224" s="85"/>
      <c r="L224" s="85"/>
      <c r="M224" s="87"/>
      <c r="N224" s="85"/>
      <c r="O224" s="85"/>
      <c r="P224" s="85"/>
      <c r="Q224" s="85"/>
    </row>
    <row r="225" spans="1:17" s="56" customFormat="1">
      <c r="A225" s="71">
        <v>31867</v>
      </c>
      <c r="B225" s="85"/>
      <c r="C225" s="85">
        <v>16.225999999999999</v>
      </c>
      <c r="D225" s="85"/>
      <c r="E225" s="85">
        <v>16.41</v>
      </c>
      <c r="F225" s="85"/>
      <c r="G225" s="85"/>
      <c r="H225" s="85"/>
      <c r="I225" s="85"/>
      <c r="J225" s="85"/>
      <c r="K225" s="85"/>
      <c r="L225" s="85"/>
      <c r="M225" s="87"/>
      <c r="N225" s="85"/>
      <c r="O225" s="85"/>
      <c r="P225" s="85"/>
      <c r="Q225" s="85"/>
    </row>
    <row r="226" spans="1:17" s="56" customFormat="1">
      <c r="A226" s="71">
        <v>31897</v>
      </c>
      <c r="B226" s="85"/>
      <c r="C226" s="85">
        <v>14.8</v>
      </c>
      <c r="D226" s="85"/>
      <c r="E226" s="85">
        <v>15.08</v>
      </c>
      <c r="F226" s="85"/>
      <c r="G226" s="85"/>
      <c r="H226" s="85"/>
      <c r="I226" s="85"/>
      <c r="J226" s="85"/>
      <c r="K226" s="85"/>
      <c r="L226" s="85"/>
      <c r="M226" s="87"/>
      <c r="N226" s="85"/>
      <c r="O226" s="85"/>
      <c r="P226" s="85"/>
      <c r="Q226" s="85"/>
    </row>
    <row r="227" spans="1:17" s="56" customFormat="1">
      <c r="A227" s="71">
        <v>31928</v>
      </c>
      <c r="B227" s="85"/>
      <c r="C227" s="85">
        <v>14.263</v>
      </c>
      <c r="D227" s="85"/>
      <c r="E227" s="85">
        <v>14.14</v>
      </c>
      <c r="F227" s="85"/>
      <c r="G227" s="85"/>
      <c r="H227" s="85"/>
      <c r="I227" s="85"/>
      <c r="J227" s="85"/>
      <c r="K227" s="85"/>
      <c r="L227" s="85"/>
      <c r="M227" s="87"/>
      <c r="N227" s="85"/>
      <c r="O227" s="85"/>
      <c r="P227" s="85"/>
      <c r="Q227" s="85"/>
    </row>
    <row r="228" spans="1:17" s="56" customFormat="1">
      <c r="A228" s="71">
        <v>31958</v>
      </c>
      <c r="B228" s="85"/>
      <c r="C228" s="85">
        <v>13.185</v>
      </c>
      <c r="D228" s="85"/>
      <c r="E228" s="85">
        <v>13.68</v>
      </c>
      <c r="F228" s="85"/>
      <c r="G228" s="85"/>
      <c r="H228" s="85"/>
      <c r="I228" s="85"/>
      <c r="J228" s="85"/>
      <c r="K228" s="85"/>
      <c r="L228" s="85"/>
      <c r="M228" s="87"/>
      <c r="N228" s="85"/>
      <c r="O228" s="85"/>
      <c r="P228" s="85"/>
      <c r="Q228" s="85"/>
    </row>
    <row r="229" spans="1:17" s="56" customFormat="1">
      <c r="A229" s="71">
        <v>31989</v>
      </c>
      <c r="B229" s="85"/>
      <c r="C229" s="85">
        <v>12.427</v>
      </c>
      <c r="D229" s="85"/>
      <c r="E229" s="85">
        <v>12.99</v>
      </c>
      <c r="F229" s="85"/>
      <c r="G229" s="85"/>
      <c r="H229" s="85"/>
      <c r="I229" s="85"/>
      <c r="J229" s="85"/>
      <c r="K229" s="85"/>
      <c r="L229" s="85"/>
      <c r="M229" s="87"/>
      <c r="N229" s="85"/>
      <c r="O229" s="85"/>
      <c r="P229" s="85"/>
      <c r="Q229" s="85"/>
    </row>
    <row r="230" spans="1:17" s="56" customFormat="1">
      <c r="A230" s="71">
        <v>32020</v>
      </c>
      <c r="B230" s="85"/>
      <c r="C230" s="85">
        <v>12.163</v>
      </c>
      <c r="D230" s="85"/>
      <c r="E230" s="85">
        <v>12.54</v>
      </c>
      <c r="F230" s="85"/>
      <c r="G230" s="85"/>
      <c r="H230" s="85"/>
      <c r="I230" s="85"/>
      <c r="J230" s="85"/>
      <c r="K230" s="85"/>
      <c r="L230" s="85"/>
      <c r="M230" s="87"/>
      <c r="N230" s="85"/>
      <c r="O230" s="85"/>
      <c r="P230" s="85"/>
      <c r="Q230" s="85"/>
    </row>
    <row r="231" spans="1:17" s="56" customFormat="1">
      <c r="A231" s="71">
        <v>32050</v>
      </c>
      <c r="B231" s="85"/>
      <c r="C231" s="85">
        <v>11.802</v>
      </c>
      <c r="D231" s="85"/>
      <c r="E231" s="85">
        <v>11.7</v>
      </c>
      <c r="F231" s="85"/>
      <c r="G231" s="85"/>
      <c r="H231" s="85"/>
      <c r="I231" s="85"/>
      <c r="J231" s="85"/>
      <c r="K231" s="85"/>
      <c r="L231" s="85"/>
      <c r="M231" s="87"/>
      <c r="N231" s="85"/>
      <c r="O231" s="85"/>
      <c r="P231" s="85"/>
      <c r="Q231" s="85"/>
    </row>
    <row r="232" spans="1:17" s="56" customFormat="1">
      <c r="A232" s="71">
        <v>32081</v>
      </c>
      <c r="B232" s="85"/>
      <c r="C232" s="85">
        <v>11.303000000000001</v>
      </c>
      <c r="D232" s="85"/>
      <c r="E232" s="85">
        <v>11.99</v>
      </c>
      <c r="F232" s="85"/>
      <c r="G232" s="85"/>
      <c r="H232" s="85"/>
      <c r="I232" s="85"/>
      <c r="J232" s="85"/>
      <c r="K232" s="85"/>
      <c r="L232" s="85"/>
      <c r="M232" s="87"/>
      <c r="N232" s="85"/>
      <c r="O232" s="85"/>
      <c r="P232" s="85"/>
      <c r="Q232" s="85"/>
    </row>
    <row r="233" spans="1:17" s="56" customFormat="1">
      <c r="A233" s="71">
        <v>32111</v>
      </c>
      <c r="B233" s="85"/>
      <c r="C233" s="85">
        <v>11.692</v>
      </c>
      <c r="D233" s="85"/>
      <c r="E233" s="85">
        <v>12.45</v>
      </c>
      <c r="F233" s="85"/>
      <c r="G233" s="85"/>
      <c r="H233" s="85"/>
      <c r="I233" s="85"/>
      <c r="J233" s="85"/>
      <c r="K233" s="85"/>
      <c r="L233" s="85"/>
      <c r="M233" s="87"/>
      <c r="N233" s="85"/>
      <c r="O233" s="85"/>
      <c r="P233" s="85"/>
      <c r="Q233" s="85"/>
    </row>
    <row r="234" spans="1:17" s="56" customFormat="1">
      <c r="A234" s="71">
        <v>32142</v>
      </c>
      <c r="B234" s="85"/>
      <c r="C234" s="85">
        <v>11.302</v>
      </c>
      <c r="D234" s="85"/>
      <c r="E234" s="85">
        <v>11.46</v>
      </c>
      <c r="F234" s="85"/>
      <c r="G234" s="85"/>
      <c r="H234" s="85"/>
      <c r="I234" s="85"/>
      <c r="J234" s="85"/>
      <c r="K234" s="85"/>
      <c r="L234" s="85"/>
      <c r="M234" s="87"/>
      <c r="N234" s="85"/>
      <c r="O234" s="85"/>
      <c r="P234" s="85"/>
      <c r="Q234" s="85"/>
    </row>
    <row r="235" spans="1:17" s="56" customFormat="1">
      <c r="A235" s="71">
        <v>32173</v>
      </c>
      <c r="B235" s="85"/>
      <c r="C235" s="85">
        <v>10.618</v>
      </c>
      <c r="D235" s="85"/>
      <c r="E235" s="85">
        <v>11.05</v>
      </c>
      <c r="F235" s="85"/>
      <c r="G235" s="85"/>
      <c r="H235" s="85"/>
      <c r="I235" s="85"/>
      <c r="J235" s="85"/>
      <c r="K235" s="85"/>
      <c r="L235" s="85"/>
      <c r="M235" s="87"/>
      <c r="N235" s="85"/>
      <c r="O235" s="85"/>
      <c r="P235" s="85"/>
      <c r="Q235" s="85"/>
    </row>
    <row r="236" spans="1:17" s="56" customFormat="1">
      <c r="A236" s="71">
        <v>32202</v>
      </c>
      <c r="B236" s="85"/>
      <c r="C236" s="85">
        <v>10.661</v>
      </c>
      <c r="D236" s="85"/>
      <c r="E236" s="85">
        <v>10.95</v>
      </c>
      <c r="F236" s="85"/>
      <c r="G236" s="85"/>
      <c r="H236" s="85"/>
      <c r="I236" s="85"/>
      <c r="J236" s="85"/>
      <c r="K236" s="85"/>
      <c r="L236" s="85"/>
      <c r="M236" s="87"/>
      <c r="N236" s="85"/>
      <c r="O236" s="85"/>
      <c r="P236" s="85"/>
      <c r="Q236" s="85"/>
    </row>
    <row r="237" spans="1:17" s="56" customFormat="1">
      <c r="A237" s="71">
        <v>32233</v>
      </c>
      <c r="B237" s="85"/>
      <c r="C237" s="85">
        <v>10.867000000000001</v>
      </c>
      <c r="D237" s="85"/>
      <c r="E237" s="85">
        <v>10.95</v>
      </c>
      <c r="F237" s="85"/>
      <c r="G237" s="85"/>
      <c r="H237" s="85"/>
      <c r="I237" s="85"/>
      <c r="J237" s="85"/>
      <c r="K237" s="85"/>
      <c r="L237" s="85"/>
      <c r="M237" s="87"/>
      <c r="N237" s="85"/>
      <c r="O237" s="85"/>
      <c r="P237" s="85"/>
      <c r="Q237" s="85"/>
    </row>
    <row r="238" spans="1:17" s="56" customFormat="1">
      <c r="A238" s="71">
        <v>32263</v>
      </c>
      <c r="B238" s="85"/>
      <c r="C238" s="85">
        <v>11.301</v>
      </c>
      <c r="D238" s="85"/>
      <c r="E238" s="85">
        <v>11.39</v>
      </c>
      <c r="F238" s="85"/>
      <c r="G238" s="85"/>
      <c r="H238" s="85"/>
      <c r="I238" s="85"/>
      <c r="J238" s="85"/>
      <c r="K238" s="85"/>
      <c r="L238" s="85"/>
      <c r="M238" s="87"/>
      <c r="N238" s="85"/>
      <c r="O238" s="85"/>
      <c r="P238" s="85"/>
      <c r="Q238" s="85"/>
    </row>
    <row r="239" spans="1:17" s="56" customFormat="1">
      <c r="A239" s="71">
        <v>32294</v>
      </c>
      <c r="B239" s="85"/>
      <c r="C239" s="85">
        <v>12.574999999999999</v>
      </c>
      <c r="D239" s="85"/>
      <c r="E239" s="85">
        <v>12.28</v>
      </c>
      <c r="F239" s="85"/>
      <c r="G239" s="85"/>
      <c r="H239" s="85"/>
      <c r="I239" s="85"/>
      <c r="J239" s="85"/>
      <c r="K239" s="85"/>
      <c r="L239" s="85"/>
      <c r="M239" s="87"/>
      <c r="N239" s="85"/>
      <c r="O239" s="85"/>
      <c r="P239" s="85"/>
      <c r="Q239" s="85"/>
    </row>
    <row r="240" spans="1:17" s="56" customFormat="1">
      <c r="A240" s="71">
        <v>32324</v>
      </c>
      <c r="B240" s="85"/>
      <c r="C240" s="85">
        <v>13.074</v>
      </c>
      <c r="D240" s="85"/>
      <c r="E240" s="85">
        <v>13.1</v>
      </c>
      <c r="F240" s="85"/>
      <c r="G240" s="85"/>
      <c r="H240" s="85"/>
      <c r="I240" s="85"/>
      <c r="J240" s="85"/>
      <c r="K240" s="85"/>
      <c r="L240" s="85"/>
      <c r="M240" s="87"/>
      <c r="N240" s="85"/>
      <c r="O240" s="85"/>
      <c r="P240" s="85"/>
      <c r="Q240" s="85"/>
    </row>
    <row r="241" spans="1:17" s="56" customFormat="1">
      <c r="A241" s="71">
        <v>32355</v>
      </c>
      <c r="B241" s="85"/>
      <c r="C241" s="85">
        <v>12.711</v>
      </c>
      <c r="D241" s="85"/>
      <c r="E241" s="85">
        <v>13.08</v>
      </c>
      <c r="F241" s="85"/>
      <c r="G241" s="85"/>
      <c r="H241" s="85"/>
      <c r="I241" s="85"/>
      <c r="J241" s="85"/>
      <c r="K241" s="85"/>
      <c r="L241" s="85"/>
      <c r="M241" s="87"/>
      <c r="N241" s="85"/>
      <c r="O241" s="85"/>
      <c r="P241" s="85"/>
      <c r="Q241" s="85"/>
    </row>
    <row r="242" spans="1:17" s="56" customFormat="1">
      <c r="A242" s="71">
        <v>32386</v>
      </c>
      <c r="B242" s="85"/>
      <c r="C242" s="85">
        <v>12.914</v>
      </c>
      <c r="D242" s="85"/>
      <c r="E242" s="85">
        <v>13.32</v>
      </c>
      <c r="F242" s="85"/>
      <c r="G242" s="85"/>
      <c r="H242" s="85"/>
      <c r="I242" s="85"/>
      <c r="J242" s="85"/>
      <c r="K242" s="85"/>
      <c r="L242" s="85"/>
      <c r="M242" s="87"/>
      <c r="N242" s="85"/>
      <c r="O242" s="85"/>
      <c r="P242" s="85"/>
      <c r="Q242" s="85"/>
    </row>
    <row r="243" spans="1:17" s="56" customFormat="1">
      <c r="A243" s="71">
        <v>32416</v>
      </c>
      <c r="B243" s="85"/>
      <c r="C243" s="85">
        <v>13.067</v>
      </c>
      <c r="D243" s="85"/>
      <c r="E243" s="85">
        <v>13.64</v>
      </c>
      <c r="F243" s="85"/>
      <c r="G243" s="85"/>
      <c r="H243" s="85"/>
      <c r="I243" s="85"/>
      <c r="J243" s="85"/>
      <c r="K243" s="85"/>
      <c r="L243" s="85"/>
      <c r="M243" s="87"/>
      <c r="N243" s="85"/>
      <c r="O243" s="85"/>
      <c r="P243" s="85"/>
      <c r="Q243" s="85"/>
    </row>
    <row r="244" spans="1:17" s="56" customFormat="1">
      <c r="A244" s="71">
        <v>32447</v>
      </c>
      <c r="B244" s="85"/>
      <c r="C244" s="85">
        <v>13.413</v>
      </c>
      <c r="D244" s="85"/>
      <c r="E244" s="85">
        <v>14</v>
      </c>
      <c r="F244" s="85"/>
      <c r="G244" s="85"/>
      <c r="H244" s="85"/>
      <c r="I244" s="85"/>
      <c r="J244" s="85"/>
      <c r="K244" s="85"/>
      <c r="L244" s="85"/>
      <c r="M244" s="87"/>
      <c r="N244" s="85"/>
      <c r="O244" s="85"/>
      <c r="P244" s="85"/>
      <c r="Q244" s="85"/>
    </row>
    <row r="245" spans="1:17" s="56" customFormat="1">
      <c r="A245" s="71">
        <v>32477</v>
      </c>
      <c r="B245" s="85"/>
      <c r="C245" s="85">
        <v>14.327999999999999</v>
      </c>
      <c r="D245" s="85"/>
      <c r="E245" s="85">
        <v>14.73</v>
      </c>
      <c r="F245" s="85"/>
      <c r="G245" s="85"/>
      <c r="H245" s="85"/>
      <c r="I245" s="85"/>
      <c r="J245" s="85"/>
      <c r="K245" s="85"/>
      <c r="L245" s="85"/>
      <c r="M245" s="87"/>
      <c r="N245" s="85"/>
      <c r="O245" s="85"/>
      <c r="P245" s="85"/>
      <c r="Q245" s="85"/>
    </row>
    <row r="246" spans="1:17" s="56" customFormat="1">
      <c r="A246" s="71">
        <v>32508</v>
      </c>
      <c r="B246" s="85"/>
      <c r="C246" s="85">
        <v>14.589</v>
      </c>
      <c r="D246" s="85"/>
      <c r="E246" s="85">
        <v>15.11</v>
      </c>
      <c r="F246" s="85"/>
      <c r="G246" s="85"/>
      <c r="H246" s="85"/>
      <c r="I246" s="85"/>
      <c r="J246" s="85"/>
      <c r="K246" s="85"/>
      <c r="L246" s="85"/>
      <c r="M246" s="87"/>
      <c r="N246" s="85"/>
      <c r="O246" s="85"/>
      <c r="P246" s="85"/>
      <c r="Q246" s="85"/>
    </row>
    <row r="247" spans="1:17" s="56" customFormat="1">
      <c r="A247" s="71">
        <v>32539</v>
      </c>
      <c r="B247" s="85"/>
      <c r="C247" s="85">
        <v>14.82</v>
      </c>
      <c r="D247" s="85"/>
      <c r="E247" s="85">
        <v>15.56</v>
      </c>
      <c r="F247" s="85"/>
      <c r="G247" s="85"/>
      <c r="H247" s="85"/>
      <c r="I247" s="85"/>
      <c r="J247" s="85"/>
      <c r="K247" s="85"/>
      <c r="L247" s="85"/>
      <c r="M247" s="87"/>
      <c r="N247" s="85"/>
      <c r="O247" s="85"/>
      <c r="P247" s="85"/>
      <c r="Q247" s="85"/>
    </row>
    <row r="248" spans="1:17" s="56" customFormat="1">
      <c r="A248" s="71">
        <v>32567</v>
      </c>
      <c r="B248" s="85"/>
      <c r="C248" s="85">
        <v>15.766999999999999</v>
      </c>
      <c r="D248" s="85"/>
      <c r="E248" s="85">
        <v>16.54</v>
      </c>
      <c r="F248" s="85"/>
      <c r="G248" s="85"/>
      <c r="H248" s="85"/>
      <c r="I248" s="85"/>
      <c r="J248" s="85"/>
      <c r="K248" s="85"/>
      <c r="L248" s="85"/>
      <c r="M248" s="87"/>
      <c r="N248" s="85"/>
      <c r="O248" s="85"/>
      <c r="P248" s="85"/>
      <c r="Q248" s="85"/>
    </row>
    <row r="249" spans="1:17" s="56" customFormat="1">
      <c r="A249" s="71">
        <v>32598</v>
      </c>
      <c r="B249" s="85"/>
      <c r="C249" s="85">
        <v>16.507000000000001</v>
      </c>
      <c r="D249" s="85"/>
      <c r="E249" s="85">
        <v>17.25</v>
      </c>
      <c r="F249" s="85"/>
      <c r="G249" s="85"/>
      <c r="H249" s="85"/>
      <c r="I249" s="85"/>
      <c r="J249" s="85"/>
      <c r="K249" s="85"/>
      <c r="L249" s="85"/>
      <c r="M249" s="87"/>
      <c r="N249" s="85"/>
      <c r="O249" s="85"/>
      <c r="P249" s="85"/>
      <c r="Q249" s="85"/>
    </row>
    <row r="250" spans="1:17" s="56" customFormat="1">
      <c r="A250" s="71">
        <v>32628</v>
      </c>
      <c r="B250" s="85"/>
      <c r="C250" s="85">
        <v>16.710999999999999</v>
      </c>
      <c r="D250" s="85"/>
      <c r="E250" s="85">
        <v>17.46</v>
      </c>
      <c r="F250" s="85"/>
      <c r="G250" s="85"/>
      <c r="H250" s="85"/>
      <c r="I250" s="85"/>
      <c r="J250" s="85"/>
      <c r="K250" s="85"/>
      <c r="L250" s="85"/>
      <c r="M250" s="87"/>
      <c r="N250" s="85"/>
      <c r="O250" s="85"/>
      <c r="P250" s="85"/>
      <c r="Q250" s="85"/>
    </row>
    <row r="251" spans="1:17" s="56" customFormat="1">
      <c r="A251" s="71">
        <v>32659</v>
      </c>
      <c r="B251" s="85"/>
      <c r="C251" s="85">
        <v>17.291</v>
      </c>
      <c r="D251" s="85"/>
      <c r="E251" s="85">
        <v>17.52</v>
      </c>
      <c r="F251" s="85"/>
      <c r="G251" s="85"/>
      <c r="H251" s="85"/>
      <c r="I251" s="85"/>
      <c r="J251" s="85"/>
      <c r="K251" s="85"/>
      <c r="L251" s="85"/>
      <c r="M251" s="87"/>
      <c r="N251" s="85"/>
      <c r="O251" s="85"/>
      <c r="P251" s="85"/>
      <c r="Q251" s="85"/>
    </row>
    <row r="252" spans="1:17" s="56" customFormat="1">
      <c r="A252" s="71">
        <v>32689</v>
      </c>
      <c r="B252" s="85"/>
      <c r="C252" s="85">
        <v>17.728000000000002</v>
      </c>
      <c r="D252" s="85"/>
      <c r="E252" s="85">
        <v>18.37</v>
      </c>
      <c r="F252" s="85"/>
      <c r="G252" s="85"/>
      <c r="H252" s="85"/>
      <c r="I252" s="85"/>
      <c r="J252" s="85"/>
      <c r="K252" s="85"/>
      <c r="L252" s="85"/>
      <c r="M252" s="87"/>
      <c r="N252" s="85"/>
      <c r="O252" s="85"/>
      <c r="P252" s="85"/>
      <c r="Q252" s="85"/>
    </row>
    <row r="253" spans="1:17" s="56" customFormat="1">
      <c r="A253" s="71">
        <v>32720</v>
      </c>
      <c r="B253" s="85"/>
      <c r="C253" s="85">
        <v>17.920000000000002</v>
      </c>
      <c r="D253" s="85"/>
      <c r="E253" s="85">
        <v>18.059999999999999</v>
      </c>
      <c r="F253" s="85"/>
      <c r="G253" s="85"/>
      <c r="H253" s="85"/>
      <c r="I253" s="85"/>
      <c r="J253" s="85"/>
      <c r="K253" s="85"/>
      <c r="L253" s="85"/>
      <c r="M253" s="87"/>
      <c r="N253" s="85"/>
      <c r="O253" s="85"/>
      <c r="P253" s="85"/>
      <c r="Q253" s="85"/>
    </row>
    <row r="254" spans="1:17" s="56" customFormat="1">
      <c r="A254" s="71">
        <v>32751</v>
      </c>
      <c r="B254" s="85"/>
      <c r="C254" s="85">
        <v>17.86</v>
      </c>
      <c r="D254" s="85"/>
      <c r="E254" s="85">
        <v>17.96</v>
      </c>
      <c r="F254" s="85"/>
      <c r="G254" s="85"/>
      <c r="H254" s="85"/>
      <c r="I254" s="85"/>
      <c r="J254" s="85"/>
      <c r="K254" s="85"/>
      <c r="L254" s="85"/>
      <c r="M254" s="87"/>
      <c r="N254" s="85"/>
      <c r="O254" s="85"/>
      <c r="P254" s="85"/>
      <c r="Q254" s="85"/>
    </row>
    <row r="255" spans="1:17" s="56" customFormat="1">
      <c r="A255" s="71">
        <v>32781</v>
      </c>
      <c r="B255" s="85"/>
      <c r="C255" s="85">
        <v>18.062000000000001</v>
      </c>
      <c r="D255" s="85"/>
      <c r="E255" s="85">
        <v>18.12</v>
      </c>
      <c r="F255" s="85"/>
      <c r="G255" s="85"/>
      <c r="H255" s="85"/>
      <c r="I255" s="85"/>
      <c r="J255" s="85"/>
      <c r="K255" s="85"/>
      <c r="L255" s="85"/>
      <c r="M255" s="87"/>
      <c r="N255" s="85"/>
      <c r="O255" s="85"/>
      <c r="P255" s="85"/>
      <c r="Q255" s="85"/>
    </row>
    <row r="256" spans="1:17" s="56" customFormat="1">
      <c r="A256" s="71">
        <v>32812</v>
      </c>
      <c r="B256" s="85"/>
      <c r="C256" s="85">
        <v>18.045999999999999</v>
      </c>
      <c r="D256" s="85"/>
      <c r="E256" s="85">
        <v>18.36</v>
      </c>
      <c r="F256" s="85"/>
      <c r="G256" s="85"/>
      <c r="H256" s="85"/>
      <c r="I256" s="85"/>
      <c r="J256" s="85"/>
      <c r="K256" s="85"/>
      <c r="L256" s="85"/>
      <c r="M256" s="87"/>
      <c r="N256" s="85"/>
      <c r="O256" s="85"/>
      <c r="P256" s="85"/>
      <c r="Q256" s="85"/>
    </row>
    <row r="257" spans="1:17" s="56" customFormat="1">
      <c r="A257" s="71">
        <v>32842</v>
      </c>
      <c r="B257" s="85"/>
      <c r="C257" s="85">
        <v>18.184999999999999</v>
      </c>
      <c r="D257" s="85"/>
      <c r="E257" s="85">
        <v>18.25</v>
      </c>
      <c r="F257" s="85"/>
      <c r="G257" s="85"/>
      <c r="H257" s="85"/>
      <c r="I257" s="85"/>
      <c r="J257" s="85"/>
      <c r="K257" s="85"/>
      <c r="L257" s="85"/>
      <c r="M257" s="87"/>
      <c r="N257" s="85"/>
      <c r="O257" s="85"/>
      <c r="P257" s="85"/>
      <c r="Q257" s="85"/>
    </row>
    <row r="258" spans="1:17" s="56" customFormat="1">
      <c r="A258" s="71">
        <v>32873</v>
      </c>
      <c r="B258" s="85"/>
      <c r="C258" s="85">
        <v>18.157</v>
      </c>
      <c r="D258" s="85"/>
      <c r="E258" s="85">
        <v>17.89</v>
      </c>
      <c r="F258" s="85"/>
      <c r="G258" s="85"/>
      <c r="H258" s="85"/>
      <c r="I258" s="85"/>
      <c r="J258" s="85"/>
      <c r="K258" s="85"/>
      <c r="L258" s="85"/>
      <c r="M258" s="87"/>
      <c r="N258" s="85"/>
      <c r="O258" s="85"/>
      <c r="P258" s="85"/>
      <c r="Q258" s="85"/>
    </row>
    <row r="259" spans="1:17" s="56" customFormat="1">
      <c r="A259" s="71">
        <v>32904</v>
      </c>
      <c r="B259" s="85"/>
      <c r="C259" s="85">
        <v>17.806000000000001</v>
      </c>
      <c r="D259" s="85"/>
      <c r="E259" s="85">
        <v>17.329999999999998</v>
      </c>
      <c r="F259" s="85"/>
      <c r="G259" s="85"/>
      <c r="H259" s="85"/>
      <c r="I259" s="85"/>
      <c r="J259" s="85"/>
      <c r="K259" s="85"/>
      <c r="L259" s="85"/>
      <c r="M259" s="87"/>
      <c r="N259" s="85"/>
      <c r="O259" s="85"/>
      <c r="P259" s="85"/>
      <c r="Q259" s="85"/>
    </row>
    <row r="260" spans="1:17" s="56" customFormat="1">
      <c r="A260" s="71">
        <v>32932</v>
      </c>
      <c r="B260" s="85"/>
      <c r="C260" s="85">
        <v>16.802</v>
      </c>
      <c r="D260" s="85"/>
      <c r="E260" s="85">
        <v>16.2</v>
      </c>
      <c r="F260" s="85"/>
      <c r="G260" s="85"/>
      <c r="H260" s="85"/>
      <c r="I260" s="85"/>
      <c r="J260" s="85"/>
      <c r="K260" s="85"/>
      <c r="L260" s="85"/>
      <c r="M260" s="87"/>
      <c r="N260" s="85"/>
      <c r="O260" s="85"/>
      <c r="P260" s="85"/>
      <c r="Q260" s="85"/>
    </row>
    <row r="261" spans="1:17" s="56" customFormat="1">
      <c r="A261" s="71">
        <v>32963</v>
      </c>
      <c r="B261" s="85"/>
      <c r="C261" s="85">
        <v>16.425000000000001</v>
      </c>
      <c r="D261" s="85"/>
      <c r="E261" s="85">
        <v>15.84</v>
      </c>
      <c r="F261" s="85"/>
      <c r="G261" s="85"/>
      <c r="H261" s="85"/>
      <c r="I261" s="85"/>
      <c r="J261" s="85"/>
      <c r="K261" s="85"/>
      <c r="L261" s="85"/>
      <c r="M261" s="87"/>
      <c r="N261" s="85"/>
      <c r="O261" s="85"/>
      <c r="P261" s="85"/>
      <c r="Q261" s="85"/>
    </row>
    <row r="262" spans="1:17" s="56" customFormat="1">
      <c r="A262" s="71">
        <v>32993</v>
      </c>
      <c r="B262" s="85"/>
      <c r="C262" s="85">
        <v>15.170999999999999</v>
      </c>
      <c r="D262" s="85"/>
      <c r="E262" s="85">
        <v>15.14</v>
      </c>
      <c r="F262" s="85"/>
      <c r="G262" s="85"/>
      <c r="H262" s="85"/>
      <c r="I262" s="85"/>
      <c r="J262" s="85"/>
      <c r="K262" s="85"/>
      <c r="L262" s="85"/>
      <c r="M262" s="87"/>
      <c r="N262" s="85"/>
      <c r="O262" s="85"/>
      <c r="P262" s="85"/>
      <c r="Q262" s="85"/>
    </row>
    <row r="263" spans="1:17" s="56" customFormat="1">
      <c r="A263" s="71">
        <v>33024</v>
      </c>
      <c r="B263" s="85"/>
      <c r="C263" s="85">
        <v>15.016999999999999</v>
      </c>
      <c r="D263" s="85"/>
      <c r="E263" s="85">
        <v>15.05</v>
      </c>
      <c r="F263" s="85"/>
      <c r="G263" s="85"/>
      <c r="H263" s="85"/>
      <c r="I263" s="85"/>
      <c r="J263" s="85"/>
      <c r="K263" s="85"/>
      <c r="L263" s="85"/>
      <c r="M263" s="87"/>
      <c r="N263" s="85"/>
      <c r="O263" s="85"/>
      <c r="P263" s="85"/>
      <c r="Q263" s="85"/>
    </row>
    <row r="264" spans="1:17" s="56" customFormat="1">
      <c r="A264" s="71">
        <v>33054</v>
      </c>
      <c r="B264" s="85"/>
      <c r="C264" s="85">
        <v>15.051</v>
      </c>
      <c r="D264" s="85"/>
      <c r="E264" s="85">
        <v>15.02</v>
      </c>
      <c r="F264" s="85"/>
      <c r="G264" s="85"/>
      <c r="H264" s="85"/>
      <c r="I264" s="85"/>
      <c r="J264" s="85"/>
      <c r="K264" s="85"/>
      <c r="L264" s="85"/>
      <c r="M264" s="87"/>
      <c r="N264" s="85"/>
      <c r="O264" s="85"/>
      <c r="P264" s="85"/>
      <c r="Q264" s="85"/>
    </row>
    <row r="265" spans="1:17" s="56" customFormat="1">
      <c r="A265" s="71">
        <v>33085</v>
      </c>
      <c r="B265" s="85"/>
      <c r="C265" s="85">
        <v>15.019</v>
      </c>
      <c r="D265" s="85"/>
      <c r="E265" s="85">
        <v>14.83</v>
      </c>
      <c r="F265" s="85"/>
      <c r="G265" s="85"/>
      <c r="H265" s="85"/>
      <c r="I265" s="85"/>
      <c r="J265" s="85"/>
      <c r="K265" s="85"/>
      <c r="L265" s="85"/>
      <c r="M265" s="87"/>
      <c r="N265" s="85"/>
      <c r="O265" s="85"/>
      <c r="P265" s="85"/>
      <c r="Q265" s="85"/>
    </row>
    <row r="266" spans="1:17" s="56" customFormat="1">
      <c r="A266" s="71">
        <v>33116</v>
      </c>
      <c r="B266" s="85">
        <v>14</v>
      </c>
      <c r="C266" s="85">
        <v>14.068</v>
      </c>
      <c r="D266" s="85"/>
      <c r="E266" s="85">
        <v>13.92</v>
      </c>
      <c r="F266" s="85"/>
      <c r="G266" s="85"/>
      <c r="H266" s="85"/>
      <c r="I266" s="85"/>
      <c r="J266" s="85"/>
      <c r="K266" s="85"/>
      <c r="L266" s="85"/>
      <c r="M266" s="87"/>
      <c r="N266" s="85"/>
      <c r="O266" s="85"/>
      <c r="P266" s="85"/>
      <c r="Q266" s="85"/>
    </row>
    <row r="267" spans="1:17" s="56" customFormat="1">
      <c r="A267" s="71">
        <v>33146</v>
      </c>
      <c r="B267" s="85">
        <v>14</v>
      </c>
      <c r="C267" s="85">
        <v>14.05</v>
      </c>
      <c r="D267" s="85"/>
      <c r="E267" s="85">
        <v>13.52</v>
      </c>
      <c r="F267" s="85"/>
      <c r="G267" s="85"/>
      <c r="H267" s="85"/>
      <c r="I267" s="85"/>
      <c r="J267" s="85"/>
      <c r="K267" s="85"/>
      <c r="L267" s="85"/>
      <c r="M267" s="87"/>
      <c r="N267" s="85"/>
      <c r="O267" s="85"/>
      <c r="P267" s="85"/>
      <c r="Q267" s="85"/>
    </row>
    <row r="268" spans="1:17" s="56" customFormat="1">
      <c r="A268" s="71">
        <v>33177</v>
      </c>
      <c r="B268" s="85">
        <v>13.434782608695652</v>
      </c>
      <c r="C268" s="85">
        <v>13.468</v>
      </c>
      <c r="D268" s="85"/>
      <c r="E268" s="85">
        <v>13.07</v>
      </c>
      <c r="F268" s="85"/>
      <c r="G268" s="85"/>
      <c r="H268" s="85"/>
      <c r="I268" s="85"/>
      <c r="J268" s="85"/>
      <c r="K268" s="85"/>
      <c r="L268" s="85"/>
      <c r="M268" s="87"/>
      <c r="N268" s="85"/>
      <c r="O268" s="85"/>
      <c r="P268" s="85"/>
      <c r="Q268" s="85"/>
    </row>
    <row r="269" spans="1:17" s="56" customFormat="1">
      <c r="A269" s="71">
        <v>33207</v>
      </c>
      <c r="B269" s="85">
        <v>13</v>
      </c>
      <c r="C269" s="85">
        <v>13.047000000000001</v>
      </c>
      <c r="D269" s="85"/>
      <c r="E269" s="85">
        <v>12.41</v>
      </c>
      <c r="F269" s="85"/>
      <c r="G269" s="85"/>
      <c r="H269" s="85"/>
      <c r="I269" s="85"/>
      <c r="J269" s="85"/>
      <c r="K269" s="85"/>
      <c r="L269" s="85"/>
      <c r="M269" s="87"/>
      <c r="N269" s="85"/>
      <c r="O269" s="85"/>
      <c r="P269" s="85"/>
      <c r="Q269" s="85"/>
    </row>
    <row r="270" spans="1:17" s="56" customFormat="1">
      <c r="A270" s="71">
        <v>33238</v>
      </c>
      <c r="B270" s="85">
        <v>12.578947368421053</v>
      </c>
      <c r="C270" s="85">
        <v>12.677</v>
      </c>
      <c r="D270" s="85"/>
      <c r="E270" s="85">
        <v>12.19</v>
      </c>
      <c r="F270" s="85"/>
      <c r="G270" s="85"/>
      <c r="H270" s="85"/>
      <c r="I270" s="85"/>
      <c r="J270" s="85"/>
      <c r="K270" s="85"/>
      <c r="L270" s="85"/>
      <c r="M270" s="87"/>
      <c r="N270" s="85"/>
      <c r="O270" s="85"/>
      <c r="P270" s="85"/>
      <c r="Q270" s="85"/>
    </row>
    <row r="271" spans="1:17" s="56" customFormat="1">
      <c r="A271" s="71">
        <v>33269</v>
      </c>
      <c r="B271" s="85">
        <v>12</v>
      </c>
      <c r="C271" s="85">
        <v>12.021000000000001</v>
      </c>
      <c r="D271" s="85"/>
      <c r="E271" s="85">
        <v>11.93</v>
      </c>
      <c r="F271" s="85"/>
      <c r="G271" s="85"/>
      <c r="H271" s="85"/>
      <c r="I271" s="85"/>
      <c r="J271" s="85"/>
      <c r="K271" s="85"/>
      <c r="L271" s="85"/>
      <c r="M271" s="87"/>
      <c r="N271" s="85"/>
      <c r="O271" s="85"/>
      <c r="P271" s="85"/>
      <c r="Q271" s="85"/>
    </row>
    <row r="272" spans="1:17" s="56" customFormat="1">
      <c r="A272" s="71">
        <v>33297</v>
      </c>
      <c r="B272" s="85">
        <v>12</v>
      </c>
      <c r="C272" s="85">
        <v>12.013</v>
      </c>
      <c r="D272" s="85"/>
      <c r="E272" s="85">
        <v>11.62</v>
      </c>
      <c r="F272" s="85"/>
      <c r="G272" s="85"/>
      <c r="H272" s="85"/>
      <c r="I272" s="85"/>
      <c r="J272" s="85"/>
      <c r="K272" s="85"/>
      <c r="L272" s="85"/>
      <c r="M272" s="87"/>
      <c r="N272" s="85"/>
      <c r="O272" s="85"/>
      <c r="P272" s="85"/>
      <c r="Q272" s="85"/>
    </row>
    <row r="273" spans="1:17" s="56" customFormat="1">
      <c r="A273" s="71">
        <v>33328</v>
      </c>
      <c r="B273" s="85">
        <v>12</v>
      </c>
      <c r="C273" s="85">
        <v>12.021000000000001</v>
      </c>
      <c r="D273" s="85"/>
      <c r="E273" s="85">
        <v>11.49</v>
      </c>
      <c r="F273" s="85"/>
      <c r="G273" s="85"/>
      <c r="H273" s="85"/>
      <c r="I273" s="85"/>
      <c r="J273" s="85"/>
      <c r="K273" s="85"/>
      <c r="L273" s="85"/>
      <c r="M273" s="87"/>
      <c r="N273" s="85"/>
      <c r="O273" s="85"/>
      <c r="P273" s="85"/>
      <c r="Q273" s="85"/>
    </row>
    <row r="274" spans="1:17" s="56" customFormat="1">
      <c r="A274" s="71">
        <v>33358</v>
      </c>
      <c r="B274" s="85">
        <v>11.55</v>
      </c>
      <c r="C274" s="85">
        <v>11.579000000000001</v>
      </c>
      <c r="D274" s="85"/>
      <c r="E274" s="85">
        <v>11.36</v>
      </c>
      <c r="F274" s="85"/>
      <c r="G274" s="85"/>
      <c r="H274" s="85"/>
      <c r="I274" s="85"/>
      <c r="J274" s="85"/>
      <c r="K274" s="85"/>
      <c r="L274" s="85"/>
      <c r="M274" s="87"/>
      <c r="N274" s="85"/>
      <c r="O274" s="85"/>
      <c r="P274" s="85"/>
      <c r="Q274" s="85"/>
    </row>
    <row r="275" spans="1:17" s="56" customFormat="1">
      <c r="A275" s="71">
        <v>33389</v>
      </c>
      <c r="B275" s="85">
        <v>10.978260869565217</v>
      </c>
      <c r="C275" s="85">
        <v>10.992000000000001</v>
      </c>
      <c r="D275" s="85"/>
      <c r="E275" s="85">
        <v>10.72</v>
      </c>
      <c r="F275" s="85"/>
      <c r="G275" s="85"/>
      <c r="H275" s="85"/>
      <c r="I275" s="85"/>
      <c r="J275" s="85"/>
      <c r="K275" s="85"/>
      <c r="L275" s="85"/>
      <c r="M275" s="87"/>
      <c r="N275" s="85"/>
      <c r="O275" s="85"/>
      <c r="P275" s="85"/>
      <c r="Q275" s="85"/>
    </row>
    <row r="276" spans="1:17" s="56" customFormat="1">
      <c r="A276" s="71">
        <v>33419</v>
      </c>
      <c r="B276" s="85">
        <v>10.5</v>
      </c>
      <c r="C276" s="85">
        <v>10.542</v>
      </c>
      <c r="D276" s="85"/>
      <c r="E276" s="85">
        <v>10.39</v>
      </c>
      <c r="F276" s="85"/>
      <c r="G276" s="85"/>
      <c r="H276" s="85"/>
      <c r="I276" s="85"/>
      <c r="J276" s="85"/>
      <c r="K276" s="85"/>
      <c r="L276" s="85"/>
      <c r="M276" s="87"/>
      <c r="N276" s="85"/>
      <c r="O276" s="85"/>
      <c r="P276" s="85"/>
      <c r="Q276" s="85"/>
    </row>
    <row r="277" spans="1:17" s="56" customFormat="1">
      <c r="A277" s="71">
        <v>33450</v>
      </c>
      <c r="B277" s="85">
        <v>10.5</v>
      </c>
      <c r="C277" s="85">
        <v>10.484999999999999</v>
      </c>
      <c r="D277" s="85"/>
      <c r="E277" s="85">
        <v>10.34</v>
      </c>
      <c r="F277" s="85"/>
      <c r="G277" s="85"/>
      <c r="H277" s="85"/>
      <c r="I277" s="85"/>
      <c r="J277" s="85"/>
      <c r="K277" s="85"/>
      <c r="L277" s="85"/>
      <c r="M277" s="87"/>
      <c r="N277" s="85"/>
      <c r="O277" s="85"/>
      <c r="P277" s="85"/>
      <c r="Q277" s="85"/>
    </row>
    <row r="278" spans="1:17" s="56" customFormat="1">
      <c r="A278" s="71">
        <v>33481</v>
      </c>
      <c r="B278" s="85">
        <v>10.5</v>
      </c>
      <c r="C278" s="85">
        <v>10.52</v>
      </c>
      <c r="D278" s="85"/>
      <c r="E278" s="85">
        <v>10.130000000000001</v>
      </c>
      <c r="F278" s="85"/>
      <c r="G278" s="85"/>
      <c r="H278" s="85"/>
      <c r="I278" s="85"/>
      <c r="J278" s="85"/>
      <c r="K278" s="85"/>
      <c r="L278" s="85"/>
      <c r="M278" s="87"/>
      <c r="N278" s="85"/>
      <c r="O278" s="85"/>
      <c r="P278" s="85"/>
      <c r="Q278" s="85"/>
    </row>
    <row r="279" spans="1:17" s="56" customFormat="1">
      <c r="A279" s="71">
        <v>33511</v>
      </c>
      <c r="B279" s="85">
        <v>9.5476190476190474</v>
      </c>
      <c r="C279" s="85">
        <v>9.5939999999999994</v>
      </c>
      <c r="D279" s="85"/>
      <c r="E279" s="85">
        <v>9.58</v>
      </c>
      <c r="F279" s="85"/>
      <c r="G279" s="85"/>
      <c r="H279" s="85"/>
      <c r="I279" s="85"/>
      <c r="J279" s="85"/>
      <c r="K279" s="85"/>
      <c r="L279" s="85"/>
      <c r="M279" s="87"/>
      <c r="N279" s="85"/>
      <c r="O279" s="85"/>
      <c r="P279" s="85"/>
      <c r="Q279" s="85"/>
    </row>
    <row r="280" spans="1:17" s="56" customFormat="1">
      <c r="A280" s="71">
        <v>33542</v>
      </c>
      <c r="B280" s="85">
        <v>9.5</v>
      </c>
      <c r="C280" s="85">
        <v>9.4939999999999998</v>
      </c>
      <c r="D280" s="85"/>
      <c r="E280" s="85">
        <v>8.9700000000000006</v>
      </c>
      <c r="F280" s="85"/>
      <c r="G280" s="85"/>
      <c r="H280" s="85"/>
      <c r="I280" s="85"/>
      <c r="J280" s="85"/>
      <c r="K280" s="85"/>
      <c r="L280" s="85"/>
      <c r="M280" s="87"/>
      <c r="N280" s="85"/>
      <c r="O280" s="85"/>
      <c r="P280" s="85"/>
      <c r="Q280" s="85"/>
    </row>
    <row r="281" spans="1:17" s="56" customFormat="1">
      <c r="A281" s="71">
        <v>33572</v>
      </c>
      <c r="B281" s="85">
        <v>8.6428571428571423</v>
      </c>
      <c r="C281" s="85">
        <v>8.64</v>
      </c>
      <c r="D281" s="85"/>
      <c r="E281" s="85">
        <v>8.34</v>
      </c>
      <c r="F281" s="85"/>
      <c r="G281" s="85"/>
      <c r="H281" s="85"/>
      <c r="I281" s="85"/>
      <c r="J281" s="85"/>
      <c r="K281" s="85"/>
      <c r="L281" s="85"/>
      <c r="M281" s="87"/>
      <c r="N281" s="85"/>
      <c r="O281" s="85"/>
      <c r="P281" s="85"/>
      <c r="Q281" s="85"/>
    </row>
    <row r="282" spans="1:17" s="56" customFormat="1">
      <c r="A282" s="71">
        <v>33603</v>
      </c>
      <c r="B282" s="85">
        <v>8.5</v>
      </c>
      <c r="C282" s="85">
        <v>8.5150000000000006</v>
      </c>
      <c r="D282" s="85"/>
      <c r="E282" s="85">
        <v>7.84</v>
      </c>
      <c r="F282" s="85"/>
      <c r="G282" s="85"/>
      <c r="H282" s="85"/>
      <c r="I282" s="85"/>
      <c r="J282" s="85"/>
      <c r="K282" s="85"/>
      <c r="L282" s="85"/>
      <c r="M282" s="87"/>
      <c r="N282" s="85"/>
      <c r="O282" s="85"/>
      <c r="P282" s="85"/>
      <c r="Q282" s="85"/>
    </row>
    <row r="283" spans="1:17" s="56" customFormat="1">
      <c r="A283" s="71">
        <v>33634</v>
      </c>
      <c r="B283" s="85">
        <v>7.6904761904761907</v>
      </c>
      <c r="C283" s="85">
        <v>7.7510000000000003</v>
      </c>
      <c r="D283" s="85"/>
      <c r="E283" s="85">
        <v>7.45</v>
      </c>
      <c r="F283" s="85"/>
      <c r="G283" s="85"/>
      <c r="H283" s="85"/>
      <c r="I283" s="85"/>
      <c r="J283" s="85"/>
      <c r="K283" s="85"/>
      <c r="L283" s="85"/>
      <c r="M283" s="87"/>
      <c r="N283" s="85"/>
      <c r="O283" s="85"/>
      <c r="P283" s="85"/>
      <c r="Q283" s="85"/>
    </row>
    <row r="284" spans="1:17" s="56" customFormat="1">
      <c r="A284" s="71">
        <v>33663</v>
      </c>
      <c r="B284" s="85">
        <v>7.5</v>
      </c>
      <c r="C284" s="85">
        <v>7.5190000000000001</v>
      </c>
      <c r="D284" s="85"/>
      <c r="E284" s="85">
        <v>7.52</v>
      </c>
      <c r="F284" s="85"/>
      <c r="G284" s="85"/>
      <c r="H284" s="85"/>
      <c r="I284" s="85"/>
      <c r="J284" s="85"/>
      <c r="K284" s="85"/>
      <c r="L284" s="85"/>
      <c r="M284" s="87"/>
      <c r="N284" s="85"/>
      <c r="O284" s="85"/>
      <c r="P284" s="85"/>
      <c r="Q284" s="85"/>
    </row>
    <row r="285" spans="1:17" s="56" customFormat="1">
      <c r="A285" s="71">
        <v>33694</v>
      </c>
      <c r="B285" s="85">
        <v>7.5</v>
      </c>
      <c r="C285" s="85">
        <v>7.5359999999999996</v>
      </c>
      <c r="D285" s="85"/>
      <c r="E285" s="85">
        <v>7.51</v>
      </c>
      <c r="F285" s="85"/>
      <c r="G285" s="85"/>
      <c r="H285" s="85"/>
      <c r="I285" s="85"/>
      <c r="J285" s="85"/>
      <c r="K285" s="85"/>
      <c r="L285" s="85"/>
      <c r="M285" s="87"/>
      <c r="N285" s="85"/>
      <c r="O285" s="85"/>
      <c r="P285" s="85"/>
      <c r="Q285" s="85"/>
    </row>
    <row r="286" spans="1:17" s="56" customFormat="1">
      <c r="A286" s="71">
        <v>33724</v>
      </c>
      <c r="B286" s="85">
        <v>7.5</v>
      </c>
      <c r="C286" s="85">
        <v>7.5049999999999999</v>
      </c>
      <c r="D286" s="85"/>
      <c r="E286" s="85">
        <v>7.18</v>
      </c>
      <c r="F286" s="85"/>
      <c r="G286" s="85"/>
      <c r="H286" s="85"/>
      <c r="I286" s="85"/>
      <c r="J286" s="85"/>
      <c r="K286" s="85"/>
      <c r="L286" s="85"/>
      <c r="M286" s="87"/>
      <c r="N286" s="85"/>
      <c r="O286" s="85"/>
      <c r="P286" s="85"/>
      <c r="Q286" s="85"/>
    </row>
    <row r="287" spans="1:17" s="56" customFormat="1">
      <c r="A287" s="71">
        <v>33755</v>
      </c>
      <c r="B287" s="85">
        <v>6.6428571428571432</v>
      </c>
      <c r="C287" s="85">
        <v>6.69</v>
      </c>
      <c r="D287" s="85"/>
      <c r="E287" s="85">
        <v>6.56</v>
      </c>
      <c r="F287" s="85"/>
      <c r="G287" s="85"/>
      <c r="H287" s="85"/>
      <c r="I287" s="85"/>
      <c r="J287" s="85"/>
      <c r="K287" s="85"/>
      <c r="L287" s="85"/>
      <c r="M287" s="87"/>
      <c r="N287" s="85"/>
      <c r="O287" s="85"/>
      <c r="P287" s="85"/>
      <c r="Q287" s="85"/>
    </row>
    <row r="288" spans="1:17" s="56" customFormat="1">
      <c r="A288" s="71">
        <v>33785</v>
      </c>
      <c r="B288" s="85">
        <v>6.5</v>
      </c>
      <c r="C288" s="85">
        <v>6.5709999999999997</v>
      </c>
      <c r="D288" s="85"/>
      <c r="E288" s="85">
        <v>6.42</v>
      </c>
      <c r="F288" s="85"/>
      <c r="G288" s="85"/>
      <c r="H288" s="85"/>
      <c r="I288" s="85"/>
      <c r="J288" s="85"/>
      <c r="K288" s="85"/>
      <c r="L288" s="85"/>
      <c r="M288" s="87"/>
      <c r="N288" s="85"/>
      <c r="O288" s="85"/>
      <c r="P288" s="85"/>
      <c r="Q288" s="85"/>
    </row>
    <row r="289" spans="1:17" s="56" customFormat="1">
      <c r="A289" s="71">
        <v>33816</v>
      </c>
      <c r="B289" s="85">
        <v>5.9130434782608692</v>
      </c>
      <c r="C289" s="85">
        <v>5.9340000000000002</v>
      </c>
      <c r="D289" s="85">
        <v>5.84</v>
      </c>
      <c r="E289" s="85">
        <v>5.64</v>
      </c>
      <c r="F289" s="85">
        <v>5.5</v>
      </c>
      <c r="G289" s="85"/>
      <c r="H289" s="85"/>
      <c r="I289" s="85"/>
      <c r="J289" s="85"/>
      <c r="K289" s="85"/>
      <c r="L289" s="85"/>
      <c r="M289" s="87"/>
      <c r="N289" s="85"/>
      <c r="O289" s="85"/>
      <c r="P289" s="85"/>
      <c r="Q289" s="85"/>
    </row>
    <row r="290" spans="1:17" s="56" customFormat="1">
      <c r="A290" s="71">
        <v>33847</v>
      </c>
      <c r="B290" s="85">
        <v>5.75</v>
      </c>
      <c r="C290" s="85">
        <v>5.8620000000000001</v>
      </c>
      <c r="D290" s="85">
        <v>5.88</v>
      </c>
      <c r="E290" s="85">
        <v>5.73</v>
      </c>
      <c r="F290" s="85">
        <v>5.66</v>
      </c>
      <c r="G290" s="85"/>
      <c r="H290" s="85"/>
      <c r="I290" s="85"/>
      <c r="J290" s="85"/>
      <c r="K290" s="85"/>
      <c r="L290" s="85"/>
      <c r="M290" s="87"/>
      <c r="N290" s="85"/>
      <c r="O290" s="85"/>
      <c r="P290" s="85"/>
      <c r="Q290" s="85"/>
    </row>
    <row r="291" spans="1:17" s="56" customFormat="1">
      <c r="A291" s="71">
        <v>33877</v>
      </c>
      <c r="B291" s="85">
        <v>5.75</v>
      </c>
      <c r="C291" s="85">
        <v>5.7409999999999997</v>
      </c>
      <c r="D291" s="85">
        <v>5.91</v>
      </c>
      <c r="E291" s="85">
        <v>5.94</v>
      </c>
      <c r="F291" s="85">
        <v>5.99</v>
      </c>
      <c r="G291" s="85"/>
      <c r="H291" s="85"/>
      <c r="I291" s="85"/>
      <c r="J291" s="85"/>
      <c r="K291" s="85"/>
      <c r="L291" s="85"/>
      <c r="M291" s="87"/>
      <c r="N291" s="85"/>
      <c r="O291" s="85"/>
      <c r="P291" s="85"/>
      <c r="Q291" s="85"/>
    </row>
    <row r="292" spans="1:17" s="56" customFormat="1">
      <c r="A292" s="71">
        <v>33908</v>
      </c>
      <c r="B292" s="85">
        <v>5.75</v>
      </c>
      <c r="C292" s="85">
        <v>5.7389999999999999</v>
      </c>
      <c r="D292" s="85">
        <v>5.86</v>
      </c>
      <c r="E292" s="85">
        <v>5.86</v>
      </c>
      <c r="F292" s="85">
        <v>5.88</v>
      </c>
      <c r="G292" s="85"/>
      <c r="H292" s="85"/>
      <c r="I292" s="85"/>
      <c r="J292" s="85"/>
      <c r="K292" s="85"/>
      <c r="L292" s="85"/>
      <c r="M292" s="87"/>
      <c r="N292" s="85"/>
      <c r="O292" s="85"/>
      <c r="P292" s="85"/>
      <c r="Q292" s="85"/>
    </row>
    <row r="293" spans="1:17" s="56" customFormat="1">
      <c r="A293" s="71">
        <v>33938</v>
      </c>
      <c r="B293" s="85">
        <v>5.75</v>
      </c>
      <c r="C293" s="85">
        <v>5.7709999999999999</v>
      </c>
      <c r="D293" s="85">
        <v>5.88</v>
      </c>
      <c r="E293" s="85">
        <v>5.88</v>
      </c>
      <c r="F293" s="85">
        <v>5.92</v>
      </c>
      <c r="G293" s="85"/>
      <c r="H293" s="85"/>
      <c r="I293" s="85"/>
      <c r="J293" s="85"/>
      <c r="K293" s="85"/>
      <c r="L293" s="85"/>
      <c r="M293" s="87"/>
      <c r="N293" s="85"/>
      <c r="O293" s="85"/>
      <c r="P293" s="85"/>
      <c r="Q293" s="85"/>
    </row>
    <row r="294" spans="1:17" s="56" customFormat="1">
      <c r="A294" s="71">
        <v>33969</v>
      </c>
      <c r="B294" s="85">
        <v>5.75</v>
      </c>
      <c r="C294" s="85">
        <v>5.7930000000000001</v>
      </c>
      <c r="D294" s="85">
        <v>5.88</v>
      </c>
      <c r="E294" s="85">
        <v>5.9</v>
      </c>
      <c r="F294" s="85">
        <v>5.93</v>
      </c>
      <c r="G294" s="85"/>
      <c r="H294" s="85"/>
      <c r="I294" s="85"/>
      <c r="J294" s="85"/>
      <c r="K294" s="85"/>
      <c r="L294" s="85"/>
      <c r="M294" s="87"/>
      <c r="N294" s="85"/>
      <c r="O294" s="85"/>
      <c r="P294" s="85"/>
      <c r="Q294" s="85"/>
    </row>
    <row r="295" spans="1:17" s="56" customFormat="1">
      <c r="A295" s="71">
        <v>34000</v>
      </c>
      <c r="B295" s="85">
        <v>5.75</v>
      </c>
      <c r="C295" s="85">
        <v>5.7510000000000003</v>
      </c>
      <c r="D295" s="85">
        <v>5.86</v>
      </c>
      <c r="E295" s="85">
        <v>5.88</v>
      </c>
      <c r="F295" s="85">
        <v>5.92</v>
      </c>
      <c r="G295" s="85"/>
      <c r="H295" s="85"/>
      <c r="I295" s="85"/>
      <c r="J295" s="85"/>
      <c r="K295" s="85"/>
      <c r="L295" s="85"/>
      <c r="M295" s="87"/>
      <c r="N295" s="85"/>
      <c r="O295" s="85"/>
      <c r="P295" s="85"/>
      <c r="Q295" s="85"/>
    </row>
    <row r="296" spans="1:17" s="56" customFormat="1">
      <c r="A296" s="71">
        <v>34028</v>
      </c>
      <c r="B296" s="85">
        <v>5.75</v>
      </c>
      <c r="C296" s="85">
        <v>5.74</v>
      </c>
      <c r="D296" s="85">
        <v>5.81</v>
      </c>
      <c r="E296" s="85">
        <v>5.82</v>
      </c>
      <c r="F296" s="85">
        <v>5.83</v>
      </c>
      <c r="G296" s="85"/>
      <c r="H296" s="85"/>
      <c r="I296" s="85"/>
      <c r="J296" s="85"/>
      <c r="K296" s="85"/>
      <c r="L296" s="85"/>
      <c r="M296" s="87"/>
      <c r="N296" s="85"/>
      <c r="O296" s="85"/>
      <c r="P296" s="85"/>
      <c r="Q296" s="85"/>
    </row>
    <row r="297" spans="1:17" s="56" customFormat="1">
      <c r="A297" s="71">
        <v>34059</v>
      </c>
      <c r="B297" s="85">
        <v>5.5978260869565215</v>
      </c>
      <c r="C297" s="85">
        <v>5.6159999999999997</v>
      </c>
      <c r="D297" s="85">
        <v>5.49</v>
      </c>
      <c r="E297" s="85">
        <v>5.38</v>
      </c>
      <c r="F297" s="85">
        <v>5.31</v>
      </c>
      <c r="G297" s="85"/>
      <c r="H297" s="85"/>
      <c r="I297" s="85"/>
      <c r="J297" s="85"/>
      <c r="K297" s="85"/>
      <c r="L297" s="85"/>
      <c r="M297" s="87"/>
      <c r="N297" s="85"/>
      <c r="O297" s="85"/>
      <c r="P297" s="85"/>
      <c r="Q297" s="85"/>
    </row>
    <row r="298" spans="1:17" s="56" customFormat="1">
      <c r="A298" s="71">
        <v>34089</v>
      </c>
      <c r="B298" s="85">
        <v>5.25</v>
      </c>
      <c r="C298" s="85">
        <v>5.2480000000000002</v>
      </c>
      <c r="D298" s="85">
        <v>5.28</v>
      </c>
      <c r="E298" s="85">
        <v>5.27</v>
      </c>
      <c r="F298" s="85">
        <v>5.24</v>
      </c>
      <c r="G298" s="85"/>
      <c r="H298" s="85"/>
      <c r="I298" s="85"/>
      <c r="J298" s="85"/>
      <c r="K298" s="85"/>
      <c r="L298" s="85"/>
      <c r="M298" s="87"/>
      <c r="N298" s="85"/>
      <c r="O298" s="85"/>
      <c r="P298" s="85"/>
      <c r="Q298" s="85"/>
    </row>
    <row r="299" spans="1:17" s="56" customFormat="1">
      <c r="A299" s="71">
        <v>34120</v>
      </c>
      <c r="B299" s="85">
        <v>5.25</v>
      </c>
      <c r="C299" s="85">
        <v>5.2590000000000003</v>
      </c>
      <c r="D299" s="85">
        <v>5.25</v>
      </c>
      <c r="E299" s="85">
        <v>5.15</v>
      </c>
      <c r="F299" s="85">
        <v>5.0999999999999996</v>
      </c>
      <c r="G299" s="85"/>
      <c r="H299" s="85"/>
      <c r="I299" s="85"/>
      <c r="J299" s="85"/>
      <c r="K299" s="85"/>
      <c r="L299" s="85"/>
      <c r="M299" s="87"/>
      <c r="N299" s="85"/>
      <c r="O299" s="85"/>
      <c r="P299" s="85"/>
      <c r="Q299" s="85"/>
    </row>
    <row r="300" spans="1:17" s="56" customFormat="1">
      <c r="A300" s="71">
        <v>34150</v>
      </c>
      <c r="B300" s="85">
        <v>5.25</v>
      </c>
      <c r="C300" s="85">
        <v>5.2709999999999999</v>
      </c>
      <c r="D300" s="85">
        <v>5.29</v>
      </c>
      <c r="E300" s="85">
        <v>5.22</v>
      </c>
      <c r="F300" s="85">
        <v>5.17</v>
      </c>
      <c r="G300" s="85"/>
      <c r="H300" s="85"/>
      <c r="I300" s="85"/>
      <c r="J300" s="85"/>
      <c r="K300" s="85"/>
      <c r="L300" s="85"/>
      <c r="M300" s="87"/>
      <c r="N300" s="85"/>
      <c r="O300" s="85"/>
      <c r="P300" s="85"/>
      <c r="Q300" s="85"/>
    </row>
    <row r="301" spans="1:17" s="56" customFormat="1">
      <c r="A301" s="71">
        <v>34181</v>
      </c>
      <c r="B301" s="85">
        <v>5.2272727272727275</v>
      </c>
      <c r="C301" s="85">
        <v>5.24</v>
      </c>
      <c r="D301" s="85">
        <v>5.19</v>
      </c>
      <c r="E301" s="85">
        <v>5.05</v>
      </c>
      <c r="F301" s="85">
        <v>4.97</v>
      </c>
      <c r="G301" s="85"/>
      <c r="H301" s="85"/>
      <c r="I301" s="85"/>
      <c r="J301" s="85"/>
      <c r="K301" s="85"/>
      <c r="L301" s="85"/>
      <c r="M301" s="87"/>
      <c r="N301" s="85"/>
      <c r="O301" s="85"/>
      <c r="P301" s="85"/>
      <c r="Q301" s="85"/>
    </row>
    <row r="302" spans="1:17" s="56" customFormat="1">
      <c r="A302" s="71">
        <v>34212</v>
      </c>
      <c r="B302" s="85">
        <v>4.75</v>
      </c>
      <c r="C302" s="85">
        <v>4.7709999999999999</v>
      </c>
      <c r="D302" s="85">
        <v>4.83</v>
      </c>
      <c r="E302" s="85">
        <v>4.78</v>
      </c>
      <c r="F302" s="85">
        <v>4.72</v>
      </c>
      <c r="G302" s="85"/>
      <c r="H302" s="85"/>
      <c r="I302" s="85"/>
      <c r="J302" s="85"/>
      <c r="K302" s="85"/>
      <c r="L302" s="85"/>
      <c r="M302" s="87"/>
      <c r="N302" s="85"/>
      <c r="O302" s="85"/>
      <c r="P302" s="85"/>
      <c r="Q302" s="85"/>
    </row>
    <row r="303" spans="1:17" s="56" customFormat="1">
      <c r="A303" s="71">
        <v>34242</v>
      </c>
      <c r="B303" s="85">
        <v>4.75</v>
      </c>
      <c r="C303" s="85">
        <v>4.7229999999999999</v>
      </c>
      <c r="D303" s="85">
        <v>4.83</v>
      </c>
      <c r="E303" s="85">
        <v>4.8600000000000003</v>
      </c>
      <c r="F303" s="85">
        <v>4.8600000000000003</v>
      </c>
      <c r="G303" s="85"/>
      <c r="H303" s="85"/>
      <c r="I303" s="85"/>
      <c r="J303" s="85"/>
      <c r="K303" s="85"/>
      <c r="L303" s="85"/>
      <c r="M303" s="87"/>
      <c r="N303" s="85"/>
      <c r="O303" s="85"/>
      <c r="P303" s="85"/>
      <c r="Q303" s="85"/>
    </row>
    <row r="304" spans="1:17" s="56" customFormat="1">
      <c r="A304" s="71">
        <v>34273</v>
      </c>
      <c r="B304" s="85">
        <v>4.75</v>
      </c>
      <c r="C304" s="85">
        <v>4.6879999999999997</v>
      </c>
      <c r="D304" s="85">
        <v>4.7699999999999996</v>
      </c>
      <c r="E304" s="85">
        <v>4.8099999999999996</v>
      </c>
      <c r="F304" s="85">
        <v>4.84</v>
      </c>
      <c r="G304" s="85"/>
      <c r="H304" s="85"/>
      <c r="I304" s="85"/>
      <c r="J304" s="85"/>
      <c r="K304" s="85"/>
      <c r="L304" s="85"/>
      <c r="M304" s="87"/>
      <c r="N304" s="85"/>
      <c r="O304" s="85"/>
      <c r="P304" s="85"/>
      <c r="Q304" s="85"/>
    </row>
    <row r="305" spans="1:17" s="56" customFormat="1">
      <c r="A305" s="71">
        <v>34303</v>
      </c>
      <c r="B305" s="85">
        <v>4.75</v>
      </c>
      <c r="C305" s="85">
        <v>4.7110000000000003</v>
      </c>
      <c r="D305" s="85">
        <v>4.7699999999999996</v>
      </c>
      <c r="E305" s="85">
        <v>4.78</v>
      </c>
      <c r="F305" s="85">
        <v>4.78</v>
      </c>
      <c r="G305" s="85"/>
      <c r="H305" s="85"/>
      <c r="I305" s="85"/>
      <c r="J305" s="85"/>
      <c r="K305" s="85"/>
      <c r="L305" s="85"/>
      <c r="M305" s="87"/>
      <c r="N305" s="85"/>
      <c r="O305" s="85"/>
      <c r="P305" s="85"/>
      <c r="Q305" s="85"/>
    </row>
    <row r="306" spans="1:17" s="56" customFormat="1">
      <c r="A306" s="71">
        <v>34334</v>
      </c>
      <c r="B306" s="85">
        <v>4.75</v>
      </c>
      <c r="C306" s="85">
        <v>4.7249999999999996</v>
      </c>
      <c r="D306" s="85">
        <v>4.8099999999999996</v>
      </c>
      <c r="E306" s="85">
        <v>4.82</v>
      </c>
      <c r="F306" s="85">
        <v>4.84</v>
      </c>
      <c r="G306" s="85"/>
      <c r="H306" s="85"/>
      <c r="I306" s="85"/>
      <c r="J306" s="85"/>
      <c r="K306" s="85"/>
      <c r="L306" s="85"/>
      <c r="M306" s="87"/>
      <c r="N306" s="85"/>
      <c r="O306" s="85"/>
      <c r="P306" s="85"/>
      <c r="Q306" s="85"/>
    </row>
    <row r="307" spans="1:17" s="56" customFormat="1">
      <c r="A307" s="71">
        <v>34365</v>
      </c>
      <c r="B307" s="85">
        <v>4.75</v>
      </c>
      <c r="C307" s="85">
        <v>4.7060000000000004</v>
      </c>
      <c r="D307" s="85">
        <v>4.78</v>
      </c>
      <c r="E307" s="85">
        <v>4.8099999999999996</v>
      </c>
      <c r="F307" s="85">
        <v>4.83</v>
      </c>
      <c r="G307" s="85"/>
      <c r="H307" s="85"/>
      <c r="I307" s="85"/>
      <c r="J307" s="85"/>
      <c r="K307" s="85"/>
      <c r="L307" s="85"/>
      <c r="M307" s="87"/>
      <c r="N307" s="85"/>
      <c r="O307" s="85"/>
      <c r="P307" s="85"/>
      <c r="Q307" s="85"/>
    </row>
    <row r="308" spans="1:17" s="56" customFormat="1">
      <c r="A308" s="71">
        <v>34393</v>
      </c>
      <c r="B308" s="85">
        <v>4.75</v>
      </c>
      <c r="C308" s="85">
        <v>4.7110000000000003</v>
      </c>
      <c r="D308" s="85">
        <v>4.79</v>
      </c>
      <c r="E308" s="85">
        <v>4.8</v>
      </c>
      <c r="F308" s="85">
        <v>4.82</v>
      </c>
      <c r="G308" s="85"/>
      <c r="H308" s="85"/>
      <c r="I308" s="85"/>
      <c r="J308" s="85"/>
      <c r="K308" s="85"/>
      <c r="L308" s="85"/>
      <c r="M308" s="87"/>
      <c r="N308" s="85"/>
      <c r="O308" s="85"/>
      <c r="P308" s="85"/>
      <c r="Q308" s="85"/>
    </row>
    <row r="309" spans="1:17" s="56" customFormat="1">
      <c r="A309" s="71">
        <v>34424</v>
      </c>
      <c r="B309" s="85">
        <v>4.75</v>
      </c>
      <c r="C309" s="85">
        <v>4.7220000000000004</v>
      </c>
      <c r="D309" s="85">
        <v>4.83</v>
      </c>
      <c r="E309" s="85">
        <v>4.88</v>
      </c>
      <c r="F309" s="85">
        <v>5.01</v>
      </c>
      <c r="G309" s="85"/>
      <c r="H309" s="85"/>
      <c r="I309" s="85"/>
      <c r="J309" s="85"/>
      <c r="K309" s="85"/>
      <c r="L309" s="85"/>
      <c r="M309" s="87"/>
      <c r="N309" s="85"/>
      <c r="O309" s="85"/>
      <c r="P309" s="85"/>
      <c r="Q309" s="85"/>
    </row>
    <row r="310" spans="1:17" s="56" customFormat="1">
      <c r="A310" s="71">
        <v>34454</v>
      </c>
      <c r="B310" s="85">
        <v>4.75</v>
      </c>
      <c r="C310" s="85">
        <v>4.6890000000000001</v>
      </c>
      <c r="D310" s="85">
        <v>4.82</v>
      </c>
      <c r="E310" s="85">
        <v>4.92</v>
      </c>
      <c r="F310" s="85">
        <v>5.1100000000000003</v>
      </c>
      <c r="G310" s="85"/>
      <c r="H310" s="85"/>
      <c r="I310" s="85"/>
      <c r="J310" s="85"/>
      <c r="K310" s="85"/>
      <c r="L310" s="85"/>
      <c r="M310" s="87"/>
      <c r="N310" s="85"/>
      <c r="O310" s="85"/>
      <c r="P310" s="85"/>
      <c r="Q310" s="85"/>
    </row>
    <row r="311" spans="1:17" s="56" customFormat="1">
      <c r="A311" s="71">
        <v>34485</v>
      </c>
      <c r="B311" s="85">
        <v>4.75</v>
      </c>
      <c r="C311" s="85">
        <v>4.673</v>
      </c>
      <c r="D311" s="85">
        <v>4.79</v>
      </c>
      <c r="E311" s="85">
        <v>4.8499999999999996</v>
      </c>
      <c r="F311" s="85">
        <v>5.0599999999999996</v>
      </c>
      <c r="G311" s="85"/>
      <c r="H311" s="85"/>
      <c r="I311" s="85"/>
      <c r="J311" s="85"/>
      <c r="K311" s="85"/>
      <c r="L311" s="85"/>
      <c r="M311" s="87"/>
      <c r="N311" s="85"/>
      <c r="O311" s="85"/>
      <c r="P311" s="85"/>
      <c r="Q311" s="85"/>
    </row>
    <row r="312" spans="1:17" s="56" customFormat="1">
      <c r="A312" s="71">
        <v>34515</v>
      </c>
      <c r="B312" s="85">
        <v>4.75</v>
      </c>
      <c r="C312" s="85">
        <v>4.6820000000000004</v>
      </c>
      <c r="D312" s="85">
        <v>4.8899999999999997</v>
      </c>
      <c r="E312" s="85">
        <v>5.12</v>
      </c>
      <c r="F312" s="85">
        <v>5.46</v>
      </c>
      <c r="G312" s="85"/>
      <c r="H312" s="85"/>
      <c r="I312" s="85"/>
      <c r="J312" s="85"/>
      <c r="K312" s="85"/>
      <c r="L312" s="85"/>
      <c r="M312" s="87"/>
      <c r="N312" s="85"/>
      <c r="O312" s="85"/>
      <c r="P312" s="85"/>
      <c r="Q312" s="85"/>
    </row>
    <row r="313" spans="1:17" s="56" customFormat="1">
      <c r="A313" s="71">
        <v>34546</v>
      </c>
      <c r="B313" s="85">
        <v>4.75</v>
      </c>
      <c r="C313" s="85">
        <v>4.6589999999999998</v>
      </c>
      <c r="D313" s="85">
        <v>4.93</v>
      </c>
      <c r="E313" s="85">
        <v>5.41</v>
      </c>
      <c r="F313" s="85">
        <v>5.97</v>
      </c>
      <c r="G313" s="85"/>
      <c r="H313" s="85"/>
      <c r="I313" s="85"/>
      <c r="J313" s="85"/>
      <c r="K313" s="85"/>
      <c r="L313" s="85"/>
      <c r="M313" s="87"/>
      <c r="N313" s="85"/>
      <c r="O313" s="85"/>
      <c r="P313" s="85"/>
      <c r="Q313" s="85"/>
    </row>
    <row r="314" spans="1:17" s="56" customFormat="1">
      <c r="A314" s="71">
        <v>34577</v>
      </c>
      <c r="B314" s="85">
        <v>5.1086956521739131</v>
      </c>
      <c r="C314" s="85">
        <v>5.0049999999999999</v>
      </c>
      <c r="D314" s="85">
        <v>5.32</v>
      </c>
      <c r="E314" s="85">
        <v>5.6</v>
      </c>
      <c r="F314" s="85">
        <v>6.05</v>
      </c>
      <c r="G314" s="85"/>
      <c r="H314" s="85"/>
      <c r="I314" s="85"/>
      <c r="J314" s="85"/>
      <c r="K314" s="85"/>
      <c r="L314" s="85"/>
      <c r="M314" s="87"/>
      <c r="N314" s="85"/>
      <c r="O314" s="85"/>
      <c r="P314" s="85"/>
      <c r="Q314" s="85"/>
    </row>
    <row r="315" spans="1:17" s="56" customFormat="1">
      <c r="A315" s="71">
        <v>34607</v>
      </c>
      <c r="B315" s="85">
        <v>5.5</v>
      </c>
      <c r="C315" s="85">
        <v>5.4420000000000002</v>
      </c>
      <c r="D315" s="85">
        <v>5.61</v>
      </c>
      <c r="E315" s="85">
        <v>5.93</v>
      </c>
      <c r="F315" s="85">
        <v>6.43</v>
      </c>
      <c r="G315" s="85"/>
      <c r="H315" s="85"/>
      <c r="I315" s="85"/>
      <c r="J315" s="85"/>
      <c r="K315" s="85"/>
      <c r="L315" s="85"/>
      <c r="M315" s="87"/>
      <c r="N315" s="85"/>
      <c r="O315" s="85"/>
      <c r="P315" s="85"/>
      <c r="Q315" s="85"/>
    </row>
    <row r="316" spans="1:17" s="56" customFormat="1">
      <c r="A316" s="71">
        <v>34638</v>
      </c>
      <c r="B316" s="85">
        <v>5.7857142857142856</v>
      </c>
      <c r="C316" s="85">
        <v>5.71</v>
      </c>
      <c r="D316" s="85">
        <v>6.12</v>
      </c>
      <c r="E316" s="85">
        <v>6.45</v>
      </c>
      <c r="F316" s="85">
        <v>6.9</v>
      </c>
      <c r="G316" s="85"/>
      <c r="H316" s="85"/>
      <c r="I316" s="85"/>
      <c r="J316" s="85"/>
      <c r="K316" s="85"/>
      <c r="L316" s="85"/>
      <c r="M316" s="87"/>
      <c r="N316" s="85"/>
      <c r="O316" s="85"/>
      <c r="P316" s="85"/>
      <c r="Q316" s="85"/>
    </row>
    <row r="317" spans="1:17" s="56" customFormat="1">
      <c r="A317" s="71">
        <v>34668</v>
      </c>
      <c r="B317" s="85">
        <v>6.5</v>
      </c>
      <c r="C317" s="85">
        <v>6.4279999999999999</v>
      </c>
      <c r="D317" s="85">
        <v>6.66</v>
      </c>
      <c r="E317" s="85">
        <v>7.16</v>
      </c>
      <c r="F317" s="85">
        <v>7.77</v>
      </c>
      <c r="G317" s="85"/>
      <c r="H317" s="85"/>
      <c r="I317" s="85"/>
      <c r="J317" s="85"/>
      <c r="K317" s="85"/>
      <c r="L317" s="85"/>
      <c r="M317" s="87"/>
      <c r="N317" s="85"/>
      <c r="O317" s="85"/>
      <c r="P317" s="85"/>
      <c r="Q317" s="85"/>
    </row>
    <row r="318" spans="1:17" s="56" customFormat="1">
      <c r="A318" s="71">
        <v>34699</v>
      </c>
      <c r="B318" s="85">
        <v>7.05</v>
      </c>
      <c r="C318" s="85">
        <v>6.9610000000000003</v>
      </c>
      <c r="D318" s="85">
        <v>7.42</v>
      </c>
      <c r="E318" s="85">
        <v>7.95</v>
      </c>
      <c r="F318" s="85">
        <v>8.7899999999999991</v>
      </c>
      <c r="G318" s="85"/>
      <c r="H318" s="85"/>
      <c r="I318" s="85"/>
      <c r="J318" s="85"/>
      <c r="K318" s="85"/>
      <c r="L318" s="85"/>
      <c r="M318" s="87"/>
      <c r="N318" s="85"/>
      <c r="O318" s="85"/>
      <c r="P318" s="85"/>
      <c r="Q318" s="85"/>
    </row>
    <row r="319" spans="1:17" s="56" customFormat="1">
      <c r="A319" s="71">
        <v>34730</v>
      </c>
      <c r="B319" s="85">
        <v>7.5</v>
      </c>
      <c r="C319" s="85">
        <v>7.4930000000000003</v>
      </c>
      <c r="D319" s="85">
        <v>7.72</v>
      </c>
      <c r="E319" s="85">
        <v>8.3699999999999992</v>
      </c>
      <c r="F319" s="85">
        <v>9.15</v>
      </c>
      <c r="G319" s="85"/>
      <c r="H319" s="85"/>
      <c r="I319" s="85"/>
      <c r="J319" s="85">
        <v>7.591499999999999</v>
      </c>
      <c r="K319" s="85">
        <v>8.3164999999999996</v>
      </c>
      <c r="L319" s="85">
        <v>9.1089999999999982</v>
      </c>
      <c r="M319" s="87"/>
      <c r="N319" s="85"/>
      <c r="O319" s="85"/>
      <c r="P319" s="85"/>
      <c r="Q319" s="85"/>
    </row>
    <row r="320" spans="1:17" s="56" customFormat="1">
      <c r="A320" s="71">
        <v>34758</v>
      </c>
      <c r="B320" s="85">
        <v>7.5</v>
      </c>
      <c r="C320" s="85">
        <v>7.4820000000000002</v>
      </c>
      <c r="D320" s="85">
        <v>7.74</v>
      </c>
      <c r="E320" s="85">
        <v>8.08</v>
      </c>
      <c r="F320" s="85">
        <v>8.61</v>
      </c>
      <c r="G320" s="85"/>
      <c r="H320" s="85"/>
      <c r="I320" s="85"/>
      <c r="J320" s="85">
        <v>7.644000000000001</v>
      </c>
      <c r="K320" s="85">
        <v>8.0505000000000013</v>
      </c>
      <c r="L320" s="85">
        <v>8.5854999999999997</v>
      </c>
      <c r="M320" s="87"/>
      <c r="N320" s="85"/>
      <c r="O320" s="85"/>
      <c r="P320" s="85"/>
      <c r="Q320" s="85"/>
    </row>
    <row r="321" spans="1:17" s="56" customFormat="1">
      <c r="A321" s="71">
        <v>34789</v>
      </c>
      <c r="B321" s="85">
        <v>7.5</v>
      </c>
      <c r="C321" s="85">
        <v>7.492</v>
      </c>
      <c r="D321" s="85">
        <v>7.68</v>
      </c>
      <c r="E321" s="85">
        <v>8.1300000000000008</v>
      </c>
      <c r="F321" s="85">
        <v>8.61</v>
      </c>
      <c r="G321" s="85"/>
      <c r="H321" s="85"/>
      <c r="I321" s="85"/>
      <c r="J321" s="85">
        <v>7.5882608695652189</v>
      </c>
      <c r="K321" s="85">
        <v>8.0395652173913028</v>
      </c>
      <c r="L321" s="85">
        <v>8.515217391304347</v>
      </c>
      <c r="M321" s="87"/>
      <c r="N321" s="85"/>
      <c r="O321" s="85"/>
      <c r="P321" s="85"/>
      <c r="Q321" s="85"/>
    </row>
    <row r="322" spans="1:17" s="56" customFormat="1">
      <c r="A322" s="71">
        <v>34819</v>
      </c>
      <c r="B322" s="85">
        <v>7.5</v>
      </c>
      <c r="C322" s="85">
        <v>7.5069999999999997</v>
      </c>
      <c r="D322" s="85">
        <v>7.64</v>
      </c>
      <c r="E322" s="85">
        <v>7.89</v>
      </c>
      <c r="F322" s="85">
        <v>8.2899999999999991</v>
      </c>
      <c r="G322" s="85"/>
      <c r="H322" s="85"/>
      <c r="I322" s="85"/>
      <c r="J322" s="85">
        <v>7.5194117647058825</v>
      </c>
      <c r="K322" s="85">
        <v>7.764117647058824</v>
      </c>
      <c r="L322" s="85">
        <v>8.1517647058823535</v>
      </c>
      <c r="M322" s="87"/>
      <c r="N322" s="85"/>
      <c r="O322" s="85"/>
      <c r="P322" s="85"/>
      <c r="Q322" s="85"/>
    </row>
    <row r="323" spans="1:17" s="56" customFormat="1">
      <c r="A323" s="71">
        <v>34850</v>
      </c>
      <c r="B323" s="85">
        <v>7.5</v>
      </c>
      <c r="C323" s="85">
        <v>7.4989999999999997</v>
      </c>
      <c r="D323" s="85">
        <v>7.59</v>
      </c>
      <c r="E323" s="85">
        <v>7.7</v>
      </c>
      <c r="F323" s="85">
        <v>7.88</v>
      </c>
      <c r="G323" s="85"/>
      <c r="H323" s="85"/>
      <c r="I323" s="85"/>
      <c r="J323" s="85">
        <v>7.47</v>
      </c>
      <c r="K323" s="85">
        <v>7.5704347826086957</v>
      </c>
      <c r="L323" s="85">
        <v>7.7217391304347833</v>
      </c>
      <c r="M323" s="87"/>
      <c r="N323" s="85"/>
      <c r="O323" s="85"/>
      <c r="P323" s="85"/>
      <c r="Q323" s="85"/>
    </row>
    <row r="324" spans="1:17" s="56" customFormat="1">
      <c r="A324" s="71">
        <v>34880</v>
      </c>
      <c r="B324" s="85">
        <v>7.5</v>
      </c>
      <c r="C324" s="85">
        <v>7.5090000000000003</v>
      </c>
      <c r="D324" s="85">
        <v>7.54</v>
      </c>
      <c r="E324" s="85">
        <v>7.55</v>
      </c>
      <c r="F324" s="85">
        <v>7.53</v>
      </c>
      <c r="G324" s="85"/>
      <c r="H324" s="85"/>
      <c r="I324" s="85"/>
      <c r="J324" s="85">
        <v>7.4295238095238103</v>
      </c>
      <c r="K324" s="85">
        <v>7.4490476190476178</v>
      </c>
      <c r="L324" s="85">
        <v>7.4385714285714277</v>
      </c>
      <c r="M324" s="87"/>
      <c r="N324" s="85"/>
      <c r="O324" s="85"/>
      <c r="P324" s="85"/>
      <c r="Q324" s="85"/>
    </row>
    <row r="325" spans="1:17" s="56" customFormat="1">
      <c r="A325" s="71">
        <v>34911</v>
      </c>
      <c r="B325" s="85">
        <v>7.5</v>
      </c>
      <c r="C325" s="85">
        <v>7.508</v>
      </c>
      <c r="D325" s="85">
        <v>7.53</v>
      </c>
      <c r="E325" s="85">
        <v>7.56</v>
      </c>
      <c r="F325" s="85">
        <v>7.56</v>
      </c>
      <c r="G325" s="85"/>
      <c r="H325" s="85"/>
      <c r="I325" s="85"/>
      <c r="J325" s="85">
        <v>7.4485714285714266</v>
      </c>
      <c r="K325" s="85">
        <v>7.458095238095237</v>
      </c>
      <c r="L325" s="85">
        <v>7.4528571428571428</v>
      </c>
      <c r="M325" s="87"/>
      <c r="N325" s="85"/>
      <c r="O325" s="85"/>
      <c r="P325" s="85"/>
      <c r="Q325" s="85"/>
    </row>
    <row r="326" spans="1:17" s="56" customFormat="1">
      <c r="A326" s="71">
        <v>34942</v>
      </c>
      <c r="B326" s="85">
        <v>7.5</v>
      </c>
      <c r="C326" s="85">
        <v>7.51</v>
      </c>
      <c r="D326" s="85">
        <v>7.53</v>
      </c>
      <c r="E326" s="85">
        <v>7.58</v>
      </c>
      <c r="F326" s="85">
        <v>7.71</v>
      </c>
      <c r="G326" s="85"/>
      <c r="H326" s="85"/>
      <c r="I326" s="85"/>
      <c r="J326" s="85">
        <v>7.4439130434782586</v>
      </c>
      <c r="K326" s="85">
        <v>7.4878260869565221</v>
      </c>
      <c r="L326" s="85">
        <v>7.571739130434783</v>
      </c>
      <c r="M326" s="87"/>
      <c r="N326" s="85"/>
      <c r="O326" s="85"/>
      <c r="P326" s="85"/>
      <c r="Q326" s="85"/>
    </row>
    <row r="327" spans="1:17" s="56" customFormat="1">
      <c r="A327" s="71">
        <v>34972</v>
      </c>
      <c r="B327" s="85">
        <v>7.5</v>
      </c>
      <c r="C327" s="85">
        <v>7.4930000000000003</v>
      </c>
      <c r="D327" s="85">
        <v>7.49</v>
      </c>
      <c r="E327" s="85">
        <v>7.49</v>
      </c>
      <c r="F327" s="85">
        <v>7.5</v>
      </c>
      <c r="G327" s="85"/>
      <c r="H327" s="85"/>
      <c r="I327" s="85"/>
      <c r="J327" s="85">
        <v>7.4276190476190482</v>
      </c>
      <c r="K327" s="85">
        <v>7.4471428571428575</v>
      </c>
      <c r="L327" s="85">
        <v>7.4576190476190485</v>
      </c>
      <c r="M327" s="87"/>
      <c r="N327" s="85"/>
      <c r="O327" s="85"/>
      <c r="P327" s="85"/>
      <c r="Q327" s="85"/>
    </row>
    <row r="328" spans="1:17" s="56" customFormat="1">
      <c r="A328" s="71">
        <v>35003</v>
      </c>
      <c r="B328" s="85">
        <v>7.5</v>
      </c>
      <c r="C328" s="85">
        <v>7.4850000000000003</v>
      </c>
      <c r="D328" s="85">
        <v>7.48</v>
      </c>
      <c r="E328" s="85">
        <v>7.47</v>
      </c>
      <c r="F328" s="85">
        <v>7.44</v>
      </c>
      <c r="G328" s="85"/>
      <c r="H328" s="85"/>
      <c r="I328" s="85"/>
      <c r="J328" s="85">
        <v>7.4268181818181827</v>
      </c>
      <c r="K328" s="85">
        <v>7.4327272727272735</v>
      </c>
      <c r="L328" s="85">
        <v>7.4254545454545449</v>
      </c>
      <c r="M328" s="87"/>
      <c r="N328" s="85"/>
      <c r="O328" s="85"/>
      <c r="P328" s="85"/>
      <c r="Q328" s="85"/>
    </row>
    <row r="329" spans="1:17" s="56" customFormat="1">
      <c r="A329" s="71">
        <v>35033</v>
      </c>
      <c r="B329" s="85">
        <v>7.5</v>
      </c>
      <c r="C329" s="85">
        <v>7.5019999999999998</v>
      </c>
      <c r="D329" s="85">
        <v>7.49</v>
      </c>
      <c r="E329" s="85">
        <v>7.46</v>
      </c>
      <c r="F329" s="85">
        <v>7.42</v>
      </c>
      <c r="G329" s="85"/>
      <c r="H329" s="85"/>
      <c r="I329" s="85"/>
      <c r="J329" s="85">
        <v>7.4168181818181802</v>
      </c>
      <c r="K329" s="85">
        <v>7.4050000000000002</v>
      </c>
      <c r="L329" s="85">
        <v>7.3918181818181816</v>
      </c>
      <c r="M329" s="87"/>
      <c r="N329" s="85"/>
      <c r="O329" s="85"/>
      <c r="P329" s="85"/>
      <c r="Q329" s="85"/>
    </row>
    <row r="330" spans="1:17" s="56" customFormat="1">
      <c r="A330" s="71">
        <v>35064</v>
      </c>
      <c r="B330" s="85">
        <v>7.5</v>
      </c>
      <c r="C330" s="85">
        <v>7.508</v>
      </c>
      <c r="D330" s="85">
        <v>7.49</v>
      </c>
      <c r="E330" s="85">
        <v>7.43</v>
      </c>
      <c r="F330" s="85">
        <v>7.38</v>
      </c>
      <c r="G330" s="85"/>
      <c r="H330" s="85"/>
      <c r="I330" s="85"/>
      <c r="J330" s="85">
        <v>7.3478947368421057</v>
      </c>
      <c r="K330" s="85">
        <v>7.304736842105263</v>
      </c>
      <c r="L330" s="85">
        <v>7.2773684210526319</v>
      </c>
      <c r="M330" s="87"/>
      <c r="N330" s="85"/>
      <c r="O330" s="85"/>
      <c r="P330" s="85"/>
      <c r="Q330" s="85"/>
    </row>
    <row r="331" spans="1:17" s="56" customFormat="1">
      <c r="A331" s="71">
        <v>35095</v>
      </c>
      <c r="B331" s="85">
        <v>7.5</v>
      </c>
      <c r="C331" s="85">
        <v>7.5</v>
      </c>
      <c r="D331" s="85">
        <v>7.49</v>
      </c>
      <c r="E331" s="85">
        <v>7.46</v>
      </c>
      <c r="F331" s="85">
        <v>7.41</v>
      </c>
      <c r="G331" s="85"/>
      <c r="H331" s="85"/>
      <c r="I331" s="85"/>
      <c r="J331" s="85">
        <v>7.3347619047619048</v>
      </c>
      <c r="K331" s="85">
        <v>7.31</v>
      </c>
      <c r="L331" s="85">
        <v>7.2971428571428572</v>
      </c>
      <c r="M331" s="87"/>
      <c r="N331" s="85"/>
      <c r="O331" s="85"/>
      <c r="P331" s="85"/>
      <c r="Q331" s="85"/>
    </row>
    <row r="332" spans="1:17" s="56" customFormat="1">
      <c r="A332" s="71">
        <v>35124</v>
      </c>
      <c r="B332" s="85">
        <v>7.5</v>
      </c>
      <c r="C332" s="85">
        <v>7.5030000000000001</v>
      </c>
      <c r="D332" s="85">
        <v>7.49</v>
      </c>
      <c r="E332" s="85">
        <v>7.47</v>
      </c>
      <c r="F332" s="85">
        <v>7.46</v>
      </c>
      <c r="G332" s="85"/>
      <c r="H332" s="85"/>
      <c r="I332" s="85"/>
      <c r="J332" s="85">
        <v>7.3938095238095247</v>
      </c>
      <c r="K332" s="85">
        <v>7.3890476190476182</v>
      </c>
      <c r="L332" s="85">
        <v>7.3957142857142841</v>
      </c>
      <c r="M332" s="87"/>
      <c r="N332" s="85"/>
      <c r="O332" s="85"/>
      <c r="P332" s="85"/>
      <c r="Q332" s="85"/>
    </row>
    <row r="333" spans="1:17" s="56" customFormat="1">
      <c r="A333" s="71">
        <v>35155</v>
      </c>
      <c r="B333" s="85">
        <v>7.5</v>
      </c>
      <c r="C333" s="85">
        <v>7.5190000000000001</v>
      </c>
      <c r="D333" s="85">
        <v>7.51</v>
      </c>
      <c r="E333" s="85">
        <v>7.53</v>
      </c>
      <c r="F333" s="85">
        <v>7.64</v>
      </c>
      <c r="G333" s="85"/>
      <c r="H333" s="85"/>
      <c r="I333" s="85"/>
      <c r="J333" s="85">
        <v>7.4057142857142848</v>
      </c>
      <c r="K333" s="85">
        <v>7.4219047619047638</v>
      </c>
      <c r="L333" s="85">
        <v>7.4919047619047623</v>
      </c>
      <c r="M333" s="87"/>
      <c r="N333" s="85"/>
      <c r="O333" s="85"/>
      <c r="P333" s="85"/>
      <c r="Q333" s="85"/>
    </row>
    <row r="334" spans="1:17" s="56" customFormat="1">
      <c r="A334" s="71">
        <v>35185</v>
      </c>
      <c r="B334" s="85">
        <v>7.5</v>
      </c>
      <c r="C334" s="85">
        <v>7.4939999999999998</v>
      </c>
      <c r="D334" s="85">
        <v>7.52</v>
      </c>
      <c r="E334" s="85">
        <v>7.57</v>
      </c>
      <c r="F334" s="85">
        <v>7.68</v>
      </c>
      <c r="G334" s="85"/>
      <c r="H334" s="85"/>
      <c r="I334" s="85"/>
      <c r="J334" s="85">
        <v>7.3673684210526309</v>
      </c>
      <c r="K334" s="85">
        <v>7.3773684210526325</v>
      </c>
      <c r="L334" s="85">
        <v>7.5452631578947393</v>
      </c>
      <c r="M334" s="87"/>
      <c r="N334" s="85"/>
      <c r="O334" s="85"/>
      <c r="P334" s="85"/>
      <c r="Q334" s="85"/>
    </row>
    <row r="335" spans="1:17" s="56" customFormat="1">
      <c r="A335" s="71">
        <v>35216</v>
      </c>
      <c r="B335" s="85">
        <v>7.5</v>
      </c>
      <c r="C335" s="85">
        <v>7.5119999999999996</v>
      </c>
      <c r="D335" s="85">
        <v>7.51</v>
      </c>
      <c r="E335" s="85">
        <v>7.55</v>
      </c>
      <c r="F335" s="85">
        <v>7.63</v>
      </c>
      <c r="G335" s="85"/>
      <c r="H335" s="85"/>
      <c r="I335" s="85"/>
      <c r="J335" s="85">
        <v>7.3652173913043493</v>
      </c>
      <c r="K335" s="85">
        <v>7.372608695652171</v>
      </c>
      <c r="L335" s="85">
        <v>7.5126086956521752</v>
      </c>
      <c r="M335" s="87"/>
      <c r="N335" s="85"/>
      <c r="O335" s="85"/>
      <c r="P335" s="85"/>
      <c r="Q335" s="85"/>
    </row>
    <row r="336" spans="1:17" s="56" customFormat="1">
      <c r="A336" s="71">
        <v>35246</v>
      </c>
      <c r="B336" s="85">
        <v>7.5</v>
      </c>
      <c r="C336" s="85">
        <v>7.5110000000000001</v>
      </c>
      <c r="D336" s="85">
        <v>7.52</v>
      </c>
      <c r="E336" s="85">
        <v>7.57</v>
      </c>
      <c r="F336" s="85">
        <v>7.69</v>
      </c>
      <c r="G336" s="85"/>
      <c r="H336" s="85"/>
      <c r="I336" s="85"/>
      <c r="J336" s="85">
        <v>7.2757894736842124</v>
      </c>
      <c r="K336" s="85">
        <v>7.3305263157894727</v>
      </c>
      <c r="L336" s="85">
        <v>7.4694736842105245</v>
      </c>
      <c r="M336" s="87"/>
      <c r="N336" s="85"/>
      <c r="O336" s="85"/>
      <c r="P336" s="85"/>
      <c r="Q336" s="85"/>
    </row>
    <row r="337" spans="1:17" s="56" customFormat="1">
      <c r="A337" s="71">
        <v>35277</v>
      </c>
      <c r="B337" s="85">
        <v>7.4782608695652177</v>
      </c>
      <c r="C337" s="85">
        <v>7.5060000000000002</v>
      </c>
      <c r="D337" s="85">
        <v>7.52</v>
      </c>
      <c r="E337" s="85">
        <v>7.56</v>
      </c>
      <c r="F337" s="85">
        <v>7.63</v>
      </c>
      <c r="G337" s="85"/>
      <c r="H337" s="85"/>
      <c r="I337" s="85"/>
      <c r="J337" s="85">
        <v>7.3404347826086953</v>
      </c>
      <c r="K337" s="85">
        <v>7.391304347826086</v>
      </c>
      <c r="L337" s="85">
        <v>7.4482608695652175</v>
      </c>
      <c r="M337" s="87"/>
      <c r="N337" s="85"/>
      <c r="O337" s="85"/>
      <c r="P337" s="85"/>
      <c r="Q337" s="85"/>
    </row>
    <row r="338" spans="1:17" s="56" customFormat="1">
      <c r="A338" s="71">
        <v>35308</v>
      </c>
      <c r="B338" s="85">
        <v>7</v>
      </c>
      <c r="C338" s="85">
        <v>7.0060000000000002</v>
      </c>
      <c r="D338" s="85">
        <v>7</v>
      </c>
      <c r="E338" s="85">
        <v>6.92</v>
      </c>
      <c r="F338" s="85">
        <v>6.85</v>
      </c>
      <c r="G338" s="85"/>
      <c r="H338" s="85"/>
      <c r="I338" s="85"/>
      <c r="J338" s="85">
        <v>6.8868181818181826</v>
      </c>
      <c r="K338" s="85">
        <v>6.8072727272727267</v>
      </c>
      <c r="L338" s="85">
        <v>6.7545454545454531</v>
      </c>
      <c r="M338" s="87"/>
      <c r="N338" s="85"/>
      <c r="O338" s="85"/>
      <c r="P338" s="85"/>
      <c r="Q338" s="85"/>
    </row>
    <row r="339" spans="1:17" s="56" customFormat="1">
      <c r="A339" s="71">
        <v>35338</v>
      </c>
      <c r="B339" s="85">
        <v>7</v>
      </c>
      <c r="C339" s="85">
        <v>7.0060000000000002</v>
      </c>
      <c r="D339" s="85">
        <v>6.97</v>
      </c>
      <c r="E339" s="85">
        <v>6.91</v>
      </c>
      <c r="F339" s="85">
        <v>6.85</v>
      </c>
      <c r="G339" s="85"/>
      <c r="H339" s="85"/>
      <c r="I339" s="85"/>
      <c r="J339" s="85">
        <v>6.8623809523809518</v>
      </c>
      <c r="K339" s="85">
        <v>6.7790476190476197</v>
      </c>
      <c r="L339" s="85">
        <v>6.7314285714285695</v>
      </c>
      <c r="M339" s="87"/>
      <c r="N339" s="85"/>
      <c r="O339" s="85"/>
      <c r="P339" s="85"/>
      <c r="Q339" s="85"/>
    </row>
    <row r="340" spans="1:17" s="56" customFormat="1">
      <c r="A340" s="71">
        <v>35369</v>
      </c>
      <c r="B340" s="85">
        <v>7</v>
      </c>
      <c r="C340" s="85">
        <v>7.0030000000000001</v>
      </c>
      <c r="D340" s="85">
        <v>6.86</v>
      </c>
      <c r="E340" s="85">
        <v>6.7</v>
      </c>
      <c r="F340" s="85">
        <v>6.64</v>
      </c>
      <c r="G340" s="85"/>
      <c r="H340" s="85"/>
      <c r="I340" s="85"/>
      <c r="J340" s="85">
        <v>6.8234782608695665</v>
      </c>
      <c r="K340" s="85">
        <v>6.6360869565217397</v>
      </c>
      <c r="L340" s="85">
        <v>6.5773913043478247</v>
      </c>
      <c r="M340" s="87"/>
      <c r="N340" s="85"/>
      <c r="O340" s="85"/>
      <c r="P340" s="85"/>
      <c r="Q340" s="85"/>
    </row>
    <row r="341" spans="1:17" s="56" customFormat="1">
      <c r="A341" s="71">
        <v>35399</v>
      </c>
      <c r="B341" s="85">
        <v>6.5714285714285712</v>
      </c>
      <c r="C341" s="85">
        <v>6.5750000000000002</v>
      </c>
      <c r="D341" s="85">
        <v>6.49</v>
      </c>
      <c r="E341" s="85">
        <v>6.45</v>
      </c>
      <c r="F341" s="85">
        <v>6.38</v>
      </c>
      <c r="G341" s="85"/>
      <c r="H341" s="85"/>
      <c r="I341" s="85"/>
      <c r="J341" s="85">
        <v>6.4319047619047627</v>
      </c>
      <c r="K341" s="85">
        <v>6.3714285714285719</v>
      </c>
      <c r="L341" s="85">
        <v>6.3185714285714294</v>
      </c>
      <c r="M341" s="87"/>
      <c r="N341" s="85"/>
      <c r="O341" s="85"/>
      <c r="P341" s="85"/>
      <c r="Q341" s="85"/>
    </row>
    <row r="342" spans="1:17" s="56" customFormat="1">
      <c r="A342" s="71">
        <v>35430</v>
      </c>
      <c r="B342" s="85">
        <v>6.1749999999999998</v>
      </c>
      <c r="C342" s="85">
        <v>6.2290000000000001</v>
      </c>
      <c r="D342" s="85">
        <v>6.18</v>
      </c>
      <c r="E342" s="85">
        <v>6.13</v>
      </c>
      <c r="F342" s="85">
        <v>6.08</v>
      </c>
      <c r="G342" s="85"/>
      <c r="H342" s="85"/>
      <c r="I342" s="85"/>
      <c r="J342" s="85">
        <v>6.0645000000000016</v>
      </c>
      <c r="K342" s="85">
        <v>6.0104999999999995</v>
      </c>
      <c r="L342" s="85">
        <v>5.980999999999999</v>
      </c>
      <c r="M342" s="87"/>
      <c r="N342" s="85"/>
      <c r="O342" s="85"/>
      <c r="P342" s="85"/>
      <c r="Q342" s="85"/>
    </row>
    <row r="343" spans="1:17" s="56" customFormat="1">
      <c r="A343" s="71">
        <v>35461</v>
      </c>
      <c r="B343" s="85">
        <v>6</v>
      </c>
      <c r="C343" s="85">
        <v>6.0359999999999996</v>
      </c>
      <c r="D343" s="85">
        <v>5.95</v>
      </c>
      <c r="E343" s="85">
        <v>5.82</v>
      </c>
      <c r="F343" s="85">
        <v>5.78</v>
      </c>
      <c r="G343" s="85"/>
      <c r="H343" s="85"/>
      <c r="I343" s="85"/>
      <c r="J343" s="85">
        <v>5.8390476190476193</v>
      </c>
      <c r="K343" s="85">
        <v>5.7176190476190483</v>
      </c>
      <c r="L343" s="85">
        <v>5.6842857142857151</v>
      </c>
      <c r="M343" s="87"/>
      <c r="N343" s="85"/>
      <c r="O343" s="85"/>
      <c r="P343" s="85"/>
      <c r="Q343" s="85"/>
    </row>
    <row r="344" spans="1:17" s="56" customFormat="1">
      <c r="A344" s="71">
        <v>35489</v>
      </c>
      <c r="B344" s="85">
        <v>6</v>
      </c>
      <c r="C344" s="85">
        <v>6.0060000000000002</v>
      </c>
      <c r="D344" s="85">
        <v>5.96</v>
      </c>
      <c r="E344" s="85">
        <v>5.91</v>
      </c>
      <c r="F344" s="85">
        <v>5.92</v>
      </c>
      <c r="G344" s="85"/>
      <c r="H344" s="85"/>
      <c r="I344" s="85"/>
      <c r="J344" s="85">
        <v>5.849000000000002</v>
      </c>
      <c r="K344" s="85">
        <v>5.8</v>
      </c>
      <c r="L344" s="85">
        <v>5.791500000000001</v>
      </c>
      <c r="M344" s="87"/>
      <c r="N344" s="85"/>
      <c r="O344" s="85"/>
      <c r="P344" s="85"/>
      <c r="Q344" s="85"/>
    </row>
    <row r="345" spans="1:17" s="56" customFormat="1">
      <c r="A345" s="71">
        <v>35520</v>
      </c>
      <c r="B345" s="85">
        <v>6</v>
      </c>
      <c r="C345" s="85">
        <v>6.0389999999999997</v>
      </c>
      <c r="D345" s="85">
        <v>6.03</v>
      </c>
      <c r="E345" s="85">
        <v>6.05</v>
      </c>
      <c r="F345" s="85">
        <v>6.12</v>
      </c>
      <c r="G345" s="85"/>
      <c r="H345" s="85"/>
      <c r="I345" s="85"/>
      <c r="J345" s="85">
        <v>5.9</v>
      </c>
      <c r="K345" s="85">
        <v>5.9131578947368437</v>
      </c>
      <c r="L345" s="85">
        <v>5.9326315789473689</v>
      </c>
      <c r="M345" s="87"/>
      <c r="N345" s="85"/>
      <c r="O345" s="85"/>
      <c r="P345" s="85"/>
      <c r="Q345" s="85"/>
    </row>
    <row r="346" spans="1:17" s="56" customFormat="1">
      <c r="A346" s="71">
        <v>35550</v>
      </c>
      <c r="B346" s="85">
        <v>6</v>
      </c>
      <c r="C346" s="85">
        <v>6.0540000000000003</v>
      </c>
      <c r="D346" s="85">
        <v>6.04</v>
      </c>
      <c r="E346" s="85">
        <v>6.04</v>
      </c>
      <c r="F346" s="85">
        <v>6.08</v>
      </c>
      <c r="G346" s="85"/>
      <c r="H346" s="85"/>
      <c r="I346" s="85"/>
      <c r="J346" s="85">
        <v>5.8828571428571426</v>
      </c>
      <c r="K346" s="85">
        <v>5.8704761904761904</v>
      </c>
      <c r="L346" s="85">
        <v>5.8819047619047602</v>
      </c>
      <c r="M346" s="87"/>
      <c r="N346" s="85"/>
      <c r="O346" s="85"/>
      <c r="P346" s="85"/>
      <c r="Q346" s="85"/>
    </row>
    <row r="347" spans="1:17" s="56" customFormat="1">
      <c r="A347" s="71">
        <v>35581</v>
      </c>
      <c r="B347" s="85">
        <v>5.8636363636363633</v>
      </c>
      <c r="C347" s="85">
        <v>5.91</v>
      </c>
      <c r="D347" s="85">
        <v>5.9</v>
      </c>
      <c r="E347" s="85">
        <v>5.87</v>
      </c>
      <c r="F347" s="85">
        <v>5.9</v>
      </c>
      <c r="G347" s="85"/>
      <c r="H347" s="85"/>
      <c r="I347" s="85"/>
      <c r="J347" s="85">
        <v>5.7331818181818184</v>
      </c>
      <c r="K347" s="85">
        <v>5.6904545454545454</v>
      </c>
      <c r="L347" s="85">
        <v>5.6809090909090907</v>
      </c>
      <c r="M347" s="87"/>
      <c r="N347" s="85"/>
      <c r="O347" s="85"/>
      <c r="P347" s="85"/>
      <c r="Q347" s="85"/>
    </row>
    <row r="348" spans="1:17" s="56" customFormat="1">
      <c r="A348" s="71">
        <v>35611</v>
      </c>
      <c r="B348" s="85">
        <v>5.5</v>
      </c>
      <c r="C348" s="85">
        <v>5.57</v>
      </c>
      <c r="D348" s="85">
        <v>5.44</v>
      </c>
      <c r="E348" s="85">
        <v>5.35</v>
      </c>
      <c r="F348" s="85">
        <v>5.31</v>
      </c>
      <c r="G348" s="85"/>
      <c r="H348" s="85"/>
      <c r="I348" s="85"/>
      <c r="J348" s="85">
        <v>5.3215000000000003</v>
      </c>
      <c r="K348" s="85">
        <v>5.2359999999999989</v>
      </c>
      <c r="L348" s="85">
        <v>5.2004999999999999</v>
      </c>
      <c r="M348" s="87"/>
      <c r="N348" s="85"/>
      <c r="O348" s="85"/>
      <c r="P348" s="85"/>
      <c r="Q348" s="85"/>
    </row>
    <row r="349" spans="1:17" s="56" customFormat="1">
      <c r="A349" s="71">
        <v>35642</v>
      </c>
      <c r="B349" s="85">
        <v>5.4565217391304346</v>
      </c>
      <c r="C349" s="85">
        <v>5.4429999999999996</v>
      </c>
      <c r="D349" s="85">
        <v>5.31</v>
      </c>
      <c r="E349" s="85">
        <v>5.19</v>
      </c>
      <c r="F349" s="85">
        <v>5.15</v>
      </c>
      <c r="G349" s="85"/>
      <c r="H349" s="85"/>
      <c r="I349" s="85"/>
      <c r="J349" s="85">
        <v>5.2282608695652169</v>
      </c>
      <c r="K349" s="85">
        <v>5.1069565217391304</v>
      </c>
      <c r="L349" s="85">
        <v>5.0526086956521743</v>
      </c>
      <c r="M349" s="87"/>
      <c r="N349" s="85"/>
      <c r="O349" s="85"/>
      <c r="P349" s="85"/>
      <c r="Q349" s="85"/>
    </row>
    <row r="350" spans="1:17" s="56" customFormat="1">
      <c r="A350" s="71">
        <v>35673</v>
      </c>
      <c r="B350" s="85">
        <v>5</v>
      </c>
      <c r="C350" s="85">
        <v>4.9749999999999996</v>
      </c>
      <c r="D350" s="85">
        <v>4.9400000000000004</v>
      </c>
      <c r="E350" s="85">
        <v>4.9000000000000004</v>
      </c>
      <c r="F350" s="85">
        <v>4.88</v>
      </c>
      <c r="G350" s="85"/>
      <c r="H350" s="85"/>
      <c r="I350" s="85"/>
      <c r="J350" s="85">
        <v>4.8842857142857143</v>
      </c>
      <c r="K350" s="85">
        <v>4.8385714285714281</v>
      </c>
      <c r="L350" s="85">
        <v>4.8061904761904772</v>
      </c>
      <c r="M350" s="87"/>
      <c r="N350" s="85"/>
      <c r="O350" s="85"/>
      <c r="P350" s="85"/>
      <c r="Q350" s="85"/>
    </row>
    <row r="351" spans="1:17" s="56" customFormat="1">
      <c r="A351" s="71">
        <v>35703</v>
      </c>
      <c r="B351" s="85">
        <v>5</v>
      </c>
      <c r="C351" s="85">
        <v>4.984</v>
      </c>
      <c r="D351" s="85">
        <v>4.8899999999999997</v>
      </c>
      <c r="E351" s="85">
        <v>4.7699999999999996</v>
      </c>
      <c r="F351" s="85">
        <v>4.7300000000000004</v>
      </c>
      <c r="G351" s="85"/>
      <c r="H351" s="85"/>
      <c r="I351" s="85"/>
      <c r="J351" s="85">
        <v>4.8213636363636363</v>
      </c>
      <c r="K351" s="85">
        <v>4.705454545454546</v>
      </c>
      <c r="L351" s="85">
        <v>4.6640909090909091</v>
      </c>
      <c r="M351" s="87"/>
      <c r="N351" s="85"/>
      <c r="O351" s="85"/>
      <c r="P351" s="85"/>
      <c r="Q351" s="85"/>
    </row>
    <row r="352" spans="1:17" s="56" customFormat="1">
      <c r="A352" s="71">
        <v>35734</v>
      </c>
      <c r="B352" s="85">
        <v>5</v>
      </c>
      <c r="C352" s="85">
        <v>4.9829999999999997</v>
      </c>
      <c r="D352" s="85">
        <v>4.9000000000000004</v>
      </c>
      <c r="E352" s="85">
        <v>4.83</v>
      </c>
      <c r="F352" s="85">
        <v>4.8099999999999996</v>
      </c>
      <c r="G352" s="85"/>
      <c r="H352" s="85"/>
      <c r="I352" s="85"/>
      <c r="J352" s="85">
        <v>4.8404347826086953</v>
      </c>
      <c r="K352" s="85">
        <v>4.7573913043478253</v>
      </c>
      <c r="L352" s="85">
        <v>4.7386956521739121</v>
      </c>
      <c r="M352" s="87"/>
      <c r="N352" s="85"/>
      <c r="O352" s="85"/>
      <c r="P352" s="85"/>
      <c r="Q352" s="85"/>
    </row>
    <row r="353" spans="1:17" s="56" customFormat="1">
      <c r="A353" s="71">
        <v>35764</v>
      </c>
      <c r="B353" s="85">
        <v>5</v>
      </c>
      <c r="C353" s="85">
        <v>5.0039999999999996</v>
      </c>
      <c r="D353" s="85">
        <v>4.96</v>
      </c>
      <c r="E353" s="85">
        <v>4.95</v>
      </c>
      <c r="F353" s="85">
        <v>4.95</v>
      </c>
      <c r="G353" s="85"/>
      <c r="H353" s="85"/>
      <c r="I353" s="85"/>
      <c r="J353" s="85">
        <v>4.9060000000000006</v>
      </c>
      <c r="K353" s="85">
        <v>4.8830000000000009</v>
      </c>
      <c r="L353" s="85">
        <v>4.8715000000000011</v>
      </c>
      <c r="M353" s="87"/>
      <c r="N353" s="85"/>
      <c r="O353" s="85"/>
      <c r="P353" s="85"/>
      <c r="Q353" s="85"/>
    </row>
    <row r="354" spans="1:17" s="56" customFormat="1">
      <c r="A354" s="71">
        <v>35795</v>
      </c>
      <c r="B354" s="85">
        <v>5</v>
      </c>
      <c r="C354" s="85">
        <v>5.0250000000000004</v>
      </c>
      <c r="D354" s="85">
        <v>5.05</v>
      </c>
      <c r="E354" s="85">
        <v>5.07</v>
      </c>
      <c r="F354" s="85">
        <v>5.1100000000000003</v>
      </c>
      <c r="G354" s="85"/>
      <c r="H354" s="85"/>
      <c r="I354" s="85"/>
      <c r="J354" s="85">
        <v>4.9585714285714282</v>
      </c>
      <c r="K354" s="85">
        <v>4.9638095238095232</v>
      </c>
      <c r="L354" s="85">
        <v>4.9728571428571433</v>
      </c>
      <c r="M354" s="87"/>
      <c r="N354" s="85"/>
      <c r="O354" s="85"/>
      <c r="P354" s="85"/>
      <c r="Q354" s="85"/>
    </row>
    <row r="355" spans="1:17" s="56" customFormat="1">
      <c r="A355" s="71">
        <v>35826</v>
      </c>
      <c r="B355" s="85">
        <v>5</v>
      </c>
      <c r="C355" s="85">
        <v>5.0010000000000003</v>
      </c>
      <c r="D355" s="85">
        <v>5</v>
      </c>
      <c r="E355" s="85">
        <v>4.99</v>
      </c>
      <c r="F355" s="85">
        <v>4.9800000000000004</v>
      </c>
      <c r="G355" s="85"/>
      <c r="H355" s="85"/>
      <c r="I355" s="85"/>
      <c r="J355" s="85">
        <v>4.9340000000000002</v>
      </c>
      <c r="K355" s="85">
        <v>4.91</v>
      </c>
      <c r="L355" s="85">
        <v>4.8940000000000001</v>
      </c>
      <c r="M355" s="87"/>
      <c r="N355" s="85"/>
      <c r="O355" s="85"/>
      <c r="P355" s="85"/>
      <c r="Q355" s="85"/>
    </row>
    <row r="356" spans="1:17" s="56" customFormat="1">
      <c r="A356" s="71">
        <v>35854</v>
      </c>
      <c r="B356" s="85">
        <v>5</v>
      </c>
      <c r="C356" s="85">
        <v>4.9829999999999997</v>
      </c>
      <c r="D356" s="85">
        <v>4.99</v>
      </c>
      <c r="E356" s="85">
        <v>4.97</v>
      </c>
      <c r="F356" s="85">
        <v>4.96</v>
      </c>
      <c r="G356" s="85"/>
      <c r="H356" s="85"/>
      <c r="I356" s="85"/>
      <c r="J356" s="85">
        <v>4.9454999999999991</v>
      </c>
      <c r="K356" s="85">
        <v>4.9124999999999996</v>
      </c>
      <c r="L356" s="85">
        <v>4.8760000000000003</v>
      </c>
      <c r="M356" s="87"/>
      <c r="N356" s="85"/>
      <c r="O356" s="85"/>
      <c r="P356" s="85"/>
      <c r="Q356" s="85"/>
    </row>
    <row r="357" spans="1:17" s="56" customFormat="1">
      <c r="A357" s="71">
        <v>35885</v>
      </c>
      <c r="B357" s="85">
        <v>5</v>
      </c>
      <c r="C357" s="85">
        <v>4.9960000000000004</v>
      </c>
      <c r="D357" s="85">
        <v>4.99</v>
      </c>
      <c r="E357" s="85">
        <v>4.96</v>
      </c>
      <c r="F357" s="85">
        <v>4.9400000000000004</v>
      </c>
      <c r="G357" s="85"/>
      <c r="H357" s="85"/>
      <c r="I357" s="85"/>
      <c r="J357" s="85">
        <v>4.93</v>
      </c>
      <c r="K357" s="85">
        <v>4.88</v>
      </c>
      <c r="L357" s="85">
        <v>4.8331818181818171</v>
      </c>
      <c r="M357" s="87"/>
      <c r="N357" s="85"/>
      <c r="O357" s="85"/>
      <c r="P357" s="85"/>
      <c r="Q357" s="85"/>
    </row>
    <row r="358" spans="1:17" s="56" customFormat="1">
      <c r="A358" s="71">
        <v>35915</v>
      </c>
      <c r="B358" s="85">
        <v>5</v>
      </c>
      <c r="C358" s="85">
        <v>4.9800000000000004</v>
      </c>
      <c r="D358" s="85">
        <v>4.96</v>
      </c>
      <c r="E358" s="85">
        <v>4.92</v>
      </c>
      <c r="F358" s="85">
        <v>4.88</v>
      </c>
      <c r="G358" s="85"/>
      <c r="H358" s="85"/>
      <c r="I358" s="85"/>
      <c r="J358" s="85">
        <v>4.8945000000000007</v>
      </c>
      <c r="K358" s="85">
        <v>4.8109999999999999</v>
      </c>
      <c r="L358" s="85">
        <v>4.7635000000000005</v>
      </c>
      <c r="M358" s="87"/>
      <c r="N358" s="85"/>
      <c r="O358" s="85"/>
      <c r="P358" s="85"/>
      <c r="Q358" s="85"/>
    </row>
    <row r="359" spans="1:17" s="56" customFormat="1">
      <c r="A359" s="71">
        <v>35946</v>
      </c>
      <c r="B359" s="85">
        <v>5</v>
      </c>
      <c r="C359" s="85">
        <v>5</v>
      </c>
      <c r="D359" s="85">
        <v>5</v>
      </c>
      <c r="E359" s="85">
        <v>4.96</v>
      </c>
      <c r="F359" s="85">
        <v>4.95</v>
      </c>
      <c r="G359" s="85"/>
      <c r="H359" s="85"/>
      <c r="I359" s="85"/>
      <c r="J359" s="85">
        <v>4.9066666666666672</v>
      </c>
      <c r="K359" s="85">
        <v>4.8390476190476193</v>
      </c>
      <c r="L359" s="85">
        <v>4.8119047619047626</v>
      </c>
      <c r="M359" s="87"/>
      <c r="N359" s="85"/>
      <c r="O359" s="85"/>
      <c r="P359" s="85"/>
      <c r="Q359" s="85"/>
    </row>
    <row r="360" spans="1:17" s="56" customFormat="1">
      <c r="A360" s="71">
        <v>35976</v>
      </c>
      <c r="B360" s="85">
        <v>5</v>
      </c>
      <c r="C360" s="85">
        <v>5.0720000000000001</v>
      </c>
      <c r="D360" s="85">
        <v>5.27</v>
      </c>
      <c r="E360" s="85">
        <v>5.32</v>
      </c>
      <c r="F360" s="85">
        <v>5.39</v>
      </c>
      <c r="G360" s="85"/>
      <c r="H360" s="85"/>
      <c r="I360" s="85"/>
      <c r="J360" s="85">
        <v>4.9380952380952383</v>
      </c>
      <c r="K360" s="85">
        <v>4.9761904761904763</v>
      </c>
      <c r="L360" s="85">
        <v>5.0138095238095239</v>
      </c>
      <c r="M360" s="87"/>
      <c r="N360" s="85"/>
      <c r="O360" s="85"/>
      <c r="P360" s="85"/>
      <c r="Q360" s="85"/>
    </row>
    <row r="361" spans="1:17" s="56" customFormat="1">
      <c r="A361" s="71">
        <v>36007</v>
      </c>
      <c r="B361" s="85">
        <v>5</v>
      </c>
      <c r="C361" s="85">
        <v>4.9800000000000004</v>
      </c>
      <c r="D361" s="85">
        <v>5.0999999999999996</v>
      </c>
      <c r="E361" s="85">
        <v>5.17</v>
      </c>
      <c r="F361" s="85">
        <v>5.23</v>
      </c>
      <c r="G361" s="85"/>
      <c r="H361" s="85"/>
      <c r="I361" s="85"/>
      <c r="J361" s="85">
        <v>4.888260869565217</v>
      </c>
      <c r="K361" s="85">
        <v>4.9365217391304359</v>
      </c>
      <c r="L361" s="85">
        <v>4.9826086956521722</v>
      </c>
      <c r="M361" s="87"/>
      <c r="N361" s="85"/>
      <c r="O361" s="85"/>
      <c r="P361" s="85"/>
      <c r="Q361" s="85"/>
    </row>
    <row r="362" spans="1:17" s="56" customFormat="1">
      <c r="A362" s="71">
        <v>36038</v>
      </c>
      <c r="B362" s="85">
        <v>5</v>
      </c>
      <c r="C362" s="85">
        <v>4.97</v>
      </c>
      <c r="D362" s="85">
        <v>5.12</v>
      </c>
      <c r="E362" s="85">
        <v>5.19</v>
      </c>
      <c r="F362" s="85">
        <v>5.25</v>
      </c>
      <c r="G362" s="85"/>
      <c r="H362" s="85"/>
      <c r="I362" s="85"/>
      <c r="J362" s="85">
        <v>4.9314285714285715</v>
      </c>
      <c r="K362" s="85">
        <v>4.9628571428571426</v>
      </c>
      <c r="L362" s="85">
        <v>5.0033333333333347</v>
      </c>
      <c r="M362" s="87"/>
      <c r="N362" s="85"/>
      <c r="O362" s="85"/>
      <c r="P362" s="85"/>
      <c r="Q362" s="85"/>
    </row>
    <row r="363" spans="1:17" s="56" customFormat="1">
      <c r="A363" s="71">
        <v>36068</v>
      </c>
      <c r="B363" s="85">
        <v>5</v>
      </c>
      <c r="C363" s="85">
        <v>4.97</v>
      </c>
      <c r="D363" s="85">
        <v>5.03</v>
      </c>
      <c r="E363" s="85">
        <v>5.03</v>
      </c>
      <c r="F363" s="85">
        <v>5.04</v>
      </c>
      <c r="G363" s="85"/>
      <c r="H363" s="85"/>
      <c r="I363" s="85"/>
      <c r="J363" s="85">
        <v>4.9249999999999998</v>
      </c>
      <c r="K363" s="85">
        <v>4.8477272727272718</v>
      </c>
      <c r="L363" s="85">
        <v>4.8040909090909096</v>
      </c>
      <c r="M363" s="87"/>
      <c r="N363" s="85"/>
      <c r="O363" s="85"/>
      <c r="P363" s="85"/>
      <c r="Q363" s="85"/>
    </row>
    <row r="364" spans="1:17" s="56" customFormat="1">
      <c r="A364" s="71">
        <v>36099</v>
      </c>
      <c r="B364" s="85">
        <v>5</v>
      </c>
      <c r="C364" s="85">
        <v>4.9690000000000003</v>
      </c>
      <c r="D364" s="85">
        <v>4.93</v>
      </c>
      <c r="E364" s="85">
        <v>4.83</v>
      </c>
      <c r="F364" s="85">
        <v>4.72</v>
      </c>
      <c r="G364" s="85"/>
      <c r="H364" s="85"/>
      <c r="I364" s="85"/>
      <c r="J364" s="85">
        <v>4.8854545454545466</v>
      </c>
      <c r="K364" s="85">
        <v>4.6954545454545462</v>
      </c>
      <c r="L364" s="85">
        <v>4.5763636363636371</v>
      </c>
      <c r="M364" s="87"/>
      <c r="N364" s="85"/>
      <c r="O364" s="85"/>
      <c r="P364" s="85"/>
      <c r="Q364" s="85"/>
    </row>
    <row r="365" spans="1:17" s="56" customFormat="1">
      <c r="A365" s="71">
        <v>36129</v>
      </c>
      <c r="B365" s="85">
        <v>5</v>
      </c>
      <c r="C365" s="85">
        <v>4.9800000000000004</v>
      </c>
      <c r="D365" s="85">
        <v>4.97</v>
      </c>
      <c r="E365" s="85">
        <v>4.88</v>
      </c>
      <c r="F365" s="85">
        <v>4.83</v>
      </c>
      <c r="G365" s="85"/>
      <c r="H365" s="85"/>
      <c r="I365" s="85"/>
      <c r="J365" s="85">
        <v>4.8509523809523802</v>
      </c>
      <c r="K365" s="85">
        <v>4.7019047619047623</v>
      </c>
      <c r="L365" s="85">
        <v>4.6438095238095247</v>
      </c>
      <c r="M365" s="87"/>
      <c r="N365" s="85"/>
      <c r="O365" s="85"/>
      <c r="P365" s="85"/>
      <c r="Q365" s="85"/>
    </row>
    <row r="366" spans="1:17" s="56" customFormat="1">
      <c r="A366" s="71">
        <v>36160</v>
      </c>
      <c r="B366" s="85">
        <v>4.7619047619047619</v>
      </c>
      <c r="C366" s="85">
        <v>4.7519999999999998</v>
      </c>
      <c r="D366" s="85">
        <v>4.87</v>
      </c>
      <c r="E366" s="85">
        <v>4.8</v>
      </c>
      <c r="F366" s="85">
        <v>4.72</v>
      </c>
      <c r="G366" s="85"/>
      <c r="H366" s="85"/>
      <c r="I366" s="85"/>
      <c r="J366" s="85">
        <v>4.6376190476190473</v>
      </c>
      <c r="K366" s="85">
        <v>4.5685714285714294</v>
      </c>
      <c r="L366" s="85">
        <v>4.5076190476190474</v>
      </c>
      <c r="M366" s="87"/>
      <c r="N366" s="85"/>
      <c r="O366" s="85"/>
      <c r="P366" s="85"/>
      <c r="Q366" s="85"/>
    </row>
    <row r="367" spans="1:17" s="56" customFormat="1">
      <c r="A367" s="71">
        <v>36191</v>
      </c>
      <c r="B367" s="85">
        <v>4.75</v>
      </c>
      <c r="C367" s="85">
        <v>4.7169999999999996</v>
      </c>
      <c r="D367" s="85">
        <v>4.8</v>
      </c>
      <c r="E367" s="85">
        <v>4.79</v>
      </c>
      <c r="F367" s="85">
        <v>4.8</v>
      </c>
      <c r="G367" s="85"/>
      <c r="H367" s="85"/>
      <c r="I367" s="85"/>
      <c r="J367" s="85">
        <v>4.6742105263157905</v>
      </c>
      <c r="K367" s="85">
        <v>4.6542105263157891</v>
      </c>
      <c r="L367" s="85">
        <v>4.642631578947368</v>
      </c>
      <c r="M367" s="87"/>
      <c r="N367" s="85"/>
      <c r="O367" s="85"/>
      <c r="P367" s="85"/>
      <c r="Q367" s="85"/>
    </row>
    <row r="368" spans="1:17" s="56" customFormat="1">
      <c r="A368" s="71">
        <v>36219</v>
      </c>
      <c r="B368" s="85">
        <v>4.75</v>
      </c>
      <c r="C368" s="85">
        <v>4.72</v>
      </c>
      <c r="D368" s="85">
        <v>4.78</v>
      </c>
      <c r="E368" s="85">
        <v>4.7699999999999996</v>
      </c>
      <c r="F368" s="85">
        <v>4.79</v>
      </c>
      <c r="G368" s="85"/>
      <c r="H368" s="85"/>
      <c r="I368" s="85"/>
      <c r="J368" s="85">
        <v>4.68</v>
      </c>
      <c r="K368" s="85">
        <v>4.67</v>
      </c>
      <c r="L368" s="85">
        <v>4.665</v>
      </c>
      <c r="M368" s="87"/>
      <c r="N368" s="85"/>
      <c r="O368" s="85"/>
      <c r="P368" s="85"/>
      <c r="Q368" s="85"/>
    </row>
    <row r="369" spans="1:17" s="56" customFormat="1">
      <c r="A369" s="71">
        <v>36250</v>
      </c>
      <c r="B369" s="85">
        <v>4.75</v>
      </c>
      <c r="C369" s="85">
        <v>4.74</v>
      </c>
      <c r="D369" s="85">
        <v>4.8099999999999996</v>
      </c>
      <c r="E369" s="85">
        <v>4.8099999999999996</v>
      </c>
      <c r="F369" s="85">
        <v>4.83</v>
      </c>
      <c r="G369" s="85"/>
      <c r="H369" s="85"/>
      <c r="I369" s="85"/>
      <c r="J369" s="85">
        <v>4.672173913043479</v>
      </c>
      <c r="K369" s="85">
        <v>4.6656521739130428</v>
      </c>
      <c r="L369" s="85">
        <v>4.6643478260869573</v>
      </c>
      <c r="M369" s="87"/>
      <c r="N369" s="85"/>
      <c r="O369" s="85"/>
      <c r="P369" s="85"/>
      <c r="Q369" s="85"/>
    </row>
    <row r="370" spans="1:17" s="56" customFormat="1">
      <c r="A370" s="71">
        <v>36280</v>
      </c>
      <c r="B370" s="85">
        <v>4.75</v>
      </c>
      <c r="C370" s="85">
        <v>4.74</v>
      </c>
      <c r="D370" s="85">
        <v>4.79</v>
      </c>
      <c r="E370" s="85">
        <v>4.76</v>
      </c>
      <c r="F370" s="85">
        <v>4.76</v>
      </c>
      <c r="G370" s="85"/>
      <c r="H370" s="85"/>
      <c r="I370" s="85"/>
      <c r="J370" s="85">
        <v>4.6535000000000011</v>
      </c>
      <c r="K370" s="85">
        <v>4.625</v>
      </c>
      <c r="L370" s="85">
        <v>4.6129999999999987</v>
      </c>
      <c r="M370" s="87"/>
      <c r="N370" s="85"/>
      <c r="O370" s="85"/>
      <c r="P370" s="85"/>
      <c r="Q370" s="85"/>
    </row>
    <row r="371" spans="1:17" s="56" customFormat="1">
      <c r="A371" s="71">
        <v>36311</v>
      </c>
      <c r="B371" s="85">
        <v>4.75</v>
      </c>
      <c r="C371" s="85">
        <v>4.75</v>
      </c>
      <c r="D371" s="85">
        <v>4.84</v>
      </c>
      <c r="E371" s="85">
        <v>4.8600000000000003</v>
      </c>
      <c r="F371" s="85">
        <v>4.93</v>
      </c>
      <c r="G371" s="85"/>
      <c r="H371" s="85"/>
      <c r="I371" s="85"/>
      <c r="J371" s="85">
        <v>4.6747619047619056</v>
      </c>
      <c r="K371" s="85">
        <v>4.6819047619047618</v>
      </c>
      <c r="L371" s="85">
        <v>4.6938095238095237</v>
      </c>
      <c r="M371" s="87"/>
      <c r="N371" s="85"/>
      <c r="O371" s="85"/>
      <c r="P371" s="85"/>
      <c r="Q371" s="85"/>
    </row>
    <row r="372" spans="1:17" s="56" customFormat="1">
      <c r="A372" s="71">
        <v>36341</v>
      </c>
      <c r="B372" s="85">
        <v>4.75</v>
      </c>
      <c r="C372" s="85">
        <v>4.76</v>
      </c>
      <c r="D372" s="85">
        <v>4.91</v>
      </c>
      <c r="E372" s="85">
        <v>4.93</v>
      </c>
      <c r="F372" s="85">
        <v>5.0199999999999996</v>
      </c>
      <c r="G372" s="85"/>
      <c r="H372" s="85"/>
      <c r="I372" s="85"/>
      <c r="J372" s="85">
        <v>4.6661904761904758</v>
      </c>
      <c r="K372" s="85">
        <v>4.6871428571428568</v>
      </c>
      <c r="L372" s="85">
        <v>4.7171428571428562</v>
      </c>
      <c r="M372" s="87"/>
      <c r="N372" s="85"/>
      <c r="O372" s="85"/>
      <c r="P372" s="85"/>
      <c r="Q372" s="85"/>
    </row>
    <row r="373" spans="1:17" s="56" customFormat="1">
      <c r="A373" s="71">
        <v>36372</v>
      </c>
      <c r="B373" s="85">
        <v>4.75</v>
      </c>
      <c r="C373" s="85">
        <v>4.74</v>
      </c>
      <c r="D373" s="85">
        <v>4.8600000000000003</v>
      </c>
      <c r="E373" s="85">
        <v>4.8899999999999997</v>
      </c>
      <c r="F373" s="85">
        <v>5.01</v>
      </c>
      <c r="G373" s="85"/>
      <c r="H373" s="85"/>
      <c r="I373" s="85"/>
      <c r="J373" s="85">
        <v>4.6754545454545458</v>
      </c>
      <c r="K373" s="85">
        <v>4.6936363636363643</v>
      </c>
      <c r="L373" s="85">
        <v>4.7</v>
      </c>
      <c r="M373" s="87"/>
      <c r="N373" s="85"/>
      <c r="O373" s="85"/>
      <c r="P373" s="85"/>
      <c r="Q373" s="85"/>
    </row>
    <row r="374" spans="1:17" s="56" customFormat="1">
      <c r="A374" s="71">
        <v>36403</v>
      </c>
      <c r="B374" s="85">
        <v>4.75</v>
      </c>
      <c r="C374" s="85">
        <v>4.7300000000000004</v>
      </c>
      <c r="D374" s="85">
        <v>4.8600000000000003</v>
      </c>
      <c r="E374" s="85">
        <v>4.92</v>
      </c>
      <c r="F374" s="85">
        <v>5.08</v>
      </c>
      <c r="G374" s="85"/>
      <c r="H374" s="85"/>
      <c r="I374" s="85"/>
      <c r="J374" s="85">
        <v>4.7431818181818182</v>
      </c>
      <c r="K374" s="85">
        <v>4.7381818181818183</v>
      </c>
      <c r="L374" s="85">
        <v>4.7145454545454548</v>
      </c>
      <c r="M374" s="87"/>
      <c r="N374" s="85"/>
      <c r="O374" s="85"/>
      <c r="P374" s="85"/>
      <c r="Q374" s="85"/>
    </row>
    <row r="375" spans="1:17" s="56" customFormat="1">
      <c r="A375" s="71">
        <v>36433</v>
      </c>
      <c r="B375" s="85">
        <v>4.75</v>
      </c>
      <c r="C375" s="85">
        <v>4.75</v>
      </c>
      <c r="D375" s="85">
        <v>4.93</v>
      </c>
      <c r="E375" s="85">
        <v>5.01</v>
      </c>
      <c r="F375" s="85">
        <v>5.24</v>
      </c>
      <c r="G375" s="85"/>
      <c r="H375" s="85"/>
      <c r="I375" s="85"/>
      <c r="J375" s="85">
        <v>4.7640909090909069</v>
      </c>
      <c r="K375" s="85">
        <v>4.7718181818181824</v>
      </c>
      <c r="L375" s="85">
        <v>4.7690909090909113</v>
      </c>
      <c r="M375" s="87"/>
      <c r="N375" s="85"/>
      <c r="O375" s="85"/>
      <c r="P375" s="85"/>
      <c r="Q375" s="85"/>
    </row>
    <row r="376" spans="1:17" s="56" customFormat="1">
      <c r="A376" s="71">
        <v>36464</v>
      </c>
      <c r="B376" s="85">
        <v>4.75</v>
      </c>
      <c r="C376" s="85">
        <v>4.75</v>
      </c>
      <c r="D376" s="85">
        <v>5.03</v>
      </c>
      <c r="E376" s="85">
        <v>5.31</v>
      </c>
      <c r="F376" s="85">
        <v>5.54</v>
      </c>
      <c r="G376" s="85"/>
      <c r="H376" s="85"/>
      <c r="I376" s="85"/>
      <c r="J376" s="85">
        <v>4.8123809523809529</v>
      </c>
      <c r="K376" s="85">
        <v>4.8695238095238098</v>
      </c>
      <c r="L376" s="85">
        <v>4.8971428571428568</v>
      </c>
      <c r="M376" s="87"/>
      <c r="N376" s="85"/>
      <c r="O376" s="85"/>
      <c r="P376" s="85"/>
      <c r="Q376" s="85"/>
    </row>
    <row r="377" spans="1:17" s="56" customFormat="1">
      <c r="A377" s="71">
        <v>36494</v>
      </c>
      <c r="B377" s="85">
        <v>4.9772727272727275</v>
      </c>
      <c r="C377" s="85">
        <v>4.9800000000000004</v>
      </c>
      <c r="D377" s="85">
        <v>5.17</v>
      </c>
      <c r="E377" s="85">
        <v>5.44</v>
      </c>
      <c r="F377" s="85">
        <v>5.67</v>
      </c>
      <c r="G377" s="85"/>
      <c r="H377" s="85"/>
      <c r="I377" s="85"/>
      <c r="J377" s="85">
        <v>4.9754545454545456</v>
      </c>
      <c r="K377" s="85">
        <v>5.0090909090909106</v>
      </c>
      <c r="L377" s="85">
        <v>5.0495454545454539</v>
      </c>
      <c r="M377" s="87"/>
      <c r="N377" s="85"/>
      <c r="O377" s="85"/>
      <c r="P377" s="85"/>
      <c r="Q377" s="85"/>
    </row>
    <row r="378" spans="1:17" s="56" customFormat="1">
      <c r="A378" s="71">
        <v>36525</v>
      </c>
      <c r="B378" s="85">
        <v>5</v>
      </c>
      <c r="C378" s="85">
        <v>4.97</v>
      </c>
      <c r="D378" s="85">
        <v>5.52</v>
      </c>
      <c r="E378" s="85">
        <v>5.65</v>
      </c>
      <c r="F378" s="85">
        <v>5.79</v>
      </c>
      <c r="G378" s="85"/>
      <c r="H378" s="85"/>
      <c r="I378" s="85"/>
      <c r="J378" s="85">
        <v>4.9814285714285704</v>
      </c>
      <c r="K378" s="85">
        <v>5.0352380952380944</v>
      </c>
      <c r="L378" s="85">
        <v>5.1366666666666676</v>
      </c>
      <c r="M378" s="87"/>
      <c r="N378" s="85"/>
      <c r="O378" s="85"/>
      <c r="P378" s="85"/>
      <c r="Q378" s="85"/>
    </row>
    <row r="379" spans="1:17" s="56" customFormat="1">
      <c r="A379" s="71">
        <v>36556</v>
      </c>
      <c r="B379" s="85">
        <v>5</v>
      </c>
      <c r="C379" s="85">
        <v>4.9800000000000004</v>
      </c>
      <c r="D379" s="85">
        <v>5.33</v>
      </c>
      <c r="E379" s="85">
        <v>5.66</v>
      </c>
      <c r="F379" s="85">
        <v>5.99</v>
      </c>
      <c r="G379" s="85"/>
      <c r="H379" s="85"/>
      <c r="I379" s="85"/>
      <c r="J379" s="85">
        <v>5.12</v>
      </c>
      <c r="K379" s="85">
        <v>5.3868421052631579</v>
      </c>
      <c r="L379" s="85">
        <v>5.5563157894736834</v>
      </c>
      <c r="M379" s="87"/>
      <c r="N379" s="85"/>
      <c r="O379" s="85"/>
      <c r="P379" s="85"/>
      <c r="Q379" s="85"/>
    </row>
    <row r="380" spans="1:17" s="56" customFormat="1">
      <c r="A380" s="71">
        <v>36585</v>
      </c>
      <c r="B380" s="85">
        <v>5.4761904761904763</v>
      </c>
      <c r="C380" s="85">
        <v>5.46</v>
      </c>
      <c r="D380" s="85">
        <v>5.6</v>
      </c>
      <c r="E380" s="85">
        <v>5.8</v>
      </c>
      <c r="F380" s="85">
        <v>6.08</v>
      </c>
      <c r="G380" s="85"/>
      <c r="H380" s="85"/>
      <c r="I380" s="85"/>
      <c r="J380" s="85">
        <v>5.4514285714285693</v>
      </c>
      <c r="K380" s="85">
        <v>5.6642857142857155</v>
      </c>
      <c r="L380" s="85">
        <v>5.9657142857142862</v>
      </c>
      <c r="M380" s="87"/>
      <c r="N380" s="85"/>
      <c r="O380" s="85"/>
      <c r="P380" s="85"/>
      <c r="Q380" s="85"/>
    </row>
    <row r="381" spans="1:17" s="56" customFormat="1">
      <c r="A381" s="71">
        <v>36616</v>
      </c>
      <c r="B381" s="85">
        <v>5.5</v>
      </c>
      <c r="C381" s="85">
        <v>5.49</v>
      </c>
      <c r="D381" s="85">
        <v>5.64</v>
      </c>
      <c r="E381" s="85">
        <v>5.89</v>
      </c>
      <c r="F381" s="85">
        <v>6.12</v>
      </c>
      <c r="G381" s="85"/>
      <c r="H381" s="85"/>
      <c r="I381" s="85"/>
      <c r="J381" s="85">
        <v>5.4669565217391307</v>
      </c>
      <c r="K381" s="85">
        <v>5.6786956521739125</v>
      </c>
      <c r="L381" s="85">
        <v>5.9486956521739129</v>
      </c>
      <c r="M381" s="87"/>
      <c r="N381" s="85"/>
      <c r="O381" s="85"/>
      <c r="P381" s="85"/>
      <c r="Q381" s="85"/>
    </row>
    <row r="382" spans="1:17" s="56" customFormat="1">
      <c r="A382" s="71">
        <v>36646</v>
      </c>
      <c r="B382" s="85">
        <v>5.7205882352941178</v>
      </c>
      <c r="C382" s="85">
        <v>5.72</v>
      </c>
      <c r="D382" s="85">
        <v>5.88</v>
      </c>
      <c r="E382" s="85">
        <v>6.04</v>
      </c>
      <c r="F382" s="85">
        <v>6.24</v>
      </c>
      <c r="G382" s="85"/>
      <c r="H382" s="85"/>
      <c r="I382" s="85"/>
      <c r="J382" s="85">
        <v>5.7341176470588238</v>
      </c>
      <c r="K382" s="85">
        <v>5.8494117647058825</v>
      </c>
      <c r="L382" s="85">
        <v>6.0441176470588234</v>
      </c>
      <c r="M382" s="87"/>
      <c r="N382" s="85"/>
      <c r="O382" s="85"/>
      <c r="P382" s="85"/>
      <c r="Q382" s="85"/>
    </row>
    <row r="383" spans="1:17" s="56" customFormat="1">
      <c r="A383" s="71">
        <v>36677</v>
      </c>
      <c r="B383" s="85">
        <v>5.9782608695652177</v>
      </c>
      <c r="C383" s="85">
        <v>5.98</v>
      </c>
      <c r="D383" s="85">
        <v>6.14</v>
      </c>
      <c r="E383" s="85">
        <v>6.31</v>
      </c>
      <c r="F383" s="85">
        <v>6.5</v>
      </c>
      <c r="G383" s="85"/>
      <c r="H383" s="85"/>
      <c r="I383" s="85"/>
      <c r="J383" s="85">
        <v>5.8804347826086953</v>
      </c>
      <c r="K383" s="85">
        <v>5.9982608695652173</v>
      </c>
      <c r="L383" s="85">
        <v>6.1765217391304352</v>
      </c>
      <c r="M383" s="87"/>
      <c r="N383" s="85"/>
      <c r="O383" s="85"/>
      <c r="P383" s="85"/>
      <c r="Q383" s="85"/>
    </row>
    <row r="384" spans="1:17" s="56" customFormat="1">
      <c r="A384" s="71">
        <v>36707</v>
      </c>
      <c r="B384" s="85">
        <v>6</v>
      </c>
      <c r="C384" s="85">
        <v>6</v>
      </c>
      <c r="D384" s="85">
        <v>6.18</v>
      </c>
      <c r="E384" s="85">
        <v>6.23</v>
      </c>
      <c r="F384" s="85">
        <v>6.3</v>
      </c>
      <c r="G384" s="85"/>
      <c r="H384" s="85"/>
      <c r="I384" s="85"/>
      <c r="J384" s="85">
        <v>5.8314285714285718</v>
      </c>
      <c r="K384" s="85">
        <v>5.8628571428571421</v>
      </c>
      <c r="L384" s="85">
        <v>5.9638095238095241</v>
      </c>
      <c r="M384" s="87"/>
      <c r="N384" s="85"/>
      <c r="O384" s="85"/>
      <c r="P384" s="85"/>
      <c r="Q384" s="85"/>
    </row>
    <row r="385" spans="1:17" s="56" customFormat="1">
      <c r="A385" s="71">
        <v>36738</v>
      </c>
      <c r="B385" s="85">
        <v>6</v>
      </c>
      <c r="C385" s="85">
        <v>5.99</v>
      </c>
      <c r="D385" s="85">
        <v>6.14</v>
      </c>
      <c r="E385" s="85">
        <v>6.2</v>
      </c>
      <c r="F385" s="85">
        <v>6.27</v>
      </c>
      <c r="G385" s="85"/>
      <c r="H385" s="85"/>
      <c r="I385" s="85"/>
      <c r="J385" s="85">
        <v>5.8952380952380947</v>
      </c>
      <c r="K385" s="85">
        <v>5.9147619047619049</v>
      </c>
      <c r="L385" s="85">
        <v>4.8566666666666674</v>
      </c>
      <c r="M385" s="87"/>
      <c r="N385" s="85"/>
      <c r="O385" s="85"/>
      <c r="P385" s="85"/>
      <c r="Q385" s="85"/>
    </row>
    <row r="386" spans="1:17" s="56" customFormat="1">
      <c r="A386" s="71">
        <v>36769</v>
      </c>
      <c r="B386" s="85">
        <v>6.2391304347826084</v>
      </c>
      <c r="C386" s="85">
        <v>6.24</v>
      </c>
      <c r="D386" s="85">
        <v>6.36</v>
      </c>
      <c r="E386" s="85">
        <v>6.49</v>
      </c>
      <c r="F386" s="85">
        <v>6.61</v>
      </c>
      <c r="G386" s="85"/>
      <c r="H386" s="85"/>
      <c r="I386" s="85"/>
      <c r="J386" s="85">
        <v>6.233478260869564</v>
      </c>
      <c r="K386" s="85">
        <v>6.3634782608695648</v>
      </c>
      <c r="L386" s="85">
        <v>6.4356521739130441</v>
      </c>
      <c r="M386" s="87"/>
      <c r="N386" s="85"/>
      <c r="O386" s="85"/>
      <c r="P386" s="85"/>
      <c r="Q386" s="85"/>
    </row>
    <row r="387" spans="1:17" s="56" customFormat="1">
      <c r="A387" s="71">
        <v>36799</v>
      </c>
      <c r="B387" s="85">
        <v>6.25</v>
      </c>
      <c r="C387" s="85">
        <v>6.24</v>
      </c>
      <c r="D387" s="85">
        <v>6.4</v>
      </c>
      <c r="E387" s="85">
        <v>6.57</v>
      </c>
      <c r="F387" s="85">
        <v>6.65</v>
      </c>
      <c r="G387" s="85"/>
      <c r="H387" s="85"/>
      <c r="I387" s="85"/>
      <c r="J387" s="85">
        <v>6.2871428571428556</v>
      </c>
      <c r="K387" s="85">
        <v>6.4019047619047615</v>
      </c>
      <c r="L387" s="85">
        <v>6.5</v>
      </c>
      <c r="M387" s="87"/>
      <c r="N387" s="85"/>
      <c r="O387" s="85"/>
      <c r="P387" s="85"/>
      <c r="Q387" s="85"/>
    </row>
    <row r="388" spans="1:17" s="56" customFormat="1">
      <c r="A388" s="71">
        <v>36830</v>
      </c>
      <c r="B388" s="85">
        <v>6.25</v>
      </c>
      <c r="C388" s="85">
        <v>6.23</v>
      </c>
      <c r="D388" s="85">
        <v>6.33</v>
      </c>
      <c r="E388" s="85">
        <v>6.41</v>
      </c>
      <c r="F388" s="85">
        <v>6.47</v>
      </c>
      <c r="G388" s="85"/>
      <c r="H388" s="85"/>
      <c r="I388" s="85"/>
      <c r="J388" s="85">
        <v>6.2313636363636355</v>
      </c>
      <c r="K388" s="85">
        <v>6.2750000000000004</v>
      </c>
      <c r="L388" s="85">
        <v>6.3463636363636367</v>
      </c>
      <c r="M388" s="87"/>
      <c r="N388" s="85"/>
      <c r="O388" s="85"/>
      <c r="P388" s="85"/>
      <c r="Q388" s="85"/>
    </row>
    <row r="389" spans="1:17" s="56" customFormat="1">
      <c r="A389" s="71">
        <v>36860</v>
      </c>
      <c r="B389" s="85">
        <v>6.25</v>
      </c>
      <c r="C389" s="85">
        <v>6.22</v>
      </c>
      <c r="D389" s="85">
        <v>6.31</v>
      </c>
      <c r="E389" s="85">
        <v>6.33</v>
      </c>
      <c r="F389" s="85">
        <v>6.36</v>
      </c>
      <c r="G389" s="85"/>
      <c r="H389" s="85"/>
      <c r="I389" s="85"/>
      <c r="J389" s="85">
        <v>6.2072727272727271</v>
      </c>
      <c r="K389" s="85">
        <v>6.2290909090909077</v>
      </c>
      <c r="L389" s="85">
        <v>6.2218181818181799</v>
      </c>
      <c r="M389" s="87"/>
      <c r="N389" s="85"/>
      <c r="O389" s="85"/>
      <c r="P389" s="85"/>
      <c r="Q389" s="85"/>
    </row>
    <row r="390" spans="1:17" s="56" customFormat="1">
      <c r="A390" s="71">
        <v>36891</v>
      </c>
      <c r="B390" s="85">
        <v>6.25</v>
      </c>
      <c r="C390" s="85">
        <v>6.23</v>
      </c>
      <c r="D390" s="85">
        <v>6.27</v>
      </c>
      <c r="E390" s="85">
        <v>6.2</v>
      </c>
      <c r="F390" s="85">
        <v>6.05</v>
      </c>
      <c r="G390" s="85"/>
      <c r="H390" s="85"/>
      <c r="I390" s="85"/>
      <c r="J390" s="85">
        <v>6.1515789473684217</v>
      </c>
      <c r="K390" s="85">
        <v>6.0884210526315785</v>
      </c>
      <c r="L390" s="85">
        <v>5.9205263157894743</v>
      </c>
      <c r="M390" s="87"/>
      <c r="N390" s="85"/>
      <c r="O390" s="85"/>
      <c r="P390" s="85"/>
      <c r="Q390" s="85"/>
    </row>
    <row r="391" spans="1:17" s="56" customFormat="1">
      <c r="A391" s="71">
        <v>36922</v>
      </c>
      <c r="B391" s="85">
        <v>6.25</v>
      </c>
      <c r="C391" s="85">
        <v>6.24</v>
      </c>
      <c r="D391" s="85">
        <v>6.18</v>
      </c>
      <c r="E391" s="85">
        <v>5.91</v>
      </c>
      <c r="F391" s="85">
        <v>5.65</v>
      </c>
      <c r="G391" s="85"/>
      <c r="H391" s="85"/>
      <c r="I391" s="85"/>
      <c r="J391" s="85">
        <v>6.0609523809523811</v>
      </c>
      <c r="K391" s="85">
        <v>5.8019047619047619</v>
      </c>
      <c r="L391" s="85">
        <v>5.5519047619047619</v>
      </c>
      <c r="M391" s="87"/>
      <c r="N391" s="85"/>
      <c r="O391" s="85"/>
      <c r="P391" s="85"/>
      <c r="Q391" s="85"/>
    </row>
    <row r="392" spans="1:17" s="56" customFormat="1">
      <c r="A392" s="71">
        <v>36950</v>
      </c>
      <c r="B392" s="85">
        <v>5.85</v>
      </c>
      <c r="C392" s="85">
        <v>5.84</v>
      </c>
      <c r="D392" s="85">
        <v>5.78</v>
      </c>
      <c r="E392" s="85">
        <v>5.59</v>
      </c>
      <c r="F392" s="85">
        <v>5.39</v>
      </c>
      <c r="G392" s="85"/>
      <c r="H392" s="85"/>
      <c r="I392" s="85"/>
      <c r="J392" s="85">
        <v>5.718</v>
      </c>
      <c r="K392" s="85">
        <v>5.5425000000000004</v>
      </c>
      <c r="L392" s="85">
        <v>5.3075000000000001</v>
      </c>
      <c r="M392" s="87"/>
      <c r="N392" s="85"/>
      <c r="O392" s="85"/>
      <c r="P392" s="85"/>
      <c r="Q392" s="85"/>
    </row>
    <row r="393" spans="1:17" s="56" customFormat="1">
      <c r="A393" s="71">
        <v>36981</v>
      </c>
      <c r="B393" s="85">
        <v>5.5454545454545459</v>
      </c>
      <c r="C393" s="85">
        <v>5.54</v>
      </c>
      <c r="D393" s="85">
        <v>5.45</v>
      </c>
      <c r="E393" s="85">
        <v>5.14</v>
      </c>
      <c r="F393" s="85">
        <v>4.92</v>
      </c>
      <c r="G393" s="85"/>
      <c r="H393" s="85"/>
      <c r="I393" s="85"/>
      <c r="J393" s="85">
        <v>5.325454545454547</v>
      </c>
      <c r="K393" s="85">
        <v>5.0995454545454546</v>
      </c>
      <c r="L393" s="85">
        <v>4.8440909090909097</v>
      </c>
      <c r="M393" s="87"/>
      <c r="N393" s="85"/>
      <c r="O393" s="85"/>
      <c r="P393" s="85"/>
      <c r="Q393" s="85"/>
    </row>
    <row r="394" spans="1:17" s="56" customFormat="1">
      <c r="A394" s="71">
        <v>37011</v>
      </c>
      <c r="B394" s="85">
        <v>5.0555555555555554</v>
      </c>
      <c r="C394" s="85">
        <v>5.05</v>
      </c>
      <c r="D394" s="85">
        <v>5</v>
      </c>
      <c r="E394" s="85">
        <v>4.8600000000000003</v>
      </c>
      <c r="F394" s="85">
        <v>4.72</v>
      </c>
      <c r="G394" s="85"/>
      <c r="H394" s="85"/>
      <c r="I394" s="85"/>
      <c r="J394" s="85">
        <v>4.9116666666666662</v>
      </c>
      <c r="K394" s="85">
        <v>4.7622222222222215</v>
      </c>
      <c r="L394" s="85">
        <v>4.6288888888888886</v>
      </c>
      <c r="M394" s="87"/>
      <c r="N394" s="85"/>
      <c r="O394" s="85"/>
      <c r="P394" s="85"/>
      <c r="Q394" s="85"/>
    </row>
    <row r="395" spans="1:17" s="56" customFormat="1">
      <c r="A395" s="71">
        <v>37042</v>
      </c>
      <c r="B395" s="85">
        <v>5</v>
      </c>
      <c r="C395" s="85">
        <v>4.99</v>
      </c>
      <c r="D395" s="85">
        <v>5.0199999999999996</v>
      </c>
      <c r="E395" s="85">
        <v>4.8899999999999997</v>
      </c>
      <c r="F395" s="85">
        <v>4.8600000000000003</v>
      </c>
      <c r="G395" s="85"/>
      <c r="H395" s="85"/>
      <c r="I395" s="85"/>
      <c r="J395" s="85">
        <v>4.8852173913043471</v>
      </c>
      <c r="K395" s="85">
        <v>4.7991304347826089</v>
      </c>
      <c r="L395" s="85">
        <v>4.7504347826086954</v>
      </c>
      <c r="M395" s="87"/>
      <c r="N395" s="85"/>
      <c r="O395" s="85"/>
      <c r="P395" s="85"/>
      <c r="Q395" s="85"/>
    </row>
    <row r="396" spans="1:17" s="56" customFormat="1">
      <c r="A396" s="71">
        <v>37072</v>
      </c>
      <c r="B396" s="85">
        <v>5</v>
      </c>
      <c r="C396" s="85">
        <v>5</v>
      </c>
      <c r="D396" s="85">
        <v>5.04</v>
      </c>
      <c r="E396" s="85">
        <v>4.97</v>
      </c>
      <c r="F396" s="85">
        <v>4.96</v>
      </c>
      <c r="G396" s="85"/>
      <c r="H396" s="85"/>
      <c r="I396" s="85"/>
      <c r="J396" s="85">
        <v>4.8980000000000006</v>
      </c>
      <c r="K396" s="85">
        <v>4.8409999999999993</v>
      </c>
      <c r="L396" s="85">
        <v>4.8339999999999996</v>
      </c>
      <c r="M396" s="87"/>
      <c r="N396" s="85"/>
      <c r="O396" s="85"/>
      <c r="P396" s="85"/>
      <c r="Q396" s="85"/>
    </row>
    <row r="397" spans="1:17" s="56" customFormat="1">
      <c r="A397" s="71">
        <v>37103</v>
      </c>
      <c r="B397" s="85">
        <v>5</v>
      </c>
      <c r="C397" s="85">
        <v>5</v>
      </c>
      <c r="D397" s="85">
        <v>5.05</v>
      </c>
      <c r="E397" s="85">
        <v>5.04</v>
      </c>
      <c r="F397" s="85">
        <v>5.07</v>
      </c>
      <c r="G397" s="85">
        <v>4.9800000000000004</v>
      </c>
      <c r="H397" s="85">
        <v>4.97</v>
      </c>
      <c r="I397" s="85">
        <v>5.01</v>
      </c>
      <c r="J397" s="85">
        <v>4.916363636363636</v>
      </c>
      <c r="K397" s="85">
        <v>4.9081818181818191</v>
      </c>
      <c r="L397" s="85">
        <v>4.9195454545454558</v>
      </c>
      <c r="M397" s="87"/>
      <c r="N397" s="85"/>
      <c r="O397" s="85"/>
      <c r="P397" s="85"/>
      <c r="Q397" s="85"/>
    </row>
    <row r="398" spans="1:17" s="56" customFormat="1">
      <c r="A398" s="71">
        <v>37134</v>
      </c>
      <c r="B398" s="85">
        <v>5</v>
      </c>
      <c r="C398" s="85">
        <v>4.99</v>
      </c>
      <c r="D398" s="85">
        <v>5.03</v>
      </c>
      <c r="E398" s="85">
        <v>4.95</v>
      </c>
      <c r="F398" s="85">
        <v>4.93</v>
      </c>
      <c r="G398" s="85">
        <v>4.9400000000000004</v>
      </c>
      <c r="H398" s="85">
        <v>4.8899999999999997</v>
      </c>
      <c r="I398" s="85">
        <v>4.8600000000000003</v>
      </c>
      <c r="J398" s="85">
        <v>4.8517391304347823</v>
      </c>
      <c r="K398" s="85">
        <v>4.8286956521739128</v>
      </c>
      <c r="L398" s="85">
        <v>4.8208695652173903</v>
      </c>
      <c r="M398" s="87"/>
      <c r="N398" s="85"/>
      <c r="O398" s="85"/>
      <c r="P398" s="85"/>
      <c r="Q398" s="85"/>
    </row>
    <row r="399" spans="1:17" s="56" customFormat="1">
      <c r="A399" s="71">
        <v>37164</v>
      </c>
      <c r="B399" s="85">
        <v>4.7750000000000004</v>
      </c>
      <c r="C399" s="85">
        <v>4.75</v>
      </c>
      <c r="D399" s="85">
        <v>4.71</v>
      </c>
      <c r="E399" s="85">
        <v>4.55</v>
      </c>
      <c r="F399" s="85">
        <v>4.4800000000000004</v>
      </c>
      <c r="G399" s="85">
        <v>4.5999999999999996</v>
      </c>
      <c r="H399" s="85">
        <v>4.49</v>
      </c>
      <c r="I399" s="85">
        <v>4.42</v>
      </c>
      <c r="J399" s="85">
        <v>4.5475000000000003</v>
      </c>
      <c r="K399" s="85">
        <v>4.4544999999999995</v>
      </c>
      <c r="L399" s="85">
        <v>4.4095000000000004</v>
      </c>
      <c r="M399" s="87"/>
      <c r="N399" s="85"/>
      <c r="O399" s="85"/>
      <c r="P399" s="85"/>
      <c r="Q399" s="85"/>
    </row>
    <row r="400" spans="1:17" s="56" customFormat="1">
      <c r="A400" s="71">
        <v>37195</v>
      </c>
      <c r="B400" s="85">
        <v>4.5217391304347823</v>
      </c>
      <c r="C400" s="85">
        <v>4.51</v>
      </c>
      <c r="D400" s="85">
        <v>4.4800000000000004</v>
      </c>
      <c r="E400" s="85">
        <v>4.3600000000000003</v>
      </c>
      <c r="F400" s="85">
        <v>4.25</v>
      </c>
      <c r="G400" s="85">
        <v>4.4400000000000004</v>
      </c>
      <c r="H400" s="85">
        <v>4.3</v>
      </c>
      <c r="I400" s="85">
        <v>4.2</v>
      </c>
      <c r="J400" s="85">
        <v>4.3691304347826092</v>
      </c>
      <c r="K400" s="85">
        <v>4.2382608695652175</v>
      </c>
      <c r="L400" s="85">
        <v>4.1713043478260854</v>
      </c>
      <c r="M400" s="87"/>
      <c r="N400" s="85"/>
      <c r="O400" s="85"/>
      <c r="P400" s="85"/>
      <c r="Q400" s="85"/>
    </row>
    <row r="401" spans="1:17" s="56" customFormat="1">
      <c r="A401" s="71">
        <v>37225</v>
      </c>
      <c r="B401" s="85">
        <v>4.5</v>
      </c>
      <c r="C401" s="85">
        <v>4.49</v>
      </c>
      <c r="D401" s="85">
        <v>4.4400000000000004</v>
      </c>
      <c r="E401" s="85">
        <v>4.28</v>
      </c>
      <c r="F401" s="85">
        <v>4.2</v>
      </c>
      <c r="G401" s="85">
        <v>4.3600000000000003</v>
      </c>
      <c r="H401" s="85">
        <v>4.2300000000000004</v>
      </c>
      <c r="I401" s="85">
        <v>4.16</v>
      </c>
      <c r="J401" s="85">
        <v>4.3209090909090913</v>
      </c>
      <c r="K401" s="85">
        <v>4.1831818181818186</v>
      </c>
      <c r="L401" s="85">
        <v>4.1209090909090911</v>
      </c>
      <c r="M401" s="87"/>
      <c r="N401" s="85"/>
      <c r="O401" s="85"/>
      <c r="P401" s="85"/>
      <c r="Q401" s="85"/>
    </row>
    <row r="402" spans="1:17" s="56" customFormat="1">
      <c r="A402" s="71">
        <v>37256</v>
      </c>
      <c r="B402" s="85">
        <v>4.2763157894736841</v>
      </c>
      <c r="C402" s="85">
        <v>4.2699999999999996</v>
      </c>
      <c r="D402" s="85">
        <v>4.3099999999999996</v>
      </c>
      <c r="E402" s="85">
        <v>4.25</v>
      </c>
      <c r="F402" s="85">
        <v>4.2</v>
      </c>
      <c r="G402" s="85">
        <v>4.24</v>
      </c>
      <c r="H402" s="85">
        <v>4.1900000000000004</v>
      </c>
      <c r="I402" s="85">
        <v>4.16</v>
      </c>
      <c r="J402" s="85">
        <v>4.2278947368421056</v>
      </c>
      <c r="K402" s="85">
        <v>4.1431578947368433</v>
      </c>
      <c r="L402" s="85">
        <v>4.1184210526315796</v>
      </c>
      <c r="M402" s="87"/>
      <c r="N402" s="85"/>
      <c r="O402" s="85"/>
      <c r="P402" s="85"/>
      <c r="Q402" s="85"/>
    </row>
    <row r="403" spans="1:17" s="56" customFormat="1">
      <c r="A403" s="71">
        <v>37287</v>
      </c>
      <c r="B403" s="85">
        <v>4.25</v>
      </c>
      <c r="C403" s="85">
        <v>4.24</v>
      </c>
      <c r="D403" s="85">
        <v>4.29</v>
      </c>
      <c r="E403" s="85">
        <v>4.26</v>
      </c>
      <c r="F403" s="85">
        <v>4.26</v>
      </c>
      <c r="G403" s="85">
        <v>4.2300000000000004</v>
      </c>
      <c r="H403" s="85">
        <v>4.21</v>
      </c>
      <c r="I403" s="85">
        <v>4.22</v>
      </c>
      <c r="J403" s="85">
        <v>4.1876190476190454</v>
      </c>
      <c r="K403" s="85">
        <v>4.1361904761904764</v>
      </c>
      <c r="L403" s="85">
        <v>4.13</v>
      </c>
      <c r="M403" s="87"/>
      <c r="N403" s="85"/>
      <c r="O403" s="85"/>
      <c r="P403" s="85"/>
      <c r="Q403" s="85"/>
    </row>
    <row r="404" spans="1:17" s="56" customFormat="1">
      <c r="A404" s="71">
        <v>37315</v>
      </c>
      <c r="B404" s="85">
        <v>4.25</v>
      </c>
      <c r="C404" s="85">
        <v>4.24</v>
      </c>
      <c r="D404" s="85">
        <v>4.3</v>
      </c>
      <c r="E404" s="85">
        <v>4.3099999999999996</v>
      </c>
      <c r="F404" s="85">
        <v>4.42</v>
      </c>
      <c r="G404" s="85">
        <v>4.24</v>
      </c>
      <c r="H404" s="85">
        <v>4.2699999999999996</v>
      </c>
      <c r="I404" s="85">
        <v>4.38</v>
      </c>
      <c r="J404" s="85">
        <v>4.2119999999999997</v>
      </c>
      <c r="K404" s="85">
        <v>4.2125000000000004</v>
      </c>
      <c r="L404" s="85">
        <v>4.2760000000000007</v>
      </c>
      <c r="M404" s="87"/>
      <c r="N404" s="85"/>
      <c r="O404" s="85"/>
      <c r="P404" s="85"/>
      <c r="Q404" s="85"/>
    </row>
    <row r="405" spans="1:17" s="56" customFormat="1">
      <c r="A405" s="71">
        <v>37346</v>
      </c>
      <c r="B405" s="85">
        <v>4.25</v>
      </c>
      <c r="C405" s="85">
        <v>4.2300000000000004</v>
      </c>
      <c r="D405" s="85">
        <v>4.33</v>
      </c>
      <c r="E405" s="85">
        <v>4.46</v>
      </c>
      <c r="F405" s="85">
        <v>4.71</v>
      </c>
      <c r="G405" s="85">
        <v>4.29</v>
      </c>
      <c r="H405" s="85">
        <v>4.41</v>
      </c>
      <c r="I405" s="85">
        <v>4.67</v>
      </c>
      <c r="J405" s="85">
        <v>4.2300000000000004</v>
      </c>
      <c r="K405" s="85">
        <v>4.3430000000000017</v>
      </c>
      <c r="L405" s="85">
        <v>4.4855</v>
      </c>
      <c r="M405" s="87"/>
      <c r="N405" s="85"/>
      <c r="O405" s="85"/>
      <c r="P405" s="85"/>
      <c r="Q405" s="85"/>
    </row>
    <row r="406" spans="1:17" s="56" customFormat="1">
      <c r="A406" s="71">
        <v>37376</v>
      </c>
      <c r="B406" s="85">
        <v>4.25</v>
      </c>
      <c r="C406" s="85">
        <v>4.24</v>
      </c>
      <c r="D406" s="85">
        <v>4.38</v>
      </c>
      <c r="E406" s="85">
        <v>4.59</v>
      </c>
      <c r="F406" s="85">
        <v>4.87</v>
      </c>
      <c r="G406" s="85">
        <v>4.32</v>
      </c>
      <c r="H406" s="85">
        <v>4.5199999999999996</v>
      </c>
      <c r="I406" s="85">
        <v>4.8099999999999996</v>
      </c>
      <c r="J406" s="85">
        <v>4.2365000000000004</v>
      </c>
      <c r="K406" s="85">
        <v>4.4885000000000002</v>
      </c>
      <c r="L406" s="85">
        <v>4.7525000000000004</v>
      </c>
      <c r="M406" s="87"/>
      <c r="N406" s="85"/>
      <c r="O406" s="85"/>
      <c r="P406" s="85"/>
      <c r="Q406" s="85"/>
    </row>
    <row r="407" spans="1:17" s="56" customFormat="1">
      <c r="A407" s="71">
        <v>37407</v>
      </c>
      <c r="B407" s="85">
        <v>4.4456521739130439</v>
      </c>
      <c r="C407" s="85">
        <v>4.4400000000000004</v>
      </c>
      <c r="D407" s="85">
        <v>4.63</v>
      </c>
      <c r="E407" s="85">
        <v>4.84</v>
      </c>
      <c r="F407" s="85">
        <v>5.0999999999999996</v>
      </c>
      <c r="G407" s="85">
        <v>4.57</v>
      </c>
      <c r="H407" s="85">
        <v>4.76</v>
      </c>
      <c r="I407" s="85">
        <v>5.0199999999999996</v>
      </c>
      <c r="J407" s="85"/>
      <c r="K407" s="85"/>
      <c r="L407" s="85"/>
      <c r="M407" s="87"/>
      <c r="N407" s="85"/>
      <c r="O407" s="85"/>
      <c r="P407" s="85"/>
      <c r="Q407" s="85"/>
    </row>
    <row r="408" spans="1:17" s="56" customFormat="1">
      <c r="A408" s="71">
        <v>37437</v>
      </c>
      <c r="B408" s="85">
        <v>4.7236842105263159</v>
      </c>
      <c r="C408" s="85">
        <v>4.72</v>
      </c>
      <c r="D408" s="85">
        <v>4.87</v>
      </c>
      <c r="E408" s="85">
        <v>5.07</v>
      </c>
      <c r="F408" s="85">
        <v>5.27</v>
      </c>
      <c r="G408" s="85">
        <v>4.82</v>
      </c>
      <c r="H408" s="85">
        <v>4.97</v>
      </c>
      <c r="I408" s="85">
        <v>5.2</v>
      </c>
      <c r="J408" s="85"/>
      <c r="K408" s="85"/>
      <c r="L408" s="85"/>
      <c r="M408" s="87"/>
      <c r="N408" s="85"/>
      <c r="O408" s="85"/>
      <c r="P408" s="85"/>
      <c r="Q408" s="85"/>
    </row>
    <row r="409" spans="1:17" s="56" customFormat="1">
      <c r="A409" s="71">
        <v>37468</v>
      </c>
      <c r="B409" s="85">
        <v>4.75</v>
      </c>
      <c r="C409" s="85">
        <v>4.75</v>
      </c>
      <c r="D409" s="85">
        <v>4.87</v>
      </c>
      <c r="E409" s="85">
        <v>4.9800000000000004</v>
      </c>
      <c r="F409" s="85">
        <v>5.0599999999999996</v>
      </c>
      <c r="G409" s="85">
        <v>4.78</v>
      </c>
      <c r="H409" s="85">
        <v>4.87</v>
      </c>
      <c r="I409" s="85">
        <v>4.97</v>
      </c>
      <c r="J409" s="85"/>
      <c r="K409" s="85"/>
      <c r="L409" s="85"/>
      <c r="M409" s="87"/>
      <c r="N409" s="85"/>
      <c r="O409" s="85"/>
      <c r="P409" s="85"/>
      <c r="Q409" s="85"/>
    </row>
    <row r="410" spans="1:17" s="56" customFormat="1">
      <c r="A410" s="71">
        <v>37499</v>
      </c>
      <c r="B410" s="85">
        <v>4.75</v>
      </c>
      <c r="C410" s="85">
        <v>4.75</v>
      </c>
      <c r="D410" s="85">
        <v>4.8899999999999997</v>
      </c>
      <c r="E410" s="85">
        <v>4.96</v>
      </c>
      <c r="F410" s="85">
        <v>4.99</v>
      </c>
      <c r="G410" s="85">
        <v>4.79</v>
      </c>
      <c r="H410" s="85">
        <v>4.8499999999999996</v>
      </c>
      <c r="I410" s="85">
        <v>4.9000000000000004</v>
      </c>
      <c r="J410" s="85"/>
      <c r="K410" s="85"/>
      <c r="L410" s="85"/>
      <c r="M410" s="87"/>
      <c r="N410" s="85"/>
      <c r="O410" s="85"/>
      <c r="P410" s="85"/>
      <c r="Q410" s="85"/>
    </row>
    <row r="411" spans="1:17" s="56" customFormat="1">
      <c r="A411" s="71">
        <v>37529</v>
      </c>
      <c r="B411" s="85">
        <v>4.75</v>
      </c>
      <c r="C411" s="85">
        <v>4.75</v>
      </c>
      <c r="D411" s="85">
        <v>4.87</v>
      </c>
      <c r="E411" s="85">
        <v>4.92</v>
      </c>
      <c r="F411" s="85">
        <v>4.95</v>
      </c>
      <c r="G411" s="85">
        <v>4.78</v>
      </c>
      <c r="H411" s="85">
        <v>4.8099999999999996</v>
      </c>
      <c r="I411" s="85">
        <v>4.84</v>
      </c>
      <c r="J411" s="85"/>
      <c r="K411" s="85"/>
      <c r="L411" s="85"/>
      <c r="M411" s="87"/>
      <c r="N411" s="85"/>
      <c r="O411" s="85"/>
      <c r="P411" s="85"/>
      <c r="Q411" s="85"/>
    </row>
    <row r="412" spans="1:17" s="56" customFormat="1">
      <c r="A412" s="71">
        <v>37560</v>
      </c>
      <c r="B412" s="85">
        <v>4.75</v>
      </c>
      <c r="C412" s="85">
        <v>4.75</v>
      </c>
      <c r="D412" s="85">
        <v>4.87</v>
      </c>
      <c r="E412" s="85">
        <v>4.9000000000000004</v>
      </c>
      <c r="F412" s="85">
        <v>4.92</v>
      </c>
      <c r="G412" s="85">
        <v>4.7699999999999996</v>
      </c>
      <c r="H412" s="85">
        <v>4.79</v>
      </c>
      <c r="I412" s="85">
        <v>4.82</v>
      </c>
      <c r="J412" s="85"/>
      <c r="K412" s="85"/>
      <c r="L412" s="85"/>
      <c r="M412" s="87"/>
      <c r="N412" s="85"/>
      <c r="O412" s="85"/>
      <c r="P412" s="85"/>
      <c r="Q412" s="85"/>
    </row>
    <row r="413" spans="1:17" s="56" customFormat="1">
      <c r="A413" s="71">
        <v>37590</v>
      </c>
      <c r="B413" s="85">
        <v>4.75</v>
      </c>
      <c r="C413" s="85">
        <v>4.75</v>
      </c>
      <c r="D413" s="85">
        <v>4.8499999999999996</v>
      </c>
      <c r="E413" s="85">
        <v>4.84</v>
      </c>
      <c r="F413" s="85">
        <v>4.8099999999999996</v>
      </c>
      <c r="G413" s="85">
        <v>4.75</v>
      </c>
      <c r="H413" s="85">
        <v>4.74</v>
      </c>
      <c r="I413" s="85">
        <v>4.72</v>
      </c>
      <c r="J413" s="85"/>
      <c r="K413" s="85"/>
      <c r="L413" s="85"/>
      <c r="M413" s="87"/>
      <c r="N413" s="85"/>
      <c r="O413" s="85"/>
      <c r="P413" s="85"/>
      <c r="Q413" s="85"/>
    </row>
    <row r="414" spans="1:17" s="56" customFormat="1">
      <c r="A414" s="71">
        <v>37621</v>
      </c>
      <c r="B414" s="85">
        <v>4.75</v>
      </c>
      <c r="C414" s="85">
        <v>4.75</v>
      </c>
      <c r="D414" s="85">
        <v>4.8499999999999996</v>
      </c>
      <c r="E414" s="85">
        <v>4.83</v>
      </c>
      <c r="F414" s="85">
        <v>4.7699999999999996</v>
      </c>
      <c r="G414" s="85">
        <v>4.75</v>
      </c>
      <c r="H414" s="85">
        <v>4.72</v>
      </c>
      <c r="I414" s="85">
        <v>4.68</v>
      </c>
      <c r="J414" s="85"/>
      <c r="K414" s="85"/>
      <c r="L414" s="85"/>
      <c r="M414" s="87"/>
      <c r="N414" s="85"/>
      <c r="O414" s="85"/>
      <c r="P414" s="85"/>
      <c r="Q414" s="85"/>
    </row>
    <row r="415" spans="1:17" s="56" customFormat="1">
      <c r="A415" s="71">
        <v>37652</v>
      </c>
      <c r="B415" s="85">
        <v>4.75</v>
      </c>
      <c r="C415" s="85">
        <v>4.75</v>
      </c>
      <c r="D415" s="85">
        <v>4.8099999999999996</v>
      </c>
      <c r="E415" s="85">
        <v>4.8</v>
      </c>
      <c r="F415" s="85">
        <v>4.7699999999999996</v>
      </c>
      <c r="G415" s="85">
        <v>4.74</v>
      </c>
      <c r="H415" s="85">
        <v>4.71</v>
      </c>
      <c r="I415" s="85">
        <v>4.68</v>
      </c>
      <c r="J415" s="85"/>
      <c r="K415" s="85"/>
      <c r="L415" s="85"/>
      <c r="M415" s="87"/>
      <c r="N415" s="85"/>
      <c r="O415" s="85"/>
      <c r="P415" s="85"/>
      <c r="Q415" s="85"/>
    </row>
    <row r="416" spans="1:17" s="56" customFormat="1">
      <c r="A416" s="71">
        <v>37680</v>
      </c>
      <c r="B416" s="85">
        <v>4.75</v>
      </c>
      <c r="C416" s="85">
        <v>4.75</v>
      </c>
      <c r="D416" s="85">
        <v>4.79</v>
      </c>
      <c r="E416" s="85">
        <v>4.75</v>
      </c>
      <c r="F416" s="85">
        <v>4.6900000000000004</v>
      </c>
      <c r="G416" s="85">
        <v>4.7300000000000004</v>
      </c>
      <c r="H416" s="85">
        <v>4.6900000000000004</v>
      </c>
      <c r="I416" s="85">
        <v>4.5999999999999996</v>
      </c>
      <c r="J416" s="85"/>
      <c r="K416" s="85"/>
      <c r="L416" s="85"/>
      <c r="M416" s="87"/>
      <c r="N416" s="85"/>
      <c r="O416" s="85"/>
      <c r="P416" s="85"/>
      <c r="Q416" s="85"/>
    </row>
    <row r="417" spans="1:17" s="56" customFormat="1">
      <c r="A417" s="71">
        <v>37711</v>
      </c>
      <c r="B417" s="85">
        <v>4.75</v>
      </c>
      <c r="C417" s="85">
        <v>4.75</v>
      </c>
      <c r="D417" s="85">
        <v>4.79</v>
      </c>
      <c r="E417" s="85">
        <v>4.76</v>
      </c>
      <c r="F417" s="85">
        <v>4.6900000000000004</v>
      </c>
      <c r="G417" s="85">
        <v>4.7300000000000004</v>
      </c>
      <c r="H417" s="85">
        <v>4.68</v>
      </c>
      <c r="I417" s="85">
        <v>4.62</v>
      </c>
      <c r="J417" s="85"/>
      <c r="K417" s="85"/>
      <c r="L417" s="85"/>
      <c r="M417" s="87"/>
      <c r="N417" s="85"/>
      <c r="O417" s="85"/>
      <c r="P417" s="85"/>
      <c r="Q417" s="85"/>
    </row>
    <row r="418" spans="1:17" s="56" customFormat="1">
      <c r="A418" s="71">
        <v>37741</v>
      </c>
      <c r="B418" s="85">
        <v>4.75</v>
      </c>
      <c r="C418" s="85">
        <v>4.75</v>
      </c>
      <c r="D418" s="85">
        <v>4.8099999999999996</v>
      </c>
      <c r="E418" s="85">
        <v>4.79</v>
      </c>
      <c r="F418" s="85">
        <v>4.74</v>
      </c>
      <c r="G418" s="85">
        <v>4.74</v>
      </c>
      <c r="H418" s="85">
        <v>4.7</v>
      </c>
      <c r="I418" s="85">
        <v>4.6500000000000004</v>
      </c>
      <c r="J418" s="85"/>
      <c r="K418" s="85"/>
      <c r="L418" s="85"/>
      <c r="M418" s="87"/>
      <c r="N418" s="85"/>
      <c r="O418" s="85"/>
      <c r="P418" s="85"/>
      <c r="Q418" s="85"/>
    </row>
    <row r="419" spans="1:17" s="56" customFormat="1">
      <c r="A419" s="71">
        <v>37772</v>
      </c>
      <c r="B419" s="85">
        <v>4.75</v>
      </c>
      <c r="C419" s="85">
        <v>4.75</v>
      </c>
      <c r="D419" s="85">
        <v>4.8099999999999996</v>
      </c>
      <c r="E419" s="85">
        <v>4.78</v>
      </c>
      <c r="F419" s="85">
        <v>4.7300000000000004</v>
      </c>
      <c r="G419" s="85">
        <v>4.74</v>
      </c>
      <c r="H419" s="85">
        <v>4.7</v>
      </c>
      <c r="I419" s="85">
        <v>4.6500000000000004</v>
      </c>
      <c r="J419" s="85"/>
      <c r="K419" s="85"/>
      <c r="L419" s="85"/>
      <c r="M419" s="87"/>
      <c r="N419" s="85"/>
      <c r="O419" s="85"/>
      <c r="P419" s="85"/>
      <c r="Q419" s="85"/>
    </row>
    <row r="420" spans="1:17" s="56" customFormat="1">
      <c r="A420" s="71">
        <v>37802</v>
      </c>
      <c r="B420" s="85">
        <v>4.75</v>
      </c>
      <c r="C420" s="85">
        <v>4.75</v>
      </c>
      <c r="D420" s="85">
        <v>4.7699999999999996</v>
      </c>
      <c r="E420" s="85">
        <v>4.67</v>
      </c>
      <c r="F420" s="85">
        <v>4.54</v>
      </c>
      <c r="G420" s="85">
        <v>4.66</v>
      </c>
      <c r="H420" s="85">
        <v>4.5599999999999996</v>
      </c>
      <c r="I420" s="85">
        <v>4.45</v>
      </c>
      <c r="J420" s="85"/>
      <c r="K420" s="85"/>
      <c r="L420" s="85"/>
      <c r="M420" s="87"/>
      <c r="N420" s="85"/>
      <c r="O420" s="85"/>
      <c r="P420" s="85"/>
      <c r="Q420" s="85"/>
    </row>
    <row r="421" spans="1:17" s="56" customFormat="1">
      <c r="A421" s="71">
        <v>37833</v>
      </c>
      <c r="B421" s="85">
        <v>4.75</v>
      </c>
      <c r="C421" s="85">
        <v>4.75</v>
      </c>
      <c r="D421" s="85">
        <v>4.79</v>
      </c>
      <c r="E421" s="85">
        <v>4.72</v>
      </c>
      <c r="F421" s="85">
        <v>4.66</v>
      </c>
      <c r="G421" s="85">
        <v>4.72</v>
      </c>
      <c r="H421" s="85">
        <v>4.63</v>
      </c>
      <c r="I421" s="85">
        <v>4.57</v>
      </c>
      <c r="J421" s="85"/>
      <c r="K421" s="85"/>
      <c r="L421" s="85"/>
      <c r="M421" s="87"/>
      <c r="N421" s="85"/>
      <c r="O421" s="85"/>
      <c r="P421" s="85"/>
      <c r="Q421" s="85"/>
    </row>
    <row r="422" spans="1:17" s="56" customFormat="1">
      <c r="A422" s="71">
        <v>37864</v>
      </c>
      <c r="B422" s="85">
        <v>4.75</v>
      </c>
      <c r="C422" s="85">
        <v>4.75</v>
      </c>
      <c r="D422" s="85">
        <v>4.82</v>
      </c>
      <c r="E422" s="85">
        <v>4.82</v>
      </c>
      <c r="F422" s="85">
        <v>4.8499999999999996</v>
      </c>
      <c r="G422" s="85">
        <v>4.74</v>
      </c>
      <c r="H422" s="85">
        <v>4.75</v>
      </c>
      <c r="I422" s="85">
        <v>4.78</v>
      </c>
      <c r="J422" s="85"/>
      <c r="K422" s="85"/>
      <c r="L422" s="85"/>
      <c r="M422" s="87"/>
      <c r="N422" s="85"/>
      <c r="O422" s="85"/>
      <c r="P422" s="85"/>
      <c r="Q422" s="85"/>
    </row>
    <row r="423" spans="1:17" s="56" customFormat="1">
      <c r="A423" s="71">
        <v>37894</v>
      </c>
      <c r="B423" s="85">
        <v>4.75</v>
      </c>
      <c r="C423" s="85">
        <v>4.75</v>
      </c>
      <c r="D423" s="85">
        <v>4.8499999999999996</v>
      </c>
      <c r="E423" s="85">
        <v>4.91</v>
      </c>
      <c r="F423" s="85">
        <v>4.97</v>
      </c>
      <c r="G423" s="85">
        <v>4.76</v>
      </c>
      <c r="H423" s="85">
        <v>4.8</v>
      </c>
      <c r="I423" s="85">
        <v>4.88</v>
      </c>
      <c r="J423" s="85"/>
      <c r="K423" s="85"/>
      <c r="L423" s="85"/>
      <c r="M423" s="87"/>
      <c r="N423" s="85"/>
      <c r="O423" s="85"/>
      <c r="P423" s="85"/>
      <c r="Q423" s="85"/>
    </row>
    <row r="424" spans="1:17" s="56" customFormat="1">
      <c r="A424" s="71">
        <v>37925</v>
      </c>
      <c r="B424" s="85">
        <v>4.75</v>
      </c>
      <c r="C424" s="85">
        <v>4.75</v>
      </c>
      <c r="D424" s="85">
        <v>4.88</v>
      </c>
      <c r="E424" s="85">
        <v>4.97</v>
      </c>
      <c r="F424" s="85">
        <v>5.0999999999999996</v>
      </c>
      <c r="G424" s="85">
        <v>4.79</v>
      </c>
      <c r="H424" s="85">
        <v>4.8600000000000003</v>
      </c>
      <c r="I424" s="85">
        <v>4.99</v>
      </c>
      <c r="J424" s="85"/>
      <c r="K424" s="85"/>
      <c r="L424" s="85"/>
      <c r="M424" s="87"/>
      <c r="N424" s="85"/>
      <c r="O424" s="85"/>
      <c r="P424" s="85"/>
      <c r="Q424" s="85"/>
    </row>
    <row r="425" spans="1:17" s="56" customFormat="1">
      <c r="A425" s="71">
        <v>37955</v>
      </c>
      <c r="B425" s="85">
        <v>4.9749999999999996</v>
      </c>
      <c r="C425" s="85">
        <v>4.9800000000000004</v>
      </c>
      <c r="D425" s="85">
        <v>5.19</v>
      </c>
      <c r="E425" s="85">
        <v>5.31</v>
      </c>
      <c r="F425" s="85">
        <v>5.5</v>
      </c>
      <c r="G425" s="85">
        <v>5.08</v>
      </c>
      <c r="H425" s="85">
        <v>5.19</v>
      </c>
      <c r="I425" s="85">
        <v>5.38</v>
      </c>
      <c r="J425" s="85"/>
      <c r="K425" s="85"/>
      <c r="L425" s="85"/>
      <c r="M425" s="87"/>
      <c r="N425" s="85"/>
      <c r="O425" s="85"/>
      <c r="P425" s="85"/>
      <c r="Q425" s="85"/>
    </row>
    <row r="426" spans="1:17" s="56" customFormat="1">
      <c r="A426" s="71">
        <v>37986</v>
      </c>
      <c r="B426" s="85">
        <v>5.2261904761904763</v>
      </c>
      <c r="C426" s="85">
        <v>5.23</v>
      </c>
      <c r="D426" s="85">
        <v>5.4</v>
      </c>
      <c r="E426" s="85">
        <v>5.47</v>
      </c>
      <c r="F426" s="85">
        <v>5.59</v>
      </c>
      <c r="G426" s="85">
        <v>5.26</v>
      </c>
      <c r="H426" s="85">
        <v>5.32</v>
      </c>
      <c r="I426" s="85">
        <v>5.45</v>
      </c>
      <c r="J426" s="85"/>
      <c r="K426" s="85"/>
      <c r="L426" s="85"/>
      <c r="M426" s="87"/>
      <c r="N426" s="85"/>
      <c r="O426" s="85"/>
      <c r="P426" s="85"/>
      <c r="Q426" s="85"/>
    </row>
    <row r="427" spans="1:17" s="56" customFormat="1">
      <c r="A427" s="71">
        <v>38017</v>
      </c>
      <c r="B427" s="85">
        <v>5.25</v>
      </c>
      <c r="C427" s="85">
        <v>5.25</v>
      </c>
      <c r="D427" s="85">
        <v>5.45</v>
      </c>
      <c r="E427" s="85">
        <v>5.55</v>
      </c>
      <c r="F427" s="85">
        <v>5.63</v>
      </c>
      <c r="G427" s="85">
        <v>5.3</v>
      </c>
      <c r="H427" s="85">
        <v>5.39</v>
      </c>
      <c r="I427" s="85">
        <v>5.49</v>
      </c>
      <c r="J427" s="85"/>
      <c r="K427" s="85"/>
      <c r="L427" s="85"/>
      <c r="M427" s="87"/>
      <c r="N427" s="85"/>
      <c r="O427" s="85"/>
      <c r="P427" s="85"/>
      <c r="Q427" s="85"/>
    </row>
    <row r="428" spans="1:17" s="56" customFormat="1">
      <c r="A428" s="71">
        <v>38046</v>
      </c>
      <c r="B428" s="85">
        <v>5.25</v>
      </c>
      <c r="C428" s="85">
        <v>5.25</v>
      </c>
      <c r="D428" s="85">
        <v>5.48</v>
      </c>
      <c r="E428" s="85">
        <v>5.57</v>
      </c>
      <c r="F428" s="85">
        <v>5.64</v>
      </c>
      <c r="G428" s="85">
        <v>5.31</v>
      </c>
      <c r="H428" s="85">
        <v>5.39</v>
      </c>
      <c r="I428" s="85">
        <v>5.48</v>
      </c>
      <c r="J428" s="85"/>
      <c r="K428" s="85"/>
      <c r="L428" s="85"/>
      <c r="M428" s="87"/>
      <c r="N428" s="85"/>
      <c r="O428" s="85"/>
      <c r="P428" s="85"/>
      <c r="Q428" s="85"/>
    </row>
    <row r="429" spans="1:17" s="56" customFormat="1">
      <c r="A429" s="71">
        <v>38077</v>
      </c>
      <c r="B429" s="85">
        <v>5.25</v>
      </c>
      <c r="C429" s="85">
        <v>5.25</v>
      </c>
      <c r="D429" s="85">
        <v>5.45</v>
      </c>
      <c r="E429" s="85">
        <v>5.51</v>
      </c>
      <c r="F429" s="85">
        <v>5.53</v>
      </c>
      <c r="G429" s="85">
        <v>5.27</v>
      </c>
      <c r="H429" s="85">
        <v>5.33</v>
      </c>
      <c r="I429" s="85">
        <v>5.37</v>
      </c>
      <c r="J429" s="85"/>
      <c r="K429" s="85"/>
      <c r="L429" s="85"/>
      <c r="M429" s="87"/>
      <c r="N429" s="85"/>
      <c r="O429" s="85"/>
      <c r="P429" s="85"/>
      <c r="Q429" s="85"/>
    </row>
    <row r="430" spans="1:17" s="56" customFormat="1">
      <c r="A430" s="71">
        <v>38107</v>
      </c>
      <c r="B430" s="85">
        <v>5.25</v>
      </c>
      <c r="C430" s="85">
        <v>5.25</v>
      </c>
      <c r="D430" s="85">
        <v>5.45</v>
      </c>
      <c r="E430" s="85">
        <v>5.54</v>
      </c>
      <c r="F430" s="85">
        <v>5.58</v>
      </c>
      <c r="G430" s="85">
        <v>5.28</v>
      </c>
      <c r="H430" s="85">
        <v>5.33</v>
      </c>
      <c r="I430" s="85">
        <v>5.41</v>
      </c>
      <c r="J430" s="85"/>
      <c r="K430" s="85"/>
      <c r="L430" s="85"/>
      <c r="M430" s="87"/>
      <c r="N430" s="85"/>
      <c r="O430" s="85"/>
      <c r="P430" s="85"/>
      <c r="Q430" s="85"/>
    </row>
    <row r="431" spans="1:17" s="56" customFormat="1">
      <c r="A431" s="71">
        <v>38138</v>
      </c>
      <c r="B431" s="85">
        <v>5.25</v>
      </c>
      <c r="C431" s="85">
        <v>5.25</v>
      </c>
      <c r="D431" s="85">
        <v>5.44</v>
      </c>
      <c r="E431" s="85">
        <v>5.51</v>
      </c>
      <c r="F431" s="85">
        <v>5.59</v>
      </c>
      <c r="G431" s="85">
        <v>5.28</v>
      </c>
      <c r="H431" s="85">
        <v>5.33</v>
      </c>
      <c r="I431" s="85">
        <v>5.42</v>
      </c>
      <c r="J431" s="85"/>
      <c r="K431" s="85"/>
      <c r="L431" s="85"/>
      <c r="M431" s="87"/>
      <c r="N431" s="85"/>
      <c r="O431" s="85"/>
      <c r="P431" s="85"/>
      <c r="Q431" s="85"/>
    </row>
    <row r="432" spans="1:17" s="56" customFormat="1">
      <c r="A432" s="71">
        <v>38168</v>
      </c>
      <c r="B432" s="85">
        <v>5.25</v>
      </c>
      <c r="C432" s="85">
        <v>5.25</v>
      </c>
      <c r="D432" s="85">
        <v>5.44</v>
      </c>
      <c r="E432" s="85">
        <v>5.49</v>
      </c>
      <c r="F432" s="85">
        <v>5.55</v>
      </c>
      <c r="G432" s="85">
        <v>5.27</v>
      </c>
      <c r="H432" s="85">
        <v>5.3</v>
      </c>
      <c r="I432" s="85">
        <v>5.37</v>
      </c>
      <c r="J432" s="85"/>
      <c r="K432" s="85"/>
      <c r="L432" s="85"/>
      <c r="M432" s="87"/>
      <c r="N432" s="85"/>
      <c r="O432" s="85"/>
      <c r="P432" s="85"/>
      <c r="Q432" s="85"/>
    </row>
    <row r="433" spans="1:17" s="56" customFormat="1">
      <c r="A433" s="71">
        <v>38199</v>
      </c>
      <c r="B433" s="85">
        <v>5.25</v>
      </c>
      <c r="C433" s="85">
        <v>5.25</v>
      </c>
      <c r="D433" s="85">
        <v>5.41</v>
      </c>
      <c r="E433" s="85">
        <v>5.46</v>
      </c>
      <c r="F433" s="85">
        <v>5.54</v>
      </c>
      <c r="G433" s="85">
        <v>5.27</v>
      </c>
      <c r="H433" s="85">
        <v>5.31</v>
      </c>
      <c r="I433" s="85">
        <v>5.39</v>
      </c>
      <c r="J433" s="85"/>
      <c r="K433" s="85"/>
      <c r="L433" s="85"/>
      <c r="M433" s="87"/>
      <c r="N433" s="85"/>
      <c r="O433" s="85"/>
      <c r="P433" s="85"/>
      <c r="Q433" s="85"/>
    </row>
    <row r="434" spans="1:17" s="56" customFormat="1">
      <c r="A434" s="71">
        <v>38230</v>
      </c>
      <c r="B434" s="85">
        <v>5.25</v>
      </c>
      <c r="C434" s="85">
        <v>5.25</v>
      </c>
      <c r="D434" s="85">
        <v>5.39</v>
      </c>
      <c r="E434" s="85">
        <v>5.44</v>
      </c>
      <c r="F434" s="85">
        <v>5.52</v>
      </c>
      <c r="G434" s="85">
        <v>5.27</v>
      </c>
      <c r="H434" s="85">
        <v>5.31</v>
      </c>
      <c r="I434" s="85">
        <v>5.38</v>
      </c>
      <c r="J434" s="85"/>
      <c r="K434" s="85"/>
      <c r="L434" s="85"/>
      <c r="M434" s="87"/>
      <c r="N434" s="85"/>
      <c r="O434" s="85"/>
      <c r="P434" s="85"/>
      <c r="Q434" s="85"/>
    </row>
    <row r="435" spans="1:17" s="56" customFormat="1">
      <c r="A435" s="71">
        <v>38260</v>
      </c>
      <c r="B435" s="85">
        <v>5.25</v>
      </c>
      <c r="C435" s="85">
        <v>5.25</v>
      </c>
      <c r="D435" s="85">
        <v>5.38</v>
      </c>
      <c r="E435" s="85">
        <v>5.42</v>
      </c>
      <c r="F435" s="85">
        <v>5.47</v>
      </c>
      <c r="G435" s="85">
        <v>5.26</v>
      </c>
      <c r="H435" s="85">
        <v>5.29</v>
      </c>
      <c r="I435" s="85">
        <v>5.35</v>
      </c>
      <c r="J435" s="85"/>
      <c r="K435" s="85"/>
      <c r="L435" s="85"/>
      <c r="M435" s="87"/>
      <c r="N435" s="85"/>
      <c r="O435" s="85"/>
      <c r="P435" s="85"/>
      <c r="Q435" s="85"/>
    </row>
    <row r="436" spans="1:17" s="56" customFormat="1">
      <c r="A436" s="71">
        <v>38291</v>
      </c>
      <c r="B436" s="85">
        <v>5.25</v>
      </c>
      <c r="C436" s="85">
        <v>5.25</v>
      </c>
      <c r="D436" s="85">
        <v>5.38</v>
      </c>
      <c r="E436" s="85">
        <v>5.41</v>
      </c>
      <c r="F436" s="85">
        <v>5.45</v>
      </c>
      <c r="G436" s="85">
        <v>5.26</v>
      </c>
      <c r="H436" s="85">
        <v>5.29</v>
      </c>
      <c r="I436" s="85">
        <v>5.34</v>
      </c>
      <c r="J436" s="85"/>
      <c r="K436" s="85"/>
      <c r="L436" s="85"/>
      <c r="M436" s="87"/>
      <c r="N436" s="85"/>
      <c r="O436" s="85"/>
      <c r="P436" s="85"/>
      <c r="Q436" s="85"/>
    </row>
    <row r="437" spans="1:17" s="56" customFormat="1">
      <c r="A437" s="71">
        <v>38321</v>
      </c>
      <c r="B437" s="85">
        <v>5.25</v>
      </c>
      <c r="C437" s="85">
        <v>5.25</v>
      </c>
      <c r="D437" s="85">
        <v>5.39</v>
      </c>
      <c r="E437" s="85">
        <v>5.43</v>
      </c>
      <c r="F437" s="85">
        <v>5.48</v>
      </c>
      <c r="G437" s="85">
        <v>5.27</v>
      </c>
      <c r="H437" s="85">
        <v>5.3</v>
      </c>
      <c r="I437" s="85">
        <v>5.35</v>
      </c>
      <c r="J437" s="85"/>
      <c r="K437" s="85"/>
      <c r="L437" s="85"/>
      <c r="M437" s="87"/>
      <c r="N437" s="75"/>
      <c r="O437" s="75"/>
      <c r="P437" s="75"/>
      <c r="Q437" s="75"/>
    </row>
    <row r="438" spans="1:17" s="56" customFormat="1">
      <c r="A438" s="71">
        <v>38352</v>
      </c>
      <c r="B438" s="85">
        <v>5.25</v>
      </c>
      <c r="C438" s="85">
        <v>5.25</v>
      </c>
      <c r="D438" s="85">
        <v>5.39</v>
      </c>
      <c r="E438" s="85">
        <v>5.41</v>
      </c>
      <c r="F438" s="85">
        <v>5.42</v>
      </c>
      <c r="G438" s="85">
        <v>5.26</v>
      </c>
      <c r="H438" s="85">
        <v>5.28</v>
      </c>
      <c r="I438" s="85">
        <v>5.29</v>
      </c>
      <c r="J438" s="85"/>
      <c r="K438" s="85"/>
      <c r="L438" s="85"/>
      <c r="M438" s="87"/>
      <c r="N438" s="75"/>
      <c r="O438" s="75"/>
      <c r="P438" s="75"/>
      <c r="Q438" s="75"/>
    </row>
    <row r="439" spans="1:17" s="56" customFormat="1">
      <c r="A439" s="71">
        <v>38383</v>
      </c>
      <c r="B439" s="85">
        <v>5.25</v>
      </c>
      <c r="C439" s="85">
        <v>5.25</v>
      </c>
      <c r="D439" s="85">
        <v>5.39</v>
      </c>
      <c r="E439" s="85">
        <v>5.42</v>
      </c>
      <c r="F439" s="85">
        <v>5.46</v>
      </c>
      <c r="G439" s="85">
        <v>5.27</v>
      </c>
      <c r="H439" s="85">
        <v>5.29</v>
      </c>
      <c r="I439" s="85">
        <v>5.34</v>
      </c>
      <c r="J439" s="85"/>
      <c r="K439" s="85"/>
      <c r="L439" s="85"/>
      <c r="M439" s="87"/>
      <c r="N439" s="75"/>
      <c r="O439" s="75"/>
      <c r="P439" s="75"/>
      <c r="Q439" s="75"/>
    </row>
    <row r="440" spans="1:17" s="56" customFormat="1">
      <c r="A440" s="71">
        <v>38411</v>
      </c>
      <c r="B440" s="85">
        <v>5.25</v>
      </c>
      <c r="C440" s="85">
        <v>5.25</v>
      </c>
      <c r="D440" s="85">
        <v>5.48</v>
      </c>
      <c r="E440" s="85">
        <v>5.63</v>
      </c>
      <c r="F440" s="85">
        <v>5.75</v>
      </c>
      <c r="G440" s="85">
        <v>5.36</v>
      </c>
      <c r="H440" s="85">
        <v>5.49</v>
      </c>
      <c r="I440" s="85">
        <v>5.6</v>
      </c>
      <c r="J440" s="85"/>
      <c r="K440" s="85"/>
      <c r="L440" s="85"/>
      <c r="M440" s="87"/>
      <c r="N440" s="75"/>
      <c r="O440" s="75"/>
      <c r="P440" s="75"/>
      <c r="Q440" s="75"/>
    </row>
    <row r="441" spans="1:17" s="56" customFormat="1">
      <c r="A441" s="71">
        <v>38442</v>
      </c>
      <c r="B441" s="85">
        <v>5.4880952380952381</v>
      </c>
      <c r="C441" s="85">
        <v>5.49</v>
      </c>
      <c r="D441" s="85">
        <v>5.68</v>
      </c>
      <c r="E441" s="85">
        <v>5.81</v>
      </c>
      <c r="F441" s="85">
        <v>5.91</v>
      </c>
      <c r="G441" s="85">
        <v>5.57</v>
      </c>
      <c r="H441" s="85">
        <v>5.68</v>
      </c>
      <c r="I441" s="85">
        <v>5.78</v>
      </c>
      <c r="J441" s="85"/>
      <c r="K441" s="85"/>
      <c r="L441" s="85"/>
      <c r="M441" s="87"/>
      <c r="N441" s="75"/>
      <c r="O441" s="75"/>
      <c r="P441" s="75"/>
      <c r="Q441" s="75"/>
    </row>
    <row r="442" spans="1:17" s="56" customFormat="1">
      <c r="A442" s="71">
        <v>38472</v>
      </c>
      <c r="B442" s="85">
        <v>5.5</v>
      </c>
      <c r="C442" s="85">
        <v>5.5</v>
      </c>
      <c r="D442" s="85">
        <v>5.67</v>
      </c>
      <c r="E442" s="85">
        <v>5.75</v>
      </c>
      <c r="F442" s="85">
        <v>5.81</v>
      </c>
      <c r="G442" s="85">
        <v>5.55</v>
      </c>
      <c r="H442" s="85">
        <v>5.61</v>
      </c>
      <c r="I442" s="85">
        <v>5.67</v>
      </c>
      <c r="J442" s="85"/>
      <c r="K442" s="85"/>
      <c r="L442" s="85"/>
      <c r="M442" s="87"/>
      <c r="N442" s="75"/>
      <c r="O442" s="75"/>
      <c r="P442" s="75"/>
      <c r="Q442" s="75"/>
    </row>
    <row r="443" spans="1:17" s="56" customFormat="1">
      <c r="A443" s="71">
        <v>38503</v>
      </c>
      <c r="B443" s="85">
        <v>5.5</v>
      </c>
      <c r="C443" s="85">
        <v>5.5</v>
      </c>
      <c r="D443" s="85">
        <v>5.63</v>
      </c>
      <c r="E443" s="85">
        <v>5.68</v>
      </c>
      <c r="F443" s="85">
        <v>5.72</v>
      </c>
      <c r="G443" s="85">
        <v>5.52</v>
      </c>
      <c r="H443" s="85">
        <v>5.55</v>
      </c>
      <c r="I443" s="85">
        <v>5.59</v>
      </c>
      <c r="J443" s="85"/>
      <c r="K443" s="85"/>
      <c r="L443" s="85"/>
      <c r="M443" s="87"/>
      <c r="N443" s="75"/>
      <c r="O443" s="75"/>
      <c r="P443" s="75"/>
      <c r="Q443" s="75"/>
    </row>
    <row r="444" spans="1:17" s="56" customFormat="1">
      <c r="A444" s="71">
        <v>38533</v>
      </c>
      <c r="B444" s="85">
        <v>5.5</v>
      </c>
      <c r="C444" s="85">
        <v>5.5</v>
      </c>
      <c r="D444" s="85">
        <v>5.62</v>
      </c>
      <c r="E444" s="85">
        <v>5.66</v>
      </c>
      <c r="F444" s="85">
        <v>5.69</v>
      </c>
      <c r="G444" s="85">
        <v>5.51</v>
      </c>
      <c r="H444" s="85">
        <v>5.54</v>
      </c>
      <c r="I444" s="85">
        <v>5.56</v>
      </c>
      <c r="J444" s="85"/>
      <c r="K444" s="85"/>
      <c r="L444" s="85"/>
      <c r="M444" s="87"/>
      <c r="N444" s="75"/>
      <c r="O444" s="75"/>
      <c r="P444" s="75"/>
      <c r="Q444" s="75"/>
    </row>
    <row r="445" spans="1:17" s="56" customFormat="1">
      <c r="A445" s="71">
        <v>38564</v>
      </c>
      <c r="B445" s="85">
        <v>5.5</v>
      </c>
      <c r="C445" s="85">
        <v>5.5</v>
      </c>
      <c r="D445" s="85">
        <v>5.61</v>
      </c>
      <c r="E445" s="85">
        <v>5.65</v>
      </c>
      <c r="F445" s="85">
        <v>5.69</v>
      </c>
      <c r="G445" s="85">
        <v>5.5125000000000002</v>
      </c>
      <c r="H445" s="85">
        <v>5.54</v>
      </c>
      <c r="I445" s="85">
        <v>5.57</v>
      </c>
      <c r="J445" s="85"/>
      <c r="K445" s="85"/>
      <c r="L445" s="85"/>
      <c r="M445" s="87"/>
      <c r="N445" s="75"/>
      <c r="O445" s="75"/>
      <c r="P445" s="75"/>
      <c r="Q445" s="75"/>
    </row>
    <row r="446" spans="1:17" s="56" customFormat="1">
      <c r="A446" s="71">
        <v>38595</v>
      </c>
      <c r="B446" s="85">
        <v>5.5</v>
      </c>
      <c r="C446" s="85">
        <v>5.5</v>
      </c>
      <c r="D446" s="85">
        <v>5.59</v>
      </c>
      <c r="E446" s="85">
        <v>5.62</v>
      </c>
      <c r="F446" s="85">
        <v>5.66</v>
      </c>
      <c r="G446" s="85">
        <v>5.51</v>
      </c>
      <c r="H446" s="85">
        <v>5.53</v>
      </c>
      <c r="I446" s="85">
        <v>5.55</v>
      </c>
      <c r="J446" s="85"/>
      <c r="K446" s="85"/>
      <c r="L446" s="85"/>
      <c r="M446" s="87"/>
      <c r="N446" s="75"/>
      <c r="O446" s="75"/>
      <c r="P446" s="75"/>
      <c r="Q446" s="75"/>
    </row>
    <row r="447" spans="1:17" s="56" customFormat="1">
      <c r="A447" s="71">
        <v>38625</v>
      </c>
      <c r="B447" s="85">
        <v>5.5</v>
      </c>
      <c r="C447" s="85">
        <v>5.5</v>
      </c>
      <c r="D447" s="85">
        <v>5.6</v>
      </c>
      <c r="E447" s="85">
        <v>5.62</v>
      </c>
      <c r="F447" s="85">
        <v>5.64</v>
      </c>
      <c r="G447" s="85">
        <v>5.51</v>
      </c>
      <c r="H447" s="85">
        <v>5.53</v>
      </c>
      <c r="I447" s="85">
        <v>5.55</v>
      </c>
      <c r="J447" s="85"/>
      <c r="K447" s="85"/>
      <c r="L447" s="85"/>
      <c r="M447" s="87"/>
      <c r="N447" s="75"/>
      <c r="O447" s="75"/>
      <c r="P447" s="75"/>
      <c r="Q447" s="75"/>
    </row>
    <row r="448" spans="1:17" s="56" customFormat="1">
      <c r="A448" s="71">
        <v>38656</v>
      </c>
      <c r="B448" s="85">
        <v>5.5</v>
      </c>
      <c r="C448" s="85">
        <v>5.5</v>
      </c>
      <c r="D448" s="85">
        <v>5.59</v>
      </c>
      <c r="E448" s="85">
        <v>5.63</v>
      </c>
      <c r="F448" s="85">
        <v>5.7</v>
      </c>
      <c r="G448" s="85">
        <v>5.51</v>
      </c>
      <c r="H448" s="85">
        <v>5.5385</v>
      </c>
      <c r="I448" s="85">
        <v>5.6</v>
      </c>
      <c r="J448" s="85"/>
      <c r="K448" s="85"/>
      <c r="L448" s="85"/>
      <c r="M448" s="87"/>
      <c r="N448" s="75"/>
      <c r="O448" s="75"/>
      <c r="P448" s="75"/>
      <c r="Q448" s="75"/>
    </row>
    <row r="449" spans="1:13" s="56" customFormat="1">
      <c r="A449" s="71">
        <v>38686</v>
      </c>
      <c r="B449" s="85">
        <v>5.5</v>
      </c>
      <c r="C449" s="85">
        <v>5.5</v>
      </c>
      <c r="D449" s="85">
        <v>5.59</v>
      </c>
      <c r="E449" s="85">
        <v>5.63</v>
      </c>
      <c r="F449" s="85">
        <v>5.67</v>
      </c>
      <c r="G449" s="85">
        <v>5.51</v>
      </c>
      <c r="H449" s="85">
        <v>5.54</v>
      </c>
      <c r="I449" s="85">
        <v>5.57</v>
      </c>
      <c r="J449" s="85"/>
      <c r="K449" s="85"/>
      <c r="L449" s="85"/>
      <c r="M449" s="87"/>
    </row>
    <row r="450" spans="1:13" s="56" customFormat="1">
      <c r="A450" s="71">
        <v>38717</v>
      </c>
      <c r="B450" s="85">
        <v>5.5</v>
      </c>
      <c r="C450" s="85">
        <v>5.5</v>
      </c>
      <c r="D450" s="85">
        <v>5.61</v>
      </c>
      <c r="E450" s="85">
        <v>5.63</v>
      </c>
      <c r="F450" s="85">
        <v>5.69</v>
      </c>
      <c r="G450" s="85">
        <v>5.51</v>
      </c>
      <c r="H450" s="85">
        <v>5.54</v>
      </c>
      <c r="I450" s="85">
        <v>5.58</v>
      </c>
      <c r="J450" s="85"/>
      <c r="K450" s="85"/>
      <c r="L450" s="85"/>
      <c r="M450" s="87"/>
    </row>
    <row r="451" spans="1:13" s="56" customFormat="1">
      <c r="A451" s="71">
        <v>38748</v>
      </c>
      <c r="B451" s="85">
        <v>5.5</v>
      </c>
      <c r="C451" s="85">
        <v>5.5</v>
      </c>
      <c r="D451" s="85">
        <v>5.59</v>
      </c>
      <c r="E451" s="85">
        <v>5.63</v>
      </c>
      <c r="F451" s="85">
        <v>5.67</v>
      </c>
      <c r="G451" s="85">
        <v>5.51</v>
      </c>
      <c r="H451" s="85">
        <v>5.54</v>
      </c>
      <c r="I451" s="85">
        <v>5.56</v>
      </c>
      <c r="J451" s="85"/>
      <c r="K451" s="85"/>
      <c r="L451" s="85"/>
      <c r="M451" s="87"/>
    </row>
    <row r="452" spans="1:13" s="56" customFormat="1">
      <c r="A452" s="71">
        <v>38776</v>
      </c>
      <c r="B452" s="85">
        <v>5.5</v>
      </c>
      <c r="C452" s="85">
        <v>5.5</v>
      </c>
      <c r="D452" s="85">
        <v>5.59</v>
      </c>
      <c r="E452" s="85">
        <v>5.61</v>
      </c>
      <c r="F452" s="85">
        <v>5.64</v>
      </c>
      <c r="G452" s="85">
        <v>5.51</v>
      </c>
      <c r="H452" s="85">
        <v>5.53</v>
      </c>
      <c r="I452" s="85">
        <v>5.55</v>
      </c>
      <c r="J452" s="85"/>
      <c r="K452" s="85"/>
      <c r="L452" s="85"/>
      <c r="M452" s="87"/>
    </row>
    <row r="453" spans="1:13" s="56" customFormat="1">
      <c r="A453" s="71">
        <v>38807</v>
      </c>
      <c r="B453" s="85">
        <v>5.5</v>
      </c>
      <c r="C453" s="85">
        <v>5.5</v>
      </c>
      <c r="D453" s="85">
        <v>5.58</v>
      </c>
      <c r="E453" s="85">
        <v>5.61</v>
      </c>
      <c r="F453" s="85">
        <v>5.64</v>
      </c>
      <c r="G453" s="85">
        <v>5.51</v>
      </c>
      <c r="H453" s="85">
        <v>5.53</v>
      </c>
      <c r="I453" s="85">
        <v>5.56</v>
      </c>
      <c r="J453" s="85"/>
      <c r="K453" s="85"/>
      <c r="L453" s="85"/>
      <c r="M453" s="87"/>
    </row>
    <row r="454" spans="1:13" s="56" customFormat="1">
      <c r="A454" s="71">
        <v>38837</v>
      </c>
      <c r="B454" s="85">
        <v>5.5</v>
      </c>
      <c r="C454" s="85">
        <v>5.5</v>
      </c>
      <c r="D454" s="85">
        <v>5.62</v>
      </c>
      <c r="E454" s="85">
        <v>5.69</v>
      </c>
      <c r="F454" s="85">
        <v>5.79</v>
      </c>
      <c r="G454" s="85">
        <v>5.55</v>
      </c>
      <c r="H454" s="85">
        <v>5.62</v>
      </c>
      <c r="I454" s="85">
        <v>5.71</v>
      </c>
      <c r="J454" s="85"/>
      <c r="K454" s="85"/>
      <c r="L454" s="85"/>
      <c r="M454" s="87"/>
    </row>
    <row r="455" spans="1:13" s="56" customFormat="1">
      <c r="A455" s="71">
        <v>38868</v>
      </c>
      <c r="B455" s="85">
        <v>5.7282608695652177</v>
      </c>
      <c r="C455" s="85">
        <v>5.73</v>
      </c>
      <c r="D455" s="85">
        <v>5.82</v>
      </c>
      <c r="E455" s="85">
        <v>5.87</v>
      </c>
      <c r="F455" s="85">
        <v>5.98</v>
      </c>
      <c r="G455" s="85">
        <v>5.75</v>
      </c>
      <c r="H455" s="85">
        <v>5.8</v>
      </c>
      <c r="I455" s="85">
        <v>5.89</v>
      </c>
      <c r="J455" s="85"/>
      <c r="K455" s="85"/>
      <c r="L455" s="85"/>
      <c r="M455" s="87"/>
    </row>
    <row r="456" spans="1:13" s="56" customFormat="1">
      <c r="A456" s="71">
        <v>38898</v>
      </c>
      <c r="B456" s="85">
        <v>5.75</v>
      </c>
      <c r="C456" s="85">
        <v>5.75</v>
      </c>
      <c r="D456" s="85">
        <v>5.87</v>
      </c>
      <c r="E456" s="85">
        <v>5.96</v>
      </c>
      <c r="F456" s="85">
        <v>6.07</v>
      </c>
      <c r="G456" s="85">
        <v>5.77</v>
      </c>
      <c r="H456" s="85">
        <v>5.87</v>
      </c>
      <c r="I456" s="85">
        <v>5.97</v>
      </c>
      <c r="J456" s="85"/>
      <c r="K456" s="85"/>
      <c r="L456" s="85"/>
      <c r="M456" s="87"/>
    </row>
    <row r="457" spans="1:13" s="56" customFormat="1">
      <c r="A457" s="71">
        <v>38929</v>
      </c>
      <c r="B457" s="85">
        <v>5.75</v>
      </c>
      <c r="C457" s="85">
        <v>5.75</v>
      </c>
      <c r="D457" s="85">
        <v>5.95</v>
      </c>
      <c r="E457" s="85">
        <v>6.05</v>
      </c>
      <c r="F457" s="85">
        <v>6.18</v>
      </c>
      <c r="G457" s="85">
        <v>5.87</v>
      </c>
      <c r="H457" s="85">
        <v>5.97</v>
      </c>
      <c r="I457" s="85">
        <v>6.09</v>
      </c>
      <c r="J457" s="85"/>
      <c r="K457" s="85"/>
      <c r="L457" s="85"/>
      <c r="M457" s="87"/>
    </row>
    <row r="458" spans="1:13" s="56" customFormat="1">
      <c r="A458" s="71">
        <v>38960</v>
      </c>
      <c r="B458" s="85">
        <v>5.9891304347826084</v>
      </c>
      <c r="C458" s="85">
        <v>5.99</v>
      </c>
      <c r="D458" s="85">
        <v>6.11</v>
      </c>
      <c r="E458" s="85">
        <v>6.19</v>
      </c>
      <c r="F458" s="85">
        <v>6.3</v>
      </c>
      <c r="G458" s="85">
        <v>6.02</v>
      </c>
      <c r="H458" s="85">
        <v>6.08</v>
      </c>
      <c r="I458" s="85">
        <v>6.2</v>
      </c>
      <c r="J458" s="85"/>
      <c r="K458" s="85"/>
      <c r="L458" s="85"/>
      <c r="M458" s="87"/>
    </row>
    <row r="459" spans="1:13" s="56" customFormat="1">
      <c r="A459" s="71">
        <v>38990</v>
      </c>
      <c r="B459" s="85">
        <v>6</v>
      </c>
      <c r="C459" s="85">
        <v>6</v>
      </c>
      <c r="D459" s="85">
        <v>6.12</v>
      </c>
      <c r="E459" s="85">
        <v>6.21</v>
      </c>
      <c r="F459" s="85">
        <v>6.3</v>
      </c>
      <c r="G459" s="85">
        <v>6.02</v>
      </c>
      <c r="H459" s="85">
        <v>6.1</v>
      </c>
      <c r="I459" s="85">
        <v>6.2</v>
      </c>
      <c r="J459" s="85"/>
      <c r="K459" s="85"/>
      <c r="L459" s="85"/>
      <c r="M459" s="87"/>
    </row>
    <row r="460" spans="1:13" s="56" customFormat="1">
      <c r="A460" s="71">
        <v>39021</v>
      </c>
      <c r="B460" s="85">
        <v>6</v>
      </c>
      <c r="C460" s="85">
        <v>6</v>
      </c>
      <c r="D460" s="85">
        <v>6.17</v>
      </c>
      <c r="E460" s="85">
        <v>6.28</v>
      </c>
      <c r="F460" s="85">
        <v>6.38</v>
      </c>
      <c r="G460" s="85">
        <v>6.09</v>
      </c>
      <c r="H460" s="85">
        <v>6.19</v>
      </c>
      <c r="I460" s="85">
        <v>6.29</v>
      </c>
      <c r="J460" s="85"/>
      <c r="K460" s="85"/>
      <c r="L460" s="85"/>
      <c r="M460" s="87"/>
    </row>
    <row r="461" spans="1:13" s="56" customFormat="1">
      <c r="A461" s="71">
        <v>39051</v>
      </c>
      <c r="B461" s="85">
        <v>6.1931818181818183</v>
      </c>
      <c r="C461" s="85">
        <v>6.19</v>
      </c>
      <c r="D461" s="85">
        <v>6.32</v>
      </c>
      <c r="E461" s="85">
        <v>6.37</v>
      </c>
      <c r="F461" s="85">
        <v>6.47</v>
      </c>
      <c r="G461" s="85">
        <v>6.26</v>
      </c>
      <c r="H461" s="85">
        <v>6.3</v>
      </c>
      <c r="I461" s="85">
        <v>6.38</v>
      </c>
      <c r="J461" s="85"/>
      <c r="K461" s="85"/>
      <c r="L461" s="85"/>
      <c r="M461" s="87"/>
    </row>
    <row r="462" spans="1:13" s="56" customFormat="1">
      <c r="A462" s="71">
        <v>39082</v>
      </c>
      <c r="B462" s="85">
        <v>6.25</v>
      </c>
      <c r="C462" s="85">
        <v>6.25</v>
      </c>
      <c r="D462" s="85">
        <v>6.35</v>
      </c>
      <c r="E462" s="85">
        <v>6.39</v>
      </c>
      <c r="F462" s="85">
        <v>6.49</v>
      </c>
      <c r="G462" s="85">
        <v>6.27</v>
      </c>
      <c r="H462" s="85">
        <v>6.32</v>
      </c>
      <c r="I462" s="85">
        <v>6.4</v>
      </c>
      <c r="J462" s="85"/>
      <c r="K462" s="85"/>
      <c r="L462" s="85"/>
      <c r="M462" s="87"/>
    </row>
    <row r="463" spans="1:13" s="56" customFormat="1">
      <c r="A463" s="71">
        <v>39113</v>
      </c>
      <c r="B463" s="85">
        <v>6.25</v>
      </c>
      <c r="C463" s="85">
        <v>6.25</v>
      </c>
      <c r="D463" s="85">
        <v>6.36</v>
      </c>
      <c r="E463" s="85">
        <v>6.43</v>
      </c>
      <c r="F463" s="85">
        <v>6.54</v>
      </c>
      <c r="G463" s="85">
        <v>6.29</v>
      </c>
      <c r="H463" s="85">
        <v>6.36</v>
      </c>
      <c r="I463" s="85">
        <v>6.45</v>
      </c>
      <c r="J463" s="85"/>
      <c r="K463" s="85"/>
      <c r="L463" s="85"/>
      <c r="M463" s="87"/>
    </row>
    <row r="464" spans="1:13" s="56" customFormat="1">
      <c r="A464" s="71">
        <v>39141</v>
      </c>
      <c r="B464" s="85">
        <v>6.25</v>
      </c>
      <c r="C464" s="85">
        <v>6.25</v>
      </c>
      <c r="D464" s="85">
        <v>6.33</v>
      </c>
      <c r="E464" s="85">
        <v>6.37</v>
      </c>
      <c r="F464" s="85">
        <v>6.46</v>
      </c>
      <c r="G464" s="85">
        <v>6.27</v>
      </c>
      <c r="H464" s="85">
        <v>6.31</v>
      </c>
      <c r="I464" s="85">
        <v>6.39</v>
      </c>
      <c r="J464" s="85"/>
      <c r="K464" s="85"/>
      <c r="L464" s="85"/>
      <c r="M464" s="87"/>
    </row>
    <row r="465" spans="1:13" s="56" customFormat="1">
      <c r="A465" s="71">
        <v>39172</v>
      </c>
      <c r="B465" s="85">
        <v>6.25</v>
      </c>
      <c r="C465" s="85">
        <v>6.25</v>
      </c>
      <c r="D465" s="85">
        <v>6.37</v>
      </c>
      <c r="E465" s="85">
        <v>6.43</v>
      </c>
      <c r="F465" s="85">
        <v>6.52</v>
      </c>
      <c r="G465" s="85">
        <v>6.31</v>
      </c>
      <c r="H465" s="85">
        <v>6.37</v>
      </c>
      <c r="I465" s="85">
        <v>6.45</v>
      </c>
      <c r="J465" s="85"/>
      <c r="K465" s="85"/>
      <c r="L465" s="85"/>
      <c r="M465" s="87"/>
    </row>
    <row r="466" spans="1:13" s="56" customFormat="1">
      <c r="A466" s="71">
        <v>39202</v>
      </c>
      <c r="B466" s="85">
        <v>6.25</v>
      </c>
      <c r="C466" s="85">
        <v>6.25</v>
      </c>
      <c r="D466" s="85">
        <v>6.4</v>
      </c>
      <c r="E466" s="85">
        <v>6.48</v>
      </c>
      <c r="F466" s="85">
        <v>6.59</v>
      </c>
      <c r="G466" s="85">
        <v>6.33</v>
      </c>
      <c r="H466" s="85">
        <v>6.42</v>
      </c>
      <c r="I466" s="85">
        <v>6.52</v>
      </c>
      <c r="J466" s="85"/>
      <c r="K466" s="85"/>
      <c r="L466" s="85"/>
      <c r="M466" s="87"/>
    </row>
    <row r="467" spans="1:13" s="56" customFormat="1">
      <c r="A467" s="71">
        <v>39233</v>
      </c>
      <c r="B467" s="85">
        <v>6.25</v>
      </c>
      <c r="C467" s="85">
        <v>6.25</v>
      </c>
      <c r="D467" s="85">
        <v>6.34</v>
      </c>
      <c r="E467" s="85">
        <v>6.37</v>
      </c>
      <c r="F467" s="85">
        <v>6.46</v>
      </c>
      <c r="G467" s="85">
        <v>6.27</v>
      </c>
      <c r="H467" s="85">
        <v>6.31</v>
      </c>
      <c r="I467" s="85">
        <v>6.4</v>
      </c>
      <c r="J467" s="85"/>
      <c r="K467" s="85"/>
      <c r="L467" s="85"/>
      <c r="M467" s="87"/>
    </row>
    <row r="468" spans="1:13" s="56" customFormat="1">
      <c r="A468" s="71">
        <v>39263</v>
      </c>
      <c r="B468" s="85">
        <v>6.25</v>
      </c>
      <c r="C468" s="85">
        <v>6.25</v>
      </c>
      <c r="D468" s="85">
        <v>6.34</v>
      </c>
      <c r="E468" s="85">
        <v>6.42</v>
      </c>
      <c r="F468" s="85">
        <v>6.55</v>
      </c>
      <c r="G468" s="85">
        <v>6.28</v>
      </c>
      <c r="H468" s="85">
        <v>6.37</v>
      </c>
      <c r="I468" s="85">
        <v>6.49</v>
      </c>
      <c r="J468" s="85"/>
      <c r="K468" s="85"/>
      <c r="L468" s="85"/>
      <c r="M468" s="87"/>
    </row>
    <row r="469" spans="1:13" s="56" customFormat="1">
      <c r="A469" s="71">
        <v>39294</v>
      </c>
      <c r="B469" s="85">
        <v>6.25</v>
      </c>
      <c r="C469" s="85">
        <v>6.25</v>
      </c>
      <c r="D469" s="85">
        <v>6.38</v>
      </c>
      <c r="E469" s="85">
        <v>6.47</v>
      </c>
      <c r="F469" s="85">
        <v>6.59</v>
      </c>
      <c r="G469" s="85">
        <v>6.32</v>
      </c>
      <c r="H469" s="85">
        <v>6.4</v>
      </c>
      <c r="I469" s="85">
        <v>6.51</v>
      </c>
      <c r="J469" s="85"/>
      <c r="K469" s="85"/>
      <c r="L469" s="85"/>
      <c r="M469" s="87"/>
    </row>
    <row r="470" spans="1:13" s="56" customFormat="1">
      <c r="A470" s="71">
        <v>39325</v>
      </c>
      <c r="B470" s="85">
        <v>6.4545454545454541</v>
      </c>
      <c r="C470" s="85">
        <v>6.45</v>
      </c>
      <c r="D470" s="85">
        <v>6.71</v>
      </c>
      <c r="E470" s="85">
        <v>6.75</v>
      </c>
      <c r="F470" s="85">
        <v>6.81</v>
      </c>
      <c r="G470" s="85">
        <v>6.5</v>
      </c>
      <c r="H470" s="85">
        <v>6.55</v>
      </c>
      <c r="I470" s="85">
        <v>6.63</v>
      </c>
      <c r="J470" s="85"/>
      <c r="K470" s="85"/>
      <c r="L470" s="85"/>
      <c r="M470" s="87"/>
    </row>
    <row r="471" spans="1:13" s="56" customFormat="1">
      <c r="A471" s="71">
        <v>39355</v>
      </c>
      <c r="B471" s="85">
        <v>6.5</v>
      </c>
      <c r="C471" s="85">
        <v>6.5</v>
      </c>
      <c r="D471" s="85">
        <v>6.89</v>
      </c>
      <c r="E471" s="85">
        <v>6.94</v>
      </c>
      <c r="F471" s="85">
        <v>6.99</v>
      </c>
      <c r="G471" s="85">
        <v>6.51</v>
      </c>
      <c r="H471" s="85">
        <v>6.56</v>
      </c>
      <c r="I471" s="85">
        <v>6.65</v>
      </c>
      <c r="J471" s="85"/>
      <c r="K471" s="85"/>
      <c r="L471" s="85"/>
      <c r="M471" s="87"/>
    </row>
    <row r="472" spans="1:13" s="56" customFormat="1">
      <c r="A472" s="71">
        <v>39386</v>
      </c>
      <c r="B472" s="85">
        <v>6.5</v>
      </c>
      <c r="C472" s="85">
        <v>6.5</v>
      </c>
      <c r="D472" s="85">
        <v>6.74</v>
      </c>
      <c r="E472" s="85">
        <v>6.91</v>
      </c>
      <c r="F472" s="85">
        <v>7.05</v>
      </c>
      <c r="G472" s="85">
        <v>6.58</v>
      </c>
      <c r="H472" s="85">
        <v>6.69</v>
      </c>
      <c r="I472" s="85">
        <v>6.82</v>
      </c>
      <c r="J472" s="85"/>
      <c r="K472" s="85"/>
      <c r="L472" s="85"/>
      <c r="M472" s="87"/>
    </row>
    <row r="473" spans="1:13" s="56" customFormat="1">
      <c r="A473" s="71">
        <v>39416</v>
      </c>
      <c r="B473" s="85">
        <v>6.704088101503987</v>
      </c>
      <c r="C473" s="85">
        <v>6.7</v>
      </c>
      <c r="D473" s="85">
        <v>6.9</v>
      </c>
      <c r="E473" s="85">
        <v>7.15</v>
      </c>
      <c r="F473" s="85">
        <v>7.3</v>
      </c>
      <c r="G473" s="85">
        <v>6.77</v>
      </c>
      <c r="H473" s="85">
        <v>6.85</v>
      </c>
      <c r="I473" s="85">
        <v>6.98</v>
      </c>
      <c r="J473" s="85"/>
      <c r="K473" s="85"/>
      <c r="L473" s="85"/>
      <c r="M473" s="87"/>
    </row>
    <row r="474" spans="1:13" s="56" customFormat="1">
      <c r="A474" s="71">
        <v>39447</v>
      </c>
      <c r="B474" s="85">
        <v>6.748922534220462</v>
      </c>
      <c r="C474" s="85">
        <v>6.75</v>
      </c>
      <c r="D474" s="85">
        <v>7.1</v>
      </c>
      <c r="E474" s="85">
        <v>7.29</v>
      </c>
      <c r="F474" s="85">
        <v>7.41</v>
      </c>
      <c r="G474" s="85">
        <v>6.77</v>
      </c>
      <c r="H474" s="85">
        <v>6.86</v>
      </c>
      <c r="I474" s="85">
        <v>6.98</v>
      </c>
      <c r="J474" s="85"/>
      <c r="K474" s="85"/>
      <c r="L474" s="85"/>
      <c r="M474" s="87"/>
    </row>
    <row r="475" spans="1:13" s="56" customFormat="1">
      <c r="A475" s="71">
        <v>39478</v>
      </c>
      <c r="B475" s="85">
        <v>6.7498302811884514</v>
      </c>
      <c r="C475" s="85">
        <v>6.75</v>
      </c>
      <c r="D475" s="85">
        <v>7.01</v>
      </c>
      <c r="E475" s="85">
        <v>7.18</v>
      </c>
      <c r="F475" s="85">
        <v>7.31</v>
      </c>
      <c r="G475" s="85">
        <v>6.82</v>
      </c>
      <c r="H475" s="85">
        <v>6.91</v>
      </c>
      <c r="I475" s="85">
        <v>7.01</v>
      </c>
      <c r="J475" s="85"/>
      <c r="K475" s="85"/>
      <c r="L475" s="85"/>
      <c r="M475" s="87"/>
    </row>
    <row r="476" spans="1:13" s="56" customFormat="1">
      <c r="A476" s="71">
        <v>39507</v>
      </c>
      <c r="B476" s="85">
        <v>6.9642701148285182</v>
      </c>
      <c r="C476" s="85">
        <v>6.96</v>
      </c>
      <c r="D476" s="85">
        <v>7.36</v>
      </c>
      <c r="E476" s="85">
        <v>7.69</v>
      </c>
      <c r="F476" s="85">
        <v>7.84</v>
      </c>
      <c r="G476" s="85">
        <v>7.11</v>
      </c>
      <c r="H476" s="85">
        <v>7.24</v>
      </c>
      <c r="I476" s="85">
        <v>7.38</v>
      </c>
      <c r="J476" s="85"/>
      <c r="K476" s="85"/>
      <c r="L476" s="85"/>
      <c r="M476" s="87"/>
    </row>
    <row r="477" spans="1:13" s="56" customFormat="1">
      <c r="A477" s="71">
        <v>39538</v>
      </c>
      <c r="B477" s="85">
        <v>7.2237239370006838</v>
      </c>
      <c r="C477" s="85">
        <v>7.22</v>
      </c>
      <c r="D477" s="85">
        <v>7.63</v>
      </c>
      <c r="E477" s="85">
        <v>7.9</v>
      </c>
      <c r="F477" s="85">
        <v>8.0399999999999991</v>
      </c>
      <c r="G477" s="85">
        <v>7.27</v>
      </c>
      <c r="H477" s="85">
        <v>7.33</v>
      </c>
      <c r="I477" s="85">
        <v>7.39</v>
      </c>
      <c r="J477" s="85"/>
      <c r="K477" s="85"/>
      <c r="L477" s="85"/>
      <c r="M477" s="87"/>
    </row>
    <row r="478" spans="1:13" s="56" customFormat="1">
      <c r="A478" s="71">
        <v>39568</v>
      </c>
      <c r="B478" s="85">
        <v>7.2497122614776925</v>
      </c>
      <c r="C478" s="85">
        <v>7.25</v>
      </c>
      <c r="D478" s="85">
        <v>7.63</v>
      </c>
      <c r="E478" s="85">
        <v>7.84</v>
      </c>
      <c r="F478" s="85">
        <v>7.99</v>
      </c>
      <c r="G478" s="85">
        <v>7.28</v>
      </c>
      <c r="H478" s="85">
        <v>7.33</v>
      </c>
      <c r="I478" s="85">
        <v>7.4</v>
      </c>
      <c r="J478" s="85"/>
      <c r="K478" s="85"/>
      <c r="L478" s="85"/>
      <c r="M478" s="87"/>
    </row>
    <row r="479" spans="1:13" s="56" customFormat="1">
      <c r="A479" s="71">
        <v>39599</v>
      </c>
      <c r="B479" s="85">
        <v>7.249974472248593</v>
      </c>
      <c r="C479" s="85">
        <v>7.25</v>
      </c>
      <c r="D479" s="85">
        <v>7.54</v>
      </c>
      <c r="E479" s="85">
        <v>7.75</v>
      </c>
      <c r="F479" s="85">
        <v>7.9</v>
      </c>
      <c r="G479" s="85">
        <v>7.28</v>
      </c>
      <c r="H479" s="85">
        <v>7.35</v>
      </c>
      <c r="I479" s="85">
        <v>7.46</v>
      </c>
      <c r="J479" s="85"/>
      <c r="K479" s="85"/>
      <c r="L479" s="85"/>
      <c r="M479" s="87"/>
    </row>
    <row r="480" spans="1:13" s="56" customFormat="1">
      <c r="A480" s="71">
        <v>39629</v>
      </c>
      <c r="B480" s="85">
        <v>7.2499874160159168</v>
      </c>
      <c r="C480" s="85">
        <v>7.25</v>
      </c>
      <c r="D480" s="85">
        <v>7.64</v>
      </c>
      <c r="E480" s="85">
        <v>7.81</v>
      </c>
      <c r="F480" s="85">
        <v>8.0399999999999991</v>
      </c>
      <c r="G480" s="85">
        <v>7.27</v>
      </c>
      <c r="H480" s="85">
        <v>7.37</v>
      </c>
      <c r="I480" s="85">
        <v>7.5</v>
      </c>
      <c r="J480" s="85"/>
      <c r="K480" s="85"/>
      <c r="L480" s="85"/>
      <c r="M480" s="87"/>
    </row>
    <row r="481" spans="1:13" s="56" customFormat="1">
      <c r="A481" s="71">
        <v>39660</v>
      </c>
      <c r="B481" s="85">
        <v>7.2500167539868423</v>
      </c>
      <c r="C481" s="85">
        <v>7.25</v>
      </c>
      <c r="D481" s="85">
        <v>7.54</v>
      </c>
      <c r="E481" s="85">
        <v>7.75</v>
      </c>
      <c r="F481" s="85">
        <v>7.9</v>
      </c>
      <c r="G481" s="85">
        <v>7.27</v>
      </c>
      <c r="H481" s="85">
        <v>7.32</v>
      </c>
      <c r="I481" s="85">
        <v>7.39</v>
      </c>
      <c r="J481" s="85"/>
      <c r="K481" s="85"/>
      <c r="L481" s="85"/>
      <c r="M481" s="87"/>
    </row>
    <row r="482" spans="1:13" s="56" customFormat="1">
      <c r="A482" s="71">
        <v>39691</v>
      </c>
      <c r="B482" s="85">
        <v>7.2500020252139139</v>
      </c>
      <c r="C482" s="85">
        <v>7.25</v>
      </c>
      <c r="D482" s="85">
        <v>7.31</v>
      </c>
      <c r="E482" s="85">
        <v>7.31</v>
      </c>
      <c r="F482" s="85">
        <v>7.3</v>
      </c>
      <c r="G482" s="85">
        <v>7.11</v>
      </c>
      <c r="H482" s="85">
        <v>6.96</v>
      </c>
      <c r="I482" s="85">
        <v>6.84</v>
      </c>
      <c r="J482" s="85"/>
      <c r="K482" s="85"/>
      <c r="L482" s="85"/>
      <c r="M482" s="87"/>
    </row>
    <row r="483" spans="1:13" s="56" customFormat="1">
      <c r="A483" s="71">
        <v>39721</v>
      </c>
      <c r="B483" s="85">
        <v>7.0227272727272725</v>
      </c>
      <c r="C483" s="85">
        <v>7.02</v>
      </c>
      <c r="D483" s="85">
        <v>7.26</v>
      </c>
      <c r="E483" s="85">
        <v>7.27</v>
      </c>
      <c r="F483" s="85">
        <v>7.19</v>
      </c>
      <c r="G483" s="85">
        <v>6.93</v>
      </c>
      <c r="H483" s="85">
        <v>6.7</v>
      </c>
      <c r="I483" s="85">
        <v>6.55</v>
      </c>
      <c r="J483" s="85"/>
      <c r="K483" s="85"/>
      <c r="L483" s="85"/>
      <c r="M483" s="87"/>
    </row>
    <row r="484" spans="1:13" s="56" customFormat="1">
      <c r="A484" s="71">
        <v>39752</v>
      </c>
      <c r="B484" s="85">
        <v>6.1818181818181817</v>
      </c>
      <c r="C484" s="85">
        <v>6.18</v>
      </c>
      <c r="D484" s="85">
        <v>6.2</v>
      </c>
      <c r="E484" s="85">
        <v>6.03</v>
      </c>
      <c r="F484" s="85">
        <v>5.57</v>
      </c>
      <c r="G484" s="85">
        <v>5.76</v>
      </c>
      <c r="H484" s="85">
        <v>5.27</v>
      </c>
      <c r="I484" s="85">
        <v>4.8600000000000003</v>
      </c>
      <c r="J484" s="85"/>
      <c r="K484" s="85"/>
      <c r="L484" s="85"/>
      <c r="M484" s="87"/>
    </row>
    <row r="485" spans="1:13" s="56" customFormat="1">
      <c r="A485" s="71">
        <v>39782</v>
      </c>
      <c r="B485" s="85">
        <v>5.3251632919660352</v>
      </c>
      <c r="C485" s="85">
        <v>5.33</v>
      </c>
      <c r="D485" s="85">
        <v>5.0599999999999996</v>
      </c>
      <c r="E485" s="85">
        <v>4.76</v>
      </c>
      <c r="F485" s="85">
        <v>4.3099999999999996</v>
      </c>
      <c r="G485" s="85">
        <v>4.74</v>
      </c>
      <c r="H485" s="85">
        <v>4.29</v>
      </c>
      <c r="I485" s="85">
        <v>3.79</v>
      </c>
      <c r="J485" s="85"/>
      <c r="K485" s="85"/>
      <c r="L485" s="85"/>
      <c r="M485" s="87"/>
    </row>
    <row r="486" spans="1:13" s="56" customFormat="1">
      <c r="A486" s="71">
        <v>39813</v>
      </c>
      <c r="B486" s="85">
        <v>4.345261211573237</v>
      </c>
      <c r="C486" s="85">
        <v>4.3499999999999996</v>
      </c>
      <c r="D486" s="85">
        <v>4.4800000000000004</v>
      </c>
      <c r="E486" s="85">
        <v>4.3899999999999997</v>
      </c>
      <c r="F486" s="85">
        <v>3.9</v>
      </c>
      <c r="G486" s="85">
        <v>4.18</v>
      </c>
      <c r="H486" s="85">
        <v>3.69</v>
      </c>
      <c r="I486" s="85">
        <v>3.2</v>
      </c>
      <c r="J486" s="85"/>
      <c r="K486" s="85"/>
      <c r="L486" s="85"/>
      <c r="M486" s="87"/>
    </row>
    <row r="487" spans="1:13" s="56" customFormat="1">
      <c r="A487" s="71">
        <v>39844</v>
      </c>
      <c r="B487" s="85">
        <v>4.2500005432814199</v>
      </c>
      <c r="C487" s="85">
        <v>4.25</v>
      </c>
      <c r="D487" s="85">
        <v>4.16</v>
      </c>
      <c r="E487" s="85">
        <v>3.74</v>
      </c>
      <c r="F487" s="85">
        <v>3.46</v>
      </c>
      <c r="G487" s="85">
        <v>3.81</v>
      </c>
      <c r="H487" s="85">
        <v>3.19</v>
      </c>
      <c r="I487" s="85">
        <v>2.83</v>
      </c>
      <c r="J487" s="85"/>
      <c r="K487" s="85"/>
      <c r="L487" s="85"/>
      <c r="M487" s="87"/>
    </row>
    <row r="488" spans="1:13" s="56" customFormat="1">
      <c r="A488" s="71">
        <v>39872</v>
      </c>
      <c r="B488" s="85">
        <v>3.35</v>
      </c>
      <c r="C488" s="85">
        <v>3.35</v>
      </c>
      <c r="D488" s="85">
        <v>3.28</v>
      </c>
      <c r="E488" s="85">
        <v>3.16</v>
      </c>
      <c r="F488" s="85">
        <v>3.01</v>
      </c>
      <c r="G488" s="85">
        <v>3.05</v>
      </c>
      <c r="H488" s="85">
        <v>2.63</v>
      </c>
      <c r="I488" s="85">
        <v>2.41</v>
      </c>
      <c r="J488" s="85"/>
      <c r="K488" s="85"/>
      <c r="L488" s="85"/>
      <c r="M488" s="87"/>
    </row>
    <row r="489" spans="1:13" s="56" customFormat="1">
      <c r="A489" s="71">
        <v>39903</v>
      </c>
      <c r="B489" s="85">
        <v>3.2499785723178505</v>
      </c>
      <c r="C489" s="85">
        <v>3.25</v>
      </c>
      <c r="D489" s="85">
        <v>3.22</v>
      </c>
      <c r="E489" s="85">
        <v>3.16</v>
      </c>
      <c r="F489" s="85">
        <v>3.04</v>
      </c>
      <c r="G489" s="85">
        <v>3.11</v>
      </c>
      <c r="H489" s="85">
        <v>2.78</v>
      </c>
      <c r="I489" s="85">
        <v>2.56</v>
      </c>
      <c r="J489" s="85">
        <v>3.0452631578947371</v>
      </c>
      <c r="K489" s="85">
        <v>2.8231578947368425</v>
      </c>
      <c r="L489" s="85">
        <v>2.7168421052631584</v>
      </c>
      <c r="M489" s="87"/>
    </row>
    <row r="490" spans="1:13" s="56" customFormat="1">
      <c r="A490" s="71">
        <v>39933</v>
      </c>
      <c r="B490" s="85">
        <v>3.0625707823036863</v>
      </c>
      <c r="C490" s="85">
        <v>3.06</v>
      </c>
      <c r="D490" s="85">
        <v>3.14</v>
      </c>
      <c r="E490" s="85">
        <v>3.1</v>
      </c>
      <c r="F490" s="85">
        <v>3.02</v>
      </c>
      <c r="G490" s="85">
        <v>2.95</v>
      </c>
      <c r="H490" s="85">
        <v>2.77</v>
      </c>
      <c r="I490" s="85">
        <v>2.59</v>
      </c>
      <c r="J490" s="85">
        <v>2.8849999999999998</v>
      </c>
      <c r="K490" s="85">
        <v>2.7749999999999999</v>
      </c>
      <c r="L490" s="85">
        <v>2.7239999999999998</v>
      </c>
      <c r="M490" s="87"/>
    </row>
    <row r="491" spans="1:13" s="56" customFormat="1">
      <c r="A491" s="71">
        <v>39964</v>
      </c>
      <c r="B491" s="85">
        <v>3</v>
      </c>
      <c r="C491" s="85">
        <v>3</v>
      </c>
      <c r="D491" s="85">
        <v>3.12</v>
      </c>
      <c r="E491" s="85">
        <v>3.13</v>
      </c>
      <c r="F491" s="85">
        <v>3.13</v>
      </c>
      <c r="G491" s="85">
        <v>2.97</v>
      </c>
      <c r="H491" s="85">
        <v>2.89</v>
      </c>
      <c r="I491" s="85">
        <v>2.78</v>
      </c>
      <c r="J491" s="85">
        <v>2.9719047619047623</v>
      </c>
      <c r="K491" s="85">
        <v>2.9395238095238096</v>
      </c>
      <c r="L491" s="85">
        <v>2.9621428571428572</v>
      </c>
      <c r="M491" s="87"/>
    </row>
    <row r="492" spans="1:13" s="56" customFormat="1">
      <c r="A492" s="71">
        <v>39994</v>
      </c>
      <c r="B492" s="85">
        <v>3.0000620694498248</v>
      </c>
      <c r="C492" s="85">
        <v>3</v>
      </c>
      <c r="D492" s="85">
        <v>3.22</v>
      </c>
      <c r="E492" s="85">
        <v>3.25</v>
      </c>
      <c r="F492" s="85">
        <v>3.3</v>
      </c>
      <c r="G492" s="85">
        <v>2.99</v>
      </c>
      <c r="H492" s="85">
        <v>2.95</v>
      </c>
      <c r="I492" s="85">
        <v>2.93</v>
      </c>
      <c r="J492" s="85">
        <v>3.0454761904761911</v>
      </c>
      <c r="K492" s="85">
        <v>3.0692857142857144</v>
      </c>
      <c r="L492" s="85">
        <v>3.125</v>
      </c>
      <c r="M492" s="87"/>
    </row>
    <row r="493" spans="1:13" s="56" customFormat="1">
      <c r="A493" s="71">
        <v>40025</v>
      </c>
      <c r="B493" s="85">
        <v>3</v>
      </c>
      <c r="C493" s="85">
        <v>3</v>
      </c>
      <c r="D493" s="85">
        <v>3.11</v>
      </c>
      <c r="E493" s="85">
        <v>3.14</v>
      </c>
      <c r="F493" s="85">
        <v>3.26</v>
      </c>
      <c r="G493" s="85">
        <v>2.99</v>
      </c>
      <c r="H493" s="85">
        <v>2.97</v>
      </c>
      <c r="I493" s="85">
        <v>2.97</v>
      </c>
      <c r="J493" s="85">
        <v>3.0319565217391302</v>
      </c>
      <c r="K493" s="85">
        <v>3.0545652173913047</v>
      </c>
      <c r="L493" s="85">
        <v>3.0202173913043482</v>
      </c>
      <c r="M493" s="87"/>
    </row>
    <row r="494" spans="1:13" s="56" customFormat="1">
      <c r="A494" s="71">
        <v>40056</v>
      </c>
      <c r="B494" s="85">
        <v>3</v>
      </c>
      <c r="C494" s="85">
        <v>3</v>
      </c>
      <c r="D494" s="85">
        <v>3.16</v>
      </c>
      <c r="E494" s="85">
        <v>3.3</v>
      </c>
      <c r="F494" s="85">
        <v>3.59</v>
      </c>
      <c r="G494" s="85">
        <v>3.01</v>
      </c>
      <c r="H494" s="85">
        <v>3.09</v>
      </c>
      <c r="I494" s="85">
        <v>3.28</v>
      </c>
      <c r="J494" s="85">
        <v>3.0825</v>
      </c>
      <c r="K494" s="85">
        <v>3.1737500000000001</v>
      </c>
      <c r="L494" s="85">
        <v>3.4384999999999999</v>
      </c>
      <c r="M494" s="87"/>
    </row>
    <row r="495" spans="1:13" s="56" customFormat="1">
      <c r="A495" s="71">
        <v>40086</v>
      </c>
      <c r="B495" s="85">
        <v>3</v>
      </c>
      <c r="C495" s="85">
        <v>3</v>
      </c>
      <c r="D495" s="85">
        <v>3.19</v>
      </c>
      <c r="E495" s="85">
        <v>3.37</v>
      </c>
      <c r="F495" s="85">
        <v>3.68</v>
      </c>
      <c r="G495" s="85">
        <v>3.02</v>
      </c>
      <c r="H495" s="85">
        <v>3.16</v>
      </c>
      <c r="I495" s="85">
        <v>3.37</v>
      </c>
      <c r="J495" s="85">
        <v>3.07</v>
      </c>
      <c r="K495" s="85">
        <v>3.226</v>
      </c>
      <c r="L495" s="85">
        <v>3.5230000000000001</v>
      </c>
      <c r="M495" s="87"/>
    </row>
    <row r="496" spans="1:13" s="56" customFormat="1">
      <c r="A496" s="71">
        <v>40117</v>
      </c>
      <c r="B496" s="85">
        <v>3.2142857142857144</v>
      </c>
      <c r="C496" s="85">
        <v>3.21</v>
      </c>
      <c r="D496" s="85">
        <v>3.46</v>
      </c>
      <c r="E496" s="85">
        <v>3.78</v>
      </c>
      <c r="F496" s="85">
        <v>4.18</v>
      </c>
      <c r="G496" s="85">
        <v>3.38</v>
      </c>
      <c r="H496" s="85">
        <v>3.61</v>
      </c>
      <c r="I496" s="85">
        <v>3.92</v>
      </c>
      <c r="J496" s="85">
        <v>3.3007142857142862</v>
      </c>
      <c r="K496" s="85">
        <v>3.5419047619047626</v>
      </c>
      <c r="L496" s="85">
        <v>3.8595238095238087</v>
      </c>
      <c r="M496" s="87"/>
    </row>
    <row r="497" spans="1:13" s="56" customFormat="1">
      <c r="A497" s="71">
        <v>40147</v>
      </c>
      <c r="B497" s="85">
        <v>3.4761904761904763</v>
      </c>
      <c r="C497" s="85">
        <v>3.48</v>
      </c>
      <c r="D497" s="85">
        <v>3.74</v>
      </c>
      <c r="E497" s="85">
        <v>3.95</v>
      </c>
      <c r="F497" s="85">
        <v>4.34</v>
      </c>
      <c r="G497" s="85">
        <v>3.59</v>
      </c>
      <c r="H497" s="85">
        <v>3.7</v>
      </c>
      <c r="I497" s="85">
        <v>3.96</v>
      </c>
      <c r="J497" s="85">
        <v>3.5471428571428567</v>
      </c>
      <c r="K497" s="85">
        <v>3.6947619047619051</v>
      </c>
      <c r="L497" s="85"/>
      <c r="M497" s="87"/>
    </row>
    <row r="498" spans="1:13" s="56" customFormat="1">
      <c r="A498" s="71">
        <v>40178</v>
      </c>
      <c r="B498" s="85">
        <v>3.7380952380952381</v>
      </c>
      <c r="C498" s="85">
        <v>3.738</v>
      </c>
      <c r="D498" s="85">
        <v>3.9690476190476196</v>
      </c>
      <c r="E498" s="85">
        <v>4.1290476190476184</v>
      </c>
      <c r="F498" s="85">
        <v>4.41</v>
      </c>
      <c r="G498" s="85">
        <v>3.7564285714285703</v>
      </c>
      <c r="H498" s="85">
        <v>3.8406904761904763</v>
      </c>
      <c r="I498" s="85">
        <v>4.0297619047619051</v>
      </c>
      <c r="J498" s="85">
        <v>3.6952380952380954</v>
      </c>
      <c r="K498" s="85">
        <v>3.8259523809523817</v>
      </c>
      <c r="L498" s="85"/>
      <c r="M498" s="87"/>
    </row>
    <row r="499" spans="1:13" s="56" customFormat="1">
      <c r="A499" s="71">
        <v>40209</v>
      </c>
      <c r="B499" s="85">
        <v>3.75</v>
      </c>
      <c r="C499" s="85">
        <v>3.75</v>
      </c>
      <c r="D499" s="85">
        <v>4.0125000000000002</v>
      </c>
      <c r="E499" s="85">
        <v>4.2024999999999997</v>
      </c>
      <c r="F499" s="85">
        <v>4.5</v>
      </c>
      <c r="G499" s="85">
        <v>3.835</v>
      </c>
      <c r="H499" s="85">
        <v>3.9725000000000001</v>
      </c>
      <c r="I499" s="85">
        <v>4.1849999999999996</v>
      </c>
      <c r="J499" s="85">
        <v>3.7825000000000002</v>
      </c>
      <c r="K499" s="85">
        <v>3.9049999999999998</v>
      </c>
      <c r="L499" s="85"/>
      <c r="M499" s="87"/>
    </row>
    <row r="500" spans="1:13" s="56" customFormat="1">
      <c r="A500" s="71">
        <v>40237</v>
      </c>
      <c r="B500" s="85">
        <v>3.75</v>
      </c>
      <c r="C500" s="85">
        <v>3.75</v>
      </c>
      <c r="D500" s="85">
        <v>3.9525000000000001</v>
      </c>
      <c r="E500" s="85">
        <v>4.16</v>
      </c>
      <c r="F500" s="85">
        <v>4.3650000000000002</v>
      </c>
      <c r="G500" s="85">
        <v>3.8050000000000002</v>
      </c>
      <c r="H500" s="85">
        <v>3.8925000000000001</v>
      </c>
      <c r="I500" s="85">
        <v>4.0350000000000001</v>
      </c>
      <c r="J500" s="85">
        <v>3.7725</v>
      </c>
      <c r="K500" s="85">
        <v>3.8374999999999999</v>
      </c>
      <c r="L500" s="85"/>
      <c r="M500" s="87"/>
    </row>
    <row r="501" spans="1:13" s="56" customFormat="1">
      <c r="A501" s="71">
        <v>40268</v>
      </c>
      <c r="B501" s="85">
        <v>3.9775</v>
      </c>
      <c r="C501" s="85">
        <v>3.9780000000000002</v>
      </c>
      <c r="D501" s="85">
        <v>4.0999999999999996</v>
      </c>
      <c r="E501" s="85">
        <v>4.3274999999999997</v>
      </c>
      <c r="F501" s="85">
        <v>4.6025</v>
      </c>
      <c r="G501" s="85">
        <v>4.0475000000000003</v>
      </c>
      <c r="H501" s="85">
        <v>4.1624999999999996</v>
      </c>
      <c r="I501" s="85">
        <v>4.32</v>
      </c>
      <c r="J501" s="85">
        <v>3.96</v>
      </c>
      <c r="K501" s="85">
        <v>4.0525000000000002</v>
      </c>
      <c r="L501" s="85"/>
      <c r="M501" s="87"/>
    </row>
    <row r="502" spans="1:13" s="56" customFormat="1">
      <c r="A502" s="71">
        <v>40298</v>
      </c>
      <c r="B502" s="85">
        <v>4.2225000000000001</v>
      </c>
      <c r="C502" s="85">
        <v>4.2229999999999999</v>
      </c>
      <c r="D502" s="85">
        <v>4.3475000000000001</v>
      </c>
      <c r="E502" s="85">
        <v>4.5449999999999999</v>
      </c>
      <c r="F502" s="85">
        <v>4.7774999999999999</v>
      </c>
      <c r="G502" s="85">
        <v>4.2925000000000004</v>
      </c>
      <c r="H502" s="85">
        <v>4.3949999999999996</v>
      </c>
      <c r="I502" s="85">
        <v>4.55</v>
      </c>
      <c r="J502" s="85">
        <v>4.2374999999999998</v>
      </c>
      <c r="K502" s="85">
        <v>4.3499999999999996</v>
      </c>
      <c r="L502" s="85"/>
      <c r="M502" s="87"/>
    </row>
    <row r="503" spans="1:13" s="56" customFormat="1">
      <c r="A503" s="71">
        <v>40329</v>
      </c>
      <c r="B503" s="85">
        <v>4.4749999999999996</v>
      </c>
      <c r="C503" s="85">
        <v>4.4749999999999996</v>
      </c>
      <c r="D503" s="85">
        <v>4.6524999999999999</v>
      </c>
      <c r="E503" s="85">
        <v>4.8049999999999997</v>
      </c>
      <c r="F503" s="85">
        <v>4.91</v>
      </c>
      <c r="G503" s="85">
        <v>4.4950000000000001</v>
      </c>
      <c r="H503" s="85">
        <v>4.5199999999999996</v>
      </c>
      <c r="I503" s="85">
        <v>4.585</v>
      </c>
      <c r="J503" s="85">
        <v>4.5025000000000004</v>
      </c>
      <c r="K503" s="85">
        <v>4.5350000000000001</v>
      </c>
      <c r="L503" s="85">
        <v>4.5999999999999996</v>
      </c>
      <c r="M503" s="87"/>
    </row>
    <row r="504" spans="1:13" s="56" customFormat="1">
      <c r="A504" s="71">
        <v>40359</v>
      </c>
      <c r="B504" s="85">
        <v>4.5</v>
      </c>
      <c r="C504" s="85">
        <v>4.5</v>
      </c>
      <c r="D504" s="85">
        <v>4.7125000000000004</v>
      </c>
      <c r="E504" s="85">
        <v>4.8875000000000002</v>
      </c>
      <c r="F504" s="85">
        <v>5.0049999999999999</v>
      </c>
      <c r="G504" s="85">
        <v>4.5</v>
      </c>
      <c r="H504" s="85">
        <v>4.5250000000000004</v>
      </c>
      <c r="I504" s="85">
        <v>4.57</v>
      </c>
      <c r="J504" s="85">
        <v>4.5225</v>
      </c>
      <c r="K504" s="85">
        <v>4.5549999999999997</v>
      </c>
      <c r="L504" s="85">
        <v>4.6100000000000003</v>
      </c>
      <c r="M504" s="87"/>
    </row>
    <row r="505" spans="1:13" s="56" customFormat="1">
      <c r="A505" s="71">
        <v>40390</v>
      </c>
      <c r="B505" s="85">
        <v>4.5</v>
      </c>
      <c r="C505" s="85">
        <v>4.5</v>
      </c>
      <c r="D505" s="85">
        <v>4.7225000000000001</v>
      </c>
      <c r="E505" s="85">
        <v>4.84</v>
      </c>
      <c r="F505" s="85">
        <v>4.9950000000000001</v>
      </c>
      <c r="G505" s="85">
        <v>4.5199999999999996</v>
      </c>
      <c r="H505" s="85">
        <v>4.5549999999999997</v>
      </c>
      <c r="I505" s="85">
        <v>4.5975000000000001</v>
      </c>
      <c r="J505" s="85">
        <v>4.5425000000000004</v>
      </c>
      <c r="K505" s="85">
        <v>4.5774999999999997</v>
      </c>
      <c r="L505" s="85">
        <v>4.6100000000000003</v>
      </c>
      <c r="M505" s="87"/>
    </row>
    <row r="506" spans="1:13" s="56" customFormat="1">
      <c r="A506" s="71">
        <v>40421</v>
      </c>
      <c r="B506" s="85">
        <v>4.5</v>
      </c>
      <c r="C506" s="85">
        <v>4.5</v>
      </c>
      <c r="D506" s="85">
        <v>4.62</v>
      </c>
      <c r="E506" s="85">
        <v>4.7424999999999997</v>
      </c>
      <c r="F506" s="85">
        <v>4.8825000000000003</v>
      </c>
      <c r="G506" s="85">
        <v>4.5</v>
      </c>
      <c r="H506" s="85">
        <v>4.5075000000000003</v>
      </c>
      <c r="I506" s="85">
        <v>4.54</v>
      </c>
      <c r="J506" s="85">
        <v>4.49</v>
      </c>
      <c r="K506" s="85">
        <v>4.51</v>
      </c>
      <c r="L506" s="85"/>
      <c r="M506" s="87"/>
    </row>
    <row r="507" spans="1:13" s="56" customFormat="1">
      <c r="A507" s="71">
        <v>40451</v>
      </c>
      <c r="B507" s="85">
        <v>4.5</v>
      </c>
      <c r="C507" s="85">
        <v>4.5</v>
      </c>
      <c r="D507" s="85">
        <v>4.6224999999999996</v>
      </c>
      <c r="E507" s="85">
        <v>4.8150000000000004</v>
      </c>
      <c r="F507" s="85">
        <v>5.0049999999999999</v>
      </c>
      <c r="G507" s="85">
        <v>4.5525000000000002</v>
      </c>
      <c r="H507" s="85">
        <v>4.6224999999999996</v>
      </c>
      <c r="I507" s="85">
        <v>4.6950000000000003</v>
      </c>
      <c r="J507" s="85">
        <v>4.5824999999999996</v>
      </c>
      <c r="K507" s="85">
        <v>4.6425000000000001</v>
      </c>
      <c r="L507" s="85"/>
      <c r="M507" s="87"/>
    </row>
    <row r="508" spans="1:13" s="56" customFormat="1">
      <c r="A508" s="71">
        <v>40482</v>
      </c>
      <c r="B508" s="85">
        <v>4.5</v>
      </c>
      <c r="C508" s="85">
        <v>4.5</v>
      </c>
      <c r="D508" s="85">
        <v>4.63</v>
      </c>
      <c r="E508" s="85">
        <v>4.8099999999999996</v>
      </c>
      <c r="F508" s="85">
        <v>5.0374999999999996</v>
      </c>
      <c r="G508" s="85">
        <v>4.5599999999999996</v>
      </c>
      <c r="H508" s="85">
        <v>4.6375000000000002</v>
      </c>
      <c r="I508" s="85">
        <v>4.7324999999999999</v>
      </c>
      <c r="J508" s="85">
        <v>4.5875000000000004</v>
      </c>
      <c r="K508" s="85">
        <v>4.6725000000000003</v>
      </c>
      <c r="L508" s="85"/>
      <c r="M508" s="87"/>
    </row>
    <row r="509" spans="1:13" s="56" customFormat="1">
      <c r="A509" s="71">
        <v>40512</v>
      </c>
      <c r="B509" s="85">
        <v>4.7275</v>
      </c>
      <c r="C509" s="85">
        <v>4.7279999999999998</v>
      </c>
      <c r="D509" s="85">
        <v>4.8150000000000004</v>
      </c>
      <c r="E509" s="85">
        <v>5.0149999999999997</v>
      </c>
      <c r="F509" s="85">
        <v>5.1749999999999998</v>
      </c>
      <c r="G509" s="85">
        <v>4.7525000000000004</v>
      </c>
      <c r="H509" s="85">
        <v>4.7875000000000005</v>
      </c>
      <c r="I509" s="85">
        <v>4.8600000000000003</v>
      </c>
      <c r="J509" s="85">
        <v>4.7774999999999999</v>
      </c>
      <c r="K509" s="85">
        <v>4.8224999999999998</v>
      </c>
      <c r="L509" s="85">
        <v>4.9400000000000004</v>
      </c>
      <c r="M509" s="87"/>
    </row>
    <row r="510" spans="1:13" s="56" customFormat="1">
      <c r="A510" s="71">
        <v>40543</v>
      </c>
      <c r="B510" s="85">
        <v>4.75</v>
      </c>
      <c r="C510" s="85">
        <v>4.75</v>
      </c>
      <c r="D510" s="85">
        <v>4.83</v>
      </c>
      <c r="E510" s="85">
        <v>5.0250000000000004</v>
      </c>
      <c r="F510" s="85">
        <v>5.2024999999999997</v>
      </c>
      <c r="G510" s="85">
        <v>4.7525000000000004</v>
      </c>
      <c r="H510" s="85">
        <v>4.7850000000000001</v>
      </c>
      <c r="I510" s="85">
        <v>4.8574999999999999</v>
      </c>
      <c r="J510" s="85">
        <v>4.3475000000000001</v>
      </c>
      <c r="K510" s="85">
        <v>4.835</v>
      </c>
      <c r="L510" s="85"/>
      <c r="M510" s="87"/>
    </row>
    <row r="511" spans="1:13" s="56" customFormat="1">
      <c r="A511" s="71">
        <v>40574</v>
      </c>
      <c r="B511" s="85">
        <v>4.75</v>
      </c>
      <c r="C511" s="85">
        <v>4.75</v>
      </c>
      <c r="D511" s="85">
        <v>4.8224999999999998</v>
      </c>
      <c r="E511" s="85">
        <v>4.9550000000000001</v>
      </c>
      <c r="F511" s="85">
        <v>5.1074999999999999</v>
      </c>
      <c r="G511" s="85">
        <v>4.7549999999999999</v>
      </c>
      <c r="H511" s="85">
        <v>4.7774999999999999</v>
      </c>
      <c r="I511" s="85">
        <v>4.835</v>
      </c>
      <c r="J511" s="85">
        <v>4.7875000000000005</v>
      </c>
      <c r="K511" s="85">
        <v>4.8174999999999999</v>
      </c>
      <c r="L511" s="85"/>
      <c r="M511" s="87"/>
    </row>
    <row r="512" spans="1:13" s="56" customFormat="1">
      <c r="A512" s="71">
        <v>40602</v>
      </c>
      <c r="B512" s="85">
        <v>4.75</v>
      </c>
      <c r="C512" s="85">
        <v>4.75</v>
      </c>
      <c r="D512" s="85">
        <v>4.8224999999999998</v>
      </c>
      <c r="E512" s="85">
        <v>4.9175000000000004</v>
      </c>
      <c r="F512" s="85">
        <v>5.085</v>
      </c>
      <c r="G512" s="85">
        <v>4.7549999999999999</v>
      </c>
      <c r="H512" s="85">
        <v>4.7774999999999999</v>
      </c>
      <c r="I512" s="85">
        <v>4.8425000000000002</v>
      </c>
      <c r="J512" s="85">
        <v>4.78</v>
      </c>
      <c r="K512" s="85">
        <v>4.8075000000000001</v>
      </c>
      <c r="L512" s="85"/>
      <c r="M512" s="87"/>
    </row>
    <row r="513" spans="1:13" s="56" customFormat="1">
      <c r="A513" s="71">
        <v>40633</v>
      </c>
      <c r="B513" s="85">
        <v>4.75</v>
      </c>
      <c r="C513" s="85">
        <v>4.75</v>
      </c>
      <c r="D513" s="85">
        <v>4.8250000000000002</v>
      </c>
      <c r="E513" s="85">
        <v>4.92</v>
      </c>
      <c r="F513" s="85">
        <v>5.0350000000000001</v>
      </c>
      <c r="G513" s="85">
        <v>4.7424999999999997</v>
      </c>
      <c r="H513" s="85">
        <v>4.7549999999999999</v>
      </c>
      <c r="I513" s="85">
        <v>4.7949999999999999</v>
      </c>
      <c r="J513" s="85">
        <v>4.3075000000000001</v>
      </c>
      <c r="K513" s="85">
        <v>4.7549999999999999</v>
      </c>
      <c r="L513" s="85">
        <v>4.72</v>
      </c>
      <c r="M513" s="87"/>
    </row>
    <row r="514" spans="1:13" s="56" customFormat="1">
      <c r="A514" s="71">
        <v>40663</v>
      </c>
      <c r="B514" s="85">
        <v>4.75</v>
      </c>
      <c r="C514" s="85">
        <v>4.75</v>
      </c>
      <c r="D514" s="85">
        <v>4.7975000000000003</v>
      </c>
      <c r="E514" s="85">
        <v>4.9000000000000004</v>
      </c>
      <c r="F514" s="85">
        <v>5.0175000000000001</v>
      </c>
      <c r="G514" s="85">
        <v>4.7525000000000004</v>
      </c>
      <c r="H514" s="85">
        <v>4.7700000000000005</v>
      </c>
      <c r="I514" s="85">
        <v>4.8224999999999998</v>
      </c>
      <c r="J514" s="85">
        <v>4.7350000000000003</v>
      </c>
      <c r="K514" s="85">
        <v>4.7625000000000002</v>
      </c>
      <c r="L514" s="85"/>
      <c r="M514" s="87"/>
    </row>
    <row r="515" spans="1:13" s="56" customFormat="1">
      <c r="A515" s="71">
        <v>40694</v>
      </c>
      <c r="B515" s="85">
        <v>4.75</v>
      </c>
      <c r="C515" s="85">
        <v>4.75</v>
      </c>
      <c r="D515" s="85">
        <v>4.8224999999999998</v>
      </c>
      <c r="E515" s="85">
        <v>5.0025000000000004</v>
      </c>
      <c r="F515" s="85">
        <v>5.1574999999999998</v>
      </c>
      <c r="G515" s="85">
        <v>4.7700000000000005</v>
      </c>
      <c r="H515" s="85">
        <v>4.8325000000000005</v>
      </c>
      <c r="I515" s="85">
        <v>4.9125000000000005</v>
      </c>
      <c r="J515" s="85">
        <v>3.875</v>
      </c>
      <c r="K515" s="85">
        <v>4.7625000000000002</v>
      </c>
      <c r="L515" s="85"/>
      <c r="M515" s="87"/>
    </row>
    <row r="516" spans="1:13" s="56" customFormat="1">
      <c r="A516" s="71">
        <v>40724</v>
      </c>
      <c r="B516" s="85">
        <v>4.75</v>
      </c>
      <c r="C516" s="85">
        <v>4.75</v>
      </c>
      <c r="D516" s="85">
        <v>4.8500000000000005</v>
      </c>
      <c r="E516" s="85">
        <v>4.9924999999999997</v>
      </c>
      <c r="F516" s="85">
        <v>5.1000000000000005</v>
      </c>
      <c r="G516" s="85">
        <v>4.7549999999999999</v>
      </c>
      <c r="H516" s="85">
        <v>4.78</v>
      </c>
      <c r="I516" s="85">
        <v>4.8100000000000005</v>
      </c>
      <c r="J516" s="85">
        <v>4.0250000000000004</v>
      </c>
      <c r="K516" s="85">
        <v>4.74</v>
      </c>
      <c r="L516" s="85"/>
      <c r="M516" s="87"/>
    </row>
    <row r="517" spans="1:13" s="56" customFormat="1">
      <c r="A517" s="71">
        <v>40755</v>
      </c>
      <c r="B517" s="85">
        <v>4.75</v>
      </c>
      <c r="C517" s="85">
        <v>4.75</v>
      </c>
      <c r="D517" s="85">
        <v>4.84</v>
      </c>
      <c r="E517" s="85">
        <v>4.9550000000000001</v>
      </c>
      <c r="F517" s="85">
        <v>4.9850000000000003</v>
      </c>
      <c r="G517" s="85">
        <v>4.7450000000000001</v>
      </c>
      <c r="H517" s="85">
        <v>4.7175000000000002</v>
      </c>
      <c r="I517" s="85">
        <v>4.6775000000000002</v>
      </c>
      <c r="J517" s="85">
        <v>4.6749999999999998</v>
      </c>
      <c r="K517" s="85">
        <v>4.6625000000000005</v>
      </c>
      <c r="L517" s="85"/>
      <c r="M517" s="75"/>
    </row>
    <row r="518" spans="1:13" s="56" customFormat="1">
      <c r="A518" s="71">
        <v>40786</v>
      </c>
      <c r="B518" s="85">
        <v>4.75</v>
      </c>
      <c r="C518" s="85">
        <v>4.75</v>
      </c>
      <c r="D518" s="85">
        <v>4.8674999999999997</v>
      </c>
      <c r="E518" s="85">
        <v>4.8574999999999999</v>
      </c>
      <c r="F518" s="85">
        <v>4.6875</v>
      </c>
      <c r="G518" s="85">
        <v>4.6725000000000003</v>
      </c>
      <c r="H518" s="85">
        <v>4.4000000000000004</v>
      </c>
      <c r="I518" s="85">
        <v>4.1399999999999997</v>
      </c>
      <c r="J518" s="85">
        <v>4.4424999999999999</v>
      </c>
      <c r="K518" s="85">
        <v>4.2275</v>
      </c>
      <c r="L518" s="85"/>
      <c r="M518" s="75"/>
    </row>
    <row r="519" spans="1:13" s="56" customFormat="1">
      <c r="A519" s="71">
        <v>40816</v>
      </c>
      <c r="B519" s="85">
        <v>4.75</v>
      </c>
      <c r="C519" s="85">
        <v>4.75</v>
      </c>
      <c r="D519" s="85">
        <v>4.8075000000000001</v>
      </c>
      <c r="E519" s="85">
        <v>4.8100000000000005</v>
      </c>
      <c r="F519" s="85">
        <v>4.6349999999999998</v>
      </c>
      <c r="G519" s="85">
        <v>4.6725000000000003</v>
      </c>
      <c r="H519" s="85">
        <v>4.4074999999999998</v>
      </c>
      <c r="I519" s="85">
        <v>4.1174999999999997</v>
      </c>
      <c r="J519" s="85">
        <v>4.085</v>
      </c>
      <c r="K519" s="85">
        <v>4.3624999999999998</v>
      </c>
      <c r="L519" s="85"/>
      <c r="M519" s="75"/>
    </row>
    <row r="520" spans="1:13" s="56" customFormat="1">
      <c r="A520" s="71">
        <v>40847</v>
      </c>
      <c r="B520" s="85">
        <v>4.75</v>
      </c>
      <c r="C520" s="85">
        <v>4.75</v>
      </c>
      <c r="D520" s="85">
        <v>4.7925000000000004</v>
      </c>
      <c r="E520" s="85">
        <v>4.7250000000000005</v>
      </c>
      <c r="F520" s="85">
        <v>4.6399999999999997</v>
      </c>
      <c r="G520" s="85">
        <v>4.6349999999999998</v>
      </c>
      <c r="H520" s="85">
        <v>4.4275000000000002</v>
      </c>
      <c r="I520" s="85">
        <v>4.165</v>
      </c>
      <c r="J520" s="85">
        <v>4.6500000000000004</v>
      </c>
      <c r="K520" s="85">
        <v>4.5225</v>
      </c>
      <c r="L520" s="85"/>
      <c r="M520" s="75"/>
    </row>
    <row r="521" spans="1:13" s="56" customFormat="1">
      <c r="A521" s="71">
        <v>40877</v>
      </c>
      <c r="B521" s="85">
        <v>4.5125000000000002</v>
      </c>
      <c r="C521" s="85">
        <v>4.5129999999999999</v>
      </c>
      <c r="D521" s="85">
        <v>4.67</v>
      </c>
      <c r="E521" s="85">
        <v>4.6225000000000005</v>
      </c>
      <c r="F521" s="85">
        <v>4.4325000000000001</v>
      </c>
      <c r="G521" s="85">
        <v>4.3875000000000002</v>
      </c>
      <c r="H521" s="85">
        <v>4.2225000000000001</v>
      </c>
      <c r="I521" s="85">
        <v>3.87</v>
      </c>
      <c r="J521" s="85">
        <v>4.37</v>
      </c>
      <c r="K521" s="85">
        <v>4.24</v>
      </c>
      <c r="L521" s="85"/>
      <c r="M521" s="75"/>
    </row>
    <row r="522" spans="1:13" s="56" customFormat="1">
      <c r="A522" s="71">
        <v>40908</v>
      </c>
      <c r="B522" s="85">
        <v>4.3</v>
      </c>
      <c r="C522" s="85">
        <v>4.3</v>
      </c>
      <c r="D522" s="85">
        <v>4.46</v>
      </c>
      <c r="E522" s="85">
        <v>4.5075000000000003</v>
      </c>
      <c r="F522" s="85">
        <v>4.33</v>
      </c>
      <c r="G522" s="85">
        <v>4.2175000000000002</v>
      </c>
      <c r="H522" s="85">
        <v>4.05</v>
      </c>
      <c r="I522" s="85">
        <v>3.6825000000000001</v>
      </c>
      <c r="J522" s="85">
        <v>4.09</v>
      </c>
      <c r="K522" s="85">
        <v>4.0125000000000002</v>
      </c>
      <c r="L522" s="85"/>
      <c r="M522" s="75"/>
    </row>
    <row r="523" spans="1:13" s="56" customFormat="1">
      <c r="A523" s="71">
        <v>40939</v>
      </c>
      <c r="B523" s="85">
        <v>4.25</v>
      </c>
      <c r="C523" s="85">
        <v>4.25</v>
      </c>
      <c r="D523" s="85">
        <v>4.4225000000000003</v>
      </c>
      <c r="E523" s="85">
        <v>4.41</v>
      </c>
      <c r="F523" s="85">
        <v>4.3650000000000002</v>
      </c>
      <c r="G523" s="85">
        <v>4.1749999999999998</v>
      </c>
      <c r="H523" s="85">
        <v>3.9849999999999999</v>
      </c>
      <c r="I523" s="85">
        <v>3.7575000000000003</v>
      </c>
      <c r="J523" s="85">
        <v>4.1425000000000001</v>
      </c>
      <c r="K523" s="85">
        <v>3.9925000000000002</v>
      </c>
      <c r="L523" s="85"/>
      <c r="M523" s="75"/>
    </row>
    <row r="524" spans="1:13" s="56" customFormat="1">
      <c r="A524" s="71">
        <v>40968</v>
      </c>
      <c r="B524" s="85">
        <v>4.25</v>
      </c>
      <c r="C524" s="85">
        <v>4.25</v>
      </c>
      <c r="D524" s="85">
        <v>4.3600000000000003</v>
      </c>
      <c r="E524" s="85">
        <v>4.37</v>
      </c>
      <c r="F524" s="85">
        <v>4.3849999999999998</v>
      </c>
      <c r="G524" s="85">
        <v>4.1924999999999999</v>
      </c>
      <c r="H524" s="85">
        <v>4.0925000000000002</v>
      </c>
      <c r="I524" s="85">
        <v>3.9725000000000001</v>
      </c>
      <c r="J524" s="85">
        <v>4.1775000000000002</v>
      </c>
      <c r="K524" s="85">
        <v>4.0999999999999996</v>
      </c>
      <c r="L524" s="85"/>
      <c r="M524" s="75"/>
    </row>
    <row r="525" spans="1:13" s="56" customFormat="1">
      <c r="A525" s="71">
        <v>40999</v>
      </c>
      <c r="B525" s="85">
        <v>4.25</v>
      </c>
      <c r="C525" s="85">
        <v>4.25</v>
      </c>
      <c r="D525" s="85">
        <v>4.3674999999999997</v>
      </c>
      <c r="E525" s="85">
        <v>4.4424999999999999</v>
      </c>
      <c r="F525" s="85">
        <v>4.46</v>
      </c>
      <c r="G525" s="85">
        <v>4.22</v>
      </c>
      <c r="H525" s="85">
        <v>4.1450000000000005</v>
      </c>
      <c r="I525" s="85">
        <v>4.0475000000000003</v>
      </c>
      <c r="J525" s="85">
        <v>4.2300000000000004</v>
      </c>
      <c r="K525" s="85">
        <v>4.1775000000000002</v>
      </c>
      <c r="L525" s="85"/>
      <c r="M525" s="75"/>
    </row>
    <row r="526" spans="1:13" s="56" customFormat="1">
      <c r="A526" s="71">
        <v>41029</v>
      </c>
      <c r="B526" s="85">
        <v>4.25</v>
      </c>
      <c r="C526" s="85">
        <v>4.25</v>
      </c>
      <c r="D526" s="85">
        <v>4.26</v>
      </c>
      <c r="E526" s="85">
        <v>4.2024999999999997</v>
      </c>
      <c r="F526" s="85">
        <v>4.1825000000000001</v>
      </c>
      <c r="G526" s="85">
        <v>4.1150000000000002</v>
      </c>
      <c r="H526" s="85">
        <v>3.9550000000000001</v>
      </c>
      <c r="I526" s="85">
        <v>3.7825000000000002</v>
      </c>
      <c r="J526" s="85">
        <v>4.0975000000000001</v>
      </c>
      <c r="K526" s="85">
        <v>3.9250000000000003</v>
      </c>
      <c r="L526" s="85"/>
      <c r="M526" s="75"/>
    </row>
    <row r="527" spans="1:13" s="56" customFormat="1">
      <c r="A527" s="71">
        <v>41060</v>
      </c>
      <c r="B527" s="85">
        <v>3.7725</v>
      </c>
      <c r="C527" s="85">
        <v>3.7730000000000001</v>
      </c>
      <c r="D527" s="85">
        <v>3.7524999999999999</v>
      </c>
      <c r="E527" s="85">
        <v>3.6550000000000002</v>
      </c>
      <c r="F527" s="85">
        <v>3.5725000000000002</v>
      </c>
      <c r="G527" s="85">
        <v>3.6325000000000003</v>
      </c>
      <c r="H527" s="85">
        <v>3.39</v>
      </c>
      <c r="I527" s="85">
        <v>3.1325000000000003</v>
      </c>
      <c r="J527" s="85">
        <v>3.6924999999999999</v>
      </c>
      <c r="K527" s="85">
        <v>3.3925000000000001</v>
      </c>
      <c r="L527" s="85"/>
      <c r="M527" s="75"/>
    </row>
    <row r="528" spans="1:13" s="56" customFormat="1">
      <c r="A528" s="71">
        <v>41090</v>
      </c>
      <c r="B528" s="85">
        <v>3.5375000000000001</v>
      </c>
      <c r="C528" s="85">
        <v>3.5379999999999998</v>
      </c>
      <c r="D528" s="85">
        <v>3.5925000000000002</v>
      </c>
      <c r="E528" s="85">
        <v>3.4925000000000002</v>
      </c>
      <c r="F528" s="85">
        <v>3.41</v>
      </c>
      <c r="G528" s="85">
        <v>3.4325000000000001</v>
      </c>
      <c r="H528" s="85">
        <v>3.1975000000000002</v>
      </c>
      <c r="I528" s="85">
        <v>2.9375</v>
      </c>
      <c r="J528" s="85">
        <v>3.3975</v>
      </c>
      <c r="K528" s="85">
        <v>3.1975000000000002</v>
      </c>
      <c r="L528" s="85"/>
      <c r="M528" s="75"/>
    </row>
    <row r="529" spans="1:12" s="56" customFormat="1">
      <c r="A529" s="71">
        <v>41121</v>
      </c>
      <c r="B529" s="85">
        <v>3.5</v>
      </c>
      <c r="C529" s="85">
        <v>3.5</v>
      </c>
      <c r="D529" s="85">
        <v>3.58</v>
      </c>
      <c r="E529" s="85">
        <v>3.5449999999999999</v>
      </c>
      <c r="F529" s="85">
        <v>3.5075000000000003</v>
      </c>
      <c r="G529" s="85">
        <v>3.4675000000000002</v>
      </c>
      <c r="H529" s="85">
        <v>3.31</v>
      </c>
      <c r="I529" s="85">
        <v>3.0950000000000002</v>
      </c>
      <c r="J529" s="85">
        <v>3.4624999999999999</v>
      </c>
      <c r="K529" s="85">
        <v>3.2925</v>
      </c>
      <c r="L529" s="85"/>
    </row>
    <row r="530" spans="1:12" s="56" customFormat="1">
      <c r="A530" s="71">
        <v>41152</v>
      </c>
      <c r="B530" s="85">
        <v>3.5</v>
      </c>
      <c r="C530" s="85">
        <v>3.5</v>
      </c>
      <c r="D530" s="85">
        <v>3.62</v>
      </c>
      <c r="E530" s="85">
        <v>3.6175000000000002</v>
      </c>
      <c r="F530" s="85">
        <v>3.6025</v>
      </c>
      <c r="G530" s="85">
        <v>3.4775</v>
      </c>
      <c r="H530" s="85">
        <v>3.375</v>
      </c>
      <c r="I530" s="85">
        <v>3.2250000000000001</v>
      </c>
      <c r="J530" s="85">
        <v>3.48</v>
      </c>
      <c r="K530" s="85">
        <v>3.39</v>
      </c>
      <c r="L530" s="85"/>
    </row>
    <row r="531" spans="1:12" s="56" customFormat="1">
      <c r="A531" s="71">
        <v>41182</v>
      </c>
      <c r="B531" s="85">
        <v>3.5</v>
      </c>
      <c r="C531" s="85">
        <v>3.5</v>
      </c>
      <c r="D531" s="85">
        <v>3.5500000000000003</v>
      </c>
      <c r="E531" s="85">
        <v>3.49</v>
      </c>
      <c r="F531" s="85">
        <v>3.4375</v>
      </c>
      <c r="G531" s="85">
        <v>3.4275000000000002</v>
      </c>
      <c r="H531" s="85">
        <v>3.2850000000000001</v>
      </c>
      <c r="I531" s="85">
        <v>3.1150000000000002</v>
      </c>
      <c r="J531" s="85">
        <v>3.45</v>
      </c>
      <c r="K531" s="85">
        <v>3.35</v>
      </c>
      <c r="L531" s="85"/>
    </row>
    <row r="532" spans="1:12" s="56" customFormat="1">
      <c r="A532" s="71">
        <v>41213</v>
      </c>
      <c r="B532" s="85">
        <v>3.2725</v>
      </c>
      <c r="C532" s="85">
        <v>3.2730000000000001</v>
      </c>
      <c r="D532" s="85">
        <v>3.2850000000000001</v>
      </c>
      <c r="E532" s="85">
        <v>3.1625000000000001</v>
      </c>
      <c r="F532" s="85">
        <v>3.13</v>
      </c>
      <c r="G532" s="85">
        <v>3.1975000000000002</v>
      </c>
      <c r="H532" s="85">
        <v>3.0625</v>
      </c>
      <c r="I532" s="85">
        <v>2.9075000000000002</v>
      </c>
      <c r="J532" s="85">
        <v>3.2450000000000001</v>
      </c>
      <c r="K532" s="85">
        <v>3.0674999999999999</v>
      </c>
      <c r="L532" s="85"/>
    </row>
    <row r="533" spans="1:12" s="56" customFormat="1">
      <c r="A533" s="71">
        <v>41243</v>
      </c>
      <c r="B533" s="85">
        <v>3.25</v>
      </c>
      <c r="C533" s="85">
        <v>3.25</v>
      </c>
      <c r="D533" s="85">
        <v>3.2875000000000001</v>
      </c>
      <c r="E533" s="85">
        <v>3.2425000000000002</v>
      </c>
      <c r="F533" s="85">
        <v>3.2075</v>
      </c>
      <c r="G533" s="85">
        <v>3.1675</v>
      </c>
      <c r="H533" s="85">
        <v>3.1025</v>
      </c>
      <c r="I533" s="85">
        <v>2.99</v>
      </c>
      <c r="J533" s="85">
        <v>3.1775000000000002</v>
      </c>
      <c r="K533" s="85">
        <v>3.0750000000000002</v>
      </c>
      <c r="L533" s="85"/>
    </row>
    <row r="534" spans="1:12" s="56" customFormat="1">
      <c r="A534" s="71">
        <v>41274</v>
      </c>
      <c r="B534" s="85">
        <v>3.0274999999999999</v>
      </c>
      <c r="C534" s="85">
        <v>3.028</v>
      </c>
      <c r="D534" s="85">
        <v>3.1225000000000001</v>
      </c>
      <c r="E534" s="85">
        <v>3.1125000000000003</v>
      </c>
      <c r="F534" s="85">
        <v>3.08</v>
      </c>
      <c r="G534" s="85">
        <v>3.0024999999999999</v>
      </c>
      <c r="H534" s="85">
        <v>2.9325000000000001</v>
      </c>
      <c r="I534" s="85">
        <v>2.81</v>
      </c>
      <c r="J534" s="85">
        <v>3.0249999999999999</v>
      </c>
      <c r="K534" s="85">
        <v>2.9624999999999999</v>
      </c>
      <c r="L534" s="85"/>
    </row>
    <row r="535" spans="1:12" s="56" customFormat="1">
      <c r="A535" s="71">
        <v>41305</v>
      </c>
      <c r="B535" s="85">
        <v>3</v>
      </c>
      <c r="C535" s="85">
        <v>3</v>
      </c>
      <c r="D535" s="85">
        <v>3.0449999999999999</v>
      </c>
      <c r="E535" s="85">
        <v>3.0024999999999999</v>
      </c>
      <c r="F535" s="85">
        <v>2.9675000000000002</v>
      </c>
      <c r="G535" s="85">
        <v>2.97</v>
      </c>
      <c r="H535" s="85">
        <v>2.88</v>
      </c>
      <c r="I535" s="85">
        <v>2.7825000000000002</v>
      </c>
      <c r="J535" s="85">
        <v>3</v>
      </c>
      <c r="K535" s="85">
        <v>2.93</v>
      </c>
      <c r="L535" s="85"/>
    </row>
    <row r="536" spans="1:12" s="56" customFormat="1">
      <c r="A536" s="71">
        <v>41333</v>
      </c>
      <c r="B536" s="85">
        <v>3</v>
      </c>
      <c r="C536" s="85">
        <v>3</v>
      </c>
      <c r="D536" s="85">
        <v>3.0249999999999999</v>
      </c>
      <c r="E536" s="85">
        <v>2.9449999999999998</v>
      </c>
      <c r="F536" s="85">
        <v>2.9250000000000003</v>
      </c>
      <c r="G536" s="85">
        <v>2.97</v>
      </c>
      <c r="H536" s="85">
        <v>2.8875000000000002</v>
      </c>
      <c r="I536" s="85">
        <v>2.7875000000000001</v>
      </c>
      <c r="J536" s="85">
        <v>2.94</v>
      </c>
      <c r="K536" s="85">
        <v>2.875</v>
      </c>
      <c r="L536" s="85"/>
    </row>
    <row r="537" spans="1:12" s="56" customFormat="1">
      <c r="A537" s="71">
        <v>41364</v>
      </c>
      <c r="B537" s="85">
        <v>3</v>
      </c>
      <c r="C537" s="85">
        <v>3</v>
      </c>
      <c r="D537" s="85">
        <v>3.0375000000000001</v>
      </c>
      <c r="E537" s="85">
        <v>3.0449999999999999</v>
      </c>
      <c r="F537" s="85">
        <v>3.0625</v>
      </c>
      <c r="G537" s="85">
        <v>2.9849999999999999</v>
      </c>
      <c r="H537" s="85">
        <v>2.9475000000000002</v>
      </c>
      <c r="I537" s="85">
        <v>2.895</v>
      </c>
      <c r="J537" s="85">
        <v>2.9675000000000002</v>
      </c>
      <c r="K537" s="85">
        <v>2.9250000000000003</v>
      </c>
      <c r="L537" s="85"/>
    </row>
    <row r="538" spans="1:12" s="56" customFormat="1">
      <c r="A538" s="71">
        <v>41394</v>
      </c>
      <c r="B538" s="85">
        <v>3</v>
      </c>
      <c r="C538" s="85">
        <v>3</v>
      </c>
      <c r="D538" s="85">
        <v>3.0375000000000001</v>
      </c>
      <c r="E538" s="85">
        <v>3.0175000000000001</v>
      </c>
      <c r="F538" s="85">
        <v>3.0150000000000001</v>
      </c>
      <c r="G538" s="85">
        <v>2.9750000000000001</v>
      </c>
      <c r="H538" s="85">
        <v>2.915</v>
      </c>
      <c r="I538" s="85">
        <v>2.84</v>
      </c>
      <c r="J538" s="85">
        <v>2.9424999999999999</v>
      </c>
      <c r="K538" s="85">
        <v>2.84</v>
      </c>
      <c r="L538" s="85"/>
    </row>
    <row r="539" spans="1:12" s="56" customFormat="1">
      <c r="A539" s="71">
        <v>41425</v>
      </c>
      <c r="B539" s="85">
        <v>2.8</v>
      </c>
      <c r="C539" s="85">
        <v>2.8</v>
      </c>
      <c r="D539" s="85">
        <v>2.8374999999999999</v>
      </c>
      <c r="E539" s="85">
        <v>2.8174999999999999</v>
      </c>
      <c r="F539" s="85">
        <v>2.7725</v>
      </c>
      <c r="G539" s="85">
        <v>2.7574999999999998</v>
      </c>
      <c r="H539" s="85">
        <v>2.6850000000000001</v>
      </c>
      <c r="I539" s="85">
        <v>2.6025</v>
      </c>
      <c r="J539" s="85">
        <v>2.7524999999999999</v>
      </c>
      <c r="K539" s="85">
        <v>2.6524999999999999</v>
      </c>
      <c r="L539" s="85"/>
    </row>
    <row r="540" spans="1:12" s="56" customFormat="1">
      <c r="A540" s="71">
        <v>41455</v>
      </c>
      <c r="B540" s="85">
        <v>2.75</v>
      </c>
      <c r="C540" s="85">
        <v>2.75</v>
      </c>
      <c r="D540" s="85">
        <v>2.81</v>
      </c>
      <c r="E540" s="85">
        <v>2.8025000000000002</v>
      </c>
      <c r="F540" s="85">
        <v>2.7850000000000001</v>
      </c>
      <c r="G540" s="85">
        <v>2.72</v>
      </c>
      <c r="H540" s="85">
        <v>2.6475</v>
      </c>
      <c r="I540" s="85">
        <v>2.56</v>
      </c>
      <c r="J540" s="85"/>
      <c r="K540" s="85"/>
      <c r="L540" s="85"/>
    </row>
    <row r="541" spans="1:12" s="56" customFormat="1">
      <c r="A541" s="71">
        <v>41486</v>
      </c>
      <c r="B541" s="85">
        <v>2.75</v>
      </c>
      <c r="C541" s="85">
        <v>2.75</v>
      </c>
      <c r="D541" s="85">
        <v>2.7850000000000001</v>
      </c>
      <c r="E541" s="85">
        <v>2.7574999999999998</v>
      </c>
      <c r="F541" s="85">
        <v>2.7250000000000001</v>
      </c>
      <c r="G541" s="85">
        <v>2.6875</v>
      </c>
      <c r="H541" s="85">
        <v>2.5950000000000002</v>
      </c>
      <c r="I541" s="85">
        <v>2.4950000000000001</v>
      </c>
      <c r="J541" s="85"/>
      <c r="K541" s="85"/>
      <c r="L541" s="85"/>
    </row>
    <row r="542" spans="1:12" s="56" customFormat="1">
      <c r="A542" s="71">
        <v>41517</v>
      </c>
      <c r="B542" s="85">
        <v>2.5499999999999998</v>
      </c>
      <c r="C542" s="85">
        <v>2.5499999999999998</v>
      </c>
      <c r="D542" s="85">
        <v>2.61</v>
      </c>
      <c r="E542" s="85">
        <v>2.6</v>
      </c>
      <c r="F542" s="85">
        <v>2.58</v>
      </c>
      <c r="G542" s="85">
        <v>2.5</v>
      </c>
      <c r="H542" s="85">
        <v>2.4500000000000002</v>
      </c>
      <c r="I542" s="85">
        <v>2.38</v>
      </c>
      <c r="J542" s="85"/>
      <c r="K542" s="85"/>
      <c r="L542" s="85"/>
    </row>
    <row r="543" spans="1:12" s="56" customFormat="1">
      <c r="A543" s="71">
        <v>41547</v>
      </c>
      <c r="B543" s="85">
        <v>2.5</v>
      </c>
      <c r="C543" s="85">
        <v>2.5</v>
      </c>
      <c r="D543" s="85">
        <v>2.58</v>
      </c>
      <c r="E543" s="85">
        <v>2.5750000000000002</v>
      </c>
      <c r="F543" s="85">
        <v>2.58</v>
      </c>
      <c r="G543" s="85">
        <v>2.4900000000000002</v>
      </c>
      <c r="H543" s="85">
        <v>2.4550000000000001</v>
      </c>
      <c r="I543" s="85">
        <v>2.42</v>
      </c>
      <c r="J543" s="85"/>
      <c r="K543" s="85"/>
      <c r="L543" s="85"/>
    </row>
    <row r="544" spans="1:12" s="56" customFormat="1">
      <c r="A544" s="71">
        <v>41578</v>
      </c>
      <c r="B544" s="85">
        <v>2.5</v>
      </c>
      <c r="C544" s="85">
        <v>2.5</v>
      </c>
      <c r="D544" s="85">
        <v>2.5750000000000002</v>
      </c>
      <c r="E544" s="85">
        <v>2.5825</v>
      </c>
      <c r="F544" s="85">
        <v>2.6074999999999999</v>
      </c>
      <c r="G544" s="85">
        <v>2.4925000000000002</v>
      </c>
      <c r="H544" s="85">
        <v>2.4725000000000001</v>
      </c>
      <c r="I544" s="85">
        <v>2.4475000000000002</v>
      </c>
      <c r="J544" s="85"/>
      <c r="K544" s="85"/>
      <c r="L544" s="85"/>
    </row>
    <row r="545" spans="1:12" s="56" customFormat="1">
      <c r="A545" s="71">
        <v>41608</v>
      </c>
      <c r="B545" s="85">
        <v>2.5</v>
      </c>
      <c r="C545" s="85">
        <v>2.5</v>
      </c>
      <c r="D545" s="85">
        <v>2.5775000000000001</v>
      </c>
      <c r="E545" s="85">
        <v>2.585</v>
      </c>
      <c r="F545" s="85">
        <v>2.6150000000000002</v>
      </c>
      <c r="G545" s="85">
        <v>2.4925000000000002</v>
      </c>
      <c r="H545" s="85">
        <v>2.4875000000000003</v>
      </c>
      <c r="I545" s="85">
        <v>2.4725000000000001</v>
      </c>
      <c r="J545" s="85"/>
      <c r="K545" s="85"/>
      <c r="L545" s="85"/>
    </row>
    <row r="546" spans="1:12" s="56" customFormat="1">
      <c r="A546" s="71">
        <v>41639</v>
      </c>
      <c r="B546" s="85">
        <v>2.5</v>
      </c>
      <c r="C546" s="85">
        <v>2.5</v>
      </c>
      <c r="D546" s="85">
        <v>2.5950000000000002</v>
      </c>
      <c r="E546" s="85">
        <v>2.605</v>
      </c>
      <c r="F546" s="85">
        <v>2.6225000000000001</v>
      </c>
      <c r="G546" s="85">
        <v>2.5</v>
      </c>
      <c r="H546" s="85">
        <v>2.4875000000000003</v>
      </c>
      <c r="I546" s="85">
        <v>2.4624999999999999</v>
      </c>
      <c r="J546" s="85"/>
      <c r="K546" s="85"/>
      <c r="L546" s="85"/>
    </row>
    <row r="547" spans="1:12" s="56" customFormat="1">
      <c r="A547" s="71">
        <v>41670</v>
      </c>
      <c r="B547" s="85">
        <v>2.5</v>
      </c>
      <c r="C547" s="85">
        <v>2.5</v>
      </c>
      <c r="D547" s="85">
        <v>2.6074999999999999</v>
      </c>
      <c r="E547" s="85">
        <v>2.62</v>
      </c>
      <c r="F547" s="85">
        <v>2.64</v>
      </c>
      <c r="G547" s="85">
        <v>2.4950000000000001</v>
      </c>
      <c r="H547" s="85">
        <v>2.4824999999999999</v>
      </c>
      <c r="I547" s="85">
        <v>2.4675000000000002</v>
      </c>
      <c r="J547" s="85"/>
      <c r="K547" s="85"/>
      <c r="L547" s="85"/>
    </row>
    <row r="548" spans="1:12" s="56" customFormat="1">
      <c r="A548" s="71">
        <v>41698</v>
      </c>
      <c r="B548" s="85">
        <v>2.5</v>
      </c>
      <c r="C548" s="85">
        <v>2.5</v>
      </c>
      <c r="D548" s="85">
        <v>2.6125000000000003</v>
      </c>
      <c r="E548" s="85">
        <v>2.625</v>
      </c>
      <c r="F548" s="85">
        <v>2.6575000000000002</v>
      </c>
      <c r="G548" s="85">
        <v>2.4950000000000001</v>
      </c>
      <c r="H548" s="85">
        <v>2.4925000000000002</v>
      </c>
      <c r="I548" s="85">
        <v>2.4900000000000002</v>
      </c>
      <c r="J548" s="85"/>
      <c r="K548" s="85"/>
      <c r="L548" s="85"/>
    </row>
    <row r="549" spans="1:12" s="56" customFormat="1">
      <c r="A549" s="71">
        <v>41729</v>
      </c>
      <c r="B549" s="85">
        <v>2.5</v>
      </c>
      <c r="C549" s="85">
        <v>2.5</v>
      </c>
      <c r="D549" s="85">
        <v>2.6324999999999998</v>
      </c>
      <c r="E549" s="85">
        <v>2.6550000000000002</v>
      </c>
      <c r="F549" s="85">
        <v>2.6850000000000001</v>
      </c>
      <c r="G549" s="85">
        <v>2.4975000000000001</v>
      </c>
      <c r="H549" s="85">
        <v>2.4975000000000001</v>
      </c>
      <c r="I549" s="85">
        <v>2.5</v>
      </c>
      <c r="J549" s="85"/>
      <c r="K549" s="85"/>
      <c r="L549" s="85"/>
    </row>
    <row r="550" spans="1:12" s="56" customFormat="1">
      <c r="A550" s="71">
        <v>41759</v>
      </c>
      <c r="B550" s="85">
        <v>2.5</v>
      </c>
      <c r="C550" s="85">
        <v>2.5</v>
      </c>
      <c r="D550" s="85">
        <v>2.65</v>
      </c>
      <c r="E550" s="85">
        <v>2.68</v>
      </c>
      <c r="F550" s="85">
        <v>2.72</v>
      </c>
      <c r="G550" s="85">
        <v>2.5</v>
      </c>
      <c r="H550" s="85">
        <v>2.5</v>
      </c>
      <c r="I550" s="85">
        <v>2.5074999999999998</v>
      </c>
      <c r="J550" s="85"/>
      <c r="K550" s="85"/>
      <c r="L550" s="85"/>
    </row>
    <row r="551" spans="1:12" s="56" customFormat="1">
      <c r="A551" s="71">
        <v>41790</v>
      </c>
      <c r="B551" s="85">
        <v>2.5</v>
      </c>
      <c r="C551" s="85">
        <v>2.5</v>
      </c>
      <c r="D551" s="85">
        <v>2.6575000000000002</v>
      </c>
      <c r="E551" s="85">
        <v>2.6875</v>
      </c>
      <c r="F551" s="85">
        <v>2.71</v>
      </c>
      <c r="G551" s="85">
        <v>2.4975000000000001</v>
      </c>
      <c r="H551" s="85">
        <v>2.4975000000000001</v>
      </c>
      <c r="I551" s="85">
        <v>2.4975000000000001</v>
      </c>
      <c r="J551" s="85"/>
      <c r="K551" s="85"/>
      <c r="L551" s="85"/>
    </row>
    <row r="552" spans="1:12" s="56" customFormat="1">
      <c r="A552" s="71">
        <v>41820</v>
      </c>
      <c r="B552" s="85">
        <v>2.5</v>
      </c>
      <c r="C552" s="85">
        <v>2.5</v>
      </c>
      <c r="D552" s="85">
        <v>2.66</v>
      </c>
      <c r="E552" s="85">
        <v>2.6975000000000002</v>
      </c>
      <c r="F552" s="85">
        <v>2.7175000000000002</v>
      </c>
      <c r="G552" s="85">
        <v>2.4975000000000001</v>
      </c>
      <c r="H552" s="85">
        <v>2.4950000000000001</v>
      </c>
      <c r="I552" s="85">
        <v>2.4925000000000002</v>
      </c>
      <c r="J552" s="85"/>
      <c r="K552" s="85"/>
      <c r="L552" s="85"/>
    </row>
    <row r="553" spans="1:12">
      <c r="A553" s="71">
        <v>41851</v>
      </c>
      <c r="B553" s="85">
        <v>2.5</v>
      </c>
      <c r="C553" s="85">
        <v>2.5</v>
      </c>
      <c r="D553" s="85">
        <v>2.645</v>
      </c>
      <c r="E553" s="85">
        <v>2.65</v>
      </c>
      <c r="F553" s="85">
        <v>2.6675</v>
      </c>
      <c r="G553" s="85">
        <v>2.4950000000000001</v>
      </c>
      <c r="H553" s="85">
        <v>2.4875000000000003</v>
      </c>
      <c r="I553" s="85">
        <v>2.4624999999999999</v>
      </c>
      <c r="J553" s="52"/>
      <c r="K553" s="52"/>
      <c r="L553" s="52"/>
    </row>
    <row r="554" spans="1:12">
      <c r="A554" s="71">
        <v>41882</v>
      </c>
      <c r="B554" s="85">
        <v>2.5</v>
      </c>
      <c r="C554" s="85">
        <v>2.5</v>
      </c>
      <c r="D554" s="85">
        <v>2.625</v>
      </c>
      <c r="E554" s="85">
        <v>2.6324999999999998</v>
      </c>
      <c r="F554" s="85">
        <v>2.6524999999999999</v>
      </c>
      <c r="G554" s="85">
        <v>2.4975000000000001</v>
      </c>
      <c r="H554" s="85">
        <v>2.4900000000000002</v>
      </c>
      <c r="I554" s="85">
        <v>2.4700000000000002</v>
      </c>
      <c r="J554" s="52"/>
      <c r="K554" s="52"/>
      <c r="L554" s="52"/>
    </row>
    <row r="555" spans="1:12">
      <c r="A555" s="71">
        <v>41912</v>
      </c>
      <c r="B555" s="85">
        <v>2.5</v>
      </c>
      <c r="C555" s="85">
        <v>2.5</v>
      </c>
      <c r="D555" s="85">
        <v>2.63</v>
      </c>
      <c r="E555" s="85">
        <v>2.6575000000000002</v>
      </c>
      <c r="F555" s="85">
        <v>2.7025000000000001</v>
      </c>
      <c r="G555" s="85">
        <v>2.5</v>
      </c>
      <c r="H555" s="85">
        <v>2.4975000000000001</v>
      </c>
      <c r="I555" s="85">
        <v>2.4975000000000001</v>
      </c>
      <c r="J555" s="52"/>
      <c r="K555" s="52"/>
      <c r="L555" s="52"/>
    </row>
    <row r="556" spans="1:12">
      <c r="A556" s="71">
        <v>41943</v>
      </c>
      <c r="B556" s="85">
        <v>2.5</v>
      </c>
      <c r="C556" s="85">
        <v>2.5</v>
      </c>
      <c r="D556" s="85">
        <v>2.64</v>
      </c>
      <c r="E556" s="85">
        <v>2.72</v>
      </c>
      <c r="F556" s="85">
        <v>2.75</v>
      </c>
      <c r="G556" s="85">
        <v>2.4975000000000001</v>
      </c>
      <c r="H556" s="85">
        <v>2.4925000000000002</v>
      </c>
      <c r="I556" s="85">
        <v>2.4875000000000003</v>
      </c>
      <c r="J556" s="52"/>
      <c r="K556" s="52"/>
      <c r="L556" s="52"/>
    </row>
    <row r="557" spans="1:12">
      <c r="A557" s="71">
        <v>41973</v>
      </c>
      <c r="B557" s="85">
        <v>2.5</v>
      </c>
      <c r="C557" s="85">
        <v>2.5</v>
      </c>
      <c r="D557" s="85">
        <v>2.6425000000000001</v>
      </c>
      <c r="E557" s="85">
        <v>2.7524999999999999</v>
      </c>
      <c r="F557" s="85">
        <v>2.8050000000000002</v>
      </c>
      <c r="G557" s="85">
        <v>2.4975000000000001</v>
      </c>
      <c r="H557" s="85">
        <v>2.4975000000000001</v>
      </c>
      <c r="I557" s="85">
        <v>2.4900000000000002</v>
      </c>
      <c r="J557" s="52"/>
      <c r="K557" s="52"/>
      <c r="L557" s="52"/>
    </row>
    <row r="558" spans="1:12">
      <c r="A558" s="71">
        <v>42004</v>
      </c>
      <c r="B558" s="85">
        <v>2.5</v>
      </c>
      <c r="C558" s="85">
        <v>2.5</v>
      </c>
      <c r="D558" s="85">
        <v>2.6324999999999998</v>
      </c>
      <c r="E558" s="85">
        <v>2.75</v>
      </c>
      <c r="F558" s="85">
        <v>2.7800000000000002</v>
      </c>
      <c r="G558" s="85">
        <v>2.5</v>
      </c>
      <c r="H558" s="85">
        <v>2.4700000000000002</v>
      </c>
      <c r="I558" s="85">
        <v>2.39</v>
      </c>
      <c r="J558" s="52"/>
      <c r="K558" s="52"/>
      <c r="L558" s="52"/>
    </row>
    <row r="559" spans="1:12">
      <c r="A559" s="71">
        <v>42035</v>
      </c>
      <c r="B559" s="85">
        <v>2.5</v>
      </c>
      <c r="C559" s="85">
        <v>2.5</v>
      </c>
      <c r="D559" s="85">
        <v>2.6175000000000002</v>
      </c>
      <c r="E559" s="85">
        <v>2.7025000000000001</v>
      </c>
      <c r="F559" s="85">
        <v>2.75</v>
      </c>
      <c r="G559" s="85">
        <v>2.4675000000000002</v>
      </c>
      <c r="H559" s="85">
        <v>2.4</v>
      </c>
      <c r="I559" s="85">
        <v>2.3149999999999999</v>
      </c>
      <c r="J559" s="52"/>
      <c r="K559" s="52"/>
      <c r="L559" s="52"/>
    </row>
    <row r="560" spans="1:12">
      <c r="A560" s="71">
        <v>42063</v>
      </c>
      <c r="B560" s="85">
        <v>2.2749999999999999</v>
      </c>
      <c r="C560" s="85">
        <v>2.2749999999999999</v>
      </c>
      <c r="D560" s="85">
        <v>2.335</v>
      </c>
      <c r="E560" s="85">
        <v>2.3574999999999999</v>
      </c>
      <c r="F560" s="85">
        <v>2.38</v>
      </c>
      <c r="G560" s="85">
        <v>2.2050000000000001</v>
      </c>
      <c r="H560" s="85">
        <v>2.11</v>
      </c>
      <c r="I560" s="85">
        <v>2.0100000000000002</v>
      </c>
      <c r="J560" s="52"/>
      <c r="K560" s="52"/>
      <c r="L560" s="52"/>
    </row>
    <row r="561" spans="1:9" s="52" customFormat="1">
      <c r="A561" s="71">
        <v>42094</v>
      </c>
      <c r="B561" s="85">
        <v>2.25</v>
      </c>
      <c r="C561" s="85">
        <v>2.25</v>
      </c>
      <c r="D561" s="85">
        <v>2.2725</v>
      </c>
      <c r="E561" s="85">
        <v>2.2974999999999999</v>
      </c>
      <c r="F561" s="85">
        <v>2.335</v>
      </c>
      <c r="G561" s="85">
        <v>2.2025000000000001</v>
      </c>
      <c r="H561" s="85">
        <v>2.0950000000000002</v>
      </c>
      <c r="I561" s="85">
        <v>1.9875</v>
      </c>
    </row>
    <row r="562" spans="1:9" s="52" customFormat="1">
      <c r="A562" s="71">
        <v>42124</v>
      </c>
      <c r="B562" s="85">
        <v>2.25</v>
      </c>
      <c r="C562" s="85">
        <v>2.25</v>
      </c>
      <c r="D562" s="85">
        <v>2.2400000000000002</v>
      </c>
      <c r="E562" s="85">
        <v>2.2524999999999999</v>
      </c>
      <c r="F562" s="85">
        <v>2.2749999999999999</v>
      </c>
      <c r="G562" s="85">
        <v>2.1724999999999999</v>
      </c>
      <c r="H562" s="85">
        <v>2.0699999999999998</v>
      </c>
      <c r="I562" s="85">
        <v>1.9650000000000001</v>
      </c>
    </row>
    <row r="563" spans="1:9" s="52" customFormat="1">
      <c r="A563" s="71">
        <v>42155</v>
      </c>
      <c r="B563" s="85">
        <v>2.0350000000000001</v>
      </c>
      <c r="C563" s="85">
        <v>2.0350000000000001</v>
      </c>
      <c r="D563" s="85">
        <v>2.0625</v>
      </c>
      <c r="E563" s="85">
        <v>2.1475</v>
      </c>
      <c r="F563" s="85">
        <v>2.2400000000000002</v>
      </c>
      <c r="G563" s="85">
        <v>2.0024999999999999</v>
      </c>
      <c r="H563" s="85">
        <v>1.98</v>
      </c>
      <c r="I563" s="85">
        <v>1.94</v>
      </c>
    </row>
    <row r="564" spans="1:9" s="52" customFormat="1">
      <c r="A564" s="71">
        <v>42185</v>
      </c>
      <c r="B564" s="85">
        <v>2</v>
      </c>
      <c r="C564" s="85">
        <v>2</v>
      </c>
      <c r="D564" s="85">
        <v>2.0425</v>
      </c>
      <c r="E564" s="85">
        <v>2.15</v>
      </c>
      <c r="F564" s="85">
        <v>2.2524999999999999</v>
      </c>
      <c r="G564" s="85">
        <v>1.9924999999999999</v>
      </c>
      <c r="H564" s="85">
        <v>1.9675</v>
      </c>
      <c r="I564" s="85">
        <v>1.9325000000000001</v>
      </c>
    </row>
    <row r="565" spans="1:9" s="52" customFormat="1">
      <c r="A565" s="71">
        <v>42216</v>
      </c>
      <c r="B565" s="85">
        <v>2</v>
      </c>
      <c r="C565" s="85">
        <v>2</v>
      </c>
      <c r="D565" s="85">
        <v>2.0449999999999999</v>
      </c>
      <c r="E565" s="85">
        <v>2.1425000000000001</v>
      </c>
      <c r="F565" s="85">
        <v>2.25</v>
      </c>
      <c r="G565" s="85">
        <v>1.9825000000000002</v>
      </c>
      <c r="H565" s="85">
        <v>1.9450000000000001</v>
      </c>
      <c r="I565" s="85">
        <v>1.9000000000000001</v>
      </c>
    </row>
    <row r="566" spans="1:9" s="52" customFormat="1">
      <c r="A566" s="71">
        <v>42247</v>
      </c>
      <c r="B566" s="85">
        <v>2</v>
      </c>
      <c r="C566" s="85">
        <v>2</v>
      </c>
      <c r="D566" s="85">
        <v>2.0425</v>
      </c>
      <c r="E566" s="85">
        <v>2.1375000000000002</v>
      </c>
      <c r="F566" s="85">
        <v>2.2324999999999999</v>
      </c>
      <c r="G566" s="85">
        <v>1.9875</v>
      </c>
      <c r="H566" s="85">
        <v>1.9550000000000001</v>
      </c>
      <c r="I566" s="85">
        <v>1.9025000000000001</v>
      </c>
    </row>
    <row r="567" spans="1:9" s="52" customFormat="1">
      <c r="A567" s="71">
        <v>42277</v>
      </c>
      <c r="B567" s="85">
        <v>2</v>
      </c>
      <c r="C567" s="85">
        <v>2</v>
      </c>
      <c r="D567" s="85">
        <v>2.0550000000000002</v>
      </c>
      <c r="E567" s="85">
        <v>2.17</v>
      </c>
      <c r="F567" s="85">
        <v>2.2425000000000002</v>
      </c>
      <c r="G567" s="85">
        <v>1.9924999999999999</v>
      </c>
      <c r="H567" s="85">
        <v>1.9475</v>
      </c>
      <c r="I567" s="85">
        <v>1.895</v>
      </c>
    </row>
    <row r="568" spans="1:9" s="52" customFormat="1">
      <c r="A568" s="71">
        <v>42308</v>
      </c>
      <c r="B568" s="85">
        <v>2</v>
      </c>
      <c r="C568" s="85">
        <v>2</v>
      </c>
      <c r="D568" s="85">
        <v>2.04</v>
      </c>
      <c r="E568" s="85">
        <v>2.15</v>
      </c>
      <c r="F568" s="85">
        <v>2.2200000000000002</v>
      </c>
      <c r="G568" s="85">
        <v>1.96</v>
      </c>
      <c r="H568" s="85">
        <v>1.9075</v>
      </c>
      <c r="I568" s="85">
        <v>1.8325</v>
      </c>
    </row>
    <row r="569" spans="1:9" s="52" customFormat="1">
      <c r="A569" s="71">
        <v>42338</v>
      </c>
      <c r="B569" s="85">
        <v>2</v>
      </c>
      <c r="C569" s="85">
        <v>2</v>
      </c>
      <c r="D569" s="85">
        <v>2.0525000000000002</v>
      </c>
      <c r="E569" s="85">
        <v>2.2200000000000002</v>
      </c>
      <c r="F569" s="85">
        <v>2.3149999999999999</v>
      </c>
      <c r="G569" s="85">
        <v>1.9850000000000001</v>
      </c>
      <c r="H569" s="85">
        <v>1.9650000000000001</v>
      </c>
      <c r="I569" s="85">
        <v>1.915</v>
      </c>
    </row>
    <row r="570" spans="1:9" s="52" customFormat="1">
      <c r="A570" s="71">
        <v>42369</v>
      </c>
      <c r="B570" s="85">
        <v>2</v>
      </c>
      <c r="C570" s="85">
        <v>2</v>
      </c>
      <c r="D570" s="85">
        <v>2.0674999999999999</v>
      </c>
      <c r="E570" s="85">
        <v>2.3374999999999999</v>
      </c>
      <c r="F570" s="85">
        <v>2.4424999999999999</v>
      </c>
      <c r="G570" s="85">
        <v>1.9975000000000001</v>
      </c>
      <c r="H570" s="85">
        <v>1.9825000000000002</v>
      </c>
      <c r="I570" s="85">
        <v>1.9450000000000001</v>
      </c>
    </row>
    <row r="571" spans="1:9" s="52" customFormat="1">
      <c r="A571" s="71">
        <v>42400</v>
      </c>
      <c r="B571" s="85">
        <v>2</v>
      </c>
      <c r="C571" s="85">
        <v>2</v>
      </c>
      <c r="D571" s="85">
        <v>2.0525000000000002</v>
      </c>
      <c r="E571" s="85">
        <v>2.3000000000000003</v>
      </c>
      <c r="F571" s="85">
        <v>2.42</v>
      </c>
      <c r="G571" s="85">
        <v>1.99</v>
      </c>
      <c r="H571" s="85">
        <v>1.9475</v>
      </c>
      <c r="I571" s="85">
        <v>1.895</v>
      </c>
    </row>
    <row r="572" spans="1:9" s="52" customFormat="1">
      <c r="A572" s="71">
        <v>42429</v>
      </c>
      <c r="B572" s="85">
        <v>2</v>
      </c>
      <c r="C572" s="85">
        <v>2</v>
      </c>
      <c r="D572" s="85">
        <v>2.0750000000000002</v>
      </c>
      <c r="E572" s="85">
        <v>2.2800000000000002</v>
      </c>
      <c r="F572" s="85">
        <v>2.3975</v>
      </c>
      <c r="G572" s="85">
        <v>1.9850000000000001</v>
      </c>
      <c r="H572" s="85">
        <v>1.9425000000000001</v>
      </c>
      <c r="I572" s="85">
        <v>1.8774999999999999</v>
      </c>
    </row>
    <row r="573" spans="1:9" s="52" customFormat="1">
      <c r="A573" s="71">
        <v>42460</v>
      </c>
      <c r="B573" s="85">
        <v>2</v>
      </c>
      <c r="C573" s="85">
        <v>2</v>
      </c>
      <c r="D573" s="85">
        <v>2.0925000000000002</v>
      </c>
      <c r="E573" s="85">
        <v>2.3125</v>
      </c>
      <c r="F573" s="85">
        <v>2.4475000000000002</v>
      </c>
      <c r="G573" s="85">
        <v>1.9924999999999999</v>
      </c>
      <c r="H573" s="85">
        <v>1.9575</v>
      </c>
      <c r="I573" s="85">
        <v>1.9125000000000001</v>
      </c>
    </row>
    <row r="574" spans="1:9" s="52" customFormat="1">
      <c r="A574" s="71">
        <v>42490</v>
      </c>
      <c r="B574" s="85">
        <v>2</v>
      </c>
      <c r="C574" s="85">
        <v>2</v>
      </c>
      <c r="D574" s="85">
        <v>2.0750000000000002</v>
      </c>
      <c r="E574" s="85">
        <v>2.2574999999999998</v>
      </c>
      <c r="F574" s="85">
        <v>2.42</v>
      </c>
      <c r="G574" s="85">
        <v>1.9650000000000001</v>
      </c>
      <c r="H574" s="85">
        <v>1.925</v>
      </c>
      <c r="I574" s="85">
        <v>1.8800000000000001</v>
      </c>
    </row>
    <row r="575" spans="1:9" s="52" customFormat="1">
      <c r="A575" s="71">
        <v>42521</v>
      </c>
      <c r="B575" s="85">
        <v>1.77</v>
      </c>
      <c r="C575" s="85">
        <v>1.77</v>
      </c>
      <c r="D575" s="85">
        <v>1.855</v>
      </c>
      <c r="E575" s="85">
        <v>2.0049999999999999</v>
      </c>
      <c r="F575" s="85">
        <v>2.1324999999999998</v>
      </c>
      <c r="G575" s="85">
        <v>1.7450000000000001</v>
      </c>
      <c r="H575" s="85">
        <v>1.6950000000000001</v>
      </c>
      <c r="I575" s="85">
        <v>1.6274999999999999</v>
      </c>
    </row>
    <row r="576" spans="1:9" s="52" customFormat="1">
      <c r="A576" s="71">
        <v>42551</v>
      </c>
      <c r="B576" s="85">
        <v>1.75</v>
      </c>
      <c r="C576" s="85">
        <v>1.75</v>
      </c>
      <c r="D576" s="85">
        <v>1.8475000000000001</v>
      </c>
      <c r="E576" s="85">
        <v>1.99</v>
      </c>
      <c r="F576" s="85">
        <v>2.1350000000000002</v>
      </c>
      <c r="G576" s="85">
        <v>1.7275</v>
      </c>
      <c r="H576" s="85">
        <v>1.6625000000000001</v>
      </c>
      <c r="I576" s="85">
        <v>1.6074999999999999</v>
      </c>
    </row>
    <row r="577" spans="1:9" s="52" customFormat="1">
      <c r="A577" s="71">
        <v>42582</v>
      </c>
      <c r="B577" s="85">
        <v>1.75</v>
      </c>
      <c r="C577" s="85">
        <v>1.75</v>
      </c>
      <c r="D577" s="85">
        <v>1.85</v>
      </c>
      <c r="E577" s="85">
        <v>1.9325000000000001</v>
      </c>
      <c r="F577" s="85">
        <v>2.09</v>
      </c>
      <c r="G577" s="85">
        <v>1.675</v>
      </c>
      <c r="H577" s="85">
        <v>1.6125</v>
      </c>
      <c r="I577" s="85">
        <v>1.54</v>
      </c>
    </row>
    <row r="578" spans="1:9" s="52" customFormat="1">
      <c r="A578" s="71">
        <v>42613</v>
      </c>
      <c r="B578" s="85">
        <v>1.52</v>
      </c>
      <c r="C578" s="85">
        <v>1.52</v>
      </c>
      <c r="D578" s="85">
        <v>1.6400000000000001</v>
      </c>
      <c r="E578" s="85">
        <v>1.7550000000000001</v>
      </c>
      <c r="F578" s="85">
        <v>1.9475</v>
      </c>
      <c r="G578" s="85">
        <v>1.5024999999999999</v>
      </c>
      <c r="H578" s="85">
        <v>1.4724999999999999</v>
      </c>
      <c r="I578" s="85">
        <v>1.42</v>
      </c>
    </row>
    <row r="579" spans="1:9" s="52" customFormat="1">
      <c r="A579" s="71">
        <v>42643</v>
      </c>
      <c r="B579" s="85">
        <v>1.5</v>
      </c>
      <c r="C579" s="85">
        <v>1.5</v>
      </c>
      <c r="D579" s="85">
        <v>1.6174999999999999</v>
      </c>
      <c r="E579" s="85">
        <v>1.7324999999999999</v>
      </c>
      <c r="F579" s="85">
        <v>1.95</v>
      </c>
      <c r="G579" s="85">
        <v>1.4950000000000001</v>
      </c>
      <c r="H579" s="85">
        <v>1.4650000000000001</v>
      </c>
      <c r="I579" s="85">
        <v>1.4325000000000001</v>
      </c>
    </row>
    <row r="580" spans="1:9" s="52" customFormat="1">
      <c r="A580" s="71">
        <v>42674</v>
      </c>
      <c r="B580" s="85">
        <v>1.5</v>
      </c>
      <c r="C580" s="85">
        <v>1.5</v>
      </c>
      <c r="D580" s="85">
        <v>1.6225000000000001</v>
      </c>
      <c r="E580" s="85">
        <v>1.7450000000000001</v>
      </c>
      <c r="F580" s="85">
        <v>1.98</v>
      </c>
      <c r="G580" s="85">
        <v>1.4850000000000001</v>
      </c>
      <c r="H580" s="85">
        <v>1.47</v>
      </c>
      <c r="I580" s="85">
        <v>1.4525000000000001</v>
      </c>
    </row>
    <row r="581" spans="1:9" s="52" customFormat="1">
      <c r="A581" s="71">
        <v>42704</v>
      </c>
      <c r="B581" s="85">
        <v>1.5</v>
      </c>
      <c r="C581" s="85">
        <v>1.5</v>
      </c>
      <c r="D581" s="85">
        <v>1.62</v>
      </c>
      <c r="E581" s="85">
        <v>1.7575000000000001</v>
      </c>
      <c r="F581" s="85">
        <v>1.9975000000000001</v>
      </c>
      <c r="G581" s="85">
        <v>1.5</v>
      </c>
      <c r="H581" s="85">
        <v>1.4924999999999999</v>
      </c>
      <c r="I581" s="85">
        <v>1.48</v>
      </c>
    </row>
    <row r="582" spans="1:9" s="52" customFormat="1">
      <c r="A582" s="71">
        <v>42735</v>
      </c>
      <c r="B582" s="85">
        <v>1.5</v>
      </c>
      <c r="C582" s="85">
        <v>1.5</v>
      </c>
      <c r="D582" s="85">
        <v>1.625</v>
      </c>
      <c r="E582" s="85">
        <v>1.78</v>
      </c>
      <c r="F582" s="85">
        <v>2.0175000000000001</v>
      </c>
      <c r="G582" s="85">
        <v>1.5</v>
      </c>
      <c r="H582" s="85">
        <v>1.4950000000000001</v>
      </c>
      <c r="I582" s="85">
        <v>1.4875</v>
      </c>
    </row>
    <row r="583" spans="1:9" s="52" customFormat="1">
      <c r="A583" s="71">
        <v>42766</v>
      </c>
      <c r="B583" s="85">
        <v>1.5</v>
      </c>
      <c r="C583" s="85">
        <v>1.5</v>
      </c>
      <c r="D583" s="85">
        <v>1.6225000000000001</v>
      </c>
      <c r="E583" s="85">
        <v>1.78</v>
      </c>
      <c r="F583" s="85">
        <v>2.0300000000000002</v>
      </c>
      <c r="G583" s="85">
        <v>1.4975000000000001</v>
      </c>
      <c r="H583" s="85">
        <v>1.49</v>
      </c>
      <c r="I583" s="85">
        <v>1.49</v>
      </c>
    </row>
    <row r="584" spans="1:9" s="52" customFormat="1">
      <c r="A584" s="71">
        <v>42794</v>
      </c>
      <c r="B584" s="85">
        <v>1.5</v>
      </c>
      <c r="C584" s="85">
        <v>1.5</v>
      </c>
      <c r="D584" s="85">
        <v>1.6225000000000001</v>
      </c>
      <c r="E584" s="85">
        <v>1.7750000000000001</v>
      </c>
      <c r="F584" s="85">
        <v>2</v>
      </c>
      <c r="G584" s="85">
        <v>1.4975000000000001</v>
      </c>
      <c r="H584" s="85">
        <v>1.49</v>
      </c>
      <c r="I584" s="85">
        <v>1.4850000000000001</v>
      </c>
    </row>
    <row r="585" spans="1:9" s="52" customFormat="1">
      <c r="A585" s="71">
        <v>42825</v>
      </c>
      <c r="B585" s="85">
        <v>1.5</v>
      </c>
      <c r="C585" s="85">
        <v>1.5</v>
      </c>
      <c r="D585" s="85">
        <v>1.6300000000000001</v>
      </c>
      <c r="E585" s="85">
        <v>1.79</v>
      </c>
      <c r="F585" s="85">
        <v>2.0024999999999999</v>
      </c>
      <c r="G585" s="85">
        <v>1.4975000000000001</v>
      </c>
      <c r="H585" s="85">
        <v>1.4950000000000001</v>
      </c>
      <c r="I585" s="85">
        <v>1.4975000000000001</v>
      </c>
    </row>
    <row r="586" spans="1:9" s="52" customFormat="1">
      <c r="A586" s="71">
        <v>42855</v>
      </c>
      <c r="B586" s="85">
        <v>1.5</v>
      </c>
      <c r="C586" s="85">
        <v>1.5</v>
      </c>
      <c r="D586" s="85">
        <v>1.6225000000000001</v>
      </c>
      <c r="E586" s="85">
        <v>1.7675000000000001</v>
      </c>
      <c r="F586" s="85">
        <v>1.97</v>
      </c>
      <c r="G586" s="85">
        <v>1.4950000000000001</v>
      </c>
      <c r="H586" s="85">
        <v>1.4875</v>
      </c>
      <c r="I586" s="85">
        <v>1.48</v>
      </c>
    </row>
    <row r="587" spans="1:9" s="52" customFormat="1">
      <c r="A587" s="71">
        <v>42886</v>
      </c>
      <c r="B587" s="85">
        <v>1.5</v>
      </c>
      <c r="C587" s="85">
        <v>1.5</v>
      </c>
      <c r="D587" s="88">
        <v>1.625</v>
      </c>
      <c r="E587" s="88">
        <v>1.7324999999999999</v>
      </c>
      <c r="F587" s="88">
        <v>1.9025000000000001</v>
      </c>
      <c r="G587" s="88">
        <v>1.4975000000000001</v>
      </c>
      <c r="H587" s="88">
        <v>1.4924999999999999</v>
      </c>
      <c r="I587" s="88">
        <v>1.4875</v>
      </c>
    </row>
    <row r="588" spans="1:9" s="52" customFormat="1">
      <c r="A588" s="71">
        <v>42916</v>
      </c>
      <c r="B588" s="85">
        <v>1.5</v>
      </c>
      <c r="C588" s="85">
        <v>1.5</v>
      </c>
      <c r="D588" s="88">
        <v>1.62</v>
      </c>
      <c r="E588" s="88">
        <v>1.7225000000000001</v>
      </c>
      <c r="F588" s="88">
        <v>1.85</v>
      </c>
      <c r="G588" s="88">
        <v>1.5</v>
      </c>
      <c r="H588" s="88">
        <v>1.4924999999999999</v>
      </c>
      <c r="I588" s="88">
        <v>1.49</v>
      </c>
    </row>
    <row r="589" spans="1:9" s="52" customFormat="1">
      <c r="A589" s="71">
        <v>42947</v>
      </c>
      <c r="B589" s="85">
        <v>1.5</v>
      </c>
      <c r="C589" s="85">
        <v>1.5</v>
      </c>
      <c r="D589" s="88">
        <v>1.6074999999999999</v>
      </c>
      <c r="E589" s="88">
        <v>1.7</v>
      </c>
      <c r="F589" s="88">
        <v>1.8275000000000001</v>
      </c>
      <c r="G589" s="88">
        <v>1.5</v>
      </c>
      <c r="H589" s="88">
        <v>1.5024999999999999</v>
      </c>
      <c r="I589" s="88">
        <v>1.5175000000000001</v>
      </c>
    </row>
    <row r="590" spans="1:9" s="52" customFormat="1">
      <c r="A590" s="71">
        <v>42978</v>
      </c>
      <c r="B590" s="85">
        <v>1.5</v>
      </c>
      <c r="C590" s="85">
        <v>1.5</v>
      </c>
      <c r="D590" s="88">
        <v>1.5975000000000001</v>
      </c>
      <c r="E590" s="88">
        <v>1.7</v>
      </c>
      <c r="F590" s="88">
        <v>1.8475000000000001</v>
      </c>
      <c r="G590" s="88">
        <v>1.5</v>
      </c>
      <c r="H590" s="88">
        <v>1.5</v>
      </c>
      <c r="I590" s="88">
        <v>1.5125</v>
      </c>
    </row>
    <row r="591" spans="1:9" s="52" customFormat="1">
      <c r="A591" s="71">
        <v>43008</v>
      </c>
      <c r="B591" s="85">
        <v>1.5</v>
      </c>
      <c r="C591" s="85">
        <v>1.5</v>
      </c>
      <c r="D591" s="88">
        <v>1.6025</v>
      </c>
      <c r="E591" s="88">
        <v>1.7225000000000001</v>
      </c>
      <c r="F591" s="88">
        <v>1.9075</v>
      </c>
      <c r="G591" s="88">
        <v>1.5</v>
      </c>
      <c r="H591" s="88">
        <v>1.5050000000000001</v>
      </c>
      <c r="I591" s="88">
        <v>1.5275000000000001</v>
      </c>
    </row>
    <row r="592" spans="1:9" s="52" customFormat="1">
      <c r="A592" s="71">
        <v>43039</v>
      </c>
      <c r="B592" s="85">
        <v>1.5</v>
      </c>
      <c r="C592" s="85">
        <v>1.5</v>
      </c>
      <c r="D592" s="85">
        <v>1.5954999999999999</v>
      </c>
      <c r="E592" s="85">
        <v>1.6963999999999999</v>
      </c>
      <c r="F592" s="85">
        <v>1.8926000000000001</v>
      </c>
      <c r="G592" s="85">
        <v>1.5</v>
      </c>
      <c r="H592" s="85">
        <v>1.5036</v>
      </c>
      <c r="I592" s="85">
        <v>1.5212000000000001</v>
      </c>
    </row>
    <row r="593" spans="1:9" s="52" customFormat="1">
      <c r="A593" s="71">
        <v>43069</v>
      </c>
      <c r="B593" s="85">
        <v>1.5</v>
      </c>
      <c r="C593" s="85">
        <v>1.5</v>
      </c>
      <c r="D593" s="85">
        <v>1.63</v>
      </c>
      <c r="E593" s="85">
        <v>1.72</v>
      </c>
      <c r="F593" s="85">
        <v>1.89</v>
      </c>
      <c r="G593" s="85">
        <v>1.5</v>
      </c>
      <c r="H593" s="85">
        <v>1.5</v>
      </c>
      <c r="I593" s="85">
        <v>1.51</v>
      </c>
    </row>
    <row r="594" spans="1:9" s="52" customFormat="1" ht="13">
      <c r="A594" s="71">
        <v>43100</v>
      </c>
      <c r="B594" s="89">
        <v>1.5</v>
      </c>
      <c r="C594" s="89">
        <v>1.5</v>
      </c>
      <c r="D594" s="89">
        <v>1.69</v>
      </c>
      <c r="E594" s="89">
        <v>1.77</v>
      </c>
      <c r="F594" s="89">
        <v>1.95</v>
      </c>
      <c r="G594" s="89">
        <v>1.5</v>
      </c>
      <c r="H594" s="89">
        <v>1.5</v>
      </c>
      <c r="I594" s="89">
        <v>1.51</v>
      </c>
    </row>
    <row r="595" spans="1:9" s="52" customFormat="1">
      <c r="A595" s="71">
        <v>43131</v>
      </c>
      <c r="B595" s="85">
        <v>1.5</v>
      </c>
      <c r="C595" s="85">
        <v>1.5</v>
      </c>
      <c r="D595" s="85">
        <v>1.7</v>
      </c>
      <c r="E595" s="85">
        <v>1.79</v>
      </c>
      <c r="F595" s="85">
        <v>1.97</v>
      </c>
      <c r="G595" s="85">
        <v>1.5</v>
      </c>
      <c r="H595" s="85">
        <v>1.5</v>
      </c>
      <c r="I595" s="85">
        <v>1.53</v>
      </c>
    </row>
    <row r="596" spans="1:9" s="52" customFormat="1">
      <c r="A596" s="71">
        <v>43159</v>
      </c>
      <c r="B596" s="85">
        <v>1.5</v>
      </c>
      <c r="C596" s="85">
        <v>1.5</v>
      </c>
      <c r="D596" s="85">
        <v>1.68</v>
      </c>
      <c r="E596" s="85">
        <v>1.77</v>
      </c>
      <c r="F596" s="85">
        <v>1.92</v>
      </c>
      <c r="G596" s="85">
        <v>1.5</v>
      </c>
      <c r="H596" s="85">
        <v>1.5</v>
      </c>
      <c r="I596" s="85">
        <v>1.51</v>
      </c>
    </row>
    <row r="597" spans="1:9" s="52" customFormat="1">
      <c r="A597" s="71">
        <v>43190</v>
      </c>
      <c r="B597" s="85">
        <v>1.5</v>
      </c>
      <c r="C597" s="85">
        <v>1.5</v>
      </c>
      <c r="D597" s="85">
        <v>1.77</v>
      </c>
      <c r="E597" s="85">
        <v>1.93</v>
      </c>
      <c r="F597" s="85">
        <v>2.06</v>
      </c>
      <c r="G597" s="85">
        <v>1.5</v>
      </c>
      <c r="H597" s="85">
        <v>1.5</v>
      </c>
      <c r="I597" s="85">
        <v>1.51</v>
      </c>
    </row>
    <row r="598" spans="1:9" s="52" customFormat="1">
      <c r="A598" s="71">
        <v>43220</v>
      </c>
      <c r="B598" s="85">
        <v>1.5</v>
      </c>
      <c r="C598" s="85">
        <v>1.5</v>
      </c>
      <c r="D598" s="85">
        <v>1.87</v>
      </c>
      <c r="E598" s="85">
        <v>2.06</v>
      </c>
      <c r="F598" s="85">
        <v>2.16</v>
      </c>
      <c r="G598" s="85">
        <v>1.5</v>
      </c>
      <c r="H598" s="85">
        <v>1.5</v>
      </c>
      <c r="I598" s="85">
        <v>1.51</v>
      </c>
    </row>
    <row r="599" spans="1:9" s="52" customFormat="1">
      <c r="A599" s="71">
        <v>43251</v>
      </c>
      <c r="B599" s="85">
        <v>1.5</v>
      </c>
      <c r="C599" s="85">
        <v>1.5</v>
      </c>
      <c r="D599" s="85">
        <v>1.85</v>
      </c>
      <c r="E599" s="85">
        <v>1.96</v>
      </c>
      <c r="F599" s="85">
        <v>2.0699999999999998</v>
      </c>
      <c r="G599" s="85">
        <v>1.5</v>
      </c>
      <c r="H599" s="85">
        <v>1.5</v>
      </c>
      <c r="I599" s="85">
        <v>1.51</v>
      </c>
    </row>
    <row r="600" spans="1:9" s="52" customFormat="1">
      <c r="A600" s="71">
        <v>43281</v>
      </c>
      <c r="B600" s="85">
        <v>1.5</v>
      </c>
      <c r="C600" s="85">
        <v>1.5</v>
      </c>
      <c r="D600" s="85">
        <v>1.94</v>
      </c>
      <c r="E600" s="85">
        <v>2.0699999999999998</v>
      </c>
      <c r="F600" s="85">
        <v>2.1800000000000002</v>
      </c>
      <c r="G600" s="85">
        <v>1.5</v>
      </c>
      <c r="H600" s="85">
        <v>1.5</v>
      </c>
      <c r="I600" s="85">
        <v>1.5</v>
      </c>
    </row>
    <row r="601" spans="1:9" s="52" customFormat="1">
      <c r="A601" s="71">
        <v>43312</v>
      </c>
      <c r="B601" s="85">
        <v>1.5</v>
      </c>
      <c r="C601" s="85">
        <v>1.5</v>
      </c>
      <c r="D601" s="85">
        <v>1.94</v>
      </c>
      <c r="E601" s="85">
        <v>2.02</v>
      </c>
      <c r="F601" s="85">
        <v>2.1800000000000002</v>
      </c>
      <c r="G601" s="85">
        <v>1.5</v>
      </c>
      <c r="H601" s="85">
        <v>1.5</v>
      </c>
      <c r="I601" s="85">
        <v>1.5</v>
      </c>
    </row>
    <row r="602" spans="1:9" s="52" customFormat="1">
      <c r="A602" s="71">
        <v>43343</v>
      </c>
      <c r="B602" s="85">
        <v>1.5</v>
      </c>
      <c r="C602" s="85">
        <v>1.5</v>
      </c>
      <c r="D602" s="85">
        <v>1.87</v>
      </c>
      <c r="E602" s="85">
        <v>1.96</v>
      </c>
      <c r="F602" s="85">
        <v>2.15</v>
      </c>
      <c r="G602" s="85">
        <v>1.5</v>
      </c>
      <c r="H602" s="85">
        <v>1.5</v>
      </c>
      <c r="I602" s="85">
        <v>1.5</v>
      </c>
    </row>
    <row r="603" spans="1:9" s="52" customFormat="1">
      <c r="A603" s="71">
        <v>43373</v>
      </c>
      <c r="B603" s="85">
        <v>1.5</v>
      </c>
      <c r="C603" s="85">
        <v>1.5</v>
      </c>
      <c r="D603" s="85">
        <v>1.85</v>
      </c>
      <c r="E603" s="85">
        <v>1.93</v>
      </c>
      <c r="F603" s="85">
        <v>2.12</v>
      </c>
      <c r="G603" s="85">
        <v>1.5</v>
      </c>
      <c r="H603" s="85">
        <v>1.5</v>
      </c>
      <c r="I603" s="85">
        <v>1.5</v>
      </c>
    </row>
    <row r="604" spans="1:9" s="52" customFormat="1">
      <c r="A604" s="71">
        <v>43404</v>
      </c>
      <c r="B604" s="85">
        <v>1.5</v>
      </c>
      <c r="C604" s="85">
        <v>1.5</v>
      </c>
      <c r="D604" s="85">
        <v>1.85</v>
      </c>
      <c r="E604" s="85">
        <v>1.93</v>
      </c>
      <c r="F604" s="85">
        <v>2.09</v>
      </c>
      <c r="G604" s="85">
        <v>1.5</v>
      </c>
      <c r="H604" s="85">
        <v>1.5</v>
      </c>
      <c r="I604" s="85">
        <v>1.5</v>
      </c>
    </row>
    <row r="605" spans="1:9" s="52" customFormat="1">
      <c r="A605" s="71">
        <v>43434</v>
      </c>
      <c r="B605" s="85">
        <v>1.5</v>
      </c>
      <c r="C605" s="85">
        <v>1.5</v>
      </c>
      <c r="D605" s="85">
        <v>1.86</v>
      </c>
      <c r="E605" s="85">
        <v>1.94</v>
      </c>
      <c r="F605" s="85">
        <v>2.11</v>
      </c>
      <c r="G605" s="85">
        <v>1.5</v>
      </c>
      <c r="H605" s="85">
        <v>1.5</v>
      </c>
      <c r="I605" s="85">
        <v>1.51</v>
      </c>
    </row>
    <row r="606" spans="1:9" s="52" customFormat="1">
      <c r="A606" s="71">
        <v>43465</v>
      </c>
      <c r="B606" s="85">
        <v>1.5</v>
      </c>
      <c r="C606" s="85">
        <v>1.5</v>
      </c>
      <c r="D606" s="85">
        <v>1.95</v>
      </c>
      <c r="E606" s="85">
        <v>2.02</v>
      </c>
      <c r="F606" s="85">
        <v>2.17</v>
      </c>
      <c r="G606" s="85">
        <v>1.5</v>
      </c>
      <c r="H606" s="85">
        <v>1.5</v>
      </c>
      <c r="I606" s="85">
        <v>1.5</v>
      </c>
    </row>
    <row r="607" spans="1:9" s="52" customFormat="1">
      <c r="A607" s="71">
        <v>43496</v>
      </c>
      <c r="B607" s="85">
        <v>1.5</v>
      </c>
      <c r="C607" s="85">
        <v>1.5</v>
      </c>
      <c r="D607" s="85">
        <v>2.0099999999999998</v>
      </c>
      <c r="E607" s="85">
        <v>2.0699999999999998</v>
      </c>
      <c r="F607" s="85">
        <v>2.19</v>
      </c>
      <c r="G607" s="85">
        <v>1.5</v>
      </c>
      <c r="H607" s="85">
        <v>1.49</v>
      </c>
      <c r="I607" s="85">
        <v>1.48</v>
      </c>
    </row>
    <row r="608" spans="1:9" s="52" customFormat="1">
      <c r="A608" s="71">
        <v>43524</v>
      </c>
      <c r="B608" s="85">
        <v>1.5</v>
      </c>
      <c r="C608" s="85">
        <v>1.5</v>
      </c>
      <c r="D608" s="85">
        <v>1.94</v>
      </c>
      <c r="E608" s="85">
        <v>1.96</v>
      </c>
      <c r="F608" s="85">
        <v>2.08</v>
      </c>
      <c r="G608" s="85">
        <v>1.5</v>
      </c>
      <c r="H608" s="85">
        <v>1.49</v>
      </c>
      <c r="I608" s="85">
        <v>1.46</v>
      </c>
    </row>
    <row r="609" spans="1:12">
      <c r="A609" s="71">
        <v>43555</v>
      </c>
      <c r="B609" s="85">
        <v>1.5</v>
      </c>
      <c r="C609" s="85">
        <v>1.5</v>
      </c>
      <c r="D609" s="85">
        <v>1.83</v>
      </c>
      <c r="E609" s="85">
        <v>1.83</v>
      </c>
      <c r="F609" s="85">
        <v>1.91</v>
      </c>
      <c r="G609" s="85">
        <v>1.49</v>
      </c>
      <c r="H609" s="85">
        <v>1.46</v>
      </c>
      <c r="I609" s="85">
        <v>1.39</v>
      </c>
      <c r="J609" s="52"/>
      <c r="K609" s="52"/>
      <c r="L609" s="52"/>
    </row>
    <row r="610" spans="1:12">
      <c r="A610" s="71">
        <v>43585</v>
      </c>
      <c r="B610" s="85">
        <v>1.5</v>
      </c>
      <c r="C610" s="85">
        <v>1.5</v>
      </c>
      <c r="D610" s="85">
        <v>1.69</v>
      </c>
      <c r="E610" s="85">
        <v>1.68</v>
      </c>
      <c r="F610" s="85">
        <v>1.75</v>
      </c>
      <c r="G610" s="85">
        <v>1.48</v>
      </c>
      <c r="H610" s="85">
        <v>1.42</v>
      </c>
      <c r="I610" s="85">
        <v>1.34</v>
      </c>
      <c r="J610" s="52"/>
      <c r="K610" s="52"/>
      <c r="L610" s="52"/>
    </row>
    <row r="611" spans="1:12">
      <c r="A611" s="71">
        <v>43616</v>
      </c>
      <c r="B611" s="85">
        <v>1.5</v>
      </c>
      <c r="C611" s="85">
        <v>1.5</v>
      </c>
      <c r="D611" s="85">
        <v>1.56</v>
      </c>
      <c r="E611" s="85">
        <v>1.54</v>
      </c>
      <c r="F611" s="85">
        <v>1.55</v>
      </c>
      <c r="G611" s="85">
        <v>1.39</v>
      </c>
      <c r="H611" s="85">
        <v>1.3</v>
      </c>
      <c r="I611" s="85">
        <v>1.19</v>
      </c>
      <c r="J611" s="52"/>
      <c r="K611" s="52"/>
      <c r="L611" s="52"/>
    </row>
    <row r="612" spans="1:12">
      <c r="A612" s="83">
        <v>43646</v>
      </c>
      <c r="B612" s="85">
        <v>1.28</v>
      </c>
      <c r="C612" s="85">
        <v>1.28</v>
      </c>
      <c r="D612" s="85">
        <v>1.3</v>
      </c>
      <c r="E612" s="85">
        <v>1.29</v>
      </c>
      <c r="F612" s="85">
        <v>1.29</v>
      </c>
      <c r="G612" s="85">
        <v>1.17</v>
      </c>
      <c r="H612" s="85">
        <v>1.06</v>
      </c>
      <c r="I612" s="85">
        <v>0.96</v>
      </c>
      <c r="J612" s="52"/>
      <c r="K612" s="52"/>
      <c r="L612" s="52"/>
    </row>
    <row r="613" spans="1:12">
      <c r="A613" s="83">
        <v>43677</v>
      </c>
      <c r="B613" s="85">
        <v>1.02</v>
      </c>
      <c r="C613" s="85">
        <v>1.02</v>
      </c>
      <c r="D613" s="85">
        <v>1.1100000000000001</v>
      </c>
      <c r="E613" s="85">
        <v>1.1100000000000001</v>
      </c>
      <c r="F613" s="85">
        <v>1.1399999999999999</v>
      </c>
      <c r="G613" s="85">
        <v>0.99</v>
      </c>
      <c r="H613" s="85">
        <v>0.93</v>
      </c>
      <c r="I613" s="85">
        <v>0.85</v>
      </c>
      <c r="J613" s="52"/>
      <c r="K613" s="52"/>
      <c r="L613" s="52"/>
    </row>
    <row r="614" spans="1:12">
      <c r="A614" s="90">
        <v>43708</v>
      </c>
      <c r="B614" s="84">
        <v>1</v>
      </c>
      <c r="C614" s="84">
        <v>1</v>
      </c>
      <c r="D614" s="84">
        <v>1.04</v>
      </c>
      <c r="E614" s="84">
        <v>0.98</v>
      </c>
      <c r="F614" s="84">
        <v>0.98</v>
      </c>
      <c r="G614" s="84">
        <v>0.98</v>
      </c>
      <c r="H614" s="84">
        <v>0.86</v>
      </c>
      <c r="I614" s="84">
        <v>0.73</v>
      </c>
    </row>
    <row r="615" spans="1:12">
      <c r="A615" s="90">
        <v>43738</v>
      </c>
      <c r="B615" s="84">
        <v>1</v>
      </c>
      <c r="C615" s="84">
        <v>1</v>
      </c>
      <c r="D615" s="84">
        <v>1.04</v>
      </c>
      <c r="E615" s="84">
        <v>0.98</v>
      </c>
      <c r="F615" s="84">
        <v>1.06</v>
      </c>
      <c r="G615" s="84">
        <v>0.92</v>
      </c>
      <c r="H615" s="84">
        <v>0.82</v>
      </c>
      <c r="I615" s="84">
        <v>0.73</v>
      </c>
    </row>
    <row r="616" spans="1:12">
      <c r="A616" s="90">
        <v>43769</v>
      </c>
      <c r="B616" s="84">
        <v>0.76</v>
      </c>
      <c r="C616" s="84">
        <v>0.76</v>
      </c>
      <c r="D616" s="84">
        <v>0.91</v>
      </c>
      <c r="E616" s="84">
        <v>0.88</v>
      </c>
      <c r="F616" s="84">
        <v>0.98</v>
      </c>
      <c r="G616" s="84">
        <v>0.73</v>
      </c>
      <c r="H616" s="84">
        <v>0.65</v>
      </c>
      <c r="I616" s="84">
        <v>0.59</v>
      </c>
    </row>
    <row r="617" spans="1:12">
      <c r="A617" s="90">
        <v>43799</v>
      </c>
      <c r="B617" s="84">
        <v>0.75</v>
      </c>
      <c r="C617" s="84">
        <v>0.75</v>
      </c>
      <c r="D617" s="84">
        <v>0.87</v>
      </c>
      <c r="E617" s="84">
        <v>0.91</v>
      </c>
      <c r="F617" s="84">
        <v>1</v>
      </c>
      <c r="G617" s="84">
        <v>0.73</v>
      </c>
      <c r="H617" s="84">
        <v>0.69</v>
      </c>
      <c r="I617" s="84">
        <v>0.63</v>
      </c>
    </row>
    <row r="618" spans="1:12">
      <c r="A618" s="90">
        <v>43830</v>
      </c>
      <c r="B618" s="84">
        <v>0.75</v>
      </c>
      <c r="C618" s="84">
        <v>0.75</v>
      </c>
      <c r="D618" s="84">
        <v>0.85</v>
      </c>
      <c r="E618" s="84">
        <v>0.9</v>
      </c>
      <c r="F618" s="84">
        <v>0.99</v>
      </c>
      <c r="G618" s="84">
        <v>0.75</v>
      </c>
      <c r="H618" s="84">
        <v>0.69</v>
      </c>
      <c r="I618" s="84">
        <v>0.61</v>
      </c>
    </row>
    <row r="619" spans="1:12">
      <c r="A619" s="90">
        <v>43861</v>
      </c>
      <c r="B619" s="84">
        <v>0.75</v>
      </c>
      <c r="C619" s="84">
        <v>0.75</v>
      </c>
      <c r="D619" s="84">
        <v>0.84</v>
      </c>
      <c r="E619" s="84">
        <v>0.89</v>
      </c>
      <c r="F619" s="84">
        <v>0.97</v>
      </c>
      <c r="G619" s="84">
        <v>0.71</v>
      </c>
      <c r="H619" s="84">
        <v>0.64</v>
      </c>
      <c r="I619" s="84">
        <v>0.57999999999999996</v>
      </c>
    </row>
    <row r="620" spans="1:12">
      <c r="A620" s="90">
        <v>43890</v>
      </c>
      <c r="B620" s="84">
        <v>0.75</v>
      </c>
      <c r="C620" s="84">
        <v>0.75</v>
      </c>
      <c r="D620" s="84">
        <v>0.81</v>
      </c>
      <c r="E620" s="84">
        <v>0.89</v>
      </c>
      <c r="F620" s="84">
        <v>0.93</v>
      </c>
      <c r="G620" s="84">
        <v>0.74</v>
      </c>
      <c r="H620" s="84">
        <v>0.69</v>
      </c>
      <c r="I620" s="84">
        <v>0.62</v>
      </c>
    </row>
    <row r="621" spans="1:12">
      <c r="A621" s="90">
        <v>43921</v>
      </c>
      <c r="B621" s="84">
        <v>0.43</v>
      </c>
      <c r="C621" s="84">
        <v>0.43</v>
      </c>
      <c r="D621" s="84">
        <v>0.54</v>
      </c>
      <c r="E621" s="84">
        <v>0.53</v>
      </c>
      <c r="F621" s="84">
        <v>0.64</v>
      </c>
      <c r="G621" s="84">
        <v>0.31</v>
      </c>
      <c r="H621" s="84">
        <v>0.24</v>
      </c>
      <c r="I621" s="84">
        <v>0.22</v>
      </c>
    </row>
    <row r="622" spans="1:12">
      <c r="A622" s="90">
        <v>43951</v>
      </c>
      <c r="B622" s="84">
        <v>0.25</v>
      </c>
      <c r="C622" s="84">
        <v>0.16</v>
      </c>
      <c r="D622" s="84">
        <v>0.16</v>
      </c>
      <c r="E622" s="84">
        <v>0.17</v>
      </c>
      <c r="F622" s="84">
        <v>0.27</v>
      </c>
      <c r="G622" s="84">
        <v>0.14000000000000001</v>
      </c>
      <c r="H622" s="84">
        <v>0.14000000000000001</v>
      </c>
      <c r="I622" s="84">
        <v>0.14000000000000001</v>
      </c>
    </row>
    <row r="623" spans="1:12">
      <c r="A623" s="90">
        <v>43982</v>
      </c>
      <c r="B623" s="84">
        <v>0.25</v>
      </c>
      <c r="C623" s="84">
        <v>0.14000000000000001</v>
      </c>
      <c r="D623" s="84">
        <v>0.09</v>
      </c>
      <c r="E623" s="84">
        <v>0.1</v>
      </c>
      <c r="F623" s="84">
        <v>0.16</v>
      </c>
      <c r="G623" s="84">
        <v>0.13</v>
      </c>
      <c r="H623" s="84">
        <v>0.13</v>
      </c>
      <c r="I623" s="84">
        <v>0.13</v>
      </c>
    </row>
    <row r="624" spans="1:12">
      <c r="A624" s="90">
        <v>44012</v>
      </c>
      <c r="B624" s="84">
        <v>0.25</v>
      </c>
      <c r="C624" s="84">
        <v>0.14000000000000001</v>
      </c>
      <c r="D624" s="84">
        <v>0.09</v>
      </c>
      <c r="E624" s="84">
        <v>0.1</v>
      </c>
      <c r="F624" s="84">
        <v>0.16</v>
      </c>
      <c r="G624" s="84">
        <v>0.14000000000000001</v>
      </c>
      <c r="H624" s="84">
        <v>0.14000000000000001</v>
      </c>
      <c r="I624" s="84">
        <v>0.15</v>
      </c>
    </row>
    <row r="625" spans="1:9">
      <c r="A625" s="90">
        <v>44043</v>
      </c>
      <c r="B625" s="84">
        <v>0.25</v>
      </c>
      <c r="C625" s="84">
        <v>0.13</v>
      </c>
      <c r="D625" s="84">
        <v>0.09</v>
      </c>
      <c r="E625" s="84">
        <v>0.1</v>
      </c>
      <c r="F625" s="84">
        <v>0.17</v>
      </c>
      <c r="G625" s="84">
        <v>0.13</v>
      </c>
      <c r="H625" s="84">
        <v>0.13</v>
      </c>
      <c r="I625" s="84">
        <v>0.13</v>
      </c>
    </row>
    <row r="626" spans="1:9">
      <c r="A626" s="90">
        <v>44074</v>
      </c>
      <c r="B626" s="84">
        <v>0.25</v>
      </c>
      <c r="C626" s="84">
        <v>0.13</v>
      </c>
      <c r="D626" s="84">
        <v>0.09</v>
      </c>
      <c r="E626" s="84">
        <v>0.1</v>
      </c>
      <c r="F626" s="84">
        <v>0.16</v>
      </c>
      <c r="G626" s="84">
        <v>0.13</v>
      </c>
      <c r="H626" s="84">
        <v>0.12</v>
      </c>
      <c r="I626" s="84">
        <v>0.12</v>
      </c>
    </row>
    <row r="627" spans="1:9">
      <c r="A627" s="90">
        <v>44104</v>
      </c>
      <c r="B627" s="84">
        <v>0.25</v>
      </c>
      <c r="C627" s="84">
        <v>0.13</v>
      </c>
      <c r="D627" s="84">
        <v>0.09</v>
      </c>
      <c r="E627" s="84">
        <v>0.09</v>
      </c>
      <c r="F627" s="84">
        <v>0.13</v>
      </c>
      <c r="G627" s="84">
        <v>0.12</v>
      </c>
      <c r="H627" s="84">
        <v>0.11</v>
      </c>
      <c r="I627" s="84">
        <v>0.1</v>
      </c>
    </row>
    <row r="628" spans="1:9">
      <c r="A628" s="90">
        <v>44135</v>
      </c>
      <c r="B628" s="84">
        <v>0.25</v>
      </c>
      <c r="C628" s="84">
        <v>0.13</v>
      </c>
      <c r="D628" s="84">
        <v>0.08</v>
      </c>
      <c r="E628" s="84">
        <v>7.0000000000000007E-2</v>
      </c>
      <c r="F628" s="84">
        <v>0.1</v>
      </c>
      <c r="G628" s="84">
        <v>0.1</v>
      </c>
      <c r="H628" s="84">
        <v>0.08</v>
      </c>
      <c r="I628" s="84">
        <v>7.0000000000000007E-2</v>
      </c>
    </row>
    <row r="629" spans="1:9">
      <c r="A629" s="90">
        <v>44165</v>
      </c>
      <c r="B629" s="84">
        <v>0.11</v>
      </c>
      <c r="C629" s="84">
        <v>0.06</v>
      </c>
      <c r="D629" s="84">
        <v>0.02</v>
      </c>
      <c r="E629" s="84">
        <v>0.02</v>
      </c>
      <c r="F629" s="84">
        <v>0.03</v>
      </c>
      <c r="G629" s="84">
        <v>0.04</v>
      </c>
      <c r="H629" s="84">
        <v>0.04</v>
      </c>
      <c r="I629" s="84">
        <v>0.04</v>
      </c>
    </row>
    <row r="630" spans="1:9">
      <c r="A630" s="90">
        <v>44196</v>
      </c>
      <c r="B630" s="84">
        <v>0.1</v>
      </c>
      <c r="C630" s="84">
        <v>0.04</v>
      </c>
      <c r="D630" s="84">
        <v>0.02</v>
      </c>
      <c r="E630" s="84">
        <v>0.02</v>
      </c>
      <c r="F630" s="84">
        <v>0.02</v>
      </c>
      <c r="G630" s="84">
        <v>0.04</v>
      </c>
      <c r="H630" s="84">
        <v>0.04</v>
      </c>
      <c r="I630" s="84">
        <v>0.04</v>
      </c>
    </row>
    <row r="631" spans="1:9">
      <c r="A631" s="90">
        <v>44227</v>
      </c>
      <c r="B631" s="84">
        <v>0.1</v>
      </c>
      <c r="C631" s="84">
        <v>0.03</v>
      </c>
      <c r="D631" s="84">
        <v>0.01</v>
      </c>
      <c r="E631" s="84">
        <v>0.01</v>
      </c>
      <c r="F631" s="84">
        <v>0.02</v>
      </c>
      <c r="G631" s="84">
        <v>0.03</v>
      </c>
      <c r="H631" s="84">
        <v>0.03</v>
      </c>
      <c r="I631" s="84">
        <v>0.04</v>
      </c>
    </row>
    <row r="632" spans="1:9">
      <c r="A632" s="90">
        <v>44255</v>
      </c>
      <c r="B632" s="84">
        <v>0.1</v>
      </c>
      <c r="C632" s="84">
        <v>0.03</v>
      </c>
      <c r="D632" s="84">
        <v>0.01</v>
      </c>
      <c r="E632" s="84">
        <v>0.01</v>
      </c>
      <c r="F632" s="84">
        <v>0.02</v>
      </c>
      <c r="G632" s="84">
        <v>0.03</v>
      </c>
      <c r="H632" s="84">
        <v>0.03</v>
      </c>
      <c r="I632" s="84">
        <v>0.03</v>
      </c>
    </row>
    <row r="633" spans="1:9">
      <c r="A633" s="90">
        <v>44286</v>
      </c>
      <c r="B633" s="84">
        <v>0.1</v>
      </c>
      <c r="C633" s="84">
        <v>0.03</v>
      </c>
      <c r="D633" s="84">
        <v>0.01</v>
      </c>
      <c r="E633" s="84">
        <v>0.03</v>
      </c>
      <c r="F633" s="84">
        <v>0.08</v>
      </c>
      <c r="G633" s="84">
        <v>0.03</v>
      </c>
      <c r="H633" s="84">
        <v>0.04</v>
      </c>
      <c r="I633" s="84">
        <v>0.04</v>
      </c>
    </row>
    <row r="634" spans="1:9">
      <c r="A634" s="90">
        <v>44316</v>
      </c>
      <c r="B634" s="84">
        <v>0.1</v>
      </c>
      <c r="C634" s="84">
        <v>0.03</v>
      </c>
      <c r="D634" s="84">
        <v>0.01</v>
      </c>
      <c r="E634" s="84">
        <v>0.04</v>
      </c>
      <c r="F634" s="84">
        <v>0.09</v>
      </c>
      <c r="G634" s="84">
        <v>0.03</v>
      </c>
      <c r="H634" s="84">
        <v>0.03</v>
      </c>
      <c r="I634" s="84">
        <v>0.04</v>
      </c>
    </row>
    <row r="635" spans="1:9">
      <c r="A635" s="90">
        <v>44347</v>
      </c>
      <c r="B635" s="84">
        <v>0.1</v>
      </c>
      <c r="C635" s="84">
        <v>0.03</v>
      </c>
      <c r="D635" s="84">
        <v>0.01</v>
      </c>
      <c r="E635" s="84">
        <v>0.04</v>
      </c>
      <c r="F635" s="84">
        <v>0.1</v>
      </c>
      <c r="G635" s="84">
        <v>0.03</v>
      </c>
      <c r="H635" s="84">
        <v>0.03</v>
      </c>
      <c r="I635" s="84">
        <v>0.03</v>
      </c>
    </row>
    <row r="636" spans="1:9">
      <c r="A636" s="90">
        <v>44377</v>
      </c>
      <c r="B636" s="84">
        <v>0.1</v>
      </c>
      <c r="C636" s="84">
        <v>0.03</v>
      </c>
      <c r="D636" s="84">
        <v>0.01</v>
      </c>
      <c r="E636" s="84">
        <v>0.03</v>
      </c>
      <c r="F636" s="84">
        <v>0.06</v>
      </c>
      <c r="G636" s="84">
        <v>0.03</v>
      </c>
      <c r="H636" s="84">
        <v>0.03</v>
      </c>
      <c r="I636" s="84">
        <v>0.03</v>
      </c>
    </row>
    <row r="637" spans="1:9">
      <c r="A637" s="90">
        <v>44408</v>
      </c>
      <c r="B637" s="84">
        <v>0.1</v>
      </c>
      <c r="C637" s="84">
        <v>0.03</v>
      </c>
      <c r="D637" s="84">
        <v>0.01</v>
      </c>
      <c r="E637" s="84">
        <v>0.02</v>
      </c>
      <c r="F637" s="84">
        <v>0.06</v>
      </c>
      <c r="G637" s="84">
        <v>0.03</v>
      </c>
      <c r="H637" s="84">
        <v>0.03</v>
      </c>
      <c r="I637" s="84">
        <v>0.03</v>
      </c>
    </row>
    <row r="638" spans="1:9">
      <c r="A638" s="90">
        <v>44439</v>
      </c>
      <c r="B638" s="84">
        <v>0.1</v>
      </c>
      <c r="C638" s="84">
        <v>0.03</v>
      </c>
      <c r="D638" s="84">
        <v>0.01</v>
      </c>
      <c r="E638" s="84">
        <v>0.01</v>
      </c>
      <c r="F638" s="84">
        <v>0.03</v>
      </c>
      <c r="G638" s="84">
        <v>0.02</v>
      </c>
      <c r="H638" s="84">
        <v>0.02</v>
      </c>
      <c r="I638" s="84">
        <v>0.03</v>
      </c>
    </row>
    <row r="639" spans="1:9">
      <c r="A639" s="90">
        <v>44469</v>
      </c>
      <c r="B639" s="84">
        <v>0.1</v>
      </c>
      <c r="C639" s="84">
        <v>0.03</v>
      </c>
      <c r="D639" s="84">
        <v>0.01</v>
      </c>
      <c r="E639" s="84">
        <v>0.01</v>
      </c>
      <c r="F639" s="84">
        <v>0.03</v>
      </c>
      <c r="G639" s="84">
        <v>0.03</v>
      </c>
      <c r="H639" s="84">
        <v>0.03</v>
      </c>
      <c r="I639" s="84">
        <v>0.03</v>
      </c>
    </row>
    <row r="640" spans="1:9">
      <c r="A640" s="90">
        <v>44500</v>
      </c>
      <c r="B640" s="84">
        <v>0.1</v>
      </c>
      <c r="C640" s="84">
        <v>0.03</v>
      </c>
      <c r="D640" s="84">
        <v>0.01</v>
      </c>
      <c r="E640" s="84">
        <v>0.04</v>
      </c>
      <c r="F640" s="84">
        <v>0.09</v>
      </c>
      <c r="G640" s="84">
        <v>0.04</v>
      </c>
      <c r="H640" s="84">
        <v>0.04</v>
      </c>
      <c r="I640" s="84">
        <v>0.05</v>
      </c>
    </row>
    <row r="641" spans="1:9">
      <c r="A641" s="90">
        <v>44530</v>
      </c>
      <c r="B641" s="84">
        <v>0.1</v>
      </c>
      <c r="C641" s="84">
        <v>0.04</v>
      </c>
      <c r="D641" s="84">
        <v>0.01</v>
      </c>
      <c r="E641" s="84">
        <v>0.04</v>
      </c>
      <c r="F641" s="84">
        <v>0.14000000000000001</v>
      </c>
      <c r="G641" s="84">
        <v>0.04</v>
      </c>
      <c r="H641" s="84">
        <v>0.04</v>
      </c>
      <c r="I641" s="84">
        <v>0.06</v>
      </c>
    </row>
    <row r="642" spans="1:9">
      <c r="A642" s="90">
        <v>44561</v>
      </c>
      <c r="B642" s="84">
        <v>0.1</v>
      </c>
      <c r="C642" s="84">
        <v>0.04</v>
      </c>
      <c r="D642" s="84">
        <v>0.01</v>
      </c>
      <c r="E642" s="84">
        <v>0.06</v>
      </c>
      <c r="F642" s="84">
        <v>0.19</v>
      </c>
      <c r="G642" s="84">
        <v>0.03</v>
      </c>
      <c r="H642" s="84">
        <v>0.05</v>
      </c>
      <c r="I642" s="84">
        <v>0.09</v>
      </c>
    </row>
    <row r="643" spans="1:9">
      <c r="A643" s="90">
        <v>44592</v>
      </c>
      <c r="B643" s="84">
        <v>0.1</v>
      </c>
      <c r="C643" s="84">
        <v>0.05</v>
      </c>
      <c r="D643" s="84">
        <v>0.01</v>
      </c>
      <c r="E643" s="84">
        <v>7.0000000000000007E-2</v>
      </c>
      <c r="F643" s="84">
        <v>0.24</v>
      </c>
      <c r="G643" s="84">
        <v>0.05</v>
      </c>
      <c r="H643" s="84">
        <v>7.0000000000000007E-2</v>
      </c>
      <c r="I643" s="84">
        <v>0.16</v>
      </c>
    </row>
    <row r="644" spans="1:9">
      <c r="A644" s="90">
        <v>44620</v>
      </c>
      <c r="B644" s="84">
        <v>0.1</v>
      </c>
      <c r="C644" s="84">
        <v>0.05</v>
      </c>
      <c r="D644" s="84">
        <v>0.01</v>
      </c>
      <c r="E644" s="84">
        <v>7.0000000000000007E-2</v>
      </c>
      <c r="F644" s="84">
        <v>0.25</v>
      </c>
      <c r="G644" s="84">
        <v>0.04</v>
      </c>
      <c r="H644" s="84">
        <v>7.0000000000000007E-2</v>
      </c>
      <c r="I644" s="84">
        <v>0.19</v>
      </c>
    </row>
    <row r="645" spans="1:9">
      <c r="B645" s="91"/>
      <c r="C645" s="91"/>
      <c r="D645" s="91"/>
      <c r="E645" s="91"/>
      <c r="F645" s="91"/>
      <c r="G645" s="91"/>
      <c r="H645" s="91"/>
      <c r="I645" s="91"/>
    </row>
    <row r="646" spans="1:9">
      <c r="B646" s="91"/>
      <c r="C646" s="91"/>
      <c r="D646" s="91"/>
      <c r="E646" s="91"/>
      <c r="F646" s="91"/>
      <c r="G646" s="91"/>
      <c r="H646" s="91"/>
      <c r="I646" s="91"/>
    </row>
    <row r="647" spans="1:9">
      <c r="B647" s="91"/>
      <c r="C647" s="91"/>
      <c r="D647" s="91"/>
      <c r="E647" s="91"/>
      <c r="F647" s="91"/>
      <c r="G647" s="91"/>
      <c r="H647" s="91"/>
      <c r="I647" s="91"/>
    </row>
    <row r="648" spans="1:9">
      <c r="B648" s="91"/>
      <c r="C648" s="91"/>
      <c r="D648" s="91"/>
      <c r="E648" s="91"/>
      <c r="F648" s="91"/>
      <c r="G648" s="91"/>
      <c r="H648" s="91"/>
      <c r="I648" s="91"/>
    </row>
    <row r="649" spans="1:9">
      <c r="B649" s="91"/>
      <c r="C649" s="91"/>
      <c r="D649" s="91"/>
      <c r="E649" s="91"/>
      <c r="F649" s="91"/>
      <c r="G649" s="91"/>
      <c r="H649" s="91"/>
      <c r="I649" s="91"/>
    </row>
    <row r="650" spans="1:9">
      <c r="B650" s="91"/>
      <c r="C650" s="91"/>
      <c r="D650" s="91"/>
      <c r="E650" s="91"/>
      <c r="F650" s="91"/>
      <c r="G650" s="91"/>
      <c r="H650" s="91"/>
      <c r="I650" s="91"/>
    </row>
    <row r="651" spans="1:9">
      <c r="B651" s="91"/>
      <c r="C651" s="91"/>
      <c r="D651" s="91"/>
      <c r="E651" s="91"/>
      <c r="F651" s="91"/>
      <c r="G651" s="91"/>
      <c r="H651" s="91"/>
      <c r="I651" s="91"/>
    </row>
    <row r="652" spans="1:9">
      <c r="B652" s="91"/>
      <c r="C652" s="91"/>
      <c r="D652" s="91"/>
      <c r="E652" s="91"/>
      <c r="F652" s="91"/>
      <c r="G652" s="91"/>
      <c r="H652" s="91"/>
      <c r="I652" s="91"/>
    </row>
    <row r="653" spans="1:9">
      <c r="B653" s="91"/>
      <c r="C653" s="91"/>
      <c r="D653" s="91"/>
      <c r="E653" s="91"/>
      <c r="F653" s="91"/>
      <c r="G653" s="91"/>
      <c r="H653" s="91"/>
      <c r="I653" s="91"/>
    </row>
    <row r="654" spans="1:9">
      <c r="B654" s="91"/>
      <c r="C654" s="91"/>
      <c r="D654" s="91"/>
      <c r="E654" s="91"/>
      <c r="F654" s="91"/>
      <c r="G654" s="91"/>
      <c r="H654" s="91"/>
      <c r="I654" s="91"/>
    </row>
    <row r="655" spans="1:9">
      <c r="B655" s="91"/>
      <c r="C655" s="91"/>
      <c r="D655" s="91"/>
      <c r="E655" s="91"/>
      <c r="F655" s="91"/>
      <c r="G655" s="91"/>
      <c r="H655" s="91"/>
      <c r="I655" s="91"/>
    </row>
    <row r="656" spans="1:9">
      <c r="B656" s="91"/>
      <c r="C656" s="91"/>
      <c r="D656" s="91"/>
      <c r="E656" s="91"/>
      <c r="F656" s="91"/>
      <c r="G656" s="91"/>
      <c r="H656" s="91"/>
      <c r="I656" s="91"/>
    </row>
    <row r="657" spans="2:9">
      <c r="B657" s="91"/>
      <c r="C657" s="91"/>
      <c r="D657" s="91"/>
      <c r="E657" s="91"/>
      <c r="F657" s="91"/>
      <c r="G657" s="91"/>
      <c r="H657" s="91"/>
      <c r="I657" s="91"/>
    </row>
    <row r="658" spans="2:9">
      <c r="B658" s="91"/>
      <c r="C658" s="91"/>
      <c r="D658" s="91"/>
      <c r="E658" s="91"/>
      <c r="F658" s="91"/>
      <c r="G658" s="91"/>
      <c r="H658" s="91"/>
      <c r="I658" s="91"/>
    </row>
    <row r="659" spans="2:9">
      <c r="B659" s="91"/>
      <c r="C659" s="91"/>
      <c r="D659" s="91"/>
      <c r="E659" s="91"/>
      <c r="F659" s="91"/>
      <c r="G659" s="91"/>
      <c r="H659" s="91"/>
      <c r="I659" s="91"/>
    </row>
    <row r="660" spans="2:9">
      <c r="B660" s="91"/>
      <c r="C660" s="91"/>
      <c r="D660" s="91"/>
      <c r="E660" s="91"/>
      <c r="F660" s="91"/>
      <c r="G660" s="91"/>
      <c r="H660" s="91"/>
      <c r="I660" s="91"/>
    </row>
    <row r="661" spans="2:9">
      <c r="B661" s="91"/>
      <c r="C661" s="91"/>
      <c r="D661" s="91"/>
      <c r="E661" s="91"/>
      <c r="F661" s="91"/>
      <c r="G661" s="91"/>
      <c r="H661" s="91"/>
      <c r="I661" s="91"/>
    </row>
    <row r="662" spans="2:9">
      <c r="B662" s="91"/>
      <c r="C662" s="91"/>
      <c r="D662" s="91"/>
      <c r="E662" s="91"/>
      <c r="F662" s="91"/>
      <c r="G662" s="91"/>
      <c r="H662" s="91"/>
      <c r="I662" s="91"/>
    </row>
    <row r="663" spans="2:9">
      <c r="B663" s="91"/>
      <c r="C663" s="91"/>
      <c r="D663" s="91"/>
      <c r="E663" s="91"/>
      <c r="F663" s="91"/>
      <c r="G663" s="91"/>
      <c r="H663" s="91"/>
      <c r="I663" s="91"/>
    </row>
    <row r="664" spans="2:9">
      <c r="B664" s="91"/>
      <c r="C664" s="91"/>
      <c r="D664" s="91"/>
      <c r="E664" s="91"/>
      <c r="F664" s="91"/>
      <c r="G664" s="91"/>
      <c r="H664" s="91"/>
      <c r="I664" s="91"/>
    </row>
    <row r="665" spans="2:9">
      <c r="B665" s="91"/>
      <c r="C665" s="91"/>
      <c r="D665" s="91"/>
      <c r="E665" s="91"/>
      <c r="F665" s="91"/>
      <c r="G665" s="91"/>
      <c r="H665" s="91"/>
      <c r="I665" s="91"/>
    </row>
    <row r="666" spans="2:9">
      <c r="B666" s="91"/>
      <c r="C666" s="91"/>
      <c r="D666" s="91"/>
      <c r="E666" s="91"/>
      <c r="F666" s="91"/>
      <c r="G666" s="91"/>
      <c r="H666" s="91"/>
      <c r="I666" s="91"/>
    </row>
    <row r="667" spans="2:9">
      <c r="B667" s="91"/>
      <c r="C667" s="91"/>
      <c r="D667" s="91"/>
      <c r="E667" s="91"/>
      <c r="F667" s="91"/>
      <c r="G667" s="91"/>
      <c r="H667" s="91"/>
      <c r="I667" s="91"/>
    </row>
    <row r="668" spans="2:9">
      <c r="B668" s="91"/>
      <c r="C668" s="91"/>
      <c r="D668" s="91"/>
      <c r="E668" s="91"/>
      <c r="F668" s="91"/>
      <c r="G668" s="91"/>
      <c r="H668" s="91"/>
      <c r="I668" s="91"/>
    </row>
    <row r="669" spans="2:9">
      <c r="B669" s="91"/>
      <c r="C669" s="91"/>
      <c r="D669" s="91"/>
      <c r="E669" s="91"/>
      <c r="F669" s="91"/>
      <c r="G669" s="91"/>
      <c r="H669" s="91"/>
      <c r="I669" s="91"/>
    </row>
    <row r="670" spans="2:9">
      <c r="B670" s="91"/>
      <c r="C670" s="91"/>
      <c r="D670" s="91"/>
      <c r="E670" s="91"/>
      <c r="F670" s="91"/>
      <c r="G670" s="91"/>
      <c r="H670" s="91"/>
      <c r="I670" s="91"/>
    </row>
    <row r="671" spans="2:9">
      <c r="B671" s="91"/>
      <c r="C671" s="91"/>
      <c r="D671" s="91"/>
      <c r="E671" s="91"/>
      <c r="F671" s="91"/>
      <c r="G671" s="91"/>
      <c r="H671" s="91"/>
      <c r="I671" s="91"/>
    </row>
    <row r="672" spans="2:9">
      <c r="B672" s="91"/>
      <c r="C672" s="91"/>
      <c r="D672" s="91"/>
      <c r="E672" s="91"/>
      <c r="F672" s="91"/>
      <c r="G672" s="91"/>
      <c r="H672" s="91"/>
      <c r="I672" s="91"/>
    </row>
    <row r="673" spans="2:9">
      <c r="B673" s="91"/>
      <c r="C673" s="91"/>
      <c r="D673" s="91"/>
      <c r="E673" s="91"/>
      <c r="F673" s="91"/>
      <c r="G673" s="91"/>
      <c r="H673" s="91"/>
      <c r="I673" s="91"/>
    </row>
    <row r="674" spans="2:9">
      <c r="B674" s="91"/>
      <c r="C674" s="91"/>
      <c r="D674" s="91"/>
      <c r="E674" s="91"/>
      <c r="F674" s="91"/>
      <c r="G674" s="91"/>
      <c r="H674" s="91"/>
      <c r="I674" s="91"/>
    </row>
    <row r="675" spans="2:9">
      <c r="B675" s="91"/>
      <c r="C675" s="91"/>
      <c r="D675" s="91"/>
      <c r="E675" s="91"/>
      <c r="F675" s="91"/>
      <c r="G675" s="91"/>
      <c r="H675" s="91"/>
      <c r="I675" s="91"/>
    </row>
    <row r="676" spans="2:9">
      <c r="B676" s="91"/>
      <c r="C676" s="91"/>
      <c r="D676" s="91"/>
      <c r="E676" s="91"/>
      <c r="F676" s="91"/>
      <c r="G676" s="91"/>
      <c r="H676" s="91"/>
      <c r="I676" s="91"/>
    </row>
    <row r="677" spans="2:9">
      <c r="B677" s="91"/>
      <c r="C677" s="91"/>
      <c r="D677" s="91"/>
      <c r="E677" s="91"/>
      <c r="F677" s="91"/>
      <c r="G677" s="91"/>
      <c r="H677" s="91"/>
      <c r="I677" s="91"/>
    </row>
    <row r="678" spans="2:9">
      <c r="B678" s="91"/>
      <c r="C678" s="91"/>
      <c r="D678" s="91"/>
      <c r="E678" s="91"/>
      <c r="F678" s="91"/>
      <c r="G678" s="91"/>
      <c r="H678" s="91"/>
      <c r="I678" s="91"/>
    </row>
    <row r="679" spans="2:9">
      <c r="B679" s="91"/>
      <c r="C679" s="91"/>
      <c r="D679" s="91"/>
      <c r="E679" s="91"/>
      <c r="F679" s="91"/>
      <c r="G679" s="91"/>
      <c r="H679" s="91"/>
      <c r="I679" s="91"/>
    </row>
    <row r="680" spans="2:9">
      <c r="B680" s="91"/>
      <c r="C680" s="91"/>
      <c r="D680" s="91"/>
      <c r="E680" s="91"/>
      <c r="F680" s="91"/>
      <c r="G680" s="91"/>
      <c r="H680" s="91"/>
      <c r="I680" s="91"/>
    </row>
    <row r="681" spans="2:9">
      <c r="B681" s="91"/>
      <c r="C681" s="91"/>
      <c r="D681" s="91"/>
      <c r="E681" s="91"/>
      <c r="F681" s="91"/>
      <c r="G681" s="91"/>
      <c r="H681" s="91"/>
      <c r="I681" s="91"/>
    </row>
    <row r="682" spans="2:9">
      <c r="B682" s="91"/>
      <c r="C682" s="91"/>
      <c r="D682" s="91"/>
      <c r="E682" s="91"/>
      <c r="F682" s="91"/>
      <c r="G682" s="91"/>
      <c r="H682" s="91"/>
      <c r="I682" s="91"/>
    </row>
    <row r="683" spans="2:9">
      <c r="B683" s="91"/>
      <c r="C683" s="91"/>
      <c r="D683" s="91"/>
      <c r="E683" s="91"/>
      <c r="F683" s="91"/>
      <c r="G683" s="91"/>
      <c r="H683" s="91"/>
      <c r="I683" s="91"/>
    </row>
    <row r="684" spans="2:9">
      <c r="B684" s="91"/>
      <c r="C684" s="91"/>
      <c r="D684" s="91"/>
      <c r="E684" s="91"/>
      <c r="F684" s="91"/>
      <c r="G684" s="91"/>
      <c r="H684" s="91"/>
      <c r="I684" s="91"/>
    </row>
    <row r="685" spans="2:9">
      <c r="B685" s="91"/>
      <c r="C685" s="91"/>
      <c r="D685" s="91"/>
      <c r="E685" s="91"/>
      <c r="F685" s="91"/>
      <c r="G685" s="91"/>
      <c r="H685" s="91"/>
      <c r="I685" s="91"/>
    </row>
    <row r="686" spans="2:9">
      <c r="B686" s="91"/>
      <c r="C686" s="91"/>
      <c r="D686" s="91"/>
      <c r="E686" s="91"/>
      <c r="F686" s="91"/>
      <c r="G686" s="91"/>
      <c r="H686" s="91"/>
      <c r="I686" s="91"/>
    </row>
    <row r="687" spans="2:9">
      <c r="B687" s="91"/>
      <c r="C687" s="91"/>
      <c r="D687" s="91"/>
      <c r="E687" s="91"/>
      <c r="F687" s="91"/>
      <c r="G687" s="91"/>
      <c r="H687" s="91"/>
      <c r="I687" s="91"/>
    </row>
    <row r="688" spans="2:9">
      <c r="B688" s="91"/>
      <c r="C688" s="91"/>
      <c r="D688" s="91"/>
      <c r="E688" s="91"/>
      <c r="F688" s="91"/>
      <c r="G688" s="91"/>
      <c r="H688" s="91"/>
      <c r="I688" s="91"/>
    </row>
    <row r="689" spans="2:9">
      <c r="B689" s="91"/>
      <c r="C689" s="91"/>
      <c r="D689" s="91"/>
      <c r="E689" s="91"/>
      <c r="F689" s="91"/>
      <c r="G689" s="91"/>
      <c r="H689" s="91"/>
      <c r="I689" s="91"/>
    </row>
    <row r="690" spans="2:9">
      <c r="B690" s="91"/>
      <c r="C690" s="91"/>
      <c r="D690" s="91"/>
      <c r="E690" s="91"/>
      <c r="F690" s="91"/>
      <c r="G690" s="91"/>
      <c r="H690" s="91"/>
      <c r="I690" s="91"/>
    </row>
    <row r="691" spans="2:9">
      <c r="B691" s="91"/>
      <c r="C691" s="91"/>
      <c r="D691" s="91"/>
      <c r="E691" s="91"/>
      <c r="F691" s="91"/>
      <c r="G691" s="91"/>
      <c r="H691" s="91"/>
      <c r="I691" s="91"/>
    </row>
    <row r="692" spans="2:9">
      <c r="B692" s="91"/>
      <c r="C692" s="91"/>
      <c r="D692" s="91"/>
      <c r="E692" s="91"/>
      <c r="F692" s="91"/>
      <c r="G692" s="91"/>
      <c r="H692" s="91"/>
      <c r="I692" s="91"/>
    </row>
    <row r="693" spans="2:9">
      <c r="B693" s="91"/>
      <c r="C693" s="91"/>
      <c r="D693" s="91"/>
      <c r="E693" s="91"/>
      <c r="F693" s="91"/>
      <c r="G693" s="91"/>
      <c r="H693" s="91"/>
      <c r="I693" s="91"/>
    </row>
    <row r="694" spans="2:9">
      <c r="B694" s="91"/>
      <c r="C694" s="91"/>
      <c r="D694" s="91"/>
      <c r="E694" s="91"/>
      <c r="F694" s="91"/>
      <c r="G694" s="91"/>
      <c r="H694" s="91"/>
      <c r="I694" s="91"/>
    </row>
    <row r="695" spans="2:9">
      <c r="B695" s="91"/>
      <c r="C695" s="91"/>
      <c r="D695" s="91"/>
      <c r="E695" s="91"/>
      <c r="F695" s="91"/>
      <c r="G695" s="91"/>
      <c r="H695" s="91"/>
      <c r="I695" s="91"/>
    </row>
    <row r="696" spans="2:9">
      <c r="B696" s="91"/>
      <c r="C696" s="91"/>
      <c r="D696" s="91"/>
      <c r="E696" s="91"/>
      <c r="F696" s="91"/>
      <c r="G696" s="91"/>
      <c r="H696" s="91"/>
      <c r="I696" s="91"/>
    </row>
    <row r="697" spans="2:9">
      <c r="B697" s="91"/>
      <c r="C697" s="91"/>
      <c r="D697" s="91"/>
      <c r="E697" s="91"/>
      <c r="F697" s="91"/>
      <c r="G697" s="91"/>
      <c r="H697" s="91"/>
      <c r="I697" s="91"/>
    </row>
    <row r="698" spans="2:9">
      <c r="B698" s="91"/>
      <c r="C698" s="91"/>
      <c r="D698" s="91"/>
      <c r="E698" s="91"/>
      <c r="F698" s="91"/>
      <c r="G698" s="91"/>
      <c r="H698" s="91"/>
      <c r="I698" s="91"/>
    </row>
    <row r="699" spans="2:9">
      <c r="B699" s="91"/>
      <c r="C699" s="91"/>
      <c r="D699" s="91"/>
      <c r="E699" s="91"/>
      <c r="F699" s="91"/>
      <c r="G699" s="91"/>
      <c r="H699" s="91"/>
      <c r="I699" s="91"/>
    </row>
    <row r="700" spans="2:9">
      <c r="B700" s="91"/>
      <c r="C700" s="91"/>
      <c r="D700" s="91"/>
      <c r="E700" s="91"/>
      <c r="F700" s="91"/>
      <c r="G700" s="91"/>
      <c r="H700" s="91"/>
      <c r="I700" s="91"/>
    </row>
    <row r="701" spans="2:9">
      <c r="B701" s="91"/>
      <c r="C701" s="91"/>
      <c r="D701" s="91"/>
      <c r="E701" s="91"/>
      <c r="F701" s="91"/>
      <c r="G701" s="91"/>
      <c r="H701" s="91"/>
      <c r="I701" s="91"/>
    </row>
    <row r="702" spans="2:9">
      <c r="B702" s="91"/>
      <c r="C702" s="91"/>
      <c r="D702" s="91"/>
      <c r="E702" s="91"/>
      <c r="F702" s="91"/>
      <c r="G702" s="91"/>
      <c r="H702" s="91"/>
      <c r="I702" s="91"/>
    </row>
    <row r="703" spans="2:9">
      <c r="B703" s="91"/>
      <c r="C703" s="91"/>
      <c r="D703" s="91"/>
      <c r="E703" s="91"/>
      <c r="F703" s="91"/>
      <c r="G703" s="91"/>
      <c r="H703" s="91"/>
      <c r="I703" s="91"/>
    </row>
    <row r="704" spans="2:9">
      <c r="B704" s="91"/>
      <c r="C704" s="91"/>
      <c r="D704" s="91"/>
      <c r="E704" s="91"/>
      <c r="F704" s="91"/>
      <c r="G704" s="91"/>
      <c r="H704" s="91"/>
      <c r="I704" s="91"/>
    </row>
    <row r="705" spans="2:9">
      <c r="B705" s="91"/>
      <c r="C705" s="91"/>
      <c r="D705" s="91"/>
      <c r="E705" s="91"/>
      <c r="F705" s="91"/>
      <c r="G705" s="91"/>
      <c r="H705" s="91"/>
      <c r="I705" s="91"/>
    </row>
    <row r="706" spans="2:9">
      <c r="B706" s="91"/>
      <c r="C706" s="91"/>
      <c r="D706" s="91"/>
      <c r="E706" s="91"/>
      <c r="F706" s="91"/>
      <c r="G706" s="91"/>
      <c r="H706" s="91"/>
      <c r="I706" s="91"/>
    </row>
    <row r="707" spans="2:9">
      <c r="B707" s="91"/>
      <c r="C707" s="91"/>
      <c r="D707" s="91"/>
      <c r="E707" s="91"/>
      <c r="F707" s="91"/>
      <c r="G707" s="91"/>
      <c r="H707" s="91"/>
      <c r="I707" s="91"/>
    </row>
    <row r="708" spans="2:9">
      <c r="B708" s="91"/>
      <c r="C708" s="91"/>
      <c r="D708" s="91"/>
      <c r="E708" s="91"/>
      <c r="F708" s="91"/>
      <c r="G708" s="91"/>
      <c r="H708" s="91"/>
      <c r="I708" s="91"/>
    </row>
    <row r="709" spans="2:9">
      <c r="B709" s="91"/>
      <c r="C709" s="91"/>
      <c r="D709" s="91"/>
      <c r="E709" s="91"/>
      <c r="F709" s="91"/>
      <c r="G709" s="91"/>
      <c r="H709" s="91"/>
      <c r="I709" s="91"/>
    </row>
    <row r="710" spans="2:9">
      <c r="B710" s="91"/>
      <c r="C710" s="91"/>
      <c r="D710" s="91"/>
      <c r="E710" s="91"/>
      <c r="F710" s="91"/>
      <c r="G710" s="91"/>
      <c r="H710" s="91"/>
      <c r="I710" s="91"/>
    </row>
    <row r="711" spans="2:9">
      <c r="B711" s="91"/>
      <c r="C711" s="91"/>
      <c r="D711" s="91"/>
      <c r="E711" s="91"/>
      <c r="F711" s="91"/>
      <c r="G711" s="91"/>
      <c r="H711" s="91"/>
      <c r="I711" s="91"/>
    </row>
    <row r="712" spans="2:9">
      <c r="B712" s="91"/>
      <c r="C712" s="91"/>
      <c r="D712" s="91"/>
      <c r="E712" s="91"/>
      <c r="F712" s="91"/>
      <c r="G712" s="91"/>
      <c r="H712" s="91"/>
      <c r="I712" s="91"/>
    </row>
    <row r="713" spans="2:9">
      <c r="B713" s="91"/>
      <c r="C713" s="91"/>
      <c r="D713" s="91"/>
      <c r="E713" s="91"/>
      <c r="F713" s="91"/>
      <c r="G713" s="91"/>
      <c r="H713" s="91"/>
      <c r="I713" s="91"/>
    </row>
    <row r="714" spans="2:9">
      <c r="B714" s="91"/>
      <c r="C714" s="91"/>
      <c r="D714" s="91"/>
      <c r="E714" s="91"/>
      <c r="F714" s="91"/>
      <c r="G714" s="91"/>
      <c r="H714" s="91"/>
      <c r="I714" s="91"/>
    </row>
    <row r="715" spans="2:9">
      <c r="B715" s="91"/>
      <c r="C715" s="91"/>
      <c r="D715" s="91"/>
      <c r="E715" s="91"/>
      <c r="F715" s="91"/>
      <c r="G715" s="91"/>
      <c r="H715" s="91"/>
      <c r="I715" s="91"/>
    </row>
    <row r="716" spans="2:9">
      <c r="B716" s="91"/>
      <c r="C716" s="91"/>
      <c r="D716" s="91"/>
      <c r="E716" s="91"/>
      <c r="F716" s="91"/>
      <c r="G716" s="91"/>
      <c r="H716" s="91"/>
      <c r="I716" s="91"/>
    </row>
    <row r="717" spans="2:9">
      <c r="B717" s="91"/>
      <c r="C717" s="91"/>
      <c r="D717" s="91"/>
      <c r="E717" s="91"/>
      <c r="F717" s="91"/>
      <c r="G717" s="91"/>
      <c r="H717" s="91"/>
      <c r="I717" s="91"/>
    </row>
    <row r="718" spans="2:9">
      <c r="B718" s="91"/>
      <c r="C718" s="91"/>
      <c r="D718" s="91"/>
      <c r="E718" s="91"/>
      <c r="F718" s="91"/>
      <c r="G718" s="91"/>
      <c r="H718" s="91"/>
      <c r="I718" s="91"/>
    </row>
    <row r="719" spans="2:9">
      <c r="B719" s="91"/>
      <c r="C719" s="91"/>
      <c r="D719" s="91"/>
      <c r="E719" s="91"/>
      <c r="F719" s="91"/>
      <c r="G719" s="91"/>
      <c r="H719" s="91"/>
      <c r="I719" s="91"/>
    </row>
  </sheetData>
  <printOptions headings="1" gridLines="1"/>
  <pageMargins left="0.70866141732283472" right="0.70866141732283472" top="0.74803149606299213" bottom="0.74803149606299213" header="0.31496062992125984" footer="0.31496062992125984"/>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96EBB7-2233-4A96-8EFF-E664E865384F}">
  <sheetPr codeName="Sheet11">
    <tabColor theme="0" tint="-0.249977111117893"/>
  </sheetPr>
  <dimension ref="A1:AQ216"/>
  <sheetViews>
    <sheetView workbookViewId="0">
      <selection activeCell="R116" sqref="R116"/>
    </sheetView>
  </sheetViews>
  <sheetFormatPr defaultRowHeight="14.25"/>
  <cols>
    <col min="2" max="2" width="9.58203125" customWidth="1"/>
  </cols>
  <sheetData>
    <row r="1" spans="1:43">
      <c r="A1" s="44" t="s">
        <v>686</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row>
    <row r="2" spans="1:43" ht="106.25">
      <c r="A2" s="46" t="s">
        <v>640</v>
      </c>
      <c r="B2" s="47" t="s">
        <v>687</v>
      </c>
      <c r="C2" s="47" t="s">
        <v>688</v>
      </c>
      <c r="D2" s="47" t="s">
        <v>689</v>
      </c>
      <c r="E2" s="47" t="s">
        <v>690</v>
      </c>
      <c r="F2" s="47" t="s">
        <v>691</v>
      </c>
      <c r="G2" s="47" t="s">
        <v>692</v>
      </c>
      <c r="H2" s="47" t="s">
        <v>693</v>
      </c>
      <c r="I2" s="47" t="s">
        <v>694</v>
      </c>
      <c r="J2" s="47" t="s">
        <v>695</v>
      </c>
      <c r="K2" s="47" t="s">
        <v>696</v>
      </c>
      <c r="L2" s="47" t="s">
        <v>697</v>
      </c>
      <c r="M2" s="47" t="s">
        <v>698</v>
      </c>
      <c r="N2" s="47" t="s">
        <v>699</v>
      </c>
      <c r="O2" s="47" t="s">
        <v>700</v>
      </c>
      <c r="P2" s="47" t="s">
        <v>701</v>
      </c>
      <c r="Q2" s="47" t="s">
        <v>702</v>
      </c>
      <c r="R2" s="47" t="s">
        <v>703</v>
      </c>
      <c r="S2" s="47" t="s">
        <v>704</v>
      </c>
      <c r="T2" s="47" t="s">
        <v>705</v>
      </c>
      <c r="U2" s="47" t="s">
        <v>706</v>
      </c>
      <c r="V2" s="47" t="s">
        <v>707</v>
      </c>
      <c r="W2" s="47" t="s">
        <v>708</v>
      </c>
      <c r="X2" s="47" t="s">
        <v>709</v>
      </c>
      <c r="Y2" s="47" t="s">
        <v>710</v>
      </c>
      <c r="Z2" s="47" t="s">
        <v>711</v>
      </c>
      <c r="AA2" s="47" t="s">
        <v>712</v>
      </c>
      <c r="AB2" s="47" t="s">
        <v>713</v>
      </c>
      <c r="AC2" s="47" t="s">
        <v>714</v>
      </c>
      <c r="AD2" s="47" t="s">
        <v>715</v>
      </c>
      <c r="AE2" s="47" t="s">
        <v>716</v>
      </c>
      <c r="AF2" s="47" t="s">
        <v>717</v>
      </c>
      <c r="AG2" s="47" t="s">
        <v>718</v>
      </c>
      <c r="AH2" s="47" t="s">
        <v>719</v>
      </c>
      <c r="AI2" s="47" t="s">
        <v>720</v>
      </c>
      <c r="AJ2" s="47" t="s">
        <v>721</v>
      </c>
      <c r="AK2" s="47" t="s">
        <v>722</v>
      </c>
      <c r="AL2" s="47" t="s">
        <v>723</v>
      </c>
      <c r="AM2" s="47" t="s">
        <v>724</v>
      </c>
      <c r="AN2" s="47" t="s">
        <v>725</v>
      </c>
      <c r="AO2" s="47" t="s">
        <v>726</v>
      </c>
      <c r="AP2" s="47" t="s">
        <v>727</v>
      </c>
      <c r="AQ2" s="47" t="s">
        <v>728</v>
      </c>
    </row>
    <row r="3" spans="1:43">
      <c r="A3" s="43" t="s">
        <v>403</v>
      </c>
      <c r="B3" s="48" t="s">
        <v>729</v>
      </c>
      <c r="C3" s="48" t="s">
        <v>730</v>
      </c>
      <c r="D3" s="48" t="s">
        <v>731</v>
      </c>
      <c r="E3" s="48" t="s">
        <v>732</v>
      </c>
      <c r="F3" s="48" t="s">
        <v>733</v>
      </c>
      <c r="G3" s="48" t="s">
        <v>734</v>
      </c>
      <c r="H3" s="48" t="s">
        <v>735</v>
      </c>
      <c r="I3" s="48" t="s">
        <v>736</v>
      </c>
      <c r="J3" s="48" t="s">
        <v>737</v>
      </c>
      <c r="K3" s="48" t="s">
        <v>738</v>
      </c>
      <c r="L3" s="48" t="s">
        <v>739</v>
      </c>
      <c r="M3" s="48" t="s">
        <v>740</v>
      </c>
      <c r="N3" s="48" t="s">
        <v>741</v>
      </c>
      <c r="O3" s="48" t="s">
        <v>742</v>
      </c>
      <c r="P3" s="48" t="s">
        <v>743</v>
      </c>
      <c r="Q3" s="48" t="s">
        <v>744</v>
      </c>
      <c r="R3" s="48" t="s">
        <v>745</v>
      </c>
      <c r="S3" s="48" t="s">
        <v>746</v>
      </c>
      <c r="T3" s="48" t="s">
        <v>747</v>
      </c>
      <c r="U3" s="48" t="s">
        <v>748</v>
      </c>
      <c r="V3" s="48" t="s">
        <v>749</v>
      </c>
      <c r="W3" s="48" t="s">
        <v>750</v>
      </c>
      <c r="X3" s="48" t="s">
        <v>751</v>
      </c>
      <c r="Y3" s="48" t="s">
        <v>752</v>
      </c>
      <c r="Z3" s="48" t="s">
        <v>753</v>
      </c>
      <c r="AA3" s="48" t="s">
        <v>754</v>
      </c>
      <c r="AB3" s="48" t="s">
        <v>755</v>
      </c>
      <c r="AC3" s="48" t="s">
        <v>756</v>
      </c>
      <c r="AD3" s="48" t="s">
        <v>757</v>
      </c>
      <c r="AE3" s="48" t="s">
        <v>758</v>
      </c>
      <c r="AF3" s="48" t="s">
        <v>759</v>
      </c>
      <c r="AG3" s="48" t="s">
        <v>760</v>
      </c>
      <c r="AH3" s="48" t="s">
        <v>761</v>
      </c>
      <c r="AI3" s="48" t="s">
        <v>762</v>
      </c>
      <c r="AJ3" s="48" t="s">
        <v>763</v>
      </c>
      <c r="AK3" s="48" t="s">
        <v>764</v>
      </c>
      <c r="AL3" s="48" t="s">
        <v>765</v>
      </c>
      <c r="AM3" s="48" t="s">
        <v>766</v>
      </c>
      <c r="AN3" s="48" t="s">
        <v>767</v>
      </c>
      <c r="AO3" s="48" t="s">
        <v>768</v>
      </c>
      <c r="AP3" s="48" t="s">
        <v>769</v>
      </c>
      <c r="AQ3" s="48" t="s">
        <v>770</v>
      </c>
    </row>
    <row r="4" spans="1:43">
      <c r="A4" s="43" t="s">
        <v>663</v>
      </c>
      <c r="B4" s="43" t="s">
        <v>664</v>
      </c>
      <c r="C4" s="43" t="s">
        <v>664</v>
      </c>
      <c r="D4" s="43" t="s">
        <v>664</v>
      </c>
      <c r="E4" s="43" t="s">
        <v>664</v>
      </c>
      <c r="F4" s="43" t="s">
        <v>664</v>
      </c>
      <c r="G4" s="43" t="s">
        <v>664</v>
      </c>
      <c r="H4" s="43" t="s">
        <v>664</v>
      </c>
      <c r="I4" s="43" t="s">
        <v>664</v>
      </c>
      <c r="J4" s="43" t="s">
        <v>664</v>
      </c>
      <c r="K4" s="43" t="s">
        <v>664</v>
      </c>
      <c r="L4" s="43" t="s">
        <v>664</v>
      </c>
      <c r="M4" s="43" t="s">
        <v>664</v>
      </c>
      <c r="N4" s="43" t="s">
        <v>664</v>
      </c>
      <c r="O4" s="43" t="s">
        <v>664</v>
      </c>
      <c r="P4" s="43" t="s">
        <v>664</v>
      </c>
      <c r="Q4" s="43" t="s">
        <v>664</v>
      </c>
      <c r="R4" s="43" t="s">
        <v>664</v>
      </c>
      <c r="S4" s="43" t="s">
        <v>664</v>
      </c>
      <c r="T4" s="43" t="s">
        <v>664</v>
      </c>
      <c r="U4" s="43" t="s">
        <v>664</v>
      </c>
      <c r="V4" s="43" t="s">
        <v>664</v>
      </c>
      <c r="W4" s="43" t="s">
        <v>664</v>
      </c>
      <c r="X4" s="43" t="s">
        <v>664</v>
      </c>
      <c r="Y4" s="43" t="s">
        <v>664</v>
      </c>
      <c r="Z4" s="43" t="s">
        <v>664</v>
      </c>
      <c r="AA4" s="43" t="s">
        <v>664</v>
      </c>
      <c r="AB4" s="43" t="s">
        <v>664</v>
      </c>
      <c r="AC4" s="43" t="s">
        <v>664</v>
      </c>
      <c r="AD4" s="43" t="s">
        <v>664</v>
      </c>
      <c r="AE4" s="43" t="s">
        <v>664</v>
      </c>
      <c r="AF4" s="43" t="s">
        <v>664</v>
      </c>
      <c r="AG4" s="43" t="s">
        <v>664</v>
      </c>
      <c r="AH4" s="43" t="s">
        <v>664</v>
      </c>
      <c r="AI4" s="43" t="s">
        <v>664</v>
      </c>
      <c r="AJ4" s="43" t="s">
        <v>664</v>
      </c>
      <c r="AK4" s="43" t="s">
        <v>664</v>
      </c>
      <c r="AL4" s="43" t="s">
        <v>664</v>
      </c>
      <c r="AM4" s="43" t="s">
        <v>664</v>
      </c>
      <c r="AN4" s="43" t="s">
        <v>664</v>
      </c>
      <c r="AO4" s="43" t="s">
        <v>664</v>
      </c>
      <c r="AP4" s="43" t="s">
        <v>664</v>
      </c>
      <c r="AQ4" s="43" t="s">
        <v>664</v>
      </c>
    </row>
    <row r="5" spans="1:43">
      <c r="A5" s="43" t="s">
        <v>666</v>
      </c>
      <c r="B5" s="43" t="s">
        <v>667</v>
      </c>
      <c r="C5" s="43" t="s">
        <v>667</v>
      </c>
      <c r="D5" s="43" t="s">
        <v>667</v>
      </c>
      <c r="E5" s="43" t="s">
        <v>667</v>
      </c>
      <c r="F5" s="43" t="s">
        <v>667</v>
      </c>
      <c r="G5" s="43" t="s">
        <v>667</v>
      </c>
      <c r="H5" s="43" t="s">
        <v>667</v>
      </c>
      <c r="I5" s="43" t="s">
        <v>667</v>
      </c>
      <c r="J5" s="43" t="s">
        <v>667</v>
      </c>
      <c r="K5" s="43" t="s">
        <v>667</v>
      </c>
      <c r="L5" s="43" t="s">
        <v>667</v>
      </c>
      <c r="M5" s="43" t="s">
        <v>667</v>
      </c>
      <c r="N5" s="43" t="s">
        <v>667</v>
      </c>
      <c r="O5" s="43" t="s">
        <v>667</v>
      </c>
      <c r="P5" s="43" t="s">
        <v>667</v>
      </c>
      <c r="Q5" s="43" t="s">
        <v>667</v>
      </c>
      <c r="R5" s="43" t="s">
        <v>667</v>
      </c>
      <c r="S5" s="43" t="s">
        <v>667</v>
      </c>
      <c r="T5" s="43" t="s">
        <v>667</v>
      </c>
      <c r="U5" s="43" t="s">
        <v>667</v>
      </c>
      <c r="V5" s="43" t="s">
        <v>667</v>
      </c>
      <c r="W5" s="43" t="s">
        <v>667</v>
      </c>
      <c r="X5" s="43" t="s">
        <v>667</v>
      </c>
      <c r="Y5" s="43" t="s">
        <v>667</v>
      </c>
      <c r="Z5" s="43" t="s">
        <v>667</v>
      </c>
      <c r="AA5" s="43" t="s">
        <v>667</v>
      </c>
      <c r="AB5" s="43" t="s">
        <v>667</v>
      </c>
      <c r="AC5" s="43" t="s">
        <v>667</v>
      </c>
      <c r="AD5" s="43" t="s">
        <v>667</v>
      </c>
      <c r="AE5" s="43" t="s">
        <v>667</v>
      </c>
      <c r="AF5" s="43" t="s">
        <v>667</v>
      </c>
      <c r="AG5" s="43" t="s">
        <v>667</v>
      </c>
      <c r="AH5" s="43" t="s">
        <v>667</v>
      </c>
      <c r="AI5" s="43" t="s">
        <v>667</v>
      </c>
      <c r="AJ5" s="43" t="s">
        <v>667</v>
      </c>
      <c r="AK5" s="43" t="s">
        <v>667</v>
      </c>
      <c r="AL5" s="43" t="s">
        <v>667</v>
      </c>
      <c r="AM5" s="43" t="s">
        <v>667</v>
      </c>
      <c r="AN5" s="43" t="s">
        <v>667</v>
      </c>
      <c r="AO5" s="43" t="s">
        <v>667</v>
      </c>
      <c r="AP5" s="43" t="s">
        <v>667</v>
      </c>
      <c r="AQ5" s="43" t="s">
        <v>667</v>
      </c>
    </row>
    <row r="6" spans="1:43">
      <c r="A6" s="43" t="s">
        <v>668</v>
      </c>
      <c r="B6" s="43" t="s">
        <v>771</v>
      </c>
      <c r="C6" s="43" t="s">
        <v>669</v>
      </c>
      <c r="D6" s="43" t="s">
        <v>772</v>
      </c>
      <c r="E6" s="43" t="s">
        <v>772</v>
      </c>
      <c r="F6" s="43" t="s">
        <v>771</v>
      </c>
      <c r="G6" s="43" t="s">
        <v>669</v>
      </c>
      <c r="H6" s="43" t="s">
        <v>772</v>
      </c>
      <c r="I6" s="43" t="s">
        <v>772</v>
      </c>
      <c r="J6" s="43" t="s">
        <v>771</v>
      </c>
      <c r="K6" s="43" t="s">
        <v>669</v>
      </c>
      <c r="L6" s="43" t="s">
        <v>772</v>
      </c>
      <c r="M6" s="43" t="s">
        <v>772</v>
      </c>
      <c r="N6" s="43" t="s">
        <v>771</v>
      </c>
      <c r="O6" s="43" t="s">
        <v>669</v>
      </c>
      <c r="P6" s="43" t="s">
        <v>772</v>
      </c>
      <c r="Q6" s="43" t="s">
        <v>772</v>
      </c>
      <c r="R6" s="43" t="s">
        <v>773</v>
      </c>
      <c r="S6" s="43" t="s">
        <v>773</v>
      </c>
      <c r="T6" s="43" t="s">
        <v>773</v>
      </c>
      <c r="U6" s="43" t="s">
        <v>773</v>
      </c>
      <c r="V6" s="43" t="s">
        <v>773</v>
      </c>
      <c r="W6" s="43" t="s">
        <v>771</v>
      </c>
      <c r="X6" s="43" t="s">
        <v>669</v>
      </c>
      <c r="Y6" s="43" t="s">
        <v>772</v>
      </c>
      <c r="Z6" s="43" t="s">
        <v>772</v>
      </c>
      <c r="AA6" s="43" t="s">
        <v>771</v>
      </c>
      <c r="AB6" s="43" t="s">
        <v>669</v>
      </c>
      <c r="AC6" s="43" t="s">
        <v>772</v>
      </c>
      <c r="AD6" s="43" t="s">
        <v>772</v>
      </c>
      <c r="AE6" s="43" t="s">
        <v>771</v>
      </c>
      <c r="AF6" s="43" t="s">
        <v>669</v>
      </c>
      <c r="AG6" s="43" t="s">
        <v>772</v>
      </c>
      <c r="AH6" s="43" t="s">
        <v>772</v>
      </c>
      <c r="AI6" s="43" t="s">
        <v>771</v>
      </c>
      <c r="AJ6" s="43" t="s">
        <v>669</v>
      </c>
      <c r="AK6" s="43" t="s">
        <v>772</v>
      </c>
      <c r="AL6" s="43" t="s">
        <v>772</v>
      </c>
      <c r="AM6" s="43" t="s">
        <v>773</v>
      </c>
      <c r="AN6" s="43" t="s">
        <v>773</v>
      </c>
      <c r="AO6" s="43" t="s">
        <v>773</v>
      </c>
      <c r="AP6" s="43" t="s">
        <v>773</v>
      </c>
      <c r="AQ6" s="43" t="s">
        <v>773</v>
      </c>
    </row>
    <row r="7" spans="1:43">
      <c r="A7" s="43"/>
      <c r="B7" s="43"/>
      <c r="C7" s="43"/>
      <c r="D7" s="43"/>
      <c r="E7" s="43"/>
      <c r="F7" s="43"/>
      <c r="G7" s="43"/>
      <c r="H7" s="43"/>
      <c r="I7" s="43"/>
      <c r="J7" s="43"/>
      <c r="K7" s="43"/>
      <c r="L7" s="43"/>
      <c r="M7" s="43"/>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3"/>
      <c r="AQ7" s="43"/>
    </row>
    <row r="8" spans="1:43">
      <c r="A8" s="43"/>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row>
    <row r="9" spans="1:43" ht="23.5">
      <c r="A9" s="46" t="s">
        <v>520</v>
      </c>
      <c r="B9" s="49" t="s">
        <v>774</v>
      </c>
      <c r="C9" s="49" t="s">
        <v>774</v>
      </c>
      <c r="D9" s="49" t="s">
        <v>774</v>
      </c>
      <c r="E9" s="49" t="s">
        <v>774</v>
      </c>
      <c r="F9" s="49" t="s">
        <v>774</v>
      </c>
      <c r="G9" s="49" t="s">
        <v>774</v>
      </c>
      <c r="H9" s="49" t="s">
        <v>774</v>
      </c>
      <c r="I9" s="49" t="s">
        <v>774</v>
      </c>
      <c r="J9" s="49" t="s">
        <v>774</v>
      </c>
      <c r="K9" s="49" t="s">
        <v>774</v>
      </c>
      <c r="L9" s="49" t="s">
        <v>774</v>
      </c>
      <c r="M9" s="49" t="s">
        <v>774</v>
      </c>
      <c r="N9" s="49" t="s">
        <v>774</v>
      </c>
      <c r="O9" s="49" t="s">
        <v>774</v>
      </c>
      <c r="P9" s="49" t="s">
        <v>774</v>
      </c>
      <c r="Q9" s="49" t="s">
        <v>774</v>
      </c>
      <c r="R9" s="49" t="s">
        <v>774</v>
      </c>
      <c r="S9" s="49" t="s">
        <v>774</v>
      </c>
      <c r="T9" s="49" t="s">
        <v>774</v>
      </c>
      <c r="U9" s="49" t="s">
        <v>774</v>
      </c>
      <c r="V9" s="49" t="s">
        <v>774</v>
      </c>
      <c r="W9" s="49" t="s">
        <v>774</v>
      </c>
      <c r="X9" s="49" t="s">
        <v>774</v>
      </c>
      <c r="Y9" s="49" t="s">
        <v>774</v>
      </c>
      <c r="Z9" s="49" t="s">
        <v>774</v>
      </c>
      <c r="AA9" s="49" t="s">
        <v>774</v>
      </c>
      <c r="AB9" s="49" t="s">
        <v>774</v>
      </c>
      <c r="AC9" s="49" t="s">
        <v>774</v>
      </c>
      <c r="AD9" s="49" t="s">
        <v>774</v>
      </c>
      <c r="AE9" s="49" t="s">
        <v>774</v>
      </c>
      <c r="AF9" s="49" t="s">
        <v>774</v>
      </c>
      <c r="AG9" s="49" t="s">
        <v>774</v>
      </c>
      <c r="AH9" s="49" t="s">
        <v>774</v>
      </c>
      <c r="AI9" s="49" t="s">
        <v>774</v>
      </c>
      <c r="AJ9" s="49" t="s">
        <v>774</v>
      </c>
      <c r="AK9" s="49" t="s">
        <v>774</v>
      </c>
      <c r="AL9" s="49" t="s">
        <v>774</v>
      </c>
      <c r="AM9" s="49" t="s">
        <v>774</v>
      </c>
      <c r="AN9" s="49" t="s">
        <v>774</v>
      </c>
      <c r="AO9" s="49" t="s">
        <v>774</v>
      </c>
      <c r="AP9" s="49" t="s">
        <v>774</v>
      </c>
      <c r="AQ9" s="49" t="s">
        <v>774</v>
      </c>
    </row>
    <row r="10" spans="1:43">
      <c r="A10" s="45" t="s">
        <v>672</v>
      </c>
      <c r="B10" s="57">
        <v>44606</v>
      </c>
      <c r="C10" s="57">
        <v>44606</v>
      </c>
      <c r="D10" s="57">
        <v>44606</v>
      </c>
      <c r="E10" s="57">
        <v>44606</v>
      </c>
      <c r="F10" s="57">
        <v>44606</v>
      </c>
      <c r="G10" s="57">
        <v>44606</v>
      </c>
      <c r="H10" s="57">
        <v>44606</v>
      </c>
      <c r="I10" s="57">
        <v>44606</v>
      </c>
      <c r="J10" s="57">
        <v>44606</v>
      </c>
      <c r="K10" s="57">
        <v>44606</v>
      </c>
      <c r="L10" s="57">
        <v>44606</v>
      </c>
      <c r="M10" s="57">
        <v>44606</v>
      </c>
      <c r="N10" s="57">
        <v>44606</v>
      </c>
      <c r="O10" s="57">
        <v>44606</v>
      </c>
      <c r="P10" s="57">
        <v>44606</v>
      </c>
      <c r="Q10" s="57">
        <v>44606</v>
      </c>
      <c r="R10" s="57">
        <v>44606</v>
      </c>
      <c r="S10" s="57">
        <v>44606</v>
      </c>
      <c r="T10" s="57">
        <v>44606</v>
      </c>
      <c r="U10" s="57">
        <v>44606</v>
      </c>
      <c r="V10" s="57">
        <v>44606</v>
      </c>
      <c r="W10" s="57">
        <v>44606</v>
      </c>
      <c r="X10" s="57">
        <v>44606</v>
      </c>
      <c r="Y10" s="57">
        <v>44606</v>
      </c>
      <c r="Z10" s="57">
        <v>44606</v>
      </c>
      <c r="AA10" s="57">
        <v>44606</v>
      </c>
      <c r="AB10" s="57">
        <v>44606</v>
      </c>
      <c r="AC10" s="57">
        <v>44606</v>
      </c>
      <c r="AD10" s="57">
        <v>44606</v>
      </c>
      <c r="AE10" s="57">
        <v>44606</v>
      </c>
      <c r="AF10" s="57">
        <v>44606</v>
      </c>
      <c r="AG10" s="57">
        <v>44606</v>
      </c>
      <c r="AH10" s="57">
        <v>44606</v>
      </c>
      <c r="AI10" s="57">
        <v>44606</v>
      </c>
      <c r="AJ10" s="57">
        <v>44606</v>
      </c>
      <c r="AK10" s="57">
        <v>44606</v>
      </c>
      <c r="AL10" s="57">
        <v>44606</v>
      </c>
      <c r="AM10" s="57">
        <v>44606</v>
      </c>
      <c r="AN10" s="57">
        <v>44606</v>
      </c>
      <c r="AO10" s="57">
        <v>44606</v>
      </c>
      <c r="AP10" s="57">
        <v>44606</v>
      </c>
      <c r="AQ10" s="57">
        <v>44606</v>
      </c>
    </row>
    <row r="11" spans="1:43">
      <c r="A11" s="43" t="s">
        <v>674</v>
      </c>
      <c r="B11" s="50" t="s">
        <v>775</v>
      </c>
      <c r="C11" s="50" t="s">
        <v>776</v>
      </c>
      <c r="D11" s="50" t="s">
        <v>777</v>
      </c>
      <c r="E11" s="50" t="s">
        <v>778</v>
      </c>
      <c r="F11" s="50" t="s">
        <v>779</v>
      </c>
      <c r="G11" s="50" t="s">
        <v>780</v>
      </c>
      <c r="H11" s="50" t="s">
        <v>781</v>
      </c>
      <c r="I11" s="50" t="s">
        <v>782</v>
      </c>
      <c r="J11" s="50" t="s">
        <v>783</v>
      </c>
      <c r="K11" s="50" t="s">
        <v>784</v>
      </c>
      <c r="L11" s="50" t="s">
        <v>785</v>
      </c>
      <c r="M11" s="50" t="s">
        <v>786</v>
      </c>
      <c r="N11" s="50" t="s">
        <v>787</v>
      </c>
      <c r="O11" s="50" t="s">
        <v>788</v>
      </c>
      <c r="P11" s="50" t="s">
        <v>789</v>
      </c>
      <c r="Q11" s="50" t="s">
        <v>790</v>
      </c>
      <c r="R11" s="50" t="s">
        <v>791</v>
      </c>
      <c r="S11" s="50" t="s">
        <v>792</v>
      </c>
      <c r="T11" s="50" t="s">
        <v>793</v>
      </c>
      <c r="U11" s="50" t="s">
        <v>794</v>
      </c>
      <c r="V11" s="50" t="s">
        <v>795</v>
      </c>
      <c r="W11" s="50" t="s">
        <v>796</v>
      </c>
      <c r="X11" s="50" t="s">
        <v>797</v>
      </c>
      <c r="Y11" s="50" t="s">
        <v>798</v>
      </c>
      <c r="Z11" s="50" t="s">
        <v>799</v>
      </c>
      <c r="AA11" s="50" t="s">
        <v>800</v>
      </c>
      <c r="AB11" s="50" t="s">
        <v>801</v>
      </c>
      <c r="AC11" s="50" t="s">
        <v>802</v>
      </c>
      <c r="AD11" s="50" t="s">
        <v>803</v>
      </c>
      <c r="AE11" s="50" t="s">
        <v>804</v>
      </c>
      <c r="AF11" s="50" t="s">
        <v>805</v>
      </c>
      <c r="AG11" s="50" t="s">
        <v>806</v>
      </c>
      <c r="AH11" s="50" t="s">
        <v>807</v>
      </c>
      <c r="AI11" s="50" t="s">
        <v>808</v>
      </c>
      <c r="AJ11" s="50" t="s">
        <v>809</v>
      </c>
      <c r="AK11" s="50" t="s">
        <v>810</v>
      </c>
      <c r="AL11" s="50" t="s">
        <v>811</v>
      </c>
      <c r="AM11" s="50" t="s">
        <v>812</v>
      </c>
      <c r="AN11" s="50" t="s">
        <v>813</v>
      </c>
      <c r="AO11" s="50" t="s">
        <v>814</v>
      </c>
      <c r="AP11" s="50" t="s">
        <v>815</v>
      </c>
      <c r="AQ11" s="50" t="s">
        <v>816</v>
      </c>
    </row>
    <row r="12" spans="1:43">
      <c r="A12" s="58" t="s">
        <v>817</v>
      </c>
      <c r="B12" s="54">
        <v>2.68</v>
      </c>
      <c r="C12" s="54">
        <v>5.95</v>
      </c>
      <c r="D12" s="54">
        <v>22.77</v>
      </c>
      <c r="E12" s="54">
        <v>69.319999999999993</v>
      </c>
      <c r="F12" s="54">
        <v>4.0199999999999996</v>
      </c>
      <c r="G12" s="54">
        <v>6</v>
      </c>
      <c r="H12" s="54">
        <v>23.63</v>
      </c>
      <c r="I12" s="54">
        <v>64.03</v>
      </c>
      <c r="J12" s="54">
        <v>7.58</v>
      </c>
      <c r="K12" s="54">
        <v>6.18</v>
      </c>
      <c r="L12" s="54">
        <v>37.92</v>
      </c>
      <c r="M12" s="54">
        <v>82.32</v>
      </c>
      <c r="N12" s="54">
        <v>8.93</v>
      </c>
      <c r="O12" s="54">
        <v>6.24</v>
      </c>
      <c r="P12" s="54">
        <v>40.200000000000003</v>
      </c>
      <c r="Q12" s="54">
        <v>83.9</v>
      </c>
      <c r="R12" s="53">
        <v>20</v>
      </c>
      <c r="S12" s="53">
        <v>3</v>
      </c>
      <c r="T12" s="53">
        <v>3</v>
      </c>
      <c r="U12" s="53">
        <v>4</v>
      </c>
      <c r="V12" s="53">
        <v>0</v>
      </c>
      <c r="W12" s="54">
        <v>3.29</v>
      </c>
      <c r="X12" s="54">
        <v>6.1</v>
      </c>
      <c r="Y12" s="54">
        <v>37.82</v>
      </c>
      <c r="Z12" s="54">
        <v>84.6</v>
      </c>
      <c r="AA12" s="54">
        <v>5.62</v>
      </c>
      <c r="AB12" s="54">
        <v>6.35</v>
      </c>
      <c r="AC12" s="54">
        <v>59.32</v>
      </c>
      <c r="AD12" s="54">
        <v>99.72</v>
      </c>
      <c r="AE12" s="54">
        <v>7.15</v>
      </c>
      <c r="AF12" s="54">
        <v>6.5</v>
      </c>
      <c r="AG12" s="54">
        <v>69.47</v>
      </c>
      <c r="AH12" s="54">
        <v>113.87</v>
      </c>
      <c r="AI12" s="54">
        <v>7.95</v>
      </c>
      <c r="AJ12" s="54">
        <v>6.58</v>
      </c>
      <c r="AK12" s="54">
        <v>73.92</v>
      </c>
      <c r="AL12" s="54">
        <v>117.62</v>
      </c>
      <c r="AM12" s="53">
        <v>4</v>
      </c>
      <c r="AN12" s="53">
        <v>1</v>
      </c>
      <c r="AO12" s="53">
        <v>2</v>
      </c>
      <c r="AP12" s="53">
        <v>2</v>
      </c>
      <c r="AQ12" s="53">
        <v>0</v>
      </c>
    </row>
    <row r="13" spans="1:43">
      <c r="A13" s="58" t="s">
        <v>818</v>
      </c>
      <c r="B13" s="54">
        <v>2.42</v>
      </c>
      <c r="C13" s="54">
        <v>6.18</v>
      </c>
      <c r="D13" s="54">
        <v>20.54</v>
      </c>
      <c r="E13" s="54">
        <v>63.05</v>
      </c>
      <c r="F13" s="54">
        <v>4.13</v>
      </c>
      <c r="G13" s="54">
        <v>6.25</v>
      </c>
      <c r="H13" s="54">
        <v>26.9</v>
      </c>
      <c r="I13" s="54">
        <v>70.900000000000006</v>
      </c>
      <c r="J13" s="54">
        <v>7.72</v>
      </c>
      <c r="K13" s="54">
        <v>6.38</v>
      </c>
      <c r="L13" s="54">
        <v>35.54</v>
      </c>
      <c r="M13" s="54">
        <v>82.64</v>
      </c>
      <c r="N13" s="54">
        <v>8.93</v>
      </c>
      <c r="O13" s="54">
        <v>6.43</v>
      </c>
      <c r="P13" s="54">
        <v>38.380000000000003</v>
      </c>
      <c r="Q13" s="54">
        <v>86.48</v>
      </c>
      <c r="R13" s="53">
        <v>18</v>
      </c>
      <c r="S13" s="53">
        <v>3</v>
      </c>
      <c r="T13" s="53">
        <v>2</v>
      </c>
      <c r="U13" s="53">
        <v>4</v>
      </c>
      <c r="V13" s="53">
        <v>0</v>
      </c>
      <c r="W13" s="54">
        <v>3.26</v>
      </c>
      <c r="X13" s="54">
        <v>6.32</v>
      </c>
      <c r="Y13" s="54">
        <v>33.74</v>
      </c>
      <c r="Z13" s="54">
        <v>76.459999999999994</v>
      </c>
      <c r="AA13" s="54">
        <v>5.49</v>
      </c>
      <c r="AB13" s="54">
        <v>6.52</v>
      </c>
      <c r="AC13" s="54">
        <v>54.26</v>
      </c>
      <c r="AD13" s="54">
        <v>98.26</v>
      </c>
      <c r="AE13" s="54">
        <v>6.98</v>
      </c>
      <c r="AF13" s="54">
        <v>6.55</v>
      </c>
      <c r="AG13" s="54">
        <v>53.05</v>
      </c>
      <c r="AH13" s="54">
        <v>100.15</v>
      </c>
      <c r="AI13" s="54">
        <v>8.07</v>
      </c>
      <c r="AJ13" s="54">
        <v>6.48</v>
      </c>
      <c r="AK13" s="54">
        <v>43.34</v>
      </c>
      <c r="AL13" s="54">
        <v>91.44</v>
      </c>
      <c r="AM13" s="53">
        <v>4</v>
      </c>
      <c r="AN13" s="53">
        <v>1</v>
      </c>
      <c r="AO13" s="53">
        <v>3</v>
      </c>
      <c r="AP13" s="53">
        <v>1</v>
      </c>
      <c r="AQ13" s="53">
        <v>0</v>
      </c>
    </row>
    <row r="14" spans="1:43">
      <c r="A14" s="58" t="s">
        <v>819</v>
      </c>
      <c r="B14" s="54">
        <v>2.4300000000000002</v>
      </c>
      <c r="C14" s="54">
        <v>6.27</v>
      </c>
      <c r="D14" s="54">
        <v>19.690000000000001</v>
      </c>
      <c r="E14" s="54">
        <v>62.42</v>
      </c>
      <c r="F14" s="54">
        <v>4.21</v>
      </c>
      <c r="G14" s="54">
        <v>6.35</v>
      </c>
      <c r="H14" s="54">
        <v>25.81</v>
      </c>
      <c r="I14" s="54">
        <v>68.010000000000005</v>
      </c>
      <c r="J14" s="54">
        <v>7.74</v>
      </c>
      <c r="K14" s="54">
        <v>6.46</v>
      </c>
      <c r="L14" s="54">
        <v>35.229999999999997</v>
      </c>
      <c r="M14" s="54">
        <v>81.83</v>
      </c>
      <c r="N14" s="54">
        <v>8.85</v>
      </c>
      <c r="O14" s="54">
        <v>6.51</v>
      </c>
      <c r="P14" s="54">
        <v>37.47</v>
      </c>
      <c r="Q14" s="54">
        <v>83.77</v>
      </c>
      <c r="R14" s="53">
        <v>18</v>
      </c>
      <c r="S14" s="53">
        <v>2</v>
      </c>
      <c r="T14" s="53">
        <v>2</v>
      </c>
      <c r="U14" s="53">
        <v>4</v>
      </c>
      <c r="V14" s="53">
        <v>0</v>
      </c>
      <c r="W14" s="54">
        <v>3.24</v>
      </c>
      <c r="X14" s="54">
        <v>6.43</v>
      </c>
      <c r="Y14" s="54">
        <v>35.64</v>
      </c>
      <c r="Z14" s="54">
        <v>78.63</v>
      </c>
      <c r="AA14" s="54">
        <v>5.32</v>
      </c>
      <c r="AB14" s="54">
        <v>6.65</v>
      </c>
      <c r="AC14" s="54">
        <v>56.35</v>
      </c>
      <c r="AD14" s="54">
        <v>98.55</v>
      </c>
      <c r="AE14" s="54">
        <v>6.29</v>
      </c>
      <c r="AF14" s="54">
        <v>6.73</v>
      </c>
      <c r="AG14" s="54">
        <v>62.24</v>
      </c>
      <c r="AH14" s="54">
        <v>108.84</v>
      </c>
      <c r="AI14" s="54">
        <v>7.08</v>
      </c>
      <c r="AJ14" s="54">
        <v>6.79</v>
      </c>
      <c r="AK14" s="54">
        <v>65.03</v>
      </c>
      <c r="AL14" s="54">
        <v>111.33</v>
      </c>
      <c r="AM14" s="53">
        <v>5</v>
      </c>
      <c r="AN14" s="53">
        <v>1</v>
      </c>
      <c r="AO14" s="53">
        <v>2</v>
      </c>
      <c r="AP14" s="53">
        <v>0</v>
      </c>
      <c r="AQ14" s="53">
        <v>0</v>
      </c>
    </row>
    <row r="15" spans="1:43">
      <c r="A15" s="58" t="s">
        <v>820</v>
      </c>
      <c r="B15" s="54">
        <v>2.39</v>
      </c>
      <c r="C15" s="54">
        <v>5.94</v>
      </c>
      <c r="D15" s="54">
        <v>21</v>
      </c>
      <c r="E15" s="54">
        <v>63.55</v>
      </c>
      <c r="F15" s="54">
        <v>4.26</v>
      </c>
      <c r="G15" s="54">
        <v>6.02</v>
      </c>
      <c r="H15" s="54">
        <v>25.83</v>
      </c>
      <c r="I15" s="54">
        <v>70.73</v>
      </c>
      <c r="J15" s="54">
        <v>7.73</v>
      </c>
      <c r="K15" s="54">
        <v>6.14</v>
      </c>
      <c r="L15" s="54">
        <v>33.79</v>
      </c>
      <c r="M15" s="54">
        <v>80.89</v>
      </c>
      <c r="N15" s="54">
        <v>8.7899999999999991</v>
      </c>
      <c r="O15" s="54">
        <v>6.2</v>
      </c>
      <c r="P15" s="54">
        <v>36.729999999999997</v>
      </c>
      <c r="Q15" s="54">
        <v>86.03</v>
      </c>
      <c r="R15" s="53">
        <v>18</v>
      </c>
      <c r="S15" s="53">
        <v>2</v>
      </c>
      <c r="T15" s="53">
        <v>3</v>
      </c>
      <c r="U15" s="53">
        <v>3</v>
      </c>
      <c r="V15" s="53">
        <v>0</v>
      </c>
      <c r="W15" s="54">
        <v>3.24</v>
      </c>
      <c r="X15" s="54">
        <v>6.1</v>
      </c>
      <c r="Y15" s="54">
        <v>36.28</v>
      </c>
      <c r="Z15" s="54">
        <v>79.06</v>
      </c>
      <c r="AA15" s="54">
        <v>5.5</v>
      </c>
      <c r="AB15" s="54">
        <v>6.32</v>
      </c>
      <c r="AC15" s="54">
        <v>55.17</v>
      </c>
      <c r="AD15" s="54">
        <v>100.07</v>
      </c>
      <c r="AE15" s="54">
        <v>6.9</v>
      </c>
      <c r="AF15" s="54">
        <v>6.32</v>
      </c>
      <c r="AG15" s="54">
        <v>51.77</v>
      </c>
      <c r="AH15" s="54">
        <v>98.87</v>
      </c>
      <c r="AI15" s="54">
        <v>7.93</v>
      </c>
      <c r="AJ15" s="54">
        <v>6.21</v>
      </c>
      <c r="AK15" s="54">
        <v>37.92</v>
      </c>
      <c r="AL15" s="54">
        <v>87.22</v>
      </c>
      <c r="AM15" s="53">
        <v>5</v>
      </c>
      <c r="AN15" s="53">
        <v>1</v>
      </c>
      <c r="AO15" s="53">
        <v>2</v>
      </c>
      <c r="AP15" s="53">
        <v>1</v>
      </c>
      <c r="AQ15" s="53">
        <v>0</v>
      </c>
    </row>
    <row r="16" spans="1:43">
      <c r="A16" s="58" t="s">
        <v>821</v>
      </c>
      <c r="B16" s="54">
        <v>2.65</v>
      </c>
      <c r="C16" s="54">
        <v>5.81</v>
      </c>
      <c r="D16" s="54">
        <v>20.93</v>
      </c>
      <c r="E16" s="54">
        <v>67.69</v>
      </c>
      <c r="F16" s="54">
        <v>4.17</v>
      </c>
      <c r="G16" s="54">
        <v>5.85</v>
      </c>
      <c r="H16" s="54">
        <v>24.04</v>
      </c>
      <c r="I16" s="54">
        <v>71.44</v>
      </c>
      <c r="J16" s="54">
        <v>7.63</v>
      </c>
      <c r="K16" s="54">
        <v>6.05</v>
      </c>
      <c r="L16" s="54">
        <v>41.57</v>
      </c>
      <c r="M16" s="54">
        <v>90.97</v>
      </c>
      <c r="N16" s="54">
        <v>8.7200000000000006</v>
      </c>
      <c r="O16" s="54">
        <v>6.15</v>
      </c>
      <c r="P16" s="54">
        <v>48.8</v>
      </c>
      <c r="Q16" s="54">
        <v>100.4</v>
      </c>
      <c r="R16" s="53">
        <v>18</v>
      </c>
      <c r="S16" s="53">
        <v>2</v>
      </c>
      <c r="T16" s="53">
        <v>3</v>
      </c>
      <c r="U16" s="53">
        <v>3</v>
      </c>
      <c r="V16" s="53">
        <v>0</v>
      </c>
      <c r="W16" s="54">
        <v>3.25</v>
      </c>
      <c r="X16" s="54">
        <v>5.97</v>
      </c>
      <c r="Y16" s="54">
        <v>36.5</v>
      </c>
      <c r="Z16" s="54">
        <v>83.49</v>
      </c>
      <c r="AA16" s="54">
        <v>5.65</v>
      </c>
      <c r="AB16" s="54">
        <v>6.2</v>
      </c>
      <c r="AC16" s="54">
        <v>59.19</v>
      </c>
      <c r="AD16" s="54">
        <v>106.59</v>
      </c>
      <c r="AE16" s="54">
        <v>6.97</v>
      </c>
      <c r="AF16" s="54">
        <v>6.3</v>
      </c>
      <c r="AG16" s="54">
        <v>66.930000000000007</v>
      </c>
      <c r="AH16" s="54">
        <v>116.33</v>
      </c>
      <c r="AI16" s="54">
        <v>7.66</v>
      </c>
      <c r="AJ16" s="54">
        <v>6.37</v>
      </c>
      <c r="AK16" s="54">
        <v>70.510000000000005</v>
      </c>
      <c r="AL16" s="54">
        <v>122.11</v>
      </c>
      <c r="AM16" s="53">
        <v>5</v>
      </c>
      <c r="AN16" s="53">
        <v>1</v>
      </c>
      <c r="AO16" s="53">
        <v>3</v>
      </c>
      <c r="AP16" s="53">
        <v>0</v>
      </c>
      <c r="AQ16" s="53">
        <v>0</v>
      </c>
    </row>
    <row r="17" spans="1:43">
      <c r="A17" s="58" t="s">
        <v>822</v>
      </c>
      <c r="B17" s="54">
        <v>2.67</v>
      </c>
      <c r="C17" s="54">
        <v>5.79</v>
      </c>
      <c r="D17" s="54">
        <v>21.97</v>
      </c>
      <c r="E17" s="54">
        <v>68.790000000000006</v>
      </c>
      <c r="F17" s="54">
        <v>4.51</v>
      </c>
      <c r="G17" s="54">
        <v>5.89</v>
      </c>
      <c r="H17" s="54">
        <v>30.52</v>
      </c>
      <c r="I17" s="54">
        <v>78.22</v>
      </c>
      <c r="J17" s="54">
        <v>7.3</v>
      </c>
      <c r="K17" s="54">
        <v>6.04</v>
      </c>
      <c r="L17" s="54">
        <v>43.84</v>
      </c>
      <c r="M17" s="54">
        <v>93.74</v>
      </c>
      <c r="N17" s="54">
        <v>9.06</v>
      </c>
      <c r="O17" s="54">
        <v>6.17</v>
      </c>
      <c r="P17" s="54">
        <v>55.28</v>
      </c>
      <c r="Q17" s="54">
        <v>106.58</v>
      </c>
      <c r="R17" s="53">
        <v>18</v>
      </c>
      <c r="S17" s="53">
        <v>4</v>
      </c>
      <c r="T17" s="53">
        <v>3</v>
      </c>
      <c r="U17" s="53">
        <v>4</v>
      </c>
      <c r="V17" s="53">
        <v>0</v>
      </c>
      <c r="W17" s="54">
        <v>3.21</v>
      </c>
      <c r="X17" s="54">
        <v>5.94</v>
      </c>
      <c r="Y17" s="54">
        <v>36.79</v>
      </c>
      <c r="Z17" s="54">
        <v>83.83</v>
      </c>
      <c r="AA17" s="54">
        <v>5.29</v>
      </c>
      <c r="AB17" s="54">
        <v>6.15</v>
      </c>
      <c r="AC17" s="54">
        <v>56.71</v>
      </c>
      <c r="AD17" s="54">
        <v>104.41</v>
      </c>
      <c r="AE17" s="54">
        <v>6.6</v>
      </c>
      <c r="AF17" s="54">
        <v>6.24</v>
      </c>
      <c r="AG17" s="54">
        <v>63.58</v>
      </c>
      <c r="AH17" s="54">
        <v>113.48</v>
      </c>
      <c r="AI17" s="54">
        <v>9.77</v>
      </c>
      <c r="AJ17" s="54">
        <v>6.45</v>
      </c>
      <c r="AK17" s="54">
        <v>83.23</v>
      </c>
      <c r="AL17" s="54">
        <v>134.53</v>
      </c>
      <c r="AM17" s="53">
        <v>5</v>
      </c>
      <c r="AN17" s="53">
        <v>1</v>
      </c>
      <c r="AO17" s="53">
        <v>2</v>
      </c>
      <c r="AP17" s="53">
        <v>1</v>
      </c>
      <c r="AQ17" s="53">
        <v>0</v>
      </c>
    </row>
    <row r="18" spans="1:43">
      <c r="A18" s="58" t="s">
        <v>823</v>
      </c>
      <c r="B18" s="54">
        <v>2.69</v>
      </c>
      <c r="C18" s="54">
        <v>5.79</v>
      </c>
      <c r="D18" s="54">
        <v>22.4</v>
      </c>
      <c r="E18" s="54">
        <v>66.03</v>
      </c>
      <c r="F18" s="54">
        <v>4.7699999999999996</v>
      </c>
      <c r="G18" s="54">
        <v>5.87</v>
      </c>
      <c r="H18" s="54">
        <v>30.04</v>
      </c>
      <c r="I18" s="54">
        <v>73.040000000000006</v>
      </c>
      <c r="J18" s="54">
        <v>7.36</v>
      </c>
      <c r="K18" s="54">
        <v>5.92</v>
      </c>
      <c r="L18" s="54">
        <v>35</v>
      </c>
      <c r="M18" s="54">
        <v>80.8</v>
      </c>
      <c r="N18" s="54">
        <v>9.01</v>
      </c>
      <c r="O18" s="54">
        <v>6.04</v>
      </c>
      <c r="P18" s="54">
        <v>44.11</v>
      </c>
      <c r="Q18" s="54">
        <v>91.51</v>
      </c>
      <c r="R18" s="53">
        <v>16</v>
      </c>
      <c r="S18" s="53">
        <v>4</v>
      </c>
      <c r="T18" s="53">
        <v>3</v>
      </c>
      <c r="U18" s="53">
        <v>4</v>
      </c>
      <c r="V18" s="53">
        <v>0</v>
      </c>
      <c r="W18" s="54">
        <v>3.26</v>
      </c>
      <c r="X18" s="54">
        <v>5.89</v>
      </c>
      <c r="Y18" s="54">
        <v>33.03</v>
      </c>
      <c r="Z18" s="54">
        <v>76.8</v>
      </c>
      <c r="AA18" s="54">
        <v>5.5</v>
      </c>
      <c r="AB18" s="54">
        <v>6.1</v>
      </c>
      <c r="AC18" s="54">
        <v>53.08</v>
      </c>
      <c r="AD18" s="54">
        <v>96.08</v>
      </c>
      <c r="AE18" s="54">
        <v>6.71</v>
      </c>
      <c r="AF18" s="54">
        <v>6.13</v>
      </c>
      <c r="AG18" s="54">
        <v>55.99</v>
      </c>
      <c r="AH18" s="54">
        <v>101.79</v>
      </c>
      <c r="AI18" s="54">
        <v>9.57</v>
      </c>
      <c r="AJ18" s="54">
        <v>6.23</v>
      </c>
      <c r="AK18" s="54">
        <v>62.68</v>
      </c>
      <c r="AL18" s="54">
        <v>110.08</v>
      </c>
      <c r="AM18" s="53">
        <v>5</v>
      </c>
      <c r="AN18" s="53">
        <v>1</v>
      </c>
      <c r="AO18" s="53">
        <v>3</v>
      </c>
      <c r="AP18" s="53">
        <v>1</v>
      </c>
      <c r="AQ18" s="53">
        <v>0</v>
      </c>
    </row>
    <row r="19" spans="1:43">
      <c r="A19" s="58" t="s">
        <v>824</v>
      </c>
      <c r="B19" s="54">
        <v>2.75</v>
      </c>
      <c r="C19" s="54">
        <v>5.66</v>
      </c>
      <c r="D19" s="54">
        <v>20.21</v>
      </c>
      <c r="E19" s="54">
        <v>66.959999999999994</v>
      </c>
      <c r="F19" s="54">
        <v>4.58</v>
      </c>
      <c r="G19" s="54">
        <v>5.75</v>
      </c>
      <c r="H19" s="54">
        <v>27.82</v>
      </c>
      <c r="I19" s="54">
        <v>73.52</v>
      </c>
      <c r="J19" s="54">
        <v>7.32</v>
      </c>
      <c r="K19" s="54">
        <v>5.88</v>
      </c>
      <c r="L19" s="54">
        <v>39.090000000000003</v>
      </c>
      <c r="M19" s="54">
        <v>84.99</v>
      </c>
      <c r="N19" s="54">
        <v>8.9499999999999993</v>
      </c>
      <c r="O19" s="54">
        <v>5.98</v>
      </c>
      <c r="P19" s="54">
        <v>45.42</v>
      </c>
      <c r="Q19" s="54">
        <v>93.22</v>
      </c>
      <c r="R19" s="53">
        <v>17</v>
      </c>
      <c r="S19" s="53">
        <v>4</v>
      </c>
      <c r="T19" s="53">
        <v>3</v>
      </c>
      <c r="U19" s="53">
        <v>4</v>
      </c>
      <c r="V19" s="53">
        <v>0</v>
      </c>
      <c r="W19" s="54">
        <v>3.48</v>
      </c>
      <c r="X19" s="54">
        <v>5.83</v>
      </c>
      <c r="Y19" s="54">
        <v>37.049999999999997</v>
      </c>
      <c r="Z19" s="54">
        <v>84.04</v>
      </c>
      <c r="AA19" s="54">
        <v>5.81</v>
      </c>
      <c r="AB19" s="54">
        <v>6.04</v>
      </c>
      <c r="AC19" s="54">
        <v>57.21</v>
      </c>
      <c r="AD19" s="54">
        <v>102.91</v>
      </c>
      <c r="AE19" s="54">
        <v>6.83</v>
      </c>
      <c r="AF19" s="54">
        <v>6.09</v>
      </c>
      <c r="AG19" s="54">
        <v>59.57</v>
      </c>
      <c r="AH19" s="54">
        <v>105.47</v>
      </c>
      <c r="AI19" s="54">
        <v>7.35</v>
      </c>
      <c r="AJ19" s="54">
        <v>6.12</v>
      </c>
      <c r="AK19" s="54">
        <v>59.31</v>
      </c>
      <c r="AL19" s="54">
        <v>107.11</v>
      </c>
      <c r="AM19" s="53">
        <v>4</v>
      </c>
      <c r="AN19" s="53">
        <v>1</v>
      </c>
      <c r="AO19" s="53">
        <v>4</v>
      </c>
      <c r="AP19" s="53">
        <v>0</v>
      </c>
      <c r="AQ19" s="53">
        <v>0</v>
      </c>
    </row>
    <row r="20" spans="1:43">
      <c r="A20" s="58" t="s">
        <v>825</v>
      </c>
      <c r="B20" s="54">
        <v>2.69</v>
      </c>
      <c r="C20" s="54">
        <v>5.96</v>
      </c>
      <c r="D20" s="54">
        <v>20.41</v>
      </c>
      <c r="E20" s="54">
        <v>66.180000000000007</v>
      </c>
      <c r="F20" s="54">
        <v>4.75</v>
      </c>
      <c r="G20" s="54">
        <v>6.07</v>
      </c>
      <c r="H20" s="54">
        <v>30.3</v>
      </c>
      <c r="I20" s="54">
        <v>73.7</v>
      </c>
      <c r="J20" s="54">
        <v>7.34</v>
      </c>
      <c r="K20" s="54">
        <v>6.16</v>
      </c>
      <c r="L20" s="54">
        <v>37.049999999999997</v>
      </c>
      <c r="M20" s="54">
        <v>82.35</v>
      </c>
      <c r="N20" s="54">
        <v>8.89</v>
      </c>
      <c r="O20" s="54">
        <v>6.3</v>
      </c>
      <c r="P20" s="54">
        <v>47.6</v>
      </c>
      <c r="Q20" s="54">
        <v>93.4</v>
      </c>
      <c r="R20" s="53">
        <v>17</v>
      </c>
      <c r="S20" s="53">
        <v>3</v>
      </c>
      <c r="T20" s="53">
        <v>3</v>
      </c>
      <c r="U20" s="53">
        <v>4</v>
      </c>
      <c r="V20" s="53">
        <v>0</v>
      </c>
      <c r="W20" s="54">
        <v>3.43</v>
      </c>
      <c r="X20" s="54">
        <v>6.11</v>
      </c>
      <c r="Y20" s="54">
        <v>35.08</v>
      </c>
      <c r="Z20" s="54">
        <v>81.069999999999993</v>
      </c>
      <c r="AA20" s="54">
        <v>5.45</v>
      </c>
      <c r="AB20" s="54">
        <v>6.31</v>
      </c>
      <c r="AC20" s="54">
        <v>54.21</v>
      </c>
      <c r="AD20" s="54">
        <v>97.61</v>
      </c>
      <c r="AE20" s="54">
        <v>6.26</v>
      </c>
      <c r="AF20" s="54">
        <v>6.32</v>
      </c>
      <c r="AG20" s="54">
        <v>53.06</v>
      </c>
      <c r="AH20" s="54">
        <v>98.36</v>
      </c>
      <c r="AI20" s="54">
        <v>8.52</v>
      </c>
      <c r="AJ20" s="54">
        <v>6.37</v>
      </c>
      <c r="AK20" s="54">
        <v>55.13</v>
      </c>
      <c r="AL20" s="54">
        <v>100.93</v>
      </c>
      <c r="AM20" s="53">
        <v>4</v>
      </c>
      <c r="AN20" s="53">
        <v>1</v>
      </c>
      <c r="AO20" s="53">
        <v>3</v>
      </c>
      <c r="AP20" s="53">
        <v>1</v>
      </c>
      <c r="AQ20" s="53">
        <v>0</v>
      </c>
    </row>
    <row r="21" spans="1:43">
      <c r="A21" s="58" t="s">
        <v>826</v>
      </c>
      <c r="B21" s="54">
        <v>2.67</v>
      </c>
      <c r="C21" s="54">
        <v>5.97</v>
      </c>
      <c r="D21" s="54">
        <v>16.34</v>
      </c>
      <c r="E21" s="54">
        <v>61.83</v>
      </c>
      <c r="F21" s="54">
        <v>4.78</v>
      </c>
      <c r="G21" s="54">
        <v>6.13</v>
      </c>
      <c r="H21" s="54">
        <v>27.58</v>
      </c>
      <c r="I21" s="54">
        <v>72.680000000000007</v>
      </c>
      <c r="J21" s="54">
        <v>7.33</v>
      </c>
      <c r="K21" s="54">
        <v>6.23</v>
      </c>
      <c r="L21" s="54">
        <v>33.72</v>
      </c>
      <c r="M21" s="54">
        <v>77.819999999999993</v>
      </c>
      <c r="N21" s="54">
        <v>8.83</v>
      </c>
      <c r="O21" s="54">
        <v>6.38</v>
      </c>
      <c r="P21" s="54">
        <v>44.8</v>
      </c>
      <c r="Q21" s="54">
        <v>89.9</v>
      </c>
      <c r="R21" s="53">
        <v>17</v>
      </c>
      <c r="S21" s="53">
        <v>3</v>
      </c>
      <c r="T21" s="53">
        <v>3</v>
      </c>
      <c r="U21" s="53">
        <v>4</v>
      </c>
      <c r="V21" s="53">
        <v>0</v>
      </c>
      <c r="W21" s="54">
        <v>3.5</v>
      </c>
      <c r="X21" s="54">
        <v>6.14</v>
      </c>
      <c r="Y21" s="54">
        <v>33.17</v>
      </c>
      <c r="Z21" s="54">
        <v>78.92</v>
      </c>
      <c r="AA21" s="54">
        <v>5.79</v>
      </c>
      <c r="AB21" s="54">
        <v>6.4</v>
      </c>
      <c r="AC21" s="54">
        <v>54.55</v>
      </c>
      <c r="AD21" s="54">
        <v>99.65</v>
      </c>
      <c r="AE21" s="54">
        <v>6.98</v>
      </c>
      <c r="AF21" s="54">
        <v>6.45</v>
      </c>
      <c r="AG21" s="54">
        <v>55.98</v>
      </c>
      <c r="AH21" s="54">
        <v>100.08</v>
      </c>
      <c r="AI21" s="54">
        <v>9.09</v>
      </c>
      <c r="AJ21" s="54">
        <v>6.52</v>
      </c>
      <c r="AK21" s="54">
        <v>58.58</v>
      </c>
      <c r="AL21" s="54">
        <v>103.68</v>
      </c>
      <c r="AM21" s="53">
        <v>4</v>
      </c>
      <c r="AN21" s="53">
        <v>2</v>
      </c>
      <c r="AO21" s="53">
        <v>3</v>
      </c>
      <c r="AP21" s="53">
        <v>2</v>
      </c>
      <c r="AQ21" s="53">
        <v>0</v>
      </c>
    </row>
    <row r="22" spans="1:43">
      <c r="A22" s="58" t="s">
        <v>827</v>
      </c>
      <c r="B22" s="54">
        <v>2.96</v>
      </c>
      <c r="C22" s="54">
        <v>5.97</v>
      </c>
      <c r="D22" s="54">
        <v>21.56</v>
      </c>
      <c r="E22" s="54">
        <v>67.75</v>
      </c>
      <c r="F22" s="54">
        <v>5.09</v>
      </c>
      <c r="G22" s="54">
        <v>6.12</v>
      </c>
      <c r="H22" s="54">
        <v>31.41</v>
      </c>
      <c r="I22" s="54">
        <v>78.11</v>
      </c>
      <c r="J22" s="54">
        <v>7.23</v>
      </c>
      <c r="K22" s="54">
        <v>6.18</v>
      </c>
      <c r="L22" s="54">
        <v>34.18</v>
      </c>
      <c r="M22" s="54">
        <v>81.78</v>
      </c>
      <c r="N22" s="54">
        <v>8.76</v>
      </c>
      <c r="O22" s="54">
        <v>6.33</v>
      </c>
      <c r="P22" s="54">
        <v>46.89</v>
      </c>
      <c r="Q22" s="54">
        <v>95.19</v>
      </c>
      <c r="R22" s="53">
        <v>11</v>
      </c>
      <c r="S22" s="53">
        <v>5</v>
      </c>
      <c r="T22" s="53">
        <v>3</v>
      </c>
      <c r="U22" s="53">
        <v>3</v>
      </c>
      <c r="V22" s="53">
        <v>0</v>
      </c>
      <c r="W22" s="54">
        <v>3.26</v>
      </c>
      <c r="X22" s="54">
        <v>6.09</v>
      </c>
      <c r="Y22" s="54">
        <v>33.53</v>
      </c>
      <c r="Z22" s="54">
        <v>79.900000000000006</v>
      </c>
      <c r="AA22" s="54">
        <v>5.49</v>
      </c>
      <c r="AB22" s="54">
        <v>6.32</v>
      </c>
      <c r="AC22" s="54">
        <v>51.7</v>
      </c>
      <c r="AD22" s="54">
        <v>98.4</v>
      </c>
      <c r="AE22" s="54">
        <v>6.91</v>
      </c>
      <c r="AF22" s="54">
        <v>6.4</v>
      </c>
      <c r="AG22" s="54">
        <v>56.28</v>
      </c>
      <c r="AH22" s="54">
        <v>103.88</v>
      </c>
      <c r="AI22" s="54">
        <v>9.0500000000000007</v>
      </c>
      <c r="AJ22" s="54">
        <v>6.44</v>
      </c>
      <c r="AK22" s="54">
        <v>57.53</v>
      </c>
      <c r="AL22" s="54">
        <v>105.83</v>
      </c>
      <c r="AM22" s="53">
        <v>6</v>
      </c>
      <c r="AN22" s="53">
        <v>2</v>
      </c>
      <c r="AO22" s="53">
        <v>3</v>
      </c>
      <c r="AP22" s="53">
        <v>2</v>
      </c>
      <c r="AQ22" s="53">
        <v>0</v>
      </c>
    </row>
    <row r="23" spans="1:43">
      <c r="A23" s="58" t="s">
        <v>828</v>
      </c>
      <c r="B23" s="54">
        <v>3.1</v>
      </c>
      <c r="C23" s="54">
        <v>5.88</v>
      </c>
      <c r="D23" s="54">
        <v>21.49</v>
      </c>
      <c r="E23" s="54">
        <v>67.260000000000005</v>
      </c>
      <c r="F23" s="54">
        <v>5.09</v>
      </c>
      <c r="G23" s="54">
        <v>5.95</v>
      </c>
      <c r="H23" s="54">
        <v>27.28</v>
      </c>
      <c r="I23" s="54">
        <v>73.28</v>
      </c>
      <c r="J23" s="54">
        <v>7.21</v>
      </c>
      <c r="K23" s="54">
        <v>6</v>
      </c>
      <c r="L23" s="54">
        <v>31.32</v>
      </c>
      <c r="M23" s="54">
        <v>77.52</v>
      </c>
      <c r="N23" s="54">
        <v>9.09</v>
      </c>
      <c r="O23" s="54">
        <v>6.1</v>
      </c>
      <c r="P23" s="54">
        <v>41.07</v>
      </c>
      <c r="Q23" s="54">
        <v>90.07</v>
      </c>
      <c r="R23" s="53">
        <v>12</v>
      </c>
      <c r="S23" s="53">
        <v>5</v>
      </c>
      <c r="T23" s="53">
        <v>3</v>
      </c>
      <c r="U23" s="53">
        <v>4</v>
      </c>
      <c r="V23" s="53">
        <v>0</v>
      </c>
      <c r="W23" s="54">
        <v>3.26</v>
      </c>
      <c r="X23" s="54">
        <v>6.01</v>
      </c>
      <c r="Y23" s="54">
        <v>33.92</v>
      </c>
      <c r="Z23" s="54">
        <v>79.87</v>
      </c>
      <c r="AA23" s="54">
        <v>5.48</v>
      </c>
      <c r="AB23" s="54">
        <v>6.17</v>
      </c>
      <c r="AC23" s="54">
        <v>49.21</v>
      </c>
      <c r="AD23" s="54">
        <v>95.21</v>
      </c>
      <c r="AE23" s="54">
        <v>6.88</v>
      </c>
      <c r="AF23" s="54">
        <v>6.23</v>
      </c>
      <c r="AG23" s="54">
        <v>53.54</v>
      </c>
      <c r="AH23" s="54">
        <v>99.74</v>
      </c>
      <c r="AI23" s="54">
        <v>9</v>
      </c>
      <c r="AJ23" s="54">
        <v>6.25</v>
      </c>
      <c r="AK23" s="54">
        <v>55.62</v>
      </c>
      <c r="AL23" s="54">
        <v>104.62</v>
      </c>
      <c r="AM23" s="53">
        <v>6</v>
      </c>
      <c r="AN23" s="53">
        <v>2</v>
      </c>
      <c r="AO23" s="53">
        <v>3</v>
      </c>
      <c r="AP23" s="53">
        <v>2</v>
      </c>
      <c r="AQ23" s="53">
        <v>0</v>
      </c>
    </row>
    <row r="24" spans="1:43">
      <c r="A24" s="58" t="s">
        <v>829</v>
      </c>
      <c r="B24" s="54">
        <v>2.84</v>
      </c>
      <c r="C24" s="54">
        <v>5.88</v>
      </c>
      <c r="D24" s="54">
        <v>16.39</v>
      </c>
      <c r="E24" s="54">
        <v>59.84</v>
      </c>
      <c r="F24" s="54">
        <v>4.95</v>
      </c>
      <c r="G24" s="54">
        <v>6.04</v>
      </c>
      <c r="H24" s="54">
        <v>29.32</v>
      </c>
      <c r="I24" s="54">
        <v>74.62</v>
      </c>
      <c r="J24" s="54">
        <v>7.36</v>
      </c>
      <c r="K24" s="54">
        <v>6.14</v>
      </c>
      <c r="L24" s="54">
        <v>35.64</v>
      </c>
      <c r="M24" s="54">
        <v>80.34</v>
      </c>
      <c r="N24" s="54">
        <v>9.0399999999999991</v>
      </c>
      <c r="O24" s="54">
        <v>6.24</v>
      </c>
      <c r="P24" s="54">
        <v>42.48</v>
      </c>
      <c r="Q24" s="54">
        <v>88.68</v>
      </c>
      <c r="R24" s="53">
        <v>12</v>
      </c>
      <c r="S24" s="53">
        <v>4</v>
      </c>
      <c r="T24" s="53">
        <v>3</v>
      </c>
      <c r="U24" s="53">
        <v>4</v>
      </c>
      <c r="V24" s="53">
        <v>0</v>
      </c>
      <c r="W24" s="54">
        <v>3.26</v>
      </c>
      <c r="X24" s="54">
        <v>6.08</v>
      </c>
      <c r="Y24" s="54">
        <v>36.36</v>
      </c>
      <c r="Z24" s="54">
        <v>80.11</v>
      </c>
      <c r="AA24" s="54">
        <v>5.48</v>
      </c>
      <c r="AB24" s="54">
        <v>6.26</v>
      </c>
      <c r="AC24" s="54">
        <v>51.75</v>
      </c>
      <c r="AD24" s="54">
        <v>97.05</v>
      </c>
      <c r="AE24" s="54">
        <v>6.85</v>
      </c>
      <c r="AF24" s="54">
        <v>6.35</v>
      </c>
      <c r="AG24" s="54">
        <v>56.03</v>
      </c>
      <c r="AH24" s="54">
        <v>100.73</v>
      </c>
      <c r="AI24" s="54">
        <v>8.9499999999999993</v>
      </c>
      <c r="AJ24" s="54">
        <v>6.44</v>
      </c>
      <c r="AK24" s="54">
        <v>62.32</v>
      </c>
      <c r="AL24" s="54">
        <v>108.52</v>
      </c>
      <c r="AM24" s="53">
        <v>6</v>
      </c>
      <c r="AN24" s="53">
        <v>2</v>
      </c>
      <c r="AO24" s="53">
        <v>3</v>
      </c>
      <c r="AP24" s="53">
        <v>2</v>
      </c>
      <c r="AQ24" s="53">
        <v>0</v>
      </c>
    </row>
    <row r="25" spans="1:43">
      <c r="A25" s="58" t="s">
        <v>830</v>
      </c>
      <c r="B25" s="54">
        <v>3.32</v>
      </c>
      <c r="C25" s="54">
        <v>5.9</v>
      </c>
      <c r="D25" s="54">
        <v>21.36</v>
      </c>
      <c r="E25" s="54">
        <v>64.349999999999994</v>
      </c>
      <c r="F25" s="54">
        <v>5.15</v>
      </c>
      <c r="G25" s="54">
        <v>6.03</v>
      </c>
      <c r="H25" s="54">
        <v>31.93</v>
      </c>
      <c r="I25" s="54">
        <v>77.13</v>
      </c>
      <c r="J25" s="54">
        <v>6.68</v>
      </c>
      <c r="K25" s="54">
        <v>6.11</v>
      </c>
      <c r="L25" s="54">
        <v>36.67</v>
      </c>
      <c r="M25" s="54">
        <v>82.47</v>
      </c>
      <c r="N25" s="54">
        <v>8.6</v>
      </c>
      <c r="O25" s="54">
        <v>6.27</v>
      </c>
      <c r="P25" s="54">
        <v>52.04</v>
      </c>
      <c r="Q25" s="54">
        <v>98.04</v>
      </c>
      <c r="R25" s="53">
        <v>12</v>
      </c>
      <c r="S25" s="53">
        <v>6</v>
      </c>
      <c r="T25" s="53">
        <v>4</v>
      </c>
      <c r="U25" s="53">
        <v>4</v>
      </c>
      <c r="V25" s="53">
        <v>0</v>
      </c>
      <c r="W25" s="54">
        <v>3.19</v>
      </c>
      <c r="X25" s="54">
        <v>6.04</v>
      </c>
      <c r="Y25" s="54">
        <v>34.74</v>
      </c>
      <c r="Z25" s="54">
        <v>77.930000000000007</v>
      </c>
      <c r="AA25" s="54">
        <v>5.07</v>
      </c>
      <c r="AB25" s="54">
        <v>6.2</v>
      </c>
      <c r="AC25" s="54">
        <v>48.19</v>
      </c>
      <c r="AD25" s="54">
        <v>93.39</v>
      </c>
      <c r="AE25" s="54">
        <v>6.66</v>
      </c>
      <c r="AF25" s="54">
        <v>6.25</v>
      </c>
      <c r="AG25" s="54">
        <v>51.19</v>
      </c>
      <c r="AH25" s="54">
        <v>96.99</v>
      </c>
      <c r="AI25" s="54">
        <v>9.19</v>
      </c>
      <c r="AJ25" s="54">
        <v>6.39</v>
      </c>
      <c r="AK25" s="54">
        <v>64.12</v>
      </c>
      <c r="AL25" s="54">
        <v>110.12</v>
      </c>
      <c r="AM25" s="53">
        <v>6</v>
      </c>
      <c r="AN25" s="53">
        <v>2</v>
      </c>
      <c r="AO25" s="53">
        <v>2</v>
      </c>
      <c r="AP25" s="53">
        <v>2</v>
      </c>
      <c r="AQ25" s="53">
        <v>0</v>
      </c>
    </row>
    <row r="26" spans="1:43">
      <c r="A26" s="58" t="s">
        <v>831</v>
      </c>
      <c r="B26" s="54">
        <v>3.59</v>
      </c>
      <c r="C26" s="54">
        <v>6</v>
      </c>
      <c r="D26" s="54">
        <v>21.48</v>
      </c>
      <c r="E26" s="54">
        <v>65.12</v>
      </c>
      <c r="F26" s="54">
        <v>5.13</v>
      </c>
      <c r="G26" s="54">
        <v>6.11</v>
      </c>
      <c r="H26" s="54">
        <v>29.26</v>
      </c>
      <c r="I26" s="54">
        <v>73.760000000000005</v>
      </c>
      <c r="J26" s="54">
        <v>6.72</v>
      </c>
      <c r="K26" s="54">
        <v>6.2</v>
      </c>
      <c r="L26" s="54">
        <v>36.090000000000003</v>
      </c>
      <c r="M26" s="54">
        <v>79.790000000000006</v>
      </c>
      <c r="N26" s="54">
        <v>8.9</v>
      </c>
      <c r="O26" s="54">
        <v>6.31</v>
      </c>
      <c r="P26" s="54">
        <v>45.3</v>
      </c>
      <c r="Q26" s="54">
        <v>89.3</v>
      </c>
      <c r="R26" s="53">
        <v>12</v>
      </c>
      <c r="S26" s="53">
        <v>6</v>
      </c>
      <c r="T26" s="53">
        <v>4</v>
      </c>
      <c r="U26" s="53">
        <v>5</v>
      </c>
      <c r="V26" s="53">
        <v>0</v>
      </c>
      <c r="W26" s="54">
        <v>3.26</v>
      </c>
      <c r="X26" s="54">
        <v>6.13</v>
      </c>
      <c r="Y26" s="54">
        <v>34.11</v>
      </c>
      <c r="Z26" s="54">
        <v>77.930000000000007</v>
      </c>
      <c r="AA26" s="54">
        <v>4.96</v>
      </c>
      <c r="AB26" s="54">
        <v>6.27</v>
      </c>
      <c r="AC26" s="54">
        <v>45.37</v>
      </c>
      <c r="AD26" s="54">
        <v>89.87</v>
      </c>
      <c r="AE26" s="54">
        <v>6.63</v>
      </c>
      <c r="AF26" s="54">
        <v>6.35</v>
      </c>
      <c r="AG26" s="54">
        <v>51.2</v>
      </c>
      <c r="AH26" s="54">
        <v>94.9</v>
      </c>
      <c r="AI26" s="54">
        <v>9.1199999999999992</v>
      </c>
      <c r="AJ26" s="54">
        <v>6.49</v>
      </c>
      <c r="AK26" s="54">
        <v>63.25</v>
      </c>
      <c r="AL26" s="54">
        <v>107.25</v>
      </c>
      <c r="AM26" s="53">
        <v>7</v>
      </c>
      <c r="AN26" s="53">
        <v>2</v>
      </c>
      <c r="AO26" s="53">
        <v>2</v>
      </c>
      <c r="AP26" s="53">
        <v>2</v>
      </c>
      <c r="AQ26" s="53">
        <v>0</v>
      </c>
    </row>
    <row r="27" spans="1:43">
      <c r="A27" s="58" t="s">
        <v>832</v>
      </c>
      <c r="B27" s="54">
        <v>3.58</v>
      </c>
      <c r="C27" s="54">
        <v>6.34</v>
      </c>
      <c r="D27" s="54">
        <v>24.29</v>
      </c>
      <c r="E27" s="54">
        <v>70.239999999999995</v>
      </c>
      <c r="F27" s="54">
        <v>5.21</v>
      </c>
      <c r="G27" s="54">
        <v>6.45</v>
      </c>
      <c r="H27" s="54">
        <v>32.6</v>
      </c>
      <c r="I27" s="54">
        <v>77.599999999999994</v>
      </c>
      <c r="J27" s="54">
        <v>6.79</v>
      </c>
      <c r="K27" s="54">
        <v>6.52</v>
      </c>
      <c r="L27" s="54">
        <v>38.92</v>
      </c>
      <c r="M27" s="54">
        <v>82.52</v>
      </c>
      <c r="N27" s="54">
        <v>8.9600000000000009</v>
      </c>
      <c r="O27" s="54">
        <v>6.63</v>
      </c>
      <c r="P27" s="54">
        <v>47.67</v>
      </c>
      <c r="Q27" s="54">
        <v>92.67</v>
      </c>
      <c r="R27" s="53">
        <v>11</v>
      </c>
      <c r="S27" s="53">
        <v>7</v>
      </c>
      <c r="T27" s="53">
        <v>3</v>
      </c>
      <c r="U27" s="53">
        <v>6</v>
      </c>
      <c r="V27" s="53">
        <v>0</v>
      </c>
      <c r="W27" s="54">
        <v>3.34</v>
      </c>
      <c r="X27" s="54">
        <v>6.44</v>
      </c>
      <c r="Y27" s="54">
        <v>34.11</v>
      </c>
      <c r="Z27" s="54">
        <v>80.22</v>
      </c>
      <c r="AA27" s="54">
        <v>5.35</v>
      </c>
      <c r="AB27" s="54">
        <v>6.63</v>
      </c>
      <c r="AC27" s="54">
        <v>51.38</v>
      </c>
      <c r="AD27" s="54">
        <v>96.38</v>
      </c>
      <c r="AE27" s="54">
        <v>6.85</v>
      </c>
      <c r="AF27" s="54">
        <v>6.74</v>
      </c>
      <c r="AG27" s="54">
        <v>61</v>
      </c>
      <c r="AH27" s="54">
        <v>104.6</v>
      </c>
      <c r="AI27" s="54">
        <v>9.2200000000000006</v>
      </c>
      <c r="AJ27" s="54">
        <v>6.88</v>
      </c>
      <c r="AK27" s="54">
        <v>72.66</v>
      </c>
      <c r="AL27" s="54">
        <v>117.66</v>
      </c>
      <c r="AM27" s="53">
        <v>7</v>
      </c>
      <c r="AN27" s="53">
        <v>2</v>
      </c>
      <c r="AO27" s="53">
        <v>3</v>
      </c>
      <c r="AP27" s="53">
        <v>3</v>
      </c>
      <c r="AQ27" s="53">
        <v>0</v>
      </c>
    </row>
    <row r="28" spans="1:43">
      <c r="A28" s="58" t="s">
        <v>833</v>
      </c>
      <c r="B28" s="54">
        <v>3.69</v>
      </c>
      <c r="C28" s="54">
        <v>6.38</v>
      </c>
      <c r="D28" s="54">
        <v>24.8</v>
      </c>
      <c r="E28" s="54">
        <v>68.31</v>
      </c>
      <c r="F28" s="54">
        <v>5.14</v>
      </c>
      <c r="G28" s="54">
        <v>6.44</v>
      </c>
      <c r="H28" s="54">
        <v>28.27</v>
      </c>
      <c r="I28" s="54">
        <v>73.77</v>
      </c>
      <c r="J28" s="54">
        <v>6.62</v>
      </c>
      <c r="K28" s="54">
        <v>6.5</v>
      </c>
      <c r="L28" s="54">
        <v>33.96</v>
      </c>
      <c r="M28" s="54">
        <v>79.459999999999994</v>
      </c>
      <c r="N28" s="54">
        <v>8.7799999999999994</v>
      </c>
      <c r="O28" s="54">
        <v>6.63</v>
      </c>
      <c r="P28" s="54">
        <v>46.26</v>
      </c>
      <c r="Q28" s="54">
        <v>90.26</v>
      </c>
      <c r="R28" s="53">
        <v>11</v>
      </c>
      <c r="S28" s="53">
        <v>8</v>
      </c>
      <c r="T28" s="53">
        <v>3</v>
      </c>
      <c r="U28" s="53">
        <v>5</v>
      </c>
      <c r="V28" s="53">
        <v>0</v>
      </c>
      <c r="W28" s="54">
        <v>3.25</v>
      </c>
      <c r="X28" s="54">
        <v>6.49</v>
      </c>
      <c r="Y28" s="54">
        <v>35.07</v>
      </c>
      <c r="Z28" s="54">
        <v>78.75</v>
      </c>
      <c r="AA28" s="54">
        <v>4.9000000000000004</v>
      </c>
      <c r="AB28" s="54">
        <v>6.62</v>
      </c>
      <c r="AC28" s="54">
        <v>46.01</v>
      </c>
      <c r="AD28" s="54">
        <v>91.51</v>
      </c>
      <c r="AE28" s="54">
        <v>6.67</v>
      </c>
      <c r="AF28" s="54">
        <v>6.69</v>
      </c>
      <c r="AG28" s="54">
        <v>52.03</v>
      </c>
      <c r="AH28" s="54">
        <v>97.53</v>
      </c>
      <c r="AI28" s="54">
        <v>8.9700000000000006</v>
      </c>
      <c r="AJ28" s="54">
        <v>6.77</v>
      </c>
      <c r="AK28" s="54">
        <v>60.48</v>
      </c>
      <c r="AL28" s="54">
        <v>104.48</v>
      </c>
      <c r="AM28" s="53">
        <v>7</v>
      </c>
      <c r="AN28" s="53">
        <v>2</v>
      </c>
      <c r="AO28" s="53">
        <v>2</v>
      </c>
      <c r="AP28" s="53">
        <v>2</v>
      </c>
      <c r="AQ28" s="53">
        <v>0</v>
      </c>
    </row>
    <row r="29" spans="1:43">
      <c r="A29" s="58" t="s">
        <v>834</v>
      </c>
      <c r="B29" s="54">
        <v>3.68</v>
      </c>
      <c r="C29" s="54">
        <v>6.49</v>
      </c>
      <c r="D29" s="54">
        <v>25.04</v>
      </c>
      <c r="E29" s="54">
        <v>70.73</v>
      </c>
      <c r="F29" s="54">
        <v>5.0999999999999996</v>
      </c>
      <c r="G29" s="54">
        <v>6.55</v>
      </c>
      <c r="H29" s="54">
        <v>29.02</v>
      </c>
      <c r="I29" s="54">
        <v>76.72</v>
      </c>
      <c r="J29" s="54">
        <v>6.5</v>
      </c>
      <c r="K29" s="54">
        <v>6.62</v>
      </c>
      <c r="L29" s="54">
        <v>36.72</v>
      </c>
      <c r="M29" s="54">
        <v>84.62</v>
      </c>
      <c r="N29" s="54">
        <v>8.36</v>
      </c>
      <c r="O29" s="54">
        <v>6.81</v>
      </c>
      <c r="P29" s="54">
        <v>55.69</v>
      </c>
      <c r="Q29" s="54">
        <v>102.69</v>
      </c>
      <c r="R29" s="53">
        <v>12</v>
      </c>
      <c r="S29" s="53">
        <v>7</v>
      </c>
      <c r="T29" s="53">
        <v>3</v>
      </c>
      <c r="U29" s="53">
        <v>4</v>
      </c>
      <c r="V29" s="53">
        <v>0</v>
      </c>
      <c r="W29" s="54">
        <v>3.34</v>
      </c>
      <c r="X29" s="54">
        <v>6.62</v>
      </c>
      <c r="Y29" s="54">
        <v>37.89</v>
      </c>
      <c r="Z29" s="54">
        <v>83.78</v>
      </c>
      <c r="AA29" s="54">
        <v>5.32</v>
      </c>
      <c r="AB29" s="54">
        <v>6.78</v>
      </c>
      <c r="AC29" s="54">
        <v>52.04</v>
      </c>
      <c r="AD29" s="54">
        <v>99.74</v>
      </c>
      <c r="AE29" s="54">
        <v>6.86</v>
      </c>
      <c r="AF29" s="54">
        <v>6.84</v>
      </c>
      <c r="AG29" s="54">
        <v>58.63</v>
      </c>
      <c r="AH29" s="54">
        <v>106.53</v>
      </c>
      <c r="AI29" s="54">
        <v>9.16</v>
      </c>
      <c r="AJ29" s="54">
        <v>6.95</v>
      </c>
      <c r="AK29" s="54">
        <v>69.64</v>
      </c>
      <c r="AL29" s="54">
        <v>116.64</v>
      </c>
      <c r="AM29" s="53">
        <v>7</v>
      </c>
      <c r="AN29" s="53">
        <v>2</v>
      </c>
      <c r="AO29" s="53">
        <v>3</v>
      </c>
      <c r="AP29" s="53">
        <v>3</v>
      </c>
      <c r="AQ29" s="53">
        <v>0</v>
      </c>
    </row>
    <row r="30" spans="1:43">
      <c r="A30" s="58" t="s">
        <v>835</v>
      </c>
      <c r="B30" s="54">
        <v>3.67</v>
      </c>
      <c r="C30" s="54">
        <v>6.66</v>
      </c>
      <c r="D30" s="54">
        <v>24.2</v>
      </c>
      <c r="E30" s="54">
        <v>69.66</v>
      </c>
      <c r="F30" s="54">
        <v>5.07</v>
      </c>
      <c r="G30" s="54">
        <v>6.71</v>
      </c>
      <c r="H30" s="54">
        <v>30.09</v>
      </c>
      <c r="I30" s="54">
        <v>78.69</v>
      </c>
      <c r="J30" s="54">
        <v>6.48</v>
      </c>
      <c r="K30" s="54">
        <v>6.78</v>
      </c>
      <c r="L30" s="54">
        <v>41.06</v>
      </c>
      <c r="M30" s="54">
        <v>92.06</v>
      </c>
      <c r="N30" s="54">
        <v>8.3000000000000007</v>
      </c>
      <c r="O30" s="54">
        <v>6.94</v>
      </c>
      <c r="P30" s="54">
        <v>61.2</v>
      </c>
      <c r="Q30" s="54">
        <v>109.7</v>
      </c>
      <c r="R30" s="53">
        <v>12</v>
      </c>
      <c r="S30" s="53">
        <v>7</v>
      </c>
      <c r="T30" s="53">
        <v>4</v>
      </c>
      <c r="U30" s="53">
        <v>3</v>
      </c>
      <c r="V30" s="53">
        <v>0</v>
      </c>
      <c r="W30" s="54">
        <v>3.39</v>
      </c>
      <c r="X30" s="54">
        <v>6.82</v>
      </c>
      <c r="Y30" s="54">
        <v>40.01</v>
      </c>
      <c r="Z30" s="54">
        <v>85.73</v>
      </c>
      <c r="AA30" s="54">
        <v>4.8600000000000003</v>
      </c>
      <c r="AB30" s="54">
        <v>6.93</v>
      </c>
      <c r="AC30" s="54">
        <v>51.97</v>
      </c>
      <c r="AD30" s="54">
        <v>100.57</v>
      </c>
      <c r="AE30" s="54">
        <v>6.73</v>
      </c>
      <c r="AF30" s="54">
        <v>6.97</v>
      </c>
      <c r="AG30" s="54">
        <v>60.09</v>
      </c>
      <c r="AH30" s="54">
        <v>111.09</v>
      </c>
      <c r="AI30" s="54">
        <v>8.82</v>
      </c>
      <c r="AJ30" s="54">
        <v>7.03</v>
      </c>
      <c r="AK30" s="54">
        <v>70.27</v>
      </c>
      <c r="AL30" s="54">
        <v>118.77</v>
      </c>
      <c r="AM30" s="53">
        <v>6</v>
      </c>
      <c r="AN30" s="53">
        <v>3</v>
      </c>
      <c r="AO30" s="53">
        <v>1</v>
      </c>
      <c r="AP30" s="53">
        <v>2</v>
      </c>
      <c r="AQ30" s="53">
        <v>0</v>
      </c>
    </row>
    <row r="31" spans="1:43">
      <c r="A31" s="58" t="s">
        <v>836</v>
      </c>
      <c r="B31" s="54">
        <v>3.72</v>
      </c>
      <c r="C31" s="54">
        <v>6.52</v>
      </c>
      <c r="D31" s="54">
        <v>25.03</v>
      </c>
      <c r="E31" s="54">
        <v>72.36</v>
      </c>
      <c r="F31" s="54">
        <v>5.04</v>
      </c>
      <c r="G31" s="54">
        <v>6.54</v>
      </c>
      <c r="H31" s="54">
        <v>30.9</v>
      </c>
      <c r="I31" s="54">
        <v>80.2</v>
      </c>
      <c r="J31" s="54">
        <v>6.47</v>
      </c>
      <c r="K31" s="54">
        <v>6.61</v>
      </c>
      <c r="L31" s="54">
        <v>39.520000000000003</v>
      </c>
      <c r="M31" s="54">
        <v>89.82</v>
      </c>
      <c r="N31" s="54">
        <v>8.24</v>
      </c>
      <c r="O31" s="54">
        <v>6.76</v>
      </c>
      <c r="P31" s="54">
        <v>59.88</v>
      </c>
      <c r="Q31" s="54">
        <v>110.28</v>
      </c>
      <c r="R31" s="53">
        <v>10</v>
      </c>
      <c r="S31" s="53">
        <v>7</v>
      </c>
      <c r="T31" s="53">
        <v>4</v>
      </c>
      <c r="U31" s="53">
        <v>3</v>
      </c>
      <c r="V31" s="53">
        <v>0</v>
      </c>
      <c r="W31" s="54">
        <v>3.44</v>
      </c>
      <c r="X31" s="54">
        <v>6.7</v>
      </c>
      <c r="Y31" s="54">
        <v>42.25</v>
      </c>
      <c r="Z31" s="54">
        <v>89.86</v>
      </c>
      <c r="AA31" s="54">
        <v>5.21</v>
      </c>
      <c r="AB31" s="54">
        <v>6.81</v>
      </c>
      <c r="AC31" s="54">
        <v>57.58</v>
      </c>
      <c r="AD31" s="54">
        <v>106.88</v>
      </c>
      <c r="AE31" s="54">
        <v>6.65</v>
      </c>
      <c r="AF31" s="54">
        <v>6.84</v>
      </c>
      <c r="AG31" s="54">
        <v>63.26</v>
      </c>
      <c r="AH31" s="54">
        <v>113.56</v>
      </c>
      <c r="AI31" s="54">
        <v>8.56</v>
      </c>
      <c r="AJ31" s="54">
        <v>6.8</v>
      </c>
      <c r="AK31" s="54">
        <v>63.47</v>
      </c>
      <c r="AL31" s="54">
        <v>113.87</v>
      </c>
      <c r="AM31" s="53">
        <v>7</v>
      </c>
      <c r="AN31" s="53">
        <v>3</v>
      </c>
      <c r="AO31" s="53">
        <v>2</v>
      </c>
      <c r="AP31" s="53">
        <v>2</v>
      </c>
      <c r="AQ31" s="53">
        <v>0</v>
      </c>
    </row>
    <row r="32" spans="1:43">
      <c r="A32" s="58" t="s">
        <v>837</v>
      </c>
      <c r="B32" s="54">
        <v>3.78</v>
      </c>
      <c r="C32" s="54">
        <v>6.43</v>
      </c>
      <c r="D32" s="54">
        <v>22.8</v>
      </c>
      <c r="E32" s="54">
        <v>67.08</v>
      </c>
      <c r="F32" s="54">
        <v>5.01</v>
      </c>
      <c r="G32" s="54">
        <v>6.43</v>
      </c>
      <c r="H32" s="54">
        <v>28.69</v>
      </c>
      <c r="I32" s="54">
        <v>75.290000000000006</v>
      </c>
      <c r="J32" s="54">
        <v>6.54</v>
      </c>
      <c r="K32" s="54">
        <v>6.47</v>
      </c>
      <c r="L32" s="54">
        <v>38.83</v>
      </c>
      <c r="M32" s="54">
        <v>87.63</v>
      </c>
      <c r="N32" s="54">
        <v>8.51</v>
      </c>
      <c r="O32" s="54">
        <v>6.53</v>
      </c>
      <c r="P32" s="54">
        <v>51.07</v>
      </c>
      <c r="Q32" s="54">
        <v>101.97</v>
      </c>
      <c r="R32" s="53">
        <v>10</v>
      </c>
      <c r="S32" s="53">
        <v>9</v>
      </c>
      <c r="T32" s="53">
        <v>6</v>
      </c>
      <c r="U32" s="53">
        <v>4</v>
      </c>
      <c r="V32" s="53">
        <v>0</v>
      </c>
      <c r="W32" s="54">
        <v>3.43</v>
      </c>
      <c r="X32" s="54">
        <v>6.64</v>
      </c>
      <c r="Y32" s="54">
        <v>43.58</v>
      </c>
      <c r="Z32" s="54">
        <v>88.2</v>
      </c>
      <c r="AA32" s="54">
        <v>5.19</v>
      </c>
      <c r="AB32" s="54">
        <v>6.73</v>
      </c>
      <c r="AC32" s="54">
        <v>58.51</v>
      </c>
      <c r="AD32" s="54">
        <v>105.11</v>
      </c>
      <c r="AE32" s="54">
        <v>6.64</v>
      </c>
      <c r="AF32" s="54">
        <v>6.73</v>
      </c>
      <c r="AG32" s="54">
        <v>65.38</v>
      </c>
      <c r="AH32" s="54">
        <v>114.18</v>
      </c>
      <c r="AI32" s="54">
        <v>8.5</v>
      </c>
      <c r="AJ32" s="54">
        <v>6.68</v>
      </c>
      <c r="AK32" s="54">
        <v>66.23</v>
      </c>
      <c r="AL32" s="54">
        <v>117.13</v>
      </c>
      <c r="AM32" s="53">
        <v>7</v>
      </c>
      <c r="AN32" s="53">
        <v>3</v>
      </c>
      <c r="AO32" s="53">
        <v>2</v>
      </c>
      <c r="AP32" s="53">
        <v>2</v>
      </c>
      <c r="AQ32" s="53">
        <v>0</v>
      </c>
    </row>
    <row r="33" spans="1:43">
      <c r="A33" s="58" t="s">
        <v>838</v>
      </c>
      <c r="B33" s="54">
        <v>3.54</v>
      </c>
      <c r="C33" s="54">
        <v>6.67</v>
      </c>
      <c r="D33" s="54">
        <v>22.77</v>
      </c>
      <c r="E33" s="54">
        <v>64.45</v>
      </c>
      <c r="F33" s="54">
        <v>4.97</v>
      </c>
      <c r="G33" s="54">
        <v>6.68</v>
      </c>
      <c r="H33" s="54">
        <v>32.409999999999997</v>
      </c>
      <c r="I33" s="54">
        <v>78.41</v>
      </c>
      <c r="J33" s="54">
        <v>6.63</v>
      </c>
      <c r="K33" s="54">
        <v>6.7</v>
      </c>
      <c r="L33" s="54">
        <v>43.38</v>
      </c>
      <c r="M33" s="54">
        <v>92.18</v>
      </c>
      <c r="N33" s="54">
        <v>8.65</v>
      </c>
      <c r="O33" s="54">
        <v>6.7</v>
      </c>
      <c r="P33" s="54">
        <v>52.19</v>
      </c>
      <c r="Q33" s="54">
        <v>103.89</v>
      </c>
      <c r="R33" s="53">
        <v>10</v>
      </c>
      <c r="S33" s="53">
        <v>8</v>
      </c>
      <c r="T33" s="53">
        <v>5</v>
      </c>
      <c r="U33" s="53">
        <v>5</v>
      </c>
      <c r="V33" s="53">
        <v>0</v>
      </c>
      <c r="W33" s="54">
        <v>3.72</v>
      </c>
      <c r="X33" s="54">
        <v>6.9</v>
      </c>
      <c r="Y33" s="54">
        <v>45.46</v>
      </c>
      <c r="Z33" s="54">
        <v>87.51</v>
      </c>
      <c r="AA33" s="54">
        <v>5.2</v>
      </c>
      <c r="AB33" s="54">
        <v>6.97</v>
      </c>
      <c r="AC33" s="54">
        <v>60.71</v>
      </c>
      <c r="AD33" s="54">
        <v>106.71</v>
      </c>
      <c r="AE33" s="54">
        <v>6.81</v>
      </c>
      <c r="AF33" s="54">
        <v>6.99</v>
      </c>
      <c r="AG33" s="54">
        <v>71.510000000000005</v>
      </c>
      <c r="AH33" s="54">
        <v>120.31</v>
      </c>
      <c r="AI33" s="54">
        <v>8.92</v>
      </c>
      <c r="AJ33" s="54">
        <v>6.97</v>
      </c>
      <c r="AK33" s="54">
        <v>79.03</v>
      </c>
      <c r="AL33" s="54">
        <v>130.72999999999999</v>
      </c>
      <c r="AM33" s="53">
        <v>5</v>
      </c>
      <c r="AN33" s="53">
        <v>4</v>
      </c>
      <c r="AO33" s="53">
        <v>2</v>
      </c>
      <c r="AP33" s="53">
        <v>3</v>
      </c>
      <c r="AQ33" s="53">
        <v>0</v>
      </c>
    </row>
    <row r="34" spans="1:43">
      <c r="A34" s="58" t="s">
        <v>839</v>
      </c>
      <c r="B34" s="54">
        <v>3.54</v>
      </c>
      <c r="C34" s="54">
        <v>6.58</v>
      </c>
      <c r="D34" s="54">
        <v>20.149999999999999</v>
      </c>
      <c r="E34" s="54">
        <v>63.07</v>
      </c>
      <c r="F34" s="54">
        <v>4.96</v>
      </c>
      <c r="G34" s="54">
        <v>6.59</v>
      </c>
      <c r="H34" s="54">
        <v>29.58</v>
      </c>
      <c r="I34" s="54">
        <v>75.680000000000007</v>
      </c>
      <c r="J34" s="54">
        <v>6.65</v>
      </c>
      <c r="K34" s="54">
        <v>6.62</v>
      </c>
      <c r="L34" s="54">
        <v>42.53</v>
      </c>
      <c r="M34" s="54">
        <v>90.53</v>
      </c>
      <c r="N34" s="54">
        <v>8.6</v>
      </c>
      <c r="O34" s="54">
        <v>6.64</v>
      </c>
      <c r="P34" s="54">
        <v>53.12</v>
      </c>
      <c r="Q34" s="54">
        <v>104.72</v>
      </c>
      <c r="R34" s="53">
        <v>9</v>
      </c>
      <c r="S34" s="53">
        <v>8</v>
      </c>
      <c r="T34" s="53">
        <v>5</v>
      </c>
      <c r="U34" s="53">
        <v>4</v>
      </c>
      <c r="V34" s="53">
        <v>0</v>
      </c>
      <c r="W34" s="54">
        <v>3.76</v>
      </c>
      <c r="X34" s="54">
        <v>6.85</v>
      </c>
      <c r="Y34" s="54">
        <v>46.41</v>
      </c>
      <c r="Z34" s="54">
        <v>89.77</v>
      </c>
      <c r="AA34" s="54">
        <v>5.08</v>
      </c>
      <c r="AB34" s="54">
        <v>6.93</v>
      </c>
      <c r="AC34" s="54">
        <v>63.54</v>
      </c>
      <c r="AD34" s="54">
        <v>109.64</v>
      </c>
      <c r="AE34" s="54">
        <v>6.51</v>
      </c>
      <c r="AF34" s="54">
        <v>6.98</v>
      </c>
      <c r="AG34" s="54">
        <v>78.58</v>
      </c>
      <c r="AH34" s="54">
        <v>126.58</v>
      </c>
      <c r="AI34" s="54">
        <v>8.36</v>
      </c>
      <c r="AJ34" s="54">
        <v>6.95</v>
      </c>
      <c r="AK34" s="54">
        <v>84.38</v>
      </c>
      <c r="AL34" s="54">
        <v>135.97999999999999</v>
      </c>
      <c r="AM34" s="53">
        <v>5</v>
      </c>
      <c r="AN34" s="53">
        <v>5</v>
      </c>
      <c r="AO34" s="53">
        <v>2</v>
      </c>
      <c r="AP34" s="53">
        <v>2</v>
      </c>
      <c r="AQ34" s="53">
        <v>0</v>
      </c>
    </row>
    <row r="35" spans="1:43">
      <c r="A35" s="58" t="s">
        <v>840</v>
      </c>
      <c r="B35" s="54">
        <v>3.74</v>
      </c>
      <c r="C35" s="54">
        <v>6.75</v>
      </c>
      <c r="D35" s="54">
        <v>19.59</v>
      </c>
      <c r="E35" s="54">
        <v>64</v>
      </c>
      <c r="F35" s="54">
        <v>4.88</v>
      </c>
      <c r="G35" s="54">
        <v>6.77</v>
      </c>
      <c r="H35" s="54">
        <v>28.44</v>
      </c>
      <c r="I35" s="54">
        <v>74.239999999999995</v>
      </c>
      <c r="J35" s="54">
        <v>6.68</v>
      </c>
      <c r="K35" s="54">
        <v>6.83</v>
      </c>
      <c r="L35" s="54">
        <v>39.5</v>
      </c>
      <c r="M35" s="54">
        <v>85.5</v>
      </c>
      <c r="N35" s="54">
        <v>8.6199999999999992</v>
      </c>
      <c r="O35" s="54">
        <v>6.87</v>
      </c>
      <c r="P35" s="54">
        <v>48</v>
      </c>
      <c r="Q35" s="54">
        <v>98.8</v>
      </c>
      <c r="R35" s="53">
        <v>9</v>
      </c>
      <c r="S35" s="53">
        <v>8</v>
      </c>
      <c r="T35" s="53">
        <v>4</v>
      </c>
      <c r="U35" s="53">
        <v>5</v>
      </c>
      <c r="V35" s="53">
        <v>0</v>
      </c>
      <c r="W35" s="54">
        <v>3.74</v>
      </c>
      <c r="X35" s="54">
        <v>7.02</v>
      </c>
      <c r="Y35" s="54">
        <v>46.13</v>
      </c>
      <c r="Z35" s="54">
        <v>90.98</v>
      </c>
      <c r="AA35" s="54">
        <v>5.05</v>
      </c>
      <c r="AB35" s="54">
        <v>7.08</v>
      </c>
      <c r="AC35" s="54">
        <v>58.61</v>
      </c>
      <c r="AD35" s="54">
        <v>104.41</v>
      </c>
      <c r="AE35" s="54">
        <v>6.5</v>
      </c>
      <c r="AF35" s="54">
        <v>7.11</v>
      </c>
      <c r="AG35" s="54">
        <v>66.53</v>
      </c>
      <c r="AH35" s="54">
        <v>112.53</v>
      </c>
      <c r="AI35" s="54">
        <v>8.3000000000000007</v>
      </c>
      <c r="AJ35" s="54">
        <v>7.14</v>
      </c>
      <c r="AK35" s="54">
        <v>74.89</v>
      </c>
      <c r="AL35" s="54">
        <v>125.69</v>
      </c>
      <c r="AM35" s="53">
        <v>5</v>
      </c>
      <c r="AN35" s="53">
        <v>5</v>
      </c>
      <c r="AO35" s="53">
        <v>2</v>
      </c>
      <c r="AP35" s="53">
        <v>2</v>
      </c>
      <c r="AQ35" s="53">
        <v>0</v>
      </c>
    </row>
    <row r="36" spans="1:43">
      <c r="A36" s="58" t="s">
        <v>841</v>
      </c>
      <c r="B36" s="54">
        <v>3.59</v>
      </c>
      <c r="C36" s="54">
        <v>6.75</v>
      </c>
      <c r="D36" s="54">
        <v>21.76</v>
      </c>
      <c r="E36" s="54">
        <v>64.569999999999993</v>
      </c>
      <c r="F36" s="54">
        <v>4.79</v>
      </c>
      <c r="G36" s="54">
        <v>6.79</v>
      </c>
      <c r="H36" s="54">
        <v>29.55</v>
      </c>
      <c r="I36" s="54">
        <v>73.25</v>
      </c>
      <c r="J36" s="54">
        <v>6.65</v>
      </c>
      <c r="K36" s="54">
        <v>6.86</v>
      </c>
      <c r="L36" s="54">
        <v>39.68</v>
      </c>
      <c r="M36" s="54">
        <v>83.98</v>
      </c>
      <c r="N36" s="54">
        <v>8.39</v>
      </c>
      <c r="O36" s="54">
        <v>6.88</v>
      </c>
      <c r="P36" s="54">
        <v>46.56</v>
      </c>
      <c r="Q36" s="54">
        <v>94.36</v>
      </c>
      <c r="R36" s="53">
        <v>10</v>
      </c>
      <c r="S36" s="53">
        <v>8</v>
      </c>
      <c r="T36" s="53">
        <v>4</v>
      </c>
      <c r="U36" s="53">
        <v>4</v>
      </c>
      <c r="V36" s="53">
        <v>0</v>
      </c>
      <c r="W36" s="54">
        <v>3.71</v>
      </c>
      <c r="X36" s="54">
        <v>7.07</v>
      </c>
      <c r="Y36" s="54">
        <v>52.81</v>
      </c>
      <c r="Z36" s="54">
        <v>96.15</v>
      </c>
      <c r="AA36" s="54">
        <v>5.04</v>
      </c>
      <c r="AB36" s="54">
        <v>7.12</v>
      </c>
      <c r="AC36" s="54">
        <v>62.65</v>
      </c>
      <c r="AD36" s="54">
        <v>106.35</v>
      </c>
      <c r="AE36" s="54">
        <v>6.6</v>
      </c>
      <c r="AF36" s="54">
        <v>7.2</v>
      </c>
      <c r="AG36" s="54">
        <v>73.88</v>
      </c>
      <c r="AH36" s="54">
        <v>118.18</v>
      </c>
      <c r="AI36" s="54">
        <v>8.31</v>
      </c>
      <c r="AJ36" s="54">
        <v>7.32</v>
      </c>
      <c r="AK36" s="54">
        <v>90.79</v>
      </c>
      <c r="AL36" s="54">
        <v>138.59</v>
      </c>
      <c r="AM36" s="53">
        <v>5</v>
      </c>
      <c r="AN36" s="53">
        <v>5</v>
      </c>
      <c r="AO36" s="53">
        <v>2</v>
      </c>
      <c r="AP36" s="53">
        <v>3</v>
      </c>
      <c r="AQ36" s="53">
        <v>0</v>
      </c>
    </row>
    <row r="37" spans="1:43">
      <c r="A37" s="58" t="s">
        <v>842</v>
      </c>
      <c r="B37" s="54">
        <v>3.69</v>
      </c>
      <c r="C37" s="54">
        <v>6.6</v>
      </c>
      <c r="D37" s="54">
        <v>20.399999999999999</v>
      </c>
      <c r="E37" s="54">
        <v>64.95</v>
      </c>
      <c r="F37" s="54">
        <v>4.93</v>
      </c>
      <c r="G37" s="54">
        <v>6.6</v>
      </c>
      <c r="H37" s="54">
        <v>26.74</v>
      </c>
      <c r="I37" s="54">
        <v>73.94</v>
      </c>
      <c r="J37" s="54">
        <v>6.56</v>
      </c>
      <c r="K37" s="54">
        <v>6.63</v>
      </c>
      <c r="L37" s="54">
        <v>36.85</v>
      </c>
      <c r="M37" s="54">
        <v>84.35</v>
      </c>
      <c r="N37" s="54">
        <v>7.98</v>
      </c>
      <c r="O37" s="54">
        <v>6.7</v>
      </c>
      <c r="P37" s="54">
        <v>50.15</v>
      </c>
      <c r="Q37" s="54">
        <v>101.55</v>
      </c>
      <c r="R37" s="53">
        <v>9</v>
      </c>
      <c r="S37" s="53">
        <v>8</v>
      </c>
      <c r="T37" s="53">
        <v>6</v>
      </c>
      <c r="U37" s="53">
        <v>3</v>
      </c>
      <c r="V37" s="53">
        <v>0</v>
      </c>
      <c r="W37" s="54">
        <v>3.68</v>
      </c>
      <c r="X37" s="54">
        <v>6.88</v>
      </c>
      <c r="Y37" s="54">
        <v>47.8</v>
      </c>
      <c r="Z37" s="54">
        <v>92.81</v>
      </c>
      <c r="AA37" s="54">
        <v>4.99</v>
      </c>
      <c r="AB37" s="54">
        <v>6.89</v>
      </c>
      <c r="AC37" s="54">
        <v>55.33</v>
      </c>
      <c r="AD37" s="54">
        <v>102.53</v>
      </c>
      <c r="AE37" s="54">
        <v>6.47</v>
      </c>
      <c r="AF37" s="54">
        <v>6.91</v>
      </c>
      <c r="AG37" s="54">
        <v>64.25</v>
      </c>
      <c r="AH37" s="54">
        <v>111.75</v>
      </c>
      <c r="AI37" s="54">
        <v>8.16</v>
      </c>
      <c r="AJ37" s="54">
        <v>6.94</v>
      </c>
      <c r="AK37" s="54">
        <v>74.05</v>
      </c>
      <c r="AL37" s="54">
        <v>125.45</v>
      </c>
      <c r="AM37" s="53">
        <v>5</v>
      </c>
      <c r="AN37" s="53">
        <v>6</v>
      </c>
      <c r="AO37" s="53">
        <v>1</v>
      </c>
      <c r="AP37" s="53">
        <v>2</v>
      </c>
      <c r="AQ37" s="53">
        <v>0</v>
      </c>
    </row>
    <row r="38" spans="1:43">
      <c r="A38" s="58" t="s">
        <v>843</v>
      </c>
      <c r="B38" s="54">
        <v>3.72</v>
      </c>
      <c r="C38" s="54">
        <v>6.8</v>
      </c>
      <c r="D38" s="54">
        <v>17.55</v>
      </c>
      <c r="E38" s="54">
        <v>59.14</v>
      </c>
      <c r="F38" s="54">
        <v>4.92</v>
      </c>
      <c r="G38" s="54">
        <v>6.81</v>
      </c>
      <c r="H38" s="54">
        <v>26.78</v>
      </c>
      <c r="I38" s="54">
        <v>70.38</v>
      </c>
      <c r="J38" s="54">
        <v>6.67</v>
      </c>
      <c r="K38" s="54">
        <v>6.84</v>
      </c>
      <c r="L38" s="54">
        <v>36.869999999999997</v>
      </c>
      <c r="M38" s="54">
        <v>105.47</v>
      </c>
      <c r="N38" s="54">
        <v>9.23</v>
      </c>
      <c r="O38" s="54">
        <v>6.88</v>
      </c>
      <c r="P38" s="54">
        <v>48.76</v>
      </c>
      <c r="Q38" s="54">
        <v>100.26</v>
      </c>
      <c r="R38" s="53">
        <v>10</v>
      </c>
      <c r="S38" s="53">
        <v>8</v>
      </c>
      <c r="T38" s="53">
        <v>6</v>
      </c>
      <c r="U38" s="53">
        <v>6</v>
      </c>
      <c r="V38" s="53">
        <v>0</v>
      </c>
      <c r="W38" s="54">
        <v>3.44</v>
      </c>
      <c r="X38" s="54">
        <v>7.09</v>
      </c>
      <c r="Y38" s="54">
        <v>45.75</v>
      </c>
      <c r="Z38" s="54">
        <v>87.82</v>
      </c>
      <c r="AA38" s="54">
        <v>4.58</v>
      </c>
      <c r="AB38" s="54">
        <v>7.1</v>
      </c>
      <c r="AC38" s="54">
        <v>56.08</v>
      </c>
      <c r="AD38" s="54">
        <v>99.68</v>
      </c>
      <c r="AE38" s="54">
        <v>6.84</v>
      </c>
      <c r="AF38" s="54">
        <v>7.13</v>
      </c>
      <c r="AG38" s="54">
        <v>65.83</v>
      </c>
      <c r="AH38" s="54">
        <v>134.43</v>
      </c>
      <c r="AI38" s="54">
        <v>8.2100000000000009</v>
      </c>
      <c r="AJ38" s="54">
        <v>7.16</v>
      </c>
      <c r="AK38" s="54">
        <v>76.08</v>
      </c>
      <c r="AL38" s="54">
        <v>127.58</v>
      </c>
      <c r="AM38" s="53">
        <v>6</v>
      </c>
      <c r="AN38" s="53">
        <v>5</v>
      </c>
      <c r="AO38" s="53">
        <v>0</v>
      </c>
      <c r="AP38" s="53">
        <v>2</v>
      </c>
      <c r="AQ38" s="53">
        <v>0</v>
      </c>
    </row>
    <row r="39" spans="1:43">
      <c r="A39" s="58" t="s">
        <v>844</v>
      </c>
      <c r="B39" s="54">
        <v>3.68</v>
      </c>
      <c r="C39" s="54">
        <v>6.72</v>
      </c>
      <c r="D39" s="54">
        <v>18.510000000000002</v>
      </c>
      <c r="E39" s="54">
        <v>65.16</v>
      </c>
      <c r="F39" s="54">
        <v>4.8499999999999996</v>
      </c>
      <c r="G39" s="54">
        <v>6.74</v>
      </c>
      <c r="H39" s="54">
        <v>25.49</v>
      </c>
      <c r="I39" s="54">
        <v>71.790000000000006</v>
      </c>
      <c r="J39" s="54">
        <v>6.59</v>
      </c>
      <c r="K39" s="54">
        <v>6.8</v>
      </c>
      <c r="L39" s="54">
        <v>36.97</v>
      </c>
      <c r="M39" s="54">
        <v>102.07</v>
      </c>
      <c r="N39" s="54">
        <v>9.26</v>
      </c>
      <c r="O39" s="54">
        <v>6.86</v>
      </c>
      <c r="P39" s="54">
        <v>48.2</v>
      </c>
      <c r="Q39" s="54">
        <v>97.8</v>
      </c>
      <c r="R39" s="53">
        <v>10</v>
      </c>
      <c r="S39" s="53">
        <v>9</v>
      </c>
      <c r="T39" s="53">
        <v>5</v>
      </c>
      <c r="U39" s="53">
        <v>4</v>
      </c>
      <c r="V39" s="53">
        <v>0</v>
      </c>
      <c r="W39" s="54">
        <v>3.39</v>
      </c>
      <c r="X39" s="54">
        <v>7.01</v>
      </c>
      <c r="Y39" s="54">
        <v>47.21</v>
      </c>
      <c r="Z39" s="54">
        <v>94.34</v>
      </c>
      <c r="AA39" s="54">
        <v>4.33</v>
      </c>
      <c r="AB39" s="54">
        <v>7.03</v>
      </c>
      <c r="AC39" s="54">
        <v>53.78</v>
      </c>
      <c r="AD39" s="54">
        <v>100.08</v>
      </c>
      <c r="AE39" s="54">
        <v>5.28</v>
      </c>
      <c r="AF39" s="54">
        <v>7.02</v>
      </c>
      <c r="AG39" s="54">
        <v>58.16</v>
      </c>
      <c r="AH39" s="54">
        <v>123.26</v>
      </c>
      <c r="AI39" s="54">
        <v>8.1300000000000008</v>
      </c>
      <c r="AJ39" s="54">
        <v>7.06</v>
      </c>
      <c r="AK39" s="54">
        <v>68.59</v>
      </c>
      <c r="AL39" s="54">
        <v>118.19</v>
      </c>
      <c r="AM39" s="53">
        <v>6</v>
      </c>
      <c r="AN39" s="53">
        <v>5</v>
      </c>
      <c r="AO39" s="53">
        <v>0</v>
      </c>
      <c r="AP39" s="53">
        <v>1</v>
      </c>
      <c r="AQ39" s="53">
        <v>0</v>
      </c>
    </row>
    <row r="40" spans="1:43">
      <c r="A40" s="58" t="s">
        <v>845</v>
      </c>
      <c r="B40" s="54">
        <v>3.59</v>
      </c>
      <c r="C40" s="54">
        <v>6.87</v>
      </c>
      <c r="D40" s="54">
        <v>19.05</v>
      </c>
      <c r="E40" s="54">
        <v>67.459999999999994</v>
      </c>
      <c r="F40" s="54">
        <v>4.92</v>
      </c>
      <c r="G40" s="54">
        <v>6.91</v>
      </c>
      <c r="H40" s="54">
        <v>26.32</v>
      </c>
      <c r="I40" s="54">
        <v>76.42</v>
      </c>
      <c r="J40" s="54">
        <v>6.78</v>
      </c>
      <c r="K40" s="54">
        <v>6.97</v>
      </c>
      <c r="L40" s="54">
        <v>37.869999999999997</v>
      </c>
      <c r="M40" s="54">
        <v>118.97</v>
      </c>
      <c r="N40" s="54">
        <v>9.16</v>
      </c>
      <c r="O40" s="54">
        <v>6.99</v>
      </c>
      <c r="P40" s="54">
        <v>45.42</v>
      </c>
      <c r="Q40" s="54">
        <v>97.42</v>
      </c>
      <c r="R40" s="53">
        <v>10</v>
      </c>
      <c r="S40" s="53">
        <v>7</v>
      </c>
      <c r="T40" s="53">
        <v>5</v>
      </c>
      <c r="U40" s="53">
        <v>5</v>
      </c>
      <c r="V40" s="53">
        <v>0</v>
      </c>
      <c r="W40" s="54">
        <v>3.36</v>
      </c>
      <c r="X40" s="54">
        <v>7.14</v>
      </c>
      <c r="Y40" s="54">
        <v>45.33</v>
      </c>
      <c r="Z40" s="54">
        <v>94.2</v>
      </c>
      <c r="AA40" s="54">
        <v>4.55</v>
      </c>
      <c r="AB40" s="54">
        <v>7.18</v>
      </c>
      <c r="AC40" s="54">
        <v>52.92</v>
      </c>
      <c r="AD40" s="54">
        <v>103.02</v>
      </c>
      <c r="AE40" s="54">
        <v>7.11</v>
      </c>
      <c r="AF40" s="54">
        <v>7.2</v>
      </c>
      <c r="AG40" s="54">
        <v>60.48</v>
      </c>
      <c r="AH40" s="54">
        <v>141.58000000000001</v>
      </c>
      <c r="AI40" s="54">
        <v>8.43</v>
      </c>
      <c r="AJ40" s="54">
        <v>7.22</v>
      </c>
      <c r="AK40" s="54">
        <v>68.77</v>
      </c>
      <c r="AL40" s="54">
        <v>120.77</v>
      </c>
      <c r="AM40" s="53">
        <v>7</v>
      </c>
      <c r="AN40" s="53">
        <v>4</v>
      </c>
      <c r="AO40" s="53">
        <v>0</v>
      </c>
      <c r="AP40" s="53">
        <v>3</v>
      </c>
      <c r="AQ40" s="53">
        <v>0</v>
      </c>
    </row>
    <row r="41" spans="1:43">
      <c r="A41" s="58" t="s">
        <v>846</v>
      </c>
      <c r="B41" s="54">
        <v>3.7</v>
      </c>
      <c r="C41" s="54">
        <v>7.18</v>
      </c>
      <c r="D41" s="54">
        <v>24.02</v>
      </c>
      <c r="E41" s="54">
        <v>73.56</v>
      </c>
      <c r="F41" s="54">
        <v>4.9400000000000004</v>
      </c>
      <c r="G41" s="54">
        <v>7.24</v>
      </c>
      <c r="H41" s="54">
        <v>27.48</v>
      </c>
      <c r="I41" s="54">
        <v>83.08</v>
      </c>
      <c r="J41" s="54">
        <v>6.92</v>
      </c>
      <c r="K41" s="54">
        <v>7.29</v>
      </c>
      <c r="L41" s="54">
        <v>37.799999999999997</v>
      </c>
      <c r="M41" s="54">
        <v>150.4</v>
      </c>
      <c r="N41" s="54">
        <v>9.0299999999999994</v>
      </c>
      <c r="O41" s="54">
        <v>7.28</v>
      </c>
      <c r="P41" s="54">
        <v>42.45</v>
      </c>
      <c r="Q41" s="54">
        <v>102.35</v>
      </c>
      <c r="R41" s="53">
        <v>9</v>
      </c>
      <c r="S41" s="53">
        <v>7</v>
      </c>
      <c r="T41" s="53">
        <v>5</v>
      </c>
      <c r="U41" s="53">
        <v>6</v>
      </c>
      <c r="V41" s="53">
        <v>0</v>
      </c>
      <c r="W41" s="54">
        <v>3.55</v>
      </c>
      <c r="X41" s="54">
        <v>7.4</v>
      </c>
      <c r="Y41" s="54">
        <v>45.37</v>
      </c>
      <c r="Z41" s="54">
        <v>95.3</v>
      </c>
      <c r="AA41" s="54">
        <v>4.9400000000000004</v>
      </c>
      <c r="AB41" s="54">
        <v>7.43</v>
      </c>
      <c r="AC41" s="54">
        <v>46.78</v>
      </c>
      <c r="AD41" s="54">
        <v>102.38</v>
      </c>
      <c r="AE41" s="54">
        <v>6.65</v>
      </c>
      <c r="AF41" s="54">
        <v>7.47</v>
      </c>
      <c r="AG41" s="54">
        <v>55.96</v>
      </c>
      <c r="AH41" s="54">
        <v>168.56</v>
      </c>
      <c r="AI41" s="54">
        <v>8.3000000000000007</v>
      </c>
      <c r="AJ41" s="54">
        <v>7.55</v>
      </c>
      <c r="AK41" s="54">
        <v>69.83</v>
      </c>
      <c r="AL41" s="54">
        <v>129.72999999999999</v>
      </c>
      <c r="AM41" s="53">
        <v>7</v>
      </c>
      <c r="AN41" s="53">
        <v>5</v>
      </c>
      <c r="AO41" s="53">
        <v>1</v>
      </c>
      <c r="AP41" s="53">
        <v>2</v>
      </c>
      <c r="AQ41" s="53">
        <v>0</v>
      </c>
    </row>
    <row r="42" spans="1:43">
      <c r="A42" s="58" t="s">
        <v>847</v>
      </c>
      <c r="B42" s="54">
        <v>3.47</v>
      </c>
      <c r="C42" s="54">
        <v>7.19</v>
      </c>
      <c r="D42" s="54">
        <v>20.18</v>
      </c>
      <c r="E42" s="54">
        <v>79.22</v>
      </c>
      <c r="F42" s="54">
        <v>4.76</v>
      </c>
      <c r="G42" s="54">
        <v>7.24</v>
      </c>
      <c r="H42" s="54">
        <v>28.72</v>
      </c>
      <c r="I42" s="54">
        <v>94.92</v>
      </c>
      <c r="J42" s="54">
        <v>6.69</v>
      </c>
      <c r="K42" s="54">
        <v>7.31</v>
      </c>
      <c r="L42" s="54">
        <v>44.82</v>
      </c>
      <c r="M42" s="54">
        <v>152.91999999999999</v>
      </c>
      <c r="N42" s="54">
        <v>9.06</v>
      </c>
      <c r="O42" s="54">
        <v>7.31</v>
      </c>
      <c r="P42" s="54">
        <v>54.37</v>
      </c>
      <c r="Q42" s="54">
        <v>128.27000000000001</v>
      </c>
      <c r="R42" s="53">
        <v>13</v>
      </c>
      <c r="S42" s="53">
        <v>7</v>
      </c>
      <c r="T42" s="53">
        <v>6</v>
      </c>
      <c r="U42" s="53">
        <v>4</v>
      </c>
      <c r="V42" s="53">
        <v>0</v>
      </c>
      <c r="W42" s="54">
        <v>3.53</v>
      </c>
      <c r="X42" s="54">
        <v>7.43</v>
      </c>
      <c r="Y42" s="54">
        <v>44.37</v>
      </c>
      <c r="Z42" s="54">
        <v>103.85</v>
      </c>
      <c r="AA42" s="54">
        <v>4.91</v>
      </c>
      <c r="AB42" s="54">
        <v>7.41</v>
      </c>
      <c r="AC42" s="54">
        <v>45.41</v>
      </c>
      <c r="AD42" s="54">
        <v>111.61</v>
      </c>
      <c r="AE42" s="54">
        <v>6.65</v>
      </c>
      <c r="AF42" s="54">
        <v>7.48</v>
      </c>
      <c r="AG42" s="54">
        <v>61.02</v>
      </c>
      <c r="AH42" s="54">
        <v>169.12</v>
      </c>
      <c r="AI42" s="54">
        <v>8.23</v>
      </c>
      <c r="AJ42" s="54">
        <v>7.63</v>
      </c>
      <c r="AK42" s="54">
        <v>85.79</v>
      </c>
      <c r="AL42" s="54">
        <v>159.69</v>
      </c>
      <c r="AM42" s="53">
        <v>7</v>
      </c>
      <c r="AN42" s="53">
        <v>5</v>
      </c>
      <c r="AO42" s="53">
        <v>1</v>
      </c>
      <c r="AP42" s="53">
        <v>2</v>
      </c>
      <c r="AQ42" s="53">
        <v>0</v>
      </c>
    </row>
    <row r="43" spans="1:43">
      <c r="A43" s="58" t="s">
        <v>848</v>
      </c>
      <c r="B43" s="54">
        <v>3.59</v>
      </c>
      <c r="C43" s="54">
        <v>7.09</v>
      </c>
      <c r="D43" s="54">
        <v>20.21</v>
      </c>
      <c r="E43" s="54">
        <v>88.58</v>
      </c>
      <c r="F43" s="54">
        <v>4.79</v>
      </c>
      <c r="G43" s="54">
        <v>7.14</v>
      </c>
      <c r="H43" s="54">
        <v>30.44</v>
      </c>
      <c r="I43" s="54">
        <v>100.64</v>
      </c>
      <c r="J43" s="54">
        <v>6.84</v>
      </c>
      <c r="K43" s="54">
        <v>7.22</v>
      </c>
      <c r="L43" s="54">
        <v>48.25</v>
      </c>
      <c r="M43" s="54">
        <v>143.85</v>
      </c>
      <c r="N43" s="54">
        <v>8.92</v>
      </c>
      <c r="O43" s="54">
        <v>7.25</v>
      </c>
      <c r="P43" s="54">
        <v>60.43</v>
      </c>
      <c r="Q43" s="54">
        <v>133.13</v>
      </c>
      <c r="R43" s="53">
        <v>11</v>
      </c>
      <c r="S43" s="53">
        <v>7</v>
      </c>
      <c r="T43" s="53">
        <v>6</v>
      </c>
      <c r="U43" s="53">
        <v>5</v>
      </c>
      <c r="V43" s="53">
        <v>0</v>
      </c>
      <c r="W43" s="54">
        <v>3.58</v>
      </c>
      <c r="X43" s="54">
        <v>7.32</v>
      </c>
      <c r="Y43" s="54">
        <v>43.28</v>
      </c>
      <c r="Z43" s="54">
        <v>112.07</v>
      </c>
      <c r="AA43" s="54">
        <v>4.8899999999999997</v>
      </c>
      <c r="AB43" s="54">
        <v>7.35</v>
      </c>
      <c r="AC43" s="54">
        <v>51.05</v>
      </c>
      <c r="AD43" s="54">
        <v>121.25</v>
      </c>
      <c r="AE43" s="54">
        <v>6.65</v>
      </c>
      <c r="AF43" s="54">
        <v>7.45</v>
      </c>
      <c r="AG43" s="54">
        <v>70.849999999999994</v>
      </c>
      <c r="AH43" s="54">
        <v>166.45</v>
      </c>
      <c r="AI43" s="54">
        <v>8.16</v>
      </c>
      <c r="AJ43" s="54">
        <v>7.59</v>
      </c>
      <c r="AK43" s="54">
        <v>94.2</v>
      </c>
      <c r="AL43" s="54">
        <v>166.9</v>
      </c>
      <c r="AM43" s="53">
        <v>6</v>
      </c>
      <c r="AN43" s="53">
        <v>5</v>
      </c>
      <c r="AO43" s="53">
        <v>1</v>
      </c>
      <c r="AP43" s="53">
        <v>2</v>
      </c>
      <c r="AQ43" s="53">
        <v>0</v>
      </c>
    </row>
    <row r="44" spans="1:43">
      <c r="A44" s="58" t="s">
        <v>849</v>
      </c>
      <c r="B44" s="54">
        <v>3.58</v>
      </c>
      <c r="C44" s="54">
        <v>7.32</v>
      </c>
      <c r="D44" s="54">
        <v>29.63</v>
      </c>
      <c r="E44" s="54">
        <v>87.81</v>
      </c>
      <c r="F44" s="54">
        <v>4.78</v>
      </c>
      <c r="G44" s="54">
        <v>7.39</v>
      </c>
      <c r="H44" s="54">
        <v>41.04</v>
      </c>
      <c r="I44" s="54">
        <v>98.44</v>
      </c>
      <c r="J44" s="54">
        <v>6.79</v>
      </c>
      <c r="K44" s="54">
        <v>7.47</v>
      </c>
      <c r="L44" s="54">
        <v>57.72</v>
      </c>
      <c r="M44" s="54">
        <v>168.82</v>
      </c>
      <c r="N44" s="54">
        <v>8.86</v>
      </c>
      <c r="O44" s="54">
        <v>7.49</v>
      </c>
      <c r="P44" s="54">
        <v>68.83</v>
      </c>
      <c r="Q44" s="54">
        <v>134.83000000000001</v>
      </c>
      <c r="R44" s="53">
        <v>11</v>
      </c>
      <c r="S44" s="53">
        <v>6</v>
      </c>
      <c r="T44" s="53">
        <v>6</v>
      </c>
      <c r="U44" s="53">
        <v>4</v>
      </c>
      <c r="V44" s="53">
        <v>0</v>
      </c>
      <c r="W44" s="54">
        <v>3.55</v>
      </c>
      <c r="X44" s="54">
        <v>7.69</v>
      </c>
      <c r="Y44" s="54">
        <v>66</v>
      </c>
      <c r="Z44" s="54">
        <v>124.85</v>
      </c>
      <c r="AA44" s="54">
        <v>4.84</v>
      </c>
      <c r="AB44" s="54">
        <v>8.02</v>
      </c>
      <c r="AC44" s="54">
        <v>104.8</v>
      </c>
      <c r="AD44" s="54">
        <v>162.19999999999999</v>
      </c>
      <c r="AE44" s="54">
        <v>6.42</v>
      </c>
      <c r="AF44" s="54">
        <v>8.09</v>
      </c>
      <c r="AG44" s="54">
        <v>119.85</v>
      </c>
      <c r="AH44" s="54">
        <v>230.95</v>
      </c>
      <c r="AI44" s="54">
        <v>7.66</v>
      </c>
      <c r="AJ44" s="54">
        <v>7.88</v>
      </c>
      <c r="AK44" s="54">
        <v>107.61</v>
      </c>
      <c r="AL44" s="54">
        <v>173.61</v>
      </c>
      <c r="AM44" s="53">
        <v>6</v>
      </c>
      <c r="AN44" s="53">
        <v>5</v>
      </c>
      <c r="AO44" s="53">
        <v>2</v>
      </c>
      <c r="AP44" s="53">
        <v>0</v>
      </c>
      <c r="AQ44" s="53">
        <v>0</v>
      </c>
    </row>
    <row r="45" spans="1:43">
      <c r="A45" s="58" t="s">
        <v>850</v>
      </c>
      <c r="B45" s="54">
        <v>3.65</v>
      </c>
      <c r="C45" s="54">
        <v>7.62</v>
      </c>
      <c r="D45" s="54">
        <v>26.46</v>
      </c>
      <c r="E45" s="54">
        <v>93.38</v>
      </c>
      <c r="F45" s="54">
        <v>4.8</v>
      </c>
      <c r="G45" s="54">
        <v>7.62</v>
      </c>
      <c r="H45" s="54">
        <v>39.159999999999997</v>
      </c>
      <c r="I45" s="54">
        <v>106.56</v>
      </c>
      <c r="J45" s="54">
        <v>6.84</v>
      </c>
      <c r="K45" s="54">
        <v>7.59</v>
      </c>
      <c r="L45" s="54">
        <v>51.71</v>
      </c>
      <c r="M45" s="54">
        <v>180.31</v>
      </c>
      <c r="N45" s="54">
        <v>8.81</v>
      </c>
      <c r="O45" s="54">
        <v>7.55</v>
      </c>
      <c r="P45" s="54">
        <v>63.45</v>
      </c>
      <c r="Q45" s="54">
        <v>141.75</v>
      </c>
      <c r="R45" s="53">
        <v>10</v>
      </c>
      <c r="S45" s="53">
        <v>6</v>
      </c>
      <c r="T45" s="53">
        <v>6</v>
      </c>
      <c r="U45" s="53">
        <v>5</v>
      </c>
      <c r="V45" s="53">
        <v>0</v>
      </c>
      <c r="W45" s="54">
        <v>3.52</v>
      </c>
      <c r="X45" s="54">
        <v>7.84</v>
      </c>
      <c r="Y45" s="54">
        <v>48.91</v>
      </c>
      <c r="Z45" s="54">
        <v>116.25</v>
      </c>
      <c r="AA45" s="54">
        <v>4.8099999999999996</v>
      </c>
      <c r="AB45" s="54">
        <v>7.89</v>
      </c>
      <c r="AC45" s="54">
        <v>66.2</v>
      </c>
      <c r="AD45" s="54">
        <v>133.6</v>
      </c>
      <c r="AE45" s="54">
        <v>6.4</v>
      </c>
      <c r="AF45" s="54">
        <v>7.91</v>
      </c>
      <c r="AG45" s="54">
        <v>84.01</v>
      </c>
      <c r="AH45" s="54">
        <v>212.61</v>
      </c>
      <c r="AI45" s="54">
        <v>7.58</v>
      </c>
      <c r="AJ45" s="54">
        <v>7.91</v>
      </c>
      <c r="AK45" s="54">
        <v>98.64</v>
      </c>
      <c r="AL45" s="54">
        <v>176.94</v>
      </c>
      <c r="AM45" s="53">
        <v>8</v>
      </c>
      <c r="AN45" s="53">
        <v>3</v>
      </c>
      <c r="AO45" s="53">
        <v>2</v>
      </c>
      <c r="AP45" s="53">
        <v>0</v>
      </c>
      <c r="AQ45" s="53">
        <v>0</v>
      </c>
    </row>
    <row r="46" spans="1:43">
      <c r="A46" s="58" t="s">
        <v>851</v>
      </c>
      <c r="B46" s="54">
        <v>3.65</v>
      </c>
      <c r="C46" s="54">
        <v>8.01</v>
      </c>
      <c r="D46" s="54">
        <v>52.05</v>
      </c>
      <c r="E46" s="54">
        <v>154.12</v>
      </c>
      <c r="F46" s="54">
        <v>4.78</v>
      </c>
      <c r="G46" s="54">
        <v>8.01</v>
      </c>
      <c r="H46" s="54">
        <v>66.739999999999995</v>
      </c>
      <c r="I46" s="54">
        <v>168.44</v>
      </c>
      <c r="J46" s="54">
        <v>6.8</v>
      </c>
      <c r="K46" s="54">
        <v>7.97</v>
      </c>
      <c r="L46" s="54">
        <v>82.43</v>
      </c>
      <c r="M46" s="54">
        <v>219.03</v>
      </c>
      <c r="N46" s="54">
        <v>8.75</v>
      </c>
      <c r="O46" s="54">
        <v>7.95</v>
      </c>
      <c r="P46" s="54">
        <v>100.32</v>
      </c>
      <c r="Q46" s="54">
        <v>195.12</v>
      </c>
      <c r="R46" s="53">
        <v>9</v>
      </c>
      <c r="S46" s="53">
        <v>6</v>
      </c>
      <c r="T46" s="53">
        <v>6</v>
      </c>
      <c r="U46" s="53">
        <v>3</v>
      </c>
      <c r="V46" s="53">
        <v>0</v>
      </c>
      <c r="W46" s="54">
        <v>3.39</v>
      </c>
      <c r="X46" s="54">
        <v>8.1999999999999993</v>
      </c>
      <c r="Y46" s="54">
        <v>70.650000000000006</v>
      </c>
      <c r="Z46" s="54">
        <v>173.09</v>
      </c>
      <c r="AA46" s="54">
        <v>4.7699999999999996</v>
      </c>
      <c r="AB46" s="54">
        <v>8.49</v>
      </c>
      <c r="AC46" s="54">
        <v>115.45</v>
      </c>
      <c r="AD46" s="54">
        <v>217.15</v>
      </c>
      <c r="AE46" s="54">
        <v>6.39</v>
      </c>
      <c r="AF46" s="54">
        <v>8.43</v>
      </c>
      <c r="AG46" s="54">
        <v>128.05000000000001</v>
      </c>
      <c r="AH46" s="54">
        <v>264.64999999999998</v>
      </c>
      <c r="AI46" s="54">
        <v>7.5</v>
      </c>
      <c r="AJ46" s="54">
        <v>8.19</v>
      </c>
      <c r="AK46" s="54">
        <v>124.98</v>
      </c>
      <c r="AL46" s="54">
        <v>219.78</v>
      </c>
      <c r="AM46" s="53">
        <v>9</v>
      </c>
      <c r="AN46" s="53">
        <v>3</v>
      </c>
      <c r="AO46" s="53">
        <v>2</v>
      </c>
      <c r="AP46" s="53">
        <v>0</v>
      </c>
      <c r="AQ46" s="53">
        <v>0</v>
      </c>
    </row>
    <row r="47" spans="1:43">
      <c r="A47" s="58" t="s">
        <v>852</v>
      </c>
      <c r="B47" s="54">
        <v>3.56</v>
      </c>
      <c r="C47" s="54">
        <v>8.23</v>
      </c>
      <c r="D47" s="54">
        <v>63.28</v>
      </c>
      <c r="E47" s="54">
        <v>134.08000000000001</v>
      </c>
      <c r="F47" s="54">
        <v>4.6500000000000004</v>
      </c>
      <c r="G47" s="54">
        <v>8.26</v>
      </c>
      <c r="H47" s="54">
        <v>75.28</v>
      </c>
      <c r="I47" s="54">
        <v>155.47999999999999</v>
      </c>
      <c r="J47" s="54">
        <v>6.73</v>
      </c>
      <c r="K47" s="54">
        <v>8.3800000000000008</v>
      </c>
      <c r="L47" s="54">
        <v>102.7</v>
      </c>
      <c r="M47" s="54">
        <v>259.3</v>
      </c>
      <c r="N47" s="54">
        <v>8.8699999999999992</v>
      </c>
      <c r="O47" s="54">
        <v>8.43</v>
      </c>
      <c r="P47" s="54">
        <v>126.42</v>
      </c>
      <c r="Q47" s="54">
        <v>210.82</v>
      </c>
      <c r="R47" s="53">
        <v>9</v>
      </c>
      <c r="S47" s="53">
        <v>4</v>
      </c>
      <c r="T47" s="53">
        <v>5</v>
      </c>
      <c r="U47" s="53">
        <v>2</v>
      </c>
      <c r="V47" s="53">
        <v>0</v>
      </c>
      <c r="W47" s="54">
        <v>3.48</v>
      </c>
      <c r="X47" s="54">
        <v>8.4</v>
      </c>
      <c r="Y47" s="54">
        <v>79.58</v>
      </c>
      <c r="Z47" s="54">
        <v>150.71</v>
      </c>
      <c r="AA47" s="54">
        <v>4.88</v>
      </c>
      <c r="AB47" s="54">
        <v>8.69</v>
      </c>
      <c r="AC47" s="54">
        <v>118.33</v>
      </c>
      <c r="AD47" s="54">
        <v>198.53</v>
      </c>
      <c r="AE47" s="54">
        <v>6.22</v>
      </c>
      <c r="AF47" s="54">
        <v>8.6199999999999992</v>
      </c>
      <c r="AG47" s="54">
        <v>127.1</v>
      </c>
      <c r="AH47" s="54">
        <v>283.7</v>
      </c>
      <c r="AI47" s="54">
        <v>7.37</v>
      </c>
      <c r="AJ47" s="54">
        <v>8.39</v>
      </c>
      <c r="AK47" s="54">
        <v>122.31</v>
      </c>
      <c r="AL47" s="54">
        <v>206.71</v>
      </c>
      <c r="AM47" s="53">
        <v>9</v>
      </c>
      <c r="AN47" s="53">
        <v>3</v>
      </c>
      <c r="AO47" s="53">
        <v>2</v>
      </c>
      <c r="AP47" s="53">
        <v>0</v>
      </c>
      <c r="AQ47" s="53">
        <v>0</v>
      </c>
    </row>
    <row r="48" spans="1:43">
      <c r="A48" s="58" t="s">
        <v>853</v>
      </c>
      <c r="B48" s="54">
        <v>3.49</v>
      </c>
      <c r="C48" s="54">
        <v>8.34</v>
      </c>
      <c r="D48" s="54">
        <v>93.71</v>
      </c>
      <c r="E48" s="54">
        <v>173.04</v>
      </c>
      <c r="F48" s="54">
        <v>4.8099999999999996</v>
      </c>
      <c r="G48" s="54">
        <v>8.3699999999999992</v>
      </c>
      <c r="H48" s="54">
        <v>107.72</v>
      </c>
      <c r="I48" s="54">
        <v>188.72</v>
      </c>
      <c r="J48" s="54">
        <v>6.8</v>
      </c>
      <c r="K48" s="54">
        <v>8.4</v>
      </c>
      <c r="L48" s="54">
        <v>126.39</v>
      </c>
      <c r="M48" s="54">
        <v>261.99</v>
      </c>
      <c r="N48" s="54">
        <v>8.6300000000000008</v>
      </c>
      <c r="O48" s="54">
        <v>8.49</v>
      </c>
      <c r="P48" s="54">
        <v>152.28</v>
      </c>
      <c r="Q48" s="54">
        <v>240.48</v>
      </c>
      <c r="R48" s="53">
        <v>10</v>
      </c>
      <c r="S48" s="53">
        <v>5</v>
      </c>
      <c r="T48" s="53">
        <v>7</v>
      </c>
      <c r="U48" s="53">
        <v>2</v>
      </c>
      <c r="V48" s="53">
        <v>0</v>
      </c>
      <c r="W48" s="54">
        <v>3.49</v>
      </c>
      <c r="X48" s="54">
        <v>8.4499999999999993</v>
      </c>
      <c r="Y48" s="54">
        <v>104.27</v>
      </c>
      <c r="Z48" s="54">
        <v>183.82</v>
      </c>
      <c r="AA48" s="54">
        <v>4.8600000000000003</v>
      </c>
      <c r="AB48" s="54">
        <v>8.7799999999999994</v>
      </c>
      <c r="AC48" s="54">
        <v>148.69999999999999</v>
      </c>
      <c r="AD48" s="54">
        <v>229.7</v>
      </c>
      <c r="AE48" s="54">
        <v>6.17</v>
      </c>
      <c r="AF48" s="54">
        <v>8.65</v>
      </c>
      <c r="AG48" s="54">
        <v>151.34</v>
      </c>
      <c r="AH48" s="54">
        <v>286.94</v>
      </c>
      <c r="AI48" s="54">
        <v>7.29</v>
      </c>
      <c r="AJ48" s="54">
        <v>8.36</v>
      </c>
      <c r="AK48" s="54">
        <v>138.97</v>
      </c>
      <c r="AL48" s="54">
        <v>227.17</v>
      </c>
      <c r="AM48" s="53">
        <v>9</v>
      </c>
      <c r="AN48" s="53">
        <v>4</v>
      </c>
      <c r="AO48" s="53">
        <v>2</v>
      </c>
      <c r="AP48" s="53">
        <v>0</v>
      </c>
      <c r="AQ48" s="53">
        <v>0</v>
      </c>
    </row>
    <row r="49" spans="1:43">
      <c r="A49" s="58" t="s">
        <v>854</v>
      </c>
      <c r="B49" s="54">
        <v>3.53</v>
      </c>
      <c r="C49" s="54">
        <v>8.83</v>
      </c>
      <c r="D49" s="54">
        <v>104.58</v>
      </c>
      <c r="E49" s="54">
        <v>214.42</v>
      </c>
      <c r="F49" s="54">
        <v>4.76</v>
      </c>
      <c r="G49" s="54">
        <v>8.92</v>
      </c>
      <c r="H49" s="54">
        <v>123.49</v>
      </c>
      <c r="I49" s="54">
        <v>236.39</v>
      </c>
      <c r="J49" s="54">
        <v>6.8</v>
      </c>
      <c r="K49" s="54">
        <v>8.99</v>
      </c>
      <c r="L49" s="54">
        <v>148.4</v>
      </c>
      <c r="M49" s="54">
        <v>320.5</v>
      </c>
      <c r="N49" s="54">
        <v>8.6</v>
      </c>
      <c r="O49" s="54">
        <v>9.1300000000000008</v>
      </c>
      <c r="P49" s="54">
        <v>178.05</v>
      </c>
      <c r="Q49" s="54">
        <v>291.25</v>
      </c>
      <c r="R49" s="53">
        <v>10</v>
      </c>
      <c r="S49" s="53">
        <v>6</v>
      </c>
      <c r="T49" s="53">
        <v>5</v>
      </c>
      <c r="U49" s="53">
        <v>2</v>
      </c>
      <c r="V49" s="53">
        <v>0</v>
      </c>
      <c r="W49" s="54">
        <v>3.32</v>
      </c>
      <c r="X49" s="54">
        <v>8.93</v>
      </c>
      <c r="Y49" s="54">
        <v>114.47</v>
      </c>
      <c r="Z49" s="54">
        <v>224.52</v>
      </c>
      <c r="AA49" s="54">
        <v>4.7</v>
      </c>
      <c r="AB49" s="54">
        <v>9.42</v>
      </c>
      <c r="AC49" s="54">
        <v>173.01</v>
      </c>
      <c r="AD49" s="54">
        <v>285.91000000000003</v>
      </c>
      <c r="AE49" s="54">
        <v>6.33</v>
      </c>
      <c r="AF49" s="54">
        <v>9.42</v>
      </c>
      <c r="AG49" s="54">
        <v>191.42</v>
      </c>
      <c r="AH49" s="54">
        <v>363.52</v>
      </c>
      <c r="AI49" s="54">
        <v>7.27</v>
      </c>
      <c r="AJ49" s="54">
        <v>9.19</v>
      </c>
      <c r="AK49" s="54">
        <v>184.14</v>
      </c>
      <c r="AL49" s="54">
        <v>297.33999999999997</v>
      </c>
      <c r="AM49" s="53">
        <v>9</v>
      </c>
      <c r="AN49" s="53">
        <v>3</v>
      </c>
      <c r="AO49" s="53">
        <v>2</v>
      </c>
      <c r="AP49" s="53">
        <v>0</v>
      </c>
      <c r="AQ49" s="53">
        <v>0</v>
      </c>
    </row>
    <row r="50" spans="1:43">
      <c r="A50" s="58" t="s">
        <v>855</v>
      </c>
      <c r="B50" s="54">
        <v>3.38</v>
      </c>
      <c r="C50" s="54">
        <v>8.42</v>
      </c>
      <c r="D50" s="54">
        <v>106.86</v>
      </c>
      <c r="E50" s="54">
        <v>229.44</v>
      </c>
      <c r="F50" s="54">
        <v>4.78</v>
      </c>
      <c r="G50" s="54">
        <v>8.51</v>
      </c>
      <c r="H50" s="54">
        <v>120.92</v>
      </c>
      <c r="I50" s="54">
        <v>242.62</v>
      </c>
      <c r="J50" s="54">
        <v>6.78</v>
      </c>
      <c r="K50" s="54">
        <v>8.6999999999999993</v>
      </c>
      <c r="L50" s="54">
        <v>150.28</v>
      </c>
      <c r="M50" s="54">
        <v>262.48</v>
      </c>
      <c r="N50" s="54">
        <v>8.59</v>
      </c>
      <c r="O50" s="54">
        <v>8.69</v>
      </c>
      <c r="P50" s="54">
        <v>159.87</v>
      </c>
      <c r="Q50" s="54">
        <v>263.97000000000003</v>
      </c>
      <c r="R50" s="53">
        <v>10</v>
      </c>
      <c r="S50" s="53">
        <v>5</v>
      </c>
      <c r="T50" s="53">
        <v>4</v>
      </c>
      <c r="U50" s="53">
        <v>2</v>
      </c>
      <c r="V50" s="53">
        <v>0</v>
      </c>
      <c r="W50" s="54">
        <v>3.24</v>
      </c>
      <c r="X50" s="54">
        <v>8.73</v>
      </c>
      <c r="Y50" s="54">
        <v>137.31</v>
      </c>
      <c r="Z50" s="54">
        <v>260.54000000000002</v>
      </c>
      <c r="AA50" s="54">
        <v>4.33</v>
      </c>
      <c r="AB50" s="54">
        <v>9.32</v>
      </c>
      <c r="AC50" s="54">
        <v>201.71</v>
      </c>
      <c r="AD50" s="54">
        <v>323.41000000000003</v>
      </c>
      <c r="AE50" s="54">
        <v>5.21</v>
      </c>
      <c r="AF50" s="54">
        <v>9.5500000000000007</v>
      </c>
      <c r="AG50" s="54">
        <v>234.94</v>
      </c>
      <c r="AH50" s="54">
        <v>347.14</v>
      </c>
      <c r="AI50" s="54">
        <v>7.13</v>
      </c>
      <c r="AJ50" s="54">
        <v>8.91</v>
      </c>
      <c r="AK50" s="54">
        <v>181.31</v>
      </c>
      <c r="AL50" s="54">
        <v>285.41000000000003</v>
      </c>
      <c r="AM50" s="53">
        <v>8</v>
      </c>
      <c r="AN50" s="53">
        <v>2</v>
      </c>
      <c r="AO50" s="53">
        <v>1</v>
      </c>
      <c r="AP50" s="53">
        <v>0</v>
      </c>
      <c r="AQ50" s="53">
        <v>0</v>
      </c>
    </row>
    <row r="51" spans="1:43">
      <c r="A51" s="58" t="s">
        <v>856</v>
      </c>
      <c r="B51" s="54">
        <v>3.42</v>
      </c>
      <c r="C51" s="54">
        <v>8.5299999999999994</v>
      </c>
      <c r="D51" s="54">
        <v>88.8</v>
      </c>
      <c r="E51" s="54">
        <v>216.01</v>
      </c>
      <c r="F51" s="54">
        <v>4.82</v>
      </c>
      <c r="G51" s="54">
        <v>8.61</v>
      </c>
      <c r="H51" s="54">
        <v>110.86</v>
      </c>
      <c r="I51" s="54">
        <v>235.76</v>
      </c>
      <c r="J51" s="54">
        <v>6.74</v>
      </c>
      <c r="K51" s="54">
        <v>8.7799999999999994</v>
      </c>
      <c r="L51" s="54">
        <v>138.69999999999999</v>
      </c>
      <c r="M51" s="54">
        <v>250.2</v>
      </c>
      <c r="N51" s="54">
        <v>8.4700000000000006</v>
      </c>
      <c r="O51" s="54">
        <v>8.93</v>
      </c>
      <c r="P51" s="54">
        <v>166.99</v>
      </c>
      <c r="Q51" s="54">
        <v>264.39</v>
      </c>
      <c r="R51" s="53">
        <v>12</v>
      </c>
      <c r="S51" s="53">
        <v>5</v>
      </c>
      <c r="T51" s="53">
        <v>5</v>
      </c>
      <c r="U51" s="53">
        <v>2</v>
      </c>
      <c r="V51" s="53">
        <v>0</v>
      </c>
      <c r="W51" s="54">
        <v>3.35</v>
      </c>
      <c r="X51" s="54">
        <v>8.9600000000000009</v>
      </c>
      <c r="Y51" s="54">
        <v>130.91</v>
      </c>
      <c r="Z51" s="54">
        <v>259.02999999999997</v>
      </c>
      <c r="AA51" s="54">
        <v>4.7</v>
      </c>
      <c r="AB51" s="54">
        <v>9.4</v>
      </c>
      <c r="AC51" s="54">
        <v>189.8</v>
      </c>
      <c r="AD51" s="54">
        <v>314.7</v>
      </c>
      <c r="AE51" s="54">
        <v>6.57</v>
      </c>
      <c r="AF51" s="54">
        <v>9.43</v>
      </c>
      <c r="AG51" s="54">
        <v>203.76</v>
      </c>
      <c r="AH51" s="54">
        <v>315.26</v>
      </c>
      <c r="AI51" s="54">
        <v>7.59</v>
      </c>
      <c r="AJ51" s="54">
        <v>9.36</v>
      </c>
      <c r="AK51" s="54">
        <v>210.35</v>
      </c>
      <c r="AL51" s="54">
        <v>307.75</v>
      </c>
      <c r="AM51" s="53">
        <v>9</v>
      </c>
      <c r="AN51" s="53">
        <v>3</v>
      </c>
      <c r="AO51" s="53">
        <v>2</v>
      </c>
      <c r="AP51" s="53">
        <v>1</v>
      </c>
      <c r="AQ51" s="53">
        <v>0</v>
      </c>
    </row>
    <row r="52" spans="1:43">
      <c r="A52" s="58" t="s">
        <v>857</v>
      </c>
      <c r="B52" s="54">
        <v>3.42</v>
      </c>
      <c r="C52" s="54">
        <v>8.6</v>
      </c>
      <c r="D52" s="54">
        <v>82</v>
      </c>
      <c r="E52" s="54">
        <v>187.25</v>
      </c>
      <c r="F52" s="54">
        <v>4.79</v>
      </c>
      <c r="G52" s="54">
        <v>8.67</v>
      </c>
      <c r="H52" s="54">
        <v>107.88</v>
      </c>
      <c r="I52" s="54">
        <v>208.38</v>
      </c>
      <c r="J52" s="54">
        <v>6.69</v>
      </c>
      <c r="K52" s="54">
        <v>8.77</v>
      </c>
      <c r="L52" s="54">
        <v>132.91</v>
      </c>
      <c r="M52" s="54">
        <v>220.71</v>
      </c>
      <c r="N52" s="54">
        <v>8.39</v>
      </c>
      <c r="O52" s="54">
        <v>8.7799999999999994</v>
      </c>
      <c r="P52" s="54">
        <v>148.5</v>
      </c>
      <c r="Q52" s="54">
        <v>225</v>
      </c>
      <c r="R52" s="53">
        <v>13</v>
      </c>
      <c r="S52" s="53">
        <v>5</v>
      </c>
      <c r="T52" s="53">
        <v>6</v>
      </c>
      <c r="U52" s="53">
        <v>2</v>
      </c>
      <c r="V52" s="53">
        <v>0</v>
      </c>
      <c r="W52" s="54">
        <v>3.5</v>
      </c>
      <c r="X52" s="54">
        <v>9.11</v>
      </c>
      <c r="Y52" s="54">
        <v>131.69</v>
      </c>
      <c r="Z52" s="54">
        <v>238.03</v>
      </c>
      <c r="AA52" s="54">
        <v>4.8</v>
      </c>
      <c r="AB52" s="54">
        <v>9.3800000000000008</v>
      </c>
      <c r="AC52" s="54">
        <v>178.69</v>
      </c>
      <c r="AD52" s="54">
        <v>279.19</v>
      </c>
      <c r="AE52" s="54">
        <v>6.34</v>
      </c>
      <c r="AF52" s="54">
        <v>9.3000000000000007</v>
      </c>
      <c r="AG52" s="54">
        <v>186.43</v>
      </c>
      <c r="AH52" s="54">
        <v>274.23</v>
      </c>
      <c r="AI52" s="54">
        <v>7.5</v>
      </c>
      <c r="AJ52" s="54">
        <v>9.2799999999999994</v>
      </c>
      <c r="AK52" s="54">
        <v>198.77</v>
      </c>
      <c r="AL52" s="54">
        <v>275.27</v>
      </c>
      <c r="AM52" s="53">
        <v>8</v>
      </c>
      <c r="AN52" s="53">
        <v>4</v>
      </c>
      <c r="AO52" s="53">
        <v>2</v>
      </c>
      <c r="AP52" s="53">
        <v>1</v>
      </c>
      <c r="AQ52" s="53">
        <v>0</v>
      </c>
    </row>
    <row r="53" spans="1:43">
      <c r="A53" s="58" t="s">
        <v>858</v>
      </c>
      <c r="B53" s="54">
        <v>3.32</v>
      </c>
      <c r="C53" s="54">
        <v>8.8699999999999992</v>
      </c>
      <c r="D53" s="54">
        <v>95.95</v>
      </c>
      <c r="E53" s="54">
        <v>216.27</v>
      </c>
      <c r="F53" s="54">
        <v>4.82</v>
      </c>
      <c r="G53" s="54">
        <v>8.89</v>
      </c>
      <c r="H53" s="54">
        <v>117.47</v>
      </c>
      <c r="I53" s="54">
        <v>233.37</v>
      </c>
      <c r="J53" s="54">
        <v>6.69</v>
      </c>
      <c r="K53" s="54">
        <v>8.9700000000000006</v>
      </c>
      <c r="L53" s="54">
        <v>140.82</v>
      </c>
      <c r="M53" s="54">
        <v>250.12</v>
      </c>
      <c r="N53" s="54">
        <v>8.3800000000000008</v>
      </c>
      <c r="O53" s="54">
        <v>9.1</v>
      </c>
      <c r="P53" s="54">
        <v>168.18</v>
      </c>
      <c r="Q53" s="54">
        <v>264.98</v>
      </c>
      <c r="R53" s="53">
        <v>14</v>
      </c>
      <c r="S53" s="53">
        <v>9</v>
      </c>
      <c r="T53" s="53">
        <v>8</v>
      </c>
      <c r="U53" s="53">
        <v>4</v>
      </c>
      <c r="V53" s="53">
        <v>0</v>
      </c>
      <c r="W53" s="54">
        <v>3.98</v>
      </c>
      <c r="X53" s="54">
        <v>9.4600000000000009</v>
      </c>
      <c r="Y53" s="54">
        <v>154.46</v>
      </c>
      <c r="Z53" s="54">
        <v>276.10000000000002</v>
      </c>
      <c r="AA53" s="54">
        <v>4.9800000000000004</v>
      </c>
      <c r="AB53" s="54">
        <v>9.59</v>
      </c>
      <c r="AC53" s="54">
        <v>186.91</v>
      </c>
      <c r="AD53" s="54">
        <v>302.81</v>
      </c>
      <c r="AE53" s="54">
        <v>6.17</v>
      </c>
      <c r="AF53" s="54">
        <v>9.7200000000000006</v>
      </c>
      <c r="AG53" s="54">
        <v>215.36</v>
      </c>
      <c r="AH53" s="54">
        <v>324.66000000000003</v>
      </c>
      <c r="AI53" s="54">
        <v>7.54</v>
      </c>
      <c r="AJ53" s="54">
        <v>10.1</v>
      </c>
      <c r="AK53" s="54">
        <v>268.45</v>
      </c>
      <c r="AL53" s="54">
        <v>365.25</v>
      </c>
      <c r="AM53" s="53">
        <v>7</v>
      </c>
      <c r="AN53" s="53">
        <v>6</v>
      </c>
      <c r="AO53" s="53">
        <v>4</v>
      </c>
      <c r="AP53" s="53">
        <v>0</v>
      </c>
      <c r="AQ53" s="53">
        <v>0</v>
      </c>
    </row>
    <row r="54" spans="1:43">
      <c r="A54" s="58" t="s">
        <v>859</v>
      </c>
      <c r="B54" s="54">
        <v>3.28</v>
      </c>
      <c r="C54" s="54">
        <v>8.31</v>
      </c>
      <c r="D54" s="54">
        <v>101.79</v>
      </c>
      <c r="E54" s="54">
        <v>215.15</v>
      </c>
      <c r="F54" s="54">
        <v>4.82</v>
      </c>
      <c r="G54" s="54">
        <v>8.4600000000000009</v>
      </c>
      <c r="H54" s="54">
        <v>123.85</v>
      </c>
      <c r="I54" s="54">
        <v>230.95</v>
      </c>
      <c r="J54" s="54">
        <v>6.68</v>
      </c>
      <c r="K54" s="54">
        <v>8.61</v>
      </c>
      <c r="L54" s="54">
        <v>143.30000000000001</v>
      </c>
      <c r="M54" s="54">
        <v>241.5</v>
      </c>
      <c r="N54" s="54">
        <v>8.32</v>
      </c>
      <c r="O54" s="54">
        <v>8.7100000000000009</v>
      </c>
      <c r="P54" s="54">
        <v>156.19999999999999</v>
      </c>
      <c r="Q54" s="54">
        <v>248.9</v>
      </c>
      <c r="R54" s="53">
        <v>14</v>
      </c>
      <c r="S54" s="53">
        <v>10</v>
      </c>
      <c r="T54" s="53">
        <v>7</v>
      </c>
      <c r="U54" s="53">
        <v>4</v>
      </c>
      <c r="V54" s="53">
        <v>0</v>
      </c>
      <c r="W54" s="54">
        <v>3.95</v>
      </c>
      <c r="X54" s="54">
        <v>8.91</v>
      </c>
      <c r="Y54" s="54">
        <v>159.93</v>
      </c>
      <c r="Z54" s="54">
        <v>274.52999999999997</v>
      </c>
      <c r="AA54" s="54">
        <v>4.9400000000000004</v>
      </c>
      <c r="AB54" s="54">
        <v>9.0500000000000007</v>
      </c>
      <c r="AC54" s="54">
        <v>183.03</v>
      </c>
      <c r="AD54" s="54">
        <v>290.13</v>
      </c>
      <c r="AE54" s="54">
        <v>6.41</v>
      </c>
      <c r="AF54" s="54">
        <v>9.26</v>
      </c>
      <c r="AG54" s="54">
        <v>207.76</v>
      </c>
      <c r="AH54" s="54">
        <v>305.95999999999998</v>
      </c>
      <c r="AI54" s="54">
        <v>9.43</v>
      </c>
      <c r="AJ54" s="54">
        <v>9.2200000000000006</v>
      </c>
      <c r="AK54" s="54">
        <v>207.43</v>
      </c>
      <c r="AL54" s="54">
        <v>300.13</v>
      </c>
      <c r="AM54" s="53">
        <v>8</v>
      </c>
      <c r="AN54" s="53">
        <v>4</v>
      </c>
      <c r="AO54" s="53">
        <v>4</v>
      </c>
      <c r="AP54" s="53">
        <v>1</v>
      </c>
      <c r="AQ54" s="53">
        <v>1</v>
      </c>
    </row>
    <row r="55" spans="1:43">
      <c r="A55" s="58" t="s">
        <v>860</v>
      </c>
      <c r="B55" s="54">
        <v>3.25</v>
      </c>
      <c r="C55" s="54">
        <v>7.7</v>
      </c>
      <c r="D55" s="54">
        <v>94.29</v>
      </c>
      <c r="E55" s="54">
        <v>204.75</v>
      </c>
      <c r="F55" s="54">
        <v>4.79</v>
      </c>
      <c r="G55" s="54">
        <v>7.84</v>
      </c>
      <c r="H55" s="54">
        <v>113.52</v>
      </c>
      <c r="I55" s="54">
        <v>215.02</v>
      </c>
      <c r="J55" s="54">
        <v>6.65</v>
      </c>
      <c r="K55" s="54">
        <v>8.06</v>
      </c>
      <c r="L55" s="54">
        <v>141.79</v>
      </c>
      <c r="M55" s="54">
        <v>234.89</v>
      </c>
      <c r="N55" s="54">
        <v>8.27</v>
      </c>
      <c r="O55" s="54">
        <v>8.25</v>
      </c>
      <c r="P55" s="54">
        <v>166.23</v>
      </c>
      <c r="Q55" s="54">
        <v>249.33</v>
      </c>
      <c r="R55" s="53">
        <v>15</v>
      </c>
      <c r="S55" s="53">
        <v>11</v>
      </c>
      <c r="T55" s="53">
        <v>7</v>
      </c>
      <c r="U55" s="53">
        <v>4</v>
      </c>
      <c r="V55" s="53">
        <v>0</v>
      </c>
      <c r="W55" s="54">
        <v>3.97</v>
      </c>
      <c r="X55" s="54">
        <v>8.48</v>
      </c>
      <c r="Y55" s="54">
        <v>171.07</v>
      </c>
      <c r="Z55" s="54">
        <v>283.07</v>
      </c>
      <c r="AA55" s="54">
        <v>4.9000000000000004</v>
      </c>
      <c r="AB55" s="54">
        <v>8.61</v>
      </c>
      <c r="AC55" s="54">
        <v>190.77</v>
      </c>
      <c r="AD55" s="54">
        <v>292.27</v>
      </c>
      <c r="AE55" s="54">
        <v>6.42</v>
      </c>
      <c r="AF55" s="54">
        <v>8.8000000000000007</v>
      </c>
      <c r="AG55" s="54">
        <v>215.97</v>
      </c>
      <c r="AH55" s="54">
        <v>309.07</v>
      </c>
      <c r="AI55" s="54">
        <v>9.39</v>
      </c>
      <c r="AJ55" s="54">
        <v>8.7799999999999994</v>
      </c>
      <c r="AK55" s="54">
        <v>219.2</v>
      </c>
      <c r="AL55" s="54">
        <v>302.3</v>
      </c>
      <c r="AM55" s="53">
        <v>7</v>
      </c>
      <c r="AN55" s="53">
        <v>4</v>
      </c>
      <c r="AO55" s="53">
        <v>4</v>
      </c>
      <c r="AP55" s="53">
        <v>1</v>
      </c>
      <c r="AQ55" s="53">
        <v>1</v>
      </c>
    </row>
    <row r="56" spans="1:43">
      <c r="A56" s="58" t="s">
        <v>861</v>
      </c>
      <c r="B56" s="54">
        <v>3.18</v>
      </c>
      <c r="C56" s="54">
        <v>7.66</v>
      </c>
      <c r="D56" s="54">
        <v>135.94</v>
      </c>
      <c r="E56" s="54">
        <v>256.52999999999997</v>
      </c>
      <c r="F56" s="54">
        <v>4.87</v>
      </c>
      <c r="G56" s="54">
        <v>7.82</v>
      </c>
      <c r="H56" s="54">
        <v>153.49</v>
      </c>
      <c r="I56" s="54">
        <v>263.19</v>
      </c>
      <c r="J56" s="54">
        <v>6.68</v>
      </c>
      <c r="K56" s="54">
        <v>8.08</v>
      </c>
      <c r="L56" s="54">
        <v>181.91</v>
      </c>
      <c r="M56" s="54">
        <v>279.31</v>
      </c>
      <c r="N56" s="54">
        <v>8.1999999999999993</v>
      </c>
      <c r="O56" s="54">
        <v>8.4600000000000009</v>
      </c>
      <c r="P56" s="54">
        <v>221.04</v>
      </c>
      <c r="Q56" s="54">
        <v>306.54000000000002</v>
      </c>
      <c r="R56" s="53">
        <v>13</v>
      </c>
      <c r="S56" s="53">
        <v>10</v>
      </c>
      <c r="T56" s="53">
        <v>8</v>
      </c>
      <c r="U56" s="53">
        <v>3</v>
      </c>
      <c r="V56" s="53">
        <v>0</v>
      </c>
      <c r="W56" s="54">
        <v>3.93</v>
      </c>
      <c r="X56" s="54">
        <v>8.35</v>
      </c>
      <c r="Y56" s="54">
        <v>204.01</v>
      </c>
      <c r="Z56" s="54">
        <v>325.95</v>
      </c>
      <c r="AA56" s="54">
        <v>4.82</v>
      </c>
      <c r="AB56" s="54">
        <v>8.64</v>
      </c>
      <c r="AC56" s="54">
        <v>235.9</v>
      </c>
      <c r="AD56" s="54">
        <v>345.6</v>
      </c>
      <c r="AE56" s="54">
        <v>6.31</v>
      </c>
      <c r="AF56" s="54">
        <v>8.98</v>
      </c>
      <c r="AG56" s="54">
        <v>272</v>
      </c>
      <c r="AH56" s="54">
        <v>369.4</v>
      </c>
      <c r="AI56" s="54">
        <v>9.43</v>
      </c>
      <c r="AJ56" s="54">
        <v>9.0500000000000007</v>
      </c>
      <c r="AK56" s="54">
        <v>279.64</v>
      </c>
      <c r="AL56" s="54">
        <v>365.14</v>
      </c>
      <c r="AM56" s="53">
        <v>7</v>
      </c>
      <c r="AN56" s="53">
        <v>4</v>
      </c>
      <c r="AO56" s="53">
        <v>3</v>
      </c>
      <c r="AP56" s="53">
        <v>1</v>
      </c>
      <c r="AQ56" s="53">
        <v>1</v>
      </c>
    </row>
    <row r="57" spans="1:43">
      <c r="A57" s="58" t="s">
        <v>862</v>
      </c>
      <c r="B57" s="54">
        <v>3.18</v>
      </c>
      <c r="C57" s="54">
        <v>8.59</v>
      </c>
      <c r="D57" s="54">
        <v>307.56</v>
      </c>
      <c r="E57" s="54">
        <v>409.68</v>
      </c>
      <c r="F57" s="54">
        <v>4.8</v>
      </c>
      <c r="G57" s="54">
        <v>9.02</v>
      </c>
      <c r="H57" s="54">
        <v>330.12</v>
      </c>
      <c r="I57" s="54">
        <v>430.72</v>
      </c>
      <c r="J57" s="54">
        <v>6.64</v>
      </c>
      <c r="K57" s="54">
        <v>9.26</v>
      </c>
      <c r="L57" s="54">
        <v>348.51</v>
      </c>
      <c r="M57" s="54">
        <v>436.91</v>
      </c>
      <c r="N57" s="54">
        <v>8.14</v>
      </c>
      <c r="O57" s="54">
        <v>9.3800000000000008</v>
      </c>
      <c r="P57" s="54">
        <v>355.36</v>
      </c>
      <c r="Q57" s="54">
        <v>420.96</v>
      </c>
      <c r="R57" s="53">
        <v>14</v>
      </c>
      <c r="S57" s="53">
        <v>10</v>
      </c>
      <c r="T57" s="53">
        <v>8</v>
      </c>
      <c r="U57" s="53">
        <v>3</v>
      </c>
      <c r="V57" s="53">
        <v>0</v>
      </c>
      <c r="W57" s="54">
        <v>3.81</v>
      </c>
      <c r="X57" s="54">
        <v>9.75</v>
      </c>
      <c r="Y57" s="54">
        <v>421.64</v>
      </c>
      <c r="Z57" s="54">
        <v>526.34</v>
      </c>
      <c r="AA57" s="54">
        <v>4.9000000000000004</v>
      </c>
      <c r="AB57" s="54">
        <v>10.63</v>
      </c>
      <c r="AC57" s="54">
        <v>491.02</v>
      </c>
      <c r="AD57" s="54">
        <v>591.62</v>
      </c>
      <c r="AE57" s="54">
        <v>6.57</v>
      </c>
      <c r="AF57" s="54">
        <v>9.6199999999999992</v>
      </c>
      <c r="AG57" s="54">
        <v>385.28</v>
      </c>
      <c r="AH57" s="54">
        <v>473.68</v>
      </c>
      <c r="AI57" s="54">
        <v>9.2899999999999991</v>
      </c>
      <c r="AJ57" s="54">
        <v>10.93</v>
      </c>
      <c r="AK57" s="54">
        <v>510.09</v>
      </c>
      <c r="AL57" s="54">
        <v>575.69000000000005</v>
      </c>
      <c r="AM57" s="53">
        <v>7</v>
      </c>
      <c r="AN57" s="53">
        <v>3</v>
      </c>
      <c r="AO57" s="53">
        <v>4</v>
      </c>
      <c r="AP57" s="53">
        <v>1</v>
      </c>
      <c r="AQ57" s="53">
        <v>1</v>
      </c>
    </row>
    <row r="58" spans="1:43">
      <c r="A58" s="58" t="s">
        <v>863</v>
      </c>
      <c r="B58" s="54">
        <v>3.16</v>
      </c>
      <c r="C58" s="54">
        <v>6.99</v>
      </c>
      <c r="D58" s="54">
        <v>252.71</v>
      </c>
      <c r="E58" s="54">
        <v>341</v>
      </c>
      <c r="F58" s="54">
        <v>4.7699999999999996</v>
      </c>
      <c r="G58" s="54">
        <v>7.73</v>
      </c>
      <c r="H58" s="54">
        <v>294.02</v>
      </c>
      <c r="I58" s="54">
        <v>384.22</v>
      </c>
      <c r="J58" s="54">
        <v>6.61</v>
      </c>
      <c r="K58" s="54">
        <v>8.4499999999999993</v>
      </c>
      <c r="L58" s="54">
        <v>348.36</v>
      </c>
      <c r="M58" s="54">
        <v>428.06</v>
      </c>
      <c r="N58" s="54">
        <v>8.08</v>
      </c>
      <c r="O58" s="54">
        <v>9.1300000000000008</v>
      </c>
      <c r="P58" s="54">
        <v>403.65</v>
      </c>
      <c r="Q58" s="54">
        <v>453.45</v>
      </c>
      <c r="R58" s="53">
        <v>16</v>
      </c>
      <c r="S58" s="53">
        <v>11</v>
      </c>
      <c r="T58" s="53">
        <v>7</v>
      </c>
      <c r="U58" s="53">
        <v>3</v>
      </c>
      <c r="V58" s="53">
        <v>0</v>
      </c>
      <c r="W58" s="54">
        <v>3.8</v>
      </c>
      <c r="X58" s="54">
        <v>11.58</v>
      </c>
      <c r="Y58" s="54">
        <v>701.56</v>
      </c>
      <c r="Z58" s="54">
        <v>800.15</v>
      </c>
      <c r="AA58" s="54">
        <v>4.92</v>
      </c>
      <c r="AB58" s="54">
        <v>13.15</v>
      </c>
      <c r="AC58" s="54">
        <v>836.49</v>
      </c>
      <c r="AD58" s="54">
        <v>926.69</v>
      </c>
      <c r="AE58" s="54">
        <v>6.69</v>
      </c>
      <c r="AF58" s="54">
        <v>10.59</v>
      </c>
      <c r="AG58" s="54">
        <v>562.33000000000004</v>
      </c>
      <c r="AH58" s="54">
        <v>642.03</v>
      </c>
      <c r="AI58" s="54">
        <v>9.25</v>
      </c>
      <c r="AJ58" s="54">
        <v>12.85</v>
      </c>
      <c r="AK58" s="54">
        <v>775.51</v>
      </c>
      <c r="AL58" s="54">
        <v>825.31</v>
      </c>
      <c r="AM58" s="53">
        <v>5</v>
      </c>
      <c r="AN58" s="53">
        <v>2</v>
      </c>
      <c r="AO58" s="53">
        <v>4</v>
      </c>
      <c r="AP58" s="53">
        <v>1</v>
      </c>
      <c r="AQ58" s="53">
        <v>1</v>
      </c>
    </row>
    <row r="59" spans="1:43">
      <c r="A59" s="58" t="s">
        <v>864</v>
      </c>
      <c r="B59" s="54">
        <v>3.15</v>
      </c>
      <c r="C59" s="54">
        <v>6.59</v>
      </c>
      <c r="D59" s="54">
        <v>268.16000000000003</v>
      </c>
      <c r="E59" s="54">
        <v>351.9</v>
      </c>
      <c r="F59" s="54">
        <v>4.76</v>
      </c>
      <c r="G59" s="54">
        <v>7.36</v>
      </c>
      <c r="H59" s="54">
        <v>310.88</v>
      </c>
      <c r="I59" s="54">
        <v>394.48</v>
      </c>
      <c r="J59" s="54">
        <v>6.59</v>
      </c>
      <c r="K59" s="54">
        <v>8</v>
      </c>
      <c r="L59" s="54">
        <v>369.64</v>
      </c>
      <c r="M59" s="54">
        <v>437.44</v>
      </c>
      <c r="N59" s="54">
        <v>8.02</v>
      </c>
      <c r="O59" s="54">
        <v>8.3800000000000008</v>
      </c>
      <c r="P59" s="54">
        <v>405.03</v>
      </c>
      <c r="Q59" s="54">
        <v>438.83</v>
      </c>
      <c r="R59" s="53">
        <v>15</v>
      </c>
      <c r="S59" s="53">
        <v>10</v>
      </c>
      <c r="T59" s="53">
        <v>7</v>
      </c>
      <c r="U59" s="53">
        <v>3</v>
      </c>
      <c r="V59" s="53">
        <v>0</v>
      </c>
      <c r="W59" s="54">
        <v>3.78</v>
      </c>
      <c r="X59" s="54">
        <v>11.11</v>
      </c>
      <c r="Y59" s="54">
        <v>710.17</v>
      </c>
      <c r="Z59" s="54">
        <v>803.57</v>
      </c>
      <c r="AA59" s="54">
        <v>4.9800000000000004</v>
      </c>
      <c r="AB59" s="54">
        <v>12.31</v>
      </c>
      <c r="AC59" s="54">
        <v>805.57</v>
      </c>
      <c r="AD59" s="54">
        <v>889.17</v>
      </c>
      <c r="AE59" s="54">
        <v>6.73</v>
      </c>
      <c r="AF59" s="54">
        <v>9.91</v>
      </c>
      <c r="AG59" s="54">
        <v>560.42999999999995</v>
      </c>
      <c r="AH59" s="54">
        <v>628.23</v>
      </c>
      <c r="AI59" s="54">
        <v>9.19</v>
      </c>
      <c r="AJ59" s="54">
        <v>13.26</v>
      </c>
      <c r="AK59" s="54">
        <v>892.64</v>
      </c>
      <c r="AL59" s="54">
        <v>926.44</v>
      </c>
      <c r="AM59" s="53">
        <v>4</v>
      </c>
      <c r="AN59" s="53">
        <v>2</v>
      </c>
      <c r="AO59" s="53">
        <v>4</v>
      </c>
      <c r="AP59" s="53">
        <v>1</v>
      </c>
      <c r="AQ59" s="53">
        <v>1</v>
      </c>
    </row>
    <row r="60" spans="1:43">
      <c r="A60" s="58" t="s">
        <v>865</v>
      </c>
      <c r="B60" s="54">
        <v>3.1</v>
      </c>
      <c r="C60" s="54">
        <v>6.19</v>
      </c>
      <c r="D60" s="54">
        <v>271.27999999999997</v>
      </c>
      <c r="E60" s="54">
        <v>328.99</v>
      </c>
      <c r="F60" s="54">
        <v>4.78</v>
      </c>
      <c r="G60" s="54">
        <v>6.74</v>
      </c>
      <c r="H60" s="54">
        <v>286.04000000000002</v>
      </c>
      <c r="I60" s="54">
        <v>338.64</v>
      </c>
      <c r="J60" s="54">
        <v>6.59</v>
      </c>
      <c r="K60" s="54">
        <v>7.15</v>
      </c>
      <c r="L60" s="54">
        <v>295.60000000000002</v>
      </c>
      <c r="M60" s="54">
        <v>326.60000000000002</v>
      </c>
      <c r="N60" s="54">
        <v>7.96</v>
      </c>
      <c r="O60" s="54">
        <v>7.83</v>
      </c>
      <c r="P60" s="54">
        <v>341.29</v>
      </c>
      <c r="Q60" s="54">
        <v>372.89</v>
      </c>
      <c r="R60" s="53">
        <v>14</v>
      </c>
      <c r="S60" s="53">
        <v>10</v>
      </c>
      <c r="T60" s="53">
        <v>7</v>
      </c>
      <c r="U60" s="53">
        <v>3</v>
      </c>
      <c r="V60" s="53">
        <v>0</v>
      </c>
      <c r="W60" s="54">
        <v>3.73</v>
      </c>
      <c r="X60" s="54">
        <v>8.89</v>
      </c>
      <c r="Y60" s="54">
        <v>536.22</v>
      </c>
      <c r="Z60" s="54">
        <v>598.88</v>
      </c>
      <c r="AA60" s="54">
        <v>4.8499999999999996</v>
      </c>
      <c r="AB60" s="54">
        <v>9.77</v>
      </c>
      <c r="AC60" s="54">
        <v>588.66999999999996</v>
      </c>
      <c r="AD60" s="54">
        <v>641.27</v>
      </c>
      <c r="AE60" s="54">
        <v>6.69</v>
      </c>
      <c r="AF60" s="54">
        <v>8.82</v>
      </c>
      <c r="AG60" s="54">
        <v>462.45</v>
      </c>
      <c r="AH60" s="54">
        <v>493.45</v>
      </c>
      <c r="AI60" s="54">
        <v>9.1300000000000008</v>
      </c>
      <c r="AJ60" s="54">
        <v>11.37</v>
      </c>
      <c r="AK60" s="54">
        <v>695.24</v>
      </c>
      <c r="AL60" s="54">
        <v>726.84</v>
      </c>
      <c r="AM60" s="53">
        <v>5</v>
      </c>
      <c r="AN60" s="53">
        <v>3</v>
      </c>
      <c r="AO60" s="53">
        <v>4</v>
      </c>
      <c r="AP60" s="53">
        <v>1</v>
      </c>
      <c r="AQ60" s="53">
        <v>1</v>
      </c>
    </row>
    <row r="61" spans="1:43">
      <c r="A61" s="58" t="s">
        <v>866</v>
      </c>
      <c r="B61" s="54">
        <v>3.1</v>
      </c>
      <c r="C61" s="54">
        <v>6.38</v>
      </c>
      <c r="D61" s="54">
        <v>267.42</v>
      </c>
      <c r="E61" s="54">
        <v>313.42</v>
      </c>
      <c r="F61" s="54">
        <v>4.8</v>
      </c>
      <c r="G61" s="54">
        <v>7.26</v>
      </c>
      <c r="H61" s="54">
        <v>304.64</v>
      </c>
      <c r="I61" s="54">
        <v>346.34</v>
      </c>
      <c r="J61" s="54">
        <v>6.58</v>
      </c>
      <c r="K61" s="54">
        <v>7.97</v>
      </c>
      <c r="L61" s="54">
        <v>337.68</v>
      </c>
      <c r="M61" s="54">
        <v>378.78</v>
      </c>
      <c r="N61" s="54">
        <v>8.6199999999999992</v>
      </c>
      <c r="O61" s="54">
        <v>9.23</v>
      </c>
      <c r="P61" s="54">
        <v>432.94</v>
      </c>
      <c r="Q61" s="54">
        <v>483.14</v>
      </c>
      <c r="R61" s="53">
        <v>15</v>
      </c>
      <c r="S61" s="53">
        <v>11</v>
      </c>
      <c r="T61" s="53">
        <v>8</v>
      </c>
      <c r="U61" s="53">
        <v>4</v>
      </c>
      <c r="V61" s="53">
        <v>0</v>
      </c>
      <c r="W61" s="54">
        <v>3.64</v>
      </c>
      <c r="X61" s="54">
        <v>8.83</v>
      </c>
      <c r="Y61" s="54">
        <v>507.79</v>
      </c>
      <c r="Z61" s="54">
        <v>558.33000000000004</v>
      </c>
      <c r="AA61" s="54">
        <v>4.82</v>
      </c>
      <c r="AB61" s="54">
        <v>9.32</v>
      </c>
      <c r="AC61" s="54">
        <v>510.67</v>
      </c>
      <c r="AD61" s="54">
        <v>552.37</v>
      </c>
      <c r="AE61" s="54">
        <v>6.7</v>
      </c>
      <c r="AF61" s="54">
        <v>9.01</v>
      </c>
      <c r="AG61" s="54">
        <v>441.32</v>
      </c>
      <c r="AH61" s="54">
        <v>482.42</v>
      </c>
      <c r="AI61" s="54">
        <v>9.08</v>
      </c>
      <c r="AJ61" s="54">
        <v>10.210000000000001</v>
      </c>
      <c r="AK61" s="54">
        <v>530.89</v>
      </c>
      <c r="AL61" s="54">
        <v>581.09</v>
      </c>
      <c r="AM61" s="53">
        <v>7</v>
      </c>
      <c r="AN61" s="53">
        <v>2</v>
      </c>
      <c r="AO61" s="53">
        <v>4</v>
      </c>
      <c r="AP61" s="53">
        <v>1</v>
      </c>
      <c r="AQ61" s="53">
        <v>1</v>
      </c>
    </row>
    <row r="62" spans="1:43">
      <c r="A62" s="58" t="s">
        <v>867</v>
      </c>
      <c r="B62" s="54">
        <v>3.27</v>
      </c>
      <c r="C62" s="54">
        <v>7.06</v>
      </c>
      <c r="D62" s="54">
        <v>320.55</v>
      </c>
      <c r="E62" s="54">
        <v>366.17</v>
      </c>
      <c r="F62" s="54">
        <v>4.8600000000000003</v>
      </c>
      <c r="G62" s="54">
        <v>7.82</v>
      </c>
      <c r="H62" s="54">
        <v>343.76</v>
      </c>
      <c r="I62" s="54">
        <v>386.66</v>
      </c>
      <c r="J62" s="54">
        <v>6.6</v>
      </c>
      <c r="K62" s="54">
        <v>8.34</v>
      </c>
      <c r="L62" s="54">
        <v>362.65</v>
      </c>
      <c r="M62" s="54">
        <v>410.25</v>
      </c>
      <c r="N62" s="54">
        <v>9.17</v>
      </c>
      <c r="O62" s="54">
        <v>9.24</v>
      </c>
      <c r="P62" s="54">
        <v>426.69</v>
      </c>
      <c r="Q62" s="54">
        <v>481.89</v>
      </c>
      <c r="R62" s="53">
        <v>13</v>
      </c>
      <c r="S62" s="53">
        <v>12</v>
      </c>
      <c r="T62" s="53">
        <v>11</v>
      </c>
      <c r="U62" s="53">
        <v>3</v>
      </c>
      <c r="V62" s="53">
        <v>0</v>
      </c>
      <c r="W62" s="54">
        <v>3.66</v>
      </c>
      <c r="X62" s="54">
        <v>9.6999999999999993</v>
      </c>
      <c r="Y62" s="54">
        <v>579.70000000000005</v>
      </c>
      <c r="Z62" s="54">
        <v>630.69000000000005</v>
      </c>
      <c r="AA62" s="54">
        <v>4.8</v>
      </c>
      <c r="AB62" s="54">
        <v>10.199999999999999</v>
      </c>
      <c r="AC62" s="54">
        <v>581.35</v>
      </c>
      <c r="AD62" s="54">
        <v>624.25</v>
      </c>
      <c r="AE62" s="54">
        <v>6.71</v>
      </c>
      <c r="AF62" s="54">
        <v>9.66</v>
      </c>
      <c r="AG62" s="54">
        <v>494.88</v>
      </c>
      <c r="AH62" s="54">
        <v>542.48</v>
      </c>
      <c r="AI62" s="54">
        <v>9.02</v>
      </c>
      <c r="AJ62" s="54">
        <v>11.22</v>
      </c>
      <c r="AK62" s="54">
        <v>624.24</v>
      </c>
      <c r="AL62" s="54">
        <v>679.44</v>
      </c>
      <c r="AM62" s="53">
        <v>6</v>
      </c>
      <c r="AN62" s="53">
        <v>2</v>
      </c>
      <c r="AO62" s="53">
        <v>4</v>
      </c>
      <c r="AP62" s="53">
        <v>1</v>
      </c>
      <c r="AQ62" s="53">
        <v>1</v>
      </c>
    </row>
    <row r="63" spans="1:43">
      <c r="A63" s="58" t="s">
        <v>868</v>
      </c>
      <c r="B63" s="54">
        <v>3.22</v>
      </c>
      <c r="C63" s="54">
        <v>6.35</v>
      </c>
      <c r="D63" s="54">
        <v>240.18</v>
      </c>
      <c r="E63" s="54">
        <v>290.83</v>
      </c>
      <c r="F63" s="54">
        <v>4.83</v>
      </c>
      <c r="G63" s="54">
        <v>7.18</v>
      </c>
      <c r="H63" s="54">
        <v>266.67</v>
      </c>
      <c r="I63" s="54">
        <v>315.47000000000003</v>
      </c>
      <c r="J63" s="54">
        <v>6.59</v>
      </c>
      <c r="K63" s="54">
        <v>7.69</v>
      </c>
      <c r="L63" s="54">
        <v>284.32</v>
      </c>
      <c r="M63" s="54">
        <v>329.92</v>
      </c>
      <c r="N63" s="54">
        <v>9.14</v>
      </c>
      <c r="O63" s="54">
        <v>8.5</v>
      </c>
      <c r="P63" s="54">
        <v>339.05</v>
      </c>
      <c r="Q63" s="54">
        <v>393.15</v>
      </c>
      <c r="R63" s="53">
        <v>15</v>
      </c>
      <c r="S63" s="53">
        <v>11</v>
      </c>
      <c r="T63" s="53">
        <v>10</v>
      </c>
      <c r="U63" s="53">
        <v>3</v>
      </c>
      <c r="V63" s="53">
        <v>0</v>
      </c>
      <c r="W63" s="54">
        <v>3.92</v>
      </c>
      <c r="X63" s="54">
        <v>9.24</v>
      </c>
      <c r="Y63" s="54">
        <v>523.87</v>
      </c>
      <c r="Z63" s="54">
        <v>580</v>
      </c>
      <c r="AA63" s="54">
        <v>4.87</v>
      </c>
      <c r="AB63" s="54">
        <v>9.84</v>
      </c>
      <c r="AC63" s="54">
        <v>532.27</v>
      </c>
      <c r="AD63" s="54">
        <v>581.07000000000005</v>
      </c>
      <c r="AE63" s="54">
        <v>6.49</v>
      </c>
      <c r="AF63" s="54">
        <v>9.7899999999999991</v>
      </c>
      <c r="AG63" s="54">
        <v>494.01</v>
      </c>
      <c r="AH63" s="54">
        <v>539.61</v>
      </c>
      <c r="AI63" s="54">
        <v>9.51</v>
      </c>
      <c r="AJ63" s="54">
        <v>10.82</v>
      </c>
      <c r="AK63" s="54">
        <v>570.73</v>
      </c>
      <c r="AL63" s="54">
        <v>624.83000000000004</v>
      </c>
      <c r="AM63" s="53">
        <v>7</v>
      </c>
      <c r="AN63" s="53">
        <v>3</v>
      </c>
      <c r="AO63" s="53">
        <v>4</v>
      </c>
      <c r="AP63" s="53">
        <v>2</v>
      </c>
      <c r="AQ63" s="53">
        <v>1</v>
      </c>
    </row>
    <row r="64" spans="1:43">
      <c r="A64" s="58" t="s">
        <v>869</v>
      </c>
      <c r="B64" s="54">
        <v>3.19</v>
      </c>
      <c r="C64" s="54">
        <v>6.17</v>
      </c>
      <c r="D64" s="54">
        <v>187.73</v>
      </c>
      <c r="E64" s="54">
        <v>221.02</v>
      </c>
      <c r="F64" s="54">
        <v>4.82</v>
      </c>
      <c r="G64" s="54">
        <v>6.97</v>
      </c>
      <c r="H64" s="54">
        <v>201.21</v>
      </c>
      <c r="I64" s="54">
        <v>229.21</v>
      </c>
      <c r="J64" s="54">
        <v>6.58</v>
      </c>
      <c r="K64" s="54">
        <v>7.5</v>
      </c>
      <c r="L64" s="54">
        <v>212.36</v>
      </c>
      <c r="M64" s="54">
        <v>238.46</v>
      </c>
      <c r="N64" s="54">
        <v>9.1</v>
      </c>
      <c r="O64" s="54">
        <v>8.14</v>
      </c>
      <c r="P64" s="54">
        <v>241.76</v>
      </c>
      <c r="Q64" s="54">
        <v>285.86</v>
      </c>
      <c r="R64" s="53">
        <v>15</v>
      </c>
      <c r="S64" s="53">
        <v>10</v>
      </c>
      <c r="T64" s="53">
        <v>10</v>
      </c>
      <c r="U64" s="53">
        <v>3</v>
      </c>
      <c r="V64" s="53">
        <v>0</v>
      </c>
      <c r="W64" s="54">
        <v>3.88</v>
      </c>
      <c r="X64" s="54">
        <v>8.73</v>
      </c>
      <c r="Y64" s="54">
        <v>438.57</v>
      </c>
      <c r="Z64" s="54">
        <v>476.49</v>
      </c>
      <c r="AA64" s="54">
        <v>4.82</v>
      </c>
      <c r="AB64" s="54">
        <v>9.2100000000000009</v>
      </c>
      <c r="AC64" s="54">
        <v>425.35</v>
      </c>
      <c r="AD64" s="54">
        <v>453.35</v>
      </c>
      <c r="AE64" s="54">
        <v>6.52</v>
      </c>
      <c r="AF64" s="54">
        <v>9.1</v>
      </c>
      <c r="AG64" s="54">
        <v>372.83</v>
      </c>
      <c r="AH64" s="54">
        <v>398.93</v>
      </c>
      <c r="AI64" s="54">
        <v>9.4499999999999993</v>
      </c>
      <c r="AJ64" s="54">
        <v>9.92</v>
      </c>
      <c r="AK64" s="54">
        <v>420.22</v>
      </c>
      <c r="AL64" s="54">
        <v>464.32</v>
      </c>
      <c r="AM64" s="53">
        <v>7</v>
      </c>
      <c r="AN64" s="53">
        <v>3</v>
      </c>
      <c r="AO64" s="53">
        <v>4</v>
      </c>
      <c r="AP64" s="53">
        <v>2</v>
      </c>
      <c r="AQ64" s="53">
        <v>1</v>
      </c>
    </row>
    <row r="65" spans="1:43">
      <c r="A65" s="58" t="s">
        <v>870</v>
      </c>
      <c r="B65" s="54">
        <v>3.27</v>
      </c>
      <c r="C65" s="54">
        <v>6.58</v>
      </c>
      <c r="D65" s="54">
        <v>169.04</v>
      </c>
      <c r="E65" s="54">
        <v>202.27</v>
      </c>
      <c r="F65" s="54">
        <v>4.82</v>
      </c>
      <c r="G65" s="54">
        <v>7.24</v>
      </c>
      <c r="H65" s="54">
        <v>169.62</v>
      </c>
      <c r="I65" s="54">
        <v>202.22</v>
      </c>
      <c r="J65" s="54">
        <v>6.57</v>
      </c>
      <c r="K65" s="54">
        <v>7.61</v>
      </c>
      <c r="L65" s="54">
        <v>181.83</v>
      </c>
      <c r="M65" s="54">
        <v>219.73</v>
      </c>
      <c r="N65" s="54">
        <v>9.06</v>
      </c>
      <c r="O65" s="54">
        <v>8.02</v>
      </c>
      <c r="P65" s="54">
        <v>205.48</v>
      </c>
      <c r="Q65" s="54">
        <v>250.28</v>
      </c>
      <c r="R65" s="53">
        <v>13</v>
      </c>
      <c r="S65" s="53">
        <v>10</v>
      </c>
      <c r="T65" s="53">
        <v>10</v>
      </c>
      <c r="U65" s="53">
        <v>3</v>
      </c>
      <c r="V65" s="53">
        <v>0</v>
      </c>
      <c r="W65" s="54">
        <v>3.84</v>
      </c>
      <c r="X65" s="54">
        <v>8.5</v>
      </c>
      <c r="Y65" s="54">
        <v>356.96</v>
      </c>
      <c r="Z65" s="54">
        <v>393.7</v>
      </c>
      <c r="AA65" s="54">
        <v>4.78</v>
      </c>
      <c r="AB65" s="54">
        <v>8.8800000000000008</v>
      </c>
      <c r="AC65" s="54">
        <v>333.05</v>
      </c>
      <c r="AD65" s="54">
        <v>365.65</v>
      </c>
      <c r="AE65" s="54">
        <v>6.56</v>
      </c>
      <c r="AF65" s="54">
        <v>9.16</v>
      </c>
      <c r="AG65" s="54">
        <v>337.11</v>
      </c>
      <c r="AH65" s="54">
        <v>375.01</v>
      </c>
      <c r="AI65" s="54">
        <v>9.3800000000000008</v>
      </c>
      <c r="AJ65" s="54">
        <v>9.6999999999999993</v>
      </c>
      <c r="AK65" s="54">
        <v>373.25</v>
      </c>
      <c r="AL65" s="54">
        <v>418.05</v>
      </c>
      <c r="AM65" s="53">
        <v>7</v>
      </c>
      <c r="AN65" s="53">
        <v>4</v>
      </c>
      <c r="AO65" s="53">
        <v>3</v>
      </c>
      <c r="AP65" s="53">
        <v>2</v>
      </c>
      <c r="AQ65" s="53">
        <v>1</v>
      </c>
    </row>
    <row r="66" spans="1:43">
      <c r="A66" s="58" t="s">
        <v>871</v>
      </c>
      <c r="B66" s="54">
        <v>3.23</v>
      </c>
      <c r="C66" s="54">
        <v>6.49</v>
      </c>
      <c r="D66" s="54">
        <v>135.19999999999999</v>
      </c>
      <c r="E66" s="54">
        <v>167.77</v>
      </c>
      <c r="F66" s="54">
        <v>4.8099999999999996</v>
      </c>
      <c r="G66" s="54">
        <v>7.08</v>
      </c>
      <c r="H66" s="54">
        <v>137.83000000000001</v>
      </c>
      <c r="I66" s="54">
        <v>165.93</v>
      </c>
      <c r="J66" s="54">
        <v>6.56</v>
      </c>
      <c r="K66" s="54">
        <v>7.38</v>
      </c>
      <c r="L66" s="54">
        <v>143.19</v>
      </c>
      <c r="M66" s="54">
        <v>182.69</v>
      </c>
      <c r="N66" s="54">
        <v>9.02</v>
      </c>
      <c r="O66" s="54">
        <v>7.7</v>
      </c>
      <c r="P66" s="54">
        <v>161.75</v>
      </c>
      <c r="Q66" s="54">
        <v>209.75</v>
      </c>
      <c r="R66" s="53">
        <v>13</v>
      </c>
      <c r="S66" s="53">
        <v>11</v>
      </c>
      <c r="T66" s="53">
        <v>9</v>
      </c>
      <c r="U66" s="53">
        <v>3</v>
      </c>
      <c r="V66" s="53">
        <v>0</v>
      </c>
      <c r="W66" s="54">
        <v>3.86</v>
      </c>
      <c r="X66" s="54">
        <v>7.86</v>
      </c>
      <c r="Y66" s="54">
        <v>269.72000000000003</v>
      </c>
      <c r="Z66" s="54">
        <v>304.69</v>
      </c>
      <c r="AA66" s="54">
        <v>4.75</v>
      </c>
      <c r="AB66" s="54">
        <v>8.3000000000000007</v>
      </c>
      <c r="AC66" s="54">
        <v>260.19</v>
      </c>
      <c r="AD66" s="54">
        <v>288.29000000000002</v>
      </c>
      <c r="AE66" s="54">
        <v>6.56</v>
      </c>
      <c r="AF66" s="54">
        <v>8.8699999999999992</v>
      </c>
      <c r="AG66" s="54">
        <v>292.5</v>
      </c>
      <c r="AH66" s="54">
        <v>332</v>
      </c>
      <c r="AI66" s="54">
        <v>9.31</v>
      </c>
      <c r="AJ66" s="54">
        <v>8.89</v>
      </c>
      <c r="AK66" s="54">
        <v>280.3</v>
      </c>
      <c r="AL66" s="54">
        <v>328.3</v>
      </c>
      <c r="AM66" s="53">
        <v>7</v>
      </c>
      <c r="AN66" s="53">
        <v>4</v>
      </c>
      <c r="AO66" s="53">
        <v>3</v>
      </c>
      <c r="AP66" s="53">
        <v>2</v>
      </c>
      <c r="AQ66" s="53">
        <v>1</v>
      </c>
    </row>
    <row r="67" spans="1:43">
      <c r="A67" s="58" t="s">
        <v>872</v>
      </c>
      <c r="B67" s="54">
        <v>3.2</v>
      </c>
      <c r="C67" s="54">
        <v>6.64</v>
      </c>
      <c r="D67" s="54">
        <v>122.28</v>
      </c>
      <c r="E67" s="54">
        <v>169.19</v>
      </c>
      <c r="F67" s="54">
        <v>4.8</v>
      </c>
      <c r="G67" s="54">
        <v>7.13</v>
      </c>
      <c r="H67" s="54">
        <v>131.72999999999999</v>
      </c>
      <c r="I67" s="54">
        <v>183.43</v>
      </c>
      <c r="J67" s="54">
        <v>6.55</v>
      </c>
      <c r="K67" s="54">
        <v>7.41</v>
      </c>
      <c r="L67" s="54">
        <v>146.37</v>
      </c>
      <c r="M67" s="54">
        <v>205.07</v>
      </c>
      <c r="N67" s="54">
        <v>8.98</v>
      </c>
      <c r="O67" s="54">
        <v>7.7</v>
      </c>
      <c r="P67" s="54">
        <v>170.9</v>
      </c>
      <c r="Q67" s="54">
        <v>228.8</v>
      </c>
      <c r="R67" s="53">
        <v>13</v>
      </c>
      <c r="S67" s="53">
        <v>11</v>
      </c>
      <c r="T67" s="53">
        <v>9</v>
      </c>
      <c r="U67" s="53">
        <v>3</v>
      </c>
      <c r="V67" s="53">
        <v>0</v>
      </c>
      <c r="W67" s="54">
        <v>3.82</v>
      </c>
      <c r="X67" s="54">
        <v>8</v>
      </c>
      <c r="Y67" s="54">
        <v>256.25</v>
      </c>
      <c r="Z67" s="54">
        <v>305.58999999999997</v>
      </c>
      <c r="AA67" s="54">
        <v>4.71</v>
      </c>
      <c r="AB67" s="54">
        <v>8.32</v>
      </c>
      <c r="AC67" s="54">
        <v>251.28</v>
      </c>
      <c r="AD67" s="54">
        <v>302.98</v>
      </c>
      <c r="AE67" s="54">
        <v>6.6</v>
      </c>
      <c r="AF67" s="54">
        <v>8.69</v>
      </c>
      <c r="AG67" s="54">
        <v>274.45</v>
      </c>
      <c r="AH67" s="54">
        <v>333.15</v>
      </c>
      <c r="AI67" s="54">
        <v>9.25</v>
      </c>
      <c r="AJ67" s="54">
        <v>8.76</v>
      </c>
      <c r="AK67" s="54">
        <v>276.87</v>
      </c>
      <c r="AL67" s="54">
        <v>334.77</v>
      </c>
      <c r="AM67" s="53">
        <v>7</v>
      </c>
      <c r="AN67" s="53">
        <v>4</v>
      </c>
      <c r="AO67" s="53">
        <v>3</v>
      </c>
      <c r="AP67" s="53">
        <v>2</v>
      </c>
      <c r="AQ67" s="53">
        <v>1</v>
      </c>
    </row>
    <row r="68" spans="1:43">
      <c r="A68" s="58" t="s">
        <v>873</v>
      </c>
      <c r="B68" s="54">
        <v>3.18</v>
      </c>
      <c r="C68" s="54">
        <v>6.65</v>
      </c>
      <c r="D68" s="54">
        <v>119.08</v>
      </c>
      <c r="E68" s="54">
        <v>181.61</v>
      </c>
      <c r="F68" s="54">
        <v>4.79</v>
      </c>
      <c r="G68" s="54">
        <v>7.16</v>
      </c>
      <c r="H68" s="54">
        <v>132.03</v>
      </c>
      <c r="I68" s="54">
        <v>195.03</v>
      </c>
      <c r="J68" s="54">
        <v>6.54</v>
      </c>
      <c r="K68" s="54">
        <v>7.47</v>
      </c>
      <c r="L68" s="54">
        <v>147.16999999999999</v>
      </c>
      <c r="M68" s="54">
        <v>216.97</v>
      </c>
      <c r="N68" s="54">
        <v>8.93</v>
      </c>
      <c r="O68" s="54">
        <v>7.76</v>
      </c>
      <c r="P68" s="54">
        <v>170.31</v>
      </c>
      <c r="Q68" s="54">
        <v>239.81</v>
      </c>
      <c r="R68" s="53">
        <v>13</v>
      </c>
      <c r="S68" s="53">
        <v>12</v>
      </c>
      <c r="T68" s="53">
        <v>8</v>
      </c>
      <c r="U68" s="53">
        <v>3</v>
      </c>
      <c r="V68" s="53">
        <v>0</v>
      </c>
      <c r="W68" s="54">
        <v>3.74</v>
      </c>
      <c r="X68" s="54">
        <v>7.84</v>
      </c>
      <c r="Y68" s="54">
        <v>236.77</v>
      </c>
      <c r="Z68" s="54">
        <v>301.41000000000003</v>
      </c>
      <c r="AA68" s="54">
        <v>4.58</v>
      </c>
      <c r="AB68" s="54">
        <v>8.1</v>
      </c>
      <c r="AC68" s="54">
        <v>226.69</v>
      </c>
      <c r="AD68" s="54">
        <v>289.69</v>
      </c>
      <c r="AE68" s="54">
        <v>6.53</v>
      </c>
      <c r="AF68" s="54">
        <v>8.49</v>
      </c>
      <c r="AG68" s="54">
        <v>248.75</v>
      </c>
      <c r="AH68" s="54">
        <v>318.55</v>
      </c>
      <c r="AI68" s="54">
        <v>9.18</v>
      </c>
      <c r="AJ68" s="54">
        <v>8.67</v>
      </c>
      <c r="AK68" s="54">
        <v>261.58999999999997</v>
      </c>
      <c r="AL68" s="54">
        <v>331.09</v>
      </c>
      <c r="AM68" s="53">
        <v>9</v>
      </c>
      <c r="AN68" s="53">
        <v>6</v>
      </c>
      <c r="AO68" s="53">
        <v>2</v>
      </c>
      <c r="AP68" s="53">
        <v>2</v>
      </c>
      <c r="AQ68" s="53">
        <v>1</v>
      </c>
    </row>
    <row r="69" spans="1:43">
      <c r="A69" s="58" t="s">
        <v>874</v>
      </c>
      <c r="B69" s="54">
        <v>3.17</v>
      </c>
      <c r="C69" s="54">
        <v>6.84</v>
      </c>
      <c r="D69" s="54">
        <v>119.53</v>
      </c>
      <c r="E69" s="54">
        <v>181.98</v>
      </c>
      <c r="F69" s="54">
        <v>4.79</v>
      </c>
      <c r="G69" s="54">
        <v>7.29</v>
      </c>
      <c r="H69" s="54">
        <v>136.43</v>
      </c>
      <c r="I69" s="54">
        <v>198.53</v>
      </c>
      <c r="J69" s="54">
        <v>6.52</v>
      </c>
      <c r="K69" s="54">
        <v>7.63</v>
      </c>
      <c r="L69" s="54">
        <v>153.74</v>
      </c>
      <c r="M69" s="54">
        <v>216.74</v>
      </c>
      <c r="N69" s="54">
        <v>9.01</v>
      </c>
      <c r="O69" s="54">
        <v>8</v>
      </c>
      <c r="P69" s="54">
        <v>179.78</v>
      </c>
      <c r="Q69" s="54">
        <v>245.48</v>
      </c>
      <c r="R69" s="53">
        <v>13</v>
      </c>
      <c r="S69" s="53">
        <v>13</v>
      </c>
      <c r="T69" s="53">
        <v>8</v>
      </c>
      <c r="U69" s="53">
        <v>4</v>
      </c>
      <c r="V69" s="53">
        <v>1</v>
      </c>
      <c r="W69" s="54">
        <v>3.69</v>
      </c>
      <c r="X69" s="54">
        <v>7.87</v>
      </c>
      <c r="Y69" s="54">
        <v>220.44</v>
      </c>
      <c r="Z69" s="54">
        <v>284.73</v>
      </c>
      <c r="AA69" s="54">
        <v>4.5999999999999996</v>
      </c>
      <c r="AB69" s="54">
        <v>8.27</v>
      </c>
      <c r="AC69" s="54">
        <v>234.35</v>
      </c>
      <c r="AD69" s="54">
        <v>296.45</v>
      </c>
      <c r="AE69" s="54">
        <v>6.62</v>
      </c>
      <c r="AF69" s="54">
        <v>8.67</v>
      </c>
      <c r="AG69" s="54">
        <v>257.91000000000003</v>
      </c>
      <c r="AH69" s="54">
        <v>320.91000000000003</v>
      </c>
      <c r="AI69" s="54">
        <v>9.11</v>
      </c>
      <c r="AJ69" s="54">
        <v>8.7899999999999991</v>
      </c>
      <c r="AK69" s="54">
        <v>259.27999999999997</v>
      </c>
      <c r="AL69" s="54">
        <v>324.98</v>
      </c>
      <c r="AM69" s="53">
        <v>8</v>
      </c>
      <c r="AN69" s="53">
        <v>6</v>
      </c>
      <c r="AO69" s="53">
        <v>2</v>
      </c>
      <c r="AP69" s="53">
        <v>2</v>
      </c>
      <c r="AQ69" s="53">
        <v>1</v>
      </c>
    </row>
    <row r="70" spans="1:43">
      <c r="A70" s="58" t="s">
        <v>875</v>
      </c>
      <c r="B70" s="54">
        <v>3.19</v>
      </c>
      <c r="C70" s="54">
        <v>6.51</v>
      </c>
      <c r="D70" s="54">
        <v>121.24</v>
      </c>
      <c r="E70" s="54">
        <v>190.16</v>
      </c>
      <c r="F70" s="54">
        <v>4.78</v>
      </c>
      <c r="G70" s="54">
        <v>7.09</v>
      </c>
      <c r="H70" s="54">
        <v>140.22999999999999</v>
      </c>
      <c r="I70" s="54">
        <v>212.83</v>
      </c>
      <c r="J70" s="54">
        <v>6.47</v>
      </c>
      <c r="K70" s="54">
        <v>7.44</v>
      </c>
      <c r="L70" s="54">
        <v>160.71</v>
      </c>
      <c r="M70" s="54">
        <v>226.81</v>
      </c>
      <c r="N70" s="54">
        <v>8.9600000000000009</v>
      </c>
      <c r="O70" s="54">
        <v>7.78</v>
      </c>
      <c r="P70" s="54">
        <v>187.55</v>
      </c>
      <c r="Q70" s="54">
        <v>253.55</v>
      </c>
      <c r="R70" s="53">
        <v>17</v>
      </c>
      <c r="S70" s="53">
        <v>11</v>
      </c>
      <c r="T70" s="53">
        <v>7</v>
      </c>
      <c r="U70" s="53">
        <v>4</v>
      </c>
      <c r="V70" s="53">
        <v>1</v>
      </c>
      <c r="W70" s="54">
        <v>3.65</v>
      </c>
      <c r="X70" s="54">
        <v>7.55</v>
      </c>
      <c r="Y70" s="54">
        <v>222.83</v>
      </c>
      <c r="Z70" s="54">
        <v>293.52</v>
      </c>
      <c r="AA70" s="54">
        <v>4.5599999999999996</v>
      </c>
      <c r="AB70" s="54">
        <v>7.94</v>
      </c>
      <c r="AC70" s="54">
        <v>225.09</v>
      </c>
      <c r="AD70" s="54">
        <v>297.69</v>
      </c>
      <c r="AE70" s="54">
        <v>6.67</v>
      </c>
      <c r="AF70" s="54">
        <v>8.3800000000000008</v>
      </c>
      <c r="AG70" s="54">
        <v>254.97</v>
      </c>
      <c r="AH70" s="54">
        <v>321.07</v>
      </c>
      <c r="AI70" s="54">
        <v>9.0399999999999991</v>
      </c>
      <c r="AJ70" s="54">
        <v>8.5</v>
      </c>
      <c r="AK70" s="54">
        <v>260.32</v>
      </c>
      <c r="AL70" s="54">
        <v>326.32</v>
      </c>
      <c r="AM70" s="53">
        <v>8</v>
      </c>
      <c r="AN70" s="53">
        <v>6</v>
      </c>
      <c r="AO70" s="53">
        <v>2</v>
      </c>
      <c r="AP70" s="53">
        <v>2</v>
      </c>
      <c r="AQ70" s="53">
        <v>1</v>
      </c>
    </row>
    <row r="71" spans="1:43">
      <c r="A71" s="58" t="s">
        <v>876</v>
      </c>
      <c r="B71" s="54">
        <v>3.21</v>
      </c>
      <c r="C71" s="54">
        <v>6.61</v>
      </c>
      <c r="D71" s="54">
        <v>118.66</v>
      </c>
      <c r="E71" s="54">
        <v>194.32</v>
      </c>
      <c r="F71" s="54">
        <v>4.76</v>
      </c>
      <c r="G71" s="54">
        <v>7.11</v>
      </c>
      <c r="H71" s="54">
        <v>126.85</v>
      </c>
      <c r="I71" s="54">
        <v>194.85</v>
      </c>
      <c r="J71" s="54">
        <v>6.48</v>
      </c>
      <c r="K71" s="54">
        <v>7.48</v>
      </c>
      <c r="L71" s="54">
        <v>139.38</v>
      </c>
      <c r="M71" s="54">
        <v>196.28</v>
      </c>
      <c r="N71" s="54">
        <v>9.01</v>
      </c>
      <c r="O71" s="54">
        <v>7.72</v>
      </c>
      <c r="P71" s="54">
        <v>147.08000000000001</v>
      </c>
      <c r="Q71" s="54">
        <v>207.68</v>
      </c>
      <c r="R71" s="53">
        <v>17</v>
      </c>
      <c r="S71" s="53">
        <v>12</v>
      </c>
      <c r="T71" s="53">
        <v>6</v>
      </c>
      <c r="U71" s="53">
        <v>5</v>
      </c>
      <c r="V71" s="53">
        <v>1</v>
      </c>
      <c r="W71" s="54">
        <v>3.6</v>
      </c>
      <c r="X71" s="54">
        <v>7.32</v>
      </c>
      <c r="Y71" s="54">
        <v>189.07</v>
      </c>
      <c r="Z71" s="54">
        <v>265.95</v>
      </c>
      <c r="AA71" s="54">
        <v>4.5199999999999996</v>
      </c>
      <c r="AB71" s="54">
        <v>7.63</v>
      </c>
      <c r="AC71" s="54">
        <v>178.9</v>
      </c>
      <c r="AD71" s="54">
        <v>246.9</v>
      </c>
      <c r="AE71" s="54">
        <v>6.72</v>
      </c>
      <c r="AF71" s="54">
        <v>8.0500000000000007</v>
      </c>
      <c r="AG71" s="54">
        <v>196.3</v>
      </c>
      <c r="AH71" s="54">
        <v>253.2</v>
      </c>
      <c r="AI71" s="54">
        <v>8.9700000000000006</v>
      </c>
      <c r="AJ71" s="54">
        <v>8.09</v>
      </c>
      <c r="AK71" s="54">
        <v>184.46</v>
      </c>
      <c r="AL71" s="54">
        <v>245.06</v>
      </c>
      <c r="AM71" s="53">
        <v>9</v>
      </c>
      <c r="AN71" s="53">
        <v>5</v>
      </c>
      <c r="AO71" s="53">
        <v>2</v>
      </c>
      <c r="AP71" s="53">
        <v>2</v>
      </c>
      <c r="AQ71" s="53">
        <v>1</v>
      </c>
    </row>
    <row r="72" spans="1:43">
      <c r="A72" s="58" t="s">
        <v>877</v>
      </c>
      <c r="B72" s="54">
        <v>3.18</v>
      </c>
      <c r="C72" s="54">
        <v>6.33</v>
      </c>
      <c r="D72" s="54">
        <v>109.76</v>
      </c>
      <c r="E72" s="54">
        <v>182.19</v>
      </c>
      <c r="F72" s="54">
        <v>4.75</v>
      </c>
      <c r="G72" s="54">
        <v>6.78</v>
      </c>
      <c r="H72" s="54">
        <v>117.52</v>
      </c>
      <c r="I72" s="54">
        <v>178.72</v>
      </c>
      <c r="J72" s="54">
        <v>6.48</v>
      </c>
      <c r="K72" s="54">
        <v>7.15</v>
      </c>
      <c r="L72" s="54">
        <v>130.59</v>
      </c>
      <c r="M72" s="54">
        <v>187.29</v>
      </c>
      <c r="N72" s="54">
        <v>8.9700000000000006</v>
      </c>
      <c r="O72" s="54">
        <v>7.64</v>
      </c>
      <c r="P72" s="54">
        <v>163.34</v>
      </c>
      <c r="Q72" s="54">
        <v>225.94</v>
      </c>
      <c r="R72" s="53">
        <v>17</v>
      </c>
      <c r="S72" s="53">
        <v>12</v>
      </c>
      <c r="T72" s="53">
        <v>6</v>
      </c>
      <c r="U72" s="53">
        <v>5</v>
      </c>
      <c r="V72" s="53">
        <v>1</v>
      </c>
      <c r="W72" s="54">
        <v>3.55</v>
      </c>
      <c r="X72" s="54">
        <v>7.09</v>
      </c>
      <c r="Y72" s="54">
        <v>184.05</v>
      </c>
      <c r="Z72" s="54">
        <v>257.72000000000003</v>
      </c>
      <c r="AA72" s="54">
        <v>4.43</v>
      </c>
      <c r="AB72" s="54">
        <v>7.35</v>
      </c>
      <c r="AC72" s="54">
        <v>174.22</v>
      </c>
      <c r="AD72" s="54">
        <v>235.42</v>
      </c>
      <c r="AE72" s="54">
        <v>6.74</v>
      </c>
      <c r="AF72" s="54">
        <v>7.79</v>
      </c>
      <c r="AG72" s="54">
        <v>194.97</v>
      </c>
      <c r="AH72" s="54">
        <v>251.67</v>
      </c>
      <c r="AI72" s="54">
        <v>8.99</v>
      </c>
      <c r="AJ72" s="54">
        <v>8.09</v>
      </c>
      <c r="AK72" s="54">
        <v>208.76</v>
      </c>
      <c r="AL72" s="54">
        <v>271.36</v>
      </c>
      <c r="AM72" s="53">
        <v>10</v>
      </c>
      <c r="AN72" s="53">
        <v>5</v>
      </c>
      <c r="AO72" s="53">
        <v>2</v>
      </c>
      <c r="AP72" s="53">
        <v>3</v>
      </c>
      <c r="AQ72" s="53">
        <v>1</v>
      </c>
    </row>
    <row r="73" spans="1:43">
      <c r="A73" s="58" t="s">
        <v>878</v>
      </c>
      <c r="B73" s="54">
        <v>3.16</v>
      </c>
      <c r="C73" s="54">
        <v>6.29</v>
      </c>
      <c r="D73" s="54">
        <v>107.77</v>
      </c>
      <c r="E73" s="54">
        <v>147.44</v>
      </c>
      <c r="F73" s="54">
        <v>4.7300000000000004</v>
      </c>
      <c r="G73" s="54">
        <v>6.78</v>
      </c>
      <c r="H73" s="54">
        <v>118.12</v>
      </c>
      <c r="I73" s="54">
        <v>165.62</v>
      </c>
      <c r="J73" s="54">
        <v>6.48</v>
      </c>
      <c r="K73" s="54">
        <v>7.17</v>
      </c>
      <c r="L73" s="54">
        <v>133.29</v>
      </c>
      <c r="M73" s="54">
        <v>184.69</v>
      </c>
      <c r="N73" s="54">
        <v>8.92</v>
      </c>
      <c r="O73" s="54">
        <v>7.69</v>
      </c>
      <c r="P73" s="54">
        <v>168.18</v>
      </c>
      <c r="Q73" s="54">
        <v>225.68</v>
      </c>
      <c r="R73" s="53">
        <v>17</v>
      </c>
      <c r="S73" s="53">
        <v>12</v>
      </c>
      <c r="T73" s="53">
        <v>6</v>
      </c>
      <c r="U73" s="53">
        <v>5</v>
      </c>
      <c r="V73" s="53">
        <v>1</v>
      </c>
      <c r="W73" s="54">
        <v>3.52</v>
      </c>
      <c r="X73" s="54">
        <v>6.85</v>
      </c>
      <c r="Y73" s="54">
        <v>163.13999999999999</v>
      </c>
      <c r="Z73" s="54">
        <v>203.71</v>
      </c>
      <c r="AA73" s="54">
        <v>4.46</v>
      </c>
      <c r="AB73" s="54">
        <v>7.18</v>
      </c>
      <c r="AC73" s="54">
        <v>158.75</v>
      </c>
      <c r="AD73" s="54">
        <v>206.25</v>
      </c>
      <c r="AE73" s="54">
        <v>6.81</v>
      </c>
      <c r="AF73" s="54">
        <v>7.69</v>
      </c>
      <c r="AG73" s="54">
        <v>185.41</v>
      </c>
      <c r="AH73" s="54">
        <v>236.81</v>
      </c>
      <c r="AI73" s="54">
        <v>8.92</v>
      </c>
      <c r="AJ73" s="54">
        <v>7.92</v>
      </c>
      <c r="AK73" s="54">
        <v>191.02</v>
      </c>
      <c r="AL73" s="54">
        <v>248.52</v>
      </c>
      <c r="AM73" s="53">
        <v>9</v>
      </c>
      <c r="AN73" s="53">
        <v>5</v>
      </c>
      <c r="AO73" s="53">
        <v>2</v>
      </c>
      <c r="AP73" s="53">
        <v>3</v>
      </c>
      <c r="AQ73" s="53">
        <v>1</v>
      </c>
    </row>
    <row r="74" spans="1:43">
      <c r="A74" s="58" t="s">
        <v>879</v>
      </c>
      <c r="B74" s="54">
        <v>3.14</v>
      </c>
      <c r="C74" s="54">
        <v>6.53</v>
      </c>
      <c r="D74" s="54">
        <v>96.34</v>
      </c>
      <c r="E74" s="54">
        <v>125.58</v>
      </c>
      <c r="F74" s="54">
        <v>4.7300000000000004</v>
      </c>
      <c r="G74" s="54">
        <v>6.97</v>
      </c>
      <c r="H74" s="54">
        <v>110.59</v>
      </c>
      <c r="I74" s="54">
        <v>145.09</v>
      </c>
      <c r="J74" s="54">
        <v>6.57</v>
      </c>
      <c r="K74" s="54">
        <v>7.35</v>
      </c>
      <c r="L74" s="54">
        <v>131</v>
      </c>
      <c r="M74" s="54">
        <v>169.6</v>
      </c>
      <c r="N74" s="54">
        <v>9.1300000000000008</v>
      </c>
      <c r="O74" s="54">
        <v>7.75</v>
      </c>
      <c r="P74" s="54">
        <v>158.08000000000001</v>
      </c>
      <c r="Q74" s="54">
        <v>197.08</v>
      </c>
      <c r="R74" s="53">
        <v>19</v>
      </c>
      <c r="S74" s="53">
        <v>11</v>
      </c>
      <c r="T74" s="53">
        <v>6</v>
      </c>
      <c r="U74" s="53">
        <v>6</v>
      </c>
      <c r="V74" s="53">
        <v>2</v>
      </c>
      <c r="W74" s="54">
        <v>3.63</v>
      </c>
      <c r="X74" s="54">
        <v>7.07</v>
      </c>
      <c r="Y74" s="54">
        <v>148.97999999999999</v>
      </c>
      <c r="Z74" s="54">
        <v>179.11</v>
      </c>
      <c r="AA74" s="54">
        <v>4.51</v>
      </c>
      <c r="AB74" s="54">
        <v>7.38</v>
      </c>
      <c r="AC74" s="54">
        <v>151.97</v>
      </c>
      <c r="AD74" s="54">
        <v>186.47</v>
      </c>
      <c r="AE74" s="54">
        <v>6.69</v>
      </c>
      <c r="AF74" s="54">
        <v>7.76</v>
      </c>
      <c r="AG74" s="54">
        <v>171.88</v>
      </c>
      <c r="AH74" s="54">
        <v>210.48</v>
      </c>
      <c r="AI74" s="54">
        <v>8.85</v>
      </c>
      <c r="AJ74" s="54">
        <v>7.92</v>
      </c>
      <c r="AK74" s="54">
        <v>174.51</v>
      </c>
      <c r="AL74" s="54">
        <v>213.51</v>
      </c>
      <c r="AM74" s="53">
        <v>9</v>
      </c>
      <c r="AN74" s="53">
        <v>7</v>
      </c>
      <c r="AO74" s="53">
        <v>2</v>
      </c>
      <c r="AP74" s="53">
        <v>3</v>
      </c>
      <c r="AQ74" s="53">
        <v>1</v>
      </c>
    </row>
    <row r="75" spans="1:43">
      <c r="A75" s="58" t="s">
        <v>880</v>
      </c>
      <c r="B75" s="54">
        <v>3.13</v>
      </c>
      <c r="C75" s="54">
        <v>6.48</v>
      </c>
      <c r="D75" s="54">
        <v>88.57</v>
      </c>
      <c r="E75" s="54">
        <v>120.14</v>
      </c>
      <c r="F75" s="54">
        <v>4.71</v>
      </c>
      <c r="G75" s="54">
        <v>6.92</v>
      </c>
      <c r="H75" s="54">
        <v>102.06</v>
      </c>
      <c r="I75" s="54">
        <v>139.86000000000001</v>
      </c>
      <c r="J75" s="54">
        <v>6.57</v>
      </c>
      <c r="K75" s="54">
        <v>7.26</v>
      </c>
      <c r="L75" s="54">
        <v>122.31</v>
      </c>
      <c r="M75" s="54">
        <v>166.01</v>
      </c>
      <c r="N75" s="54">
        <v>9.07</v>
      </c>
      <c r="O75" s="54">
        <v>7.57</v>
      </c>
      <c r="P75" s="54">
        <v>144.24</v>
      </c>
      <c r="Q75" s="54">
        <v>186.14</v>
      </c>
      <c r="R75" s="53">
        <v>21</v>
      </c>
      <c r="S75" s="53">
        <v>11</v>
      </c>
      <c r="T75" s="53">
        <v>6</v>
      </c>
      <c r="U75" s="53">
        <v>5</v>
      </c>
      <c r="V75" s="53">
        <v>2</v>
      </c>
      <c r="W75" s="54">
        <v>3.53</v>
      </c>
      <c r="X75" s="54">
        <v>6.98</v>
      </c>
      <c r="Y75" s="54">
        <v>137.91999999999999</v>
      </c>
      <c r="Z75" s="54">
        <v>170.32</v>
      </c>
      <c r="AA75" s="54">
        <v>4.4400000000000004</v>
      </c>
      <c r="AB75" s="54">
        <v>7.31</v>
      </c>
      <c r="AC75" s="54">
        <v>141.18</v>
      </c>
      <c r="AD75" s="54">
        <v>178.98</v>
      </c>
      <c r="AE75" s="54">
        <v>6.75</v>
      </c>
      <c r="AF75" s="54">
        <v>7.68</v>
      </c>
      <c r="AG75" s="54">
        <v>164.25</v>
      </c>
      <c r="AH75" s="54">
        <v>207.95</v>
      </c>
      <c r="AI75" s="54">
        <v>8.83</v>
      </c>
      <c r="AJ75" s="54">
        <v>7.8</v>
      </c>
      <c r="AK75" s="54">
        <v>166.78</v>
      </c>
      <c r="AL75" s="54">
        <v>208.68</v>
      </c>
      <c r="AM75" s="53">
        <v>9</v>
      </c>
      <c r="AN75" s="53">
        <v>8</v>
      </c>
      <c r="AO75" s="53">
        <v>1</v>
      </c>
      <c r="AP75" s="53">
        <v>4</v>
      </c>
      <c r="AQ75" s="53">
        <v>1</v>
      </c>
    </row>
    <row r="76" spans="1:43">
      <c r="A76" s="58" t="s">
        <v>881</v>
      </c>
      <c r="B76" s="54">
        <v>3.16</v>
      </c>
      <c r="C76" s="54">
        <v>6.4</v>
      </c>
      <c r="D76" s="54">
        <v>114.81</v>
      </c>
      <c r="E76" s="54">
        <v>162.26</v>
      </c>
      <c r="F76" s="54">
        <v>4.7</v>
      </c>
      <c r="G76" s="54">
        <v>6.79</v>
      </c>
      <c r="H76" s="54">
        <v>120.37</v>
      </c>
      <c r="I76" s="54">
        <v>171.87</v>
      </c>
      <c r="J76" s="54">
        <v>6.58</v>
      </c>
      <c r="K76" s="54">
        <v>7.17</v>
      </c>
      <c r="L76" s="54">
        <v>138.86000000000001</v>
      </c>
      <c r="M76" s="54">
        <v>191.36</v>
      </c>
      <c r="N76" s="54">
        <v>9.02</v>
      </c>
      <c r="O76" s="54">
        <v>7.59</v>
      </c>
      <c r="P76" s="54">
        <v>166.37</v>
      </c>
      <c r="Q76" s="54">
        <v>217.57</v>
      </c>
      <c r="R76" s="53">
        <v>20</v>
      </c>
      <c r="S76" s="53">
        <v>11</v>
      </c>
      <c r="T76" s="53">
        <v>6</v>
      </c>
      <c r="U76" s="53">
        <v>5</v>
      </c>
      <c r="V76" s="53">
        <v>2</v>
      </c>
      <c r="W76" s="54">
        <v>3.54</v>
      </c>
      <c r="X76" s="54">
        <v>7.02</v>
      </c>
      <c r="Y76" s="54">
        <v>175.46</v>
      </c>
      <c r="Z76" s="54">
        <v>223.92</v>
      </c>
      <c r="AA76" s="54">
        <v>4.47</v>
      </c>
      <c r="AB76" s="54">
        <v>7.35</v>
      </c>
      <c r="AC76" s="54">
        <v>175.95</v>
      </c>
      <c r="AD76" s="54">
        <v>227.45</v>
      </c>
      <c r="AE76" s="54">
        <v>6.8</v>
      </c>
      <c r="AF76" s="54">
        <v>7.89</v>
      </c>
      <c r="AG76" s="54">
        <v>210.09</v>
      </c>
      <c r="AH76" s="54">
        <v>262.58999999999997</v>
      </c>
      <c r="AI76" s="54">
        <v>8.77</v>
      </c>
      <c r="AJ76" s="54">
        <v>8.17</v>
      </c>
      <c r="AK76" s="54">
        <v>224.46</v>
      </c>
      <c r="AL76" s="54">
        <v>275.66000000000003</v>
      </c>
      <c r="AM76" s="53">
        <v>8</v>
      </c>
      <c r="AN76" s="53">
        <v>7</v>
      </c>
      <c r="AO76" s="53">
        <v>1</v>
      </c>
      <c r="AP76" s="53">
        <v>4</v>
      </c>
      <c r="AQ76" s="53">
        <v>1</v>
      </c>
    </row>
    <row r="77" spans="1:43">
      <c r="A77" s="58" t="s">
        <v>882</v>
      </c>
      <c r="B77" s="54">
        <v>3.27</v>
      </c>
      <c r="C77" s="54">
        <v>6.28</v>
      </c>
      <c r="D77" s="54">
        <v>127.9</v>
      </c>
      <c r="E77" s="54">
        <v>184.35</v>
      </c>
      <c r="F77" s="54">
        <v>4.6900000000000004</v>
      </c>
      <c r="G77" s="54">
        <v>6.61</v>
      </c>
      <c r="H77" s="54">
        <v>134.38</v>
      </c>
      <c r="I77" s="54">
        <v>193.28</v>
      </c>
      <c r="J77" s="54">
        <v>6.6</v>
      </c>
      <c r="K77" s="54">
        <v>6.97</v>
      </c>
      <c r="L77" s="54">
        <v>151.11000000000001</v>
      </c>
      <c r="M77" s="54">
        <v>206.41</v>
      </c>
      <c r="N77" s="54">
        <v>8.99</v>
      </c>
      <c r="O77" s="54">
        <v>7.38</v>
      </c>
      <c r="P77" s="54">
        <v>178.59</v>
      </c>
      <c r="Q77" s="54">
        <v>228.69</v>
      </c>
      <c r="R77" s="53">
        <v>19</v>
      </c>
      <c r="S77" s="53">
        <v>11</v>
      </c>
      <c r="T77" s="53">
        <v>6</v>
      </c>
      <c r="U77" s="53">
        <v>6</v>
      </c>
      <c r="V77" s="53">
        <v>2</v>
      </c>
      <c r="W77" s="54">
        <v>3.44</v>
      </c>
      <c r="X77" s="54">
        <v>6.85</v>
      </c>
      <c r="Y77" s="54">
        <v>183.83</v>
      </c>
      <c r="Z77" s="54">
        <v>241.19</v>
      </c>
      <c r="AA77" s="54">
        <v>4.38</v>
      </c>
      <c r="AB77" s="54">
        <v>7.15</v>
      </c>
      <c r="AC77" s="54">
        <v>188.08</v>
      </c>
      <c r="AD77" s="54">
        <v>246.98</v>
      </c>
      <c r="AE77" s="54">
        <v>6.83</v>
      </c>
      <c r="AF77" s="54">
        <v>7.64</v>
      </c>
      <c r="AG77" s="54">
        <v>217.86</v>
      </c>
      <c r="AH77" s="54">
        <v>273.16000000000003</v>
      </c>
      <c r="AI77" s="54">
        <v>8.7100000000000009</v>
      </c>
      <c r="AJ77" s="54">
        <v>7.79</v>
      </c>
      <c r="AK77" s="54">
        <v>219.49</v>
      </c>
      <c r="AL77" s="54">
        <v>269.58999999999997</v>
      </c>
      <c r="AM77" s="53">
        <v>9</v>
      </c>
      <c r="AN77" s="53">
        <v>8</v>
      </c>
      <c r="AO77" s="53">
        <v>0</v>
      </c>
      <c r="AP77" s="53">
        <v>4</v>
      </c>
      <c r="AQ77" s="53">
        <v>1</v>
      </c>
    </row>
    <row r="78" spans="1:43">
      <c r="A78" s="58" t="s">
        <v>883</v>
      </c>
      <c r="B78" s="54">
        <v>3.24</v>
      </c>
      <c r="C78" s="54">
        <v>6.19</v>
      </c>
      <c r="D78" s="54">
        <v>117.96</v>
      </c>
      <c r="E78" s="54">
        <v>162.78</v>
      </c>
      <c r="F78" s="54">
        <v>4.67</v>
      </c>
      <c r="G78" s="54">
        <v>6.52</v>
      </c>
      <c r="H78" s="54">
        <v>124.5</v>
      </c>
      <c r="I78" s="54">
        <v>175</v>
      </c>
      <c r="J78" s="54">
        <v>6.6</v>
      </c>
      <c r="K78" s="54">
        <v>6.86</v>
      </c>
      <c r="L78" s="54">
        <v>139.16</v>
      </c>
      <c r="M78" s="54">
        <v>185.36</v>
      </c>
      <c r="N78" s="54">
        <v>8.93</v>
      </c>
      <c r="O78" s="54">
        <v>7.18</v>
      </c>
      <c r="P78" s="54">
        <v>156.85</v>
      </c>
      <c r="Q78" s="54">
        <v>197.85</v>
      </c>
      <c r="R78" s="53">
        <v>22</v>
      </c>
      <c r="S78" s="53">
        <v>10</v>
      </c>
      <c r="T78" s="53">
        <v>6</v>
      </c>
      <c r="U78" s="53">
        <v>6</v>
      </c>
      <c r="V78" s="53">
        <v>2</v>
      </c>
      <c r="W78" s="54">
        <v>3.5</v>
      </c>
      <c r="X78" s="54">
        <v>6.63</v>
      </c>
      <c r="Y78" s="54">
        <v>161.44</v>
      </c>
      <c r="Z78" s="54">
        <v>206.95</v>
      </c>
      <c r="AA78" s="54">
        <v>4.5</v>
      </c>
      <c r="AB78" s="54">
        <v>7.02</v>
      </c>
      <c r="AC78" s="54">
        <v>175.48</v>
      </c>
      <c r="AD78" s="54">
        <v>225.98</v>
      </c>
      <c r="AE78" s="54">
        <v>6.8</v>
      </c>
      <c r="AF78" s="54">
        <v>7.46</v>
      </c>
      <c r="AG78" s="54">
        <v>199.37</v>
      </c>
      <c r="AH78" s="54">
        <v>245.57</v>
      </c>
      <c r="AI78" s="54">
        <v>8.86</v>
      </c>
      <c r="AJ78" s="54">
        <v>7.64</v>
      </c>
      <c r="AK78" s="54">
        <v>202.56</v>
      </c>
      <c r="AL78" s="54">
        <v>243.56</v>
      </c>
      <c r="AM78" s="53">
        <v>9</v>
      </c>
      <c r="AN78" s="53">
        <v>10</v>
      </c>
      <c r="AO78" s="53">
        <v>2</v>
      </c>
      <c r="AP78" s="53">
        <v>5</v>
      </c>
      <c r="AQ78" s="53">
        <v>1</v>
      </c>
    </row>
    <row r="79" spans="1:43">
      <c r="A79" s="58" t="s">
        <v>884</v>
      </c>
      <c r="B79" s="54">
        <v>3.23</v>
      </c>
      <c r="C79" s="54">
        <v>5.98</v>
      </c>
      <c r="D79" s="54">
        <v>125.19</v>
      </c>
      <c r="E79" s="54">
        <v>174.09</v>
      </c>
      <c r="F79" s="54">
        <v>4.67</v>
      </c>
      <c r="G79" s="54">
        <v>6.3</v>
      </c>
      <c r="H79" s="54">
        <v>134.07</v>
      </c>
      <c r="I79" s="54">
        <v>191.07</v>
      </c>
      <c r="J79" s="54">
        <v>6.56</v>
      </c>
      <c r="K79" s="54">
        <v>6.62</v>
      </c>
      <c r="L79" s="54">
        <v>150.88</v>
      </c>
      <c r="M79" s="54">
        <v>202.48</v>
      </c>
      <c r="N79" s="54">
        <v>8.86</v>
      </c>
      <c r="O79" s="54">
        <v>6.85</v>
      </c>
      <c r="P79" s="54">
        <v>162.58000000000001</v>
      </c>
      <c r="Q79" s="54">
        <v>208.28</v>
      </c>
      <c r="R79" s="53">
        <v>25</v>
      </c>
      <c r="S79" s="53">
        <v>13</v>
      </c>
      <c r="T79" s="53">
        <v>5</v>
      </c>
      <c r="U79" s="53">
        <v>6</v>
      </c>
      <c r="V79" s="53">
        <v>2</v>
      </c>
      <c r="W79" s="54">
        <v>3.47</v>
      </c>
      <c r="X79" s="54">
        <v>6.3</v>
      </c>
      <c r="Y79" s="54">
        <v>157.02000000000001</v>
      </c>
      <c r="Z79" s="54">
        <v>206.41</v>
      </c>
      <c r="AA79" s="54">
        <v>4.49</v>
      </c>
      <c r="AB79" s="54">
        <v>6.69</v>
      </c>
      <c r="AC79" s="54">
        <v>173.09</v>
      </c>
      <c r="AD79" s="54">
        <v>230.09</v>
      </c>
      <c r="AE79" s="54">
        <v>6.8</v>
      </c>
      <c r="AF79" s="54">
        <v>7.04</v>
      </c>
      <c r="AG79" s="54">
        <v>192.81</v>
      </c>
      <c r="AH79" s="54">
        <v>244.41</v>
      </c>
      <c r="AI79" s="54">
        <v>8.81</v>
      </c>
      <c r="AJ79" s="54">
        <v>7.12</v>
      </c>
      <c r="AK79" s="54">
        <v>190.4</v>
      </c>
      <c r="AL79" s="54">
        <v>236.1</v>
      </c>
      <c r="AM79" s="53">
        <v>9</v>
      </c>
      <c r="AN79" s="53">
        <v>11</v>
      </c>
      <c r="AO79" s="53">
        <v>2</v>
      </c>
      <c r="AP79" s="53">
        <v>5</v>
      </c>
      <c r="AQ79" s="53">
        <v>1</v>
      </c>
    </row>
    <row r="80" spans="1:43">
      <c r="A80" s="58" t="s">
        <v>885</v>
      </c>
      <c r="B80" s="54">
        <v>3.23</v>
      </c>
      <c r="C80" s="54">
        <v>6.45</v>
      </c>
      <c r="D80" s="54">
        <v>119.42</v>
      </c>
      <c r="E80" s="54">
        <v>169.24</v>
      </c>
      <c r="F80" s="54">
        <v>4.66</v>
      </c>
      <c r="G80" s="54">
        <v>6.71</v>
      </c>
      <c r="H80" s="54">
        <v>129.19</v>
      </c>
      <c r="I80" s="54">
        <v>186.09</v>
      </c>
      <c r="J80" s="54">
        <v>6.62</v>
      </c>
      <c r="K80" s="54">
        <v>6.96</v>
      </c>
      <c r="L80" s="54">
        <v>147.34</v>
      </c>
      <c r="M80" s="54">
        <v>205.04</v>
      </c>
      <c r="N80" s="54">
        <v>9.1199999999999992</v>
      </c>
      <c r="O80" s="54">
        <v>7.06</v>
      </c>
      <c r="P80" s="54">
        <v>155.47999999999999</v>
      </c>
      <c r="Q80" s="54">
        <v>210.18</v>
      </c>
      <c r="R80" s="53">
        <v>24</v>
      </c>
      <c r="S80" s="53">
        <v>15</v>
      </c>
      <c r="T80" s="53">
        <v>4</v>
      </c>
      <c r="U80" s="53">
        <v>8</v>
      </c>
      <c r="V80" s="53">
        <v>2</v>
      </c>
      <c r="W80" s="54">
        <v>3.46</v>
      </c>
      <c r="X80" s="54">
        <v>6.78</v>
      </c>
      <c r="Y80" s="54">
        <v>152.63</v>
      </c>
      <c r="Z80" s="54">
        <v>202.98</v>
      </c>
      <c r="AA80" s="54">
        <v>4.5</v>
      </c>
      <c r="AB80" s="54">
        <v>7.15</v>
      </c>
      <c r="AC80" s="54">
        <v>173.11</v>
      </c>
      <c r="AD80" s="54">
        <v>230.01</v>
      </c>
      <c r="AE80" s="54">
        <v>6.8</v>
      </c>
      <c r="AF80" s="54">
        <v>7.32</v>
      </c>
      <c r="AG80" s="54">
        <v>183.15</v>
      </c>
      <c r="AH80" s="54">
        <v>240.85</v>
      </c>
      <c r="AI80" s="54">
        <v>8.98</v>
      </c>
      <c r="AJ80" s="54">
        <v>7.47</v>
      </c>
      <c r="AK80" s="54">
        <v>195.83</v>
      </c>
      <c r="AL80" s="54">
        <v>250.53</v>
      </c>
      <c r="AM80" s="53">
        <v>10</v>
      </c>
      <c r="AN80" s="53">
        <v>12</v>
      </c>
      <c r="AO80" s="53">
        <v>2</v>
      </c>
      <c r="AP80" s="53">
        <v>6</v>
      </c>
      <c r="AQ80" s="53">
        <v>1</v>
      </c>
    </row>
    <row r="81" spans="1:43">
      <c r="A81" s="58" t="s">
        <v>886</v>
      </c>
      <c r="B81" s="54">
        <v>3.21</v>
      </c>
      <c r="C81" s="54">
        <v>6.4</v>
      </c>
      <c r="D81" s="54">
        <v>111.97</v>
      </c>
      <c r="E81" s="54">
        <v>153.51</v>
      </c>
      <c r="F81" s="54">
        <v>4.6500000000000004</v>
      </c>
      <c r="G81" s="54">
        <v>6.72</v>
      </c>
      <c r="H81" s="54">
        <v>120.22</v>
      </c>
      <c r="I81" s="54">
        <v>174.82</v>
      </c>
      <c r="J81" s="54">
        <v>6.66</v>
      </c>
      <c r="K81" s="54">
        <v>6.99</v>
      </c>
      <c r="L81" s="54">
        <v>135.44</v>
      </c>
      <c r="M81" s="54">
        <v>189.14</v>
      </c>
      <c r="N81" s="54">
        <v>9.19</v>
      </c>
      <c r="O81" s="54">
        <v>7.17</v>
      </c>
      <c r="P81" s="54">
        <v>145.88</v>
      </c>
      <c r="Q81" s="54">
        <v>197.08</v>
      </c>
      <c r="R81" s="53">
        <v>24</v>
      </c>
      <c r="S81" s="53">
        <v>15</v>
      </c>
      <c r="T81" s="53">
        <v>4</v>
      </c>
      <c r="U81" s="53">
        <v>9</v>
      </c>
      <c r="V81" s="53">
        <v>2</v>
      </c>
      <c r="W81" s="54">
        <v>3.72</v>
      </c>
      <c r="X81" s="54">
        <v>6.79</v>
      </c>
      <c r="Y81" s="54">
        <v>150.51</v>
      </c>
      <c r="Z81" s="54">
        <v>192.68</v>
      </c>
      <c r="AA81" s="54">
        <v>4.6500000000000004</v>
      </c>
      <c r="AB81" s="54">
        <v>7.14</v>
      </c>
      <c r="AC81" s="54">
        <v>162.22999999999999</v>
      </c>
      <c r="AD81" s="54">
        <v>216.83</v>
      </c>
      <c r="AE81" s="54">
        <v>6.89</v>
      </c>
      <c r="AF81" s="54">
        <v>7.21</v>
      </c>
      <c r="AG81" s="54">
        <v>157.43</v>
      </c>
      <c r="AH81" s="54">
        <v>211.13</v>
      </c>
      <c r="AI81" s="54">
        <v>9.26</v>
      </c>
      <c r="AJ81" s="54">
        <v>7.45</v>
      </c>
      <c r="AK81" s="54">
        <v>173.44</v>
      </c>
      <c r="AL81" s="54">
        <v>224.64</v>
      </c>
      <c r="AM81" s="53">
        <v>8</v>
      </c>
      <c r="AN81" s="53">
        <v>13</v>
      </c>
      <c r="AO81" s="53">
        <v>2</v>
      </c>
      <c r="AP81" s="53">
        <v>7</v>
      </c>
      <c r="AQ81" s="53">
        <v>2</v>
      </c>
    </row>
    <row r="82" spans="1:43">
      <c r="A82" s="58" t="s">
        <v>887</v>
      </c>
      <c r="B82" s="54">
        <v>3.18</v>
      </c>
      <c r="C82" s="54">
        <v>6.47</v>
      </c>
      <c r="D82" s="54">
        <v>103.76</v>
      </c>
      <c r="E82" s="54">
        <v>148.81</v>
      </c>
      <c r="F82" s="54">
        <v>4.63</v>
      </c>
      <c r="G82" s="54">
        <v>6.84</v>
      </c>
      <c r="H82" s="54">
        <v>111.38</v>
      </c>
      <c r="I82" s="54">
        <v>172.18</v>
      </c>
      <c r="J82" s="54">
        <v>6.7</v>
      </c>
      <c r="K82" s="54">
        <v>7.16</v>
      </c>
      <c r="L82" s="54">
        <v>129.58000000000001</v>
      </c>
      <c r="M82" s="54">
        <v>186.88</v>
      </c>
      <c r="N82" s="54">
        <v>9.15</v>
      </c>
      <c r="O82" s="54">
        <v>7.41</v>
      </c>
      <c r="P82" s="54">
        <v>145.66</v>
      </c>
      <c r="Q82" s="54">
        <v>200.26</v>
      </c>
      <c r="R82" s="53">
        <v>26</v>
      </c>
      <c r="S82" s="53">
        <v>12</v>
      </c>
      <c r="T82" s="53">
        <v>4</v>
      </c>
      <c r="U82" s="53">
        <v>9</v>
      </c>
      <c r="V82" s="53">
        <v>2</v>
      </c>
      <c r="W82" s="54">
        <v>3.67</v>
      </c>
      <c r="X82" s="54">
        <v>6.93</v>
      </c>
      <c r="Y82" s="54">
        <v>149.51</v>
      </c>
      <c r="Z82" s="54">
        <v>195.32</v>
      </c>
      <c r="AA82" s="54">
        <v>4.62</v>
      </c>
      <c r="AB82" s="54">
        <v>7.35</v>
      </c>
      <c r="AC82" s="54">
        <v>162.18</v>
      </c>
      <c r="AD82" s="54">
        <v>222.98</v>
      </c>
      <c r="AE82" s="54">
        <v>6.92</v>
      </c>
      <c r="AF82" s="54">
        <v>7.45</v>
      </c>
      <c r="AG82" s="54">
        <v>158.69999999999999</v>
      </c>
      <c r="AH82" s="54">
        <v>216</v>
      </c>
      <c r="AI82" s="54">
        <v>9.1999999999999993</v>
      </c>
      <c r="AJ82" s="54">
        <v>7.69</v>
      </c>
      <c r="AK82" s="54">
        <v>173.85</v>
      </c>
      <c r="AL82" s="54">
        <v>228.45</v>
      </c>
      <c r="AM82" s="53">
        <v>8</v>
      </c>
      <c r="AN82" s="53">
        <v>13</v>
      </c>
      <c r="AO82" s="53">
        <v>2</v>
      </c>
      <c r="AP82" s="53">
        <v>7</v>
      </c>
      <c r="AQ82" s="53">
        <v>2</v>
      </c>
    </row>
    <row r="83" spans="1:43">
      <c r="A83" s="58" t="s">
        <v>888</v>
      </c>
      <c r="B83" s="54">
        <v>3.16</v>
      </c>
      <c r="C83" s="54">
        <v>6.58</v>
      </c>
      <c r="D83" s="54">
        <v>93.9</v>
      </c>
      <c r="E83" s="54">
        <v>126.52</v>
      </c>
      <c r="F83" s="54">
        <v>4.68</v>
      </c>
      <c r="G83" s="54">
        <v>6.98</v>
      </c>
      <c r="H83" s="54">
        <v>104.93</v>
      </c>
      <c r="I83" s="54">
        <v>152.72999999999999</v>
      </c>
      <c r="J83" s="54">
        <v>6.66</v>
      </c>
      <c r="K83" s="54">
        <v>7.23</v>
      </c>
      <c r="L83" s="54">
        <v>115.01</v>
      </c>
      <c r="M83" s="54">
        <v>168.61</v>
      </c>
      <c r="N83" s="54">
        <v>9.16</v>
      </c>
      <c r="O83" s="54">
        <v>7.5</v>
      </c>
      <c r="P83" s="54">
        <v>133.83000000000001</v>
      </c>
      <c r="Q83" s="54">
        <v>188.53</v>
      </c>
      <c r="R83" s="53">
        <v>21</v>
      </c>
      <c r="S83" s="53">
        <v>12</v>
      </c>
      <c r="T83" s="53">
        <v>4</v>
      </c>
      <c r="U83" s="53">
        <v>8</v>
      </c>
      <c r="V83" s="53">
        <v>2</v>
      </c>
      <c r="W83" s="54">
        <v>3.61</v>
      </c>
      <c r="X83" s="54">
        <v>7.22</v>
      </c>
      <c r="Y83" s="54">
        <v>157.15</v>
      </c>
      <c r="Z83" s="54">
        <v>190.86</v>
      </c>
      <c r="AA83" s="54">
        <v>4.53</v>
      </c>
      <c r="AB83" s="54">
        <v>7.58</v>
      </c>
      <c r="AC83" s="54">
        <v>165.2</v>
      </c>
      <c r="AD83" s="54">
        <v>213</v>
      </c>
      <c r="AE83" s="54">
        <v>6.96</v>
      </c>
      <c r="AF83" s="54">
        <v>7.69</v>
      </c>
      <c r="AG83" s="54">
        <v>160.9</v>
      </c>
      <c r="AH83" s="54">
        <v>214.5</v>
      </c>
      <c r="AI83" s="54">
        <v>9.06</v>
      </c>
      <c r="AJ83" s="54">
        <v>7.86</v>
      </c>
      <c r="AK83" s="54">
        <v>169.89</v>
      </c>
      <c r="AL83" s="54">
        <v>224.59</v>
      </c>
      <c r="AM83" s="53">
        <v>11</v>
      </c>
      <c r="AN83" s="53">
        <v>14</v>
      </c>
      <c r="AO83" s="53">
        <v>2</v>
      </c>
      <c r="AP83" s="53">
        <v>8</v>
      </c>
      <c r="AQ83" s="53">
        <v>2</v>
      </c>
    </row>
    <row r="84" spans="1:43">
      <c r="A84" s="58" t="s">
        <v>889</v>
      </c>
      <c r="B84" s="54">
        <v>3.11</v>
      </c>
      <c r="C84" s="54">
        <v>6.31</v>
      </c>
      <c r="D84" s="54">
        <v>94.75</v>
      </c>
      <c r="E84" s="54">
        <v>125.25</v>
      </c>
      <c r="F84" s="54">
        <v>4.6399999999999997</v>
      </c>
      <c r="G84" s="54">
        <v>6.67</v>
      </c>
      <c r="H84" s="54">
        <v>99.9</v>
      </c>
      <c r="I84" s="54">
        <v>142.69999999999999</v>
      </c>
      <c r="J84" s="54">
        <v>6.68</v>
      </c>
      <c r="K84" s="54">
        <v>6.99</v>
      </c>
      <c r="L84" s="54">
        <v>111.26</v>
      </c>
      <c r="M84" s="54">
        <v>156.36000000000001</v>
      </c>
      <c r="N84" s="54">
        <v>9.09</v>
      </c>
      <c r="O84" s="54">
        <v>7.32</v>
      </c>
      <c r="P84" s="54">
        <v>131.1</v>
      </c>
      <c r="Q84" s="54">
        <v>180.2</v>
      </c>
      <c r="R84" s="53">
        <v>23</v>
      </c>
      <c r="S84" s="53">
        <v>12</v>
      </c>
      <c r="T84" s="53">
        <v>4</v>
      </c>
      <c r="U84" s="53">
        <v>8</v>
      </c>
      <c r="V84" s="53">
        <v>2</v>
      </c>
      <c r="W84" s="54">
        <v>3.49</v>
      </c>
      <c r="X84" s="54">
        <v>6.84</v>
      </c>
      <c r="Y84" s="54">
        <v>147.32</v>
      </c>
      <c r="Z84" s="54">
        <v>178.67</v>
      </c>
      <c r="AA84" s="54">
        <v>4.4800000000000004</v>
      </c>
      <c r="AB84" s="54">
        <v>7.22</v>
      </c>
      <c r="AC84" s="54">
        <v>154.32</v>
      </c>
      <c r="AD84" s="54">
        <v>197.12</v>
      </c>
      <c r="AE84" s="54">
        <v>6.99</v>
      </c>
      <c r="AF84" s="54">
        <v>7.45</v>
      </c>
      <c r="AG84" s="54">
        <v>157.83000000000001</v>
      </c>
      <c r="AH84" s="54">
        <v>202.93</v>
      </c>
      <c r="AI84" s="54">
        <v>9</v>
      </c>
      <c r="AJ84" s="54">
        <v>7.71</v>
      </c>
      <c r="AK84" s="54">
        <v>170.68</v>
      </c>
      <c r="AL84" s="54">
        <v>219.78</v>
      </c>
      <c r="AM84" s="53">
        <v>13</v>
      </c>
      <c r="AN84" s="53">
        <v>13</v>
      </c>
      <c r="AO84" s="53">
        <v>2</v>
      </c>
      <c r="AP84" s="53">
        <v>8</v>
      </c>
      <c r="AQ84" s="53">
        <v>2</v>
      </c>
    </row>
    <row r="85" spans="1:43">
      <c r="A85" s="58" t="s">
        <v>890</v>
      </c>
      <c r="B85" s="54">
        <v>3.09</v>
      </c>
      <c r="C85" s="54">
        <v>6.28</v>
      </c>
      <c r="D85" s="54">
        <v>87.04</v>
      </c>
      <c r="E85" s="54">
        <v>115.2</v>
      </c>
      <c r="F85" s="54">
        <v>4.6100000000000003</v>
      </c>
      <c r="G85" s="54">
        <v>6.66</v>
      </c>
      <c r="H85" s="54">
        <v>92.58</v>
      </c>
      <c r="I85" s="54">
        <v>134.38</v>
      </c>
      <c r="J85" s="54">
        <v>6.7</v>
      </c>
      <c r="K85" s="54">
        <v>6.97</v>
      </c>
      <c r="L85" s="54">
        <v>107.31</v>
      </c>
      <c r="M85" s="54">
        <v>155.91</v>
      </c>
      <c r="N85" s="54">
        <v>9.0399999999999991</v>
      </c>
      <c r="O85" s="54">
        <v>7.31</v>
      </c>
      <c r="P85" s="54">
        <v>129.82</v>
      </c>
      <c r="Q85" s="54">
        <v>181.42</v>
      </c>
      <c r="R85" s="53">
        <v>24</v>
      </c>
      <c r="S85" s="53">
        <v>12</v>
      </c>
      <c r="T85" s="53">
        <v>4</v>
      </c>
      <c r="U85" s="53">
        <v>8</v>
      </c>
      <c r="V85" s="53">
        <v>2</v>
      </c>
      <c r="W85" s="54">
        <v>3.51</v>
      </c>
      <c r="X85" s="54">
        <v>6.83</v>
      </c>
      <c r="Y85" s="54">
        <v>141.18</v>
      </c>
      <c r="Z85" s="54">
        <v>170.21</v>
      </c>
      <c r="AA85" s="54">
        <v>4.49</v>
      </c>
      <c r="AB85" s="54">
        <v>7.2</v>
      </c>
      <c r="AC85" s="54">
        <v>146.85</v>
      </c>
      <c r="AD85" s="54">
        <v>188.65</v>
      </c>
      <c r="AE85" s="54">
        <v>7.02</v>
      </c>
      <c r="AF85" s="54">
        <v>7.42</v>
      </c>
      <c r="AG85" s="54">
        <v>151.84</v>
      </c>
      <c r="AH85" s="54">
        <v>200.44</v>
      </c>
      <c r="AI85" s="54">
        <v>8.9600000000000009</v>
      </c>
      <c r="AJ85" s="54">
        <v>7.66</v>
      </c>
      <c r="AK85" s="54">
        <v>164.56</v>
      </c>
      <c r="AL85" s="54">
        <v>216.16</v>
      </c>
      <c r="AM85" s="53">
        <v>12</v>
      </c>
      <c r="AN85" s="53">
        <v>13</v>
      </c>
      <c r="AO85" s="53">
        <v>2</v>
      </c>
      <c r="AP85" s="53">
        <v>8</v>
      </c>
      <c r="AQ85" s="53">
        <v>2</v>
      </c>
    </row>
    <row r="86" spans="1:43">
      <c r="A86" s="58" t="s">
        <v>891</v>
      </c>
      <c r="B86" s="54">
        <v>3.16</v>
      </c>
      <c r="C86" s="54">
        <v>6.18</v>
      </c>
      <c r="D86" s="54">
        <v>82.56</v>
      </c>
      <c r="E86" s="54">
        <v>113.55</v>
      </c>
      <c r="F86" s="54">
        <v>4.59</v>
      </c>
      <c r="G86" s="54">
        <v>6.57</v>
      </c>
      <c r="H86" s="54">
        <v>89.38</v>
      </c>
      <c r="I86" s="54">
        <v>132.58000000000001</v>
      </c>
      <c r="J86" s="54">
        <v>6.62</v>
      </c>
      <c r="K86" s="54">
        <v>6.88</v>
      </c>
      <c r="L86" s="54">
        <v>102.86</v>
      </c>
      <c r="M86" s="54">
        <v>150.66</v>
      </c>
      <c r="N86" s="54">
        <v>8.9700000000000006</v>
      </c>
      <c r="O86" s="54">
        <v>7.23</v>
      </c>
      <c r="P86" s="54">
        <v>122.5</v>
      </c>
      <c r="Q86" s="54">
        <v>173.9</v>
      </c>
      <c r="R86" s="53">
        <v>26</v>
      </c>
      <c r="S86" s="53">
        <v>17</v>
      </c>
      <c r="T86" s="53">
        <v>2</v>
      </c>
      <c r="U86" s="53">
        <v>8</v>
      </c>
      <c r="V86" s="53">
        <v>2</v>
      </c>
      <c r="W86" s="54">
        <v>3.46</v>
      </c>
      <c r="X86" s="54">
        <v>6.68</v>
      </c>
      <c r="Y86" s="54">
        <v>131.88999999999999</v>
      </c>
      <c r="Z86" s="54">
        <v>163.68</v>
      </c>
      <c r="AA86" s="54">
        <v>4.57</v>
      </c>
      <c r="AB86" s="54">
        <v>7.11</v>
      </c>
      <c r="AC86" s="54">
        <v>143.34</v>
      </c>
      <c r="AD86" s="54">
        <v>186.54</v>
      </c>
      <c r="AE86" s="54">
        <v>7.19</v>
      </c>
      <c r="AF86" s="54">
        <v>7.42</v>
      </c>
      <c r="AG86" s="54">
        <v>156.76</v>
      </c>
      <c r="AH86" s="54">
        <v>204.56</v>
      </c>
      <c r="AI86" s="54">
        <v>8.84</v>
      </c>
      <c r="AJ86" s="54">
        <v>7.62</v>
      </c>
      <c r="AK86" s="54">
        <v>162.35</v>
      </c>
      <c r="AL86" s="54">
        <v>213.75</v>
      </c>
      <c r="AM86" s="53">
        <v>10</v>
      </c>
      <c r="AN86" s="53">
        <v>12</v>
      </c>
      <c r="AO86" s="53">
        <v>3</v>
      </c>
      <c r="AP86" s="53">
        <v>8</v>
      </c>
      <c r="AQ86" s="53">
        <v>2</v>
      </c>
    </row>
    <row r="87" spans="1:43">
      <c r="A87" s="58" t="s">
        <v>892</v>
      </c>
      <c r="B87" s="54">
        <v>3.28</v>
      </c>
      <c r="C87" s="54">
        <v>6.23</v>
      </c>
      <c r="D87" s="54">
        <v>82.9</v>
      </c>
      <c r="E87" s="54">
        <v>114.97</v>
      </c>
      <c r="F87" s="54">
        <v>4.62</v>
      </c>
      <c r="G87" s="54">
        <v>6.57</v>
      </c>
      <c r="H87" s="54">
        <v>86.1</v>
      </c>
      <c r="I87" s="54">
        <v>132.4</v>
      </c>
      <c r="J87" s="54">
        <v>6.93</v>
      </c>
      <c r="K87" s="54">
        <v>6.97</v>
      </c>
      <c r="L87" s="54">
        <v>109.93</v>
      </c>
      <c r="M87" s="54">
        <v>164.23</v>
      </c>
      <c r="N87" s="54">
        <v>9.07</v>
      </c>
      <c r="O87" s="54">
        <v>7.24</v>
      </c>
      <c r="P87" s="54">
        <v>125.67</v>
      </c>
      <c r="Q87" s="54">
        <v>180.47</v>
      </c>
      <c r="R87" s="53">
        <v>28</v>
      </c>
      <c r="S87" s="53">
        <v>18</v>
      </c>
      <c r="T87" s="53">
        <v>4</v>
      </c>
      <c r="U87" s="53">
        <v>12</v>
      </c>
      <c r="V87" s="53">
        <v>4</v>
      </c>
      <c r="W87" s="54">
        <v>3.7</v>
      </c>
      <c r="X87" s="54">
        <v>7.18</v>
      </c>
      <c r="Y87" s="54">
        <v>176.93</v>
      </c>
      <c r="Z87" s="54">
        <v>210.57</v>
      </c>
      <c r="AA87" s="54">
        <v>4.6100000000000003</v>
      </c>
      <c r="AB87" s="54">
        <v>7.51</v>
      </c>
      <c r="AC87" s="54">
        <v>180.01</v>
      </c>
      <c r="AD87" s="54">
        <v>226.31</v>
      </c>
      <c r="AE87" s="54">
        <v>6.88</v>
      </c>
      <c r="AF87" s="54">
        <v>7.76</v>
      </c>
      <c r="AG87" s="54">
        <v>188.64</v>
      </c>
      <c r="AH87" s="54">
        <v>242.94</v>
      </c>
      <c r="AI87" s="54">
        <v>9.02</v>
      </c>
      <c r="AJ87" s="54">
        <v>7.96</v>
      </c>
      <c r="AK87" s="54">
        <v>197.9</v>
      </c>
      <c r="AL87" s="54">
        <v>252.7</v>
      </c>
      <c r="AM87" s="53">
        <v>8</v>
      </c>
      <c r="AN87" s="53">
        <v>11</v>
      </c>
      <c r="AO87" s="53">
        <v>4</v>
      </c>
      <c r="AP87" s="53">
        <v>7</v>
      </c>
      <c r="AQ87" s="53">
        <v>0</v>
      </c>
    </row>
    <row r="88" spans="1:43">
      <c r="A88" s="58" t="s">
        <v>893</v>
      </c>
      <c r="B88" s="54">
        <v>3.28</v>
      </c>
      <c r="C88" s="54">
        <v>6.05</v>
      </c>
      <c r="D88" s="54">
        <v>84.17</v>
      </c>
      <c r="E88" s="54">
        <v>119.58</v>
      </c>
      <c r="F88" s="54">
        <v>4.6399999999999997</v>
      </c>
      <c r="G88" s="54">
        <v>6.35</v>
      </c>
      <c r="H88" s="54">
        <v>88.49</v>
      </c>
      <c r="I88" s="54">
        <v>135.99</v>
      </c>
      <c r="J88" s="54">
        <v>6.91</v>
      </c>
      <c r="K88" s="54">
        <v>6.78</v>
      </c>
      <c r="L88" s="54">
        <v>113.84</v>
      </c>
      <c r="M88" s="54">
        <v>165.24</v>
      </c>
      <c r="N88" s="54">
        <v>9.1</v>
      </c>
      <c r="O88" s="54">
        <v>7.09</v>
      </c>
      <c r="P88" s="54">
        <v>133.31</v>
      </c>
      <c r="Q88" s="54">
        <v>187.81</v>
      </c>
      <c r="R88" s="53">
        <v>28</v>
      </c>
      <c r="S88" s="53">
        <v>20</v>
      </c>
      <c r="T88" s="53">
        <v>5</v>
      </c>
      <c r="U88" s="53">
        <v>12</v>
      </c>
      <c r="V88" s="53">
        <v>4</v>
      </c>
      <c r="W88" s="54">
        <v>3.65</v>
      </c>
      <c r="X88" s="54">
        <v>6.95</v>
      </c>
      <c r="Y88" s="54">
        <v>172.48</v>
      </c>
      <c r="Z88" s="54">
        <v>209.31</v>
      </c>
      <c r="AA88" s="54">
        <v>4.5999999999999996</v>
      </c>
      <c r="AB88" s="54">
        <v>7.25</v>
      </c>
      <c r="AC88" s="54">
        <v>178.48</v>
      </c>
      <c r="AD88" s="54">
        <v>225.98</v>
      </c>
      <c r="AE88" s="54">
        <v>6.97</v>
      </c>
      <c r="AF88" s="54">
        <v>7.52</v>
      </c>
      <c r="AG88" s="54">
        <v>188.04</v>
      </c>
      <c r="AH88" s="54">
        <v>239.44</v>
      </c>
      <c r="AI88" s="54">
        <v>9.17</v>
      </c>
      <c r="AJ88" s="54">
        <v>7.73</v>
      </c>
      <c r="AK88" s="54">
        <v>197.19</v>
      </c>
      <c r="AL88" s="54">
        <v>251.69</v>
      </c>
      <c r="AM88" s="53">
        <v>8</v>
      </c>
      <c r="AN88" s="53">
        <v>11</v>
      </c>
      <c r="AO88" s="53">
        <v>5</v>
      </c>
      <c r="AP88" s="53">
        <v>8</v>
      </c>
      <c r="AQ88" s="53">
        <v>0</v>
      </c>
    </row>
    <row r="89" spans="1:43">
      <c r="A89" s="58" t="s">
        <v>894</v>
      </c>
      <c r="B89" s="54">
        <v>3.26</v>
      </c>
      <c r="C89" s="54">
        <v>6.08</v>
      </c>
      <c r="D89" s="54">
        <v>92</v>
      </c>
      <c r="E89" s="54">
        <v>131.85</v>
      </c>
      <c r="F89" s="54">
        <v>4.6399999999999997</v>
      </c>
      <c r="G89" s="54">
        <v>6.42</v>
      </c>
      <c r="H89" s="54">
        <v>94.6</v>
      </c>
      <c r="I89" s="54">
        <v>154.80000000000001</v>
      </c>
      <c r="J89" s="54">
        <v>6.93</v>
      </c>
      <c r="K89" s="54">
        <v>6.88</v>
      </c>
      <c r="L89" s="54">
        <v>122.75</v>
      </c>
      <c r="M89" s="54">
        <v>185.45</v>
      </c>
      <c r="N89" s="54">
        <v>9.0500000000000007</v>
      </c>
      <c r="O89" s="54">
        <v>7.22</v>
      </c>
      <c r="P89" s="54">
        <v>142.97</v>
      </c>
      <c r="Q89" s="54">
        <v>201.77</v>
      </c>
      <c r="R89" s="53">
        <v>26</v>
      </c>
      <c r="S89" s="53">
        <v>20</v>
      </c>
      <c r="T89" s="53">
        <v>5</v>
      </c>
      <c r="U89" s="53">
        <v>12</v>
      </c>
      <c r="V89" s="53">
        <v>4</v>
      </c>
      <c r="W89" s="54">
        <v>3.45</v>
      </c>
      <c r="X89" s="54">
        <v>6.9</v>
      </c>
      <c r="Y89" s="54">
        <v>172.74</v>
      </c>
      <c r="Z89" s="54">
        <v>213.89</v>
      </c>
      <c r="AA89" s="54">
        <v>4.54</v>
      </c>
      <c r="AB89" s="54">
        <v>7.3</v>
      </c>
      <c r="AC89" s="54">
        <v>183.1</v>
      </c>
      <c r="AD89" s="54">
        <v>243.3</v>
      </c>
      <c r="AE89" s="54">
        <v>6.99</v>
      </c>
      <c r="AF89" s="54">
        <v>7.64</v>
      </c>
      <c r="AG89" s="54">
        <v>198.71</v>
      </c>
      <c r="AH89" s="54">
        <v>261.41000000000003</v>
      </c>
      <c r="AI89" s="54">
        <v>9.1199999999999992</v>
      </c>
      <c r="AJ89" s="54">
        <v>7.9</v>
      </c>
      <c r="AK89" s="54">
        <v>210.16</v>
      </c>
      <c r="AL89" s="54">
        <v>268.95999999999998</v>
      </c>
      <c r="AM89" s="53">
        <v>10</v>
      </c>
      <c r="AN89" s="53">
        <v>10</v>
      </c>
      <c r="AO89" s="53">
        <v>5</v>
      </c>
      <c r="AP89" s="53">
        <v>8</v>
      </c>
      <c r="AQ89" s="53">
        <v>0</v>
      </c>
    </row>
    <row r="90" spans="1:43">
      <c r="A90" s="58" t="s">
        <v>895</v>
      </c>
      <c r="B90" s="54">
        <v>3.26</v>
      </c>
      <c r="C90" s="54">
        <v>5.67</v>
      </c>
      <c r="D90" s="54">
        <v>81.63</v>
      </c>
      <c r="E90" s="54">
        <v>131.38999999999999</v>
      </c>
      <c r="F90" s="54">
        <v>4.62</v>
      </c>
      <c r="G90" s="54">
        <v>5.99</v>
      </c>
      <c r="H90" s="54">
        <v>82.26</v>
      </c>
      <c r="I90" s="54">
        <v>151.26</v>
      </c>
      <c r="J90" s="54">
        <v>6.93</v>
      </c>
      <c r="K90" s="54">
        <v>6.42</v>
      </c>
      <c r="L90" s="54">
        <v>105.25</v>
      </c>
      <c r="M90" s="54">
        <v>180.55</v>
      </c>
      <c r="N90" s="54">
        <v>9</v>
      </c>
      <c r="O90" s="54">
        <v>6.75</v>
      </c>
      <c r="P90" s="54">
        <v>122.15</v>
      </c>
      <c r="Q90" s="54">
        <v>194.85</v>
      </c>
      <c r="R90" s="53">
        <v>29</v>
      </c>
      <c r="S90" s="53">
        <v>19</v>
      </c>
      <c r="T90" s="53">
        <v>5</v>
      </c>
      <c r="U90" s="53">
        <v>12</v>
      </c>
      <c r="V90" s="53">
        <v>4</v>
      </c>
      <c r="W90" s="54">
        <v>3.41</v>
      </c>
      <c r="X90" s="54">
        <v>6.59</v>
      </c>
      <c r="Y90" s="54">
        <v>171.7</v>
      </c>
      <c r="Z90" s="54">
        <v>222.84</v>
      </c>
      <c r="AA90" s="54">
        <v>4.53</v>
      </c>
      <c r="AB90" s="54">
        <v>6.95</v>
      </c>
      <c r="AC90" s="54">
        <v>178.77</v>
      </c>
      <c r="AD90" s="54">
        <v>247.77</v>
      </c>
      <c r="AE90" s="54">
        <v>7.01</v>
      </c>
      <c r="AF90" s="54">
        <v>7.27</v>
      </c>
      <c r="AG90" s="54">
        <v>189.71</v>
      </c>
      <c r="AH90" s="54">
        <v>265.01</v>
      </c>
      <c r="AI90" s="54">
        <v>9.08</v>
      </c>
      <c r="AJ90" s="54">
        <v>7.53</v>
      </c>
      <c r="AK90" s="54">
        <v>200.22</v>
      </c>
      <c r="AL90" s="54">
        <v>272.92</v>
      </c>
      <c r="AM90" s="53">
        <v>12</v>
      </c>
      <c r="AN90" s="53">
        <v>8</v>
      </c>
      <c r="AO90" s="53">
        <v>6</v>
      </c>
      <c r="AP90" s="53">
        <v>7</v>
      </c>
      <c r="AQ90" s="53">
        <v>0</v>
      </c>
    </row>
    <row r="91" spans="1:43">
      <c r="A91" s="58" t="s">
        <v>896</v>
      </c>
      <c r="B91" s="54">
        <v>3.21</v>
      </c>
      <c r="C91" s="54">
        <v>5.46</v>
      </c>
      <c r="D91" s="54">
        <v>108.39</v>
      </c>
      <c r="E91" s="54">
        <v>168.87</v>
      </c>
      <c r="F91" s="54">
        <v>4.6100000000000003</v>
      </c>
      <c r="G91" s="54">
        <v>5.84</v>
      </c>
      <c r="H91" s="54">
        <v>111.26</v>
      </c>
      <c r="I91" s="54">
        <v>191.36</v>
      </c>
      <c r="J91" s="54">
        <v>6.94</v>
      </c>
      <c r="K91" s="54">
        <v>6.34</v>
      </c>
      <c r="L91" s="54">
        <v>140.32</v>
      </c>
      <c r="M91" s="54">
        <v>223.92</v>
      </c>
      <c r="N91" s="54">
        <v>8.94</v>
      </c>
      <c r="O91" s="54">
        <v>6.69</v>
      </c>
      <c r="P91" s="54">
        <v>158.03</v>
      </c>
      <c r="Q91" s="54">
        <v>231.33</v>
      </c>
      <c r="R91" s="53">
        <v>30</v>
      </c>
      <c r="S91" s="53">
        <v>18</v>
      </c>
      <c r="T91" s="53">
        <v>5</v>
      </c>
      <c r="U91" s="53">
        <v>12</v>
      </c>
      <c r="V91" s="53">
        <v>4</v>
      </c>
      <c r="W91" s="54">
        <v>3.59</v>
      </c>
      <c r="X91" s="54">
        <v>6.58</v>
      </c>
      <c r="Y91" s="54">
        <v>219.37</v>
      </c>
      <c r="Z91" s="54">
        <v>281.5</v>
      </c>
      <c r="AA91" s="54">
        <v>4.5599999999999996</v>
      </c>
      <c r="AB91" s="54">
        <v>6.92</v>
      </c>
      <c r="AC91" s="54">
        <v>219.28</v>
      </c>
      <c r="AD91" s="54">
        <v>299.38</v>
      </c>
      <c r="AE91" s="54">
        <v>7.03</v>
      </c>
      <c r="AF91" s="54">
        <v>7.31</v>
      </c>
      <c r="AG91" s="54">
        <v>236.72</v>
      </c>
      <c r="AH91" s="54">
        <v>320.32</v>
      </c>
      <c r="AI91" s="54">
        <v>9.0299999999999994</v>
      </c>
      <c r="AJ91" s="54">
        <v>7.61</v>
      </c>
      <c r="AK91" s="54">
        <v>250.83</v>
      </c>
      <c r="AL91" s="54">
        <v>324.13</v>
      </c>
      <c r="AM91" s="53">
        <v>11</v>
      </c>
      <c r="AN91" s="53">
        <v>7</v>
      </c>
      <c r="AO91" s="53">
        <v>6</v>
      </c>
      <c r="AP91" s="53">
        <v>7</v>
      </c>
      <c r="AQ91" s="53">
        <v>0</v>
      </c>
    </row>
    <row r="92" spans="1:43">
      <c r="A92" s="58" t="s">
        <v>897</v>
      </c>
      <c r="B92" s="54">
        <v>3.19</v>
      </c>
      <c r="C92" s="54">
        <v>5.41</v>
      </c>
      <c r="D92" s="54">
        <v>122.11</v>
      </c>
      <c r="E92" s="54">
        <v>178.71</v>
      </c>
      <c r="F92" s="54">
        <v>4.62</v>
      </c>
      <c r="G92" s="54">
        <v>5.78</v>
      </c>
      <c r="H92" s="54">
        <v>127.08</v>
      </c>
      <c r="I92" s="54">
        <v>199.38</v>
      </c>
      <c r="J92" s="54">
        <v>6.96</v>
      </c>
      <c r="K92" s="54">
        <v>6.29</v>
      </c>
      <c r="L92" s="54">
        <v>157.41999999999999</v>
      </c>
      <c r="M92" s="54">
        <v>233.72</v>
      </c>
      <c r="N92" s="54">
        <v>9.01</v>
      </c>
      <c r="O92" s="54">
        <v>6.61</v>
      </c>
      <c r="P92" s="54">
        <v>173.72</v>
      </c>
      <c r="Q92" s="54">
        <v>239.22</v>
      </c>
      <c r="R92" s="53">
        <v>32</v>
      </c>
      <c r="S92" s="53">
        <v>18</v>
      </c>
      <c r="T92" s="53">
        <v>4</v>
      </c>
      <c r="U92" s="53">
        <v>13</v>
      </c>
      <c r="V92" s="53">
        <v>4</v>
      </c>
      <c r="W92" s="54">
        <v>3.53</v>
      </c>
      <c r="X92" s="54">
        <v>6.54</v>
      </c>
      <c r="Y92" s="54">
        <v>233.4</v>
      </c>
      <c r="Z92" s="54">
        <v>291.64999999999998</v>
      </c>
      <c r="AA92" s="54">
        <v>4.55</v>
      </c>
      <c r="AB92" s="54">
        <v>6.9</v>
      </c>
      <c r="AC92" s="54">
        <v>238.75</v>
      </c>
      <c r="AD92" s="54">
        <v>311.05</v>
      </c>
      <c r="AE92" s="54">
        <v>7.04</v>
      </c>
      <c r="AF92" s="54">
        <v>7.2</v>
      </c>
      <c r="AG92" s="54">
        <v>248.23</v>
      </c>
      <c r="AH92" s="54">
        <v>324.52999999999997</v>
      </c>
      <c r="AI92" s="54">
        <v>8.98</v>
      </c>
      <c r="AJ92" s="54">
        <v>7.49</v>
      </c>
      <c r="AK92" s="54">
        <v>261.2</v>
      </c>
      <c r="AL92" s="54">
        <v>326.7</v>
      </c>
      <c r="AM92" s="53">
        <v>15</v>
      </c>
      <c r="AN92" s="53">
        <v>4</v>
      </c>
      <c r="AO92" s="53">
        <v>5</v>
      </c>
      <c r="AP92" s="53">
        <v>7</v>
      </c>
      <c r="AQ92" s="53">
        <v>0</v>
      </c>
    </row>
    <row r="93" spans="1:43">
      <c r="A93" s="58" t="s">
        <v>898</v>
      </c>
      <c r="B93" s="54">
        <v>3.16</v>
      </c>
      <c r="C93" s="54">
        <v>5.54</v>
      </c>
      <c r="D93" s="54">
        <v>115.23</v>
      </c>
      <c r="E93" s="54">
        <v>166.11</v>
      </c>
      <c r="F93" s="54">
        <v>4.62</v>
      </c>
      <c r="G93" s="54">
        <v>5.94</v>
      </c>
      <c r="H93" s="54">
        <v>121.1</v>
      </c>
      <c r="I93" s="54">
        <v>189.3</v>
      </c>
      <c r="J93" s="54">
        <v>6.98</v>
      </c>
      <c r="K93" s="54">
        <v>6.45</v>
      </c>
      <c r="L93" s="54">
        <v>147.75</v>
      </c>
      <c r="M93" s="54">
        <v>220.65</v>
      </c>
      <c r="N93" s="54">
        <v>8.9600000000000009</v>
      </c>
      <c r="O93" s="54">
        <v>6.72</v>
      </c>
      <c r="P93" s="54">
        <v>155.54</v>
      </c>
      <c r="Q93" s="54">
        <v>221.14</v>
      </c>
      <c r="R93" s="53">
        <v>31</v>
      </c>
      <c r="S93" s="53">
        <v>18</v>
      </c>
      <c r="T93" s="53">
        <v>5</v>
      </c>
      <c r="U93" s="53">
        <v>12</v>
      </c>
      <c r="V93" s="53">
        <v>4</v>
      </c>
      <c r="W93" s="54">
        <v>3.46</v>
      </c>
      <c r="X93" s="54">
        <v>6.76</v>
      </c>
      <c r="Y93" s="54">
        <v>235.84</v>
      </c>
      <c r="Z93" s="54">
        <v>288.56</v>
      </c>
      <c r="AA93" s="54">
        <v>4.58</v>
      </c>
      <c r="AB93" s="54">
        <v>7.17</v>
      </c>
      <c r="AC93" s="54">
        <v>244.7</v>
      </c>
      <c r="AD93" s="54">
        <v>312.89999999999998</v>
      </c>
      <c r="AE93" s="54">
        <v>7.07</v>
      </c>
      <c r="AF93" s="54">
        <v>7.59</v>
      </c>
      <c r="AG93" s="54">
        <v>262.23</v>
      </c>
      <c r="AH93" s="54">
        <v>335.13</v>
      </c>
      <c r="AI93" s="54">
        <v>9.07</v>
      </c>
      <c r="AJ93" s="54">
        <v>7.99</v>
      </c>
      <c r="AK93" s="54">
        <v>282.44</v>
      </c>
      <c r="AL93" s="54">
        <v>348.04</v>
      </c>
      <c r="AM93" s="53">
        <v>17</v>
      </c>
      <c r="AN93" s="53">
        <v>5</v>
      </c>
      <c r="AO93" s="53">
        <v>6</v>
      </c>
      <c r="AP93" s="53">
        <v>9</v>
      </c>
      <c r="AQ93" s="53">
        <v>0</v>
      </c>
    </row>
    <row r="94" spans="1:43">
      <c r="A94" s="58" t="s">
        <v>899</v>
      </c>
      <c r="B94" s="54">
        <v>3.19</v>
      </c>
      <c r="C94" s="54">
        <v>5.13</v>
      </c>
      <c r="D94" s="54">
        <v>121.33</v>
      </c>
      <c r="E94" s="54">
        <v>200.87</v>
      </c>
      <c r="F94" s="54">
        <v>4.6100000000000003</v>
      </c>
      <c r="G94" s="54">
        <v>5.55</v>
      </c>
      <c r="H94" s="54">
        <v>122.25</v>
      </c>
      <c r="I94" s="54">
        <v>224.35</v>
      </c>
      <c r="J94" s="54">
        <v>6.97</v>
      </c>
      <c r="K94" s="54">
        <v>6.18</v>
      </c>
      <c r="L94" s="54">
        <v>161.65</v>
      </c>
      <c r="M94" s="54">
        <v>261.75</v>
      </c>
      <c r="N94" s="54">
        <v>9.15</v>
      </c>
      <c r="O94" s="54">
        <v>6.5</v>
      </c>
      <c r="P94" s="54">
        <v>177.31</v>
      </c>
      <c r="Q94" s="54">
        <v>257.20999999999998</v>
      </c>
      <c r="R94" s="53">
        <v>32</v>
      </c>
      <c r="S94" s="53">
        <v>18</v>
      </c>
      <c r="T94" s="53">
        <v>5</v>
      </c>
      <c r="U94" s="53">
        <v>14</v>
      </c>
      <c r="V94" s="53">
        <v>4</v>
      </c>
      <c r="W94" s="54">
        <v>3.41</v>
      </c>
      <c r="X94" s="54">
        <v>6.35</v>
      </c>
      <c r="Y94" s="54">
        <v>241.12</v>
      </c>
      <c r="Z94" s="54">
        <v>322.38</v>
      </c>
      <c r="AA94" s="54">
        <v>4.6100000000000003</v>
      </c>
      <c r="AB94" s="54">
        <v>6.84</v>
      </c>
      <c r="AC94" s="54">
        <v>251.16</v>
      </c>
      <c r="AD94" s="54">
        <v>353.26</v>
      </c>
      <c r="AE94" s="54">
        <v>7.13</v>
      </c>
      <c r="AF94" s="54">
        <v>7.34</v>
      </c>
      <c r="AG94" s="54">
        <v>278.29000000000002</v>
      </c>
      <c r="AH94" s="54">
        <v>378.39</v>
      </c>
      <c r="AI94" s="54">
        <v>9.19</v>
      </c>
      <c r="AJ94" s="54">
        <v>7.71</v>
      </c>
      <c r="AK94" s="54">
        <v>298.11</v>
      </c>
      <c r="AL94" s="54">
        <v>378.01</v>
      </c>
      <c r="AM94" s="53">
        <v>17</v>
      </c>
      <c r="AN94" s="53">
        <v>5</v>
      </c>
      <c r="AO94" s="53">
        <v>7</v>
      </c>
      <c r="AP94" s="53">
        <v>10</v>
      </c>
      <c r="AQ94" s="53">
        <v>1</v>
      </c>
    </row>
    <row r="95" spans="1:43">
      <c r="A95" s="58" t="s">
        <v>900</v>
      </c>
      <c r="B95" s="54">
        <v>3.23</v>
      </c>
      <c r="C95" s="54">
        <v>5.17</v>
      </c>
      <c r="D95" s="54">
        <v>122.37</v>
      </c>
      <c r="E95" s="54">
        <v>203.87</v>
      </c>
      <c r="F95" s="54">
        <v>4.6100000000000003</v>
      </c>
      <c r="G95" s="54">
        <v>5.5</v>
      </c>
      <c r="H95" s="54">
        <v>119.75</v>
      </c>
      <c r="I95" s="54">
        <v>224.35</v>
      </c>
      <c r="J95" s="54">
        <v>6.98</v>
      </c>
      <c r="K95" s="54">
        <v>6.05</v>
      </c>
      <c r="L95" s="54">
        <v>157.66999999999999</v>
      </c>
      <c r="M95" s="54">
        <v>265.87</v>
      </c>
      <c r="N95" s="54">
        <v>9.1</v>
      </c>
      <c r="O95" s="54">
        <v>6.31</v>
      </c>
      <c r="P95" s="54">
        <v>173.98</v>
      </c>
      <c r="Q95" s="54">
        <v>264.68</v>
      </c>
      <c r="R95" s="53">
        <v>32</v>
      </c>
      <c r="S95" s="53">
        <v>17</v>
      </c>
      <c r="T95" s="53">
        <v>5</v>
      </c>
      <c r="U95" s="53">
        <v>14</v>
      </c>
      <c r="V95" s="53">
        <v>4</v>
      </c>
      <c r="W95" s="54">
        <v>3.35</v>
      </c>
      <c r="X95" s="54">
        <v>6.33</v>
      </c>
      <c r="Y95" s="54">
        <v>236.75</v>
      </c>
      <c r="Z95" s="54">
        <v>319.88</v>
      </c>
      <c r="AA95" s="54">
        <v>4.6100000000000003</v>
      </c>
      <c r="AB95" s="54">
        <v>6.85</v>
      </c>
      <c r="AC95" s="54">
        <v>254.93</v>
      </c>
      <c r="AD95" s="54">
        <v>359.53</v>
      </c>
      <c r="AE95" s="54">
        <v>7.13</v>
      </c>
      <c r="AF95" s="54">
        <v>7.35</v>
      </c>
      <c r="AG95" s="54">
        <v>287.79000000000002</v>
      </c>
      <c r="AH95" s="54">
        <v>395.99</v>
      </c>
      <c r="AI95" s="54">
        <v>9.15</v>
      </c>
      <c r="AJ95" s="54">
        <v>7.66</v>
      </c>
      <c r="AK95" s="54">
        <v>308.36</v>
      </c>
      <c r="AL95" s="54">
        <v>399.06</v>
      </c>
      <c r="AM95" s="53">
        <v>19</v>
      </c>
      <c r="AN95" s="53">
        <v>4</v>
      </c>
      <c r="AO95" s="53">
        <v>7</v>
      </c>
      <c r="AP95" s="53">
        <v>10</v>
      </c>
      <c r="AQ95" s="53">
        <v>1</v>
      </c>
    </row>
    <row r="96" spans="1:43">
      <c r="A96" s="58" t="s">
        <v>901</v>
      </c>
      <c r="B96" s="54">
        <v>3.12</v>
      </c>
      <c r="C96" s="54">
        <v>5.04</v>
      </c>
      <c r="D96" s="54">
        <v>117.32</v>
      </c>
      <c r="E96" s="54">
        <v>187.76</v>
      </c>
      <c r="F96" s="54">
        <v>4.59</v>
      </c>
      <c r="G96" s="54">
        <v>5.41</v>
      </c>
      <c r="H96" s="54">
        <v>120.36</v>
      </c>
      <c r="I96" s="54">
        <v>210.56</v>
      </c>
      <c r="J96" s="54">
        <v>6.99</v>
      </c>
      <c r="K96" s="54">
        <v>5.97</v>
      </c>
      <c r="L96" s="54">
        <v>153.58000000000001</v>
      </c>
      <c r="M96" s="54">
        <v>242.98</v>
      </c>
      <c r="N96" s="54">
        <v>9.0399999999999991</v>
      </c>
      <c r="O96" s="54">
        <v>6.27</v>
      </c>
      <c r="P96" s="54">
        <v>167.66</v>
      </c>
      <c r="Q96" s="54">
        <v>255.36</v>
      </c>
      <c r="R96" s="53">
        <v>34</v>
      </c>
      <c r="S96" s="53">
        <v>17</v>
      </c>
      <c r="T96" s="53">
        <v>6</v>
      </c>
      <c r="U96" s="53">
        <v>13</v>
      </c>
      <c r="V96" s="53">
        <v>4</v>
      </c>
      <c r="W96" s="54">
        <v>3.3</v>
      </c>
      <c r="X96" s="54">
        <v>6.39</v>
      </c>
      <c r="Y96" s="54">
        <v>250.11</v>
      </c>
      <c r="Z96" s="54">
        <v>322.44</v>
      </c>
      <c r="AA96" s="54">
        <v>4.62</v>
      </c>
      <c r="AB96" s="54">
        <v>6.89</v>
      </c>
      <c r="AC96" s="54">
        <v>267.8</v>
      </c>
      <c r="AD96" s="54">
        <v>358</v>
      </c>
      <c r="AE96" s="54">
        <v>7.14</v>
      </c>
      <c r="AF96" s="54">
        <v>7.35</v>
      </c>
      <c r="AG96" s="54">
        <v>292.19</v>
      </c>
      <c r="AH96" s="54">
        <v>381.59</v>
      </c>
      <c r="AI96" s="54">
        <v>9.09</v>
      </c>
      <c r="AJ96" s="54">
        <v>7.71</v>
      </c>
      <c r="AK96" s="54">
        <v>311.08999999999997</v>
      </c>
      <c r="AL96" s="54">
        <v>398.79</v>
      </c>
      <c r="AM96" s="53">
        <v>19</v>
      </c>
      <c r="AN96" s="53">
        <v>4</v>
      </c>
      <c r="AO96" s="53">
        <v>8</v>
      </c>
      <c r="AP96" s="53">
        <v>9</v>
      </c>
      <c r="AQ96" s="53">
        <v>1</v>
      </c>
    </row>
    <row r="97" spans="1:43">
      <c r="A97" s="58" t="s">
        <v>902</v>
      </c>
      <c r="B97" s="54">
        <v>3.14</v>
      </c>
      <c r="C97" s="54">
        <v>5.37</v>
      </c>
      <c r="D97" s="54">
        <v>111.12</v>
      </c>
      <c r="E97" s="54">
        <v>175.88</v>
      </c>
      <c r="F97" s="54">
        <v>4.59</v>
      </c>
      <c r="G97" s="54">
        <v>5.67</v>
      </c>
      <c r="H97" s="54">
        <v>116.63</v>
      </c>
      <c r="I97" s="54">
        <v>199.03</v>
      </c>
      <c r="J97" s="54">
        <v>6.93</v>
      </c>
      <c r="K97" s="54">
        <v>6.15</v>
      </c>
      <c r="L97" s="54">
        <v>149.27000000000001</v>
      </c>
      <c r="M97" s="54">
        <v>234.17</v>
      </c>
      <c r="N97" s="54">
        <v>9.08</v>
      </c>
      <c r="O97" s="54">
        <v>6.42</v>
      </c>
      <c r="P97" s="54">
        <v>162.97</v>
      </c>
      <c r="Q97" s="54">
        <v>245.27</v>
      </c>
      <c r="R97" s="53">
        <v>36</v>
      </c>
      <c r="S97" s="53">
        <v>20</v>
      </c>
      <c r="T97" s="53">
        <v>6</v>
      </c>
      <c r="U97" s="53">
        <v>14</v>
      </c>
      <c r="V97" s="53">
        <v>5</v>
      </c>
      <c r="W97" s="54">
        <v>3.27</v>
      </c>
      <c r="X97" s="54">
        <v>6.81</v>
      </c>
      <c r="Y97" s="54">
        <v>252.47</v>
      </c>
      <c r="Z97" s="54">
        <v>319.36</v>
      </c>
      <c r="AA97" s="54">
        <v>4.62</v>
      </c>
      <c r="AB97" s="54">
        <v>7.2</v>
      </c>
      <c r="AC97" s="54">
        <v>270.49</v>
      </c>
      <c r="AD97" s="54">
        <v>352.89</v>
      </c>
      <c r="AE97" s="54">
        <v>7.15</v>
      </c>
      <c r="AF97" s="54">
        <v>7.48</v>
      </c>
      <c r="AG97" s="54">
        <v>281.76</v>
      </c>
      <c r="AH97" s="54">
        <v>366.66</v>
      </c>
      <c r="AI97" s="54">
        <v>9.06</v>
      </c>
      <c r="AJ97" s="54">
        <v>7.79</v>
      </c>
      <c r="AK97" s="54">
        <v>299.27</v>
      </c>
      <c r="AL97" s="54">
        <v>381.57</v>
      </c>
      <c r="AM97" s="53">
        <v>16</v>
      </c>
      <c r="AN97" s="53">
        <v>3</v>
      </c>
      <c r="AO97" s="53">
        <v>8</v>
      </c>
      <c r="AP97" s="53">
        <v>8</v>
      </c>
      <c r="AQ97" s="53">
        <v>1</v>
      </c>
    </row>
    <row r="98" spans="1:43">
      <c r="A98" s="58" t="s">
        <v>903</v>
      </c>
      <c r="B98" s="54">
        <v>3.11</v>
      </c>
      <c r="C98" s="54">
        <v>5.1100000000000003</v>
      </c>
      <c r="D98" s="54">
        <v>102.65</v>
      </c>
      <c r="E98" s="54">
        <v>163.27000000000001</v>
      </c>
      <c r="F98" s="54">
        <v>4.63</v>
      </c>
      <c r="G98" s="54">
        <v>5.47</v>
      </c>
      <c r="H98" s="54">
        <v>109.13</v>
      </c>
      <c r="I98" s="54">
        <v>190.33</v>
      </c>
      <c r="J98" s="54">
        <v>6.95</v>
      </c>
      <c r="K98" s="54">
        <v>6.01</v>
      </c>
      <c r="L98" s="54">
        <v>143.52000000000001</v>
      </c>
      <c r="M98" s="54">
        <v>222.82</v>
      </c>
      <c r="N98" s="54">
        <v>9.14</v>
      </c>
      <c r="O98" s="54">
        <v>6.31</v>
      </c>
      <c r="P98" s="54">
        <v>154.55000000000001</v>
      </c>
      <c r="Q98" s="54">
        <v>232.35</v>
      </c>
      <c r="R98" s="53">
        <v>40</v>
      </c>
      <c r="S98" s="53">
        <v>19</v>
      </c>
      <c r="T98" s="53">
        <v>9</v>
      </c>
      <c r="U98" s="53">
        <v>14</v>
      </c>
      <c r="V98" s="53">
        <v>5</v>
      </c>
      <c r="W98" s="54">
        <v>3.21</v>
      </c>
      <c r="X98" s="54">
        <v>6.47</v>
      </c>
      <c r="Y98" s="54">
        <v>237.28</v>
      </c>
      <c r="Z98" s="54">
        <v>299.83999999999997</v>
      </c>
      <c r="AA98" s="54">
        <v>4.6100000000000003</v>
      </c>
      <c r="AB98" s="54">
        <v>6.88</v>
      </c>
      <c r="AC98" s="54">
        <v>250.98</v>
      </c>
      <c r="AD98" s="54">
        <v>332.18</v>
      </c>
      <c r="AE98" s="54">
        <v>7.14</v>
      </c>
      <c r="AF98" s="54">
        <v>7.19</v>
      </c>
      <c r="AG98" s="54">
        <v>261.37</v>
      </c>
      <c r="AH98" s="54">
        <v>340.67</v>
      </c>
      <c r="AI98" s="54">
        <v>9.01</v>
      </c>
      <c r="AJ98" s="54">
        <v>7.54</v>
      </c>
      <c r="AK98" s="54">
        <v>278.38</v>
      </c>
      <c r="AL98" s="54">
        <v>356.18</v>
      </c>
      <c r="AM98" s="53">
        <v>17</v>
      </c>
      <c r="AN98" s="53">
        <v>3</v>
      </c>
      <c r="AO98" s="53">
        <v>8</v>
      </c>
      <c r="AP98" s="53">
        <v>8</v>
      </c>
      <c r="AQ98" s="53">
        <v>1</v>
      </c>
    </row>
    <row r="99" spans="1:43">
      <c r="A99" s="58" t="s">
        <v>904</v>
      </c>
      <c r="B99" s="54">
        <v>3.15</v>
      </c>
      <c r="C99" s="54">
        <v>4.84</v>
      </c>
      <c r="D99" s="54">
        <v>104.21</v>
      </c>
      <c r="E99" s="54">
        <v>183</v>
      </c>
      <c r="F99" s="54">
        <v>4.6399999999999997</v>
      </c>
      <c r="G99" s="54">
        <v>5.18</v>
      </c>
      <c r="H99" s="54">
        <v>108.18</v>
      </c>
      <c r="I99" s="54">
        <v>205.88</v>
      </c>
      <c r="J99" s="54">
        <v>6.96</v>
      </c>
      <c r="K99" s="54">
        <v>5.71</v>
      </c>
      <c r="L99" s="54">
        <v>140.51</v>
      </c>
      <c r="M99" s="54">
        <v>234.11</v>
      </c>
      <c r="N99" s="54">
        <v>9.09</v>
      </c>
      <c r="O99" s="54">
        <v>5.96</v>
      </c>
      <c r="P99" s="54">
        <v>148.91999999999999</v>
      </c>
      <c r="Q99" s="54">
        <v>229.02</v>
      </c>
      <c r="R99" s="53">
        <v>41</v>
      </c>
      <c r="S99" s="53">
        <v>18</v>
      </c>
      <c r="T99" s="53">
        <v>8</v>
      </c>
      <c r="U99" s="53">
        <v>14</v>
      </c>
      <c r="V99" s="53">
        <v>5</v>
      </c>
      <c r="W99" s="54">
        <v>3.18</v>
      </c>
      <c r="X99" s="54">
        <v>6.16</v>
      </c>
      <c r="Y99" s="54">
        <v>234.36</v>
      </c>
      <c r="Z99" s="54">
        <v>314.93</v>
      </c>
      <c r="AA99" s="54">
        <v>4.6399999999999997</v>
      </c>
      <c r="AB99" s="54">
        <v>6.57</v>
      </c>
      <c r="AC99" s="54">
        <v>247.92</v>
      </c>
      <c r="AD99" s="54">
        <v>345.62</v>
      </c>
      <c r="AE99" s="54">
        <v>7.1</v>
      </c>
      <c r="AF99" s="54">
        <v>6.9</v>
      </c>
      <c r="AG99" s="54">
        <v>260.48</v>
      </c>
      <c r="AH99" s="54">
        <v>354.08</v>
      </c>
      <c r="AI99" s="54">
        <v>8.9600000000000009</v>
      </c>
      <c r="AJ99" s="54">
        <v>7.22</v>
      </c>
      <c r="AK99" s="54">
        <v>274.72000000000003</v>
      </c>
      <c r="AL99" s="54">
        <v>354.82</v>
      </c>
      <c r="AM99" s="53">
        <v>18</v>
      </c>
      <c r="AN99" s="53">
        <v>4</v>
      </c>
      <c r="AO99" s="53">
        <v>7</v>
      </c>
      <c r="AP99" s="53">
        <v>8</v>
      </c>
      <c r="AQ99" s="53">
        <v>1</v>
      </c>
    </row>
    <row r="100" spans="1:43">
      <c r="A100" s="58" t="s">
        <v>905</v>
      </c>
      <c r="B100" s="54">
        <v>3.13</v>
      </c>
      <c r="C100" s="54">
        <v>4.2</v>
      </c>
      <c r="D100" s="54">
        <v>110.24</v>
      </c>
      <c r="E100" s="54">
        <v>207.33</v>
      </c>
      <c r="F100" s="54">
        <v>4.72</v>
      </c>
      <c r="G100" s="54">
        <v>4.57</v>
      </c>
      <c r="H100" s="54">
        <v>112.19</v>
      </c>
      <c r="I100" s="54">
        <v>228.49</v>
      </c>
      <c r="J100" s="54">
        <v>6.94</v>
      </c>
      <c r="K100" s="54">
        <v>5.08</v>
      </c>
      <c r="L100" s="54">
        <v>140.62</v>
      </c>
      <c r="M100" s="54">
        <v>249.82</v>
      </c>
      <c r="N100" s="54">
        <v>9.14</v>
      </c>
      <c r="O100" s="54">
        <v>5.38</v>
      </c>
      <c r="P100" s="54">
        <v>150.87</v>
      </c>
      <c r="Q100" s="54">
        <v>246.27</v>
      </c>
      <c r="R100" s="53">
        <v>43</v>
      </c>
      <c r="S100" s="53">
        <v>16</v>
      </c>
      <c r="T100" s="53">
        <v>9</v>
      </c>
      <c r="U100" s="53">
        <v>17</v>
      </c>
      <c r="V100" s="53">
        <v>5</v>
      </c>
      <c r="W100" s="54">
        <v>3.13</v>
      </c>
      <c r="X100" s="54">
        <v>5.49</v>
      </c>
      <c r="Y100" s="54">
        <v>238.16</v>
      </c>
      <c r="Z100" s="54">
        <v>336.78</v>
      </c>
      <c r="AA100" s="54">
        <v>4.66</v>
      </c>
      <c r="AB100" s="54">
        <v>5.94</v>
      </c>
      <c r="AC100" s="54">
        <v>249.01</v>
      </c>
      <c r="AD100" s="54">
        <v>365.31</v>
      </c>
      <c r="AE100" s="54">
        <v>7.1</v>
      </c>
      <c r="AF100" s="54">
        <v>6.25</v>
      </c>
      <c r="AG100" s="54">
        <v>257.32</v>
      </c>
      <c r="AH100" s="54">
        <v>366.52</v>
      </c>
      <c r="AI100" s="54">
        <v>8.9</v>
      </c>
      <c r="AJ100" s="54">
        <v>6.57</v>
      </c>
      <c r="AK100" s="54">
        <v>269.76</v>
      </c>
      <c r="AL100" s="54">
        <v>365.16</v>
      </c>
      <c r="AM100" s="53">
        <v>18</v>
      </c>
      <c r="AN100" s="53">
        <v>4</v>
      </c>
      <c r="AO100" s="53">
        <v>7</v>
      </c>
      <c r="AP100" s="53">
        <v>8</v>
      </c>
      <c r="AQ100" s="53">
        <v>1</v>
      </c>
    </row>
    <row r="101" spans="1:43">
      <c r="A101" s="58" t="s">
        <v>906</v>
      </c>
      <c r="B101" s="54">
        <v>3.11</v>
      </c>
      <c r="C101" s="54">
        <v>4.4400000000000004</v>
      </c>
      <c r="D101" s="54">
        <v>119.54</v>
      </c>
      <c r="E101" s="54">
        <v>204.98</v>
      </c>
      <c r="F101" s="54">
        <v>4.7300000000000004</v>
      </c>
      <c r="G101" s="54">
        <v>4.8099999999999996</v>
      </c>
      <c r="H101" s="54">
        <v>124.62</v>
      </c>
      <c r="I101" s="54">
        <v>230.22</v>
      </c>
      <c r="J101" s="54">
        <v>6.92</v>
      </c>
      <c r="K101" s="54">
        <v>5.29</v>
      </c>
      <c r="L101" s="54">
        <v>152.87</v>
      </c>
      <c r="M101" s="54">
        <v>255.47</v>
      </c>
      <c r="N101" s="54">
        <v>9.1199999999999992</v>
      </c>
      <c r="O101" s="54">
        <v>5.56</v>
      </c>
      <c r="P101" s="54">
        <v>160.80000000000001</v>
      </c>
      <c r="Q101" s="54">
        <v>252</v>
      </c>
      <c r="R101" s="53">
        <v>43</v>
      </c>
      <c r="S101" s="53">
        <v>18</v>
      </c>
      <c r="T101" s="53">
        <v>9</v>
      </c>
      <c r="U101" s="53">
        <v>18</v>
      </c>
      <c r="V101" s="53">
        <v>5</v>
      </c>
      <c r="W101" s="54">
        <v>3.12</v>
      </c>
      <c r="X101" s="54">
        <v>5.83</v>
      </c>
      <c r="Y101" s="54">
        <v>256.25</v>
      </c>
      <c r="Z101" s="54">
        <v>343.44</v>
      </c>
      <c r="AA101" s="54">
        <v>4.74</v>
      </c>
      <c r="AB101" s="54">
        <v>6.23</v>
      </c>
      <c r="AC101" s="54">
        <v>267.47000000000003</v>
      </c>
      <c r="AD101" s="54">
        <v>373.07</v>
      </c>
      <c r="AE101" s="54">
        <v>7.03</v>
      </c>
      <c r="AF101" s="54">
        <v>6.5</v>
      </c>
      <c r="AG101" s="54">
        <v>273.64</v>
      </c>
      <c r="AH101" s="54">
        <v>376.24</v>
      </c>
      <c r="AI101" s="54">
        <v>8.8800000000000008</v>
      </c>
      <c r="AJ101" s="54">
        <v>6.96</v>
      </c>
      <c r="AK101" s="54">
        <v>301.41000000000003</v>
      </c>
      <c r="AL101" s="54">
        <v>392.61</v>
      </c>
      <c r="AM101" s="53">
        <v>20</v>
      </c>
      <c r="AN101" s="53">
        <v>4</v>
      </c>
      <c r="AO101" s="53">
        <v>9</v>
      </c>
      <c r="AP101" s="53">
        <v>9</v>
      </c>
      <c r="AQ101" s="53">
        <v>1</v>
      </c>
    </row>
    <row r="102" spans="1:43">
      <c r="A102" s="58" t="s">
        <v>907</v>
      </c>
      <c r="B102" s="54">
        <v>3.11</v>
      </c>
      <c r="C102" s="54">
        <v>4.32</v>
      </c>
      <c r="D102" s="54">
        <v>103.79</v>
      </c>
      <c r="E102" s="54">
        <v>175.39</v>
      </c>
      <c r="F102" s="54">
        <v>4.72</v>
      </c>
      <c r="G102" s="54">
        <v>4.63</v>
      </c>
      <c r="H102" s="54">
        <v>110.15</v>
      </c>
      <c r="I102" s="54">
        <v>197.85</v>
      </c>
      <c r="J102" s="54">
        <v>6.9</v>
      </c>
      <c r="K102" s="54">
        <v>5.01</v>
      </c>
      <c r="L102" s="54">
        <v>131.61000000000001</v>
      </c>
      <c r="M102" s="54">
        <v>224.91</v>
      </c>
      <c r="N102" s="54">
        <v>9.09</v>
      </c>
      <c r="O102" s="54">
        <v>5.18</v>
      </c>
      <c r="P102" s="54">
        <v>131.34</v>
      </c>
      <c r="Q102" s="54">
        <v>207.84</v>
      </c>
      <c r="R102" s="53">
        <v>43</v>
      </c>
      <c r="S102" s="53">
        <v>18</v>
      </c>
      <c r="T102" s="53">
        <v>8</v>
      </c>
      <c r="U102" s="53">
        <v>17</v>
      </c>
      <c r="V102" s="53">
        <v>4</v>
      </c>
      <c r="W102" s="54">
        <v>3.13</v>
      </c>
      <c r="X102" s="54">
        <v>5.69</v>
      </c>
      <c r="Y102" s="54">
        <v>238.82</v>
      </c>
      <c r="Z102" s="54">
        <v>312.11</v>
      </c>
      <c r="AA102" s="54">
        <v>4.83</v>
      </c>
      <c r="AB102" s="54">
        <v>6.06</v>
      </c>
      <c r="AC102" s="54">
        <v>252.5</v>
      </c>
      <c r="AD102" s="54">
        <v>340.2</v>
      </c>
      <c r="AE102" s="54">
        <v>6.98</v>
      </c>
      <c r="AF102" s="54">
        <v>6.27</v>
      </c>
      <c r="AG102" s="54">
        <v>257.36</v>
      </c>
      <c r="AH102" s="54">
        <v>350.66</v>
      </c>
      <c r="AI102" s="54">
        <v>8.7799999999999994</v>
      </c>
      <c r="AJ102" s="54">
        <v>6.72</v>
      </c>
      <c r="AK102" s="54">
        <v>284.58</v>
      </c>
      <c r="AL102" s="54">
        <v>361.08</v>
      </c>
      <c r="AM102" s="53">
        <v>20</v>
      </c>
      <c r="AN102" s="53">
        <v>7</v>
      </c>
      <c r="AO102" s="53">
        <v>10</v>
      </c>
      <c r="AP102" s="53">
        <v>8</v>
      </c>
      <c r="AQ102" s="53">
        <v>2</v>
      </c>
    </row>
    <row r="103" spans="1:43">
      <c r="A103" s="58" t="s">
        <v>908</v>
      </c>
      <c r="B103" s="54">
        <v>3.09</v>
      </c>
      <c r="C103" s="54">
        <v>4.22</v>
      </c>
      <c r="D103" s="54">
        <v>105.28</v>
      </c>
      <c r="E103" s="54">
        <v>175.39</v>
      </c>
      <c r="F103" s="54">
        <v>4.72</v>
      </c>
      <c r="G103" s="54">
        <v>4.59</v>
      </c>
      <c r="H103" s="54">
        <v>114.22</v>
      </c>
      <c r="I103" s="54">
        <v>201.22</v>
      </c>
      <c r="J103" s="54">
        <v>6.92</v>
      </c>
      <c r="K103" s="54">
        <v>5.05</v>
      </c>
      <c r="L103" s="54">
        <v>140.85</v>
      </c>
      <c r="M103" s="54">
        <v>233.55</v>
      </c>
      <c r="N103" s="54">
        <v>9.11</v>
      </c>
      <c r="O103" s="54">
        <v>5.3</v>
      </c>
      <c r="P103" s="54">
        <v>144.35</v>
      </c>
      <c r="Q103" s="54">
        <v>220.65</v>
      </c>
      <c r="R103" s="53">
        <v>45</v>
      </c>
      <c r="S103" s="53">
        <v>16</v>
      </c>
      <c r="T103" s="53">
        <v>8</v>
      </c>
      <c r="U103" s="53">
        <v>18</v>
      </c>
      <c r="V103" s="53">
        <v>4</v>
      </c>
      <c r="W103" s="54">
        <v>3.1</v>
      </c>
      <c r="X103" s="54">
        <v>5.5</v>
      </c>
      <c r="Y103" s="54">
        <v>231.67</v>
      </c>
      <c r="Z103" s="54">
        <v>303.31</v>
      </c>
      <c r="AA103" s="54">
        <v>4.84</v>
      </c>
      <c r="AB103" s="54">
        <v>5.88</v>
      </c>
      <c r="AC103" s="54">
        <v>243.07</v>
      </c>
      <c r="AD103" s="54">
        <v>330.07</v>
      </c>
      <c r="AE103" s="54">
        <v>6.96</v>
      </c>
      <c r="AF103" s="54">
        <v>6.16</v>
      </c>
      <c r="AG103" s="54">
        <v>251.76</v>
      </c>
      <c r="AH103" s="54">
        <v>344.46</v>
      </c>
      <c r="AI103" s="54">
        <v>8.73</v>
      </c>
      <c r="AJ103" s="54">
        <v>6.65</v>
      </c>
      <c r="AK103" s="54">
        <v>279.48</v>
      </c>
      <c r="AL103" s="54">
        <v>355.78</v>
      </c>
      <c r="AM103" s="53">
        <v>20</v>
      </c>
      <c r="AN103" s="53">
        <v>7</v>
      </c>
      <c r="AO103" s="53">
        <v>10</v>
      </c>
      <c r="AP103" s="53">
        <v>8</v>
      </c>
      <c r="AQ103" s="53">
        <v>2</v>
      </c>
    </row>
    <row r="104" spans="1:43">
      <c r="A104" s="58" t="s">
        <v>909</v>
      </c>
      <c r="B104" s="54">
        <v>3.05</v>
      </c>
      <c r="C104" s="54">
        <v>4.01</v>
      </c>
      <c r="D104" s="54">
        <v>103.69</v>
      </c>
      <c r="E104" s="54">
        <v>157.38</v>
      </c>
      <c r="F104" s="54">
        <v>4.75</v>
      </c>
      <c r="G104" s="54">
        <v>4.41</v>
      </c>
      <c r="H104" s="54">
        <v>117.99</v>
      </c>
      <c r="I104" s="54">
        <v>188.79</v>
      </c>
      <c r="J104" s="54">
        <v>6.98</v>
      </c>
      <c r="K104" s="54">
        <v>4.92</v>
      </c>
      <c r="L104" s="54">
        <v>149.06</v>
      </c>
      <c r="M104" s="54">
        <v>225.96</v>
      </c>
      <c r="N104" s="54">
        <v>9.01</v>
      </c>
      <c r="O104" s="54">
        <v>5.18</v>
      </c>
      <c r="P104" s="54">
        <v>153.69</v>
      </c>
      <c r="Q104" s="54">
        <v>219.09</v>
      </c>
      <c r="R104" s="53">
        <v>49</v>
      </c>
      <c r="S104" s="53">
        <v>15</v>
      </c>
      <c r="T104" s="53">
        <v>11</v>
      </c>
      <c r="U104" s="53">
        <v>16</v>
      </c>
      <c r="V104" s="53">
        <v>5</v>
      </c>
      <c r="W104" s="54">
        <v>3.06</v>
      </c>
      <c r="X104" s="54">
        <v>5.25</v>
      </c>
      <c r="Y104" s="54">
        <v>226.23</v>
      </c>
      <c r="Z104" s="54">
        <v>281.32</v>
      </c>
      <c r="AA104" s="54">
        <v>4.8600000000000003</v>
      </c>
      <c r="AB104" s="54">
        <v>5.6</v>
      </c>
      <c r="AC104" s="54">
        <v>236.51</v>
      </c>
      <c r="AD104" s="54">
        <v>307.31</v>
      </c>
      <c r="AE104" s="54">
        <v>6.94</v>
      </c>
      <c r="AF104" s="54">
        <v>5.94</v>
      </c>
      <c r="AG104" s="54">
        <v>251.02</v>
      </c>
      <c r="AH104" s="54">
        <v>327.92</v>
      </c>
      <c r="AI104" s="54">
        <v>8.68</v>
      </c>
      <c r="AJ104" s="54">
        <v>6.48</v>
      </c>
      <c r="AK104" s="54">
        <v>284.18</v>
      </c>
      <c r="AL104" s="54">
        <v>349.58</v>
      </c>
      <c r="AM104" s="53">
        <v>20</v>
      </c>
      <c r="AN104" s="53">
        <v>7</v>
      </c>
      <c r="AO104" s="53">
        <v>12</v>
      </c>
      <c r="AP104" s="53">
        <v>6</v>
      </c>
      <c r="AQ104" s="53">
        <v>2</v>
      </c>
    </row>
    <row r="105" spans="1:43">
      <c r="A105" s="58" t="s">
        <v>910</v>
      </c>
      <c r="B105" s="54">
        <v>3.05</v>
      </c>
      <c r="C105" s="54">
        <v>3.88</v>
      </c>
      <c r="D105" s="54">
        <v>86.26</v>
      </c>
      <c r="E105" s="54">
        <v>130.91999999999999</v>
      </c>
      <c r="F105" s="54">
        <v>4.7699999999999996</v>
      </c>
      <c r="G105" s="54">
        <v>4.26</v>
      </c>
      <c r="H105" s="54">
        <v>97.62</v>
      </c>
      <c r="I105" s="54">
        <v>160.32</v>
      </c>
      <c r="J105" s="54">
        <v>6.94</v>
      </c>
      <c r="K105" s="54">
        <v>4.74</v>
      </c>
      <c r="L105" s="54">
        <v>123.69</v>
      </c>
      <c r="M105" s="54">
        <v>195.09</v>
      </c>
      <c r="N105" s="54">
        <v>9.0299999999999994</v>
      </c>
      <c r="O105" s="54">
        <v>5.03</v>
      </c>
      <c r="P105" s="54">
        <v>128.99</v>
      </c>
      <c r="Q105" s="54">
        <v>190.39</v>
      </c>
      <c r="R105" s="53">
        <v>51</v>
      </c>
      <c r="S105" s="53">
        <v>15</v>
      </c>
      <c r="T105" s="53">
        <v>11</v>
      </c>
      <c r="U105" s="53">
        <v>17</v>
      </c>
      <c r="V105" s="53">
        <v>5</v>
      </c>
      <c r="W105" s="54">
        <v>3.06</v>
      </c>
      <c r="X105" s="54">
        <v>4.95</v>
      </c>
      <c r="Y105" s="54">
        <v>192.86</v>
      </c>
      <c r="Z105" s="54">
        <v>238.69</v>
      </c>
      <c r="AA105" s="54">
        <v>5</v>
      </c>
      <c r="AB105" s="54">
        <v>5.38</v>
      </c>
      <c r="AC105" s="54">
        <v>209.68</v>
      </c>
      <c r="AD105" s="54">
        <v>272.38</v>
      </c>
      <c r="AE105" s="54">
        <v>7.03</v>
      </c>
      <c r="AF105" s="54">
        <v>5.73</v>
      </c>
      <c r="AG105" s="54">
        <v>222.86</v>
      </c>
      <c r="AH105" s="54">
        <v>294.26</v>
      </c>
      <c r="AI105" s="54">
        <v>9.24</v>
      </c>
      <c r="AJ105" s="54">
        <v>6.27</v>
      </c>
      <c r="AK105" s="54">
        <v>253.46</v>
      </c>
      <c r="AL105" s="54">
        <v>314.86</v>
      </c>
      <c r="AM105" s="53">
        <v>19</v>
      </c>
      <c r="AN105" s="53">
        <v>8</v>
      </c>
      <c r="AO105" s="53">
        <v>13</v>
      </c>
      <c r="AP105" s="53">
        <v>9</v>
      </c>
      <c r="AQ105" s="53">
        <v>2</v>
      </c>
    </row>
    <row r="106" spans="1:43">
      <c r="A106" s="58" t="s">
        <v>911</v>
      </c>
      <c r="B106" s="54">
        <v>3.08</v>
      </c>
      <c r="C106" s="54">
        <v>3.94</v>
      </c>
      <c r="D106" s="54">
        <v>85.86</v>
      </c>
      <c r="E106" s="54">
        <v>132.29</v>
      </c>
      <c r="F106" s="54">
        <v>4.79</v>
      </c>
      <c r="G106" s="54">
        <v>4.33</v>
      </c>
      <c r="H106" s="54">
        <v>98.73</v>
      </c>
      <c r="I106" s="54">
        <v>163.03</v>
      </c>
      <c r="J106" s="54">
        <v>6.91</v>
      </c>
      <c r="K106" s="54">
        <v>4.83</v>
      </c>
      <c r="L106" s="54">
        <v>127.71</v>
      </c>
      <c r="M106" s="54">
        <v>198.71</v>
      </c>
      <c r="N106" s="54">
        <v>8.98</v>
      </c>
      <c r="O106" s="54">
        <v>5.16</v>
      </c>
      <c r="P106" s="54">
        <v>137.09</v>
      </c>
      <c r="Q106" s="54">
        <v>199.89</v>
      </c>
      <c r="R106" s="53">
        <v>50</v>
      </c>
      <c r="S106" s="53">
        <v>15</v>
      </c>
      <c r="T106" s="53">
        <v>12</v>
      </c>
      <c r="U106" s="53">
        <v>16</v>
      </c>
      <c r="V106" s="53">
        <v>5</v>
      </c>
      <c r="W106" s="54">
        <v>3.08</v>
      </c>
      <c r="X106" s="54">
        <v>5.0199999999999996</v>
      </c>
      <c r="Y106" s="54">
        <v>192.3</v>
      </c>
      <c r="Z106" s="54">
        <v>239.91</v>
      </c>
      <c r="AA106" s="54">
        <v>5.03</v>
      </c>
      <c r="AB106" s="54">
        <v>5.52</v>
      </c>
      <c r="AC106" s="54">
        <v>218.07</v>
      </c>
      <c r="AD106" s="54">
        <v>282.37</v>
      </c>
      <c r="AE106" s="54">
        <v>7.04</v>
      </c>
      <c r="AF106" s="54">
        <v>5.88</v>
      </c>
      <c r="AG106" s="54">
        <v>233.44</v>
      </c>
      <c r="AH106" s="54">
        <v>304.44</v>
      </c>
      <c r="AI106" s="54">
        <v>9.26</v>
      </c>
      <c r="AJ106" s="54">
        <v>6.46</v>
      </c>
      <c r="AK106" s="54">
        <v>267.29000000000002</v>
      </c>
      <c r="AL106" s="54">
        <v>330.09</v>
      </c>
      <c r="AM106" s="53">
        <v>18</v>
      </c>
      <c r="AN106" s="53">
        <v>11</v>
      </c>
      <c r="AO106" s="53">
        <v>12</v>
      </c>
      <c r="AP106" s="53">
        <v>10</v>
      </c>
      <c r="AQ106" s="53">
        <v>2</v>
      </c>
    </row>
    <row r="107" spans="1:43">
      <c r="A107" s="58" t="s">
        <v>912</v>
      </c>
      <c r="B107" s="54">
        <v>3.08</v>
      </c>
      <c r="C107" s="54">
        <v>3.82</v>
      </c>
      <c r="D107" s="54">
        <v>84.28</v>
      </c>
      <c r="E107" s="54">
        <v>114.99</v>
      </c>
      <c r="F107" s="54">
        <v>4.79</v>
      </c>
      <c r="G107" s="54">
        <v>4.26</v>
      </c>
      <c r="H107" s="54">
        <v>97.26</v>
      </c>
      <c r="I107" s="54">
        <v>150.36000000000001</v>
      </c>
      <c r="J107" s="54">
        <v>6.88</v>
      </c>
      <c r="K107" s="54">
        <v>4.79</v>
      </c>
      <c r="L107" s="54">
        <v>124.81</v>
      </c>
      <c r="M107" s="54">
        <v>186.81</v>
      </c>
      <c r="N107" s="54">
        <v>8.94</v>
      </c>
      <c r="O107" s="54">
        <v>5.19</v>
      </c>
      <c r="P107" s="54">
        <v>136.07</v>
      </c>
      <c r="Q107" s="54">
        <v>191.27</v>
      </c>
      <c r="R107" s="53">
        <v>51</v>
      </c>
      <c r="S107" s="53">
        <v>16</v>
      </c>
      <c r="T107" s="53">
        <v>12</v>
      </c>
      <c r="U107" s="53">
        <v>16</v>
      </c>
      <c r="V107" s="53">
        <v>5</v>
      </c>
      <c r="W107" s="54">
        <v>3.05</v>
      </c>
      <c r="X107" s="54">
        <v>4.92</v>
      </c>
      <c r="Y107" s="54">
        <v>193.49</v>
      </c>
      <c r="Z107" s="54">
        <v>225.39</v>
      </c>
      <c r="AA107" s="54">
        <v>5.05</v>
      </c>
      <c r="AB107" s="54">
        <v>5.47</v>
      </c>
      <c r="AC107" s="54">
        <v>218.59</v>
      </c>
      <c r="AD107" s="54">
        <v>271.69</v>
      </c>
      <c r="AE107" s="54">
        <v>7.03</v>
      </c>
      <c r="AF107" s="54">
        <v>5.86</v>
      </c>
      <c r="AG107" s="54">
        <v>231.81</v>
      </c>
      <c r="AH107" s="54">
        <v>293.81</v>
      </c>
      <c r="AI107" s="54">
        <v>9.2100000000000009</v>
      </c>
      <c r="AJ107" s="54">
        <v>6.43</v>
      </c>
      <c r="AK107" s="54">
        <v>260.13</v>
      </c>
      <c r="AL107" s="54">
        <v>315.33</v>
      </c>
      <c r="AM107" s="53">
        <v>18</v>
      </c>
      <c r="AN107" s="53">
        <v>11</v>
      </c>
      <c r="AO107" s="53">
        <v>12</v>
      </c>
      <c r="AP107" s="53">
        <v>10</v>
      </c>
      <c r="AQ107" s="53">
        <v>2</v>
      </c>
    </row>
    <row r="108" spans="1:43">
      <c r="A108" s="58" t="s">
        <v>913</v>
      </c>
      <c r="B108" s="54">
        <v>3.06</v>
      </c>
      <c r="C108" s="54">
        <v>3.88</v>
      </c>
      <c r="D108" s="54">
        <v>79.430000000000007</v>
      </c>
      <c r="E108" s="54">
        <v>105.99</v>
      </c>
      <c r="F108" s="54">
        <v>4.79</v>
      </c>
      <c r="G108" s="54">
        <v>4.32</v>
      </c>
      <c r="H108" s="54">
        <v>90.51</v>
      </c>
      <c r="I108" s="54">
        <v>134.11000000000001</v>
      </c>
      <c r="J108" s="54">
        <v>6.87</v>
      </c>
      <c r="K108" s="54">
        <v>4.8499999999999996</v>
      </c>
      <c r="L108" s="54">
        <v>117.4</v>
      </c>
      <c r="M108" s="54">
        <v>165.7</v>
      </c>
      <c r="N108" s="54">
        <v>8.91</v>
      </c>
      <c r="O108" s="54">
        <v>5.28</v>
      </c>
      <c r="P108" s="54">
        <v>132.47999999999999</v>
      </c>
      <c r="Q108" s="54">
        <v>183.68</v>
      </c>
      <c r="R108" s="53">
        <v>51</v>
      </c>
      <c r="S108" s="53">
        <v>17</v>
      </c>
      <c r="T108" s="53">
        <v>12</v>
      </c>
      <c r="U108" s="53">
        <v>16</v>
      </c>
      <c r="V108" s="53">
        <v>5</v>
      </c>
      <c r="W108" s="54">
        <v>3.02</v>
      </c>
      <c r="X108" s="54">
        <v>4.79</v>
      </c>
      <c r="Y108" s="54">
        <v>170.03</v>
      </c>
      <c r="Z108" s="54">
        <v>197.57</v>
      </c>
      <c r="AA108" s="54">
        <v>5.0599999999999996</v>
      </c>
      <c r="AB108" s="54">
        <v>5.44</v>
      </c>
      <c r="AC108" s="54">
        <v>202.03</v>
      </c>
      <c r="AD108" s="54">
        <v>245.63</v>
      </c>
      <c r="AE108" s="54">
        <v>7.02</v>
      </c>
      <c r="AF108" s="54">
        <v>5.91</v>
      </c>
      <c r="AG108" s="54">
        <v>223.32</v>
      </c>
      <c r="AH108" s="54">
        <v>271.62</v>
      </c>
      <c r="AI108" s="54">
        <v>9.16</v>
      </c>
      <c r="AJ108" s="54">
        <v>6.48</v>
      </c>
      <c r="AK108" s="54">
        <v>251.71</v>
      </c>
      <c r="AL108" s="54">
        <v>302.91000000000003</v>
      </c>
      <c r="AM108" s="53">
        <v>18</v>
      </c>
      <c r="AN108" s="53">
        <v>11</v>
      </c>
      <c r="AO108" s="53">
        <v>12</v>
      </c>
      <c r="AP108" s="53">
        <v>10</v>
      </c>
      <c r="AQ108" s="53">
        <v>2</v>
      </c>
    </row>
    <row r="109" spans="1:43">
      <c r="A109" s="58" t="s">
        <v>914</v>
      </c>
      <c r="B109" s="54">
        <v>3.07</v>
      </c>
      <c r="C109" s="54">
        <v>3.82</v>
      </c>
      <c r="D109" s="54">
        <v>77.430000000000007</v>
      </c>
      <c r="E109" s="54">
        <v>108.54</v>
      </c>
      <c r="F109" s="54">
        <v>4.8099999999999996</v>
      </c>
      <c r="G109" s="54">
        <v>4.2699999999999996</v>
      </c>
      <c r="H109" s="54">
        <v>87.69</v>
      </c>
      <c r="I109" s="54">
        <v>135.19</v>
      </c>
      <c r="J109" s="54">
        <v>6.87</v>
      </c>
      <c r="K109" s="54">
        <v>4.8</v>
      </c>
      <c r="L109" s="54">
        <v>113.78</v>
      </c>
      <c r="M109" s="54">
        <v>169.68</v>
      </c>
      <c r="N109" s="54">
        <v>8.8699999999999992</v>
      </c>
      <c r="O109" s="54">
        <v>5.22</v>
      </c>
      <c r="P109" s="54">
        <v>126.85</v>
      </c>
      <c r="Q109" s="54">
        <v>187.05</v>
      </c>
      <c r="R109" s="53">
        <v>53</v>
      </c>
      <c r="S109" s="53">
        <v>14</v>
      </c>
      <c r="T109" s="53">
        <v>13</v>
      </c>
      <c r="U109" s="53">
        <v>16</v>
      </c>
      <c r="V109" s="53">
        <v>5</v>
      </c>
      <c r="W109" s="54">
        <v>2.99</v>
      </c>
      <c r="X109" s="54">
        <v>4.79</v>
      </c>
      <c r="Y109" s="54">
        <v>173.04</v>
      </c>
      <c r="Z109" s="54">
        <v>205.17</v>
      </c>
      <c r="AA109" s="54">
        <v>5.08</v>
      </c>
      <c r="AB109" s="54">
        <v>5.41</v>
      </c>
      <c r="AC109" s="54">
        <v>201.82</v>
      </c>
      <c r="AD109" s="54">
        <v>249.32</v>
      </c>
      <c r="AE109" s="54">
        <v>7.01</v>
      </c>
      <c r="AF109" s="54">
        <v>5.88</v>
      </c>
      <c r="AG109" s="54">
        <v>221.67</v>
      </c>
      <c r="AH109" s="54">
        <v>277.57</v>
      </c>
      <c r="AI109" s="54">
        <v>9.1199999999999992</v>
      </c>
      <c r="AJ109" s="54">
        <v>6.45</v>
      </c>
      <c r="AK109" s="54">
        <v>249.5</v>
      </c>
      <c r="AL109" s="54">
        <v>309.7</v>
      </c>
      <c r="AM109" s="53">
        <v>18</v>
      </c>
      <c r="AN109" s="53">
        <v>11</v>
      </c>
      <c r="AO109" s="53">
        <v>13</v>
      </c>
      <c r="AP109" s="53">
        <v>9</v>
      </c>
      <c r="AQ109" s="53">
        <v>2</v>
      </c>
    </row>
    <row r="110" spans="1:43">
      <c r="A110" s="58" t="s">
        <v>915</v>
      </c>
      <c r="B110" s="54">
        <v>3.07</v>
      </c>
      <c r="C110" s="54">
        <v>3.95</v>
      </c>
      <c r="D110" s="54">
        <v>72</v>
      </c>
      <c r="E110" s="54">
        <v>108.44</v>
      </c>
      <c r="F110" s="54">
        <v>4.83</v>
      </c>
      <c r="G110" s="54">
        <v>4.41</v>
      </c>
      <c r="H110" s="54">
        <v>85.87</v>
      </c>
      <c r="I110" s="54">
        <v>138.27000000000001</v>
      </c>
      <c r="J110" s="54">
        <v>6.85</v>
      </c>
      <c r="K110" s="54">
        <v>4.93</v>
      </c>
      <c r="L110" s="54">
        <v>113.93</v>
      </c>
      <c r="M110" s="54">
        <v>170.63</v>
      </c>
      <c r="N110" s="54">
        <v>9</v>
      </c>
      <c r="O110" s="54">
        <v>5.36</v>
      </c>
      <c r="P110" s="54">
        <v>130.08000000000001</v>
      </c>
      <c r="Q110" s="54">
        <v>193.78</v>
      </c>
      <c r="R110" s="53">
        <v>53</v>
      </c>
      <c r="S110" s="53">
        <v>15</v>
      </c>
      <c r="T110" s="53">
        <v>14</v>
      </c>
      <c r="U110" s="53">
        <v>16</v>
      </c>
      <c r="V110" s="53">
        <v>5</v>
      </c>
      <c r="W110" s="54">
        <v>3.04</v>
      </c>
      <c r="X110" s="54">
        <v>4.8600000000000003</v>
      </c>
      <c r="Y110" s="54">
        <v>161.13</v>
      </c>
      <c r="Z110" s="54">
        <v>198.54</v>
      </c>
      <c r="AA110" s="54">
        <v>5.0999999999999996</v>
      </c>
      <c r="AB110" s="54">
        <v>5.42</v>
      </c>
      <c r="AC110" s="54">
        <v>187.31</v>
      </c>
      <c r="AD110" s="54">
        <v>239.71</v>
      </c>
      <c r="AE110" s="54">
        <v>7.02</v>
      </c>
      <c r="AF110" s="54">
        <v>5.91</v>
      </c>
      <c r="AG110" s="54">
        <v>212.44</v>
      </c>
      <c r="AH110" s="54">
        <v>269.14</v>
      </c>
      <c r="AI110" s="54">
        <v>9.14</v>
      </c>
      <c r="AJ110" s="54">
        <v>6.47</v>
      </c>
      <c r="AK110" s="54">
        <v>241.35</v>
      </c>
      <c r="AL110" s="54">
        <v>305.05</v>
      </c>
      <c r="AM110" s="53">
        <v>17</v>
      </c>
      <c r="AN110" s="53">
        <v>12</v>
      </c>
      <c r="AO110" s="53">
        <v>12</v>
      </c>
      <c r="AP110" s="53">
        <v>10</v>
      </c>
      <c r="AQ110" s="53">
        <v>2</v>
      </c>
    </row>
    <row r="111" spans="1:43">
      <c r="A111" s="58" t="s">
        <v>916</v>
      </c>
      <c r="B111" s="54">
        <v>3.12</v>
      </c>
      <c r="C111" s="54">
        <v>3.72</v>
      </c>
      <c r="D111" s="54">
        <v>77.400000000000006</v>
      </c>
      <c r="E111" s="54">
        <v>113.42</v>
      </c>
      <c r="F111" s="54">
        <v>4.8499999999999996</v>
      </c>
      <c r="G111" s="54">
        <v>4.17</v>
      </c>
      <c r="H111" s="54">
        <v>90.47</v>
      </c>
      <c r="I111" s="54">
        <v>144.16999999999999</v>
      </c>
      <c r="J111" s="54">
        <v>6.84</v>
      </c>
      <c r="K111" s="54">
        <v>4.6900000000000004</v>
      </c>
      <c r="L111" s="54">
        <v>118.42</v>
      </c>
      <c r="M111" s="54">
        <v>177.22</v>
      </c>
      <c r="N111" s="54">
        <v>8.9700000000000006</v>
      </c>
      <c r="O111" s="54">
        <v>5.1100000000000003</v>
      </c>
      <c r="P111" s="54">
        <v>133.33000000000001</v>
      </c>
      <c r="Q111" s="54">
        <v>201.53</v>
      </c>
      <c r="R111" s="53">
        <v>51</v>
      </c>
      <c r="S111" s="53">
        <v>16</v>
      </c>
      <c r="T111" s="53">
        <v>14</v>
      </c>
      <c r="U111" s="53">
        <v>14</v>
      </c>
      <c r="V111" s="53">
        <v>6</v>
      </c>
      <c r="W111" s="54">
        <v>3.02</v>
      </c>
      <c r="X111" s="54">
        <v>4.54</v>
      </c>
      <c r="Y111" s="54">
        <v>158.91999999999999</v>
      </c>
      <c r="Z111" s="54">
        <v>195.77</v>
      </c>
      <c r="AA111" s="54">
        <v>5.22</v>
      </c>
      <c r="AB111" s="54">
        <v>5.16</v>
      </c>
      <c r="AC111" s="54">
        <v>189.31</v>
      </c>
      <c r="AD111" s="54">
        <v>243.01</v>
      </c>
      <c r="AE111" s="54">
        <v>7.07</v>
      </c>
      <c r="AF111" s="54">
        <v>5.65</v>
      </c>
      <c r="AG111" s="54">
        <v>213.86</v>
      </c>
      <c r="AH111" s="54">
        <v>272.66000000000003</v>
      </c>
      <c r="AI111" s="54">
        <v>9.0299999999999994</v>
      </c>
      <c r="AJ111" s="54">
        <v>6.19</v>
      </c>
      <c r="AK111" s="54">
        <v>241.43</v>
      </c>
      <c r="AL111" s="54">
        <v>309.63</v>
      </c>
      <c r="AM111" s="53">
        <v>18</v>
      </c>
      <c r="AN111" s="53">
        <v>13</v>
      </c>
      <c r="AO111" s="53">
        <v>12</v>
      </c>
      <c r="AP111" s="53">
        <v>11</v>
      </c>
      <c r="AQ111" s="53">
        <v>2</v>
      </c>
    </row>
    <row r="112" spans="1:43">
      <c r="A112" s="58" t="s">
        <v>917</v>
      </c>
      <c r="B112" s="54">
        <v>3.21</v>
      </c>
      <c r="C112" s="54">
        <v>3.68</v>
      </c>
      <c r="D112" s="54">
        <v>73.5</v>
      </c>
      <c r="E112" s="54">
        <v>107.68</v>
      </c>
      <c r="F112" s="54">
        <v>4.8899999999999997</v>
      </c>
      <c r="G112" s="54">
        <v>4.18</v>
      </c>
      <c r="H112" s="54">
        <v>85.54</v>
      </c>
      <c r="I112" s="54">
        <v>137.94</v>
      </c>
      <c r="J112" s="54">
        <v>6.83</v>
      </c>
      <c r="K112" s="54">
        <v>4.74</v>
      </c>
      <c r="L112" s="54">
        <v>111.57</v>
      </c>
      <c r="M112" s="54">
        <v>163.77000000000001</v>
      </c>
      <c r="N112" s="54">
        <v>8.9</v>
      </c>
      <c r="O112" s="54">
        <v>5.15</v>
      </c>
      <c r="P112" s="54">
        <v>121.75</v>
      </c>
      <c r="Q112" s="54">
        <v>178.95</v>
      </c>
      <c r="R112" s="53">
        <v>44</v>
      </c>
      <c r="S112" s="53">
        <v>15</v>
      </c>
      <c r="T112" s="53">
        <v>12</v>
      </c>
      <c r="U112" s="53">
        <v>11</v>
      </c>
      <c r="V112" s="53">
        <v>6</v>
      </c>
      <c r="W112" s="54">
        <v>3</v>
      </c>
      <c r="X112" s="54">
        <v>4.45</v>
      </c>
      <c r="Y112" s="54">
        <v>149.94999999999999</v>
      </c>
      <c r="Z112" s="54">
        <v>184.9</v>
      </c>
      <c r="AA112" s="54">
        <v>5.09</v>
      </c>
      <c r="AB112" s="54">
        <v>5.07</v>
      </c>
      <c r="AC112" s="54">
        <v>175.25</v>
      </c>
      <c r="AD112" s="54">
        <v>227.65</v>
      </c>
      <c r="AE112" s="54">
        <v>7.05</v>
      </c>
      <c r="AF112" s="54">
        <v>5.64</v>
      </c>
      <c r="AG112" s="54">
        <v>201.85</v>
      </c>
      <c r="AH112" s="54">
        <v>254.05</v>
      </c>
      <c r="AI112" s="54">
        <v>9.02</v>
      </c>
      <c r="AJ112" s="54">
        <v>6.18</v>
      </c>
      <c r="AK112" s="54">
        <v>225.23</v>
      </c>
      <c r="AL112" s="54">
        <v>282.43</v>
      </c>
      <c r="AM112" s="53">
        <v>24</v>
      </c>
      <c r="AN112" s="53">
        <v>15</v>
      </c>
      <c r="AO112" s="53">
        <v>14</v>
      </c>
      <c r="AP112" s="53">
        <v>12</v>
      </c>
      <c r="AQ112" s="53">
        <v>2</v>
      </c>
    </row>
    <row r="113" spans="1:43">
      <c r="A113" s="58" t="s">
        <v>918</v>
      </c>
      <c r="B113" s="54">
        <v>3.2</v>
      </c>
      <c r="C113" s="54">
        <v>4.0199999999999996</v>
      </c>
      <c r="D113" s="54">
        <v>92.2</v>
      </c>
      <c r="E113" s="54">
        <v>126.9</v>
      </c>
      <c r="F113" s="54">
        <v>4.91</v>
      </c>
      <c r="G113" s="54">
        <v>4.6900000000000004</v>
      </c>
      <c r="H113" s="54">
        <v>109.84</v>
      </c>
      <c r="I113" s="54">
        <v>164.74</v>
      </c>
      <c r="J113" s="54">
        <v>6.81</v>
      </c>
      <c r="K113" s="54">
        <v>5.31</v>
      </c>
      <c r="L113" s="54">
        <v>136.59</v>
      </c>
      <c r="M113" s="54">
        <v>189.59</v>
      </c>
      <c r="N113" s="54">
        <v>8.8699999999999992</v>
      </c>
      <c r="O113" s="54">
        <v>5.73</v>
      </c>
      <c r="P113" s="54">
        <v>142.05000000000001</v>
      </c>
      <c r="Q113" s="54">
        <v>196.55</v>
      </c>
      <c r="R113" s="53">
        <v>46</v>
      </c>
      <c r="S113" s="53">
        <v>13</v>
      </c>
      <c r="T113" s="53">
        <v>14</v>
      </c>
      <c r="U113" s="53">
        <v>11</v>
      </c>
      <c r="V113" s="53">
        <v>6</v>
      </c>
      <c r="W113" s="54">
        <v>2.98</v>
      </c>
      <c r="X113" s="54">
        <v>4.82</v>
      </c>
      <c r="Y113" s="54">
        <v>171.07</v>
      </c>
      <c r="Z113" s="54">
        <v>206.64</v>
      </c>
      <c r="AA113" s="54">
        <v>5.0999999999999996</v>
      </c>
      <c r="AB113" s="54">
        <v>5.64</v>
      </c>
      <c r="AC113" s="54">
        <v>205.01</v>
      </c>
      <c r="AD113" s="54">
        <v>259.91000000000003</v>
      </c>
      <c r="AE113" s="54">
        <v>7.03</v>
      </c>
      <c r="AF113" s="54">
        <v>6.38</v>
      </c>
      <c r="AG113" s="54">
        <v>243.23</v>
      </c>
      <c r="AH113" s="54">
        <v>296.23</v>
      </c>
      <c r="AI113" s="54">
        <v>8.9700000000000006</v>
      </c>
      <c r="AJ113" s="54">
        <v>7.04</v>
      </c>
      <c r="AK113" s="54">
        <v>273.27999999999997</v>
      </c>
      <c r="AL113" s="54">
        <v>327.78</v>
      </c>
      <c r="AM113" s="53">
        <v>24</v>
      </c>
      <c r="AN113" s="53">
        <v>15</v>
      </c>
      <c r="AO113" s="53">
        <v>14</v>
      </c>
      <c r="AP113" s="53">
        <v>12</v>
      </c>
      <c r="AQ113" s="53">
        <v>2</v>
      </c>
    </row>
    <row r="114" spans="1:43">
      <c r="A114" s="58" t="s">
        <v>919</v>
      </c>
      <c r="B114" s="54">
        <v>3.2</v>
      </c>
      <c r="C114" s="54">
        <v>3.73</v>
      </c>
      <c r="D114" s="54">
        <v>85.16</v>
      </c>
      <c r="E114" s="54">
        <v>119.38</v>
      </c>
      <c r="F114" s="54">
        <v>4.91</v>
      </c>
      <c r="G114" s="54">
        <v>4.42</v>
      </c>
      <c r="H114" s="54">
        <v>103.18</v>
      </c>
      <c r="I114" s="54">
        <v>151.38</v>
      </c>
      <c r="J114" s="54">
        <v>6.79</v>
      </c>
      <c r="K114" s="54">
        <v>5.03</v>
      </c>
      <c r="L114" s="54">
        <v>123.64</v>
      </c>
      <c r="M114" s="54">
        <v>168.94</v>
      </c>
      <c r="N114" s="54">
        <v>8.85</v>
      </c>
      <c r="O114" s="54">
        <v>5.43</v>
      </c>
      <c r="P114" s="54">
        <v>124.65</v>
      </c>
      <c r="Q114" s="54">
        <v>170.65</v>
      </c>
      <c r="R114" s="53">
        <v>45</v>
      </c>
      <c r="S114" s="53">
        <v>13</v>
      </c>
      <c r="T114" s="53">
        <v>14</v>
      </c>
      <c r="U114" s="53">
        <v>11</v>
      </c>
      <c r="V114" s="53">
        <v>6</v>
      </c>
      <c r="W114" s="54">
        <v>3</v>
      </c>
      <c r="X114" s="54">
        <v>4.5199999999999996</v>
      </c>
      <c r="Y114" s="54">
        <v>163.13</v>
      </c>
      <c r="Z114" s="54">
        <v>198.16</v>
      </c>
      <c r="AA114" s="54">
        <v>5.22</v>
      </c>
      <c r="AB114" s="54">
        <v>5.39</v>
      </c>
      <c r="AC114" s="54">
        <v>200.53</v>
      </c>
      <c r="AD114" s="54">
        <v>248.73</v>
      </c>
      <c r="AE114" s="54">
        <v>7.01</v>
      </c>
      <c r="AF114" s="54">
        <v>6.09</v>
      </c>
      <c r="AG114" s="54">
        <v>229.91</v>
      </c>
      <c r="AH114" s="54">
        <v>275.20999999999998</v>
      </c>
      <c r="AI114" s="54">
        <v>8.8699999999999992</v>
      </c>
      <c r="AJ114" s="54">
        <v>6.8</v>
      </c>
      <c r="AK114" s="54">
        <v>261.38</v>
      </c>
      <c r="AL114" s="54">
        <v>307.38</v>
      </c>
      <c r="AM114" s="53">
        <v>26</v>
      </c>
      <c r="AN114" s="53">
        <v>13</v>
      </c>
      <c r="AO114" s="53">
        <v>16</v>
      </c>
      <c r="AP114" s="53">
        <v>12</v>
      </c>
      <c r="AQ114" s="53">
        <v>2</v>
      </c>
    </row>
    <row r="115" spans="1:43">
      <c r="A115" s="58" t="s">
        <v>920</v>
      </c>
      <c r="B115" s="54">
        <v>3.17</v>
      </c>
      <c r="C115" s="54">
        <v>3.9</v>
      </c>
      <c r="D115" s="54">
        <v>82.79</v>
      </c>
      <c r="E115" s="54">
        <v>119.77</v>
      </c>
      <c r="F115" s="54">
        <v>4.91</v>
      </c>
      <c r="G115" s="54">
        <v>4.6500000000000004</v>
      </c>
      <c r="H115" s="54">
        <v>104.21</v>
      </c>
      <c r="I115" s="54">
        <v>156.11000000000001</v>
      </c>
      <c r="J115" s="54">
        <v>6.78</v>
      </c>
      <c r="K115" s="54">
        <v>5.28</v>
      </c>
      <c r="L115" s="54">
        <v>127.38</v>
      </c>
      <c r="M115" s="54">
        <v>176.88</v>
      </c>
      <c r="N115" s="54">
        <v>8.82</v>
      </c>
      <c r="O115" s="54">
        <v>5.67</v>
      </c>
      <c r="P115" s="54">
        <v>127.89</v>
      </c>
      <c r="Q115" s="54">
        <v>177.29</v>
      </c>
      <c r="R115" s="53">
        <v>44</v>
      </c>
      <c r="S115" s="53">
        <v>13</v>
      </c>
      <c r="T115" s="53">
        <v>14</v>
      </c>
      <c r="U115" s="53">
        <v>11</v>
      </c>
      <c r="V115" s="53">
        <v>6</v>
      </c>
      <c r="W115" s="54">
        <v>3</v>
      </c>
      <c r="X115" s="54">
        <v>4.68</v>
      </c>
      <c r="Y115" s="54">
        <v>160.35</v>
      </c>
      <c r="Z115" s="54">
        <v>198.16</v>
      </c>
      <c r="AA115" s="54">
        <v>5.23</v>
      </c>
      <c r="AB115" s="54">
        <v>5.6</v>
      </c>
      <c r="AC115" s="54">
        <v>199.99</v>
      </c>
      <c r="AD115" s="54">
        <v>251.89</v>
      </c>
      <c r="AE115" s="54">
        <v>6.98</v>
      </c>
      <c r="AF115" s="54">
        <v>6.32</v>
      </c>
      <c r="AG115" s="54">
        <v>231.36</v>
      </c>
      <c r="AH115" s="54">
        <v>280.86</v>
      </c>
      <c r="AI115" s="54">
        <v>8.81</v>
      </c>
      <c r="AJ115" s="54">
        <v>7.07</v>
      </c>
      <c r="AK115" s="54">
        <v>268.16000000000003</v>
      </c>
      <c r="AL115" s="54">
        <v>317.56</v>
      </c>
      <c r="AM115" s="53">
        <v>26</v>
      </c>
      <c r="AN115" s="53">
        <v>14</v>
      </c>
      <c r="AO115" s="53">
        <v>16</v>
      </c>
      <c r="AP115" s="53">
        <v>12</v>
      </c>
      <c r="AQ115" s="53">
        <v>2</v>
      </c>
    </row>
    <row r="116" spans="1:43">
      <c r="A116" s="58" t="s">
        <v>921</v>
      </c>
      <c r="B116" s="54">
        <v>3.19</v>
      </c>
      <c r="C116" s="54">
        <v>3.89</v>
      </c>
      <c r="D116" s="54">
        <v>83.17</v>
      </c>
      <c r="E116" s="54">
        <v>118.34</v>
      </c>
      <c r="F116" s="54">
        <v>4.92</v>
      </c>
      <c r="G116" s="54">
        <v>4.5999999999999996</v>
      </c>
      <c r="H116" s="54">
        <v>102.68</v>
      </c>
      <c r="I116" s="54">
        <v>155.68</v>
      </c>
      <c r="J116" s="54">
        <v>6.79</v>
      </c>
      <c r="K116" s="54">
        <v>5.23</v>
      </c>
      <c r="L116" s="54">
        <v>127.32</v>
      </c>
      <c r="M116" s="54">
        <v>176.32</v>
      </c>
      <c r="N116" s="54">
        <v>9.07</v>
      </c>
      <c r="O116" s="54">
        <v>5.68</v>
      </c>
      <c r="P116" s="54">
        <v>136.33000000000001</v>
      </c>
      <c r="Q116" s="54">
        <v>186.63</v>
      </c>
      <c r="R116" s="53">
        <v>44</v>
      </c>
      <c r="S116" s="53">
        <v>13</v>
      </c>
      <c r="T116" s="53">
        <v>15</v>
      </c>
      <c r="U116" s="53">
        <v>12</v>
      </c>
      <c r="V116" s="53">
        <v>7</v>
      </c>
      <c r="W116" s="54">
        <v>2.99</v>
      </c>
      <c r="X116" s="54">
        <v>4.79</v>
      </c>
      <c r="Y116" s="54">
        <v>172.42</v>
      </c>
      <c r="Z116" s="54">
        <v>208.56</v>
      </c>
      <c r="AA116" s="54">
        <v>5.24</v>
      </c>
      <c r="AB116" s="54">
        <v>5.63</v>
      </c>
      <c r="AC116" s="54">
        <v>205.49</v>
      </c>
      <c r="AD116" s="54">
        <v>258.49</v>
      </c>
      <c r="AE116" s="54">
        <v>6.95</v>
      </c>
      <c r="AF116" s="54">
        <v>6.35</v>
      </c>
      <c r="AG116" s="54">
        <v>238.8</v>
      </c>
      <c r="AH116" s="54">
        <v>287.8</v>
      </c>
      <c r="AI116" s="54">
        <v>8.76</v>
      </c>
      <c r="AJ116" s="54">
        <v>7.09</v>
      </c>
      <c r="AK116" s="54">
        <v>277.10000000000002</v>
      </c>
      <c r="AL116" s="54">
        <v>327.39999999999998</v>
      </c>
      <c r="AM116" s="53">
        <v>28</v>
      </c>
      <c r="AN116" s="53">
        <v>12</v>
      </c>
      <c r="AO116" s="53">
        <v>16</v>
      </c>
      <c r="AP116" s="53">
        <v>12</v>
      </c>
      <c r="AQ116" s="53">
        <v>2</v>
      </c>
    </row>
    <row r="117" spans="1:43">
      <c r="A117" s="58" t="s">
        <v>922</v>
      </c>
      <c r="B117" s="54">
        <v>3.16</v>
      </c>
      <c r="C117" s="54">
        <v>3.94</v>
      </c>
      <c r="D117" s="54">
        <v>74.260000000000005</v>
      </c>
      <c r="E117" s="54">
        <v>93.78</v>
      </c>
      <c r="F117" s="54">
        <v>4.9400000000000004</v>
      </c>
      <c r="G117" s="54">
        <v>4.6399999999999997</v>
      </c>
      <c r="H117" s="54">
        <v>92.64</v>
      </c>
      <c r="I117" s="54">
        <v>124.84</v>
      </c>
      <c r="J117" s="54">
        <v>6.79</v>
      </c>
      <c r="K117" s="54">
        <v>5.26</v>
      </c>
      <c r="L117" s="54">
        <v>116.59</v>
      </c>
      <c r="M117" s="54">
        <v>149.59</v>
      </c>
      <c r="N117" s="54">
        <v>9.02</v>
      </c>
      <c r="O117" s="54">
        <v>5.66</v>
      </c>
      <c r="P117" s="54">
        <v>122.63</v>
      </c>
      <c r="Q117" s="54">
        <v>163.22999999999999</v>
      </c>
      <c r="R117" s="53">
        <v>45</v>
      </c>
      <c r="S117" s="53">
        <v>13</v>
      </c>
      <c r="T117" s="53">
        <v>16</v>
      </c>
      <c r="U117" s="53">
        <v>11</v>
      </c>
      <c r="V117" s="53">
        <v>7</v>
      </c>
      <c r="W117" s="54">
        <v>3.07</v>
      </c>
      <c r="X117" s="54">
        <v>4.9000000000000004</v>
      </c>
      <c r="Y117" s="54">
        <v>168.57</v>
      </c>
      <c r="Z117" s="54">
        <v>189.13</v>
      </c>
      <c r="AA117" s="54">
        <v>5.32</v>
      </c>
      <c r="AB117" s="54">
        <v>5.67</v>
      </c>
      <c r="AC117" s="54">
        <v>195.45</v>
      </c>
      <c r="AD117" s="54">
        <v>227.65</v>
      </c>
      <c r="AE117" s="54">
        <v>6.96</v>
      </c>
      <c r="AF117" s="54">
        <v>6.32</v>
      </c>
      <c r="AG117" s="54">
        <v>222.72</v>
      </c>
      <c r="AH117" s="54">
        <v>255.72</v>
      </c>
      <c r="AI117" s="54">
        <v>8.6</v>
      </c>
      <c r="AJ117" s="54">
        <v>7.06</v>
      </c>
      <c r="AK117" s="54">
        <v>262.58999999999997</v>
      </c>
      <c r="AL117" s="54">
        <v>303.19</v>
      </c>
      <c r="AM117" s="53">
        <v>28</v>
      </c>
      <c r="AN117" s="53">
        <v>14</v>
      </c>
      <c r="AO117" s="53">
        <v>19</v>
      </c>
      <c r="AP117" s="53">
        <v>11</v>
      </c>
      <c r="AQ117" s="53">
        <v>2</v>
      </c>
    </row>
    <row r="118" spans="1:43">
      <c r="A118" s="58" t="s">
        <v>923</v>
      </c>
      <c r="B118" s="54">
        <v>3.22</v>
      </c>
      <c r="C118" s="54">
        <v>4</v>
      </c>
      <c r="D118" s="54">
        <v>78.650000000000006</v>
      </c>
      <c r="E118" s="54">
        <v>94.03</v>
      </c>
      <c r="F118" s="54">
        <v>4.95</v>
      </c>
      <c r="G118" s="54">
        <v>4.7</v>
      </c>
      <c r="H118" s="54">
        <v>92.06</v>
      </c>
      <c r="I118" s="54">
        <v>119.96</v>
      </c>
      <c r="J118" s="54">
        <v>6.76</v>
      </c>
      <c r="K118" s="54">
        <v>5.36</v>
      </c>
      <c r="L118" s="54">
        <v>116.34</v>
      </c>
      <c r="M118" s="54">
        <v>145.24</v>
      </c>
      <c r="N118" s="54">
        <v>8.99</v>
      </c>
      <c r="O118" s="54">
        <v>5.83</v>
      </c>
      <c r="P118" s="54">
        <v>125.16</v>
      </c>
      <c r="Q118" s="54">
        <v>160.96</v>
      </c>
      <c r="R118" s="53">
        <v>46</v>
      </c>
      <c r="S118" s="53">
        <v>13</v>
      </c>
      <c r="T118" s="53">
        <v>17</v>
      </c>
      <c r="U118" s="53">
        <v>10</v>
      </c>
      <c r="V118" s="53">
        <v>7</v>
      </c>
      <c r="W118" s="54">
        <v>3.22</v>
      </c>
      <c r="X118" s="54">
        <v>5.03</v>
      </c>
      <c r="Y118" s="54">
        <v>181.12</v>
      </c>
      <c r="Z118" s="54">
        <v>197.65</v>
      </c>
      <c r="AA118" s="54">
        <v>5.32</v>
      </c>
      <c r="AB118" s="54">
        <v>5.78</v>
      </c>
      <c r="AC118" s="54">
        <v>199.66</v>
      </c>
      <c r="AD118" s="54">
        <v>227.56</v>
      </c>
      <c r="AE118" s="54">
        <v>6.9</v>
      </c>
      <c r="AF118" s="54">
        <v>6.45</v>
      </c>
      <c r="AG118" s="54">
        <v>225.15</v>
      </c>
      <c r="AH118" s="54">
        <v>254.05</v>
      </c>
      <c r="AI118" s="54">
        <v>8.5500000000000007</v>
      </c>
      <c r="AJ118" s="54">
        <v>7.21</v>
      </c>
      <c r="AK118" s="54">
        <v>263.05</v>
      </c>
      <c r="AL118" s="54">
        <v>298.85000000000002</v>
      </c>
      <c r="AM118" s="53">
        <v>26</v>
      </c>
      <c r="AN118" s="53">
        <v>15</v>
      </c>
      <c r="AO118" s="53">
        <v>20</v>
      </c>
      <c r="AP118" s="53">
        <v>10</v>
      </c>
      <c r="AQ118" s="53">
        <v>2</v>
      </c>
    </row>
    <row r="119" spans="1:43">
      <c r="A119" s="58" t="s">
        <v>924</v>
      </c>
      <c r="B119" s="54">
        <v>3.2</v>
      </c>
      <c r="C119" s="54">
        <v>3.99</v>
      </c>
      <c r="D119" s="54">
        <v>79.63</v>
      </c>
      <c r="E119" s="54">
        <v>103.8</v>
      </c>
      <c r="F119" s="54">
        <v>4.95</v>
      </c>
      <c r="G119" s="54">
        <v>4.6399999999999997</v>
      </c>
      <c r="H119" s="54">
        <v>87.21</v>
      </c>
      <c r="I119" s="54">
        <v>117.71</v>
      </c>
      <c r="J119" s="54">
        <v>6.72</v>
      </c>
      <c r="K119" s="54">
        <v>5.23</v>
      </c>
      <c r="L119" s="54">
        <v>104.44</v>
      </c>
      <c r="M119" s="54">
        <v>136.24</v>
      </c>
      <c r="N119" s="54">
        <v>8.9499999999999993</v>
      </c>
      <c r="O119" s="54">
        <v>5.7</v>
      </c>
      <c r="P119" s="54">
        <v>111.21</v>
      </c>
      <c r="Q119" s="54">
        <v>146.21</v>
      </c>
      <c r="R119" s="53">
        <v>48</v>
      </c>
      <c r="S119" s="53">
        <v>15</v>
      </c>
      <c r="T119" s="53">
        <v>19</v>
      </c>
      <c r="U119" s="53">
        <v>10</v>
      </c>
      <c r="V119" s="53">
        <v>7</v>
      </c>
      <c r="W119" s="54">
        <v>3.27</v>
      </c>
      <c r="X119" s="54">
        <v>4.97</v>
      </c>
      <c r="Y119" s="54">
        <v>176.86</v>
      </c>
      <c r="Z119" s="54">
        <v>202.11</v>
      </c>
      <c r="AA119" s="54">
        <v>5.35</v>
      </c>
      <c r="AB119" s="54">
        <v>5.73</v>
      </c>
      <c r="AC119" s="54">
        <v>196.26</v>
      </c>
      <c r="AD119" s="54">
        <v>226.76</v>
      </c>
      <c r="AE119" s="54">
        <v>6.92</v>
      </c>
      <c r="AF119" s="54">
        <v>6.38</v>
      </c>
      <c r="AG119" s="54">
        <v>219.24</v>
      </c>
      <c r="AH119" s="54">
        <v>251.04</v>
      </c>
      <c r="AI119" s="54">
        <v>8.51</v>
      </c>
      <c r="AJ119" s="54">
        <v>7.12</v>
      </c>
      <c r="AK119" s="54">
        <v>253.86</v>
      </c>
      <c r="AL119" s="54">
        <v>288.86</v>
      </c>
      <c r="AM119" s="53">
        <v>22</v>
      </c>
      <c r="AN119" s="53">
        <v>14</v>
      </c>
      <c r="AO119" s="53">
        <v>17</v>
      </c>
      <c r="AP119" s="53">
        <v>10</v>
      </c>
      <c r="AQ119" s="53">
        <v>2</v>
      </c>
    </row>
    <row r="120" spans="1:43">
      <c r="A120" s="58" t="s">
        <v>925</v>
      </c>
      <c r="B120" s="54">
        <v>3.2</v>
      </c>
      <c r="C120" s="54">
        <v>3.79</v>
      </c>
      <c r="D120" s="54">
        <v>69.3</v>
      </c>
      <c r="E120" s="54">
        <v>94.67</v>
      </c>
      <c r="F120" s="54">
        <v>4.9400000000000004</v>
      </c>
      <c r="G120" s="54">
        <v>4.42</v>
      </c>
      <c r="H120" s="54">
        <v>80.400000000000006</v>
      </c>
      <c r="I120" s="54">
        <v>111.3</v>
      </c>
      <c r="J120" s="54">
        <v>6.7</v>
      </c>
      <c r="K120" s="54">
        <v>4.97</v>
      </c>
      <c r="L120" s="54">
        <v>95.63</v>
      </c>
      <c r="M120" s="54">
        <v>130.13</v>
      </c>
      <c r="N120" s="54">
        <v>8.93</v>
      </c>
      <c r="O120" s="54">
        <v>5.42</v>
      </c>
      <c r="P120" s="54">
        <v>103.57</v>
      </c>
      <c r="Q120" s="54">
        <v>141.66999999999999</v>
      </c>
      <c r="R120" s="53">
        <v>47</v>
      </c>
      <c r="S120" s="53">
        <v>16</v>
      </c>
      <c r="T120" s="53">
        <v>18</v>
      </c>
      <c r="U120" s="53">
        <v>10</v>
      </c>
      <c r="V120" s="53">
        <v>7</v>
      </c>
      <c r="W120" s="54">
        <v>3.27</v>
      </c>
      <c r="X120" s="54">
        <v>4.83</v>
      </c>
      <c r="Y120" s="54">
        <v>172.61</v>
      </c>
      <c r="Z120" s="54">
        <v>199.1</v>
      </c>
      <c r="AA120" s="54">
        <v>5.34</v>
      </c>
      <c r="AB120" s="54">
        <v>5.46</v>
      </c>
      <c r="AC120" s="54">
        <v>184.97</v>
      </c>
      <c r="AD120" s="54">
        <v>215.87</v>
      </c>
      <c r="AE120" s="54">
        <v>6.89</v>
      </c>
      <c r="AF120" s="54">
        <v>6.09</v>
      </c>
      <c r="AG120" s="54">
        <v>207.66</v>
      </c>
      <c r="AH120" s="54">
        <v>242.16</v>
      </c>
      <c r="AI120" s="54">
        <v>8.4499999999999993</v>
      </c>
      <c r="AJ120" s="54">
        <v>6.8</v>
      </c>
      <c r="AK120" s="54">
        <v>241.75</v>
      </c>
      <c r="AL120" s="54">
        <v>279.85000000000002</v>
      </c>
      <c r="AM120" s="53">
        <v>22</v>
      </c>
      <c r="AN120" s="53">
        <v>15</v>
      </c>
      <c r="AO120" s="53">
        <v>16</v>
      </c>
      <c r="AP120" s="53">
        <v>10</v>
      </c>
      <c r="AQ120" s="53">
        <v>2</v>
      </c>
    </row>
    <row r="121" spans="1:43">
      <c r="A121" s="58" t="s">
        <v>926</v>
      </c>
      <c r="B121" s="54">
        <v>3.21</v>
      </c>
      <c r="C121" s="54">
        <v>3.75</v>
      </c>
      <c r="D121" s="54">
        <v>67.760000000000005</v>
      </c>
      <c r="E121" s="54">
        <v>91.6</v>
      </c>
      <c r="F121" s="54">
        <v>4.9400000000000004</v>
      </c>
      <c r="G121" s="54">
        <v>4.37</v>
      </c>
      <c r="H121" s="54">
        <v>77.12</v>
      </c>
      <c r="I121" s="54">
        <v>107.12</v>
      </c>
      <c r="J121" s="54">
        <v>6.7</v>
      </c>
      <c r="K121" s="54">
        <v>4.91</v>
      </c>
      <c r="L121" s="54">
        <v>92.76</v>
      </c>
      <c r="M121" s="54">
        <v>123.46</v>
      </c>
      <c r="N121" s="54">
        <v>8.9600000000000009</v>
      </c>
      <c r="O121" s="54">
        <v>5.38</v>
      </c>
      <c r="P121" s="54">
        <v>101.53</v>
      </c>
      <c r="Q121" s="54">
        <v>136.03</v>
      </c>
      <c r="R121" s="53">
        <v>47</v>
      </c>
      <c r="S121" s="53">
        <v>15</v>
      </c>
      <c r="T121" s="53">
        <v>19</v>
      </c>
      <c r="U121" s="53">
        <v>10</v>
      </c>
      <c r="V121" s="53">
        <v>7</v>
      </c>
      <c r="W121" s="54">
        <v>3.28</v>
      </c>
      <c r="X121" s="54">
        <v>4.7300000000000004</v>
      </c>
      <c r="Y121" s="54">
        <v>165</v>
      </c>
      <c r="Z121" s="54">
        <v>189.87</v>
      </c>
      <c r="AA121" s="54">
        <v>5.33</v>
      </c>
      <c r="AB121" s="54">
        <v>5.38</v>
      </c>
      <c r="AC121" s="54">
        <v>178.19</v>
      </c>
      <c r="AD121" s="54">
        <v>208.19</v>
      </c>
      <c r="AE121" s="54">
        <v>6.87</v>
      </c>
      <c r="AF121" s="54">
        <v>5.96</v>
      </c>
      <c r="AG121" s="54">
        <v>197.47</v>
      </c>
      <c r="AH121" s="54">
        <v>228.17</v>
      </c>
      <c r="AI121" s="54">
        <v>8.4</v>
      </c>
      <c r="AJ121" s="54">
        <v>6.59</v>
      </c>
      <c r="AK121" s="54">
        <v>222.49</v>
      </c>
      <c r="AL121" s="54">
        <v>256.99</v>
      </c>
      <c r="AM121" s="53">
        <v>22</v>
      </c>
      <c r="AN121" s="53">
        <v>16</v>
      </c>
      <c r="AO121" s="53">
        <v>15</v>
      </c>
      <c r="AP121" s="53">
        <v>10</v>
      </c>
      <c r="AQ121" s="53">
        <v>2</v>
      </c>
    </row>
    <row r="122" spans="1:43">
      <c r="A122" s="58" t="s">
        <v>927</v>
      </c>
      <c r="B122" s="54">
        <v>3.19</v>
      </c>
      <c r="C122" s="54">
        <v>3.86</v>
      </c>
      <c r="D122" s="54">
        <v>63.6</v>
      </c>
      <c r="E122" s="54">
        <v>86.79</v>
      </c>
      <c r="F122" s="54">
        <v>4.93</v>
      </c>
      <c r="G122" s="54">
        <v>4.47</v>
      </c>
      <c r="H122" s="54">
        <v>75.55</v>
      </c>
      <c r="I122" s="54">
        <v>103.05</v>
      </c>
      <c r="J122" s="54">
        <v>6.68</v>
      </c>
      <c r="K122" s="54">
        <v>4.97</v>
      </c>
      <c r="L122" s="54">
        <v>89.16</v>
      </c>
      <c r="M122" s="54">
        <v>120.91</v>
      </c>
      <c r="N122" s="54">
        <v>8.93</v>
      </c>
      <c r="O122" s="54">
        <v>5.41</v>
      </c>
      <c r="P122" s="54">
        <v>98.48</v>
      </c>
      <c r="Q122" s="54">
        <v>132.43</v>
      </c>
      <c r="R122" s="53">
        <v>47</v>
      </c>
      <c r="S122" s="53">
        <v>16</v>
      </c>
      <c r="T122" s="53">
        <v>17</v>
      </c>
      <c r="U122" s="53">
        <v>11</v>
      </c>
      <c r="V122" s="53">
        <v>6</v>
      </c>
      <c r="W122" s="54">
        <v>3.32</v>
      </c>
      <c r="X122" s="54">
        <v>4.7699999999999996</v>
      </c>
      <c r="Y122" s="54">
        <v>153.5</v>
      </c>
      <c r="Z122" s="54">
        <v>177.65</v>
      </c>
      <c r="AA122" s="54">
        <v>5.37</v>
      </c>
      <c r="AB122" s="54">
        <v>5.44</v>
      </c>
      <c r="AC122" s="54">
        <v>172.75</v>
      </c>
      <c r="AD122" s="54">
        <v>200.25</v>
      </c>
      <c r="AE122" s="54">
        <v>6.85</v>
      </c>
      <c r="AF122" s="54">
        <v>5.96</v>
      </c>
      <c r="AG122" s="54">
        <v>187.77</v>
      </c>
      <c r="AH122" s="54">
        <v>219.52</v>
      </c>
      <c r="AI122" s="54">
        <v>8.3000000000000007</v>
      </c>
      <c r="AJ122" s="54">
        <v>6.53</v>
      </c>
      <c r="AK122" s="54">
        <v>210.94</v>
      </c>
      <c r="AL122" s="54">
        <v>244.89</v>
      </c>
      <c r="AM122" s="53">
        <v>21</v>
      </c>
      <c r="AN122" s="53">
        <v>16</v>
      </c>
      <c r="AO122" s="53">
        <v>17</v>
      </c>
      <c r="AP122" s="53">
        <v>10</v>
      </c>
      <c r="AQ122" s="53">
        <v>2</v>
      </c>
    </row>
    <row r="123" spans="1:43">
      <c r="A123" s="58" t="s">
        <v>928</v>
      </c>
      <c r="B123" s="54">
        <v>3.19</v>
      </c>
      <c r="C123" s="54">
        <v>3.74</v>
      </c>
      <c r="D123" s="54">
        <v>64.31</v>
      </c>
      <c r="E123" s="54">
        <v>83.84</v>
      </c>
      <c r="F123" s="54">
        <v>4.95</v>
      </c>
      <c r="G123" s="54">
        <v>4.29</v>
      </c>
      <c r="H123" s="54">
        <v>72.150000000000006</v>
      </c>
      <c r="I123" s="54">
        <v>97.05</v>
      </c>
      <c r="J123" s="54">
        <v>6.68</v>
      </c>
      <c r="K123" s="54">
        <v>4.79</v>
      </c>
      <c r="L123" s="54">
        <v>87.57</v>
      </c>
      <c r="M123" s="54">
        <v>116.07</v>
      </c>
      <c r="N123" s="54">
        <v>8.8800000000000008</v>
      </c>
      <c r="O123" s="54">
        <v>5.21</v>
      </c>
      <c r="P123" s="54">
        <v>95.09</v>
      </c>
      <c r="Q123" s="54">
        <v>125.59</v>
      </c>
      <c r="R123" s="53">
        <v>46</v>
      </c>
      <c r="S123" s="53">
        <v>15</v>
      </c>
      <c r="T123" s="53">
        <v>16</v>
      </c>
      <c r="U123" s="53">
        <v>12</v>
      </c>
      <c r="V123" s="53">
        <v>6</v>
      </c>
      <c r="W123" s="54">
        <v>3.37</v>
      </c>
      <c r="X123" s="54">
        <v>4.6399999999999997</v>
      </c>
      <c r="Y123" s="54">
        <v>153.77000000000001</v>
      </c>
      <c r="Z123" s="54">
        <v>174.23</v>
      </c>
      <c r="AA123" s="54">
        <v>5.27</v>
      </c>
      <c r="AB123" s="54">
        <v>5.15</v>
      </c>
      <c r="AC123" s="54">
        <v>159</v>
      </c>
      <c r="AD123" s="54">
        <v>183.9</v>
      </c>
      <c r="AE123" s="54">
        <v>6.76</v>
      </c>
      <c r="AF123" s="54">
        <v>5.7</v>
      </c>
      <c r="AG123" s="54">
        <v>179.32</v>
      </c>
      <c r="AH123" s="54">
        <v>207.82</v>
      </c>
      <c r="AI123" s="54">
        <v>8.69</v>
      </c>
      <c r="AJ123" s="54">
        <v>6.22</v>
      </c>
      <c r="AK123" s="54">
        <v>197</v>
      </c>
      <c r="AL123" s="54">
        <v>227.5</v>
      </c>
      <c r="AM123" s="53">
        <v>22</v>
      </c>
      <c r="AN123" s="53">
        <v>15</v>
      </c>
      <c r="AO123" s="53">
        <v>17</v>
      </c>
      <c r="AP123" s="53">
        <v>9</v>
      </c>
      <c r="AQ123" s="53">
        <v>2</v>
      </c>
    </row>
    <row r="124" spans="1:43">
      <c r="A124" s="58" t="s">
        <v>929</v>
      </c>
      <c r="B124" s="54">
        <v>3.17</v>
      </c>
      <c r="C124" s="54">
        <v>3.57</v>
      </c>
      <c r="D124" s="54">
        <v>61</v>
      </c>
      <c r="E124" s="54">
        <v>82.58</v>
      </c>
      <c r="F124" s="54">
        <v>4.9400000000000004</v>
      </c>
      <c r="G124" s="54">
        <v>4.05</v>
      </c>
      <c r="H124" s="54">
        <v>69.92</v>
      </c>
      <c r="I124" s="54">
        <v>96.52</v>
      </c>
      <c r="J124" s="54">
        <v>6.66</v>
      </c>
      <c r="K124" s="54">
        <v>4.5</v>
      </c>
      <c r="L124" s="54">
        <v>82.5</v>
      </c>
      <c r="M124" s="54">
        <v>113.6</v>
      </c>
      <c r="N124" s="54">
        <v>8.86</v>
      </c>
      <c r="O124" s="54">
        <v>4.8899999999999997</v>
      </c>
      <c r="P124" s="54">
        <v>87.62</v>
      </c>
      <c r="Q124" s="54">
        <v>123.02</v>
      </c>
      <c r="R124" s="53">
        <v>46</v>
      </c>
      <c r="S124" s="53">
        <v>15</v>
      </c>
      <c r="T124" s="53">
        <v>19</v>
      </c>
      <c r="U124" s="53">
        <v>9</v>
      </c>
      <c r="V124" s="53">
        <v>6</v>
      </c>
      <c r="W124" s="54">
        <v>3.38</v>
      </c>
      <c r="X124" s="54">
        <v>4.3600000000000003</v>
      </c>
      <c r="Y124" s="54">
        <v>139.22</v>
      </c>
      <c r="Z124" s="54">
        <v>161.56</v>
      </c>
      <c r="AA124" s="54">
        <v>5.31</v>
      </c>
      <c r="AB124" s="54">
        <v>4.87</v>
      </c>
      <c r="AC124" s="54">
        <v>151.72999999999999</v>
      </c>
      <c r="AD124" s="54">
        <v>178.33</v>
      </c>
      <c r="AE124" s="54">
        <v>6.8</v>
      </c>
      <c r="AF124" s="54">
        <v>5.37</v>
      </c>
      <c r="AG124" s="54">
        <v>169.25</v>
      </c>
      <c r="AH124" s="54">
        <v>200.35</v>
      </c>
      <c r="AI124" s="54">
        <v>8.58</v>
      </c>
      <c r="AJ124" s="54">
        <v>5.79</v>
      </c>
      <c r="AK124" s="54">
        <v>177.81</v>
      </c>
      <c r="AL124" s="54">
        <v>213.21</v>
      </c>
      <c r="AM124" s="53">
        <v>22</v>
      </c>
      <c r="AN124" s="53">
        <v>15</v>
      </c>
      <c r="AO124" s="53">
        <v>19</v>
      </c>
      <c r="AP124" s="53">
        <v>9</v>
      </c>
      <c r="AQ124" s="53">
        <v>2</v>
      </c>
    </row>
    <row r="125" spans="1:43">
      <c r="A125" s="58" t="s">
        <v>930</v>
      </c>
      <c r="B125" s="54">
        <v>3.15</v>
      </c>
      <c r="C125" s="54">
        <v>3.51</v>
      </c>
      <c r="D125" s="54">
        <v>61.77</v>
      </c>
      <c r="E125" s="54">
        <v>90.1</v>
      </c>
      <c r="F125" s="54">
        <v>4.93</v>
      </c>
      <c r="G125" s="54">
        <v>3.99</v>
      </c>
      <c r="H125" s="54">
        <v>70.11</v>
      </c>
      <c r="I125" s="54">
        <v>103.21</v>
      </c>
      <c r="J125" s="54">
        <v>6.65</v>
      </c>
      <c r="K125" s="54">
        <v>4.42</v>
      </c>
      <c r="L125" s="54">
        <v>82.37</v>
      </c>
      <c r="M125" s="54">
        <v>117.97</v>
      </c>
      <c r="N125" s="54">
        <v>8.83</v>
      </c>
      <c r="O125" s="54">
        <v>4.8</v>
      </c>
      <c r="P125" s="54">
        <v>88.74</v>
      </c>
      <c r="Q125" s="54">
        <v>125.64</v>
      </c>
      <c r="R125" s="53">
        <v>46</v>
      </c>
      <c r="S125" s="53">
        <v>16</v>
      </c>
      <c r="T125" s="53">
        <v>19</v>
      </c>
      <c r="U125" s="53">
        <v>8</v>
      </c>
      <c r="V125" s="53">
        <v>6</v>
      </c>
      <c r="W125" s="54">
        <v>3.5</v>
      </c>
      <c r="X125" s="54">
        <v>4.3099999999999996</v>
      </c>
      <c r="Y125" s="54">
        <v>140.55000000000001</v>
      </c>
      <c r="Z125" s="54">
        <v>169.65</v>
      </c>
      <c r="AA125" s="54">
        <v>5.31</v>
      </c>
      <c r="AB125" s="54">
        <v>4.7300000000000004</v>
      </c>
      <c r="AC125" s="54">
        <v>144.47999999999999</v>
      </c>
      <c r="AD125" s="54">
        <v>177.58</v>
      </c>
      <c r="AE125" s="54">
        <v>6.78</v>
      </c>
      <c r="AF125" s="54">
        <v>5.18</v>
      </c>
      <c r="AG125" s="54">
        <v>158.19999999999999</v>
      </c>
      <c r="AH125" s="54">
        <v>193.8</v>
      </c>
      <c r="AI125" s="54">
        <v>8.5299999999999994</v>
      </c>
      <c r="AJ125" s="54">
        <v>5.56</v>
      </c>
      <c r="AK125" s="54">
        <v>164.55</v>
      </c>
      <c r="AL125" s="54">
        <v>201.45</v>
      </c>
      <c r="AM125" s="53">
        <v>21</v>
      </c>
      <c r="AN125" s="53">
        <v>16</v>
      </c>
      <c r="AO125" s="53">
        <v>18</v>
      </c>
      <c r="AP125" s="53">
        <v>9</v>
      </c>
      <c r="AQ125" s="53">
        <v>2</v>
      </c>
    </row>
    <row r="126" spans="1:43">
      <c r="A126" s="58" t="s">
        <v>931</v>
      </c>
      <c r="B126" s="54">
        <v>3.18</v>
      </c>
      <c r="C126" s="54">
        <v>3.49</v>
      </c>
      <c r="D126" s="54">
        <v>58.77</v>
      </c>
      <c r="E126" s="54">
        <v>77.48</v>
      </c>
      <c r="F126" s="54">
        <v>4.93</v>
      </c>
      <c r="G126" s="54">
        <v>3.93</v>
      </c>
      <c r="H126" s="54">
        <v>64.540000000000006</v>
      </c>
      <c r="I126" s="54">
        <v>96.64</v>
      </c>
      <c r="J126" s="54">
        <v>6.63</v>
      </c>
      <c r="K126" s="54">
        <v>4.33</v>
      </c>
      <c r="L126" s="54">
        <v>76.150000000000006</v>
      </c>
      <c r="M126" s="54">
        <v>111.15</v>
      </c>
      <c r="N126" s="54">
        <v>8.82</v>
      </c>
      <c r="O126" s="54">
        <v>4.72</v>
      </c>
      <c r="P126" s="54">
        <v>85.28</v>
      </c>
      <c r="Q126" s="54">
        <v>121.68</v>
      </c>
      <c r="R126" s="53">
        <v>46</v>
      </c>
      <c r="S126" s="53">
        <v>17</v>
      </c>
      <c r="T126" s="53">
        <v>17</v>
      </c>
      <c r="U126" s="53">
        <v>9</v>
      </c>
      <c r="V126" s="53">
        <v>6</v>
      </c>
      <c r="W126" s="54">
        <v>3.66</v>
      </c>
      <c r="X126" s="54">
        <v>4.29</v>
      </c>
      <c r="Y126" s="54">
        <v>138.61000000000001</v>
      </c>
      <c r="Z126" s="54">
        <v>158.09</v>
      </c>
      <c r="AA126" s="54">
        <v>5.34</v>
      </c>
      <c r="AB126" s="54">
        <v>4.66</v>
      </c>
      <c r="AC126" s="54">
        <v>137.72</v>
      </c>
      <c r="AD126" s="54">
        <v>169.82</v>
      </c>
      <c r="AE126" s="54">
        <v>6.83</v>
      </c>
      <c r="AF126" s="54">
        <v>5.0599999999999996</v>
      </c>
      <c r="AG126" s="54">
        <v>148.9</v>
      </c>
      <c r="AH126" s="54">
        <v>183.9</v>
      </c>
      <c r="AI126" s="54">
        <v>8.6300000000000008</v>
      </c>
      <c r="AJ126" s="54">
        <v>5.34</v>
      </c>
      <c r="AK126" s="54">
        <v>147.38999999999999</v>
      </c>
      <c r="AL126" s="54">
        <v>183.79</v>
      </c>
      <c r="AM126" s="53">
        <v>20</v>
      </c>
      <c r="AN126" s="53">
        <v>21</v>
      </c>
      <c r="AO126" s="53">
        <v>17</v>
      </c>
      <c r="AP126" s="53">
        <v>10</v>
      </c>
      <c r="AQ126" s="53">
        <v>3</v>
      </c>
    </row>
    <row r="127" spans="1:43">
      <c r="A127" s="58" t="s">
        <v>932</v>
      </c>
      <c r="B127" s="54">
        <v>3.16</v>
      </c>
      <c r="C127" s="54">
        <v>3.44</v>
      </c>
      <c r="D127" s="54">
        <v>60.4</v>
      </c>
      <c r="E127" s="54">
        <v>81.37</v>
      </c>
      <c r="F127" s="54">
        <v>4.92</v>
      </c>
      <c r="G127" s="54">
        <v>3.84</v>
      </c>
      <c r="H127" s="54">
        <v>66.41</v>
      </c>
      <c r="I127" s="54">
        <v>101.71</v>
      </c>
      <c r="J127" s="54">
        <v>6.62</v>
      </c>
      <c r="K127" s="54">
        <v>4.2</v>
      </c>
      <c r="L127" s="54">
        <v>78.97</v>
      </c>
      <c r="M127" s="54">
        <v>115.17</v>
      </c>
      <c r="N127" s="54">
        <v>8.7899999999999991</v>
      </c>
      <c r="O127" s="54">
        <v>4.55</v>
      </c>
      <c r="P127" s="54">
        <v>88.62</v>
      </c>
      <c r="Q127" s="54">
        <v>125.32</v>
      </c>
      <c r="R127" s="53">
        <v>46</v>
      </c>
      <c r="S127" s="53">
        <v>17</v>
      </c>
      <c r="T127" s="53">
        <v>18</v>
      </c>
      <c r="U127" s="53">
        <v>8</v>
      </c>
      <c r="V127" s="53">
        <v>6</v>
      </c>
      <c r="W127" s="54">
        <v>3.77</v>
      </c>
      <c r="X127" s="54">
        <v>4.29</v>
      </c>
      <c r="Y127" s="54">
        <v>143.78</v>
      </c>
      <c r="Z127" s="54">
        <v>165.55</v>
      </c>
      <c r="AA127" s="54">
        <v>5.33</v>
      </c>
      <c r="AB127" s="54">
        <v>4.58</v>
      </c>
      <c r="AC127" s="54">
        <v>139.97</v>
      </c>
      <c r="AD127" s="54">
        <v>175.27</v>
      </c>
      <c r="AE127" s="54">
        <v>6.79</v>
      </c>
      <c r="AF127" s="54">
        <v>4.9400000000000004</v>
      </c>
      <c r="AG127" s="54">
        <v>153.34</v>
      </c>
      <c r="AH127" s="54">
        <v>189.54</v>
      </c>
      <c r="AI127" s="54">
        <v>8.59</v>
      </c>
      <c r="AJ127" s="54">
        <v>5.19</v>
      </c>
      <c r="AK127" s="54">
        <v>152.96</v>
      </c>
      <c r="AL127" s="54">
        <v>189.66</v>
      </c>
      <c r="AM127" s="53">
        <v>18</v>
      </c>
      <c r="AN127" s="53">
        <v>22</v>
      </c>
      <c r="AO127" s="53">
        <v>17</v>
      </c>
      <c r="AP127" s="53">
        <v>10</v>
      </c>
      <c r="AQ127" s="53">
        <v>2</v>
      </c>
    </row>
    <row r="128" spans="1:43">
      <c r="A128" s="58" t="s">
        <v>933</v>
      </c>
      <c r="B128" s="54">
        <v>3.15</v>
      </c>
      <c r="C128" s="54">
        <v>3.61</v>
      </c>
      <c r="D128" s="54">
        <v>70.52</v>
      </c>
      <c r="E128" s="54">
        <v>90.63</v>
      </c>
      <c r="F128" s="54">
        <v>4.91</v>
      </c>
      <c r="G128" s="54">
        <v>4.0599999999999996</v>
      </c>
      <c r="H128" s="54">
        <v>76.33</v>
      </c>
      <c r="I128" s="54">
        <v>116.33</v>
      </c>
      <c r="J128" s="54">
        <v>6.6</v>
      </c>
      <c r="K128" s="54">
        <v>4.4400000000000004</v>
      </c>
      <c r="L128" s="54">
        <v>87.78</v>
      </c>
      <c r="M128" s="54">
        <v>125.98</v>
      </c>
      <c r="N128" s="54">
        <v>8.77</v>
      </c>
      <c r="O128" s="54">
        <v>4.79</v>
      </c>
      <c r="P128" s="54">
        <v>96.78</v>
      </c>
      <c r="Q128" s="54">
        <v>131.28</v>
      </c>
      <c r="R128" s="53">
        <v>44</v>
      </c>
      <c r="S128" s="53">
        <v>20</v>
      </c>
      <c r="T128" s="53">
        <v>16</v>
      </c>
      <c r="U128" s="53">
        <v>7</v>
      </c>
      <c r="V128" s="53">
        <v>6</v>
      </c>
      <c r="W128" s="54">
        <v>3.92</v>
      </c>
      <c r="X128" s="54">
        <v>4.45</v>
      </c>
      <c r="Y128" s="54">
        <v>153.47</v>
      </c>
      <c r="Z128" s="54">
        <v>174.42</v>
      </c>
      <c r="AA128" s="54">
        <v>5.31</v>
      </c>
      <c r="AB128" s="54">
        <v>4.76</v>
      </c>
      <c r="AC128" s="54">
        <v>146.53</v>
      </c>
      <c r="AD128" s="54">
        <v>186.53</v>
      </c>
      <c r="AE128" s="54">
        <v>6.77</v>
      </c>
      <c r="AF128" s="54">
        <v>5.19</v>
      </c>
      <c r="AG128" s="54">
        <v>162.76</v>
      </c>
      <c r="AH128" s="54">
        <v>200.96</v>
      </c>
      <c r="AI128" s="54">
        <v>8.5399999999999991</v>
      </c>
      <c r="AJ128" s="54">
        <v>5.46</v>
      </c>
      <c r="AK128" s="54">
        <v>163.53</v>
      </c>
      <c r="AL128" s="54">
        <v>198.03</v>
      </c>
      <c r="AM128" s="53">
        <v>14</v>
      </c>
      <c r="AN128" s="53">
        <v>22</v>
      </c>
      <c r="AO128" s="53">
        <v>16</v>
      </c>
      <c r="AP128" s="53">
        <v>10</v>
      </c>
      <c r="AQ128" s="53">
        <v>2</v>
      </c>
    </row>
    <row r="129" spans="1:43">
      <c r="A129" s="58" t="s">
        <v>934</v>
      </c>
      <c r="B129" s="54">
        <v>3.13</v>
      </c>
      <c r="C129" s="54">
        <v>3.55</v>
      </c>
      <c r="D129" s="54">
        <v>72.27</v>
      </c>
      <c r="E129" s="54">
        <v>99.24</v>
      </c>
      <c r="F129" s="54">
        <v>4.93</v>
      </c>
      <c r="G129" s="54">
        <v>3.98</v>
      </c>
      <c r="H129" s="54">
        <v>81.78</v>
      </c>
      <c r="I129" s="54">
        <v>115.98</v>
      </c>
      <c r="J129" s="54">
        <v>6.62</v>
      </c>
      <c r="K129" s="54">
        <v>4.3499999999999996</v>
      </c>
      <c r="L129" s="54">
        <v>92.36</v>
      </c>
      <c r="M129" s="54">
        <v>135.06</v>
      </c>
      <c r="N129" s="54">
        <v>8.85</v>
      </c>
      <c r="O129" s="54">
        <v>4.72</v>
      </c>
      <c r="P129" s="54">
        <v>104.01</v>
      </c>
      <c r="Q129" s="54">
        <v>143.11000000000001</v>
      </c>
      <c r="R129" s="53">
        <v>45</v>
      </c>
      <c r="S129" s="53">
        <v>20</v>
      </c>
      <c r="T129" s="53">
        <v>16</v>
      </c>
      <c r="U129" s="53">
        <v>8</v>
      </c>
      <c r="V129" s="53">
        <v>6</v>
      </c>
      <c r="W129" s="54">
        <v>3.94</v>
      </c>
      <c r="X129" s="54">
        <v>4.32</v>
      </c>
      <c r="Y129" s="54">
        <v>148.34</v>
      </c>
      <c r="Z129" s="54">
        <v>176.05</v>
      </c>
      <c r="AA129" s="54">
        <v>5.33</v>
      </c>
      <c r="AB129" s="54">
        <v>4.6500000000000004</v>
      </c>
      <c r="AC129" s="54">
        <v>148.33000000000001</v>
      </c>
      <c r="AD129" s="54">
        <v>182.53</v>
      </c>
      <c r="AE129" s="54">
        <v>6.75</v>
      </c>
      <c r="AF129" s="54">
        <v>5.1100000000000003</v>
      </c>
      <c r="AG129" s="54">
        <v>167.59</v>
      </c>
      <c r="AH129" s="54">
        <v>210.29</v>
      </c>
      <c r="AI129" s="54">
        <v>8.68</v>
      </c>
      <c r="AJ129" s="54">
        <v>5.37</v>
      </c>
      <c r="AK129" s="54">
        <v>168.51</v>
      </c>
      <c r="AL129" s="54">
        <v>207.61</v>
      </c>
      <c r="AM129" s="53">
        <v>15</v>
      </c>
      <c r="AN129" s="53">
        <v>24</v>
      </c>
      <c r="AO129" s="53">
        <v>16</v>
      </c>
      <c r="AP129" s="53">
        <v>9</v>
      </c>
      <c r="AQ129" s="53">
        <v>2</v>
      </c>
    </row>
    <row r="130" spans="1:43">
      <c r="A130" s="58" t="s">
        <v>935</v>
      </c>
      <c r="B130" s="54">
        <v>3.16</v>
      </c>
      <c r="C130" s="54">
        <v>3.5</v>
      </c>
      <c r="D130" s="54">
        <v>80.27</v>
      </c>
      <c r="E130" s="54">
        <v>111.09</v>
      </c>
      <c r="F130" s="54">
        <v>4.93</v>
      </c>
      <c r="G130" s="54">
        <v>3.89</v>
      </c>
      <c r="H130" s="54">
        <v>90.9</v>
      </c>
      <c r="I130" s="54">
        <v>132.5</v>
      </c>
      <c r="J130" s="54">
        <v>6.61</v>
      </c>
      <c r="K130" s="54">
        <v>4.24</v>
      </c>
      <c r="L130" s="54">
        <v>101.65</v>
      </c>
      <c r="M130" s="54">
        <v>149.75</v>
      </c>
      <c r="N130" s="54">
        <v>8.89</v>
      </c>
      <c r="O130" s="54">
        <v>4.6100000000000003</v>
      </c>
      <c r="P130" s="54">
        <v>115.18</v>
      </c>
      <c r="Q130" s="54">
        <v>158.58000000000001</v>
      </c>
      <c r="R130" s="53">
        <v>45</v>
      </c>
      <c r="S130" s="53">
        <v>21</v>
      </c>
      <c r="T130" s="53">
        <v>16</v>
      </c>
      <c r="U130" s="53">
        <v>9</v>
      </c>
      <c r="V130" s="53">
        <v>6</v>
      </c>
      <c r="W130" s="54">
        <v>3.95</v>
      </c>
      <c r="X130" s="54">
        <v>4.2300000000000004</v>
      </c>
      <c r="Y130" s="54">
        <v>151.93</v>
      </c>
      <c r="Z130" s="54">
        <v>183.44</v>
      </c>
      <c r="AA130" s="54">
        <v>5.33</v>
      </c>
      <c r="AB130" s="54">
        <v>4.54</v>
      </c>
      <c r="AC130" s="54">
        <v>155.86000000000001</v>
      </c>
      <c r="AD130" s="54">
        <v>197.46</v>
      </c>
      <c r="AE130" s="54">
        <v>6.72</v>
      </c>
      <c r="AF130" s="54">
        <v>4.99</v>
      </c>
      <c r="AG130" s="54">
        <v>177.33</v>
      </c>
      <c r="AH130" s="54">
        <v>225.43</v>
      </c>
      <c r="AI130" s="54">
        <v>8.61</v>
      </c>
      <c r="AJ130" s="54">
        <v>5.23</v>
      </c>
      <c r="AK130" s="54">
        <v>177.01</v>
      </c>
      <c r="AL130" s="54">
        <v>220.41</v>
      </c>
      <c r="AM130" s="53">
        <v>16</v>
      </c>
      <c r="AN130" s="53">
        <v>25</v>
      </c>
      <c r="AO130" s="53">
        <v>17</v>
      </c>
      <c r="AP130" s="53">
        <v>8</v>
      </c>
      <c r="AQ130" s="53">
        <v>2</v>
      </c>
    </row>
    <row r="131" spans="1:43">
      <c r="A131" s="58" t="s">
        <v>936</v>
      </c>
      <c r="B131" s="54">
        <v>3.18</v>
      </c>
      <c r="C131" s="54">
        <v>3.22</v>
      </c>
      <c r="D131" s="54">
        <v>82.12</v>
      </c>
      <c r="E131" s="54">
        <v>109.71</v>
      </c>
      <c r="F131" s="54">
        <v>4.93</v>
      </c>
      <c r="G131" s="54">
        <v>3.52</v>
      </c>
      <c r="H131" s="54">
        <v>84.78</v>
      </c>
      <c r="I131" s="54">
        <v>125.58</v>
      </c>
      <c r="J131" s="54">
        <v>6.59</v>
      </c>
      <c r="K131" s="54">
        <v>3.81</v>
      </c>
      <c r="L131" s="54">
        <v>91.22</v>
      </c>
      <c r="M131" s="54">
        <v>136.91999999999999</v>
      </c>
      <c r="N131" s="54">
        <v>8.86</v>
      </c>
      <c r="O131" s="54">
        <v>4.1399999999999997</v>
      </c>
      <c r="P131" s="54">
        <v>99.29</v>
      </c>
      <c r="Q131" s="54">
        <v>139.88999999999999</v>
      </c>
      <c r="R131" s="53">
        <v>45</v>
      </c>
      <c r="S131" s="53">
        <v>18</v>
      </c>
      <c r="T131" s="53">
        <v>16</v>
      </c>
      <c r="U131" s="53">
        <v>9</v>
      </c>
      <c r="V131" s="53">
        <v>6</v>
      </c>
      <c r="W131" s="54">
        <v>3.99</v>
      </c>
      <c r="X131" s="54">
        <v>3.97</v>
      </c>
      <c r="Y131" s="54">
        <v>155.85</v>
      </c>
      <c r="Z131" s="54">
        <v>184.09</v>
      </c>
      <c r="AA131" s="54">
        <v>5.32</v>
      </c>
      <c r="AB131" s="54">
        <v>4.28</v>
      </c>
      <c r="AC131" s="54">
        <v>160.86000000000001</v>
      </c>
      <c r="AD131" s="54">
        <v>201.66</v>
      </c>
      <c r="AE131" s="54">
        <v>6.7</v>
      </c>
      <c r="AF131" s="54">
        <v>4.68</v>
      </c>
      <c r="AG131" s="54">
        <v>178.82</v>
      </c>
      <c r="AH131" s="54">
        <v>224.52</v>
      </c>
      <c r="AI131" s="54">
        <v>8.56</v>
      </c>
      <c r="AJ131" s="54">
        <v>4.75</v>
      </c>
      <c r="AK131" s="54">
        <v>160.86000000000001</v>
      </c>
      <c r="AL131" s="54">
        <v>201.46</v>
      </c>
      <c r="AM131" s="53">
        <v>15</v>
      </c>
      <c r="AN131" s="53">
        <v>25</v>
      </c>
      <c r="AO131" s="53">
        <v>17</v>
      </c>
      <c r="AP131" s="53">
        <v>8</v>
      </c>
      <c r="AQ131" s="53">
        <v>2</v>
      </c>
    </row>
    <row r="132" spans="1:43">
      <c r="A132" s="58" t="s">
        <v>937</v>
      </c>
      <c r="B132" s="54">
        <v>3.17</v>
      </c>
      <c r="C132" s="54">
        <v>3.02</v>
      </c>
      <c r="D132" s="54">
        <v>77.91</v>
      </c>
      <c r="E132" s="54">
        <v>107.54</v>
      </c>
      <c r="F132" s="54">
        <v>4.92</v>
      </c>
      <c r="G132" s="54">
        <v>3.3</v>
      </c>
      <c r="H132" s="54">
        <v>87.07</v>
      </c>
      <c r="I132" s="54">
        <v>127.97</v>
      </c>
      <c r="J132" s="54">
        <v>6.57</v>
      </c>
      <c r="K132" s="54">
        <v>3.54</v>
      </c>
      <c r="L132" s="54">
        <v>96.36</v>
      </c>
      <c r="M132" s="54">
        <v>139.36000000000001</v>
      </c>
      <c r="N132" s="54">
        <v>8.84</v>
      </c>
      <c r="O132" s="54">
        <v>3.79</v>
      </c>
      <c r="P132" s="54">
        <v>102.6</v>
      </c>
      <c r="Q132" s="54">
        <v>134.30000000000001</v>
      </c>
      <c r="R132" s="53">
        <v>45</v>
      </c>
      <c r="S132" s="53">
        <v>19</v>
      </c>
      <c r="T132" s="53">
        <v>16</v>
      </c>
      <c r="U132" s="53">
        <v>9</v>
      </c>
      <c r="V132" s="53">
        <v>6</v>
      </c>
      <c r="W132" s="54">
        <v>3.95</v>
      </c>
      <c r="X132" s="54">
        <v>3.86</v>
      </c>
      <c r="Y132" s="54">
        <v>160.83000000000001</v>
      </c>
      <c r="Z132" s="54">
        <v>191.17</v>
      </c>
      <c r="AA132" s="54">
        <v>5.3</v>
      </c>
      <c r="AB132" s="54">
        <v>4.13</v>
      </c>
      <c r="AC132" s="54">
        <v>169.76</v>
      </c>
      <c r="AD132" s="54">
        <v>210.66</v>
      </c>
      <c r="AE132" s="54">
        <v>6.67</v>
      </c>
      <c r="AF132" s="54">
        <v>4.45</v>
      </c>
      <c r="AG132" s="54">
        <v>186.67</v>
      </c>
      <c r="AH132" s="54">
        <v>229.67</v>
      </c>
      <c r="AI132" s="54">
        <v>8.51</v>
      </c>
      <c r="AJ132" s="54">
        <v>4.3600000000000003</v>
      </c>
      <c r="AK132" s="54">
        <v>160.38999999999999</v>
      </c>
      <c r="AL132" s="54">
        <v>192.09</v>
      </c>
      <c r="AM132" s="53">
        <v>15</v>
      </c>
      <c r="AN132" s="53">
        <v>25</v>
      </c>
      <c r="AO132" s="53">
        <v>17</v>
      </c>
      <c r="AP132" s="53">
        <v>8</v>
      </c>
      <c r="AQ132" s="53">
        <v>2</v>
      </c>
    </row>
    <row r="133" spans="1:43">
      <c r="A133" s="58" t="s">
        <v>938</v>
      </c>
      <c r="B133" s="54">
        <v>3.15</v>
      </c>
      <c r="C133" s="54">
        <v>2.82</v>
      </c>
      <c r="D133" s="54">
        <v>72.680000000000007</v>
      </c>
      <c r="E133" s="54">
        <v>102.76</v>
      </c>
      <c r="F133" s="54">
        <v>4.8899999999999997</v>
      </c>
      <c r="G133" s="54">
        <v>3.16</v>
      </c>
      <c r="H133" s="54">
        <v>79.25</v>
      </c>
      <c r="I133" s="54">
        <v>125.95</v>
      </c>
      <c r="J133" s="54">
        <v>6.55</v>
      </c>
      <c r="K133" s="54">
        <v>3.45</v>
      </c>
      <c r="L133" s="54">
        <v>88.04</v>
      </c>
      <c r="M133" s="54">
        <v>135.63999999999999</v>
      </c>
      <c r="N133" s="54">
        <v>8.82</v>
      </c>
      <c r="O133" s="54">
        <v>3.77</v>
      </c>
      <c r="P133" s="54">
        <v>98.24</v>
      </c>
      <c r="Q133" s="54">
        <v>130.84</v>
      </c>
      <c r="R133" s="53">
        <v>46</v>
      </c>
      <c r="S133" s="53">
        <v>19</v>
      </c>
      <c r="T133" s="53">
        <v>16</v>
      </c>
      <c r="U133" s="53">
        <v>9</v>
      </c>
      <c r="V133" s="53">
        <v>6</v>
      </c>
      <c r="W133" s="54">
        <v>3.96</v>
      </c>
      <c r="X133" s="54">
        <v>3.68</v>
      </c>
      <c r="Y133" s="54">
        <v>157.71</v>
      </c>
      <c r="Z133" s="54">
        <v>188.49</v>
      </c>
      <c r="AA133" s="54">
        <v>5.26</v>
      </c>
      <c r="AB133" s="54">
        <v>3.96</v>
      </c>
      <c r="AC133" s="54">
        <v>159.03</v>
      </c>
      <c r="AD133" s="54">
        <v>205.73</v>
      </c>
      <c r="AE133" s="54">
        <v>6.62</v>
      </c>
      <c r="AF133" s="54">
        <v>4.3</v>
      </c>
      <c r="AG133" s="54">
        <v>173.76</v>
      </c>
      <c r="AH133" s="54">
        <v>221.36</v>
      </c>
      <c r="AI133" s="54">
        <v>8.4700000000000006</v>
      </c>
      <c r="AJ133" s="54">
        <v>4.37</v>
      </c>
      <c r="AK133" s="54">
        <v>158.87</v>
      </c>
      <c r="AL133" s="54">
        <v>191.47</v>
      </c>
      <c r="AM133" s="53">
        <v>16</v>
      </c>
      <c r="AN133" s="53">
        <v>26</v>
      </c>
      <c r="AO133" s="53">
        <v>16</v>
      </c>
      <c r="AP133" s="53">
        <v>8</v>
      </c>
      <c r="AQ133" s="53">
        <v>2</v>
      </c>
    </row>
    <row r="134" spans="1:43">
      <c r="A134" s="58" t="s">
        <v>939</v>
      </c>
      <c r="B134" s="54">
        <v>3.17</v>
      </c>
      <c r="C134" s="54">
        <v>2.75</v>
      </c>
      <c r="D134" s="54">
        <v>74.739999999999995</v>
      </c>
      <c r="E134" s="54">
        <v>105.18</v>
      </c>
      <c r="F134" s="54">
        <v>4.88</v>
      </c>
      <c r="G134" s="54">
        <v>3.13</v>
      </c>
      <c r="H134" s="54">
        <v>83.68</v>
      </c>
      <c r="I134" s="54">
        <v>133.08000000000001</v>
      </c>
      <c r="J134" s="54">
        <v>6.53</v>
      </c>
      <c r="K134" s="54">
        <v>3.45</v>
      </c>
      <c r="L134" s="54">
        <v>95.97</v>
      </c>
      <c r="M134" s="54">
        <v>148.77000000000001</v>
      </c>
      <c r="N134" s="54">
        <v>8.9600000000000009</v>
      </c>
      <c r="O134" s="54">
        <v>3.84</v>
      </c>
      <c r="P134" s="54">
        <v>112.32</v>
      </c>
      <c r="Q134" s="54">
        <v>151.91999999999999</v>
      </c>
      <c r="R134" s="53">
        <v>46</v>
      </c>
      <c r="S134" s="53">
        <v>18</v>
      </c>
      <c r="T134" s="53">
        <v>15</v>
      </c>
      <c r="U134" s="53">
        <v>10</v>
      </c>
      <c r="V134" s="53">
        <v>6</v>
      </c>
      <c r="W134" s="54">
        <v>3.93</v>
      </c>
      <c r="X134" s="54">
        <v>3.58</v>
      </c>
      <c r="Y134" s="54">
        <v>157.07</v>
      </c>
      <c r="Z134" s="54">
        <v>188.16</v>
      </c>
      <c r="AA134" s="54">
        <v>5.23</v>
      </c>
      <c r="AB134" s="54">
        <v>3.88</v>
      </c>
      <c r="AC134" s="54">
        <v>158.83000000000001</v>
      </c>
      <c r="AD134" s="54">
        <v>208.23</v>
      </c>
      <c r="AE134" s="54">
        <v>6.63</v>
      </c>
      <c r="AF134" s="54">
        <v>4.2699999999999996</v>
      </c>
      <c r="AG134" s="54">
        <v>177.29</v>
      </c>
      <c r="AH134" s="54">
        <v>230.09</v>
      </c>
      <c r="AI134" s="54">
        <v>8.7799999999999994</v>
      </c>
      <c r="AJ134" s="54">
        <v>4.45</v>
      </c>
      <c r="AK134" s="54">
        <v>173.31</v>
      </c>
      <c r="AL134" s="54">
        <v>212.91</v>
      </c>
      <c r="AM134" s="53">
        <v>17</v>
      </c>
      <c r="AN134" s="53">
        <v>28</v>
      </c>
      <c r="AO134" s="53">
        <v>16</v>
      </c>
      <c r="AP134" s="53">
        <v>7</v>
      </c>
      <c r="AQ134" s="53">
        <v>2</v>
      </c>
    </row>
    <row r="135" spans="1:43">
      <c r="A135" s="58" t="s">
        <v>940</v>
      </c>
      <c r="B135" s="54">
        <v>3.21</v>
      </c>
      <c r="C135" s="54">
        <v>3.01</v>
      </c>
      <c r="D135" s="54">
        <v>77.650000000000006</v>
      </c>
      <c r="E135" s="54">
        <v>108.18</v>
      </c>
      <c r="F135" s="54">
        <v>4.8600000000000003</v>
      </c>
      <c r="G135" s="54">
        <v>3.43</v>
      </c>
      <c r="H135" s="54">
        <v>87.18</v>
      </c>
      <c r="I135" s="54">
        <v>132.28</v>
      </c>
      <c r="J135" s="54">
        <v>6.54</v>
      </c>
      <c r="K135" s="54">
        <v>3.78</v>
      </c>
      <c r="L135" s="54">
        <v>101.7</v>
      </c>
      <c r="M135" s="54">
        <v>136.9</v>
      </c>
      <c r="N135" s="54">
        <v>9.09</v>
      </c>
      <c r="O135" s="54">
        <v>4.17</v>
      </c>
      <c r="P135" s="54">
        <v>119.07</v>
      </c>
      <c r="Q135" s="54">
        <v>152.47</v>
      </c>
      <c r="R135" s="53">
        <v>45</v>
      </c>
      <c r="S135" s="53">
        <v>17</v>
      </c>
      <c r="T135" s="53">
        <v>13</v>
      </c>
      <c r="U135" s="53">
        <v>10</v>
      </c>
      <c r="V135" s="53">
        <v>6</v>
      </c>
      <c r="W135" s="54">
        <v>3.94</v>
      </c>
      <c r="X135" s="54">
        <v>3.8</v>
      </c>
      <c r="Y135" s="54">
        <v>155.41</v>
      </c>
      <c r="Z135" s="54">
        <v>186.59</v>
      </c>
      <c r="AA135" s="54">
        <v>5.21</v>
      </c>
      <c r="AB135" s="54">
        <v>4.1100000000000003</v>
      </c>
      <c r="AC135" s="54">
        <v>155.05000000000001</v>
      </c>
      <c r="AD135" s="54">
        <v>200.15</v>
      </c>
      <c r="AE135" s="54">
        <v>6.66</v>
      </c>
      <c r="AF135" s="54">
        <v>4.5</v>
      </c>
      <c r="AG135" s="54">
        <v>173.57</v>
      </c>
      <c r="AH135" s="54">
        <v>208.77</v>
      </c>
      <c r="AI135" s="54">
        <v>9.18</v>
      </c>
      <c r="AJ135" s="54">
        <v>4.8099999999999996</v>
      </c>
      <c r="AK135" s="54">
        <v>182.77</v>
      </c>
      <c r="AL135" s="54">
        <v>216.17</v>
      </c>
      <c r="AM135" s="53">
        <v>19</v>
      </c>
      <c r="AN135" s="53">
        <v>28</v>
      </c>
      <c r="AO135" s="53">
        <v>19</v>
      </c>
      <c r="AP135" s="53">
        <v>7</v>
      </c>
      <c r="AQ135" s="53">
        <v>3</v>
      </c>
    </row>
    <row r="136" spans="1:43">
      <c r="A136" s="58" t="s">
        <v>941</v>
      </c>
      <c r="B136" s="54">
        <v>3.24</v>
      </c>
      <c r="C136" s="54">
        <v>2.98</v>
      </c>
      <c r="D136" s="54">
        <v>80.650000000000006</v>
      </c>
      <c r="E136" s="54">
        <v>109.55</v>
      </c>
      <c r="F136" s="54">
        <v>4.8899999999999997</v>
      </c>
      <c r="G136" s="54">
        <v>3.4</v>
      </c>
      <c r="H136" s="54">
        <v>87.01</v>
      </c>
      <c r="I136" s="54">
        <v>129.21</v>
      </c>
      <c r="J136" s="54">
        <v>6.56</v>
      </c>
      <c r="K136" s="54">
        <v>3.78</v>
      </c>
      <c r="L136" s="54">
        <v>100.03</v>
      </c>
      <c r="M136" s="54">
        <v>132.93</v>
      </c>
      <c r="N136" s="54">
        <v>9.0500000000000007</v>
      </c>
      <c r="O136" s="54">
        <v>4.1900000000000004</v>
      </c>
      <c r="P136" s="54">
        <v>116.15</v>
      </c>
      <c r="Q136" s="54">
        <v>146.15</v>
      </c>
      <c r="R136" s="53">
        <v>44</v>
      </c>
      <c r="S136" s="53">
        <v>18</v>
      </c>
      <c r="T136" s="53">
        <v>13</v>
      </c>
      <c r="U136" s="53">
        <v>10</v>
      </c>
      <c r="V136" s="53">
        <v>7</v>
      </c>
      <c r="W136" s="54">
        <v>3.89</v>
      </c>
      <c r="X136" s="54">
        <v>3.76</v>
      </c>
      <c r="Y136" s="54">
        <v>158.29</v>
      </c>
      <c r="Z136" s="54">
        <v>187.84</v>
      </c>
      <c r="AA136" s="54">
        <v>5.18</v>
      </c>
      <c r="AB136" s="54">
        <v>4.08</v>
      </c>
      <c r="AC136" s="54">
        <v>155.59</v>
      </c>
      <c r="AD136" s="54">
        <v>197.79</v>
      </c>
      <c r="AE136" s="54">
        <v>6.68</v>
      </c>
      <c r="AF136" s="54">
        <v>4.49</v>
      </c>
      <c r="AG136" s="54">
        <v>171.38</v>
      </c>
      <c r="AH136" s="54">
        <v>204.28</v>
      </c>
      <c r="AI136" s="54">
        <v>9.24</v>
      </c>
      <c r="AJ136" s="54">
        <v>4.83</v>
      </c>
      <c r="AK136" s="54">
        <v>180.38</v>
      </c>
      <c r="AL136" s="54">
        <v>210.38</v>
      </c>
      <c r="AM136" s="53">
        <v>21</v>
      </c>
      <c r="AN136" s="53">
        <v>29</v>
      </c>
      <c r="AO136" s="53">
        <v>17</v>
      </c>
      <c r="AP136" s="53">
        <v>9</v>
      </c>
      <c r="AQ136" s="53">
        <v>3</v>
      </c>
    </row>
    <row r="137" spans="1:43">
      <c r="A137" s="58" t="s">
        <v>942</v>
      </c>
      <c r="B137" s="54">
        <v>3.25</v>
      </c>
      <c r="C137" s="54">
        <v>3.21</v>
      </c>
      <c r="D137" s="54">
        <v>88.44</v>
      </c>
      <c r="E137" s="54">
        <v>118.61</v>
      </c>
      <c r="F137" s="54">
        <v>4.8899999999999997</v>
      </c>
      <c r="G137" s="54">
        <v>3.68</v>
      </c>
      <c r="H137" s="54">
        <v>92.35</v>
      </c>
      <c r="I137" s="54">
        <v>139.25</v>
      </c>
      <c r="J137" s="54">
        <v>6.54</v>
      </c>
      <c r="K137" s="54">
        <v>4.0999999999999996</v>
      </c>
      <c r="L137" s="54">
        <v>104.96</v>
      </c>
      <c r="M137" s="54">
        <v>142.56</v>
      </c>
      <c r="N137" s="54">
        <v>9.0399999999999991</v>
      </c>
      <c r="O137" s="54">
        <v>4.57</v>
      </c>
      <c r="P137" s="54">
        <v>122.94</v>
      </c>
      <c r="Q137" s="54">
        <v>156.44</v>
      </c>
      <c r="R137" s="53">
        <v>43</v>
      </c>
      <c r="S137" s="53">
        <v>18</v>
      </c>
      <c r="T137" s="53">
        <v>14</v>
      </c>
      <c r="U137" s="53">
        <v>10</v>
      </c>
      <c r="V137" s="53">
        <v>7</v>
      </c>
      <c r="W137" s="54">
        <v>3.89</v>
      </c>
      <c r="X137" s="54">
        <v>4.01</v>
      </c>
      <c r="Y137" s="54">
        <v>167.85</v>
      </c>
      <c r="Z137" s="54">
        <v>198.74</v>
      </c>
      <c r="AA137" s="54">
        <v>5.19</v>
      </c>
      <c r="AB137" s="54">
        <v>4.38</v>
      </c>
      <c r="AC137" s="54">
        <v>162.91999999999999</v>
      </c>
      <c r="AD137" s="54">
        <v>209.82</v>
      </c>
      <c r="AE137" s="54">
        <v>6.68</v>
      </c>
      <c r="AF137" s="54">
        <v>4.79</v>
      </c>
      <c r="AG137" s="54">
        <v>174.21</v>
      </c>
      <c r="AH137" s="54">
        <v>211.81</v>
      </c>
      <c r="AI137" s="54">
        <v>9.27</v>
      </c>
      <c r="AJ137" s="54">
        <v>5.17</v>
      </c>
      <c r="AK137" s="54">
        <v>182.08</v>
      </c>
      <c r="AL137" s="54">
        <v>215.58</v>
      </c>
      <c r="AM137" s="53">
        <v>20</v>
      </c>
      <c r="AN137" s="53">
        <v>29</v>
      </c>
      <c r="AO137" s="53">
        <v>17</v>
      </c>
      <c r="AP137" s="53">
        <v>10</v>
      </c>
      <c r="AQ137" s="53">
        <v>3</v>
      </c>
    </row>
    <row r="138" spans="1:43">
      <c r="A138" s="58" t="s">
        <v>943</v>
      </c>
      <c r="B138" s="54">
        <v>3.24</v>
      </c>
      <c r="C138" s="54">
        <v>3.19</v>
      </c>
      <c r="D138" s="54">
        <v>99.91</v>
      </c>
      <c r="E138" s="54">
        <v>128.27000000000001</v>
      </c>
      <c r="F138" s="54">
        <v>4.88</v>
      </c>
      <c r="G138" s="54">
        <v>3.62</v>
      </c>
      <c r="H138" s="54">
        <v>104.83</v>
      </c>
      <c r="I138" s="54">
        <v>155.22999999999999</v>
      </c>
      <c r="J138" s="54">
        <v>6.57</v>
      </c>
      <c r="K138" s="54">
        <v>4.0199999999999996</v>
      </c>
      <c r="L138" s="54">
        <v>117.23</v>
      </c>
      <c r="M138" s="54">
        <v>158.83000000000001</v>
      </c>
      <c r="N138" s="54">
        <v>9.1999999999999993</v>
      </c>
      <c r="O138" s="54">
        <v>4.5999999999999996</v>
      </c>
      <c r="P138" s="54">
        <v>148.22</v>
      </c>
      <c r="Q138" s="54">
        <v>183.92</v>
      </c>
      <c r="R138" s="53">
        <v>40</v>
      </c>
      <c r="S138" s="53">
        <v>18</v>
      </c>
      <c r="T138" s="53">
        <v>14</v>
      </c>
      <c r="U138" s="53">
        <v>11</v>
      </c>
      <c r="V138" s="53">
        <v>7</v>
      </c>
      <c r="W138" s="54">
        <v>3.87</v>
      </c>
      <c r="X138" s="54">
        <v>3.96</v>
      </c>
      <c r="Y138" s="54">
        <v>176.45</v>
      </c>
      <c r="Z138" s="54">
        <v>205.49</v>
      </c>
      <c r="AA138" s="54">
        <v>5.15</v>
      </c>
      <c r="AB138" s="54">
        <v>4.3499999999999996</v>
      </c>
      <c r="AC138" s="54">
        <v>177.91</v>
      </c>
      <c r="AD138" s="54">
        <v>228.31</v>
      </c>
      <c r="AE138" s="54">
        <v>6.66</v>
      </c>
      <c r="AF138" s="54">
        <v>4.76</v>
      </c>
      <c r="AG138" s="54">
        <v>191.5</v>
      </c>
      <c r="AH138" s="54">
        <v>233.1</v>
      </c>
      <c r="AI138" s="54">
        <v>9.24</v>
      </c>
      <c r="AJ138" s="54">
        <v>5.01</v>
      </c>
      <c r="AK138" s="54">
        <v>189.75</v>
      </c>
      <c r="AL138" s="54">
        <v>225.45</v>
      </c>
      <c r="AM138" s="53">
        <v>21</v>
      </c>
      <c r="AN138" s="53">
        <v>30</v>
      </c>
      <c r="AO138" s="53">
        <v>16</v>
      </c>
      <c r="AP138" s="53">
        <v>10</v>
      </c>
      <c r="AQ138" s="53">
        <v>3</v>
      </c>
    </row>
    <row r="139" spans="1:43">
      <c r="A139" s="58" t="s">
        <v>944</v>
      </c>
      <c r="B139" s="54">
        <v>3.2</v>
      </c>
      <c r="C139" s="54">
        <v>3.15</v>
      </c>
      <c r="D139" s="54">
        <v>109.9</v>
      </c>
      <c r="E139" s="54">
        <v>137.53</v>
      </c>
      <c r="F139" s="54">
        <v>4.8600000000000003</v>
      </c>
      <c r="G139" s="54">
        <v>3.56</v>
      </c>
      <c r="H139" s="54">
        <v>112.86</v>
      </c>
      <c r="I139" s="54">
        <v>162.36000000000001</v>
      </c>
      <c r="J139" s="54">
        <v>6.59</v>
      </c>
      <c r="K139" s="54">
        <v>3.96</v>
      </c>
      <c r="L139" s="54">
        <v>124.1</v>
      </c>
      <c r="M139" s="54">
        <v>163.1</v>
      </c>
      <c r="N139" s="54">
        <v>9.1999999999999993</v>
      </c>
      <c r="O139" s="54">
        <v>4.54</v>
      </c>
      <c r="P139" s="54">
        <v>153.82</v>
      </c>
      <c r="Q139" s="54">
        <v>188.02</v>
      </c>
      <c r="R139" s="53">
        <v>39</v>
      </c>
      <c r="S139" s="53">
        <v>16</v>
      </c>
      <c r="T139" s="53">
        <v>14</v>
      </c>
      <c r="U139" s="53">
        <v>11</v>
      </c>
      <c r="V139" s="53">
        <v>7</v>
      </c>
      <c r="W139" s="54">
        <v>3.86</v>
      </c>
      <c r="X139" s="54">
        <v>3.98</v>
      </c>
      <c r="Y139" s="54">
        <v>192.42</v>
      </c>
      <c r="Z139" s="54">
        <v>220.78</v>
      </c>
      <c r="AA139" s="54">
        <v>5.0999999999999996</v>
      </c>
      <c r="AB139" s="54">
        <v>4.3899999999999997</v>
      </c>
      <c r="AC139" s="54">
        <v>195.44</v>
      </c>
      <c r="AD139" s="54">
        <v>244.94</v>
      </c>
      <c r="AE139" s="54">
        <v>6.6</v>
      </c>
      <c r="AF139" s="54">
        <v>4.79</v>
      </c>
      <c r="AG139" s="54">
        <v>207.33</v>
      </c>
      <c r="AH139" s="54">
        <v>246.33</v>
      </c>
      <c r="AI139" s="54">
        <v>9.19</v>
      </c>
      <c r="AJ139" s="54">
        <v>5.07</v>
      </c>
      <c r="AK139" s="54">
        <v>206.05</v>
      </c>
      <c r="AL139" s="54">
        <v>240.25</v>
      </c>
      <c r="AM139" s="53">
        <v>22</v>
      </c>
      <c r="AN139" s="53">
        <v>33</v>
      </c>
      <c r="AO139" s="53">
        <v>15</v>
      </c>
      <c r="AP139" s="53">
        <v>10</v>
      </c>
      <c r="AQ139" s="53">
        <v>3</v>
      </c>
    </row>
    <row r="140" spans="1:43">
      <c r="A140" s="58" t="s">
        <v>945</v>
      </c>
      <c r="B140" s="54">
        <v>3.23</v>
      </c>
      <c r="C140" s="54">
        <v>3.39</v>
      </c>
      <c r="D140" s="54">
        <v>135.19999999999999</v>
      </c>
      <c r="E140" s="54">
        <v>156.12</v>
      </c>
      <c r="F140" s="54">
        <v>4.88</v>
      </c>
      <c r="G140" s="54">
        <v>3.76</v>
      </c>
      <c r="H140" s="54">
        <v>138.19</v>
      </c>
      <c r="I140" s="54">
        <v>177.49</v>
      </c>
      <c r="J140" s="54">
        <v>6.56</v>
      </c>
      <c r="K140" s="54">
        <v>4.13</v>
      </c>
      <c r="L140" s="54">
        <v>150.1</v>
      </c>
      <c r="M140" s="54">
        <v>179</v>
      </c>
      <c r="N140" s="54">
        <v>9.17</v>
      </c>
      <c r="O140" s="54">
        <v>4.75</v>
      </c>
      <c r="P140" s="54">
        <v>186.05</v>
      </c>
      <c r="Q140" s="54">
        <v>214.55</v>
      </c>
      <c r="R140" s="53">
        <v>36</v>
      </c>
      <c r="S140" s="53">
        <v>18</v>
      </c>
      <c r="T140" s="53">
        <v>16</v>
      </c>
      <c r="U140" s="53">
        <v>10</v>
      </c>
      <c r="V140" s="53">
        <v>6</v>
      </c>
      <c r="W140" s="54">
        <v>3.83</v>
      </c>
      <c r="X140" s="54">
        <v>4.3</v>
      </c>
      <c r="Y140" s="54">
        <v>225.31</v>
      </c>
      <c r="Z140" s="54">
        <v>247.1</v>
      </c>
      <c r="AA140" s="54">
        <v>5.07</v>
      </c>
      <c r="AB140" s="54">
        <v>4.68</v>
      </c>
      <c r="AC140" s="54">
        <v>230.07</v>
      </c>
      <c r="AD140" s="54">
        <v>269.37</v>
      </c>
      <c r="AE140" s="54">
        <v>6.6</v>
      </c>
      <c r="AF140" s="54">
        <v>5.08</v>
      </c>
      <c r="AG140" s="54">
        <v>245.54</v>
      </c>
      <c r="AH140" s="54">
        <v>274.44</v>
      </c>
      <c r="AI140" s="54">
        <v>9.15</v>
      </c>
      <c r="AJ140" s="54">
        <v>5.32</v>
      </c>
      <c r="AK140" s="54">
        <v>242.54</v>
      </c>
      <c r="AL140" s="54">
        <v>271.04000000000002</v>
      </c>
      <c r="AM140" s="53">
        <v>23</v>
      </c>
      <c r="AN140" s="53">
        <v>32</v>
      </c>
      <c r="AO140" s="53">
        <v>15</v>
      </c>
      <c r="AP140" s="53">
        <v>10</v>
      </c>
      <c r="AQ140" s="53">
        <v>3</v>
      </c>
    </row>
    <row r="141" spans="1:43">
      <c r="A141" s="58" t="s">
        <v>946</v>
      </c>
      <c r="B141" s="54">
        <v>3.21</v>
      </c>
      <c r="C141" s="54">
        <v>3.31</v>
      </c>
      <c r="D141" s="54">
        <v>132.32</v>
      </c>
      <c r="E141" s="54">
        <v>151.16999999999999</v>
      </c>
      <c r="F141" s="54">
        <v>4.87</v>
      </c>
      <c r="G141" s="54">
        <v>3.67</v>
      </c>
      <c r="H141" s="54">
        <v>132.72</v>
      </c>
      <c r="I141" s="54">
        <v>160.32</v>
      </c>
      <c r="J141" s="54">
        <v>6.55</v>
      </c>
      <c r="K141" s="54">
        <v>4.0199999999999996</v>
      </c>
      <c r="L141" s="54">
        <v>141.77000000000001</v>
      </c>
      <c r="M141" s="54">
        <v>171.97</v>
      </c>
      <c r="N141" s="54">
        <v>9.17</v>
      </c>
      <c r="O141" s="54">
        <v>4.63</v>
      </c>
      <c r="P141" s="54">
        <v>175.83</v>
      </c>
      <c r="Q141" s="54">
        <v>201.73</v>
      </c>
      <c r="R141" s="53">
        <v>37</v>
      </c>
      <c r="S141" s="53">
        <v>19</v>
      </c>
      <c r="T141" s="53">
        <v>15</v>
      </c>
      <c r="U141" s="53">
        <v>9</v>
      </c>
      <c r="V141" s="53">
        <v>6</v>
      </c>
      <c r="W141" s="54">
        <v>3.8</v>
      </c>
      <c r="X141" s="54">
        <v>4.37</v>
      </c>
      <c r="Y141" s="54">
        <v>237.47</v>
      </c>
      <c r="Z141" s="54">
        <v>257.33</v>
      </c>
      <c r="AA141" s="54">
        <v>5.04</v>
      </c>
      <c r="AB141" s="54">
        <v>4.71</v>
      </c>
      <c r="AC141" s="54">
        <v>237.02</v>
      </c>
      <c r="AD141" s="54">
        <v>264.62</v>
      </c>
      <c r="AE141" s="54">
        <v>6.6</v>
      </c>
      <c r="AF141" s="54">
        <v>5.05</v>
      </c>
      <c r="AG141" s="54">
        <v>244.97</v>
      </c>
      <c r="AH141" s="54">
        <v>275.17</v>
      </c>
      <c r="AI141" s="54">
        <v>9.11</v>
      </c>
      <c r="AJ141" s="54">
        <v>5.28</v>
      </c>
      <c r="AK141" s="54">
        <v>241.44</v>
      </c>
      <c r="AL141" s="54">
        <v>267.33999999999997</v>
      </c>
      <c r="AM141" s="53">
        <v>25</v>
      </c>
      <c r="AN141" s="53">
        <v>32</v>
      </c>
      <c r="AO141" s="53">
        <v>13</v>
      </c>
      <c r="AP141" s="53">
        <v>10</v>
      </c>
      <c r="AQ141" s="53">
        <v>3</v>
      </c>
    </row>
    <row r="142" spans="1:43">
      <c r="A142" s="58" t="s">
        <v>947</v>
      </c>
      <c r="B142" s="54">
        <v>3.24</v>
      </c>
      <c r="C142" s="54">
        <v>3.62</v>
      </c>
      <c r="D142" s="54">
        <v>139.21</v>
      </c>
      <c r="E142" s="54">
        <v>152.44</v>
      </c>
      <c r="F142" s="54">
        <v>4.8600000000000003</v>
      </c>
      <c r="G142" s="54">
        <v>3.93</v>
      </c>
      <c r="H142" s="54">
        <v>138</v>
      </c>
      <c r="I142" s="54">
        <v>162.19999999999999</v>
      </c>
      <c r="J142" s="54">
        <v>6.54</v>
      </c>
      <c r="K142" s="54">
        <v>4.26</v>
      </c>
      <c r="L142" s="54">
        <v>150.46</v>
      </c>
      <c r="M142" s="54">
        <v>171.96</v>
      </c>
      <c r="N142" s="54">
        <v>9.18</v>
      </c>
      <c r="O142" s="54">
        <v>4.87</v>
      </c>
      <c r="P142" s="54">
        <v>187.28</v>
      </c>
      <c r="Q142" s="54">
        <v>200.88</v>
      </c>
      <c r="R142" s="53">
        <v>35</v>
      </c>
      <c r="S142" s="53">
        <v>19</v>
      </c>
      <c r="T142" s="53">
        <v>14</v>
      </c>
      <c r="U142" s="53">
        <v>10</v>
      </c>
      <c r="V142" s="53">
        <v>6</v>
      </c>
      <c r="W142" s="54">
        <v>3.77</v>
      </c>
      <c r="X142" s="54">
        <v>4.62</v>
      </c>
      <c r="Y142" s="54">
        <v>238.28</v>
      </c>
      <c r="Z142" s="54">
        <v>252.52</v>
      </c>
      <c r="AA142" s="54">
        <v>5.03</v>
      </c>
      <c r="AB142" s="54">
        <v>4.96</v>
      </c>
      <c r="AC142" s="54">
        <v>240.98</v>
      </c>
      <c r="AD142" s="54">
        <v>265.18</v>
      </c>
      <c r="AE142" s="54">
        <v>6.59</v>
      </c>
      <c r="AF142" s="54">
        <v>5.26</v>
      </c>
      <c r="AG142" s="54">
        <v>250</v>
      </c>
      <c r="AH142" s="54">
        <v>271.5</v>
      </c>
      <c r="AI142" s="54">
        <v>9.16</v>
      </c>
      <c r="AJ142" s="54">
        <v>5.41</v>
      </c>
      <c r="AK142" s="54">
        <v>241.42</v>
      </c>
      <c r="AL142" s="54">
        <v>255.02</v>
      </c>
      <c r="AM142" s="53">
        <v>28</v>
      </c>
      <c r="AN142" s="53">
        <v>34</v>
      </c>
      <c r="AO142" s="53">
        <v>12</v>
      </c>
      <c r="AP142" s="53">
        <v>11</v>
      </c>
      <c r="AQ142" s="53">
        <v>3</v>
      </c>
    </row>
    <row r="143" spans="1:43">
      <c r="A143" s="58" t="s">
        <v>948</v>
      </c>
      <c r="B143" s="54">
        <v>3.23</v>
      </c>
      <c r="C143" s="54">
        <v>3.79</v>
      </c>
      <c r="D143" s="54">
        <v>151.03</v>
      </c>
      <c r="E143" s="54">
        <v>177.32</v>
      </c>
      <c r="F143" s="54">
        <v>4.87</v>
      </c>
      <c r="G143" s="54">
        <v>4.18</v>
      </c>
      <c r="H143" s="54">
        <v>155.85</v>
      </c>
      <c r="I143" s="54">
        <v>193.48</v>
      </c>
      <c r="J143" s="54">
        <v>6.53</v>
      </c>
      <c r="K143" s="54">
        <v>4.5199999999999996</v>
      </c>
      <c r="L143" s="54">
        <v>168.66</v>
      </c>
      <c r="M143" s="54">
        <v>191.16</v>
      </c>
      <c r="N143" s="54">
        <v>9.18</v>
      </c>
      <c r="O143" s="54">
        <v>5.13</v>
      </c>
      <c r="P143" s="54">
        <v>204.12</v>
      </c>
      <c r="Q143" s="54">
        <v>224.8</v>
      </c>
      <c r="R143" s="53">
        <v>31</v>
      </c>
      <c r="S143" s="53">
        <v>19</v>
      </c>
      <c r="T143" s="53">
        <v>13</v>
      </c>
      <c r="U143" s="53">
        <v>10</v>
      </c>
      <c r="V143" s="53">
        <v>6</v>
      </c>
      <c r="W143" s="54">
        <v>3.7</v>
      </c>
      <c r="X143" s="54">
        <v>4.71</v>
      </c>
      <c r="Y143" s="54">
        <v>241.29</v>
      </c>
      <c r="Z143" s="54">
        <v>268.52</v>
      </c>
      <c r="AA143" s="54">
        <v>4.97</v>
      </c>
      <c r="AB143" s="54">
        <v>5.08</v>
      </c>
      <c r="AC143" s="54">
        <v>245.53</v>
      </c>
      <c r="AD143" s="54">
        <v>283.16000000000003</v>
      </c>
      <c r="AE143" s="54">
        <v>6.58</v>
      </c>
      <c r="AF143" s="54">
        <v>5.36</v>
      </c>
      <c r="AG143" s="54">
        <v>252.14</v>
      </c>
      <c r="AH143" s="54">
        <v>274.64</v>
      </c>
      <c r="AI143" s="54">
        <v>9.1199999999999992</v>
      </c>
      <c r="AJ143" s="54">
        <v>5.45</v>
      </c>
      <c r="AK143" s="54">
        <v>236.23</v>
      </c>
      <c r="AL143" s="54">
        <v>256.91000000000003</v>
      </c>
      <c r="AM143" s="53">
        <v>32</v>
      </c>
      <c r="AN143" s="53">
        <v>35</v>
      </c>
      <c r="AO143" s="53">
        <v>11</v>
      </c>
      <c r="AP143" s="53">
        <v>11</v>
      </c>
      <c r="AQ143" s="53">
        <v>3</v>
      </c>
    </row>
    <row r="144" spans="1:43">
      <c r="A144" s="58" t="s">
        <v>949</v>
      </c>
      <c r="B144" s="54">
        <v>3.3</v>
      </c>
      <c r="C144" s="54">
        <v>3.97</v>
      </c>
      <c r="D144" s="54">
        <v>190.86</v>
      </c>
      <c r="E144" s="54">
        <v>209.52</v>
      </c>
      <c r="F144" s="54">
        <v>4.8499999999999996</v>
      </c>
      <c r="G144" s="54">
        <v>4.2699999999999996</v>
      </c>
      <c r="H144" s="54">
        <v>192.05</v>
      </c>
      <c r="I144" s="54">
        <v>220.45</v>
      </c>
      <c r="J144" s="54">
        <v>6.53</v>
      </c>
      <c r="K144" s="54">
        <v>4.59</v>
      </c>
      <c r="L144" s="54">
        <v>205.95</v>
      </c>
      <c r="M144" s="54">
        <v>219.55</v>
      </c>
      <c r="N144" s="54">
        <v>9.09</v>
      </c>
      <c r="O144" s="54">
        <v>5.22</v>
      </c>
      <c r="P144" s="54">
        <v>247.93</v>
      </c>
      <c r="Q144" s="54">
        <v>258.68</v>
      </c>
      <c r="R144" s="53">
        <v>30</v>
      </c>
      <c r="S144" s="53">
        <v>21</v>
      </c>
      <c r="T144" s="53">
        <v>14</v>
      </c>
      <c r="U144" s="53">
        <v>10</v>
      </c>
      <c r="V144" s="53">
        <v>7</v>
      </c>
      <c r="W144" s="54">
        <v>3.67</v>
      </c>
      <c r="X144" s="54">
        <v>5.0599999999999996</v>
      </c>
      <c r="Y144" s="54">
        <v>298.7</v>
      </c>
      <c r="Z144" s="54">
        <v>318.56</v>
      </c>
      <c r="AA144" s="54">
        <v>4.9400000000000004</v>
      </c>
      <c r="AB144" s="54">
        <v>5.5</v>
      </c>
      <c r="AC144" s="54">
        <v>315.12</v>
      </c>
      <c r="AD144" s="54">
        <v>343.52</v>
      </c>
      <c r="AE144" s="54">
        <v>6.58</v>
      </c>
      <c r="AF144" s="54">
        <v>5.71</v>
      </c>
      <c r="AG144" s="54">
        <v>317.95999999999998</v>
      </c>
      <c r="AH144" s="54">
        <v>331.56</v>
      </c>
      <c r="AI144" s="54">
        <v>9.08</v>
      </c>
      <c r="AJ144" s="54">
        <v>5.57</v>
      </c>
      <c r="AK144" s="54">
        <v>283.19</v>
      </c>
      <c r="AL144" s="54">
        <v>293.94</v>
      </c>
      <c r="AM144" s="53">
        <v>35</v>
      </c>
      <c r="AN144" s="53">
        <v>32</v>
      </c>
      <c r="AO144" s="53">
        <v>11</v>
      </c>
      <c r="AP144" s="53">
        <v>11</v>
      </c>
      <c r="AQ144" s="53">
        <v>3</v>
      </c>
    </row>
    <row r="145" spans="1:43">
      <c r="A145" s="58" t="s">
        <v>950</v>
      </c>
      <c r="B145" s="54">
        <v>3.32</v>
      </c>
      <c r="C145" s="54">
        <v>3.86</v>
      </c>
      <c r="D145" s="54">
        <v>185.5</v>
      </c>
      <c r="E145" s="54">
        <v>212.85</v>
      </c>
      <c r="F145" s="54">
        <v>4.83</v>
      </c>
      <c r="G145" s="54">
        <v>4.08</v>
      </c>
      <c r="H145" s="54">
        <v>185.04</v>
      </c>
      <c r="I145" s="54">
        <v>216.89</v>
      </c>
      <c r="J145" s="54">
        <v>6.52</v>
      </c>
      <c r="K145" s="54">
        <v>4.32</v>
      </c>
      <c r="L145" s="54">
        <v>195.09</v>
      </c>
      <c r="M145" s="54">
        <v>212.68</v>
      </c>
      <c r="N145" s="54">
        <v>9.09</v>
      </c>
      <c r="O145" s="54">
        <v>4.8899999999999997</v>
      </c>
      <c r="P145" s="54">
        <v>235.29</v>
      </c>
      <c r="Q145" s="54">
        <v>249.14</v>
      </c>
      <c r="R145" s="53">
        <v>30</v>
      </c>
      <c r="S145" s="53">
        <v>21</v>
      </c>
      <c r="T145" s="53">
        <v>14</v>
      </c>
      <c r="U145" s="53">
        <v>9</v>
      </c>
      <c r="V145" s="53">
        <v>7</v>
      </c>
      <c r="W145" s="54">
        <v>3.69</v>
      </c>
      <c r="X145" s="54">
        <v>5.22</v>
      </c>
      <c r="Y145" s="54">
        <v>319.68</v>
      </c>
      <c r="Z145" s="54">
        <v>348.53</v>
      </c>
      <c r="AA145" s="54">
        <v>4.92</v>
      </c>
      <c r="AB145" s="54">
        <v>5.55</v>
      </c>
      <c r="AC145" s="54">
        <v>331.6</v>
      </c>
      <c r="AD145" s="54">
        <v>363.45</v>
      </c>
      <c r="AE145" s="54">
        <v>6.59</v>
      </c>
      <c r="AF145" s="54">
        <v>5.68</v>
      </c>
      <c r="AG145" s="54">
        <v>331.59</v>
      </c>
      <c r="AH145" s="54">
        <v>349.18</v>
      </c>
      <c r="AI145" s="54">
        <v>9.0399999999999991</v>
      </c>
      <c r="AJ145" s="54">
        <v>5.57</v>
      </c>
      <c r="AK145" s="54">
        <v>303.41000000000003</v>
      </c>
      <c r="AL145" s="54">
        <v>317.26</v>
      </c>
      <c r="AM145" s="53">
        <v>33</v>
      </c>
      <c r="AN145" s="53">
        <v>32</v>
      </c>
      <c r="AO145" s="53">
        <v>12</v>
      </c>
      <c r="AP145" s="53">
        <v>12</v>
      </c>
      <c r="AQ145" s="53">
        <v>3</v>
      </c>
    </row>
    <row r="146" spans="1:43">
      <c r="A146" s="58" t="s">
        <v>951</v>
      </c>
      <c r="B146" s="54">
        <v>3.39</v>
      </c>
      <c r="C146" s="54">
        <v>3.56</v>
      </c>
      <c r="D146" s="54">
        <v>144.01</v>
      </c>
      <c r="E146" s="54">
        <v>165.88</v>
      </c>
      <c r="F146" s="54">
        <v>4.83</v>
      </c>
      <c r="G146" s="54">
        <v>3.79</v>
      </c>
      <c r="H146" s="54">
        <v>143.96</v>
      </c>
      <c r="I146" s="54">
        <v>169.91</v>
      </c>
      <c r="J146" s="54">
        <v>6.51</v>
      </c>
      <c r="K146" s="54">
        <v>4.07</v>
      </c>
      <c r="L146" s="54">
        <v>158.87</v>
      </c>
      <c r="M146" s="54">
        <v>178.88</v>
      </c>
      <c r="N146" s="54">
        <v>9.09</v>
      </c>
      <c r="O146" s="54">
        <v>4.5999999999999996</v>
      </c>
      <c r="P146" s="54">
        <v>196.29</v>
      </c>
      <c r="Q146" s="54">
        <v>211.39</v>
      </c>
      <c r="R146" s="53">
        <v>30</v>
      </c>
      <c r="S146" s="53">
        <v>19</v>
      </c>
      <c r="T146" s="53">
        <v>14</v>
      </c>
      <c r="U146" s="53">
        <v>9</v>
      </c>
      <c r="V146" s="53">
        <v>7</v>
      </c>
      <c r="W146" s="54">
        <v>3.65</v>
      </c>
      <c r="X146" s="54">
        <v>4.91</v>
      </c>
      <c r="Y146" s="54">
        <v>277.14</v>
      </c>
      <c r="Z146" s="54">
        <v>300.41000000000003</v>
      </c>
      <c r="AA146" s="54">
        <v>4.9000000000000004</v>
      </c>
      <c r="AB146" s="54">
        <v>5.16</v>
      </c>
      <c r="AC146" s="54">
        <v>281.22000000000003</v>
      </c>
      <c r="AD146" s="54">
        <v>307.17</v>
      </c>
      <c r="AE146" s="54">
        <v>6.6</v>
      </c>
      <c r="AF146" s="54">
        <v>5.26</v>
      </c>
      <c r="AG146" s="54">
        <v>278.52</v>
      </c>
      <c r="AH146" s="54">
        <v>298.52999999999997</v>
      </c>
      <c r="AI146" s="54">
        <v>8.99</v>
      </c>
      <c r="AJ146" s="54">
        <v>5.23</v>
      </c>
      <c r="AK146" s="54">
        <v>258.87</v>
      </c>
      <c r="AL146" s="54">
        <v>273.97000000000003</v>
      </c>
      <c r="AM146" s="53">
        <v>34</v>
      </c>
      <c r="AN146" s="53">
        <v>32</v>
      </c>
      <c r="AO146" s="53">
        <v>11</v>
      </c>
      <c r="AP146" s="53">
        <v>12</v>
      </c>
      <c r="AQ146" s="53">
        <v>3</v>
      </c>
    </row>
    <row r="147" spans="1:43">
      <c r="A147" s="58" t="s">
        <v>952</v>
      </c>
      <c r="B147" s="54">
        <v>3.37</v>
      </c>
      <c r="C147" s="54">
        <v>3.28</v>
      </c>
      <c r="D147" s="54">
        <v>119.53</v>
      </c>
      <c r="E147" s="54">
        <v>142.13999999999999</v>
      </c>
      <c r="F147" s="54">
        <v>4.8099999999999996</v>
      </c>
      <c r="G147" s="54">
        <v>3.55</v>
      </c>
      <c r="H147" s="54">
        <v>120.72</v>
      </c>
      <c r="I147" s="54">
        <v>149.52000000000001</v>
      </c>
      <c r="J147" s="54">
        <v>6.52</v>
      </c>
      <c r="K147" s="54">
        <v>3.83</v>
      </c>
      <c r="L147" s="54">
        <v>134.62</v>
      </c>
      <c r="M147" s="54">
        <v>153.11000000000001</v>
      </c>
      <c r="N147" s="54">
        <v>9.2100000000000009</v>
      </c>
      <c r="O147" s="54">
        <v>4.16</v>
      </c>
      <c r="P147" s="54">
        <v>151.54</v>
      </c>
      <c r="Q147" s="54">
        <v>164.62</v>
      </c>
      <c r="R147" s="53">
        <v>29</v>
      </c>
      <c r="S147" s="53">
        <v>19</v>
      </c>
      <c r="T147" s="53">
        <v>14</v>
      </c>
      <c r="U147" s="53">
        <v>10</v>
      </c>
      <c r="V147" s="53">
        <v>7</v>
      </c>
      <c r="W147" s="54">
        <v>3.65</v>
      </c>
      <c r="X147" s="54">
        <v>4.4400000000000004</v>
      </c>
      <c r="Y147" s="54">
        <v>234.96</v>
      </c>
      <c r="Z147" s="54">
        <v>258.68</v>
      </c>
      <c r="AA147" s="54">
        <v>4.88</v>
      </c>
      <c r="AB147" s="54">
        <v>4.71</v>
      </c>
      <c r="AC147" s="54">
        <v>236.4</v>
      </c>
      <c r="AD147" s="54">
        <v>265.2</v>
      </c>
      <c r="AE147" s="54">
        <v>6.61</v>
      </c>
      <c r="AF147" s="54">
        <v>4.87</v>
      </c>
      <c r="AG147" s="54">
        <v>239.24</v>
      </c>
      <c r="AH147" s="54">
        <v>257.73</v>
      </c>
      <c r="AI147" s="54">
        <v>8.9499999999999993</v>
      </c>
      <c r="AJ147" s="54">
        <v>4.97</v>
      </c>
      <c r="AK147" s="54">
        <v>232.48</v>
      </c>
      <c r="AL147" s="54">
        <v>245.56</v>
      </c>
      <c r="AM147" s="53">
        <v>33</v>
      </c>
      <c r="AN147" s="53">
        <v>31</v>
      </c>
      <c r="AO147" s="53">
        <v>12</v>
      </c>
      <c r="AP147" s="53">
        <v>11</v>
      </c>
      <c r="AQ147" s="53">
        <v>3</v>
      </c>
    </row>
    <row r="148" spans="1:43">
      <c r="A148" s="58" t="s">
        <v>953</v>
      </c>
      <c r="B148" s="54">
        <v>3.35</v>
      </c>
      <c r="C148" s="54">
        <v>3.1</v>
      </c>
      <c r="D148" s="54">
        <v>122.73</v>
      </c>
      <c r="E148" s="54">
        <v>146.52000000000001</v>
      </c>
      <c r="F148" s="54">
        <v>4.8</v>
      </c>
      <c r="G148" s="54">
        <v>3.4</v>
      </c>
      <c r="H148" s="54">
        <v>126.4</v>
      </c>
      <c r="I148" s="54">
        <v>157.47999999999999</v>
      </c>
      <c r="J148" s="54">
        <v>6.51</v>
      </c>
      <c r="K148" s="54">
        <v>3.72</v>
      </c>
      <c r="L148" s="54">
        <v>144.74</v>
      </c>
      <c r="M148" s="54">
        <v>165.24</v>
      </c>
      <c r="N148" s="54">
        <v>9.2100000000000009</v>
      </c>
      <c r="O148" s="54">
        <v>4.13</v>
      </c>
      <c r="P148" s="54">
        <v>168.31</v>
      </c>
      <c r="Q148" s="54">
        <v>182.51</v>
      </c>
      <c r="R148" s="53">
        <v>30</v>
      </c>
      <c r="S148" s="53">
        <v>21</v>
      </c>
      <c r="T148" s="53">
        <v>12</v>
      </c>
      <c r="U148" s="53">
        <v>9</v>
      </c>
      <c r="V148" s="53">
        <v>7</v>
      </c>
      <c r="W148" s="54">
        <v>3.61</v>
      </c>
      <c r="X148" s="54">
        <v>4.1399999999999997</v>
      </c>
      <c r="Y148" s="54">
        <v>225.05</v>
      </c>
      <c r="Z148" s="54">
        <v>249.77</v>
      </c>
      <c r="AA148" s="54">
        <v>4.83</v>
      </c>
      <c r="AB148" s="54">
        <v>4.47</v>
      </c>
      <c r="AC148" s="54">
        <v>232.9</v>
      </c>
      <c r="AD148" s="54">
        <v>263.98</v>
      </c>
      <c r="AE148" s="54">
        <v>6.7</v>
      </c>
      <c r="AF148" s="54">
        <v>4.66</v>
      </c>
      <c r="AG148" s="54">
        <v>239.45</v>
      </c>
      <c r="AH148" s="54">
        <v>259.95</v>
      </c>
      <c r="AI148" s="54">
        <v>9.11</v>
      </c>
      <c r="AJ148" s="54">
        <v>4.79</v>
      </c>
      <c r="AK148" s="54">
        <v>234.12</v>
      </c>
      <c r="AL148" s="54">
        <v>248.32</v>
      </c>
      <c r="AM148" s="53">
        <v>33</v>
      </c>
      <c r="AN148" s="53">
        <v>31</v>
      </c>
      <c r="AO148" s="53">
        <v>9</v>
      </c>
      <c r="AP148" s="53">
        <v>12</v>
      </c>
      <c r="AQ148" s="53">
        <v>3</v>
      </c>
    </row>
    <row r="149" spans="1:43">
      <c r="A149" s="58" t="s">
        <v>954</v>
      </c>
      <c r="B149" s="54">
        <v>3.38</v>
      </c>
      <c r="C149" s="54">
        <v>2.95</v>
      </c>
      <c r="D149" s="54">
        <v>114.6</v>
      </c>
      <c r="E149" s="54">
        <v>139.28</v>
      </c>
      <c r="F149" s="54">
        <v>4.8</v>
      </c>
      <c r="G149" s="54">
        <v>3.18</v>
      </c>
      <c r="H149" s="54">
        <v>117.23</v>
      </c>
      <c r="I149" s="54">
        <v>152.83000000000001</v>
      </c>
      <c r="J149" s="54">
        <v>6.5</v>
      </c>
      <c r="K149" s="54">
        <v>3.43</v>
      </c>
      <c r="L149" s="54">
        <v>134.35</v>
      </c>
      <c r="M149" s="54">
        <v>161.34</v>
      </c>
      <c r="N149" s="54">
        <v>9.1999999999999993</v>
      </c>
      <c r="O149" s="54">
        <v>3.78</v>
      </c>
      <c r="P149" s="54">
        <v>157.71</v>
      </c>
      <c r="Q149" s="54">
        <v>180.16</v>
      </c>
      <c r="R149" s="53">
        <v>30</v>
      </c>
      <c r="S149" s="53">
        <v>22</v>
      </c>
      <c r="T149" s="53">
        <v>10</v>
      </c>
      <c r="U149" s="53">
        <v>9</v>
      </c>
      <c r="V149" s="53">
        <v>7</v>
      </c>
      <c r="W149" s="54">
        <v>3.59</v>
      </c>
      <c r="X149" s="54">
        <v>3.98</v>
      </c>
      <c r="Y149" s="54">
        <v>216.9</v>
      </c>
      <c r="Z149" s="54">
        <v>242.46</v>
      </c>
      <c r="AA149" s="54">
        <v>4.8099999999999996</v>
      </c>
      <c r="AB149" s="54">
        <v>4.22</v>
      </c>
      <c r="AC149" s="54">
        <v>221.85</v>
      </c>
      <c r="AD149" s="54">
        <v>257.45</v>
      </c>
      <c r="AE149" s="54">
        <v>6.74</v>
      </c>
      <c r="AF149" s="54">
        <v>4.3899999999999997</v>
      </c>
      <c r="AG149" s="54">
        <v>231.12</v>
      </c>
      <c r="AH149" s="54">
        <v>258.11</v>
      </c>
      <c r="AI149" s="54">
        <v>9.1300000000000008</v>
      </c>
      <c r="AJ149" s="54">
        <v>4.6500000000000004</v>
      </c>
      <c r="AK149" s="54">
        <v>244.78</v>
      </c>
      <c r="AL149" s="54">
        <v>267.23</v>
      </c>
      <c r="AM149" s="53">
        <v>34</v>
      </c>
      <c r="AN149" s="53">
        <v>30</v>
      </c>
      <c r="AO149" s="53">
        <v>9</v>
      </c>
      <c r="AP149" s="53">
        <v>12</v>
      </c>
      <c r="AQ149" s="53">
        <v>3</v>
      </c>
    </row>
    <row r="150" spans="1:43">
      <c r="A150" s="58" t="s">
        <v>955</v>
      </c>
      <c r="B150" s="54">
        <v>3.31</v>
      </c>
      <c r="C150" s="54">
        <v>2.71</v>
      </c>
      <c r="D150" s="54">
        <v>100.21</v>
      </c>
      <c r="E150" s="54">
        <v>125.07</v>
      </c>
      <c r="F150" s="54">
        <v>4.79</v>
      </c>
      <c r="G150" s="54">
        <v>2.91</v>
      </c>
      <c r="H150" s="54">
        <v>99.71</v>
      </c>
      <c r="I150" s="54">
        <v>135.91</v>
      </c>
      <c r="J150" s="54">
        <v>6.55</v>
      </c>
      <c r="K150" s="54">
        <v>3.15</v>
      </c>
      <c r="L150" s="54">
        <v>115.55</v>
      </c>
      <c r="M150" s="54">
        <v>145.30000000000001</v>
      </c>
      <c r="N150" s="54">
        <v>9.1999999999999993</v>
      </c>
      <c r="O150" s="54">
        <v>3.51</v>
      </c>
      <c r="P150" s="54">
        <v>139.54</v>
      </c>
      <c r="Q150" s="54">
        <v>163.41999999999999</v>
      </c>
      <c r="R150" s="53">
        <v>32</v>
      </c>
      <c r="S150" s="53">
        <v>20</v>
      </c>
      <c r="T150" s="53">
        <v>11</v>
      </c>
      <c r="U150" s="53">
        <v>9</v>
      </c>
      <c r="V150" s="53">
        <v>6</v>
      </c>
      <c r="W150" s="54">
        <v>3.6</v>
      </c>
      <c r="X150" s="54">
        <v>3.76</v>
      </c>
      <c r="Y150" s="54">
        <v>204.34</v>
      </c>
      <c r="Z150" s="54">
        <v>230.04</v>
      </c>
      <c r="AA150" s="54">
        <v>4.8</v>
      </c>
      <c r="AB150" s="54">
        <v>3.96</v>
      </c>
      <c r="AC150" s="54">
        <v>204.59</v>
      </c>
      <c r="AD150" s="54">
        <v>240.79</v>
      </c>
      <c r="AE150" s="54">
        <v>6.76</v>
      </c>
      <c r="AF150" s="54">
        <v>4.05</v>
      </c>
      <c r="AG150" s="54">
        <v>205.69</v>
      </c>
      <c r="AH150" s="54">
        <v>235.44</v>
      </c>
      <c r="AI150" s="54">
        <v>9.08</v>
      </c>
      <c r="AJ150" s="54">
        <v>4.2699999999999996</v>
      </c>
      <c r="AK150" s="54">
        <v>215.45</v>
      </c>
      <c r="AL150" s="54">
        <v>239.33</v>
      </c>
      <c r="AM150" s="53">
        <v>34</v>
      </c>
      <c r="AN150" s="53">
        <v>27</v>
      </c>
      <c r="AO150" s="53">
        <v>10</v>
      </c>
      <c r="AP150" s="53">
        <v>12</v>
      </c>
      <c r="AQ150" s="53">
        <v>3</v>
      </c>
    </row>
    <row r="151" spans="1:43">
      <c r="A151" s="58" t="s">
        <v>956</v>
      </c>
      <c r="B151" s="54">
        <v>3.28</v>
      </c>
      <c r="C151" s="54">
        <v>2.54</v>
      </c>
      <c r="D151" s="54">
        <v>94.2</v>
      </c>
      <c r="E151" s="54">
        <v>113.8</v>
      </c>
      <c r="F151" s="54">
        <v>4.7699999999999996</v>
      </c>
      <c r="G151" s="54">
        <v>2.75</v>
      </c>
      <c r="H151" s="54">
        <v>93.18</v>
      </c>
      <c r="I151" s="54">
        <v>124.08</v>
      </c>
      <c r="J151" s="54">
        <v>6.53</v>
      </c>
      <c r="K151" s="54">
        <v>3.02</v>
      </c>
      <c r="L151" s="54">
        <v>112.03</v>
      </c>
      <c r="M151" s="54">
        <v>135.43</v>
      </c>
      <c r="N151" s="54">
        <v>9.19</v>
      </c>
      <c r="O151" s="54">
        <v>3.44</v>
      </c>
      <c r="P151" s="54">
        <v>141.15</v>
      </c>
      <c r="Q151" s="54">
        <v>161.25</v>
      </c>
      <c r="R151" s="53">
        <v>33</v>
      </c>
      <c r="S151" s="53">
        <v>20</v>
      </c>
      <c r="T151" s="53">
        <v>10</v>
      </c>
      <c r="U151" s="53">
        <v>9</v>
      </c>
      <c r="V151" s="53">
        <v>6</v>
      </c>
      <c r="W151" s="54">
        <v>3.56</v>
      </c>
      <c r="X151" s="54">
        <v>3.41</v>
      </c>
      <c r="Y151" s="54">
        <v>180.62</v>
      </c>
      <c r="Z151" s="54">
        <v>200.86</v>
      </c>
      <c r="AA151" s="54">
        <v>4.8</v>
      </c>
      <c r="AB151" s="54">
        <v>3.62</v>
      </c>
      <c r="AC151" s="54">
        <v>179.59</v>
      </c>
      <c r="AD151" s="54">
        <v>210.49</v>
      </c>
      <c r="AE151" s="54">
        <v>6.79</v>
      </c>
      <c r="AF151" s="54">
        <v>3.81</v>
      </c>
      <c r="AG151" s="54">
        <v>190.5</v>
      </c>
      <c r="AH151" s="54">
        <v>213.9</v>
      </c>
      <c r="AI151" s="54">
        <v>9.08</v>
      </c>
      <c r="AJ151" s="54">
        <v>4.0999999999999996</v>
      </c>
      <c r="AK151" s="54">
        <v>207.36</v>
      </c>
      <c r="AL151" s="54">
        <v>227.46</v>
      </c>
      <c r="AM151" s="53">
        <v>36</v>
      </c>
      <c r="AN151" s="53">
        <v>27</v>
      </c>
      <c r="AO151" s="53">
        <v>11</v>
      </c>
      <c r="AP151" s="53">
        <v>13</v>
      </c>
      <c r="AQ151" s="53">
        <v>3</v>
      </c>
    </row>
    <row r="152" spans="1:43">
      <c r="A152" s="58" t="s">
        <v>957</v>
      </c>
      <c r="B152" s="54">
        <v>3.29</v>
      </c>
      <c r="C152" s="54">
        <v>2.65</v>
      </c>
      <c r="D152" s="54">
        <v>99.76</v>
      </c>
      <c r="E152" s="54">
        <v>112.63</v>
      </c>
      <c r="F152" s="54">
        <v>4.8099999999999996</v>
      </c>
      <c r="G152" s="54">
        <v>2.82</v>
      </c>
      <c r="H152" s="54">
        <v>93.52</v>
      </c>
      <c r="I152" s="54">
        <v>122.32</v>
      </c>
      <c r="J152" s="54">
        <v>6.51</v>
      </c>
      <c r="K152" s="54">
        <v>3.08</v>
      </c>
      <c r="L152" s="54">
        <v>111.75</v>
      </c>
      <c r="M152" s="54">
        <v>132.69999999999999</v>
      </c>
      <c r="N152" s="54">
        <v>9.2200000000000006</v>
      </c>
      <c r="O152" s="54">
        <v>3.48</v>
      </c>
      <c r="P152" s="54">
        <v>139.06</v>
      </c>
      <c r="Q152" s="54">
        <v>157.26</v>
      </c>
      <c r="R152" s="53">
        <v>35</v>
      </c>
      <c r="S152" s="53">
        <v>22</v>
      </c>
      <c r="T152" s="53">
        <v>10</v>
      </c>
      <c r="U152" s="53">
        <v>10</v>
      </c>
      <c r="V152" s="53">
        <v>6</v>
      </c>
      <c r="W152" s="54">
        <v>3.47</v>
      </c>
      <c r="X152" s="54">
        <v>3.47</v>
      </c>
      <c r="Y152" s="54">
        <v>181.42</v>
      </c>
      <c r="Z152" s="54">
        <v>194.91</v>
      </c>
      <c r="AA152" s="54">
        <v>4.72</v>
      </c>
      <c r="AB152" s="54">
        <v>3.65</v>
      </c>
      <c r="AC152" s="54">
        <v>175.98</v>
      </c>
      <c r="AD152" s="54">
        <v>204.78</v>
      </c>
      <c r="AE152" s="54">
        <v>6.89</v>
      </c>
      <c r="AF152" s="54">
        <v>3.86</v>
      </c>
      <c r="AG152" s="54">
        <v>190.08</v>
      </c>
      <c r="AH152" s="54">
        <v>211.03</v>
      </c>
      <c r="AI152" s="54">
        <v>9.19</v>
      </c>
      <c r="AJ152" s="54">
        <v>4.2</v>
      </c>
      <c r="AK152" s="54">
        <v>210.52</v>
      </c>
      <c r="AL152" s="54">
        <v>228.72</v>
      </c>
      <c r="AM152" s="53">
        <v>37</v>
      </c>
      <c r="AN152" s="53">
        <v>23</v>
      </c>
      <c r="AO152" s="53">
        <v>12</v>
      </c>
      <c r="AP152" s="53">
        <v>12</v>
      </c>
      <c r="AQ152" s="53">
        <v>3</v>
      </c>
    </row>
    <row r="153" spans="1:43">
      <c r="A153" s="58" t="s">
        <v>958</v>
      </c>
      <c r="B153" s="54">
        <v>3.32</v>
      </c>
      <c r="C153" s="54">
        <v>2.8</v>
      </c>
      <c r="D153" s="54">
        <v>96.39</v>
      </c>
      <c r="E153" s="54">
        <v>110.12</v>
      </c>
      <c r="F153" s="54">
        <v>4.8099999999999996</v>
      </c>
      <c r="G153" s="54">
        <v>3.08</v>
      </c>
      <c r="H153" s="54">
        <v>90.86</v>
      </c>
      <c r="I153" s="54">
        <v>112.66</v>
      </c>
      <c r="J153" s="54">
        <v>6.5</v>
      </c>
      <c r="K153" s="54">
        <v>3.39</v>
      </c>
      <c r="L153" s="54">
        <v>109.26</v>
      </c>
      <c r="M153" s="54">
        <v>120.21</v>
      </c>
      <c r="N153" s="54">
        <v>9.2100000000000009</v>
      </c>
      <c r="O153" s="54">
        <v>3.8</v>
      </c>
      <c r="P153" s="54">
        <v>135.29</v>
      </c>
      <c r="Q153" s="54">
        <v>145.69</v>
      </c>
      <c r="R153" s="53">
        <v>34</v>
      </c>
      <c r="S153" s="53">
        <v>22</v>
      </c>
      <c r="T153" s="53">
        <v>10</v>
      </c>
      <c r="U153" s="53">
        <v>9</v>
      </c>
      <c r="V153" s="53">
        <v>6</v>
      </c>
      <c r="W153" s="54">
        <v>3.43</v>
      </c>
      <c r="X153" s="54">
        <v>3.61</v>
      </c>
      <c r="Y153" s="54">
        <v>176.9</v>
      </c>
      <c r="Z153" s="54">
        <v>191.27</v>
      </c>
      <c r="AA153" s="54">
        <v>4.74</v>
      </c>
      <c r="AB153" s="54">
        <v>3.83</v>
      </c>
      <c r="AC153" s="54">
        <v>166.2</v>
      </c>
      <c r="AD153" s="54">
        <v>188</v>
      </c>
      <c r="AE153" s="54">
        <v>6.92</v>
      </c>
      <c r="AF153" s="54">
        <v>4.12</v>
      </c>
      <c r="AG153" s="54">
        <v>182.35</v>
      </c>
      <c r="AH153" s="54">
        <v>193.3</v>
      </c>
      <c r="AI153" s="54">
        <v>9.1300000000000008</v>
      </c>
      <c r="AJ153" s="54">
        <v>4.47</v>
      </c>
      <c r="AK153" s="54">
        <v>201.67</v>
      </c>
      <c r="AL153" s="54">
        <v>212.07</v>
      </c>
      <c r="AM153" s="53">
        <v>42</v>
      </c>
      <c r="AN153" s="53">
        <v>20</v>
      </c>
      <c r="AO153" s="53">
        <v>13</v>
      </c>
      <c r="AP153" s="53">
        <v>13</v>
      </c>
      <c r="AQ153" s="53">
        <v>3</v>
      </c>
    </row>
    <row r="154" spans="1:43">
      <c r="A154" s="58" t="s">
        <v>959</v>
      </c>
      <c r="B154" s="54">
        <v>3.33</v>
      </c>
      <c r="C154" s="54">
        <v>3.1</v>
      </c>
      <c r="D154" s="54">
        <v>103.43</v>
      </c>
      <c r="E154" s="54">
        <v>119.82</v>
      </c>
      <c r="F154" s="54">
        <v>4.8099999999999996</v>
      </c>
      <c r="G154" s="54">
        <v>3.44</v>
      </c>
      <c r="H154" s="54">
        <v>95.12</v>
      </c>
      <c r="I154" s="54">
        <v>119.12</v>
      </c>
      <c r="J154" s="54">
        <v>6.5</v>
      </c>
      <c r="K154" s="54">
        <v>3.79</v>
      </c>
      <c r="L154" s="54">
        <v>113.49</v>
      </c>
      <c r="M154" s="54">
        <v>127.69</v>
      </c>
      <c r="N154" s="54">
        <v>9.2200000000000006</v>
      </c>
      <c r="O154" s="54">
        <v>4.24</v>
      </c>
      <c r="P154" s="54">
        <v>138.52000000000001</v>
      </c>
      <c r="Q154" s="54">
        <v>151.47</v>
      </c>
      <c r="R154" s="53">
        <v>34</v>
      </c>
      <c r="S154" s="53">
        <v>20</v>
      </c>
      <c r="T154" s="53">
        <v>10</v>
      </c>
      <c r="U154" s="53">
        <v>10</v>
      </c>
      <c r="V154" s="53">
        <v>6</v>
      </c>
      <c r="W154" s="54">
        <v>3.39</v>
      </c>
      <c r="X154" s="54">
        <v>3.87</v>
      </c>
      <c r="Y154" s="54">
        <v>179.84</v>
      </c>
      <c r="Z154" s="54">
        <v>196.89</v>
      </c>
      <c r="AA154" s="54">
        <v>4.72</v>
      </c>
      <c r="AB154" s="54">
        <v>4.17</v>
      </c>
      <c r="AC154" s="54">
        <v>167.63</v>
      </c>
      <c r="AD154" s="54">
        <v>191.63</v>
      </c>
      <c r="AE154" s="54">
        <v>6.93</v>
      </c>
      <c r="AF154" s="54">
        <v>4.55</v>
      </c>
      <c r="AG154" s="54">
        <v>188.75</v>
      </c>
      <c r="AH154" s="54">
        <v>202.95</v>
      </c>
      <c r="AI154" s="54">
        <v>9.09</v>
      </c>
      <c r="AJ154" s="54">
        <v>4.9400000000000004</v>
      </c>
      <c r="AK154" s="54">
        <v>208.28</v>
      </c>
      <c r="AL154" s="54">
        <v>221.23</v>
      </c>
      <c r="AM154" s="53">
        <v>43</v>
      </c>
      <c r="AN154" s="53">
        <v>19</v>
      </c>
      <c r="AO154" s="53">
        <v>13</v>
      </c>
      <c r="AP154" s="53">
        <v>13</v>
      </c>
      <c r="AQ154" s="53">
        <v>3</v>
      </c>
    </row>
    <row r="155" spans="1:43">
      <c r="A155" s="58" t="s">
        <v>960</v>
      </c>
      <c r="B155" s="54">
        <v>3.3</v>
      </c>
      <c r="C155" s="54">
        <v>3.17</v>
      </c>
      <c r="D155" s="54">
        <v>97.56</v>
      </c>
      <c r="E155" s="54">
        <v>120.9</v>
      </c>
      <c r="F155" s="54">
        <v>4.8</v>
      </c>
      <c r="G155" s="54">
        <v>3.52</v>
      </c>
      <c r="H155" s="54">
        <v>89.36</v>
      </c>
      <c r="I155" s="54">
        <v>119.16</v>
      </c>
      <c r="J155" s="54">
        <v>6.49</v>
      </c>
      <c r="K155" s="54">
        <v>3.87</v>
      </c>
      <c r="L155" s="54">
        <v>106.17</v>
      </c>
      <c r="M155" s="54">
        <v>129.47</v>
      </c>
      <c r="N155" s="54">
        <v>9.2100000000000009</v>
      </c>
      <c r="O155" s="54">
        <v>4.3</v>
      </c>
      <c r="P155" s="54">
        <v>130.25</v>
      </c>
      <c r="Q155" s="54">
        <v>153.25</v>
      </c>
      <c r="R155" s="53">
        <v>34</v>
      </c>
      <c r="S155" s="53">
        <v>20</v>
      </c>
      <c r="T155" s="53">
        <v>10</v>
      </c>
      <c r="U155" s="53">
        <v>10</v>
      </c>
      <c r="V155" s="53">
        <v>6</v>
      </c>
      <c r="W155" s="54">
        <v>3.45</v>
      </c>
      <c r="X155" s="54">
        <v>3.94</v>
      </c>
      <c r="Y155" s="54">
        <v>174.13</v>
      </c>
      <c r="Z155" s="54">
        <v>198.15</v>
      </c>
      <c r="AA155" s="54">
        <v>4.7699999999999996</v>
      </c>
      <c r="AB155" s="54">
        <v>4.3</v>
      </c>
      <c r="AC155" s="54">
        <v>167.83</v>
      </c>
      <c r="AD155" s="54">
        <v>197.63</v>
      </c>
      <c r="AE155" s="54">
        <v>6.77</v>
      </c>
      <c r="AF155" s="54">
        <v>4.63</v>
      </c>
      <c r="AG155" s="54">
        <v>182.36</v>
      </c>
      <c r="AH155" s="54">
        <v>205.66</v>
      </c>
      <c r="AI155" s="54">
        <v>9.01</v>
      </c>
      <c r="AJ155" s="54">
        <v>4.93</v>
      </c>
      <c r="AK155" s="54">
        <v>193.45</v>
      </c>
      <c r="AL155" s="54">
        <v>216.45</v>
      </c>
      <c r="AM155" s="53">
        <v>44</v>
      </c>
      <c r="AN155" s="53">
        <v>19</v>
      </c>
      <c r="AO155" s="53">
        <v>13</v>
      </c>
      <c r="AP155" s="53">
        <v>12</v>
      </c>
      <c r="AQ155" s="53">
        <v>3</v>
      </c>
    </row>
    <row r="156" spans="1:43">
      <c r="A156" s="58" t="s">
        <v>961</v>
      </c>
      <c r="B156" s="54">
        <v>3.27</v>
      </c>
      <c r="C156" s="54">
        <v>3</v>
      </c>
      <c r="D156" s="54">
        <v>93.14</v>
      </c>
      <c r="E156" s="54">
        <v>109.3</v>
      </c>
      <c r="F156" s="54">
        <v>4.78</v>
      </c>
      <c r="G156" s="54">
        <v>3.38</v>
      </c>
      <c r="H156" s="54">
        <v>83.98</v>
      </c>
      <c r="I156" s="54">
        <v>116.38</v>
      </c>
      <c r="J156" s="54">
        <v>6.48</v>
      </c>
      <c r="K156" s="54">
        <v>3.76</v>
      </c>
      <c r="L156" s="54">
        <v>100.05</v>
      </c>
      <c r="M156" s="54">
        <v>126.8</v>
      </c>
      <c r="N156" s="54">
        <v>9.1999999999999993</v>
      </c>
      <c r="O156" s="54">
        <v>4.24</v>
      </c>
      <c r="P156" s="54">
        <v>125.39</v>
      </c>
      <c r="Q156" s="54">
        <v>152.84</v>
      </c>
      <c r="R156" s="53">
        <v>33</v>
      </c>
      <c r="S156" s="53">
        <v>20</v>
      </c>
      <c r="T156" s="53">
        <v>10</v>
      </c>
      <c r="U156" s="53">
        <v>10</v>
      </c>
      <c r="V156" s="53">
        <v>6</v>
      </c>
      <c r="W156" s="54">
        <v>3.42</v>
      </c>
      <c r="X156" s="54">
        <v>3.67</v>
      </c>
      <c r="Y156" s="54">
        <v>159.86000000000001</v>
      </c>
      <c r="Z156" s="54">
        <v>176.58</v>
      </c>
      <c r="AA156" s="54">
        <v>4.76</v>
      </c>
      <c r="AB156" s="54">
        <v>3.98</v>
      </c>
      <c r="AC156" s="54">
        <v>144.05000000000001</v>
      </c>
      <c r="AD156" s="54">
        <v>176.45</v>
      </c>
      <c r="AE156" s="54">
        <v>6.78</v>
      </c>
      <c r="AF156" s="54">
        <v>4.3899999999999997</v>
      </c>
      <c r="AG156" s="54">
        <v>163.22</v>
      </c>
      <c r="AH156" s="54">
        <v>189.97</v>
      </c>
      <c r="AI156" s="54">
        <v>8.9600000000000009</v>
      </c>
      <c r="AJ156" s="54">
        <v>4.79</v>
      </c>
      <c r="AK156" s="54">
        <v>180.66</v>
      </c>
      <c r="AL156" s="54">
        <v>208.11</v>
      </c>
      <c r="AM156" s="53">
        <v>44</v>
      </c>
      <c r="AN156" s="53">
        <v>19</v>
      </c>
      <c r="AO156" s="53">
        <v>13</v>
      </c>
      <c r="AP156" s="53">
        <v>12</v>
      </c>
      <c r="AQ156" s="53">
        <v>3</v>
      </c>
    </row>
    <row r="157" spans="1:43">
      <c r="A157" s="58" t="s">
        <v>962</v>
      </c>
      <c r="B157" s="54">
        <v>3.28</v>
      </c>
      <c r="C157" s="54">
        <v>2.87</v>
      </c>
      <c r="D157" s="54">
        <v>77.55</v>
      </c>
      <c r="E157" s="54">
        <v>91.42</v>
      </c>
      <c r="F157" s="54">
        <v>4.7699999999999996</v>
      </c>
      <c r="G157" s="54">
        <v>3.23</v>
      </c>
      <c r="H157" s="54">
        <v>67.319999999999993</v>
      </c>
      <c r="I157" s="54">
        <v>97.62</v>
      </c>
      <c r="J157" s="54">
        <v>6.47</v>
      </c>
      <c r="K157" s="54">
        <v>3.6</v>
      </c>
      <c r="L157" s="54">
        <v>84.21</v>
      </c>
      <c r="M157" s="54">
        <v>108.46</v>
      </c>
      <c r="N157" s="54">
        <v>9.26</v>
      </c>
      <c r="O157" s="54">
        <v>4.0999999999999996</v>
      </c>
      <c r="P157" s="54">
        <v>112.34</v>
      </c>
      <c r="Q157" s="54">
        <v>137.77000000000001</v>
      </c>
      <c r="R157" s="53">
        <v>32</v>
      </c>
      <c r="S157" s="53">
        <v>20</v>
      </c>
      <c r="T157" s="53">
        <v>10</v>
      </c>
      <c r="U157" s="53">
        <v>11</v>
      </c>
      <c r="V157" s="53">
        <v>6</v>
      </c>
      <c r="W157" s="54">
        <v>3.39</v>
      </c>
      <c r="X157" s="54">
        <v>3.53</v>
      </c>
      <c r="Y157" s="54">
        <v>143.6</v>
      </c>
      <c r="Z157" s="54">
        <v>158</v>
      </c>
      <c r="AA157" s="54">
        <v>4.74</v>
      </c>
      <c r="AB157" s="54">
        <v>3.85</v>
      </c>
      <c r="AC157" s="54">
        <v>130.19</v>
      </c>
      <c r="AD157" s="54">
        <v>160.49</v>
      </c>
      <c r="AE157" s="54">
        <v>6.78</v>
      </c>
      <c r="AF157" s="54">
        <v>4.26</v>
      </c>
      <c r="AG157" s="54">
        <v>149.93</v>
      </c>
      <c r="AH157" s="54">
        <v>174.18</v>
      </c>
      <c r="AI157" s="54">
        <v>8.91</v>
      </c>
      <c r="AJ157" s="54">
        <v>4.63</v>
      </c>
      <c r="AK157" s="54">
        <v>164.99</v>
      </c>
      <c r="AL157" s="54">
        <v>190.42</v>
      </c>
      <c r="AM157" s="53">
        <v>44</v>
      </c>
      <c r="AN157" s="53">
        <v>18</v>
      </c>
      <c r="AO157" s="53">
        <v>13</v>
      </c>
      <c r="AP157" s="53">
        <v>12</v>
      </c>
      <c r="AQ157" s="53">
        <v>3</v>
      </c>
    </row>
    <row r="158" spans="1:43">
      <c r="A158" s="58" t="s">
        <v>963</v>
      </c>
      <c r="B158" s="54">
        <v>3.3</v>
      </c>
      <c r="C158" s="54">
        <v>2.93</v>
      </c>
      <c r="D158" s="54">
        <v>83.16</v>
      </c>
      <c r="E158" s="54">
        <v>102.37</v>
      </c>
      <c r="F158" s="54">
        <v>4.78</v>
      </c>
      <c r="G158" s="54">
        <v>3.28</v>
      </c>
      <c r="H158" s="54">
        <v>74.55</v>
      </c>
      <c r="I158" s="54">
        <v>104.15</v>
      </c>
      <c r="J158" s="54">
        <v>6.51</v>
      </c>
      <c r="K158" s="54">
        <v>3.65</v>
      </c>
      <c r="L158" s="54">
        <v>90.93</v>
      </c>
      <c r="M158" s="54">
        <v>116.98</v>
      </c>
      <c r="N158" s="54">
        <v>9.25</v>
      </c>
      <c r="O158" s="54">
        <v>4.1100000000000003</v>
      </c>
      <c r="P158" s="54">
        <v>114.45</v>
      </c>
      <c r="Q158" s="54">
        <v>141.35</v>
      </c>
      <c r="R158" s="53">
        <v>33</v>
      </c>
      <c r="S158" s="53">
        <v>17</v>
      </c>
      <c r="T158" s="53">
        <v>10</v>
      </c>
      <c r="U158" s="53">
        <v>11</v>
      </c>
      <c r="V158" s="53">
        <v>6</v>
      </c>
      <c r="W158" s="54">
        <v>3.36</v>
      </c>
      <c r="X158" s="54">
        <v>3.52</v>
      </c>
      <c r="Y158" s="54">
        <v>141.62</v>
      </c>
      <c r="Z158" s="54">
        <v>161.31</v>
      </c>
      <c r="AA158" s="54">
        <v>4.7300000000000004</v>
      </c>
      <c r="AB158" s="54">
        <v>3.87</v>
      </c>
      <c r="AC158" s="54">
        <v>133.36000000000001</v>
      </c>
      <c r="AD158" s="54">
        <v>162.96</v>
      </c>
      <c r="AE158" s="54">
        <v>6.78</v>
      </c>
      <c r="AF158" s="54">
        <v>4.25</v>
      </c>
      <c r="AG158" s="54">
        <v>150.68</v>
      </c>
      <c r="AH158" s="54">
        <v>176.73</v>
      </c>
      <c r="AI158" s="54">
        <v>8.86</v>
      </c>
      <c r="AJ158" s="54">
        <v>4.6100000000000003</v>
      </c>
      <c r="AK158" s="54">
        <v>163.79</v>
      </c>
      <c r="AL158" s="54">
        <v>190.69</v>
      </c>
      <c r="AM158" s="53">
        <v>45</v>
      </c>
      <c r="AN158" s="53">
        <v>20</v>
      </c>
      <c r="AO158" s="53">
        <v>13</v>
      </c>
      <c r="AP158" s="53">
        <v>10</v>
      </c>
      <c r="AQ158" s="53">
        <v>3</v>
      </c>
    </row>
    <row r="159" spans="1:43">
      <c r="A159" s="58" t="s">
        <v>964</v>
      </c>
      <c r="B159" s="54">
        <v>3.29</v>
      </c>
      <c r="C159" s="54">
        <v>2.85</v>
      </c>
      <c r="D159" s="54">
        <v>85.25</v>
      </c>
      <c r="E159" s="54">
        <v>105.3</v>
      </c>
      <c r="F159" s="54">
        <v>4.76</v>
      </c>
      <c r="G159" s="54">
        <v>3.2</v>
      </c>
      <c r="H159" s="54">
        <v>77.08</v>
      </c>
      <c r="I159" s="54">
        <v>109.43</v>
      </c>
      <c r="J159" s="54">
        <v>6.51</v>
      </c>
      <c r="K159" s="54">
        <v>3.58</v>
      </c>
      <c r="L159" s="54">
        <v>93.76</v>
      </c>
      <c r="M159" s="54">
        <v>122.41</v>
      </c>
      <c r="N159" s="54">
        <v>9.2899999999999991</v>
      </c>
      <c r="O159" s="54">
        <v>4.03</v>
      </c>
      <c r="P159" s="54">
        <v>116.31</v>
      </c>
      <c r="Q159" s="54">
        <v>145.88</v>
      </c>
      <c r="R159" s="53">
        <v>34</v>
      </c>
      <c r="S159" s="53">
        <v>17</v>
      </c>
      <c r="T159" s="53">
        <v>10</v>
      </c>
      <c r="U159" s="53">
        <v>11</v>
      </c>
      <c r="V159" s="53">
        <v>6</v>
      </c>
      <c r="W159" s="54">
        <v>3.38</v>
      </c>
      <c r="X159" s="54">
        <v>3.37</v>
      </c>
      <c r="Y159" s="54">
        <v>136.91999999999999</v>
      </c>
      <c r="Z159" s="54">
        <v>157.37</v>
      </c>
      <c r="AA159" s="54">
        <v>4.72</v>
      </c>
      <c r="AB159" s="54">
        <v>3.66</v>
      </c>
      <c r="AC159" s="54">
        <v>122.46</v>
      </c>
      <c r="AD159" s="54">
        <v>154.81</v>
      </c>
      <c r="AE159" s="54">
        <v>6.79</v>
      </c>
      <c r="AF159" s="54">
        <v>4.08</v>
      </c>
      <c r="AG159" s="54">
        <v>144.22999999999999</v>
      </c>
      <c r="AH159" s="54">
        <v>172.88</v>
      </c>
      <c r="AI159" s="54">
        <v>8.81</v>
      </c>
      <c r="AJ159" s="54">
        <v>4.47</v>
      </c>
      <c r="AK159" s="54">
        <v>159.72</v>
      </c>
      <c r="AL159" s="54">
        <v>189.28</v>
      </c>
      <c r="AM159" s="53">
        <v>44</v>
      </c>
      <c r="AN159" s="53">
        <v>21</v>
      </c>
      <c r="AO159" s="53">
        <v>11</v>
      </c>
      <c r="AP159" s="53">
        <v>10</v>
      </c>
      <c r="AQ159" s="53">
        <v>3</v>
      </c>
    </row>
    <row r="160" spans="1:43">
      <c r="A160" s="58" t="s">
        <v>965</v>
      </c>
      <c r="B160" s="54">
        <v>3.25</v>
      </c>
      <c r="C160" s="54">
        <v>2.66</v>
      </c>
      <c r="D160" s="54">
        <v>81.209999999999994</v>
      </c>
      <c r="E160" s="54">
        <v>103.35</v>
      </c>
      <c r="F160" s="54">
        <v>4.75</v>
      </c>
      <c r="G160" s="54">
        <v>2.98</v>
      </c>
      <c r="H160" s="54">
        <v>77.11</v>
      </c>
      <c r="I160" s="54">
        <v>107.46</v>
      </c>
      <c r="J160" s="54">
        <v>6.5</v>
      </c>
      <c r="K160" s="54">
        <v>3.35</v>
      </c>
      <c r="L160" s="54">
        <v>92.15</v>
      </c>
      <c r="M160" s="54">
        <v>119.35</v>
      </c>
      <c r="N160" s="54">
        <v>9.2799999999999994</v>
      </c>
      <c r="O160" s="54">
        <v>3.79</v>
      </c>
      <c r="P160" s="54">
        <v>112.14</v>
      </c>
      <c r="Q160" s="54">
        <v>140.54</v>
      </c>
      <c r="R160" s="53">
        <v>36</v>
      </c>
      <c r="S160" s="53">
        <v>16</v>
      </c>
      <c r="T160" s="53">
        <v>10</v>
      </c>
      <c r="U160" s="53">
        <v>11</v>
      </c>
      <c r="V160" s="53">
        <v>6</v>
      </c>
      <c r="W160" s="54">
        <v>3.35</v>
      </c>
      <c r="X160" s="54">
        <v>3.14</v>
      </c>
      <c r="Y160" s="54">
        <v>128.69</v>
      </c>
      <c r="Z160" s="54">
        <v>151.16999999999999</v>
      </c>
      <c r="AA160" s="54">
        <v>4.72</v>
      </c>
      <c r="AB160" s="54">
        <v>3.38</v>
      </c>
      <c r="AC160" s="54">
        <v>116.88</v>
      </c>
      <c r="AD160" s="54">
        <v>147.22999999999999</v>
      </c>
      <c r="AE160" s="54">
        <v>6.8</v>
      </c>
      <c r="AF160" s="54">
        <v>3.84</v>
      </c>
      <c r="AG160" s="54">
        <v>140.93</v>
      </c>
      <c r="AH160" s="54">
        <v>168.13</v>
      </c>
      <c r="AI160" s="54">
        <v>8.7899999999999991</v>
      </c>
      <c r="AJ160" s="54">
        <v>4.25</v>
      </c>
      <c r="AK160" s="54">
        <v>157.97999999999999</v>
      </c>
      <c r="AL160" s="54">
        <v>186.38</v>
      </c>
      <c r="AM160" s="53">
        <v>46</v>
      </c>
      <c r="AN160" s="53">
        <v>19</v>
      </c>
      <c r="AO160" s="53">
        <v>14</v>
      </c>
      <c r="AP160" s="53">
        <v>9</v>
      </c>
      <c r="AQ160" s="53">
        <v>3</v>
      </c>
    </row>
    <row r="161" spans="1:43">
      <c r="A161" s="58" t="s">
        <v>966</v>
      </c>
      <c r="B161" s="54">
        <v>3.28</v>
      </c>
      <c r="C161" s="54">
        <v>2.94</v>
      </c>
      <c r="D161" s="54">
        <v>85.27</v>
      </c>
      <c r="E161" s="54">
        <v>103.24</v>
      </c>
      <c r="F161" s="54">
        <v>4.79</v>
      </c>
      <c r="G161" s="54">
        <v>3.28</v>
      </c>
      <c r="H161" s="54">
        <v>81.150000000000006</v>
      </c>
      <c r="I161" s="54">
        <v>109.65</v>
      </c>
      <c r="J161" s="54">
        <v>6.51</v>
      </c>
      <c r="K161" s="54">
        <v>3.6</v>
      </c>
      <c r="L161" s="54">
        <v>93.42</v>
      </c>
      <c r="M161" s="54">
        <v>119.47</v>
      </c>
      <c r="N161" s="54">
        <v>9.26</v>
      </c>
      <c r="O161" s="54">
        <v>3.97</v>
      </c>
      <c r="P161" s="54">
        <v>109.69</v>
      </c>
      <c r="Q161" s="54">
        <v>137.29</v>
      </c>
      <c r="R161" s="53">
        <v>34</v>
      </c>
      <c r="S161" s="53">
        <v>16</v>
      </c>
      <c r="T161" s="53">
        <v>10</v>
      </c>
      <c r="U161" s="53">
        <v>10</v>
      </c>
      <c r="V161" s="53">
        <v>6</v>
      </c>
      <c r="W161" s="54">
        <v>3.33</v>
      </c>
      <c r="X161" s="54">
        <v>3.39</v>
      </c>
      <c r="Y161" s="54">
        <v>130.35</v>
      </c>
      <c r="Z161" s="54">
        <v>148.66999999999999</v>
      </c>
      <c r="AA161" s="54">
        <v>4.7300000000000004</v>
      </c>
      <c r="AB161" s="54">
        <v>3.7</v>
      </c>
      <c r="AC161" s="54">
        <v>123.08</v>
      </c>
      <c r="AD161" s="54">
        <v>151.58000000000001</v>
      </c>
      <c r="AE161" s="54">
        <v>6.8</v>
      </c>
      <c r="AF161" s="54">
        <v>4.08</v>
      </c>
      <c r="AG161" s="54">
        <v>141.61000000000001</v>
      </c>
      <c r="AH161" s="54">
        <v>167.66</v>
      </c>
      <c r="AI161" s="54">
        <v>8.73</v>
      </c>
      <c r="AJ161" s="54">
        <v>4.41</v>
      </c>
      <c r="AK161" s="54">
        <v>153.84</v>
      </c>
      <c r="AL161" s="54">
        <v>181.44</v>
      </c>
      <c r="AM161" s="53">
        <v>47</v>
      </c>
      <c r="AN161" s="53">
        <v>20</v>
      </c>
      <c r="AO161" s="53">
        <v>14</v>
      </c>
      <c r="AP161" s="53">
        <v>9</v>
      </c>
      <c r="AQ161" s="53">
        <v>3</v>
      </c>
    </row>
    <row r="162" spans="1:43">
      <c r="A162" s="58" t="s">
        <v>967</v>
      </c>
      <c r="B162" s="54">
        <v>3.25</v>
      </c>
      <c r="C162" s="54">
        <v>2.82</v>
      </c>
      <c r="D162" s="54">
        <v>75.78</v>
      </c>
      <c r="E162" s="54">
        <v>84.72</v>
      </c>
      <c r="F162" s="54">
        <v>4.78</v>
      </c>
      <c r="G162" s="54">
        <v>3.14</v>
      </c>
      <c r="H162" s="54">
        <v>70.739999999999995</v>
      </c>
      <c r="I162" s="54">
        <v>97.34</v>
      </c>
      <c r="J162" s="54">
        <v>6.51</v>
      </c>
      <c r="K162" s="54">
        <v>3.48</v>
      </c>
      <c r="L162" s="54">
        <v>84.36</v>
      </c>
      <c r="M162" s="54">
        <v>107.51</v>
      </c>
      <c r="N162" s="54">
        <v>9.3000000000000007</v>
      </c>
      <c r="O162" s="54">
        <v>3.93</v>
      </c>
      <c r="P162" s="54">
        <v>107.85</v>
      </c>
      <c r="Q162" s="54">
        <v>125.05</v>
      </c>
      <c r="R162" s="53">
        <v>34</v>
      </c>
      <c r="S162" s="53">
        <v>17</v>
      </c>
      <c r="T162" s="53">
        <v>10</v>
      </c>
      <c r="U162" s="53">
        <v>11</v>
      </c>
      <c r="V162" s="53">
        <v>6</v>
      </c>
      <c r="W162" s="54">
        <v>3.29</v>
      </c>
      <c r="X162" s="54">
        <v>3.25</v>
      </c>
      <c r="Y162" s="54">
        <v>118.92</v>
      </c>
      <c r="Z162" s="54">
        <v>128.18</v>
      </c>
      <c r="AA162" s="54">
        <v>4.7</v>
      </c>
      <c r="AB162" s="54">
        <v>3.54</v>
      </c>
      <c r="AC162" s="54">
        <v>110.56</v>
      </c>
      <c r="AD162" s="54">
        <v>137.16</v>
      </c>
      <c r="AE162" s="54">
        <v>6.79</v>
      </c>
      <c r="AF162" s="54">
        <v>3.97</v>
      </c>
      <c r="AG162" s="54">
        <v>133.46</v>
      </c>
      <c r="AH162" s="54">
        <v>156.61000000000001</v>
      </c>
      <c r="AI162" s="54">
        <v>8.67</v>
      </c>
      <c r="AJ162" s="54">
        <v>4.3499999999999996</v>
      </c>
      <c r="AK162" s="54">
        <v>149.68</v>
      </c>
      <c r="AL162" s="54">
        <v>166.88</v>
      </c>
      <c r="AM162" s="53">
        <v>48</v>
      </c>
      <c r="AN162" s="53">
        <v>19</v>
      </c>
      <c r="AO162" s="53">
        <v>14</v>
      </c>
      <c r="AP162" s="53">
        <v>9</v>
      </c>
      <c r="AQ162" s="53">
        <v>3</v>
      </c>
    </row>
    <row r="163" spans="1:43">
      <c r="A163" s="58" t="s">
        <v>968</v>
      </c>
      <c r="B163" s="54">
        <v>3.23</v>
      </c>
      <c r="C163" s="54">
        <v>2.88</v>
      </c>
      <c r="D163" s="54">
        <v>77.66</v>
      </c>
      <c r="E163" s="54">
        <v>83.74</v>
      </c>
      <c r="F163" s="54">
        <v>4.79</v>
      </c>
      <c r="G163" s="54">
        <v>3.19</v>
      </c>
      <c r="H163" s="54">
        <v>71.5</v>
      </c>
      <c r="I163" s="54">
        <v>95.25</v>
      </c>
      <c r="J163" s="54">
        <v>6.51</v>
      </c>
      <c r="K163" s="54">
        <v>3.51</v>
      </c>
      <c r="L163" s="54">
        <v>86.18</v>
      </c>
      <c r="M163" s="54">
        <v>105.26</v>
      </c>
      <c r="N163" s="54">
        <v>9.2799999999999994</v>
      </c>
      <c r="O163" s="54">
        <v>3.94</v>
      </c>
      <c r="P163" s="54">
        <v>110.22</v>
      </c>
      <c r="Q163" s="54">
        <v>122.95</v>
      </c>
      <c r="R163" s="53">
        <v>34</v>
      </c>
      <c r="S163" s="53">
        <v>18</v>
      </c>
      <c r="T163" s="53">
        <v>11</v>
      </c>
      <c r="U163" s="53">
        <v>12</v>
      </c>
      <c r="V163" s="53">
        <v>6</v>
      </c>
      <c r="W163" s="54">
        <v>3.25</v>
      </c>
      <c r="X163" s="54">
        <v>3.3</v>
      </c>
      <c r="Y163" s="54">
        <v>118.59</v>
      </c>
      <c r="Z163" s="54">
        <v>124.99</v>
      </c>
      <c r="AA163" s="54">
        <v>4.7</v>
      </c>
      <c r="AB163" s="54">
        <v>3.6</v>
      </c>
      <c r="AC163" s="54">
        <v>112.47</v>
      </c>
      <c r="AD163" s="54">
        <v>136.22</v>
      </c>
      <c r="AE163" s="54">
        <v>6.79</v>
      </c>
      <c r="AF163" s="54">
        <v>4</v>
      </c>
      <c r="AG163" s="54">
        <v>135.63999999999999</v>
      </c>
      <c r="AH163" s="54">
        <v>154.72999999999999</v>
      </c>
      <c r="AI163" s="54">
        <v>8.6199999999999992</v>
      </c>
      <c r="AJ163" s="54">
        <v>4.3600000000000003</v>
      </c>
      <c r="AK163" s="54">
        <v>151.4</v>
      </c>
      <c r="AL163" s="54">
        <v>164.12</v>
      </c>
      <c r="AM163" s="53">
        <v>49</v>
      </c>
      <c r="AN163" s="53">
        <v>18</v>
      </c>
      <c r="AO163" s="53">
        <v>15</v>
      </c>
      <c r="AP163" s="53">
        <v>8</v>
      </c>
      <c r="AQ163" s="53">
        <v>3</v>
      </c>
    </row>
    <row r="164" spans="1:43">
      <c r="A164" s="58" t="s">
        <v>969</v>
      </c>
      <c r="B164" s="54">
        <v>3.2</v>
      </c>
      <c r="C164" s="54">
        <v>2.92</v>
      </c>
      <c r="D164" s="54">
        <v>72.930000000000007</v>
      </c>
      <c r="E164" s="54">
        <v>77.77</v>
      </c>
      <c r="F164" s="54">
        <v>4.78</v>
      </c>
      <c r="G164" s="54">
        <v>3.26</v>
      </c>
      <c r="H164" s="54">
        <v>68.09</v>
      </c>
      <c r="I164" s="54">
        <v>90.69</v>
      </c>
      <c r="J164" s="54">
        <v>6.58</v>
      </c>
      <c r="K164" s="54">
        <v>3.62</v>
      </c>
      <c r="L164" s="54">
        <v>84.7</v>
      </c>
      <c r="M164" s="54">
        <v>104.1</v>
      </c>
      <c r="N164" s="54">
        <v>9.2799999999999994</v>
      </c>
      <c r="O164" s="54">
        <v>4.04</v>
      </c>
      <c r="P164" s="54">
        <v>106.08</v>
      </c>
      <c r="Q164" s="54">
        <v>120.48</v>
      </c>
      <c r="R164" s="53">
        <v>34</v>
      </c>
      <c r="S164" s="53">
        <v>21</v>
      </c>
      <c r="T164" s="53">
        <v>11</v>
      </c>
      <c r="U164" s="53">
        <v>13</v>
      </c>
      <c r="V164" s="53">
        <v>6</v>
      </c>
      <c r="W164" s="54">
        <v>3.24</v>
      </c>
      <c r="X164" s="54">
        <v>3.32</v>
      </c>
      <c r="Y164" s="54">
        <v>112.67</v>
      </c>
      <c r="Z164" s="54">
        <v>117.81</v>
      </c>
      <c r="AA164" s="54">
        <v>4.7</v>
      </c>
      <c r="AB164" s="54">
        <v>3.65</v>
      </c>
      <c r="AC164" s="54">
        <v>106.66</v>
      </c>
      <c r="AD164" s="54">
        <v>129.26</v>
      </c>
      <c r="AE164" s="54">
        <v>6.81</v>
      </c>
      <c r="AF164" s="54">
        <v>4.0599999999999996</v>
      </c>
      <c r="AG164" s="54">
        <v>128.61000000000001</v>
      </c>
      <c r="AH164" s="54">
        <v>148.01</v>
      </c>
      <c r="AI164" s="54">
        <v>8.75</v>
      </c>
      <c r="AJ164" s="54">
        <v>4.46</v>
      </c>
      <c r="AK164" s="54">
        <v>147.49</v>
      </c>
      <c r="AL164" s="54">
        <v>161.88999999999999</v>
      </c>
      <c r="AM164" s="53">
        <v>48</v>
      </c>
      <c r="AN164" s="53">
        <v>20</v>
      </c>
      <c r="AO164" s="53">
        <v>14</v>
      </c>
      <c r="AP164" s="53">
        <v>9</v>
      </c>
      <c r="AQ164" s="53">
        <v>3</v>
      </c>
    </row>
    <row r="165" spans="1:43">
      <c r="A165" s="58" t="s">
        <v>970</v>
      </c>
      <c r="B165" s="54">
        <v>3.17</v>
      </c>
      <c r="C165" s="54">
        <v>2.72</v>
      </c>
      <c r="D165" s="54">
        <v>66.849999999999994</v>
      </c>
      <c r="E165" s="54">
        <v>74.87</v>
      </c>
      <c r="F165" s="54">
        <v>4.7699999999999996</v>
      </c>
      <c r="G165" s="54">
        <v>3.04</v>
      </c>
      <c r="H165" s="54">
        <v>60.91</v>
      </c>
      <c r="I165" s="54">
        <v>86.16</v>
      </c>
      <c r="J165" s="54">
        <v>6.57</v>
      </c>
      <c r="K165" s="54">
        <v>3.38</v>
      </c>
      <c r="L165" s="54">
        <v>75.53</v>
      </c>
      <c r="M165" s="54">
        <v>88.78</v>
      </c>
      <c r="N165" s="54">
        <v>9.25</v>
      </c>
      <c r="O165" s="54">
        <v>3.8</v>
      </c>
      <c r="P165" s="54">
        <v>95.24</v>
      </c>
      <c r="Q165" s="54">
        <v>112.94</v>
      </c>
      <c r="R165" s="53">
        <v>36</v>
      </c>
      <c r="S165" s="53">
        <v>21</v>
      </c>
      <c r="T165" s="53">
        <v>9</v>
      </c>
      <c r="U165" s="53">
        <v>13</v>
      </c>
      <c r="V165" s="53">
        <v>6</v>
      </c>
      <c r="W165" s="54">
        <v>3.24</v>
      </c>
      <c r="X165" s="54">
        <v>3.12</v>
      </c>
      <c r="Y165" s="54">
        <v>106.14</v>
      </c>
      <c r="Z165" s="54">
        <v>114.44</v>
      </c>
      <c r="AA165" s="54">
        <v>4.7</v>
      </c>
      <c r="AB165" s="54">
        <v>3.42</v>
      </c>
      <c r="AC165" s="54">
        <v>98.96</v>
      </c>
      <c r="AD165" s="54">
        <v>124.21</v>
      </c>
      <c r="AE165" s="54">
        <v>6.81</v>
      </c>
      <c r="AF165" s="54">
        <v>3.8</v>
      </c>
      <c r="AG165" s="54">
        <v>117.5</v>
      </c>
      <c r="AH165" s="54">
        <v>130.75</v>
      </c>
      <c r="AI165" s="54">
        <v>8.69</v>
      </c>
      <c r="AJ165" s="54">
        <v>4.18</v>
      </c>
      <c r="AK165" s="54">
        <v>133.22</v>
      </c>
      <c r="AL165" s="54">
        <v>150.91999999999999</v>
      </c>
      <c r="AM165" s="53">
        <v>48</v>
      </c>
      <c r="AN165" s="53">
        <v>21</v>
      </c>
      <c r="AO165" s="53">
        <v>12</v>
      </c>
      <c r="AP165" s="53">
        <v>9</v>
      </c>
      <c r="AQ165" s="53">
        <v>3</v>
      </c>
    </row>
    <row r="166" spans="1:43">
      <c r="A166" s="58" t="s">
        <v>971</v>
      </c>
      <c r="B166" s="54">
        <v>3.24</v>
      </c>
      <c r="C166" s="54">
        <v>2.67</v>
      </c>
      <c r="D166" s="54">
        <v>67.739999999999995</v>
      </c>
      <c r="E166" s="54">
        <v>77.05</v>
      </c>
      <c r="F166" s="54">
        <v>4.7699999999999996</v>
      </c>
      <c r="G166" s="54">
        <v>2.95</v>
      </c>
      <c r="H166" s="54">
        <v>62.18</v>
      </c>
      <c r="I166" s="54">
        <v>86.98</v>
      </c>
      <c r="J166" s="54">
        <v>6.58</v>
      </c>
      <c r="K166" s="54">
        <v>3.27</v>
      </c>
      <c r="L166" s="54">
        <v>76.89</v>
      </c>
      <c r="M166" s="54">
        <v>91.79</v>
      </c>
      <c r="N166" s="54">
        <v>9.2799999999999994</v>
      </c>
      <c r="O166" s="54">
        <v>3.66</v>
      </c>
      <c r="P166" s="54">
        <v>98.03</v>
      </c>
      <c r="Q166" s="54">
        <v>116.28</v>
      </c>
      <c r="R166" s="53">
        <v>35</v>
      </c>
      <c r="S166" s="53">
        <v>21</v>
      </c>
      <c r="T166" s="53">
        <v>10</v>
      </c>
      <c r="U166" s="53">
        <v>13</v>
      </c>
      <c r="V166" s="53">
        <v>6</v>
      </c>
      <c r="W166" s="54">
        <v>3.25</v>
      </c>
      <c r="X166" s="54">
        <v>3.08</v>
      </c>
      <c r="Y166" s="54">
        <v>108.26</v>
      </c>
      <c r="Z166" s="54">
        <v>117.87</v>
      </c>
      <c r="AA166" s="54">
        <v>4.71</v>
      </c>
      <c r="AB166" s="54">
        <v>3.36</v>
      </c>
      <c r="AC166" s="54">
        <v>103.5</v>
      </c>
      <c r="AD166" s="54">
        <v>128.30000000000001</v>
      </c>
      <c r="AE166" s="54">
        <v>6.88</v>
      </c>
      <c r="AF166" s="54">
        <v>3.7</v>
      </c>
      <c r="AG166" s="54">
        <v>119.94</v>
      </c>
      <c r="AH166" s="54">
        <v>134.84</v>
      </c>
      <c r="AI166" s="54">
        <v>9.1999999999999993</v>
      </c>
      <c r="AJ166" s="54">
        <v>4.16</v>
      </c>
      <c r="AK166" s="54">
        <v>148.18</v>
      </c>
      <c r="AL166" s="54">
        <v>166.43</v>
      </c>
      <c r="AM166" s="53">
        <v>47</v>
      </c>
      <c r="AN166" s="53">
        <v>21</v>
      </c>
      <c r="AO166" s="53">
        <v>12</v>
      </c>
      <c r="AP166" s="53">
        <v>14</v>
      </c>
      <c r="AQ166" s="53">
        <v>3</v>
      </c>
    </row>
    <row r="167" spans="1:43">
      <c r="A167" s="58" t="s">
        <v>972</v>
      </c>
      <c r="B167" s="54">
        <v>3.24</v>
      </c>
      <c r="C167" s="54">
        <v>2.85</v>
      </c>
      <c r="D167" s="54">
        <v>68.44</v>
      </c>
      <c r="E167" s="54">
        <v>72.37</v>
      </c>
      <c r="F167" s="54">
        <v>4.78</v>
      </c>
      <c r="G167" s="54">
        <v>3.14</v>
      </c>
      <c r="H167" s="54">
        <v>63.63</v>
      </c>
      <c r="I167" s="54">
        <v>84.58</v>
      </c>
      <c r="J167" s="54">
        <v>6.57</v>
      </c>
      <c r="K167" s="54">
        <v>3.43</v>
      </c>
      <c r="L167" s="54">
        <v>79.42</v>
      </c>
      <c r="M167" s="54">
        <v>91.12</v>
      </c>
      <c r="N167" s="54">
        <v>9.25</v>
      </c>
      <c r="O167" s="54">
        <v>3.78</v>
      </c>
      <c r="P167" s="54">
        <v>97.99</v>
      </c>
      <c r="Q167" s="54">
        <v>115.3</v>
      </c>
      <c r="R167" s="53">
        <v>33</v>
      </c>
      <c r="S167" s="53">
        <v>22</v>
      </c>
      <c r="T167" s="53">
        <v>11</v>
      </c>
      <c r="U167" s="53">
        <v>13</v>
      </c>
      <c r="V167" s="53">
        <v>6</v>
      </c>
      <c r="W167" s="54">
        <v>3.14</v>
      </c>
      <c r="X167" s="54">
        <v>3.17</v>
      </c>
      <c r="Y167" s="54">
        <v>100.49</v>
      </c>
      <c r="Z167" s="54">
        <v>104.66</v>
      </c>
      <c r="AA167" s="54">
        <v>4.78</v>
      </c>
      <c r="AB167" s="54">
        <v>3.52</v>
      </c>
      <c r="AC167" s="54">
        <v>102.1</v>
      </c>
      <c r="AD167" s="54">
        <v>123.05</v>
      </c>
      <c r="AE167" s="54">
        <v>6.95</v>
      </c>
      <c r="AF167" s="54">
        <v>3.86</v>
      </c>
      <c r="AG167" s="54">
        <v>122.34</v>
      </c>
      <c r="AH167" s="54">
        <v>134.04</v>
      </c>
      <c r="AI167" s="54">
        <v>9.15</v>
      </c>
      <c r="AJ167" s="54">
        <v>4.28</v>
      </c>
      <c r="AK167" s="54">
        <v>147.65</v>
      </c>
      <c r="AL167" s="54">
        <v>164.96</v>
      </c>
      <c r="AM167" s="53">
        <v>48</v>
      </c>
      <c r="AN167" s="53">
        <v>19</v>
      </c>
      <c r="AO167" s="53">
        <v>12</v>
      </c>
      <c r="AP167" s="53">
        <v>14</v>
      </c>
      <c r="AQ167" s="53">
        <v>3</v>
      </c>
    </row>
    <row r="168" spans="1:43">
      <c r="A168" s="58" t="s">
        <v>973</v>
      </c>
      <c r="B168" s="54">
        <v>3.21</v>
      </c>
      <c r="C168" s="54">
        <v>2.87</v>
      </c>
      <c r="D168" s="54">
        <v>64.55</v>
      </c>
      <c r="E168" s="54">
        <v>72.260000000000005</v>
      </c>
      <c r="F168" s="54">
        <v>4.7699999999999996</v>
      </c>
      <c r="G168" s="54">
        <v>3.18</v>
      </c>
      <c r="H168" s="54">
        <v>57.06</v>
      </c>
      <c r="I168" s="54">
        <v>76.760000000000005</v>
      </c>
      <c r="J168" s="54">
        <v>6.57</v>
      </c>
      <c r="K168" s="54">
        <v>3.5</v>
      </c>
      <c r="L168" s="54">
        <v>71.400000000000006</v>
      </c>
      <c r="M168" s="54">
        <v>84.1</v>
      </c>
      <c r="N168" s="54">
        <v>9.2100000000000009</v>
      </c>
      <c r="O168" s="54">
        <v>3.84</v>
      </c>
      <c r="P168" s="54">
        <v>87.19</v>
      </c>
      <c r="Q168" s="54">
        <v>103.19</v>
      </c>
      <c r="R168" s="53">
        <v>34</v>
      </c>
      <c r="S168" s="53">
        <v>22</v>
      </c>
      <c r="T168" s="53">
        <v>11</v>
      </c>
      <c r="U168" s="53">
        <v>13</v>
      </c>
      <c r="V168" s="53">
        <v>6</v>
      </c>
      <c r="W168" s="54">
        <v>3.2</v>
      </c>
      <c r="X168" s="54">
        <v>3.24</v>
      </c>
      <c r="Y168" s="54">
        <v>101.26</v>
      </c>
      <c r="Z168" s="54">
        <v>109.26</v>
      </c>
      <c r="AA168" s="54">
        <v>4.7</v>
      </c>
      <c r="AB168" s="54">
        <v>3.58</v>
      </c>
      <c r="AC168" s="54">
        <v>97.45</v>
      </c>
      <c r="AD168" s="54">
        <v>117.15</v>
      </c>
      <c r="AE168" s="54">
        <v>6.88</v>
      </c>
      <c r="AF168" s="54">
        <v>3.91</v>
      </c>
      <c r="AG168" s="54">
        <v>112.6</v>
      </c>
      <c r="AH168" s="54">
        <v>125.3</v>
      </c>
      <c r="AI168" s="54">
        <v>9.1</v>
      </c>
      <c r="AJ168" s="54">
        <v>4.3099999999999996</v>
      </c>
      <c r="AK168" s="54">
        <v>134.06</v>
      </c>
      <c r="AL168" s="54">
        <v>150.06</v>
      </c>
      <c r="AM168" s="53">
        <v>48</v>
      </c>
      <c r="AN168" s="53">
        <v>20</v>
      </c>
      <c r="AO168" s="53">
        <v>12</v>
      </c>
      <c r="AP168" s="53">
        <v>14</v>
      </c>
      <c r="AQ168" s="53">
        <v>3</v>
      </c>
    </row>
    <row r="169" spans="1:43">
      <c r="A169" s="58" t="s">
        <v>974</v>
      </c>
      <c r="B169" s="54">
        <v>3.18</v>
      </c>
      <c r="C169" s="54">
        <v>2.82</v>
      </c>
      <c r="D169" s="54">
        <v>63.32</v>
      </c>
      <c r="E169" s="54">
        <v>73.430000000000007</v>
      </c>
      <c r="F169" s="54">
        <v>4.76</v>
      </c>
      <c r="G169" s="54">
        <v>3.13</v>
      </c>
      <c r="H169" s="54">
        <v>54.87</v>
      </c>
      <c r="I169" s="54">
        <v>75.569999999999993</v>
      </c>
      <c r="J169" s="54">
        <v>6.58</v>
      </c>
      <c r="K169" s="54">
        <v>3.46</v>
      </c>
      <c r="L169" s="54">
        <v>70.41</v>
      </c>
      <c r="M169" s="54">
        <v>83.21</v>
      </c>
      <c r="N169" s="54">
        <v>9.27</v>
      </c>
      <c r="O169" s="54">
        <v>3.81</v>
      </c>
      <c r="P169" s="54">
        <v>87.64</v>
      </c>
      <c r="Q169" s="54">
        <v>100.34</v>
      </c>
      <c r="R169" s="53">
        <v>35</v>
      </c>
      <c r="S169" s="53">
        <v>22</v>
      </c>
      <c r="T169" s="53">
        <v>10</v>
      </c>
      <c r="U169" s="53">
        <v>14</v>
      </c>
      <c r="V169" s="53">
        <v>6</v>
      </c>
      <c r="W169" s="54">
        <v>3.17</v>
      </c>
      <c r="X169" s="54">
        <v>3.19</v>
      </c>
      <c r="Y169" s="54">
        <v>100.12</v>
      </c>
      <c r="Z169" s="54">
        <v>110.5</v>
      </c>
      <c r="AA169" s="54">
        <v>4.7</v>
      </c>
      <c r="AB169" s="54">
        <v>3.54</v>
      </c>
      <c r="AC169" s="54">
        <v>96.12</v>
      </c>
      <c r="AD169" s="54">
        <v>116.82</v>
      </c>
      <c r="AE169" s="54">
        <v>6.88</v>
      </c>
      <c r="AF169" s="54">
        <v>3.88</v>
      </c>
      <c r="AG169" s="54">
        <v>112.71</v>
      </c>
      <c r="AH169" s="54">
        <v>125.51</v>
      </c>
      <c r="AI169" s="54">
        <v>9.06</v>
      </c>
      <c r="AJ169" s="54">
        <v>4.29</v>
      </c>
      <c r="AK169" s="54">
        <v>135.02000000000001</v>
      </c>
      <c r="AL169" s="54">
        <v>147.72</v>
      </c>
      <c r="AM169" s="53">
        <v>47</v>
      </c>
      <c r="AN169" s="53">
        <v>20</v>
      </c>
      <c r="AO169" s="53">
        <v>13</v>
      </c>
      <c r="AP169" s="53">
        <v>13</v>
      </c>
      <c r="AQ169" s="53">
        <v>3</v>
      </c>
    </row>
    <row r="170" spans="1:43">
      <c r="A170" s="58" t="s">
        <v>975</v>
      </c>
      <c r="B170" s="54">
        <v>3.16</v>
      </c>
      <c r="C170" s="54">
        <v>2.89</v>
      </c>
      <c r="D170" s="54">
        <v>70.77</v>
      </c>
      <c r="E170" s="54">
        <v>83.4</v>
      </c>
      <c r="F170" s="54">
        <v>4.6900000000000004</v>
      </c>
      <c r="G170" s="54">
        <v>3.16</v>
      </c>
      <c r="H170" s="54">
        <v>64.349999999999994</v>
      </c>
      <c r="I170" s="54">
        <v>85.95</v>
      </c>
      <c r="J170" s="54">
        <v>6.54</v>
      </c>
      <c r="K170" s="54">
        <v>3.46</v>
      </c>
      <c r="L170" s="54">
        <v>81.599999999999994</v>
      </c>
      <c r="M170" s="54">
        <v>96.8</v>
      </c>
      <c r="N170" s="54">
        <v>9.2899999999999991</v>
      </c>
      <c r="O170" s="54">
        <v>3.8</v>
      </c>
      <c r="P170" s="54">
        <v>99.03</v>
      </c>
      <c r="Q170" s="54">
        <v>120.03</v>
      </c>
      <c r="R170" s="53">
        <v>45</v>
      </c>
      <c r="S170" s="53">
        <v>26</v>
      </c>
      <c r="T170" s="53">
        <v>11</v>
      </c>
      <c r="U170" s="53">
        <v>15</v>
      </c>
      <c r="V170" s="53">
        <v>6</v>
      </c>
      <c r="W170" s="54">
        <v>3.21</v>
      </c>
      <c r="X170" s="54">
        <v>3.19</v>
      </c>
      <c r="Y170" s="54">
        <v>100.79</v>
      </c>
      <c r="Z170" s="54">
        <v>113.65</v>
      </c>
      <c r="AA170" s="54">
        <v>4.78</v>
      </c>
      <c r="AB170" s="54">
        <v>3.53</v>
      </c>
      <c r="AC170" s="54">
        <v>101.41</v>
      </c>
      <c r="AD170" s="54">
        <v>123.01</v>
      </c>
      <c r="AE170" s="54">
        <v>6.88</v>
      </c>
      <c r="AF170" s="54">
        <v>3.92</v>
      </c>
      <c r="AG170" s="54">
        <v>126.71</v>
      </c>
      <c r="AH170" s="54">
        <v>141.91</v>
      </c>
      <c r="AI170" s="54">
        <v>9.06</v>
      </c>
      <c r="AJ170" s="54">
        <v>4.37</v>
      </c>
      <c r="AK170" s="54">
        <v>156.38</v>
      </c>
      <c r="AL170" s="54">
        <v>177.38</v>
      </c>
      <c r="AM170" s="53">
        <v>48</v>
      </c>
      <c r="AN170" s="53">
        <v>21</v>
      </c>
      <c r="AO170" s="53">
        <v>14</v>
      </c>
      <c r="AP170" s="53">
        <v>15</v>
      </c>
      <c r="AQ170" s="53">
        <v>3</v>
      </c>
    </row>
    <row r="171" spans="1:43">
      <c r="A171" s="58" t="s">
        <v>976</v>
      </c>
      <c r="B171" s="54">
        <v>3.16</v>
      </c>
      <c r="C171" s="54">
        <v>2.98</v>
      </c>
      <c r="D171" s="54">
        <v>71.72</v>
      </c>
      <c r="E171" s="54">
        <v>79.77</v>
      </c>
      <c r="F171" s="54">
        <v>4.68</v>
      </c>
      <c r="G171" s="54">
        <v>3.25</v>
      </c>
      <c r="H171" s="54">
        <v>64.67</v>
      </c>
      <c r="I171" s="54">
        <v>81.99</v>
      </c>
      <c r="J171" s="54">
        <v>6.55</v>
      </c>
      <c r="K171" s="54">
        <v>3.56</v>
      </c>
      <c r="L171" s="54">
        <v>81.08</v>
      </c>
      <c r="M171" s="54">
        <v>94.03</v>
      </c>
      <c r="N171" s="54">
        <v>9.26</v>
      </c>
      <c r="O171" s="54">
        <v>3.92</v>
      </c>
      <c r="P171" s="54">
        <v>99.28</v>
      </c>
      <c r="Q171" s="54">
        <v>114.88</v>
      </c>
      <c r="R171" s="53">
        <v>44</v>
      </c>
      <c r="S171" s="53">
        <v>26</v>
      </c>
      <c r="T171" s="53">
        <v>12</v>
      </c>
      <c r="U171" s="53">
        <v>15</v>
      </c>
      <c r="V171" s="53">
        <v>5</v>
      </c>
      <c r="W171" s="54">
        <v>3.17</v>
      </c>
      <c r="X171" s="54">
        <v>3.37</v>
      </c>
      <c r="Y171" s="54">
        <v>110.87</v>
      </c>
      <c r="Z171" s="54">
        <v>119.23</v>
      </c>
      <c r="AA171" s="54">
        <v>4.8099999999999996</v>
      </c>
      <c r="AB171" s="54">
        <v>3.72</v>
      </c>
      <c r="AC171" s="54">
        <v>111.89</v>
      </c>
      <c r="AD171" s="54">
        <v>129.22</v>
      </c>
      <c r="AE171" s="54">
        <v>6.94</v>
      </c>
      <c r="AF171" s="54">
        <v>4.05</v>
      </c>
      <c r="AG171" s="54">
        <v>129.63999999999999</v>
      </c>
      <c r="AH171" s="54">
        <v>142.59</v>
      </c>
      <c r="AI171" s="54">
        <v>9.1199999999999992</v>
      </c>
      <c r="AJ171" s="54">
        <v>4.46</v>
      </c>
      <c r="AK171" s="54">
        <v>153.91999999999999</v>
      </c>
      <c r="AL171" s="54">
        <v>169.52</v>
      </c>
      <c r="AM171" s="53">
        <v>49</v>
      </c>
      <c r="AN171" s="53">
        <v>23</v>
      </c>
      <c r="AO171" s="53">
        <v>15</v>
      </c>
      <c r="AP171" s="53">
        <v>16</v>
      </c>
      <c r="AQ171" s="53">
        <v>3</v>
      </c>
    </row>
    <row r="172" spans="1:43">
      <c r="A172" s="58" t="s">
        <v>977</v>
      </c>
      <c r="B172" s="54">
        <v>3.14</v>
      </c>
      <c r="C172" s="54">
        <v>2.9</v>
      </c>
      <c r="D172" s="54">
        <v>68.52</v>
      </c>
      <c r="E172" s="54">
        <v>80.849999999999994</v>
      </c>
      <c r="F172" s="54">
        <v>4.66</v>
      </c>
      <c r="G172" s="54">
        <v>3.19</v>
      </c>
      <c r="H172" s="54">
        <v>63.34</v>
      </c>
      <c r="I172" s="54">
        <v>87.93</v>
      </c>
      <c r="J172" s="54">
        <v>6.56</v>
      </c>
      <c r="K172" s="54">
        <v>3.53</v>
      </c>
      <c r="L172" s="54">
        <v>81.819999999999993</v>
      </c>
      <c r="M172" s="54">
        <v>101.92</v>
      </c>
      <c r="N172" s="54">
        <v>9.23</v>
      </c>
      <c r="O172" s="54">
        <v>3.89</v>
      </c>
      <c r="P172" s="54">
        <v>99.97</v>
      </c>
      <c r="Q172" s="54">
        <v>121.72</v>
      </c>
      <c r="R172" s="53">
        <v>45</v>
      </c>
      <c r="S172" s="53">
        <v>24</v>
      </c>
      <c r="T172" s="53">
        <v>11</v>
      </c>
      <c r="U172" s="53">
        <v>15</v>
      </c>
      <c r="V172" s="53">
        <v>6</v>
      </c>
      <c r="W172" s="54">
        <v>3.17</v>
      </c>
      <c r="X172" s="54">
        <v>3.33</v>
      </c>
      <c r="Y172" s="54">
        <v>110.85</v>
      </c>
      <c r="Z172" s="54">
        <v>123.5</v>
      </c>
      <c r="AA172" s="54">
        <v>4.88</v>
      </c>
      <c r="AB172" s="54">
        <v>3.69</v>
      </c>
      <c r="AC172" s="54">
        <v>113.65</v>
      </c>
      <c r="AD172" s="54">
        <v>138.24</v>
      </c>
      <c r="AE172" s="54">
        <v>6.94</v>
      </c>
      <c r="AF172" s="54">
        <v>4.04</v>
      </c>
      <c r="AG172" s="54">
        <v>132.22999999999999</v>
      </c>
      <c r="AH172" s="54">
        <v>152.33000000000001</v>
      </c>
      <c r="AI172" s="54">
        <v>9.1</v>
      </c>
      <c r="AJ172" s="54">
        <v>4.49</v>
      </c>
      <c r="AK172" s="54">
        <v>160.08000000000001</v>
      </c>
      <c r="AL172" s="54">
        <v>181.83</v>
      </c>
      <c r="AM172" s="53">
        <v>50</v>
      </c>
      <c r="AN172" s="53">
        <v>22</v>
      </c>
      <c r="AO172" s="53">
        <v>16</v>
      </c>
      <c r="AP172" s="53">
        <v>17</v>
      </c>
      <c r="AQ172" s="53">
        <v>3</v>
      </c>
    </row>
    <row r="173" spans="1:43">
      <c r="A173" s="58" t="s">
        <v>978</v>
      </c>
      <c r="B173" s="54">
        <v>3.11</v>
      </c>
      <c r="C173" s="54">
        <v>2.93</v>
      </c>
      <c r="D173" s="54">
        <v>75.91</v>
      </c>
      <c r="E173" s="54">
        <v>87.42</v>
      </c>
      <c r="F173" s="54">
        <v>4.6500000000000004</v>
      </c>
      <c r="G173" s="54">
        <v>3.21</v>
      </c>
      <c r="H173" s="54">
        <v>70.44</v>
      </c>
      <c r="I173" s="54">
        <v>94.02</v>
      </c>
      <c r="J173" s="54">
        <v>6.56</v>
      </c>
      <c r="K173" s="54">
        <v>3.56</v>
      </c>
      <c r="L173" s="54">
        <v>89.76</v>
      </c>
      <c r="M173" s="54">
        <v>109.27</v>
      </c>
      <c r="N173" s="54">
        <v>9.1999999999999993</v>
      </c>
      <c r="O173" s="54">
        <v>3.91</v>
      </c>
      <c r="P173" s="54">
        <v>107.7</v>
      </c>
      <c r="Q173" s="54">
        <v>128.22</v>
      </c>
      <c r="R173" s="53">
        <v>47</v>
      </c>
      <c r="S173" s="53">
        <v>22</v>
      </c>
      <c r="T173" s="53">
        <v>11</v>
      </c>
      <c r="U173" s="53">
        <v>15</v>
      </c>
      <c r="V173" s="53">
        <v>6</v>
      </c>
      <c r="W173" s="54">
        <v>3.14</v>
      </c>
      <c r="X173" s="54">
        <v>3.3</v>
      </c>
      <c r="Y173" s="54">
        <v>112.3</v>
      </c>
      <c r="Z173" s="54">
        <v>124.1</v>
      </c>
      <c r="AA173" s="54">
        <v>4.91</v>
      </c>
      <c r="AB173" s="54">
        <v>3.68</v>
      </c>
      <c r="AC173" s="54">
        <v>117.78</v>
      </c>
      <c r="AD173" s="54">
        <v>141.37</v>
      </c>
      <c r="AE173" s="54">
        <v>6.93</v>
      </c>
      <c r="AF173" s="54">
        <v>4.03</v>
      </c>
      <c r="AG173" s="54">
        <v>136.6</v>
      </c>
      <c r="AH173" s="54">
        <v>156.11000000000001</v>
      </c>
      <c r="AI173" s="54">
        <v>9.0399999999999991</v>
      </c>
      <c r="AJ173" s="54">
        <v>4.49</v>
      </c>
      <c r="AK173" s="54">
        <v>165.68</v>
      </c>
      <c r="AL173" s="54">
        <v>186.21</v>
      </c>
      <c r="AM173" s="53">
        <v>50</v>
      </c>
      <c r="AN173" s="53">
        <v>23</v>
      </c>
      <c r="AO173" s="53">
        <v>16</v>
      </c>
      <c r="AP173" s="53">
        <v>16</v>
      </c>
      <c r="AQ173" s="53">
        <v>3</v>
      </c>
    </row>
    <row r="174" spans="1:43">
      <c r="A174" s="58" t="s">
        <v>979</v>
      </c>
      <c r="B174" s="54">
        <v>3.08</v>
      </c>
      <c r="C174" s="54">
        <v>2.98</v>
      </c>
      <c r="D174" s="54">
        <v>77.88</v>
      </c>
      <c r="E174" s="54">
        <v>89.75</v>
      </c>
      <c r="F174" s="54">
        <v>4.6399999999999997</v>
      </c>
      <c r="G174" s="54">
        <v>3.26</v>
      </c>
      <c r="H174" s="54">
        <v>75.84</v>
      </c>
      <c r="I174" s="54">
        <v>99.74</v>
      </c>
      <c r="J174" s="54">
        <v>6.57</v>
      </c>
      <c r="K174" s="54">
        <v>3.62</v>
      </c>
      <c r="L174" s="54">
        <v>94.23</v>
      </c>
      <c r="M174" s="54">
        <v>114.81</v>
      </c>
      <c r="N174" s="54">
        <v>9.17</v>
      </c>
      <c r="O174" s="54">
        <v>3.98</v>
      </c>
      <c r="P174" s="54">
        <v>112.23</v>
      </c>
      <c r="Q174" s="54">
        <v>132.97999999999999</v>
      </c>
      <c r="R174" s="53">
        <v>49</v>
      </c>
      <c r="S174" s="53">
        <v>21</v>
      </c>
      <c r="T174" s="53">
        <v>11</v>
      </c>
      <c r="U174" s="53">
        <v>14</v>
      </c>
      <c r="V174" s="53">
        <v>6</v>
      </c>
      <c r="W174" s="54">
        <v>3.12</v>
      </c>
      <c r="X174" s="54">
        <v>3.37</v>
      </c>
      <c r="Y174" s="54">
        <v>116.76</v>
      </c>
      <c r="Z174" s="54">
        <v>128.93</v>
      </c>
      <c r="AA174" s="54">
        <v>4.92</v>
      </c>
      <c r="AB174" s="54">
        <v>3.76</v>
      </c>
      <c r="AC174" s="54">
        <v>125.69</v>
      </c>
      <c r="AD174" s="54">
        <v>149.59</v>
      </c>
      <c r="AE174" s="54">
        <v>6.92</v>
      </c>
      <c r="AF174" s="54">
        <v>4.13</v>
      </c>
      <c r="AG174" s="54">
        <v>144.35</v>
      </c>
      <c r="AH174" s="54">
        <v>164.94</v>
      </c>
      <c r="AI174" s="54">
        <v>8.99</v>
      </c>
      <c r="AJ174" s="54">
        <v>4.58</v>
      </c>
      <c r="AK174" s="54">
        <v>171.85</v>
      </c>
      <c r="AL174" s="54">
        <v>192.6</v>
      </c>
      <c r="AM174" s="53">
        <v>50</v>
      </c>
      <c r="AN174" s="53">
        <v>22</v>
      </c>
      <c r="AO174" s="53">
        <v>16</v>
      </c>
      <c r="AP174" s="53">
        <v>16</v>
      </c>
      <c r="AQ174" s="53">
        <v>3</v>
      </c>
    </row>
    <row r="175" spans="1:43">
      <c r="A175" s="58" t="s">
        <v>980</v>
      </c>
      <c r="B175" s="54">
        <v>3.05</v>
      </c>
      <c r="C175" s="54">
        <v>2.88</v>
      </c>
      <c r="D175" s="54">
        <v>83.78</v>
      </c>
      <c r="E175" s="54">
        <v>90.68</v>
      </c>
      <c r="F175" s="54">
        <v>4.62</v>
      </c>
      <c r="G175" s="54">
        <v>3.13</v>
      </c>
      <c r="H175" s="54">
        <v>78.36</v>
      </c>
      <c r="I175" s="54">
        <v>99.56</v>
      </c>
      <c r="J175" s="54">
        <v>6.58</v>
      </c>
      <c r="K175" s="54">
        <v>3.47</v>
      </c>
      <c r="L175" s="54">
        <v>96.39</v>
      </c>
      <c r="M175" s="54">
        <v>113.59</v>
      </c>
      <c r="N175" s="54">
        <v>9.14</v>
      </c>
      <c r="O175" s="54">
        <v>3.83</v>
      </c>
      <c r="P175" s="54">
        <v>113.77</v>
      </c>
      <c r="Q175" s="54">
        <v>130.74</v>
      </c>
      <c r="R175" s="53">
        <v>52</v>
      </c>
      <c r="S175" s="53">
        <v>19</v>
      </c>
      <c r="T175" s="53">
        <v>10</v>
      </c>
      <c r="U175" s="53">
        <v>14</v>
      </c>
      <c r="V175" s="53">
        <v>6</v>
      </c>
      <c r="W175" s="54">
        <v>3.11</v>
      </c>
      <c r="X175" s="54">
        <v>3.26</v>
      </c>
      <c r="Y175" s="54">
        <v>121.77</v>
      </c>
      <c r="Z175" s="54">
        <v>128.96</v>
      </c>
      <c r="AA175" s="54">
        <v>4.91</v>
      </c>
      <c r="AB175" s="54">
        <v>3.6</v>
      </c>
      <c r="AC175" s="54">
        <v>125.62</v>
      </c>
      <c r="AD175" s="54">
        <v>146.82</v>
      </c>
      <c r="AE175" s="54">
        <v>6.91</v>
      </c>
      <c r="AF175" s="54">
        <v>3.94</v>
      </c>
      <c r="AG175" s="54">
        <v>142.96</v>
      </c>
      <c r="AH175" s="54">
        <v>160.16</v>
      </c>
      <c r="AI175" s="54">
        <v>8.93</v>
      </c>
      <c r="AJ175" s="54">
        <v>4.38</v>
      </c>
      <c r="AK175" s="54">
        <v>169.53</v>
      </c>
      <c r="AL175" s="54">
        <v>186.51</v>
      </c>
      <c r="AM175" s="53">
        <v>50</v>
      </c>
      <c r="AN175" s="53">
        <v>22</v>
      </c>
      <c r="AO175" s="53">
        <v>16</v>
      </c>
      <c r="AP175" s="53">
        <v>16</v>
      </c>
      <c r="AQ175" s="53">
        <v>3</v>
      </c>
    </row>
    <row r="176" spans="1:43">
      <c r="A176" s="58" t="s">
        <v>981</v>
      </c>
      <c r="B176" s="54">
        <v>3.06</v>
      </c>
      <c r="C176" s="54">
        <v>2.93</v>
      </c>
      <c r="D176" s="54">
        <v>79.73</v>
      </c>
      <c r="E176" s="54">
        <v>88.14</v>
      </c>
      <c r="F176" s="54">
        <v>4.62</v>
      </c>
      <c r="G176" s="54">
        <v>3.22</v>
      </c>
      <c r="H176" s="54">
        <v>73.75</v>
      </c>
      <c r="I176" s="54">
        <v>98.57</v>
      </c>
      <c r="J176" s="54">
        <v>6.55</v>
      </c>
      <c r="K176" s="54">
        <v>3.58</v>
      </c>
      <c r="L176" s="54">
        <v>91.99</v>
      </c>
      <c r="M176" s="54">
        <v>112.09</v>
      </c>
      <c r="N176" s="54">
        <v>9.1199999999999992</v>
      </c>
      <c r="O176" s="54">
        <v>3.96</v>
      </c>
      <c r="P176" s="54">
        <v>110.11</v>
      </c>
      <c r="Q176" s="54">
        <v>129.06</v>
      </c>
      <c r="R176" s="53">
        <v>58</v>
      </c>
      <c r="S176" s="53">
        <v>17</v>
      </c>
      <c r="T176" s="53">
        <v>8</v>
      </c>
      <c r="U176" s="53">
        <v>14</v>
      </c>
      <c r="V176" s="53">
        <v>6</v>
      </c>
      <c r="W176" s="54">
        <v>3.11</v>
      </c>
      <c r="X176" s="54">
        <v>3.34</v>
      </c>
      <c r="Y176" s="54">
        <v>120.13</v>
      </c>
      <c r="Z176" s="54">
        <v>128.87</v>
      </c>
      <c r="AA176" s="54">
        <v>4.92</v>
      </c>
      <c r="AB176" s="54">
        <v>3.73</v>
      </c>
      <c r="AC176" s="54">
        <v>124.61</v>
      </c>
      <c r="AD176" s="54">
        <v>149.43</v>
      </c>
      <c r="AE176" s="54">
        <v>6.9</v>
      </c>
      <c r="AF176" s="54">
        <v>4.09</v>
      </c>
      <c r="AG176" s="54">
        <v>142.33000000000001</v>
      </c>
      <c r="AH176" s="54">
        <v>162.44</v>
      </c>
      <c r="AI176" s="54">
        <v>8.89</v>
      </c>
      <c r="AJ176" s="54">
        <v>4.53</v>
      </c>
      <c r="AK176" s="54">
        <v>167.01</v>
      </c>
      <c r="AL176" s="54">
        <v>185.96</v>
      </c>
      <c r="AM176" s="53">
        <v>51</v>
      </c>
      <c r="AN176" s="53">
        <v>22</v>
      </c>
      <c r="AO176" s="53">
        <v>15</v>
      </c>
      <c r="AP176" s="53">
        <v>15</v>
      </c>
      <c r="AQ176" s="53">
        <v>3</v>
      </c>
    </row>
    <row r="177" spans="1:43">
      <c r="A177" s="58" t="s">
        <v>982</v>
      </c>
      <c r="B177" s="54">
        <v>3.06</v>
      </c>
      <c r="C177" s="54">
        <v>2.89</v>
      </c>
      <c r="D177" s="54">
        <v>79.37</v>
      </c>
      <c r="E177" s="54">
        <v>89.6</v>
      </c>
      <c r="F177" s="54">
        <v>4.6100000000000003</v>
      </c>
      <c r="G177" s="54">
        <v>3.19</v>
      </c>
      <c r="H177" s="54">
        <v>75.72</v>
      </c>
      <c r="I177" s="54">
        <v>102.32</v>
      </c>
      <c r="J177" s="54">
        <v>6.56</v>
      </c>
      <c r="K177" s="54">
        <v>3.57</v>
      </c>
      <c r="L177" s="54">
        <v>96.17</v>
      </c>
      <c r="M177" s="54">
        <v>116.77</v>
      </c>
      <c r="N177" s="54">
        <v>9.09</v>
      </c>
      <c r="O177" s="54">
        <v>3.92</v>
      </c>
      <c r="P177" s="54">
        <v>111.72</v>
      </c>
      <c r="Q177" s="54">
        <v>129.41999999999999</v>
      </c>
      <c r="R177" s="53">
        <v>57</v>
      </c>
      <c r="S177" s="53">
        <v>18</v>
      </c>
      <c r="T177" s="53">
        <v>6</v>
      </c>
      <c r="U177" s="53">
        <v>14</v>
      </c>
      <c r="V177" s="53">
        <v>6</v>
      </c>
      <c r="W177" s="54">
        <v>3.12</v>
      </c>
      <c r="X177" s="54">
        <v>3.32</v>
      </c>
      <c r="Y177" s="54">
        <v>122.18</v>
      </c>
      <c r="Z177" s="54">
        <v>132.74</v>
      </c>
      <c r="AA177" s="54">
        <v>4.93</v>
      </c>
      <c r="AB177" s="54">
        <v>3.71</v>
      </c>
      <c r="AC177" s="54">
        <v>127.7</v>
      </c>
      <c r="AD177" s="54">
        <v>154.30000000000001</v>
      </c>
      <c r="AE177" s="54">
        <v>6.89</v>
      </c>
      <c r="AF177" s="54">
        <v>4.08</v>
      </c>
      <c r="AG177" s="54">
        <v>146.85</v>
      </c>
      <c r="AH177" s="54">
        <v>167.45</v>
      </c>
      <c r="AI177" s="54">
        <v>8.83</v>
      </c>
      <c r="AJ177" s="54">
        <v>4.5199999999999996</v>
      </c>
      <c r="AK177" s="54">
        <v>171.71</v>
      </c>
      <c r="AL177" s="54">
        <v>189.41</v>
      </c>
      <c r="AM177" s="53">
        <v>52</v>
      </c>
      <c r="AN177" s="53">
        <v>19</v>
      </c>
      <c r="AO177" s="53">
        <v>16</v>
      </c>
      <c r="AP177" s="53">
        <v>14</v>
      </c>
      <c r="AQ177" s="53">
        <v>3</v>
      </c>
    </row>
    <row r="178" spans="1:43">
      <c r="A178" s="58" t="s">
        <v>983</v>
      </c>
      <c r="B178" s="54">
        <v>3.04</v>
      </c>
      <c r="C178" s="54">
        <v>2.98</v>
      </c>
      <c r="D178" s="54">
        <v>85.44</v>
      </c>
      <c r="E178" s="54">
        <v>96.67</v>
      </c>
      <c r="F178" s="54">
        <v>4.5999999999999996</v>
      </c>
      <c r="G178" s="54">
        <v>3.29</v>
      </c>
      <c r="H178" s="54">
        <v>84.32</v>
      </c>
      <c r="I178" s="54">
        <v>109.87</v>
      </c>
      <c r="J178" s="54">
        <v>6.57</v>
      </c>
      <c r="K178" s="54">
        <v>3.66</v>
      </c>
      <c r="L178" s="54">
        <v>105.54</v>
      </c>
      <c r="M178" s="54">
        <v>127.16</v>
      </c>
      <c r="N178" s="54">
        <v>9.06</v>
      </c>
      <c r="O178" s="54">
        <v>3.98</v>
      </c>
      <c r="P178" s="54">
        <v>120.57</v>
      </c>
      <c r="Q178" s="54">
        <v>139.12</v>
      </c>
      <c r="R178" s="53">
        <v>55</v>
      </c>
      <c r="S178" s="53">
        <v>18</v>
      </c>
      <c r="T178" s="53">
        <v>7</v>
      </c>
      <c r="U178" s="53">
        <v>13</v>
      </c>
      <c r="V178" s="53">
        <v>6</v>
      </c>
      <c r="W178" s="54">
        <v>3.12</v>
      </c>
      <c r="X178" s="54">
        <v>3.45</v>
      </c>
      <c r="Y178" s="54">
        <v>132.25</v>
      </c>
      <c r="Z178" s="54">
        <v>143.85</v>
      </c>
      <c r="AA178" s="54">
        <v>4.9400000000000004</v>
      </c>
      <c r="AB178" s="54">
        <v>3.84</v>
      </c>
      <c r="AC178" s="54">
        <v>139.43</v>
      </c>
      <c r="AD178" s="54">
        <v>164.98</v>
      </c>
      <c r="AE178" s="54">
        <v>6.88</v>
      </c>
      <c r="AF178" s="54">
        <v>4.22</v>
      </c>
      <c r="AG178" s="54">
        <v>162.21</v>
      </c>
      <c r="AH178" s="54">
        <v>183.83</v>
      </c>
      <c r="AI178" s="54">
        <v>8.77</v>
      </c>
      <c r="AJ178" s="54">
        <v>4.6900000000000004</v>
      </c>
      <c r="AK178" s="54">
        <v>190.91</v>
      </c>
      <c r="AL178" s="54">
        <v>209.46</v>
      </c>
      <c r="AM178" s="53">
        <v>49</v>
      </c>
      <c r="AN178" s="53">
        <v>18</v>
      </c>
      <c r="AO178" s="53">
        <v>16</v>
      </c>
      <c r="AP178" s="53">
        <v>14</v>
      </c>
      <c r="AQ178" s="53">
        <v>3</v>
      </c>
    </row>
    <row r="179" spans="1:43">
      <c r="A179" s="58" t="s">
        <v>984</v>
      </c>
      <c r="B179" s="54">
        <v>2.99</v>
      </c>
      <c r="C179" s="54">
        <v>2.89</v>
      </c>
      <c r="D179" s="54">
        <v>96.39</v>
      </c>
      <c r="E179" s="54">
        <v>104.33</v>
      </c>
      <c r="F179" s="54">
        <v>4.5</v>
      </c>
      <c r="G179" s="54">
        <v>3.17</v>
      </c>
      <c r="H179" s="54">
        <v>95.77</v>
      </c>
      <c r="I179" s="54">
        <v>126.57</v>
      </c>
      <c r="J179" s="54">
        <v>6.6</v>
      </c>
      <c r="K179" s="54">
        <v>3.55</v>
      </c>
      <c r="L179" s="54">
        <v>117.89</v>
      </c>
      <c r="M179" s="54">
        <v>143.49</v>
      </c>
      <c r="N179" s="54">
        <v>9.07</v>
      </c>
      <c r="O179" s="54">
        <v>3.84</v>
      </c>
      <c r="P179" s="54">
        <v>128.41</v>
      </c>
      <c r="Q179" s="54">
        <v>152.21</v>
      </c>
      <c r="R179" s="53">
        <v>54</v>
      </c>
      <c r="S179" s="53">
        <v>17</v>
      </c>
      <c r="T179" s="53">
        <v>6</v>
      </c>
      <c r="U179" s="53">
        <v>13</v>
      </c>
      <c r="V179" s="53">
        <v>6</v>
      </c>
      <c r="W179" s="54">
        <v>3.04</v>
      </c>
      <c r="X179" s="54">
        <v>3.4</v>
      </c>
      <c r="Y179" s="54">
        <v>146.63999999999999</v>
      </c>
      <c r="Z179" s="54">
        <v>154.97</v>
      </c>
      <c r="AA179" s="54">
        <v>4.88</v>
      </c>
      <c r="AB179" s="54">
        <v>3.78</v>
      </c>
      <c r="AC179" s="54">
        <v>156.38999999999999</v>
      </c>
      <c r="AD179" s="54">
        <v>187.19</v>
      </c>
      <c r="AE179" s="54">
        <v>6.76</v>
      </c>
      <c r="AF179" s="54">
        <v>4.17</v>
      </c>
      <c r="AG179" s="54">
        <v>178.91</v>
      </c>
      <c r="AH179" s="54">
        <v>204.51</v>
      </c>
      <c r="AI179" s="54">
        <v>8.51</v>
      </c>
      <c r="AJ179" s="54">
        <v>4.63</v>
      </c>
      <c r="AK179" s="54">
        <v>207.5</v>
      </c>
      <c r="AL179" s="54">
        <v>231.3</v>
      </c>
      <c r="AM179" s="53">
        <v>49</v>
      </c>
      <c r="AN179" s="53">
        <v>16</v>
      </c>
      <c r="AO179" s="53">
        <v>13</v>
      </c>
      <c r="AP179" s="53">
        <v>10</v>
      </c>
      <c r="AQ179" s="53">
        <v>3</v>
      </c>
    </row>
    <row r="180" spans="1:43">
      <c r="A180" s="58" t="s">
        <v>985</v>
      </c>
      <c r="B180" s="54">
        <v>2.99</v>
      </c>
      <c r="C180" s="54">
        <v>2.88</v>
      </c>
      <c r="D180" s="54">
        <v>98.2</v>
      </c>
      <c r="E180" s="54">
        <v>113.02</v>
      </c>
      <c r="F180" s="54">
        <v>4.57</v>
      </c>
      <c r="G180" s="54">
        <v>3.11</v>
      </c>
      <c r="H180" s="54">
        <v>96.84</v>
      </c>
      <c r="I180" s="54">
        <v>122.91</v>
      </c>
      <c r="J180" s="54">
        <v>6.58</v>
      </c>
      <c r="K180" s="54">
        <v>3.44</v>
      </c>
      <c r="L180" s="54">
        <v>114.96</v>
      </c>
      <c r="M180" s="54">
        <v>136.56</v>
      </c>
      <c r="N180" s="54">
        <v>9.01</v>
      </c>
      <c r="O180" s="54">
        <v>3.75</v>
      </c>
      <c r="P180" s="54">
        <v>126.8</v>
      </c>
      <c r="Q180" s="54">
        <v>150.5</v>
      </c>
      <c r="R180" s="53">
        <v>55</v>
      </c>
      <c r="S180" s="53">
        <v>18</v>
      </c>
      <c r="T180" s="53">
        <v>7</v>
      </c>
      <c r="U180" s="53">
        <v>13</v>
      </c>
      <c r="V180" s="53">
        <v>6</v>
      </c>
      <c r="W180" s="54">
        <v>3.12</v>
      </c>
      <c r="X180" s="54">
        <v>3.38</v>
      </c>
      <c r="Y180" s="54">
        <v>147.66999999999999</v>
      </c>
      <c r="Z180" s="54">
        <v>162.88</v>
      </c>
      <c r="AA180" s="54">
        <v>4.9800000000000004</v>
      </c>
      <c r="AB180" s="54">
        <v>3.71</v>
      </c>
      <c r="AC180" s="54">
        <v>156.16</v>
      </c>
      <c r="AD180" s="54">
        <v>182.24</v>
      </c>
      <c r="AE180" s="54">
        <v>6.87</v>
      </c>
      <c r="AF180" s="54">
        <v>4.09</v>
      </c>
      <c r="AG180" s="54">
        <v>179.32</v>
      </c>
      <c r="AH180" s="54">
        <v>200.92</v>
      </c>
      <c r="AI180" s="54">
        <v>8.66</v>
      </c>
      <c r="AJ180" s="54">
        <v>4.53</v>
      </c>
      <c r="AK180" s="54">
        <v>204.8</v>
      </c>
      <c r="AL180" s="54">
        <v>228.5</v>
      </c>
      <c r="AM180" s="53">
        <v>44</v>
      </c>
      <c r="AN180" s="53">
        <v>18</v>
      </c>
      <c r="AO180" s="53">
        <v>13</v>
      </c>
      <c r="AP180" s="53">
        <v>14</v>
      </c>
      <c r="AQ180" s="53">
        <v>3</v>
      </c>
    </row>
    <row r="181" spans="1:43">
      <c r="A181" s="58" t="s">
        <v>986</v>
      </c>
      <c r="B181" s="54">
        <v>2.98</v>
      </c>
      <c r="C181" s="54">
        <v>2.69</v>
      </c>
      <c r="D181" s="54">
        <v>93.06</v>
      </c>
      <c r="E181" s="54">
        <v>106.66</v>
      </c>
      <c r="F181" s="54">
        <v>4.5599999999999996</v>
      </c>
      <c r="G181" s="54">
        <v>2.92</v>
      </c>
      <c r="H181" s="54">
        <v>90.72</v>
      </c>
      <c r="I181" s="54">
        <v>119.42</v>
      </c>
      <c r="J181" s="54">
        <v>6.59</v>
      </c>
      <c r="K181" s="54">
        <v>3.25</v>
      </c>
      <c r="L181" s="54">
        <v>108.38</v>
      </c>
      <c r="M181" s="54">
        <v>133.12</v>
      </c>
      <c r="N181" s="54">
        <v>8.99</v>
      </c>
      <c r="O181" s="54">
        <v>3.53</v>
      </c>
      <c r="P181" s="54">
        <v>117.9</v>
      </c>
      <c r="Q181" s="54">
        <v>143.15</v>
      </c>
      <c r="R181" s="53">
        <v>55</v>
      </c>
      <c r="S181" s="53">
        <v>17</v>
      </c>
      <c r="T181" s="53">
        <v>8</v>
      </c>
      <c r="U181" s="53">
        <v>12</v>
      </c>
      <c r="V181" s="53">
        <v>6</v>
      </c>
      <c r="W181" s="54">
        <v>3.1</v>
      </c>
      <c r="X181" s="54">
        <v>3.19</v>
      </c>
      <c r="Y181" s="54">
        <v>142.26</v>
      </c>
      <c r="Z181" s="54">
        <v>156.22999999999999</v>
      </c>
      <c r="AA181" s="54">
        <v>4.99</v>
      </c>
      <c r="AB181" s="54">
        <v>3.51</v>
      </c>
      <c r="AC181" s="54">
        <v>149.69</v>
      </c>
      <c r="AD181" s="54">
        <v>178.39</v>
      </c>
      <c r="AE181" s="54">
        <v>6.85</v>
      </c>
      <c r="AF181" s="54">
        <v>3.87</v>
      </c>
      <c r="AG181" s="54">
        <v>171.11</v>
      </c>
      <c r="AH181" s="54">
        <v>195.85</v>
      </c>
      <c r="AI181" s="54">
        <v>8.6</v>
      </c>
      <c r="AJ181" s="54">
        <v>4.32</v>
      </c>
      <c r="AK181" s="54">
        <v>196.02</v>
      </c>
      <c r="AL181" s="54">
        <v>221.27</v>
      </c>
      <c r="AM181" s="53">
        <v>44</v>
      </c>
      <c r="AN181" s="53">
        <v>18</v>
      </c>
      <c r="AO181" s="53">
        <v>13</v>
      </c>
      <c r="AP181" s="53">
        <v>14</v>
      </c>
      <c r="AQ181" s="53">
        <v>3</v>
      </c>
    </row>
    <row r="182" spans="1:43">
      <c r="A182" s="58" t="s">
        <v>987</v>
      </c>
      <c r="B182" s="54">
        <v>3.07</v>
      </c>
      <c r="C182" s="54">
        <v>2.35</v>
      </c>
      <c r="D182" s="54">
        <v>86.28</v>
      </c>
      <c r="E182" s="54">
        <v>96.97</v>
      </c>
      <c r="F182" s="54">
        <v>4.57</v>
      </c>
      <c r="G182" s="54">
        <v>2.54</v>
      </c>
      <c r="H182" s="54">
        <v>83.85</v>
      </c>
      <c r="I182" s="54">
        <v>110.48</v>
      </c>
      <c r="J182" s="54">
        <v>6.6</v>
      </c>
      <c r="K182" s="54">
        <v>2.87</v>
      </c>
      <c r="L182" s="54">
        <v>101.64</v>
      </c>
      <c r="M182" s="54">
        <v>125.47</v>
      </c>
      <c r="N182" s="54">
        <v>8.9600000000000009</v>
      </c>
      <c r="O182" s="54">
        <v>3.16</v>
      </c>
      <c r="P182" s="54">
        <v>112.7</v>
      </c>
      <c r="Q182" s="54">
        <v>138.9</v>
      </c>
      <c r="R182" s="53">
        <v>48</v>
      </c>
      <c r="S182" s="53">
        <v>17</v>
      </c>
      <c r="T182" s="53">
        <v>8</v>
      </c>
      <c r="U182" s="53">
        <v>12</v>
      </c>
      <c r="V182" s="53">
        <v>6</v>
      </c>
      <c r="W182" s="54">
        <v>3.09</v>
      </c>
      <c r="X182" s="54">
        <v>2.85</v>
      </c>
      <c r="Y182" s="54">
        <v>135.84</v>
      </c>
      <c r="Z182" s="54">
        <v>146.86000000000001</v>
      </c>
      <c r="AA182" s="54">
        <v>4.99</v>
      </c>
      <c r="AB182" s="54">
        <v>3.14</v>
      </c>
      <c r="AC182" s="54">
        <v>143.6</v>
      </c>
      <c r="AD182" s="54">
        <v>170.22</v>
      </c>
      <c r="AE182" s="54">
        <v>6.84</v>
      </c>
      <c r="AF182" s="54">
        <v>3.5</v>
      </c>
      <c r="AG182" s="54">
        <v>165.39</v>
      </c>
      <c r="AH182" s="54">
        <v>189.22</v>
      </c>
      <c r="AI182" s="54">
        <v>8.5500000000000007</v>
      </c>
      <c r="AJ182" s="54">
        <v>3.94</v>
      </c>
      <c r="AK182" s="54">
        <v>190.42</v>
      </c>
      <c r="AL182" s="54">
        <v>216.62</v>
      </c>
      <c r="AM182" s="53">
        <v>45</v>
      </c>
      <c r="AN182" s="53">
        <v>18</v>
      </c>
      <c r="AO182" s="53">
        <v>13</v>
      </c>
      <c r="AP182" s="53">
        <v>12</v>
      </c>
      <c r="AQ182" s="53">
        <v>3</v>
      </c>
    </row>
    <row r="183" spans="1:43">
      <c r="A183" s="58" t="s">
        <v>988</v>
      </c>
      <c r="B183" s="54">
        <v>3.05</v>
      </c>
      <c r="C183" s="54">
        <v>2.2000000000000002</v>
      </c>
      <c r="D183" s="54">
        <v>80.38</v>
      </c>
      <c r="E183" s="54">
        <v>91.88</v>
      </c>
      <c r="F183" s="54">
        <v>4.5599999999999996</v>
      </c>
      <c r="G183" s="54">
        <v>2.42</v>
      </c>
      <c r="H183" s="54">
        <v>76.19</v>
      </c>
      <c r="I183" s="54">
        <v>103.89</v>
      </c>
      <c r="J183" s="54">
        <v>6.64</v>
      </c>
      <c r="K183" s="54">
        <v>2.78</v>
      </c>
      <c r="L183" s="54">
        <v>95.14</v>
      </c>
      <c r="M183" s="54">
        <v>120.79</v>
      </c>
      <c r="N183" s="54">
        <v>9.09</v>
      </c>
      <c r="O183" s="54">
        <v>3.12</v>
      </c>
      <c r="P183" s="54">
        <v>106.24</v>
      </c>
      <c r="Q183" s="54">
        <v>133.44</v>
      </c>
      <c r="R183" s="53">
        <v>49</v>
      </c>
      <c r="S183" s="53">
        <v>17</v>
      </c>
      <c r="T183" s="53">
        <v>8</v>
      </c>
      <c r="U183" s="53">
        <v>12</v>
      </c>
      <c r="V183" s="53">
        <v>6</v>
      </c>
      <c r="W183" s="54">
        <v>3.11</v>
      </c>
      <c r="X183" s="54">
        <v>2.61</v>
      </c>
      <c r="Y183" s="54">
        <v>121.59</v>
      </c>
      <c r="Z183" s="54">
        <v>133.33000000000001</v>
      </c>
      <c r="AA183" s="54">
        <v>4.99</v>
      </c>
      <c r="AB183" s="54">
        <v>2.95</v>
      </c>
      <c r="AC183" s="54">
        <v>129.97999999999999</v>
      </c>
      <c r="AD183" s="54">
        <v>157.68</v>
      </c>
      <c r="AE183" s="54">
        <v>6.83</v>
      </c>
      <c r="AF183" s="54">
        <v>3.4</v>
      </c>
      <c r="AG183" s="54">
        <v>156.44</v>
      </c>
      <c r="AH183" s="54">
        <v>182.09</v>
      </c>
      <c r="AI183" s="54">
        <v>8.6199999999999992</v>
      </c>
      <c r="AJ183" s="54">
        <v>3.93</v>
      </c>
      <c r="AK183" s="54">
        <v>187.21</v>
      </c>
      <c r="AL183" s="54">
        <v>214.41</v>
      </c>
      <c r="AM183" s="53">
        <v>48</v>
      </c>
      <c r="AN183" s="53">
        <v>19</v>
      </c>
      <c r="AO183" s="53">
        <v>12</v>
      </c>
      <c r="AP183" s="53">
        <v>13</v>
      </c>
      <c r="AQ183" s="53">
        <v>3</v>
      </c>
    </row>
    <row r="184" spans="1:43">
      <c r="A184" s="58" t="s">
        <v>989</v>
      </c>
      <c r="B184" s="54">
        <v>3.1</v>
      </c>
      <c r="C184" s="54">
        <v>2</v>
      </c>
      <c r="D184" s="54">
        <v>80.75</v>
      </c>
      <c r="E184" s="54">
        <v>90.35</v>
      </c>
      <c r="F184" s="54">
        <v>4.5599999999999996</v>
      </c>
      <c r="G184" s="54">
        <v>2.2000000000000002</v>
      </c>
      <c r="H184" s="54">
        <v>81.89</v>
      </c>
      <c r="I184" s="54">
        <v>104.39</v>
      </c>
      <c r="J184" s="54">
        <v>6.65</v>
      </c>
      <c r="K184" s="54">
        <v>2.5499999999999998</v>
      </c>
      <c r="L184" s="54">
        <v>101.67</v>
      </c>
      <c r="M184" s="54">
        <v>124.48</v>
      </c>
      <c r="N184" s="54">
        <v>9.06</v>
      </c>
      <c r="O184" s="54">
        <v>2.85</v>
      </c>
      <c r="P184" s="54">
        <v>112.36</v>
      </c>
      <c r="Q184" s="54">
        <v>139.56</v>
      </c>
      <c r="R184" s="53">
        <v>46</v>
      </c>
      <c r="S184" s="53">
        <v>17</v>
      </c>
      <c r="T184" s="53">
        <v>8</v>
      </c>
      <c r="U184" s="53">
        <v>12</v>
      </c>
      <c r="V184" s="53">
        <v>6</v>
      </c>
      <c r="W184" s="54">
        <v>3.09</v>
      </c>
      <c r="X184" s="54">
        <v>2.4</v>
      </c>
      <c r="Y184" s="54">
        <v>120.18</v>
      </c>
      <c r="Z184" s="54">
        <v>129.99</v>
      </c>
      <c r="AA184" s="54">
        <v>4.99</v>
      </c>
      <c r="AB184" s="54">
        <v>2.73</v>
      </c>
      <c r="AC184" s="54">
        <v>134.81</v>
      </c>
      <c r="AD184" s="54">
        <v>157.30000000000001</v>
      </c>
      <c r="AE184" s="54">
        <v>6.84</v>
      </c>
      <c r="AF184" s="54">
        <v>3.19</v>
      </c>
      <c r="AG184" s="54">
        <v>165.78</v>
      </c>
      <c r="AH184" s="54">
        <v>188.58</v>
      </c>
      <c r="AI184" s="54">
        <v>8.7200000000000006</v>
      </c>
      <c r="AJ184" s="54">
        <v>3.68</v>
      </c>
      <c r="AK184" s="54">
        <v>194.94</v>
      </c>
      <c r="AL184" s="54">
        <v>222.14</v>
      </c>
      <c r="AM184" s="53">
        <v>48</v>
      </c>
      <c r="AN184" s="53">
        <v>21</v>
      </c>
      <c r="AO184" s="53">
        <v>11</v>
      </c>
      <c r="AP184" s="53">
        <v>12</v>
      </c>
      <c r="AQ184" s="53">
        <v>3</v>
      </c>
    </row>
    <row r="185" spans="1:43">
      <c r="A185" s="58" t="s">
        <v>990</v>
      </c>
      <c r="B185" s="54">
        <v>3.09</v>
      </c>
      <c r="C185" s="54">
        <v>1.83</v>
      </c>
      <c r="D185" s="54">
        <v>80.459999999999994</v>
      </c>
      <c r="E185" s="54">
        <v>87.87</v>
      </c>
      <c r="F185" s="54">
        <v>4.55</v>
      </c>
      <c r="G185" s="54">
        <v>2.0099999999999998</v>
      </c>
      <c r="H185" s="54">
        <v>81.3</v>
      </c>
      <c r="I185" s="54">
        <v>100.1</v>
      </c>
      <c r="J185" s="54">
        <v>6.68</v>
      </c>
      <c r="K185" s="54">
        <v>2.34</v>
      </c>
      <c r="L185" s="54">
        <v>98.08</v>
      </c>
      <c r="M185" s="54">
        <v>117.98</v>
      </c>
      <c r="N185" s="54">
        <v>9.15</v>
      </c>
      <c r="O185" s="54">
        <v>2.68</v>
      </c>
      <c r="P185" s="54">
        <v>111.25</v>
      </c>
      <c r="Q185" s="54">
        <v>135.30000000000001</v>
      </c>
      <c r="R185" s="53">
        <v>45</v>
      </c>
      <c r="S185" s="53">
        <v>18</v>
      </c>
      <c r="T185" s="53">
        <v>7</v>
      </c>
      <c r="U185" s="53">
        <v>13</v>
      </c>
      <c r="V185" s="53">
        <v>6</v>
      </c>
      <c r="W185" s="54">
        <v>3.12</v>
      </c>
      <c r="X185" s="54">
        <v>2.21</v>
      </c>
      <c r="Y185" s="54">
        <v>118.27</v>
      </c>
      <c r="Z185" s="54">
        <v>125.88</v>
      </c>
      <c r="AA185" s="54">
        <v>5</v>
      </c>
      <c r="AB185" s="54">
        <v>2.4900000000000002</v>
      </c>
      <c r="AC185" s="54">
        <v>129.30000000000001</v>
      </c>
      <c r="AD185" s="54">
        <v>148.1</v>
      </c>
      <c r="AE185" s="54">
        <v>6.83</v>
      </c>
      <c r="AF185" s="54">
        <v>2.94</v>
      </c>
      <c r="AG185" s="54">
        <v>158.72999999999999</v>
      </c>
      <c r="AH185" s="54">
        <v>178.63</v>
      </c>
      <c r="AI185" s="54">
        <v>8.67</v>
      </c>
      <c r="AJ185" s="54">
        <v>3.42</v>
      </c>
      <c r="AK185" s="54">
        <v>185.88</v>
      </c>
      <c r="AL185" s="54">
        <v>209.93</v>
      </c>
      <c r="AM185" s="53">
        <v>46</v>
      </c>
      <c r="AN185" s="53">
        <v>20</v>
      </c>
      <c r="AO185" s="53">
        <v>11</v>
      </c>
      <c r="AP185" s="53">
        <v>12</v>
      </c>
      <c r="AQ185" s="53">
        <v>3</v>
      </c>
    </row>
    <row r="186" spans="1:43">
      <c r="A186" s="58" t="s">
        <v>991</v>
      </c>
      <c r="B186" s="54">
        <v>3.1</v>
      </c>
      <c r="C186" s="54">
        <v>1.67</v>
      </c>
      <c r="D186" s="54">
        <v>81.209999999999994</v>
      </c>
      <c r="E186" s="54">
        <v>86.05</v>
      </c>
      <c r="F186" s="54">
        <v>4.47</v>
      </c>
      <c r="G186" s="54">
        <v>1.82</v>
      </c>
      <c r="H186" s="54">
        <v>79.2</v>
      </c>
      <c r="I186" s="54">
        <v>98.1</v>
      </c>
      <c r="J186" s="54">
        <v>6.59</v>
      </c>
      <c r="K186" s="54">
        <v>2.15</v>
      </c>
      <c r="L186" s="54">
        <v>96.17</v>
      </c>
      <c r="M186" s="54">
        <v>113.72</v>
      </c>
      <c r="N186" s="54">
        <v>8.6</v>
      </c>
      <c r="O186" s="54">
        <v>2.41</v>
      </c>
      <c r="P186" s="54">
        <v>100.79</v>
      </c>
      <c r="Q186" s="54">
        <v>122.69</v>
      </c>
      <c r="R186" s="53">
        <v>44</v>
      </c>
      <c r="S186" s="53">
        <v>17</v>
      </c>
      <c r="T186" s="53">
        <v>7</v>
      </c>
      <c r="U186" s="53">
        <v>10</v>
      </c>
      <c r="V186" s="53">
        <v>6</v>
      </c>
      <c r="W186" s="54">
        <v>3.14</v>
      </c>
      <c r="X186" s="54">
        <v>2.0099999999999998</v>
      </c>
      <c r="Y186" s="54">
        <v>115.74</v>
      </c>
      <c r="Z186" s="54">
        <v>120.74</v>
      </c>
      <c r="AA186" s="54">
        <v>5</v>
      </c>
      <c r="AB186" s="54">
        <v>2.25</v>
      </c>
      <c r="AC186" s="54">
        <v>121.61</v>
      </c>
      <c r="AD186" s="54">
        <v>140.51</v>
      </c>
      <c r="AE186" s="54">
        <v>6.79</v>
      </c>
      <c r="AF186" s="54">
        <v>2.69</v>
      </c>
      <c r="AG186" s="54">
        <v>150.59</v>
      </c>
      <c r="AH186" s="54">
        <v>168.14</v>
      </c>
      <c r="AI186" s="54">
        <v>8.44</v>
      </c>
      <c r="AJ186" s="54">
        <v>3.22</v>
      </c>
      <c r="AK186" s="54">
        <v>181.62</v>
      </c>
      <c r="AL186" s="54">
        <v>203.52</v>
      </c>
      <c r="AM186" s="53">
        <v>42</v>
      </c>
      <c r="AN186" s="53">
        <v>21</v>
      </c>
      <c r="AO186" s="53">
        <v>11</v>
      </c>
      <c r="AP186" s="53">
        <v>10</v>
      </c>
      <c r="AQ186" s="53">
        <v>3</v>
      </c>
    </row>
    <row r="187" spans="1:43">
      <c r="A187" s="58" t="s">
        <v>992</v>
      </c>
      <c r="B187" s="54">
        <v>3.11</v>
      </c>
      <c r="C187" s="54">
        <v>1.54</v>
      </c>
      <c r="D187" s="54">
        <v>83.21</v>
      </c>
      <c r="E187" s="54">
        <v>87.3</v>
      </c>
      <c r="F187" s="54">
        <v>4.55</v>
      </c>
      <c r="G187" s="54">
        <v>1.68</v>
      </c>
      <c r="H187" s="54">
        <v>84.28</v>
      </c>
      <c r="I187" s="54">
        <v>100.33</v>
      </c>
      <c r="J187" s="54">
        <v>6.71</v>
      </c>
      <c r="K187" s="54">
        <v>1.93</v>
      </c>
      <c r="L187" s="54">
        <v>98.99</v>
      </c>
      <c r="M187" s="54">
        <v>115.06</v>
      </c>
      <c r="N187" s="54">
        <v>9.14</v>
      </c>
      <c r="O187" s="54">
        <v>2.09</v>
      </c>
      <c r="P187" s="54">
        <v>100.83</v>
      </c>
      <c r="Q187" s="54">
        <v>120.71</v>
      </c>
      <c r="R187" s="53">
        <v>42</v>
      </c>
      <c r="S187" s="53">
        <v>17</v>
      </c>
      <c r="T187" s="53">
        <v>10</v>
      </c>
      <c r="U187" s="53">
        <v>11</v>
      </c>
      <c r="V187" s="53">
        <v>6</v>
      </c>
      <c r="W187" s="54">
        <v>3.13</v>
      </c>
      <c r="X187" s="54">
        <v>1.9</v>
      </c>
      <c r="Y187" s="54">
        <v>119.02</v>
      </c>
      <c r="Z187" s="54">
        <v>123.27</v>
      </c>
      <c r="AA187" s="54">
        <v>5</v>
      </c>
      <c r="AB187" s="54">
        <v>2.09</v>
      </c>
      <c r="AC187" s="54">
        <v>125.79</v>
      </c>
      <c r="AD187" s="54">
        <v>141.84</v>
      </c>
      <c r="AE187" s="54">
        <v>6.79</v>
      </c>
      <c r="AF187" s="54">
        <v>2.5</v>
      </c>
      <c r="AG187" s="54">
        <v>156.62</v>
      </c>
      <c r="AH187" s="54">
        <v>172.68</v>
      </c>
      <c r="AI187" s="54">
        <v>8.58</v>
      </c>
      <c r="AJ187" s="54">
        <v>2.86</v>
      </c>
      <c r="AK187" s="54">
        <v>177.75</v>
      </c>
      <c r="AL187" s="54">
        <v>197.63</v>
      </c>
      <c r="AM187" s="53">
        <v>42</v>
      </c>
      <c r="AN187" s="53">
        <v>23</v>
      </c>
      <c r="AO187" s="53">
        <v>10</v>
      </c>
      <c r="AP187" s="53">
        <v>12</v>
      </c>
      <c r="AQ187" s="53">
        <v>4</v>
      </c>
    </row>
    <row r="188" spans="1:43">
      <c r="A188" s="58" t="s">
        <v>993</v>
      </c>
      <c r="B188" s="54">
        <v>3.16</v>
      </c>
      <c r="C188" s="54">
        <v>1.59</v>
      </c>
      <c r="D188" s="54">
        <v>81.64</v>
      </c>
      <c r="E188" s="54">
        <v>85.45</v>
      </c>
      <c r="F188" s="54">
        <v>4.55</v>
      </c>
      <c r="G188" s="54">
        <v>1.72</v>
      </c>
      <c r="H188" s="54">
        <v>80.680000000000007</v>
      </c>
      <c r="I188" s="54">
        <v>96.93</v>
      </c>
      <c r="J188" s="54">
        <v>6.69</v>
      </c>
      <c r="K188" s="54">
        <v>1.97</v>
      </c>
      <c r="L188" s="54">
        <v>95.87</v>
      </c>
      <c r="M188" s="54">
        <v>109.97</v>
      </c>
      <c r="N188" s="54">
        <v>9.1199999999999992</v>
      </c>
      <c r="O188" s="54">
        <v>2.1800000000000002</v>
      </c>
      <c r="P188" s="54">
        <v>101.15</v>
      </c>
      <c r="Q188" s="54">
        <v>116</v>
      </c>
      <c r="R188" s="53">
        <v>46</v>
      </c>
      <c r="S188" s="53">
        <v>14</v>
      </c>
      <c r="T188" s="53">
        <v>12</v>
      </c>
      <c r="U188" s="53">
        <v>10</v>
      </c>
      <c r="V188" s="53">
        <v>6</v>
      </c>
      <c r="W188" s="54">
        <v>3.18</v>
      </c>
      <c r="X188" s="54">
        <v>1.93</v>
      </c>
      <c r="Y188" s="54">
        <v>115.68</v>
      </c>
      <c r="Z188" s="54">
        <v>119.64</v>
      </c>
      <c r="AA188" s="54">
        <v>5</v>
      </c>
      <c r="AB188" s="54">
        <v>2.12</v>
      </c>
      <c r="AC188" s="54">
        <v>120.96</v>
      </c>
      <c r="AD188" s="54">
        <v>137.21</v>
      </c>
      <c r="AE188" s="54">
        <v>6.81</v>
      </c>
      <c r="AF188" s="54">
        <v>2.54</v>
      </c>
      <c r="AG188" s="54">
        <v>152.03</v>
      </c>
      <c r="AH188" s="54">
        <v>166.13</v>
      </c>
      <c r="AI188" s="54">
        <v>8.77</v>
      </c>
      <c r="AJ188" s="54">
        <v>2.89</v>
      </c>
      <c r="AK188" s="54">
        <v>172.49</v>
      </c>
      <c r="AL188" s="54">
        <v>187.34</v>
      </c>
      <c r="AM188" s="53">
        <v>41</v>
      </c>
      <c r="AN188" s="53">
        <v>22</v>
      </c>
      <c r="AO188" s="53">
        <v>12</v>
      </c>
      <c r="AP188" s="53">
        <v>12</v>
      </c>
      <c r="AQ188" s="53">
        <v>4</v>
      </c>
    </row>
    <row r="189" spans="1:43">
      <c r="A189" s="58" t="s">
        <v>994</v>
      </c>
      <c r="B189" s="54">
        <v>3.16</v>
      </c>
      <c r="C189" s="54">
        <v>1.64</v>
      </c>
      <c r="D189" s="54">
        <v>77.959999999999994</v>
      </c>
      <c r="E189" s="54">
        <v>82.79</v>
      </c>
      <c r="F189" s="54">
        <v>4.57</v>
      </c>
      <c r="G189" s="54">
        <v>1.8</v>
      </c>
      <c r="H189" s="54">
        <v>78.040000000000006</v>
      </c>
      <c r="I189" s="54">
        <v>95.24</v>
      </c>
      <c r="J189" s="54">
        <v>6.71</v>
      </c>
      <c r="K189" s="54">
        <v>2.08</v>
      </c>
      <c r="L189" s="54">
        <v>94.22</v>
      </c>
      <c r="M189" s="54">
        <v>109.92</v>
      </c>
      <c r="N189" s="54">
        <v>9.07</v>
      </c>
      <c r="O189" s="54">
        <v>2.31</v>
      </c>
      <c r="P189" s="54">
        <v>100.81</v>
      </c>
      <c r="Q189" s="54">
        <v>116.71</v>
      </c>
      <c r="R189" s="53">
        <v>46</v>
      </c>
      <c r="S189" s="53">
        <v>12</v>
      </c>
      <c r="T189" s="53">
        <v>13</v>
      </c>
      <c r="U189" s="53">
        <v>10</v>
      </c>
      <c r="V189" s="53">
        <v>6</v>
      </c>
      <c r="W189" s="54">
        <v>3.29</v>
      </c>
      <c r="X189" s="54">
        <v>2.02</v>
      </c>
      <c r="Y189" s="54">
        <v>115.75</v>
      </c>
      <c r="Z189" s="54">
        <v>120.75</v>
      </c>
      <c r="AA189" s="54">
        <v>5.01</v>
      </c>
      <c r="AB189" s="54">
        <v>2.21</v>
      </c>
      <c r="AC189" s="54">
        <v>119.26</v>
      </c>
      <c r="AD189" s="54">
        <v>136.46</v>
      </c>
      <c r="AE189" s="54">
        <v>6.81</v>
      </c>
      <c r="AF189" s="54">
        <v>2.64</v>
      </c>
      <c r="AG189" s="54">
        <v>150.57</v>
      </c>
      <c r="AH189" s="54">
        <v>166.27</v>
      </c>
      <c r="AI189" s="54">
        <v>8.7200000000000006</v>
      </c>
      <c r="AJ189" s="54">
        <v>3.01</v>
      </c>
      <c r="AK189" s="54">
        <v>170.9</v>
      </c>
      <c r="AL189" s="54">
        <v>186.8</v>
      </c>
      <c r="AM189" s="53">
        <v>38</v>
      </c>
      <c r="AN189" s="53">
        <v>20</v>
      </c>
      <c r="AO189" s="53">
        <v>12</v>
      </c>
      <c r="AP189" s="53">
        <v>12</v>
      </c>
      <c r="AQ189" s="53">
        <v>4</v>
      </c>
    </row>
    <row r="190" spans="1:43">
      <c r="A190" s="58" t="s">
        <v>995</v>
      </c>
      <c r="B190" s="54">
        <v>3.12</v>
      </c>
      <c r="C190" s="54">
        <v>1.48</v>
      </c>
      <c r="D190" s="54">
        <v>77.56</v>
      </c>
      <c r="E190" s="54">
        <v>83.54</v>
      </c>
      <c r="F190" s="54">
        <v>4.47</v>
      </c>
      <c r="G190" s="54">
        <v>1.65</v>
      </c>
      <c r="H190" s="54">
        <v>76.12</v>
      </c>
      <c r="I190" s="54">
        <v>95.92</v>
      </c>
      <c r="J190" s="54">
        <v>6.59</v>
      </c>
      <c r="K190" s="54">
        <v>1.96</v>
      </c>
      <c r="L190" s="54">
        <v>93.48</v>
      </c>
      <c r="M190" s="54">
        <v>111.58</v>
      </c>
      <c r="N190" s="54">
        <v>8.48</v>
      </c>
      <c r="O190" s="54">
        <v>2.1800000000000002</v>
      </c>
      <c r="P190" s="54">
        <v>97.97</v>
      </c>
      <c r="Q190" s="54">
        <v>114.82</v>
      </c>
      <c r="R190" s="53">
        <v>45</v>
      </c>
      <c r="S190" s="53">
        <v>13</v>
      </c>
      <c r="T190" s="53">
        <v>12</v>
      </c>
      <c r="U190" s="53">
        <v>6</v>
      </c>
      <c r="V190" s="53">
        <v>6</v>
      </c>
      <c r="W190" s="54">
        <v>3.28</v>
      </c>
      <c r="X190" s="54">
        <v>1.82</v>
      </c>
      <c r="Y190" s="54">
        <v>111.41</v>
      </c>
      <c r="Z190" s="54">
        <v>117.52</v>
      </c>
      <c r="AA190" s="54">
        <v>5.0199999999999996</v>
      </c>
      <c r="AB190" s="54">
        <v>2.0299999999999998</v>
      </c>
      <c r="AC190" s="54">
        <v>113.67</v>
      </c>
      <c r="AD190" s="54">
        <v>133.47</v>
      </c>
      <c r="AE190" s="54">
        <v>6.77</v>
      </c>
      <c r="AF190" s="54">
        <v>2.44</v>
      </c>
      <c r="AG190" s="54">
        <v>141.69999999999999</v>
      </c>
      <c r="AH190" s="54">
        <v>159.80000000000001</v>
      </c>
      <c r="AI190" s="54">
        <v>8.52</v>
      </c>
      <c r="AJ190" s="54">
        <v>2.88</v>
      </c>
      <c r="AK190" s="54">
        <v>167.49</v>
      </c>
      <c r="AL190" s="54">
        <v>184.34</v>
      </c>
      <c r="AM190" s="53">
        <v>37</v>
      </c>
      <c r="AN190" s="53">
        <v>20</v>
      </c>
      <c r="AO190" s="53">
        <v>14</v>
      </c>
      <c r="AP190" s="53">
        <v>12</v>
      </c>
      <c r="AQ190" s="53">
        <v>3</v>
      </c>
    </row>
    <row r="191" spans="1:43">
      <c r="A191" s="58" t="s">
        <v>996</v>
      </c>
      <c r="B191" s="54">
        <v>3.08</v>
      </c>
      <c r="C191" s="54">
        <v>1.67</v>
      </c>
      <c r="D191" s="54">
        <v>71.05</v>
      </c>
      <c r="E191" s="54">
        <v>76.39</v>
      </c>
      <c r="F191" s="54">
        <v>4.55</v>
      </c>
      <c r="G191" s="54">
        <v>1.88</v>
      </c>
      <c r="H191" s="54">
        <v>69.510000000000005</v>
      </c>
      <c r="I191" s="54">
        <v>88.91</v>
      </c>
      <c r="J191" s="54">
        <v>6.74</v>
      </c>
      <c r="K191" s="54">
        <v>2.2000000000000002</v>
      </c>
      <c r="L191" s="54">
        <v>87.37</v>
      </c>
      <c r="M191" s="54">
        <v>106.57</v>
      </c>
      <c r="N191" s="54">
        <v>9.01</v>
      </c>
      <c r="O191" s="54">
        <v>2.4900000000000002</v>
      </c>
      <c r="P191" s="54">
        <v>96.45</v>
      </c>
      <c r="Q191" s="54">
        <v>111.95</v>
      </c>
      <c r="R191" s="53">
        <v>45</v>
      </c>
      <c r="S191" s="53">
        <v>11</v>
      </c>
      <c r="T191" s="53">
        <v>13</v>
      </c>
      <c r="U191" s="53">
        <v>9</v>
      </c>
      <c r="V191" s="53">
        <v>6</v>
      </c>
      <c r="W191" s="54">
        <v>3.16</v>
      </c>
      <c r="X191" s="54">
        <v>1.99</v>
      </c>
      <c r="Y191" s="54">
        <v>103.24</v>
      </c>
      <c r="Z191" s="54">
        <v>108.73</v>
      </c>
      <c r="AA191" s="54">
        <v>4.97</v>
      </c>
      <c r="AB191" s="54">
        <v>2.31</v>
      </c>
      <c r="AC191" s="54">
        <v>112.18</v>
      </c>
      <c r="AD191" s="54">
        <v>131.58000000000001</v>
      </c>
      <c r="AE191" s="54">
        <v>6.93</v>
      </c>
      <c r="AF191" s="54">
        <v>2.75</v>
      </c>
      <c r="AG191" s="54">
        <v>142.34</v>
      </c>
      <c r="AH191" s="54">
        <v>161.54</v>
      </c>
      <c r="AI191" s="54">
        <v>8.7200000000000006</v>
      </c>
      <c r="AJ191" s="54">
        <v>3.1</v>
      </c>
      <c r="AK191" s="54">
        <v>157.37</v>
      </c>
      <c r="AL191" s="54">
        <v>172.87</v>
      </c>
      <c r="AM191" s="53">
        <v>37</v>
      </c>
      <c r="AN191" s="53">
        <v>17</v>
      </c>
      <c r="AO191" s="53">
        <v>14</v>
      </c>
      <c r="AP191" s="53">
        <v>14</v>
      </c>
      <c r="AQ191" s="53">
        <v>4</v>
      </c>
    </row>
    <row r="192" spans="1:43">
      <c r="A192" s="58" t="s">
        <v>997</v>
      </c>
      <c r="B192" s="54">
        <v>3.07</v>
      </c>
      <c r="C192" s="54">
        <v>1.37</v>
      </c>
      <c r="D192" s="54">
        <v>73.53</v>
      </c>
      <c r="E192" s="54">
        <v>75.16</v>
      </c>
      <c r="F192" s="54">
        <v>4.5599999999999996</v>
      </c>
      <c r="G192" s="54">
        <v>1.5</v>
      </c>
      <c r="H192" s="54">
        <v>70.08</v>
      </c>
      <c r="I192" s="54">
        <v>83.98</v>
      </c>
      <c r="J192" s="54">
        <v>6.71</v>
      </c>
      <c r="K192" s="54">
        <v>1.76</v>
      </c>
      <c r="L192" s="54">
        <v>83.93</v>
      </c>
      <c r="M192" s="54">
        <v>98.63</v>
      </c>
      <c r="N192" s="54">
        <v>8.98</v>
      </c>
      <c r="O192" s="54">
        <v>1.96</v>
      </c>
      <c r="P192" s="54">
        <v>86.96</v>
      </c>
      <c r="Q192" s="54">
        <v>100.86</v>
      </c>
      <c r="R192" s="53">
        <v>44</v>
      </c>
      <c r="S192" s="53">
        <v>12</v>
      </c>
      <c r="T192" s="53">
        <v>13</v>
      </c>
      <c r="U192" s="53">
        <v>9</v>
      </c>
      <c r="V192" s="53">
        <v>6</v>
      </c>
      <c r="W192" s="54">
        <v>3.23</v>
      </c>
      <c r="X192" s="54">
        <v>1.69</v>
      </c>
      <c r="Y192" s="54">
        <v>105.06</v>
      </c>
      <c r="Z192" s="54">
        <v>106.81</v>
      </c>
      <c r="AA192" s="54">
        <v>5</v>
      </c>
      <c r="AB192" s="54">
        <v>1.87</v>
      </c>
      <c r="AC192" s="54">
        <v>106.47</v>
      </c>
      <c r="AD192" s="54">
        <v>120.37</v>
      </c>
      <c r="AE192" s="54">
        <v>6.81</v>
      </c>
      <c r="AF192" s="54">
        <v>2.2599999999999998</v>
      </c>
      <c r="AG192" s="54">
        <v>133.69999999999999</v>
      </c>
      <c r="AH192" s="54">
        <v>148.4</v>
      </c>
      <c r="AI192" s="54">
        <v>8.66</v>
      </c>
      <c r="AJ192" s="54">
        <v>2.58</v>
      </c>
      <c r="AK192" s="54">
        <v>148.88999999999999</v>
      </c>
      <c r="AL192" s="54">
        <v>162.79</v>
      </c>
      <c r="AM192" s="53">
        <v>37</v>
      </c>
      <c r="AN192" s="53">
        <v>20</v>
      </c>
      <c r="AO192" s="53">
        <v>14</v>
      </c>
      <c r="AP192" s="53">
        <v>14</v>
      </c>
      <c r="AQ192" s="53">
        <v>4</v>
      </c>
    </row>
    <row r="193" spans="1:43">
      <c r="A193" s="58" t="s">
        <v>998</v>
      </c>
      <c r="B193" s="54">
        <v>3.03</v>
      </c>
      <c r="C193" s="54">
        <v>1.28</v>
      </c>
      <c r="D193" s="54">
        <v>82.59</v>
      </c>
      <c r="E193" s="54">
        <v>78.349999999999994</v>
      </c>
      <c r="F193" s="54">
        <v>4.5599999999999996</v>
      </c>
      <c r="G193" s="54">
        <v>1.4</v>
      </c>
      <c r="H193" s="54">
        <v>77.02</v>
      </c>
      <c r="I193" s="54">
        <v>86.93</v>
      </c>
      <c r="J193" s="54">
        <v>6.73</v>
      </c>
      <c r="K193" s="54">
        <v>1.64</v>
      </c>
      <c r="L193" s="54">
        <v>89.47</v>
      </c>
      <c r="M193" s="54">
        <v>101.35</v>
      </c>
      <c r="N193" s="54">
        <v>9.15</v>
      </c>
      <c r="O193" s="54">
        <v>1.82</v>
      </c>
      <c r="P193" s="54">
        <v>90.42</v>
      </c>
      <c r="Q193" s="54">
        <v>100.52</v>
      </c>
      <c r="R193" s="53">
        <v>45</v>
      </c>
      <c r="S193" s="53">
        <v>11</v>
      </c>
      <c r="T193" s="53">
        <v>13</v>
      </c>
      <c r="U193" s="53">
        <v>10</v>
      </c>
      <c r="V193" s="53">
        <v>6</v>
      </c>
      <c r="W193" s="54">
        <v>3.24</v>
      </c>
      <c r="X193" s="54">
        <v>1.63</v>
      </c>
      <c r="Y193" s="54">
        <v>117.03</v>
      </c>
      <c r="Z193" s="54">
        <v>112.91</v>
      </c>
      <c r="AA193" s="54">
        <v>5</v>
      </c>
      <c r="AB193" s="54">
        <v>1.81</v>
      </c>
      <c r="AC193" s="54">
        <v>118.12</v>
      </c>
      <c r="AD193" s="54">
        <v>128.03</v>
      </c>
      <c r="AE193" s="54">
        <v>6.8</v>
      </c>
      <c r="AF193" s="54">
        <v>2.21</v>
      </c>
      <c r="AG193" s="54">
        <v>146.21</v>
      </c>
      <c r="AH193" s="54">
        <v>158.08000000000001</v>
      </c>
      <c r="AI193" s="54">
        <v>8.6199999999999992</v>
      </c>
      <c r="AJ193" s="54">
        <v>2.5</v>
      </c>
      <c r="AK193" s="54">
        <v>158</v>
      </c>
      <c r="AL193" s="54">
        <v>168.1</v>
      </c>
      <c r="AM193" s="53">
        <v>36</v>
      </c>
      <c r="AN193" s="53">
        <v>21</v>
      </c>
      <c r="AO193" s="53">
        <v>13</v>
      </c>
      <c r="AP193" s="53">
        <v>14</v>
      </c>
      <c r="AQ193" s="53">
        <v>4</v>
      </c>
    </row>
    <row r="194" spans="1:43">
      <c r="A194" s="58" t="s">
        <v>999</v>
      </c>
      <c r="B194" s="54">
        <v>3.06</v>
      </c>
      <c r="C194" s="54">
        <v>1.96</v>
      </c>
      <c r="D194" s="54">
        <v>158.87</v>
      </c>
      <c r="E194" s="54">
        <v>172.65</v>
      </c>
      <c r="F194" s="54">
        <v>4.58</v>
      </c>
      <c r="G194" s="54">
        <v>2.23</v>
      </c>
      <c r="H194" s="54">
        <v>166.21</v>
      </c>
      <c r="I194" s="54">
        <v>189.32</v>
      </c>
      <c r="J194" s="54">
        <v>6.73</v>
      </c>
      <c r="K194" s="54">
        <v>2.5</v>
      </c>
      <c r="L194" s="54">
        <v>178.58</v>
      </c>
      <c r="M194" s="54">
        <v>201.6</v>
      </c>
      <c r="N194" s="54">
        <v>9.1199999999999992</v>
      </c>
      <c r="O194" s="54">
        <v>2.71</v>
      </c>
      <c r="P194" s="54">
        <v>180.58</v>
      </c>
      <c r="Q194" s="54">
        <v>194.73</v>
      </c>
      <c r="R194" s="53">
        <v>38</v>
      </c>
      <c r="S194" s="53">
        <v>12</v>
      </c>
      <c r="T194" s="53">
        <v>13</v>
      </c>
      <c r="U194" s="53">
        <v>9</v>
      </c>
      <c r="V194" s="53">
        <v>6</v>
      </c>
      <c r="W194" s="54">
        <v>3.24</v>
      </c>
      <c r="X194" s="54">
        <v>2.35</v>
      </c>
      <c r="Y194" s="54">
        <v>197.23</v>
      </c>
      <c r="Z194" s="54">
        <v>211.21</v>
      </c>
      <c r="AA194" s="54">
        <v>5.01</v>
      </c>
      <c r="AB194" s="54">
        <v>2.77</v>
      </c>
      <c r="AC194" s="54">
        <v>220.23</v>
      </c>
      <c r="AD194" s="54">
        <v>243.34</v>
      </c>
      <c r="AE194" s="54">
        <v>6.79</v>
      </c>
      <c r="AF194" s="54">
        <v>3.3</v>
      </c>
      <c r="AG194" s="54">
        <v>258.45999999999998</v>
      </c>
      <c r="AH194" s="54">
        <v>281.47000000000003</v>
      </c>
      <c r="AI194" s="54">
        <v>8.57</v>
      </c>
      <c r="AJ194" s="54">
        <v>3.8</v>
      </c>
      <c r="AK194" s="54">
        <v>289.45</v>
      </c>
      <c r="AL194" s="54">
        <v>303.60000000000002</v>
      </c>
      <c r="AM194" s="53">
        <v>38</v>
      </c>
      <c r="AN194" s="53">
        <v>21</v>
      </c>
      <c r="AO194" s="53">
        <v>15</v>
      </c>
      <c r="AP194" s="53">
        <v>11</v>
      </c>
      <c r="AQ194" s="53">
        <v>4</v>
      </c>
    </row>
    <row r="195" spans="1:43">
      <c r="A195" s="58" t="s">
        <v>1000</v>
      </c>
      <c r="B195" s="54">
        <v>3.06</v>
      </c>
      <c r="C195" s="54">
        <v>1.73</v>
      </c>
      <c r="D195" s="54">
        <v>143.24</v>
      </c>
      <c r="E195" s="54">
        <v>147.52000000000001</v>
      </c>
      <c r="F195" s="54">
        <v>4.59</v>
      </c>
      <c r="G195" s="54">
        <v>1.95</v>
      </c>
      <c r="H195" s="54">
        <v>144.81</v>
      </c>
      <c r="I195" s="54">
        <v>153.71</v>
      </c>
      <c r="J195" s="54">
        <v>6.76</v>
      </c>
      <c r="K195" s="54">
        <v>2.23</v>
      </c>
      <c r="L195" s="54">
        <v>153.91</v>
      </c>
      <c r="M195" s="54">
        <v>162.51</v>
      </c>
      <c r="N195" s="54">
        <v>9.2100000000000009</v>
      </c>
      <c r="O195" s="54">
        <v>2.4300000000000002</v>
      </c>
      <c r="P195" s="54">
        <v>150.58000000000001</v>
      </c>
      <c r="Q195" s="54">
        <v>154.08000000000001</v>
      </c>
      <c r="R195" s="53">
        <v>35</v>
      </c>
      <c r="S195" s="53">
        <v>13</v>
      </c>
      <c r="T195" s="53">
        <v>12</v>
      </c>
      <c r="U195" s="53">
        <v>10</v>
      </c>
      <c r="V195" s="53">
        <v>6</v>
      </c>
      <c r="W195" s="54">
        <v>3.27</v>
      </c>
      <c r="X195" s="54">
        <v>2.38</v>
      </c>
      <c r="Y195" s="54">
        <v>208.53</v>
      </c>
      <c r="Z195" s="54">
        <v>213.13</v>
      </c>
      <c r="AA195" s="54">
        <v>5.0199999999999996</v>
      </c>
      <c r="AB195" s="54">
        <v>2.89</v>
      </c>
      <c r="AC195" s="54">
        <v>238.66</v>
      </c>
      <c r="AD195" s="54">
        <v>247.56</v>
      </c>
      <c r="AE195" s="54">
        <v>6.93</v>
      </c>
      <c r="AF195" s="54">
        <v>3.63</v>
      </c>
      <c r="AG195" s="54">
        <v>293.14999999999998</v>
      </c>
      <c r="AH195" s="54">
        <v>301.75</v>
      </c>
      <c r="AI195" s="54">
        <v>8.9</v>
      </c>
      <c r="AJ195" s="54">
        <v>3.97</v>
      </c>
      <c r="AK195" s="54">
        <v>304.08</v>
      </c>
      <c r="AL195" s="54">
        <v>307.58</v>
      </c>
      <c r="AM195" s="53">
        <v>39</v>
      </c>
      <c r="AN195" s="53">
        <v>19</v>
      </c>
      <c r="AO195" s="53">
        <v>16</v>
      </c>
      <c r="AP195" s="53">
        <v>12</v>
      </c>
      <c r="AQ195" s="53">
        <v>4</v>
      </c>
    </row>
    <row r="196" spans="1:43">
      <c r="A196" s="58" t="s">
        <v>1001</v>
      </c>
      <c r="B196" s="54">
        <v>2.99</v>
      </c>
      <c r="C196" s="54">
        <v>1.55</v>
      </c>
      <c r="D196" s="54">
        <v>126.96</v>
      </c>
      <c r="E196" s="54">
        <v>128.96</v>
      </c>
      <c r="F196" s="54">
        <v>4.51</v>
      </c>
      <c r="G196" s="54">
        <v>1.69</v>
      </c>
      <c r="H196" s="54">
        <v>123.1</v>
      </c>
      <c r="I196" s="54">
        <v>129.9</v>
      </c>
      <c r="J196" s="54">
        <v>6.74</v>
      </c>
      <c r="K196" s="54">
        <v>2.02</v>
      </c>
      <c r="L196" s="54">
        <v>138.22999999999999</v>
      </c>
      <c r="M196" s="54">
        <v>142.72999999999999</v>
      </c>
      <c r="N196" s="54">
        <v>9.15</v>
      </c>
      <c r="O196" s="54">
        <v>2.35</v>
      </c>
      <c r="P196" s="54">
        <v>147.11000000000001</v>
      </c>
      <c r="Q196" s="54">
        <v>146.11000000000001</v>
      </c>
      <c r="R196" s="53">
        <v>42</v>
      </c>
      <c r="S196" s="53">
        <v>13</v>
      </c>
      <c r="T196" s="53">
        <v>12</v>
      </c>
      <c r="U196" s="53">
        <v>10</v>
      </c>
      <c r="V196" s="53">
        <v>6</v>
      </c>
      <c r="W196" s="54">
        <v>3.32</v>
      </c>
      <c r="X196" s="54">
        <v>2.2200000000000002</v>
      </c>
      <c r="Y196" s="54">
        <v>193.91</v>
      </c>
      <c r="Z196" s="54">
        <v>196.22</v>
      </c>
      <c r="AA196" s="54">
        <v>5</v>
      </c>
      <c r="AB196" s="54">
        <v>2.62</v>
      </c>
      <c r="AC196" s="54">
        <v>216.3</v>
      </c>
      <c r="AD196" s="54">
        <v>223.1</v>
      </c>
      <c r="AE196" s="54">
        <v>6.94</v>
      </c>
      <c r="AF196" s="54">
        <v>3.28</v>
      </c>
      <c r="AG196" s="54">
        <v>263.75</v>
      </c>
      <c r="AH196" s="54">
        <v>268.25</v>
      </c>
      <c r="AI196" s="54">
        <v>8.99</v>
      </c>
      <c r="AJ196" s="54">
        <v>3.58</v>
      </c>
      <c r="AK196" s="54">
        <v>270.41000000000003</v>
      </c>
      <c r="AL196" s="54">
        <v>269.41000000000003</v>
      </c>
      <c r="AM196" s="53">
        <v>38</v>
      </c>
      <c r="AN196" s="53">
        <v>20</v>
      </c>
      <c r="AO196" s="53">
        <v>18</v>
      </c>
      <c r="AP196" s="53">
        <v>13</v>
      </c>
      <c r="AQ196" s="53">
        <v>5</v>
      </c>
    </row>
    <row r="197" spans="1:43">
      <c r="A197" s="58" t="s">
        <v>1002</v>
      </c>
      <c r="B197" s="54">
        <v>2.93</v>
      </c>
      <c r="C197" s="54">
        <v>1.32</v>
      </c>
      <c r="D197" s="54">
        <v>108.79</v>
      </c>
      <c r="E197" s="54">
        <v>107.01</v>
      </c>
      <c r="F197" s="54">
        <v>4.55</v>
      </c>
      <c r="G197" s="54">
        <v>1.48</v>
      </c>
      <c r="H197" s="54">
        <v>105.45</v>
      </c>
      <c r="I197" s="54">
        <v>108.9</v>
      </c>
      <c r="J197" s="54">
        <v>6.79</v>
      </c>
      <c r="K197" s="54">
        <v>1.82</v>
      </c>
      <c r="L197" s="54">
        <v>120.83</v>
      </c>
      <c r="M197" s="54">
        <v>123.33</v>
      </c>
      <c r="N197" s="54">
        <v>9.19</v>
      </c>
      <c r="O197" s="54">
        <v>2.12</v>
      </c>
      <c r="P197" s="54">
        <v>125.97</v>
      </c>
      <c r="Q197" s="54">
        <v>124.67</v>
      </c>
      <c r="R197" s="53">
        <v>41</v>
      </c>
      <c r="S197" s="53">
        <v>11</v>
      </c>
      <c r="T197" s="53">
        <v>11</v>
      </c>
      <c r="U197" s="53">
        <v>11</v>
      </c>
      <c r="V197" s="53">
        <v>6</v>
      </c>
      <c r="W197" s="54">
        <v>3.34</v>
      </c>
      <c r="X197" s="54">
        <v>1.99</v>
      </c>
      <c r="Y197" s="54">
        <v>175.09</v>
      </c>
      <c r="Z197" s="54">
        <v>173.58</v>
      </c>
      <c r="AA197" s="54">
        <v>4.97</v>
      </c>
      <c r="AB197" s="54">
        <v>2.37</v>
      </c>
      <c r="AC197" s="54">
        <v>194.3</v>
      </c>
      <c r="AD197" s="54">
        <v>197.75</v>
      </c>
      <c r="AE197" s="54">
        <v>6.91</v>
      </c>
      <c r="AF197" s="54">
        <v>3.02</v>
      </c>
      <c r="AG197" s="54">
        <v>240.84</v>
      </c>
      <c r="AH197" s="54">
        <v>243.34</v>
      </c>
      <c r="AI197" s="54">
        <v>9.01</v>
      </c>
      <c r="AJ197" s="54">
        <v>3.32</v>
      </c>
      <c r="AK197" s="54">
        <v>246.61</v>
      </c>
      <c r="AL197" s="54">
        <v>245.31</v>
      </c>
      <c r="AM197" s="53">
        <v>42</v>
      </c>
      <c r="AN197" s="53">
        <v>22</v>
      </c>
      <c r="AO197" s="53">
        <v>18</v>
      </c>
      <c r="AP197" s="53">
        <v>14</v>
      </c>
      <c r="AQ197" s="53">
        <v>5</v>
      </c>
    </row>
    <row r="198" spans="1:43">
      <c r="A198" s="58" t="s">
        <v>1003</v>
      </c>
      <c r="B198" s="54">
        <v>2.88</v>
      </c>
      <c r="C198" s="54">
        <v>1.01</v>
      </c>
      <c r="D198" s="54">
        <v>81.44</v>
      </c>
      <c r="E198" s="54">
        <v>74.67</v>
      </c>
      <c r="F198" s="54">
        <v>4.54</v>
      </c>
      <c r="G198" s="54">
        <v>1.17</v>
      </c>
      <c r="H198" s="54">
        <v>81.02</v>
      </c>
      <c r="I198" s="54">
        <v>77.819999999999993</v>
      </c>
      <c r="J198" s="54">
        <v>6.79</v>
      </c>
      <c r="K198" s="54">
        <v>1.49</v>
      </c>
      <c r="L198" s="54">
        <v>97.16</v>
      </c>
      <c r="M198" s="54">
        <v>94.46</v>
      </c>
      <c r="N198" s="54">
        <v>9.11</v>
      </c>
      <c r="O198" s="54">
        <v>1.71</v>
      </c>
      <c r="P198" s="54">
        <v>95.58</v>
      </c>
      <c r="Q198" s="54">
        <v>89.31</v>
      </c>
      <c r="R198" s="53">
        <v>42</v>
      </c>
      <c r="S198" s="53">
        <v>10</v>
      </c>
      <c r="T198" s="53">
        <v>11</v>
      </c>
      <c r="U198" s="53">
        <v>10</v>
      </c>
      <c r="V198" s="53">
        <v>7</v>
      </c>
      <c r="W198" s="54">
        <v>3.35</v>
      </c>
      <c r="X198" s="54">
        <v>1.73</v>
      </c>
      <c r="Y198" s="54">
        <v>153.11000000000001</v>
      </c>
      <c r="Z198" s="54">
        <v>146.58000000000001</v>
      </c>
      <c r="AA198" s="54">
        <v>4.99</v>
      </c>
      <c r="AB198" s="54">
        <v>2.06</v>
      </c>
      <c r="AC198" s="54">
        <v>170.02</v>
      </c>
      <c r="AD198" s="54">
        <v>166.82</v>
      </c>
      <c r="AE198" s="54">
        <v>6.88</v>
      </c>
      <c r="AF198" s="54">
        <v>2.62</v>
      </c>
      <c r="AG198" s="54">
        <v>210.69</v>
      </c>
      <c r="AH198" s="54">
        <v>207.99</v>
      </c>
      <c r="AI198" s="54">
        <v>8.9</v>
      </c>
      <c r="AJ198" s="54">
        <v>2.78</v>
      </c>
      <c r="AK198" s="54">
        <v>202.84</v>
      </c>
      <c r="AL198" s="54">
        <v>196.57</v>
      </c>
      <c r="AM198" s="53">
        <v>42</v>
      </c>
      <c r="AN198" s="53">
        <v>21</v>
      </c>
      <c r="AO198" s="53">
        <v>20</v>
      </c>
      <c r="AP198" s="53">
        <v>13</v>
      </c>
      <c r="AQ198" s="53">
        <v>5</v>
      </c>
    </row>
    <row r="199" spans="1:43">
      <c r="A199" s="58" t="s">
        <v>1004</v>
      </c>
      <c r="B199" s="54">
        <v>2.86</v>
      </c>
      <c r="C199" s="54">
        <v>0.92</v>
      </c>
      <c r="D199" s="54">
        <v>72.44</v>
      </c>
      <c r="E199" s="54">
        <v>66.150000000000006</v>
      </c>
      <c r="F199" s="54">
        <v>4.5599999999999996</v>
      </c>
      <c r="G199" s="54">
        <v>1.1299999999999999</v>
      </c>
      <c r="H199" s="54">
        <v>73.33</v>
      </c>
      <c r="I199" s="54">
        <v>70.930000000000007</v>
      </c>
      <c r="J199" s="54">
        <v>6.79</v>
      </c>
      <c r="K199" s="54">
        <v>1.52</v>
      </c>
      <c r="L199" s="54">
        <v>90.9</v>
      </c>
      <c r="M199" s="54">
        <v>86.4</v>
      </c>
      <c r="N199" s="54">
        <v>9.08</v>
      </c>
      <c r="O199" s="54">
        <v>1.8</v>
      </c>
      <c r="P199" s="54">
        <v>89.77</v>
      </c>
      <c r="Q199" s="54">
        <v>81.48</v>
      </c>
      <c r="R199" s="53">
        <v>42</v>
      </c>
      <c r="S199" s="53">
        <v>9</v>
      </c>
      <c r="T199" s="53">
        <v>12</v>
      </c>
      <c r="U199" s="53">
        <v>9</v>
      </c>
      <c r="V199" s="53">
        <v>7</v>
      </c>
      <c r="W199" s="54">
        <v>3.35</v>
      </c>
      <c r="X199" s="54">
        <v>1.65</v>
      </c>
      <c r="Y199" s="54">
        <v>144.75</v>
      </c>
      <c r="Z199" s="54">
        <v>138.69</v>
      </c>
      <c r="AA199" s="54">
        <v>4.9800000000000004</v>
      </c>
      <c r="AB199" s="54">
        <v>1.99</v>
      </c>
      <c r="AC199" s="54">
        <v>159.18</v>
      </c>
      <c r="AD199" s="54">
        <v>156.78</v>
      </c>
      <c r="AE199" s="54">
        <v>6.88</v>
      </c>
      <c r="AF199" s="54">
        <v>2.58</v>
      </c>
      <c r="AG199" s="54">
        <v>196.79</v>
      </c>
      <c r="AH199" s="54">
        <v>192.29</v>
      </c>
      <c r="AI199" s="54">
        <v>8.9</v>
      </c>
      <c r="AJ199" s="54">
        <v>2.77</v>
      </c>
      <c r="AK199" s="54">
        <v>186.93</v>
      </c>
      <c r="AL199" s="54">
        <v>178.64</v>
      </c>
      <c r="AM199" s="53">
        <v>41</v>
      </c>
      <c r="AN199" s="53">
        <v>21</v>
      </c>
      <c r="AO199" s="53">
        <v>20</v>
      </c>
      <c r="AP199" s="53">
        <v>13</v>
      </c>
      <c r="AQ199" s="53">
        <v>5</v>
      </c>
    </row>
    <row r="200" spans="1:43">
      <c r="A200" s="58" t="s">
        <v>1005</v>
      </c>
      <c r="B200" s="54">
        <v>2.83</v>
      </c>
      <c r="C200" s="54">
        <v>0.84</v>
      </c>
      <c r="D200" s="54">
        <v>70.930000000000007</v>
      </c>
      <c r="E200" s="54">
        <v>68.12</v>
      </c>
      <c r="F200" s="54">
        <v>4.57</v>
      </c>
      <c r="G200" s="54">
        <v>1.02</v>
      </c>
      <c r="H200" s="54">
        <v>72.819999999999993</v>
      </c>
      <c r="I200" s="54">
        <v>73.02</v>
      </c>
      <c r="J200" s="54">
        <v>6.8</v>
      </c>
      <c r="K200" s="54">
        <v>1.36</v>
      </c>
      <c r="L200" s="54">
        <v>87.04</v>
      </c>
      <c r="M200" s="54">
        <v>87.34</v>
      </c>
      <c r="N200" s="54">
        <v>9</v>
      </c>
      <c r="O200" s="54">
        <v>1.56</v>
      </c>
      <c r="P200" s="54">
        <v>80.819999999999993</v>
      </c>
      <c r="Q200" s="54">
        <v>77.02</v>
      </c>
      <c r="R200" s="53">
        <v>44</v>
      </c>
      <c r="S200" s="53">
        <v>8</v>
      </c>
      <c r="T200" s="53">
        <v>13</v>
      </c>
      <c r="U200" s="53">
        <v>8</v>
      </c>
      <c r="V200" s="53">
        <v>6</v>
      </c>
      <c r="W200" s="54">
        <v>3.33</v>
      </c>
      <c r="X200" s="54">
        <v>1.56</v>
      </c>
      <c r="Y200" s="54">
        <v>142.76</v>
      </c>
      <c r="Z200" s="54">
        <v>140.16999999999999</v>
      </c>
      <c r="AA200" s="54">
        <v>4.96</v>
      </c>
      <c r="AB200" s="54">
        <v>1.9</v>
      </c>
      <c r="AC200" s="54">
        <v>161.56</v>
      </c>
      <c r="AD200" s="54">
        <v>161.76</v>
      </c>
      <c r="AE200" s="54">
        <v>6.89</v>
      </c>
      <c r="AF200" s="54">
        <v>2.5099999999999998</v>
      </c>
      <c r="AG200" s="54">
        <v>201.84</v>
      </c>
      <c r="AH200" s="54">
        <v>202.14</v>
      </c>
      <c r="AI200" s="54">
        <v>8.9600000000000009</v>
      </c>
      <c r="AJ200" s="54">
        <v>2.61</v>
      </c>
      <c r="AK200" s="54">
        <v>186.47</v>
      </c>
      <c r="AL200" s="54">
        <v>182.67</v>
      </c>
      <c r="AM200" s="53">
        <v>40</v>
      </c>
      <c r="AN200" s="53">
        <v>18</v>
      </c>
      <c r="AO200" s="53">
        <v>18</v>
      </c>
      <c r="AP200" s="53">
        <v>11</v>
      </c>
      <c r="AQ200" s="53">
        <v>5</v>
      </c>
    </row>
    <row r="201" spans="1:43">
      <c r="A201" s="58" t="s">
        <v>1006</v>
      </c>
      <c r="B201" s="54">
        <v>2.88</v>
      </c>
      <c r="C201" s="54">
        <v>0.71</v>
      </c>
      <c r="D201" s="54">
        <v>60.83</v>
      </c>
      <c r="E201" s="54">
        <v>58.62</v>
      </c>
      <c r="F201" s="54">
        <v>4.5999999999999996</v>
      </c>
      <c r="G201" s="54">
        <v>0.9</v>
      </c>
      <c r="H201" s="54">
        <v>63.91</v>
      </c>
      <c r="I201" s="54">
        <v>61.51</v>
      </c>
      <c r="J201" s="54">
        <v>6.81</v>
      </c>
      <c r="K201" s="54">
        <v>1.24</v>
      </c>
      <c r="L201" s="54">
        <v>76.89</v>
      </c>
      <c r="M201" s="54">
        <v>73.290000000000006</v>
      </c>
      <c r="N201" s="54">
        <v>9.0500000000000007</v>
      </c>
      <c r="O201" s="54">
        <v>1.43</v>
      </c>
      <c r="P201" s="54">
        <v>65.84</v>
      </c>
      <c r="Q201" s="54">
        <v>60.15</v>
      </c>
      <c r="R201" s="53">
        <v>45</v>
      </c>
      <c r="S201" s="53">
        <v>7</v>
      </c>
      <c r="T201" s="53">
        <v>12</v>
      </c>
      <c r="U201" s="53">
        <v>10</v>
      </c>
      <c r="V201" s="53">
        <v>7</v>
      </c>
      <c r="W201" s="54">
        <v>3.43</v>
      </c>
      <c r="X201" s="54">
        <v>1.41</v>
      </c>
      <c r="Y201" s="54">
        <v>130.87</v>
      </c>
      <c r="Z201" s="54">
        <v>128.84</v>
      </c>
      <c r="AA201" s="54">
        <v>4.99</v>
      </c>
      <c r="AB201" s="54">
        <v>1.75</v>
      </c>
      <c r="AC201" s="54">
        <v>149.15</v>
      </c>
      <c r="AD201" s="54">
        <v>146.75</v>
      </c>
      <c r="AE201" s="54">
        <v>6.89</v>
      </c>
      <c r="AF201" s="54">
        <v>2.38</v>
      </c>
      <c r="AG201" s="54">
        <v>190.78</v>
      </c>
      <c r="AH201" s="54">
        <v>187.18</v>
      </c>
      <c r="AI201" s="54">
        <v>9.06</v>
      </c>
      <c r="AJ201" s="54">
        <v>2.54</v>
      </c>
      <c r="AK201" s="54">
        <v>176.47</v>
      </c>
      <c r="AL201" s="54">
        <v>170.78</v>
      </c>
      <c r="AM201" s="53">
        <v>39</v>
      </c>
      <c r="AN201" s="53">
        <v>19</v>
      </c>
      <c r="AO201" s="53">
        <v>20</v>
      </c>
      <c r="AP201" s="53">
        <v>16</v>
      </c>
      <c r="AQ201" s="53">
        <v>5</v>
      </c>
    </row>
    <row r="202" spans="1:43">
      <c r="A202" s="58" t="s">
        <v>1007</v>
      </c>
      <c r="B202" s="54">
        <v>2.88</v>
      </c>
      <c r="C202" s="54">
        <v>0.63</v>
      </c>
      <c r="D202" s="54">
        <v>49.92</v>
      </c>
      <c r="E202" s="54">
        <v>51.97</v>
      </c>
      <c r="F202" s="54">
        <v>4.62</v>
      </c>
      <c r="G202" s="54">
        <v>0.85</v>
      </c>
      <c r="H202" s="54">
        <v>51.75</v>
      </c>
      <c r="I202" s="54">
        <v>55.45</v>
      </c>
      <c r="J202" s="54">
        <v>6.82</v>
      </c>
      <c r="K202" s="54">
        <v>1.2</v>
      </c>
      <c r="L202" s="54">
        <v>63.71</v>
      </c>
      <c r="M202" s="54">
        <v>66.5</v>
      </c>
      <c r="N202" s="54">
        <v>9.0399999999999991</v>
      </c>
      <c r="O202" s="54">
        <v>1.43</v>
      </c>
      <c r="P202" s="54">
        <v>55.69</v>
      </c>
      <c r="Q202" s="54">
        <v>53.39</v>
      </c>
      <c r="R202" s="53">
        <v>42</v>
      </c>
      <c r="S202" s="53">
        <v>7</v>
      </c>
      <c r="T202" s="53">
        <v>12</v>
      </c>
      <c r="U202" s="53">
        <v>11</v>
      </c>
      <c r="V202" s="53">
        <v>7</v>
      </c>
      <c r="W202" s="54">
        <v>3.41</v>
      </c>
      <c r="X202" s="54">
        <v>1.18</v>
      </c>
      <c r="Y202" s="54">
        <v>104.92</v>
      </c>
      <c r="Z202" s="54">
        <v>107.1</v>
      </c>
      <c r="AA202" s="54">
        <v>4.99</v>
      </c>
      <c r="AB202" s="54">
        <v>1.53</v>
      </c>
      <c r="AC202" s="54">
        <v>119.54</v>
      </c>
      <c r="AD202" s="54">
        <v>123.24</v>
      </c>
      <c r="AE202" s="54">
        <v>6.89</v>
      </c>
      <c r="AF202" s="54">
        <v>2.15</v>
      </c>
      <c r="AG202" s="54">
        <v>158.59</v>
      </c>
      <c r="AH202" s="54">
        <v>161.38</v>
      </c>
      <c r="AI202" s="54">
        <v>9</v>
      </c>
      <c r="AJ202" s="54">
        <v>2.2999999999999998</v>
      </c>
      <c r="AK202" s="54">
        <v>142.62</v>
      </c>
      <c r="AL202" s="54">
        <v>140.33000000000001</v>
      </c>
      <c r="AM202" s="53">
        <v>39</v>
      </c>
      <c r="AN202" s="53">
        <v>22</v>
      </c>
      <c r="AO202" s="53">
        <v>19</v>
      </c>
      <c r="AP202" s="53">
        <v>16</v>
      </c>
      <c r="AQ202" s="53">
        <v>5</v>
      </c>
    </row>
    <row r="203" spans="1:43">
      <c r="A203" s="58" t="s">
        <v>1008</v>
      </c>
      <c r="B203" s="54">
        <v>2.84</v>
      </c>
      <c r="C203" s="54">
        <v>0.62</v>
      </c>
      <c r="D203" s="54">
        <v>47.87</v>
      </c>
      <c r="E203" s="54">
        <v>51.12</v>
      </c>
      <c r="F203" s="54">
        <v>4.63</v>
      </c>
      <c r="G203" s="54">
        <v>0.86</v>
      </c>
      <c r="H203" s="54">
        <v>47.99</v>
      </c>
      <c r="I203" s="54">
        <v>53.59</v>
      </c>
      <c r="J203" s="54">
        <v>6.81</v>
      </c>
      <c r="K203" s="54">
        <v>1.24</v>
      </c>
      <c r="L203" s="54">
        <v>59.68</v>
      </c>
      <c r="M203" s="54">
        <v>63.68</v>
      </c>
      <c r="N203" s="54">
        <v>9.01</v>
      </c>
      <c r="O203" s="54">
        <v>1.51</v>
      </c>
      <c r="P203" s="54">
        <v>52.65</v>
      </c>
      <c r="Q203" s="54">
        <v>53.95</v>
      </c>
      <c r="R203" s="53">
        <v>43</v>
      </c>
      <c r="S203" s="53">
        <v>7</v>
      </c>
      <c r="T203" s="53">
        <v>12</v>
      </c>
      <c r="U203" s="53">
        <v>11</v>
      </c>
      <c r="V203" s="53">
        <v>7</v>
      </c>
      <c r="W203" s="54">
        <v>3.39</v>
      </c>
      <c r="X203" s="54">
        <v>1.1000000000000001</v>
      </c>
      <c r="Y203" s="54">
        <v>96.22</v>
      </c>
      <c r="Z203" s="54">
        <v>99.57</v>
      </c>
      <c r="AA203" s="54">
        <v>4.99</v>
      </c>
      <c r="AB203" s="54">
        <v>1.49</v>
      </c>
      <c r="AC203" s="54">
        <v>110.54</v>
      </c>
      <c r="AD203" s="54">
        <v>116.14</v>
      </c>
      <c r="AE203" s="54">
        <v>6.88</v>
      </c>
      <c r="AF203" s="54">
        <v>2.13</v>
      </c>
      <c r="AG203" s="54">
        <v>148.56</v>
      </c>
      <c r="AH203" s="54">
        <v>152.56</v>
      </c>
      <c r="AI203" s="54">
        <v>8.9600000000000009</v>
      </c>
      <c r="AJ203" s="54">
        <v>2.29</v>
      </c>
      <c r="AK203" s="54">
        <v>130.38999999999999</v>
      </c>
      <c r="AL203" s="54">
        <v>131.69</v>
      </c>
      <c r="AM203" s="53">
        <v>40</v>
      </c>
      <c r="AN203" s="53">
        <v>20</v>
      </c>
      <c r="AO203" s="53">
        <v>19</v>
      </c>
      <c r="AP203" s="53">
        <v>16</v>
      </c>
      <c r="AQ203" s="53">
        <v>5</v>
      </c>
    </row>
    <row r="204" spans="1:43">
      <c r="A204" s="58" t="s">
        <v>1009</v>
      </c>
      <c r="B204" s="54">
        <v>2.83</v>
      </c>
      <c r="C204" s="54">
        <v>0.65</v>
      </c>
      <c r="D204" s="54">
        <v>48.81</v>
      </c>
      <c r="E204" s="54">
        <v>53.52</v>
      </c>
      <c r="F204" s="54">
        <v>4.6399999999999997</v>
      </c>
      <c r="G204" s="54">
        <v>0.92</v>
      </c>
      <c r="H204" s="54">
        <v>46.65</v>
      </c>
      <c r="I204" s="54">
        <v>52.35</v>
      </c>
      <c r="J204" s="54">
        <v>6.81</v>
      </c>
      <c r="K204" s="54">
        <v>1.33</v>
      </c>
      <c r="L204" s="54">
        <v>56.6</v>
      </c>
      <c r="M204" s="54">
        <v>57.5</v>
      </c>
      <c r="N204" s="54">
        <v>8.98</v>
      </c>
      <c r="O204" s="54">
        <v>1.66</v>
      </c>
      <c r="P204" s="54">
        <v>51.96</v>
      </c>
      <c r="Q204" s="54">
        <v>53.06</v>
      </c>
      <c r="R204" s="53">
        <v>42</v>
      </c>
      <c r="S204" s="53">
        <v>7</v>
      </c>
      <c r="T204" s="53">
        <v>12</v>
      </c>
      <c r="U204" s="53">
        <v>11</v>
      </c>
      <c r="V204" s="53">
        <v>7</v>
      </c>
      <c r="W204" s="54">
        <v>3.36</v>
      </c>
      <c r="X204" s="54">
        <v>1.07</v>
      </c>
      <c r="Y204" s="54">
        <v>91.55</v>
      </c>
      <c r="Z204" s="54">
        <v>96.35</v>
      </c>
      <c r="AA204" s="54">
        <v>5</v>
      </c>
      <c r="AB204" s="54">
        <v>1.49</v>
      </c>
      <c r="AC204" s="54">
        <v>102.88</v>
      </c>
      <c r="AD204" s="54">
        <v>108.58</v>
      </c>
      <c r="AE204" s="54">
        <v>6.88</v>
      </c>
      <c r="AF204" s="54">
        <v>2.12</v>
      </c>
      <c r="AG204" s="54">
        <v>135.27000000000001</v>
      </c>
      <c r="AH204" s="54">
        <v>136.16999999999999</v>
      </c>
      <c r="AI204" s="54">
        <v>8.91</v>
      </c>
      <c r="AJ204" s="54">
        <v>2.3199999999999998</v>
      </c>
      <c r="AK204" s="54">
        <v>117.31</v>
      </c>
      <c r="AL204" s="54">
        <v>118.41</v>
      </c>
      <c r="AM204" s="53">
        <v>40</v>
      </c>
      <c r="AN204" s="53">
        <v>20</v>
      </c>
      <c r="AO204" s="53">
        <v>19</v>
      </c>
      <c r="AP204" s="53">
        <v>16</v>
      </c>
      <c r="AQ204" s="53">
        <v>5</v>
      </c>
    </row>
    <row r="205" spans="1:43">
      <c r="A205" s="58" t="s">
        <v>1010</v>
      </c>
      <c r="B205" s="51">
        <v>2.83</v>
      </c>
      <c r="C205" s="51">
        <v>0.91</v>
      </c>
      <c r="D205" s="51">
        <v>55.58</v>
      </c>
      <c r="E205" s="51">
        <v>79.61</v>
      </c>
      <c r="F205" s="51">
        <v>4.66</v>
      </c>
      <c r="G205" s="51">
        <v>1.42</v>
      </c>
      <c r="H205" s="51">
        <v>53.87</v>
      </c>
      <c r="I205" s="51">
        <v>42.57</v>
      </c>
      <c r="J205" s="51">
        <v>6.8</v>
      </c>
      <c r="K205" s="51">
        <v>2.0099999999999998</v>
      </c>
      <c r="L205" s="51">
        <v>66.150000000000006</v>
      </c>
      <c r="M205" s="51">
        <v>56.87</v>
      </c>
      <c r="N205" s="51">
        <v>8.9499999999999993</v>
      </c>
      <c r="O205" s="51">
        <v>2.52</v>
      </c>
      <c r="P205" s="51">
        <v>71.099999999999994</v>
      </c>
      <c r="Q205" s="51">
        <v>60.22</v>
      </c>
      <c r="R205" s="53">
        <v>40</v>
      </c>
      <c r="S205" s="53">
        <v>8</v>
      </c>
      <c r="T205" s="53">
        <v>11</v>
      </c>
      <c r="U205" s="53">
        <v>11</v>
      </c>
      <c r="V205" s="53">
        <v>7</v>
      </c>
      <c r="W205" s="51">
        <v>3.34</v>
      </c>
      <c r="X205" s="51">
        <v>1.41</v>
      </c>
      <c r="Y205" s="51">
        <v>104.86</v>
      </c>
      <c r="Z205" s="51">
        <v>129.03</v>
      </c>
      <c r="AA205" s="51">
        <v>5</v>
      </c>
      <c r="AB205" s="51">
        <v>2.0099999999999998</v>
      </c>
      <c r="AC205" s="51">
        <v>112.55</v>
      </c>
      <c r="AD205" s="51">
        <v>101.25</v>
      </c>
      <c r="AE205" s="51">
        <v>6.87</v>
      </c>
      <c r="AF205" s="51">
        <v>2.79</v>
      </c>
      <c r="AG205" s="51">
        <v>144.5</v>
      </c>
      <c r="AH205" s="51">
        <v>135.22</v>
      </c>
      <c r="AI205" s="51">
        <v>8.8699999999999992</v>
      </c>
      <c r="AJ205" s="51">
        <v>3.11</v>
      </c>
      <c r="AK205" s="51">
        <v>130.57</v>
      </c>
      <c r="AL205" s="51">
        <v>119.69</v>
      </c>
      <c r="AM205" s="53">
        <v>40</v>
      </c>
      <c r="AN205" s="53">
        <v>21</v>
      </c>
      <c r="AO205" s="53">
        <v>18</v>
      </c>
      <c r="AP205" s="53">
        <v>16</v>
      </c>
      <c r="AQ205" s="53">
        <v>5</v>
      </c>
    </row>
    <row r="206" spans="1:43">
      <c r="A206" s="58" t="s">
        <v>1011</v>
      </c>
      <c r="B206" s="56">
        <v>2.81</v>
      </c>
      <c r="C206" s="56">
        <v>0.87</v>
      </c>
      <c r="D206" s="56">
        <v>52.23</v>
      </c>
      <c r="E206" s="56">
        <v>75.83</v>
      </c>
      <c r="F206" s="56">
        <v>4.6500000000000004</v>
      </c>
      <c r="G206" s="56">
        <v>1.41</v>
      </c>
      <c r="H206" s="56">
        <v>50.58</v>
      </c>
      <c r="I206" s="56">
        <v>52.44</v>
      </c>
      <c r="J206" s="56">
        <v>6.79</v>
      </c>
      <c r="K206" s="56">
        <v>2.02</v>
      </c>
      <c r="L206" s="56">
        <v>63.89</v>
      </c>
      <c r="M206" s="56">
        <v>75.88</v>
      </c>
      <c r="N206" s="56">
        <v>8.91</v>
      </c>
      <c r="O206" s="56">
        <v>2.54</v>
      </c>
      <c r="P206" s="56">
        <v>68.540000000000006</v>
      </c>
      <c r="Q206" s="56">
        <v>74.94</v>
      </c>
      <c r="R206" s="56">
        <v>41</v>
      </c>
      <c r="S206" s="56">
        <v>8</v>
      </c>
      <c r="T206" s="56">
        <v>12</v>
      </c>
      <c r="U206" s="56">
        <v>10</v>
      </c>
      <c r="V206" s="56">
        <v>7</v>
      </c>
      <c r="W206" s="56">
        <v>3.38</v>
      </c>
      <c r="X206" s="56">
        <v>1.38</v>
      </c>
      <c r="Y206" s="56">
        <v>103.22</v>
      </c>
      <c r="Z206" s="56">
        <v>126.96</v>
      </c>
      <c r="AA206" s="56">
        <v>4.99</v>
      </c>
      <c r="AB206" s="56">
        <v>2.02</v>
      </c>
      <c r="AC206" s="56">
        <v>112.19</v>
      </c>
      <c r="AD206" s="56">
        <v>114.05</v>
      </c>
      <c r="AE206" s="56">
        <v>6.85</v>
      </c>
      <c r="AF206" s="55">
        <v>2.8</v>
      </c>
      <c r="AG206" s="56">
        <v>142.19</v>
      </c>
      <c r="AH206" s="56">
        <v>154.18</v>
      </c>
      <c r="AI206" s="56">
        <v>8.82</v>
      </c>
      <c r="AJ206" s="56">
        <v>3.15</v>
      </c>
      <c r="AK206" s="56">
        <v>129.94</v>
      </c>
      <c r="AL206" s="56">
        <v>136.34</v>
      </c>
      <c r="AM206" s="56">
        <v>40</v>
      </c>
      <c r="AN206" s="56">
        <v>21</v>
      </c>
      <c r="AO206" s="56">
        <v>18</v>
      </c>
      <c r="AP206" s="56">
        <v>14</v>
      </c>
      <c r="AQ206" s="56">
        <v>5</v>
      </c>
    </row>
    <row r="207" spans="1:43">
      <c r="A207" s="58" t="s">
        <v>1012</v>
      </c>
      <c r="B207" s="56">
        <v>2.79</v>
      </c>
      <c r="C207" s="56">
        <v>0.79</v>
      </c>
      <c r="D207" s="56">
        <v>46.08</v>
      </c>
      <c r="E207" s="56">
        <v>48.95</v>
      </c>
      <c r="F207" s="56">
        <v>4.53</v>
      </c>
      <c r="G207" s="55">
        <v>1.3</v>
      </c>
      <c r="H207" s="56">
        <v>44.04</v>
      </c>
      <c r="I207" s="56">
        <v>46.22</v>
      </c>
      <c r="J207" s="56">
        <v>6.96</v>
      </c>
      <c r="K207" s="56">
        <v>1.97</v>
      </c>
      <c r="L207" s="56">
        <v>66.61</v>
      </c>
      <c r="M207" s="56">
        <v>68.78</v>
      </c>
      <c r="N207" s="56">
        <v>8.9700000000000006</v>
      </c>
      <c r="O207" s="56">
        <v>2.42</v>
      </c>
      <c r="P207" s="56">
        <v>67.290000000000006</v>
      </c>
      <c r="Q207" s="56">
        <v>67.790000000000006</v>
      </c>
      <c r="R207" s="53">
        <v>35</v>
      </c>
      <c r="S207" s="53">
        <v>6</v>
      </c>
      <c r="T207" s="53">
        <v>8</v>
      </c>
      <c r="U207" s="53">
        <v>11</v>
      </c>
      <c r="V207" s="53">
        <v>2</v>
      </c>
      <c r="W207" s="56">
        <v>3.44</v>
      </c>
      <c r="X207" s="56">
        <v>1.35</v>
      </c>
      <c r="Y207" s="56">
        <v>102.29</v>
      </c>
      <c r="Z207" s="56">
        <v>105.32</v>
      </c>
      <c r="AA207" s="56">
        <v>5.05</v>
      </c>
      <c r="AB207" s="56">
        <v>1.99</v>
      </c>
      <c r="AC207" s="56">
        <v>113.74</v>
      </c>
      <c r="AD207" s="56">
        <v>115.91</v>
      </c>
      <c r="AE207" s="56">
        <v>6.87</v>
      </c>
      <c r="AF207" s="56">
        <v>2.71</v>
      </c>
      <c r="AG207" s="56">
        <v>140.62</v>
      </c>
      <c r="AH207" s="56">
        <v>142.79</v>
      </c>
      <c r="AI207" s="56">
        <v>8.7799999999999994</v>
      </c>
      <c r="AJ207" s="56">
        <v>3.02</v>
      </c>
      <c r="AK207" s="56">
        <v>126.48</v>
      </c>
      <c r="AL207" s="56">
        <v>126.98</v>
      </c>
      <c r="AM207" s="53">
        <v>34</v>
      </c>
      <c r="AN207" s="53">
        <v>18</v>
      </c>
      <c r="AO207" s="53">
        <v>18</v>
      </c>
      <c r="AP207" s="53">
        <v>14</v>
      </c>
      <c r="AQ207" s="53">
        <v>3</v>
      </c>
    </row>
    <row r="208" spans="1:43">
      <c r="A208" s="58" t="s">
        <v>1013</v>
      </c>
      <c r="B208" s="51">
        <v>2.85</v>
      </c>
      <c r="C208" s="51">
        <v>0.83</v>
      </c>
      <c r="D208" s="51">
        <v>46.33</v>
      </c>
      <c r="E208" s="51">
        <v>55.17</v>
      </c>
      <c r="F208" s="51">
        <v>4.72</v>
      </c>
      <c r="G208" s="51">
        <v>1.38</v>
      </c>
      <c r="H208" s="51">
        <v>51.11</v>
      </c>
      <c r="I208" s="51">
        <v>56.51</v>
      </c>
      <c r="J208" s="51">
        <v>6.83</v>
      </c>
      <c r="K208" s="51">
        <v>1.95</v>
      </c>
      <c r="L208" s="51">
        <v>66.91</v>
      </c>
      <c r="M208" s="51">
        <v>73.11</v>
      </c>
      <c r="N208" s="51">
        <v>8.8800000000000008</v>
      </c>
      <c r="O208" s="51">
        <v>2.39</v>
      </c>
      <c r="P208" s="51">
        <v>68.7</v>
      </c>
      <c r="Q208" s="51">
        <v>70.05</v>
      </c>
      <c r="R208" s="53">
        <v>35</v>
      </c>
      <c r="S208" s="53">
        <v>8</v>
      </c>
      <c r="T208" s="53">
        <v>13</v>
      </c>
      <c r="U208" s="53">
        <v>12</v>
      </c>
      <c r="V208" s="53">
        <v>6</v>
      </c>
      <c r="W208" s="51">
        <v>3.4</v>
      </c>
      <c r="X208" s="51">
        <v>1.29</v>
      </c>
      <c r="Y208" s="51">
        <v>92.4</v>
      </c>
      <c r="Z208" s="51">
        <v>101.35</v>
      </c>
      <c r="AA208" s="51">
        <v>5.04</v>
      </c>
      <c r="AB208" s="51">
        <v>1.94</v>
      </c>
      <c r="AC208" s="51">
        <v>107.47</v>
      </c>
      <c r="AD208" s="51">
        <v>112.87</v>
      </c>
      <c r="AE208" s="51">
        <v>6.97</v>
      </c>
      <c r="AF208" s="51">
        <v>2.7</v>
      </c>
      <c r="AG208" s="51">
        <v>141.31</v>
      </c>
      <c r="AH208" s="51">
        <v>147.51</v>
      </c>
      <c r="AI208" s="51">
        <v>9.0399999999999991</v>
      </c>
      <c r="AJ208" s="51">
        <v>3.21</v>
      </c>
      <c r="AK208" s="51">
        <v>150.63</v>
      </c>
      <c r="AL208" s="51">
        <v>151.97999999999999</v>
      </c>
      <c r="AM208" s="53">
        <v>39</v>
      </c>
      <c r="AN208" s="53">
        <v>18</v>
      </c>
      <c r="AO208" s="53">
        <v>18</v>
      </c>
      <c r="AP208" s="53">
        <v>19</v>
      </c>
      <c r="AQ208" s="53">
        <v>5</v>
      </c>
    </row>
    <row r="209" spans="1:43">
      <c r="A209" s="58" t="s">
        <v>1014</v>
      </c>
      <c r="B209" s="51">
        <v>2.87</v>
      </c>
      <c r="C209" s="51">
        <v>0.88</v>
      </c>
      <c r="D209" s="51">
        <v>39.97</v>
      </c>
      <c r="E209" s="51">
        <v>46.72</v>
      </c>
      <c r="F209" s="51">
        <v>4.79</v>
      </c>
      <c r="G209" s="51">
        <v>1.41</v>
      </c>
      <c r="H209" s="51">
        <v>50.11</v>
      </c>
      <c r="I209" s="51">
        <v>57.53</v>
      </c>
      <c r="J209" s="51">
        <v>6.84</v>
      </c>
      <c r="K209" s="51">
        <v>1.91</v>
      </c>
      <c r="L209" s="51">
        <v>67.069999999999993</v>
      </c>
      <c r="M209" s="51">
        <v>74.489999999999995</v>
      </c>
      <c r="N209" s="51">
        <v>8.89</v>
      </c>
      <c r="O209" s="51">
        <v>2.2999999999999998</v>
      </c>
      <c r="P209" s="51">
        <v>73.25</v>
      </c>
      <c r="Q209" s="51">
        <v>76.75</v>
      </c>
      <c r="R209" s="53">
        <v>33</v>
      </c>
      <c r="S209" s="53">
        <v>7</v>
      </c>
      <c r="T209" s="53">
        <v>15</v>
      </c>
      <c r="U209" s="53">
        <v>12</v>
      </c>
      <c r="V209" s="53">
        <v>6</v>
      </c>
      <c r="W209" s="51">
        <v>3.39</v>
      </c>
      <c r="X209" s="51">
        <v>1.31</v>
      </c>
      <c r="Y209" s="51">
        <v>83.04</v>
      </c>
      <c r="Z209" s="51">
        <v>89.91</v>
      </c>
      <c r="AA209" s="51">
        <v>5.0199999999999996</v>
      </c>
      <c r="AB209" s="51">
        <v>1.91</v>
      </c>
      <c r="AC209" s="51">
        <v>100.09</v>
      </c>
      <c r="AD209" s="51">
        <v>107.51</v>
      </c>
      <c r="AE209" s="51">
        <v>6.93</v>
      </c>
      <c r="AF209" s="51">
        <v>2.56</v>
      </c>
      <c r="AG209" s="51">
        <v>132.44999999999999</v>
      </c>
      <c r="AH209" s="51">
        <v>139.87</v>
      </c>
      <c r="AI209" s="51">
        <v>9.0299999999999994</v>
      </c>
      <c r="AJ209" s="51">
        <v>3.03</v>
      </c>
      <c r="AK209" s="51">
        <v>146.59</v>
      </c>
      <c r="AL209" s="51">
        <v>150.09</v>
      </c>
      <c r="AM209" s="53">
        <v>38</v>
      </c>
      <c r="AN209" s="53">
        <v>17</v>
      </c>
      <c r="AO209" s="53">
        <v>18</v>
      </c>
      <c r="AP209" s="53">
        <v>18</v>
      </c>
      <c r="AQ209" s="53">
        <v>5</v>
      </c>
    </row>
    <row r="210" spans="1:43">
      <c r="A210" s="58" t="s">
        <v>1015</v>
      </c>
      <c r="B210" s="51">
        <v>2.89</v>
      </c>
      <c r="C210" s="51">
        <v>0.75</v>
      </c>
      <c r="D210" s="51">
        <v>38.83</v>
      </c>
      <c r="E210" s="51">
        <v>50.98</v>
      </c>
      <c r="F210" s="51">
        <v>4.79</v>
      </c>
      <c r="G210" s="51">
        <v>1.18</v>
      </c>
      <c r="H210" s="51">
        <v>47.09</v>
      </c>
      <c r="I210" s="51">
        <v>59.27</v>
      </c>
      <c r="J210" s="51">
        <v>6.76</v>
      </c>
      <c r="K210" s="51">
        <v>1.59</v>
      </c>
      <c r="L210" s="51">
        <v>58.53</v>
      </c>
      <c r="M210" s="51">
        <v>72.05</v>
      </c>
      <c r="N210" s="51">
        <v>8.86</v>
      </c>
      <c r="O210" s="51">
        <v>1.91</v>
      </c>
      <c r="P210" s="51">
        <v>61.35</v>
      </c>
      <c r="Q210" s="51">
        <v>73.319999999999993</v>
      </c>
      <c r="R210" s="53">
        <v>38</v>
      </c>
      <c r="S210" s="53">
        <v>8</v>
      </c>
      <c r="T210" s="53">
        <v>14</v>
      </c>
      <c r="U210" s="53">
        <v>12</v>
      </c>
      <c r="V210" s="53">
        <v>6</v>
      </c>
      <c r="W210" s="51">
        <v>3.4</v>
      </c>
      <c r="X210" s="51">
        <v>1.1399999999999999</v>
      </c>
      <c r="Y210" s="51">
        <v>77.5</v>
      </c>
      <c r="Z210" s="51">
        <v>89.74</v>
      </c>
      <c r="AA210" s="51">
        <v>5.03</v>
      </c>
      <c r="AB210" s="51">
        <v>1.7</v>
      </c>
      <c r="AC210" s="51">
        <v>98.85</v>
      </c>
      <c r="AD210" s="51">
        <v>111.02</v>
      </c>
      <c r="AE210" s="51">
        <v>6.88</v>
      </c>
      <c r="AF210" s="51">
        <v>2.27</v>
      </c>
      <c r="AG210" s="51">
        <v>126.44</v>
      </c>
      <c r="AH210" s="51">
        <v>139.97</v>
      </c>
      <c r="AI210" s="51">
        <v>8.86</v>
      </c>
      <c r="AJ210" s="51">
        <v>2.52</v>
      </c>
      <c r="AK210" s="51">
        <v>121.73</v>
      </c>
      <c r="AL210" s="51">
        <v>133.69999999999999</v>
      </c>
      <c r="AM210" s="53">
        <v>33</v>
      </c>
      <c r="AN210" s="53">
        <v>19</v>
      </c>
      <c r="AO210" s="53">
        <v>16</v>
      </c>
      <c r="AP210" s="53">
        <v>16</v>
      </c>
      <c r="AQ210" s="53">
        <v>5</v>
      </c>
    </row>
    <row r="211" spans="1:43">
      <c r="A211" s="58" t="s">
        <v>1016</v>
      </c>
      <c r="B211" s="51">
        <v>2.92</v>
      </c>
      <c r="C211" s="51">
        <v>0.78</v>
      </c>
      <c r="D211" s="51">
        <v>36.04</v>
      </c>
      <c r="E211" s="51">
        <v>54.79</v>
      </c>
      <c r="F211" s="51">
        <v>4.8099999999999996</v>
      </c>
      <c r="G211" s="51">
        <v>1.25</v>
      </c>
      <c r="H211" s="51">
        <v>45.57</v>
      </c>
      <c r="I211" s="51">
        <v>65.37</v>
      </c>
      <c r="J211" s="51">
        <v>6.74</v>
      </c>
      <c r="K211" s="51">
        <v>1.66</v>
      </c>
      <c r="L211" s="51">
        <v>59.11</v>
      </c>
      <c r="M211" s="51">
        <v>81.48</v>
      </c>
      <c r="N211" s="51">
        <v>8.84</v>
      </c>
      <c r="O211" s="51">
        <v>1.98</v>
      </c>
      <c r="P211" s="51">
        <v>63.58</v>
      </c>
      <c r="Q211" s="51">
        <v>82.95</v>
      </c>
      <c r="R211" s="53">
        <v>35</v>
      </c>
      <c r="S211" s="53">
        <v>10</v>
      </c>
      <c r="T211" s="53">
        <v>13</v>
      </c>
      <c r="U211" s="53">
        <v>11</v>
      </c>
      <c r="V211" s="53">
        <v>6</v>
      </c>
      <c r="W211" s="51">
        <v>3.38</v>
      </c>
      <c r="X211" s="51">
        <v>1.18</v>
      </c>
      <c r="Y211" s="51">
        <v>75.64</v>
      </c>
      <c r="Z211" s="51">
        <v>94.49</v>
      </c>
      <c r="AA211" s="51">
        <v>5.0199999999999996</v>
      </c>
      <c r="AB211" s="51">
        <v>1.76</v>
      </c>
      <c r="AC211" s="51">
        <v>96.21</v>
      </c>
      <c r="AD211" s="51">
        <v>116.01</v>
      </c>
      <c r="AE211" s="51">
        <v>6.9</v>
      </c>
      <c r="AF211" s="51">
        <v>2.3199999999999998</v>
      </c>
      <c r="AG211" s="51">
        <v>124.83</v>
      </c>
      <c r="AH211" s="51">
        <v>147.19999999999999</v>
      </c>
      <c r="AI211" s="51">
        <v>8.9600000000000009</v>
      </c>
      <c r="AJ211" s="51">
        <v>2.75</v>
      </c>
      <c r="AK211" s="51">
        <v>140.52000000000001</v>
      </c>
      <c r="AL211" s="51">
        <v>159.88999999999999</v>
      </c>
      <c r="AM211" s="53">
        <v>36</v>
      </c>
      <c r="AN211" s="53">
        <v>17</v>
      </c>
      <c r="AO211" s="53">
        <v>16</v>
      </c>
      <c r="AP211" s="53">
        <v>18</v>
      </c>
      <c r="AQ211" s="53">
        <v>5</v>
      </c>
    </row>
    <row r="212" spans="1:43">
      <c r="A212" s="58" t="s">
        <v>1017</v>
      </c>
      <c r="B212" s="51">
        <v>2.97</v>
      </c>
      <c r="C212" s="51">
        <v>0.96</v>
      </c>
      <c r="D212" s="51">
        <v>43.83</v>
      </c>
      <c r="E212" s="51">
        <v>64.59</v>
      </c>
      <c r="F212" s="51">
        <v>4.78</v>
      </c>
      <c r="G212" s="51">
        <v>1.5</v>
      </c>
      <c r="H212" s="51">
        <v>50.35</v>
      </c>
      <c r="I212" s="51">
        <v>72.83</v>
      </c>
      <c r="J212" s="51">
        <v>6.72</v>
      </c>
      <c r="K212" s="51">
        <v>2.0299999999999998</v>
      </c>
      <c r="L212" s="51">
        <v>69.349999999999994</v>
      </c>
      <c r="M212" s="51">
        <v>89.35</v>
      </c>
      <c r="N212" s="51">
        <v>8.82</v>
      </c>
      <c r="O212" s="51">
        <v>2.44</v>
      </c>
      <c r="P212" s="51">
        <v>80.45</v>
      </c>
      <c r="Q212" s="51">
        <v>95.45</v>
      </c>
      <c r="R212" s="53">
        <v>36</v>
      </c>
      <c r="S212" s="53">
        <v>11</v>
      </c>
      <c r="T212" s="53">
        <v>13</v>
      </c>
      <c r="U212" s="53">
        <v>10</v>
      </c>
      <c r="V212" s="53">
        <v>6</v>
      </c>
      <c r="W212" s="51">
        <v>3.4</v>
      </c>
      <c r="X212" s="51">
        <v>1.38</v>
      </c>
      <c r="Y212" s="51">
        <v>85.63</v>
      </c>
      <c r="Z212" s="51">
        <v>106.52</v>
      </c>
      <c r="AA212" s="51">
        <v>5.05</v>
      </c>
      <c r="AB212" s="51">
        <v>2.0299999999999998</v>
      </c>
      <c r="AC212" s="51">
        <v>103.18</v>
      </c>
      <c r="AD212" s="51">
        <v>125.66</v>
      </c>
      <c r="AE212" s="51">
        <v>6.92</v>
      </c>
      <c r="AF212" s="51">
        <v>2.66</v>
      </c>
      <c r="AG212" s="51">
        <v>132.82</v>
      </c>
      <c r="AH212" s="51">
        <v>152.82</v>
      </c>
      <c r="AI212" s="51">
        <v>9.01</v>
      </c>
      <c r="AJ212" s="51">
        <v>3.17</v>
      </c>
      <c r="AK212" s="51">
        <v>152.88999999999999</v>
      </c>
      <c r="AL212" s="51">
        <v>167.89</v>
      </c>
      <c r="AM212" s="53">
        <v>32</v>
      </c>
      <c r="AN212" s="53">
        <v>20</v>
      </c>
      <c r="AO212" s="53">
        <v>15</v>
      </c>
      <c r="AP212" s="53">
        <v>19</v>
      </c>
      <c r="AQ212" s="53">
        <v>5</v>
      </c>
    </row>
    <row r="213" spans="1:43">
      <c r="A213" s="58" t="s">
        <v>1018</v>
      </c>
      <c r="B213" s="51">
        <v>2.96</v>
      </c>
      <c r="C213" s="51">
        <v>1.86</v>
      </c>
      <c r="D213" s="51">
        <v>45.53</v>
      </c>
      <c r="E213" s="51">
        <v>63.41</v>
      </c>
      <c r="F213" s="51">
        <v>4.79</v>
      </c>
      <c r="G213" s="51">
        <v>2.38</v>
      </c>
      <c r="H213" s="51">
        <v>60.83</v>
      </c>
      <c r="I213" s="51">
        <v>81.28</v>
      </c>
      <c r="J213" s="51">
        <v>6.7</v>
      </c>
      <c r="K213" s="51">
        <v>2.81</v>
      </c>
      <c r="L213" s="51">
        <v>83.79</v>
      </c>
      <c r="M213" s="51">
        <v>98.28</v>
      </c>
      <c r="N213" s="51">
        <v>8.7899999999999991</v>
      </c>
      <c r="O213" s="51">
        <v>3.15</v>
      </c>
      <c r="P213" s="51">
        <v>99.24</v>
      </c>
      <c r="Q213" s="51">
        <v>106.68</v>
      </c>
      <c r="R213" s="53">
        <v>35</v>
      </c>
      <c r="S213" s="53">
        <v>12</v>
      </c>
      <c r="T213" s="53">
        <v>12</v>
      </c>
      <c r="U213" s="53">
        <v>10</v>
      </c>
      <c r="V213" s="53">
        <v>6</v>
      </c>
      <c r="W213" s="51">
        <v>3.41</v>
      </c>
      <c r="X213" s="51">
        <v>2.2999999999999998</v>
      </c>
      <c r="Y213" s="51">
        <v>89.86</v>
      </c>
      <c r="Z213" s="51">
        <v>107.97</v>
      </c>
      <c r="AA213" s="51">
        <v>5.07</v>
      </c>
      <c r="AB213" s="51">
        <v>2.9</v>
      </c>
      <c r="AC213" s="51">
        <v>112.93</v>
      </c>
      <c r="AD213" s="51">
        <v>133.38</v>
      </c>
      <c r="AE213" s="51">
        <v>6.91</v>
      </c>
      <c r="AF213" s="51">
        <v>3.41</v>
      </c>
      <c r="AG213" s="51">
        <v>143.96</v>
      </c>
      <c r="AH213" s="51">
        <v>158.44</v>
      </c>
      <c r="AI213" s="51">
        <v>9</v>
      </c>
      <c r="AJ213" s="51">
        <v>3.81</v>
      </c>
      <c r="AK213" s="51">
        <v>164.8</v>
      </c>
      <c r="AL213" s="51">
        <v>172.24</v>
      </c>
      <c r="AM213" s="53">
        <v>31</v>
      </c>
      <c r="AN213" s="53">
        <v>20</v>
      </c>
      <c r="AO213" s="53">
        <v>16</v>
      </c>
      <c r="AP213" s="53">
        <v>20</v>
      </c>
      <c r="AQ213" s="53">
        <v>5</v>
      </c>
    </row>
    <row r="214" spans="1:43">
      <c r="A214" s="58" t="s">
        <v>1019</v>
      </c>
      <c r="B214" s="51">
        <v>2.89</v>
      </c>
      <c r="C214" s="51">
        <v>1.65</v>
      </c>
      <c r="D214" s="51">
        <v>41.99</v>
      </c>
      <c r="E214" s="51">
        <v>78.63</v>
      </c>
      <c r="F214" s="51">
        <v>4.8899999999999997</v>
      </c>
      <c r="G214" s="51">
        <v>2.29</v>
      </c>
      <c r="H214" s="51">
        <v>66.64</v>
      </c>
      <c r="I214" s="51">
        <v>99.51</v>
      </c>
      <c r="J214" s="51">
        <v>6.71</v>
      </c>
      <c r="K214" s="51">
        <v>2.71</v>
      </c>
      <c r="L214" s="51">
        <v>88.58</v>
      </c>
      <c r="M214" s="51">
        <v>121.91</v>
      </c>
      <c r="N214" s="51">
        <v>9.0500000000000007</v>
      </c>
      <c r="O214" s="51">
        <v>3.07</v>
      </c>
      <c r="P214" s="51">
        <v>109.13</v>
      </c>
      <c r="Q214" s="51">
        <v>138.13</v>
      </c>
      <c r="R214" s="53">
        <v>33</v>
      </c>
      <c r="S214" s="53">
        <v>13</v>
      </c>
      <c r="T214" s="53">
        <v>11</v>
      </c>
      <c r="U214" s="53">
        <v>11</v>
      </c>
      <c r="V214" s="53">
        <v>7</v>
      </c>
      <c r="W214" s="51">
        <v>3.38</v>
      </c>
      <c r="X214" s="51">
        <v>2.11</v>
      </c>
      <c r="Y214" s="51">
        <v>87.27</v>
      </c>
      <c r="Z214" s="51">
        <v>124.12</v>
      </c>
      <c r="AA214" s="51">
        <v>5.04</v>
      </c>
      <c r="AB214" s="51">
        <v>2.77</v>
      </c>
      <c r="AC214" s="51">
        <v>115.12</v>
      </c>
      <c r="AD214" s="51">
        <v>147.99</v>
      </c>
      <c r="AE214" s="51">
        <v>6.9</v>
      </c>
      <c r="AF214" s="51">
        <v>3.29</v>
      </c>
      <c r="AG214" s="51">
        <v>147.30000000000001</v>
      </c>
      <c r="AH214" s="51">
        <v>180.63</v>
      </c>
      <c r="AI214" s="51">
        <v>8.9700000000000006</v>
      </c>
      <c r="AJ214" s="51">
        <v>3.74</v>
      </c>
      <c r="AK214" s="51">
        <v>175.53</v>
      </c>
      <c r="AL214" s="51">
        <v>204.53</v>
      </c>
      <c r="AM214" s="53">
        <v>31</v>
      </c>
      <c r="AN214" s="53">
        <v>20</v>
      </c>
      <c r="AO214" s="53">
        <v>16</v>
      </c>
      <c r="AP214" s="53">
        <v>18</v>
      </c>
      <c r="AQ214" s="53">
        <v>5</v>
      </c>
    </row>
    <row r="215" spans="1:43">
      <c r="A215" s="58" t="s">
        <v>1020</v>
      </c>
      <c r="B215" s="51">
        <v>2.86</v>
      </c>
      <c r="C215" s="51">
        <v>1.65</v>
      </c>
      <c r="D215" s="51">
        <v>36.520000000000003</v>
      </c>
      <c r="E215" s="51">
        <v>73.56</v>
      </c>
      <c r="F215" s="51">
        <v>4.93</v>
      </c>
      <c r="G215" s="51">
        <v>2.2799999999999998</v>
      </c>
      <c r="H215" s="51">
        <v>61.89</v>
      </c>
      <c r="I215" s="51">
        <v>95.09</v>
      </c>
      <c r="J215" s="51">
        <v>6.73</v>
      </c>
      <c r="K215" s="51">
        <v>2.7</v>
      </c>
      <c r="L215" s="51">
        <v>86.05</v>
      </c>
      <c r="M215" s="51">
        <v>118.15</v>
      </c>
      <c r="N215" s="51">
        <v>9.01</v>
      </c>
      <c r="O215" s="51">
        <v>3.05</v>
      </c>
      <c r="P215" s="51">
        <v>106.63</v>
      </c>
      <c r="Q215" s="51">
        <v>138.43</v>
      </c>
      <c r="R215" s="53">
        <v>33</v>
      </c>
      <c r="S215" s="53">
        <v>13</v>
      </c>
      <c r="T215" s="53">
        <v>14</v>
      </c>
      <c r="U215" s="53">
        <v>11</v>
      </c>
      <c r="V215" s="53">
        <v>7</v>
      </c>
      <c r="W215" s="51">
        <v>3.35</v>
      </c>
      <c r="X215" s="51">
        <v>2.13</v>
      </c>
      <c r="Y215" s="51">
        <v>84.86</v>
      </c>
      <c r="Z215" s="51">
        <v>122.13</v>
      </c>
      <c r="AA215" s="51">
        <v>5.04</v>
      </c>
      <c r="AB215" s="51">
        <v>2.79</v>
      </c>
      <c r="AC215" s="51">
        <v>112.2</v>
      </c>
      <c r="AD215" s="51">
        <v>145.4</v>
      </c>
      <c r="AE215" s="51">
        <v>6.9</v>
      </c>
      <c r="AF215" s="51">
        <v>3.3</v>
      </c>
      <c r="AG215" s="51">
        <v>146.33000000000001</v>
      </c>
      <c r="AH215" s="51">
        <v>178.43</v>
      </c>
      <c r="AI215" s="51">
        <v>8.9700000000000006</v>
      </c>
      <c r="AJ215" s="51">
        <v>3.81</v>
      </c>
      <c r="AK215" s="51">
        <v>181.93</v>
      </c>
      <c r="AL215" s="51">
        <v>213.73</v>
      </c>
      <c r="AM215" s="53">
        <v>31</v>
      </c>
      <c r="AN215" s="53">
        <v>20</v>
      </c>
      <c r="AO215" s="53">
        <v>16</v>
      </c>
      <c r="AP215" s="53">
        <v>19</v>
      </c>
      <c r="AQ215" s="53">
        <v>5</v>
      </c>
    </row>
    <row r="216" spans="1:43">
      <c r="A216" s="58" t="s">
        <v>1021</v>
      </c>
      <c r="B216" s="51">
        <v>2.75</v>
      </c>
      <c r="C216" s="51">
        <v>1.93</v>
      </c>
      <c r="D216" s="51">
        <v>40.11</v>
      </c>
      <c r="E216" s="51">
        <v>62.32</v>
      </c>
      <c r="F216" s="51">
        <v>4.84</v>
      </c>
      <c r="G216" s="51">
        <v>2.61</v>
      </c>
      <c r="H216" s="51">
        <v>71.19</v>
      </c>
      <c r="I216" s="51">
        <v>104.79</v>
      </c>
      <c r="J216" s="51">
        <v>6.41</v>
      </c>
      <c r="K216" s="51">
        <v>2.96</v>
      </c>
      <c r="L216" s="51">
        <v>90.88</v>
      </c>
      <c r="M216" s="51">
        <v>120.33</v>
      </c>
      <c r="N216" s="51">
        <v>9.02</v>
      </c>
      <c r="O216" s="51">
        <v>3.38</v>
      </c>
      <c r="P216" s="51">
        <v>120.87</v>
      </c>
      <c r="Q216" s="51">
        <v>148.75</v>
      </c>
      <c r="R216" s="53">
        <v>33</v>
      </c>
      <c r="S216" s="53">
        <v>12</v>
      </c>
      <c r="T216" s="53">
        <v>12</v>
      </c>
      <c r="U216" s="53">
        <v>8</v>
      </c>
      <c r="V216" s="53">
        <v>7</v>
      </c>
      <c r="W216" s="51">
        <v>3.34</v>
      </c>
      <c r="X216" s="51">
        <v>2.52</v>
      </c>
      <c r="Y216" s="51">
        <v>98.54</v>
      </c>
      <c r="Z216" s="51">
        <v>121.08</v>
      </c>
      <c r="AA216" s="51">
        <v>4.93</v>
      </c>
      <c r="AB216" s="51">
        <v>3.15</v>
      </c>
      <c r="AC216" s="51">
        <v>124.6</v>
      </c>
      <c r="AD216" s="51">
        <v>158.19999999999999</v>
      </c>
      <c r="AE216" s="51">
        <v>6.73</v>
      </c>
      <c r="AF216" s="51">
        <v>3.64</v>
      </c>
      <c r="AG216" s="51">
        <v>158.49</v>
      </c>
      <c r="AH216" s="51">
        <v>187.94</v>
      </c>
      <c r="AI216" s="51">
        <v>8.83</v>
      </c>
      <c r="AJ216" s="51">
        <v>4.0599999999999996</v>
      </c>
      <c r="AK216" s="51">
        <v>188.86</v>
      </c>
      <c r="AL216" s="51">
        <v>216.73</v>
      </c>
      <c r="AM216" s="53">
        <v>26</v>
      </c>
      <c r="AN216" s="53">
        <v>20</v>
      </c>
      <c r="AO216" s="53">
        <v>10</v>
      </c>
      <c r="AP216" s="53">
        <v>14</v>
      </c>
      <c r="AQ216" s="53">
        <v>4</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8A441-EB86-4490-BCAB-6C4105B97453}">
  <sheetPr codeName="Sheet12">
    <tabColor theme="0" tint="-0.249977111117893"/>
    <pageSetUpPr fitToPage="1"/>
  </sheetPr>
  <dimension ref="A1:V413"/>
  <sheetViews>
    <sheetView zoomScaleNormal="100" workbookViewId="0">
      <pane xSplit="1" ySplit="12" topLeftCell="B257" activePane="bottomRight" state="frozenSplit"/>
      <selection activeCell="B95" sqref="B95"/>
      <selection pane="topRight" activeCell="B95" sqref="B95"/>
      <selection pane="bottomLeft" activeCell="B95" sqref="B95"/>
      <selection pane="bottomRight" activeCell="B95" sqref="B95"/>
    </sheetView>
  </sheetViews>
  <sheetFormatPr defaultColWidth="8.33203125" defaultRowHeight="11.75"/>
  <cols>
    <col min="1" max="1" width="14.33203125" style="75" customWidth="1"/>
    <col min="2" max="2" width="19.75" style="72" bestFit="1" customWidth="1"/>
    <col min="3" max="3" width="17.58203125" style="72" bestFit="1" customWidth="1"/>
    <col min="4" max="5" width="19.75" style="72" bestFit="1" customWidth="1"/>
    <col min="6" max="6" width="19.58203125" style="72" bestFit="1" customWidth="1"/>
    <col min="7" max="7" width="19.83203125" style="72" customWidth="1"/>
    <col min="8" max="8" width="17.58203125" style="72" bestFit="1" customWidth="1"/>
    <col min="9" max="9" width="18.75" style="72" bestFit="1" customWidth="1"/>
    <col min="10" max="10" width="18.5" style="72" bestFit="1" customWidth="1"/>
    <col min="11" max="11" width="17.58203125" style="72" bestFit="1" customWidth="1"/>
    <col min="12" max="12" width="15.08203125" style="72" bestFit="1" customWidth="1"/>
    <col min="13" max="13" width="15.83203125" style="72" bestFit="1" customWidth="1"/>
    <col min="14" max="14" width="18.75" style="72" bestFit="1" customWidth="1"/>
    <col min="15" max="15" width="17.83203125" style="72" customWidth="1"/>
    <col min="16" max="16" width="15.83203125" style="72" bestFit="1" customWidth="1"/>
    <col min="17" max="17" width="19.58203125" style="72" customWidth="1"/>
    <col min="18" max="18" width="16.5" style="72" bestFit="1" customWidth="1"/>
    <col min="19" max="19" width="16.83203125" style="72" bestFit="1" customWidth="1"/>
    <col min="20" max="21" width="15.83203125" style="72" bestFit="1" customWidth="1"/>
    <col min="22" max="256" width="8.33203125" style="75"/>
    <col min="257" max="257" width="14.33203125" style="75" customWidth="1"/>
    <col min="258" max="258" width="19.75" style="75" bestFit="1" customWidth="1"/>
    <col min="259" max="259" width="17.58203125" style="75" bestFit="1" customWidth="1"/>
    <col min="260" max="261" width="19.75" style="75" bestFit="1" customWidth="1"/>
    <col min="262" max="262" width="19.58203125" style="75" bestFit="1" customWidth="1"/>
    <col min="263" max="263" width="19.83203125" style="75" customWidth="1"/>
    <col min="264" max="264" width="17.58203125" style="75" bestFit="1" customWidth="1"/>
    <col min="265" max="265" width="18.75" style="75" bestFit="1" customWidth="1"/>
    <col min="266" max="266" width="18.5" style="75" bestFit="1" customWidth="1"/>
    <col min="267" max="267" width="17.58203125" style="75" bestFit="1" customWidth="1"/>
    <col min="268" max="268" width="15.08203125" style="75" bestFit="1" customWidth="1"/>
    <col min="269" max="269" width="15.83203125" style="75" bestFit="1" customWidth="1"/>
    <col min="270" max="270" width="18.75" style="75" bestFit="1" customWidth="1"/>
    <col min="271" max="271" width="17.83203125" style="75" customWidth="1"/>
    <col min="272" max="272" width="15.83203125" style="75" bestFit="1" customWidth="1"/>
    <col min="273" max="273" width="19.58203125" style="75" customWidth="1"/>
    <col min="274" max="274" width="16.5" style="75" bestFit="1" customWidth="1"/>
    <col min="275" max="275" width="16.83203125" style="75" bestFit="1" customWidth="1"/>
    <col min="276" max="277" width="15.83203125" style="75" bestFit="1" customWidth="1"/>
    <col min="278" max="512" width="8.33203125" style="75"/>
    <col min="513" max="513" width="14.33203125" style="75" customWidth="1"/>
    <col min="514" max="514" width="19.75" style="75" bestFit="1" customWidth="1"/>
    <col min="515" max="515" width="17.58203125" style="75" bestFit="1" customWidth="1"/>
    <col min="516" max="517" width="19.75" style="75" bestFit="1" customWidth="1"/>
    <col min="518" max="518" width="19.58203125" style="75" bestFit="1" customWidth="1"/>
    <col min="519" max="519" width="19.83203125" style="75" customWidth="1"/>
    <col min="520" max="520" width="17.58203125" style="75" bestFit="1" customWidth="1"/>
    <col min="521" max="521" width="18.75" style="75" bestFit="1" customWidth="1"/>
    <col min="522" max="522" width="18.5" style="75" bestFit="1" customWidth="1"/>
    <col min="523" max="523" width="17.58203125" style="75" bestFit="1" customWidth="1"/>
    <col min="524" max="524" width="15.08203125" style="75" bestFit="1" customWidth="1"/>
    <col min="525" max="525" width="15.83203125" style="75" bestFit="1" customWidth="1"/>
    <col min="526" max="526" width="18.75" style="75" bestFit="1" customWidth="1"/>
    <col min="527" max="527" width="17.83203125" style="75" customWidth="1"/>
    <col min="528" max="528" width="15.83203125" style="75" bestFit="1" customWidth="1"/>
    <col min="529" max="529" width="19.58203125" style="75" customWidth="1"/>
    <col min="530" max="530" width="16.5" style="75" bestFit="1" customWidth="1"/>
    <col min="531" max="531" width="16.83203125" style="75" bestFit="1" customWidth="1"/>
    <col min="532" max="533" width="15.83203125" style="75" bestFit="1" customWidth="1"/>
    <col min="534" max="768" width="8.33203125" style="75"/>
    <col min="769" max="769" width="14.33203125" style="75" customWidth="1"/>
    <col min="770" max="770" width="19.75" style="75" bestFit="1" customWidth="1"/>
    <col min="771" max="771" width="17.58203125" style="75" bestFit="1" customWidth="1"/>
    <col min="772" max="773" width="19.75" style="75" bestFit="1" customWidth="1"/>
    <col min="774" max="774" width="19.58203125" style="75" bestFit="1" customWidth="1"/>
    <col min="775" max="775" width="19.83203125" style="75" customWidth="1"/>
    <col min="776" max="776" width="17.58203125" style="75" bestFit="1" customWidth="1"/>
    <col min="777" max="777" width="18.75" style="75" bestFit="1" customWidth="1"/>
    <col min="778" max="778" width="18.5" style="75" bestFit="1" customWidth="1"/>
    <col min="779" max="779" width="17.58203125" style="75" bestFit="1" customWidth="1"/>
    <col min="780" max="780" width="15.08203125" style="75" bestFit="1" customWidth="1"/>
    <col min="781" max="781" width="15.83203125" style="75" bestFit="1" customWidth="1"/>
    <col min="782" max="782" width="18.75" style="75" bestFit="1" customWidth="1"/>
    <col min="783" max="783" width="17.83203125" style="75" customWidth="1"/>
    <col min="784" max="784" width="15.83203125" style="75" bestFit="1" customWidth="1"/>
    <col min="785" max="785" width="19.58203125" style="75" customWidth="1"/>
    <col min="786" max="786" width="16.5" style="75" bestFit="1" customWidth="1"/>
    <col min="787" max="787" width="16.83203125" style="75" bestFit="1" customWidth="1"/>
    <col min="788" max="789" width="15.83203125" style="75" bestFit="1" customWidth="1"/>
    <col min="790" max="1024" width="8.33203125" style="75"/>
    <col min="1025" max="1025" width="14.33203125" style="75" customWidth="1"/>
    <col min="1026" max="1026" width="19.75" style="75" bestFit="1" customWidth="1"/>
    <col min="1027" max="1027" width="17.58203125" style="75" bestFit="1" customWidth="1"/>
    <col min="1028" max="1029" width="19.75" style="75" bestFit="1" customWidth="1"/>
    <col min="1030" max="1030" width="19.58203125" style="75" bestFit="1" customWidth="1"/>
    <col min="1031" max="1031" width="19.83203125" style="75" customWidth="1"/>
    <col min="1032" max="1032" width="17.58203125" style="75" bestFit="1" customWidth="1"/>
    <col min="1033" max="1033" width="18.75" style="75" bestFit="1" customWidth="1"/>
    <col min="1034" max="1034" width="18.5" style="75" bestFit="1" customWidth="1"/>
    <col min="1035" max="1035" width="17.58203125" style="75" bestFit="1" customWidth="1"/>
    <col min="1036" max="1036" width="15.08203125" style="75" bestFit="1" customWidth="1"/>
    <col min="1037" max="1037" width="15.83203125" style="75" bestFit="1" customWidth="1"/>
    <col min="1038" max="1038" width="18.75" style="75" bestFit="1" customWidth="1"/>
    <col min="1039" max="1039" width="17.83203125" style="75" customWidth="1"/>
    <col min="1040" max="1040" width="15.83203125" style="75" bestFit="1" customWidth="1"/>
    <col min="1041" max="1041" width="19.58203125" style="75" customWidth="1"/>
    <col min="1042" max="1042" width="16.5" style="75" bestFit="1" customWidth="1"/>
    <col min="1043" max="1043" width="16.83203125" style="75" bestFit="1" customWidth="1"/>
    <col min="1044" max="1045" width="15.83203125" style="75" bestFit="1" customWidth="1"/>
    <col min="1046" max="1280" width="8.33203125" style="75"/>
    <col min="1281" max="1281" width="14.33203125" style="75" customWidth="1"/>
    <col min="1282" max="1282" width="19.75" style="75" bestFit="1" customWidth="1"/>
    <col min="1283" max="1283" width="17.58203125" style="75" bestFit="1" customWidth="1"/>
    <col min="1284" max="1285" width="19.75" style="75" bestFit="1" customWidth="1"/>
    <col min="1286" max="1286" width="19.58203125" style="75" bestFit="1" customWidth="1"/>
    <col min="1287" max="1287" width="19.83203125" style="75" customWidth="1"/>
    <col min="1288" max="1288" width="17.58203125" style="75" bestFit="1" customWidth="1"/>
    <col min="1289" max="1289" width="18.75" style="75" bestFit="1" customWidth="1"/>
    <col min="1290" max="1290" width="18.5" style="75" bestFit="1" customWidth="1"/>
    <col min="1291" max="1291" width="17.58203125" style="75" bestFit="1" customWidth="1"/>
    <col min="1292" max="1292" width="15.08203125" style="75" bestFit="1" customWidth="1"/>
    <col min="1293" max="1293" width="15.83203125" style="75" bestFit="1" customWidth="1"/>
    <col min="1294" max="1294" width="18.75" style="75" bestFit="1" customWidth="1"/>
    <col min="1295" max="1295" width="17.83203125" style="75" customWidth="1"/>
    <col min="1296" max="1296" width="15.83203125" style="75" bestFit="1" customWidth="1"/>
    <col min="1297" max="1297" width="19.58203125" style="75" customWidth="1"/>
    <col min="1298" max="1298" width="16.5" style="75" bestFit="1" customWidth="1"/>
    <col min="1299" max="1299" width="16.83203125" style="75" bestFit="1" customWidth="1"/>
    <col min="1300" max="1301" width="15.83203125" style="75" bestFit="1" customWidth="1"/>
    <col min="1302" max="1536" width="8.33203125" style="75"/>
    <col min="1537" max="1537" width="14.33203125" style="75" customWidth="1"/>
    <col min="1538" max="1538" width="19.75" style="75" bestFit="1" customWidth="1"/>
    <col min="1539" max="1539" width="17.58203125" style="75" bestFit="1" customWidth="1"/>
    <col min="1540" max="1541" width="19.75" style="75" bestFit="1" customWidth="1"/>
    <col min="1542" max="1542" width="19.58203125" style="75" bestFit="1" customWidth="1"/>
    <col min="1543" max="1543" width="19.83203125" style="75" customWidth="1"/>
    <col min="1544" max="1544" width="17.58203125" style="75" bestFit="1" customWidth="1"/>
    <col min="1545" max="1545" width="18.75" style="75" bestFit="1" customWidth="1"/>
    <col min="1546" max="1546" width="18.5" style="75" bestFit="1" customWidth="1"/>
    <col min="1547" max="1547" width="17.58203125" style="75" bestFit="1" customWidth="1"/>
    <col min="1548" max="1548" width="15.08203125" style="75" bestFit="1" customWidth="1"/>
    <col min="1549" max="1549" width="15.83203125" style="75" bestFit="1" customWidth="1"/>
    <col min="1550" max="1550" width="18.75" style="75" bestFit="1" customWidth="1"/>
    <col min="1551" max="1551" width="17.83203125" style="75" customWidth="1"/>
    <col min="1552" max="1552" width="15.83203125" style="75" bestFit="1" customWidth="1"/>
    <col min="1553" max="1553" width="19.58203125" style="75" customWidth="1"/>
    <col min="1554" max="1554" width="16.5" style="75" bestFit="1" customWidth="1"/>
    <col min="1555" max="1555" width="16.83203125" style="75" bestFit="1" customWidth="1"/>
    <col min="1556" max="1557" width="15.83203125" style="75" bestFit="1" customWidth="1"/>
    <col min="1558" max="1792" width="8.33203125" style="75"/>
    <col min="1793" max="1793" width="14.33203125" style="75" customWidth="1"/>
    <col min="1794" max="1794" width="19.75" style="75" bestFit="1" customWidth="1"/>
    <col min="1795" max="1795" width="17.58203125" style="75" bestFit="1" customWidth="1"/>
    <col min="1796" max="1797" width="19.75" style="75" bestFit="1" customWidth="1"/>
    <col min="1798" max="1798" width="19.58203125" style="75" bestFit="1" customWidth="1"/>
    <col min="1799" max="1799" width="19.83203125" style="75" customWidth="1"/>
    <col min="1800" max="1800" width="17.58203125" style="75" bestFit="1" customWidth="1"/>
    <col min="1801" max="1801" width="18.75" style="75" bestFit="1" customWidth="1"/>
    <col min="1802" max="1802" width="18.5" style="75" bestFit="1" customWidth="1"/>
    <col min="1803" max="1803" width="17.58203125" style="75" bestFit="1" customWidth="1"/>
    <col min="1804" max="1804" width="15.08203125" style="75" bestFit="1" customWidth="1"/>
    <col min="1805" max="1805" width="15.83203125" style="75" bestFit="1" customWidth="1"/>
    <col min="1806" max="1806" width="18.75" style="75" bestFit="1" customWidth="1"/>
    <col min="1807" max="1807" width="17.83203125" style="75" customWidth="1"/>
    <col min="1808" max="1808" width="15.83203125" style="75" bestFit="1" customWidth="1"/>
    <col min="1809" max="1809" width="19.58203125" style="75" customWidth="1"/>
    <col min="1810" max="1810" width="16.5" style="75" bestFit="1" customWidth="1"/>
    <col min="1811" max="1811" width="16.83203125" style="75" bestFit="1" customWidth="1"/>
    <col min="1812" max="1813" width="15.83203125" style="75" bestFit="1" customWidth="1"/>
    <col min="1814" max="2048" width="8.33203125" style="75"/>
    <col min="2049" max="2049" width="14.33203125" style="75" customWidth="1"/>
    <col min="2050" max="2050" width="19.75" style="75" bestFit="1" customWidth="1"/>
    <col min="2051" max="2051" width="17.58203125" style="75" bestFit="1" customWidth="1"/>
    <col min="2052" max="2053" width="19.75" style="75" bestFit="1" customWidth="1"/>
    <col min="2054" max="2054" width="19.58203125" style="75" bestFit="1" customWidth="1"/>
    <col min="2055" max="2055" width="19.83203125" style="75" customWidth="1"/>
    <col min="2056" max="2056" width="17.58203125" style="75" bestFit="1" customWidth="1"/>
    <col min="2057" max="2057" width="18.75" style="75" bestFit="1" customWidth="1"/>
    <col min="2058" max="2058" width="18.5" style="75" bestFit="1" customWidth="1"/>
    <col min="2059" max="2059" width="17.58203125" style="75" bestFit="1" customWidth="1"/>
    <col min="2060" max="2060" width="15.08203125" style="75" bestFit="1" customWidth="1"/>
    <col min="2061" max="2061" width="15.83203125" style="75" bestFit="1" customWidth="1"/>
    <col min="2062" max="2062" width="18.75" style="75" bestFit="1" customWidth="1"/>
    <col min="2063" max="2063" width="17.83203125" style="75" customWidth="1"/>
    <col min="2064" max="2064" width="15.83203125" style="75" bestFit="1" customWidth="1"/>
    <col min="2065" max="2065" width="19.58203125" style="75" customWidth="1"/>
    <col min="2066" max="2066" width="16.5" style="75" bestFit="1" customWidth="1"/>
    <col min="2067" max="2067" width="16.83203125" style="75" bestFit="1" customWidth="1"/>
    <col min="2068" max="2069" width="15.83203125" style="75" bestFit="1" customWidth="1"/>
    <col min="2070" max="2304" width="8.33203125" style="75"/>
    <col min="2305" max="2305" width="14.33203125" style="75" customWidth="1"/>
    <col min="2306" max="2306" width="19.75" style="75" bestFit="1" customWidth="1"/>
    <col min="2307" max="2307" width="17.58203125" style="75" bestFit="1" customWidth="1"/>
    <col min="2308" max="2309" width="19.75" style="75" bestFit="1" customWidth="1"/>
    <col min="2310" max="2310" width="19.58203125" style="75" bestFit="1" customWidth="1"/>
    <col min="2311" max="2311" width="19.83203125" style="75" customWidth="1"/>
    <col min="2312" max="2312" width="17.58203125" style="75" bestFit="1" customWidth="1"/>
    <col min="2313" max="2313" width="18.75" style="75" bestFit="1" customWidth="1"/>
    <col min="2314" max="2314" width="18.5" style="75" bestFit="1" customWidth="1"/>
    <col min="2315" max="2315" width="17.58203125" style="75" bestFit="1" customWidth="1"/>
    <col min="2316" max="2316" width="15.08203125" style="75" bestFit="1" customWidth="1"/>
    <col min="2317" max="2317" width="15.83203125" style="75" bestFit="1" customWidth="1"/>
    <col min="2318" max="2318" width="18.75" style="75" bestFit="1" customWidth="1"/>
    <col min="2319" max="2319" width="17.83203125" style="75" customWidth="1"/>
    <col min="2320" max="2320" width="15.83203125" style="75" bestFit="1" customWidth="1"/>
    <col min="2321" max="2321" width="19.58203125" style="75" customWidth="1"/>
    <col min="2322" max="2322" width="16.5" style="75" bestFit="1" customWidth="1"/>
    <col min="2323" max="2323" width="16.83203125" style="75" bestFit="1" customWidth="1"/>
    <col min="2324" max="2325" width="15.83203125" style="75" bestFit="1" customWidth="1"/>
    <col min="2326" max="2560" width="8.33203125" style="75"/>
    <col min="2561" max="2561" width="14.33203125" style="75" customWidth="1"/>
    <col min="2562" max="2562" width="19.75" style="75" bestFit="1" customWidth="1"/>
    <col min="2563" max="2563" width="17.58203125" style="75" bestFit="1" customWidth="1"/>
    <col min="2564" max="2565" width="19.75" style="75" bestFit="1" customWidth="1"/>
    <col min="2566" max="2566" width="19.58203125" style="75" bestFit="1" customWidth="1"/>
    <col min="2567" max="2567" width="19.83203125" style="75" customWidth="1"/>
    <col min="2568" max="2568" width="17.58203125" style="75" bestFit="1" customWidth="1"/>
    <col min="2569" max="2569" width="18.75" style="75" bestFit="1" customWidth="1"/>
    <col min="2570" max="2570" width="18.5" style="75" bestFit="1" customWidth="1"/>
    <col min="2571" max="2571" width="17.58203125" style="75" bestFit="1" customWidth="1"/>
    <col min="2572" max="2572" width="15.08203125" style="75" bestFit="1" customWidth="1"/>
    <col min="2573" max="2573" width="15.83203125" style="75" bestFit="1" customWidth="1"/>
    <col min="2574" max="2574" width="18.75" style="75" bestFit="1" customWidth="1"/>
    <col min="2575" max="2575" width="17.83203125" style="75" customWidth="1"/>
    <col min="2576" max="2576" width="15.83203125" style="75" bestFit="1" customWidth="1"/>
    <col min="2577" max="2577" width="19.58203125" style="75" customWidth="1"/>
    <col min="2578" max="2578" width="16.5" style="75" bestFit="1" customWidth="1"/>
    <col min="2579" max="2579" width="16.83203125" style="75" bestFit="1" customWidth="1"/>
    <col min="2580" max="2581" width="15.83203125" style="75" bestFit="1" customWidth="1"/>
    <col min="2582" max="2816" width="8.33203125" style="75"/>
    <col min="2817" max="2817" width="14.33203125" style="75" customWidth="1"/>
    <col min="2818" max="2818" width="19.75" style="75" bestFit="1" customWidth="1"/>
    <col min="2819" max="2819" width="17.58203125" style="75" bestFit="1" customWidth="1"/>
    <col min="2820" max="2821" width="19.75" style="75" bestFit="1" customWidth="1"/>
    <col min="2822" max="2822" width="19.58203125" style="75" bestFit="1" customWidth="1"/>
    <col min="2823" max="2823" width="19.83203125" style="75" customWidth="1"/>
    <col min="2824" max="2824" width="17.58203125" style="75" bestFit="1" customWidth="1"/>
    <col min="2825" max="2825" width="18.75" style="75" bestFit="1" customWidth="1"/>
    <col min="2826" max="2826" width="18.5" style="75" bestFit="1" customWidth="1"/>
    <col min="2827" max="2827" width="17.58203125" style="75" bestFit="1" customWidth="1"/>
    <col min="2828" max="2828" width="15.08203125" style="75" bestFit="1" customWidth="1"/>
    <col min="2829" max="2829" width="15.83203125" style="75" bestFit="1" customWidth="1"/>
    <col min="2830" max="2830" width="18.75" style="75" bestFit="1" customWidth="1"/>
    <col min="2831" max="2831" width="17.83203125" style="75" customWidth="1"/>
    <col min="2832" max="2832" width="15.83203125" style="75" bestFit="1" customWidth="1"/>
    <col min="2833" max="2833" width="19.58203125" style="75" customWidth="1"/>
    <col min="2834" max="2834" width="16.5" style="75" bestFit="1" customWidth="1"/>
    <col min="2835" max="2835" width="16.83203125" style="75" bestFit="1" customWidth="1"/>
    <col min="2836" max="2837" width="15.83203125" style="75" bestFit="1" customWidth="1"/>
    <col min="2838" max="3072" width="8.33203125" style="75"/>
    <col min="3073" max="3073" width="14.33203125" style="75" customWidth="1"/>
    <col min="3074" max="3074" width="19.75" style="75" bestFit="1" customWidth="1"/>
    <col min="3075" max="3075" width="17.58203125" style="75" bestFit="1" customWidth="1"/>
    <col min="3076" max="3077" width="19.75" style="75" bestFit="1" customWidth="1"/>
    <col min="3078" max="3078" width="19.58203125" style="75" bestFit="1" customWidth="1"/>
    <col min="3079" max="3079" width="19.83203125" style="75" customWidth="1"/>
    <col min="3080" max="3080" width="17.58203125" style="75" bestFit="1" customWidth="1"/>
    <col min="3081" max="3081" width="18.75" style="75" bestFit="1" customWidth="1"/>
    <col min="3082" max="3082" width="18.5" style="75" bestFit="1" customWidth="1"/>
    <col min="3083" max="3083" width="17.58203125" style="75" bestFit="1" customWidth="1"/>
    <col min="3084" max="3084" width="15.08203125" style="75" bestFit="1" customWidth="1"/>
    <col min="3085" max="3085" width="15.83203125" style="75" bestFit="1" customWidth="1"/>
    <col min="3086" max="3086" width="18.75" style="75" bestFit="1" customWidth="1"/>
    <col min="3087" max="3087" width="17.83203125" style="75" customWidth="1"/>
    <col min="3088" max="3088" width="15.83203125" style="75" bestFit="1" customWidth="1"/>
    <col min="3089" max="3089" width="19.58203125" style="75" customWidth="1"/>
    <col min="3090" max="3090" width="16.5" style="75" bestFit="1" customWidth="1"/>
    <col min="3091" max="3091" width="16.83203125" style="75" bestFit="1" customWidth="1"/>
    <col min="3092" max="3093" width="15.83203125" style="75" bestFit="1" customWidth="1"/>
    <col min="3094" max="3328" width="8.33203125" style="75"/>
    <col min="3329" max="3329" width="14.33203125" style="75" customWidth="1"/>
    <col min="3330" max="3330" width="19.75" style="75" bestFit="1" customWidth="1"/>
    <col min="3331" max="3331" width="17.58203125" style="75" bestFit="1" customWidth="1"/>
    <col min="3332" max="3333" width="19.75" style="75" bestFit="1" customWidth="1"/>
    <col min="3334" max="3334" width="19.58203125" style="75" bestFit="1" customWidth="1"/>
    <col min="3335" max="3335" width="19.83203125" style="75" customWidth="1"/>
    <col min="3336" max="3336" width="17.58203125" style="75" bestFit="1" customWidth="1"/>
    <col min="3337" max="3337" width="18.75" style="75" bestFit="1" customWidth="1"/>
    <col min="3338" max="3338" width="18.5" style="75" bestFit="1" customWidth="1"/>
    <col min="3339" max="3339" width="17.58203125" style="75" bestFit="1" customWidth="1"/>
    <col min="3340" max="3340" width="15.08203125" style="75" bestFit="1" customWidth="1"/>
    <col min="3341" max="3341" width="15.83203125" style="75" bestFit="1" customWidth="1"/>
    <col min="3342" max="3342" width="18.75" style="75" bestFit="1" customWidth="1"/>
    <col min="3343" max="3343" width="17.83203125" style="75" customWidth="1"/>
    <col min="3344" max="3344" width="15.83203125" style="75" bestFit="1" customWidth="1"/>
    <col min="3345" max="3345" width="19.58203125" style="75" customWidth="1"/>
    <col min="3346" max="3346" width="16.5" style="75" bestFit="1" customWidth="1"/>
    <col min="3347" max="3347" width="16.83203125" style="75" bestFit="1" customWidth="1"/>
    <col min="3348" max="3349" width="15.83203125" style="75" bestFit="1" customWidth="1"/>
    <col min="3350" max="3584" width="8.33203125" style="75"/>
    <col min="3585" max="3585" width="14.33203125" style="75" customWidth="1"/>
    <col min="3586" max="3586" width="19.75" style="75" bestFit="1" customWidth="1"/>
    <col min="3587" max="3587" width="17.58203125" style="75" bestFit="1" customWidth="1"/>
    <col min="3588" max="3589" width="19.75" style="75" bestFit="1" customWidth="1"/>
    <col min="3590" max="3590" width="19.58203125" style="75" bestFit="1" customWidth="1"/>
    <col min="3591" max="3591" width="19.83203125" style="75" customWidth="1"/>
    <col min="3592" max="3592" width="17.58203125" style="75" bestFit="1" customWidth="1"/>
    <col min="3593" max="3593" width="18.75" style="75" bestFit="1" customWidth="1"/>
    <col min="3594" max="3594" width="18.5" style="75" bestFit="1" customWidth="1"/>
    <col min="3595" max="3595" width="17.58203125" style="75" bestFit="1" customWidth="1"/>
    <col min="3596" max="3596" width="15.08203125" style="75" bestFit="1" customWidth="1"/>
    <col min="3597" max="3597" width="15.83203125" style="75" bestFit="1" customWidth="1"/>
    <col min="3598" max="3598" width="18.75" style="75" bestFit="1" customWidth="1"/>
    <col min="3599" max="3599" width="17.83203125" style="75" customWidth="1"/>
    <col min="3600" max="3600" width="15.83203125" style="75" bestFit="1" customWidth="1"/>
    <col min="3601" max="3601" width="19.58203125" style="75" customWidth="1"/>
    <col min="3602" max="3602" width="16.5" style="75" bestFit="1" customWidth="1"/>
    <col min="3603" max="3603" width="16.83203125" style="75" bestFit="1" customWidth="1"/>
    <col min="3604" max="3605" width="15.83203125" style="75" bestFit="1" customWidth="1"/>
    <col min="3606" max="3840" width="8.33203125" style="75"/>
    <col min="3841" max="3841" width="14.33203125" style="75" customWidth="1"/>
    <col min="3842" max="3842" width="19.75" style="75" bestFit="1" customWidth="1"/>
    <col min="3843" max="3843" width="17.58203125" style="75" bestFit="1" customWidth="1"/>
    <col min="3844" max="3845" width="19.75" style="75" bestFit="1" customWidth="1"/>
    <col min="3846" max="3846" width="19.58203125" style="75" bestFit="1" customWidth="1"/>
    <col min="3847" max="3847" width="19.83203125" style="75" customWidth="1"/>
    <col min="3848" max="3848" width="17.58203125" style="75" bestFit="1" customWidth="1"/>
    <col min="3849" max="3849" width="18.75" style="75" bestFit="1" customWidth="1"/>
    <col min="3850" max="3850" width="18.5" style="75" bestFit="1" customWidth="1"/>
    <col min="3851" max="3851" width="17.58203125" style="75" bestFit="1" customWidth="1"/>
    <col min="3852" max="3852" width="15.08203125" style="75" bestFit="1" customWidth="1"/>
    <col min="3853" max="3853" width="15.83203125" style="75" bestFit="1" customWidth="1"/>
    <col min="3854" max="3854" width="18.75" style="75" bestFit="1" customWidth="1"/>
    <col min="3855" max="3855" width="17.83203125" style="75" customWidth="1"/>
    <col min="3856" max="3856" width="15.83203125" style="75" bestFit="1" customWidth="1"/>
    <col min="3857" max="3857" width="19.58203125" style="75" customWidth="1"/>
    <col min="3858" max="3858" width="16.5" style="75" bestFit="1" customWidth="1"/>
    <col min="3859" max="3859" width="16.83203125" style="75" bestFit="1" customWidth="1"/>
    <col min="3860" max="3861" width="15.83203125" style="75" bestFit="1" customWidth="1"/>
    <col min="3862" max="4096" width="8.33203125" style="75"/>
    <col min="4097" max="4097" width="14.33203125" style="75" customWidth="1"/>
    <col min="4098" max="4098" width="19.75" style="75" bestFit="1" customWidth="1"/>
    <col min="4099" max="4099" width="17.58203125" style="75" bestFit="1" customWidth="1"/>
    <col min="4100" max="4101" width="19.75" style="75" bestFit="1" customWidth="1"/>
    <col min="4102" max="4102" width="19.58203125" style="75" bestFit="1" customWidth="1"/>
    <col min="4103" max="4103" width="19.83203125" style="75" customWidth="1"/>
    <col min="4104" max="4104" width="17.58203125" style="75" bestFit="1" customWidth="1"/>
    <col min="4105" max="4105" width="18.75" style="75" bestFit="1" customWidth="1"/>
    <col min="4106" max="4106" width="18.5" style="75" bestFit="1" customWidth="1"/>
    <col min="4107" max="4107" width="17.58203125" style="75" bestFit="1" customWidth="1"/>
    <col min="4108" max="4108" width="15.08203125" style="75" bestFit="1" customWidth="1"/>
    <col min="4109" max="4109" width="15.83203125" style="75" bestFit="1" customWidth="1"/>
    <col min="4110" max="4110" width="18.75" style="75" bestFit="1" customWidth="1"/>
    <col min="4111" max="4111" width="17.83203125" style="75" customWidth="1"/>
    <col min="4112" max="4112" width="15.83203125" style="75" bestFit="1" customWidth="1"/>
    <col min="4113" max="4113" width="19.58203125" style="75" customWidth="1"/>
    <col min="4114" max="4114" width="16.5" style="75" bestFit="1" customWidth="1"/>
    <col min="4115" max="4115" width="16.83203125" style="75" bestFit="1" customWidth="1"/>
    <col min="4116" max="4117" width="15.83203125" style="75" bestFit="1" customWidth="1"/>
    <col min="4118" max="4352" width="8.33203125" style="75"/>
    <col min="4353" max="4353" width="14.33203125" style="75" customWidth="1"/>
    <col min="4354" max="4354" width="19.75" style="75" bestFit="1" customWidth="1"/>
    <col min="4355" max="4355" width="17.58203125" style="75" bestFit="1" customWidth="1"/>
    <col min="4356" max="4357" width="19.75" style="75" bestFit="1" customWidth="1"/>
    <col min="4358" max="4358" width="19.58203125" style="75" bestFit="1" customWidth="1"/>
    <col min="4359" max="4359" width="19.83203125" style="75" customWidth="1"/>
    <col min="4360" max="4360" width="17.58203125" style="75" bestFit="1" customWidth="1"/>
    <col min="4361" max="4361" width="18.75" style="75" bestFit="1" customWidth="1"/>
    <col min="4362" max="4362" width="18.5" style="75" bestFit="1" customWidth="1"/>
    <col min="4363" max="4363" width="17.58203125" style="75" bestFit="1" customWidth="1"/>
    <col min="4364" max="4364" width="15.08203125" style="75" bestFit="1" customWidth="1"/>
    <col min="4365" max="4365" width="15.83203125" style="75" bestFit="1" customWidth="1"/>
    <col min="4366" max="4366" width="18.75" style="75" bestFit="1" customWidth="1"/>
    <col min="4367" max="4367" width="17.83203125" style="75" customWidth="1"/>
    <col min="4368" max="4368" width="15.83203125" style="75" bestFit="1" customWidth="1"/>
    <col min="4369" max="4369" width="19.58203125" style="75" customWidth="1"/>
    <col min="4370" max="4370" width="16.5" style="75" bestFit="1" customWidth="1"/>
    <col min="4371" max="4371" width="16.83203125" style="75" bestFit="1" customWidth="1"/>
    <col min="4372" max="4373" width="15.83203125" style="75" bestFit="1" customWidth="1"/>
    <col min="4374" max="4608" width="8.33203125" style="75"/>
    <col min="4609" max="4609" width="14.33203125" style="75" customWidth="1"/>
    <col min="4610" max="4610" width="19.75" style="75" bestFit="1" customWidth="1"/>
    <col min="4611" max="4611" width="17.58203125" style="75" bestFit="1" customWidth="1"/>
    <col min="4612" max="4613" width="19.75" style="75" bestFit="1" customWidth="1"/>
    <col min="4614" max="4614" width="19.58203125" style="75" bestFit="1" customWidth="1"/>
    <col min="4615" max="4615" width="19.83203125" style="75" customWidth="1"/>
    <col min="4616" max="4616" width="17.58203125" style="75" bestFit="1" customWidth="1"/>
    <col min="4617" max="4617" width="18.75" style="75" bestFit="1" customWidth="1"/>
    <col min="4618" max="4618" width="18.5" style="75" bestFit="1" customWidth="1"/>
    <col min="4619" max="4619" width="17.58203125" style="75" bestFit="1" customWidth="1"/>
    <col min="4620" max="4620" width="15.08203125" style="75" bestFit="1" customWidth="1"/>
    <col min="4621" max="4621" width="15.83203125" style="75" bestFit="1" customWidth="1"/>
    <col min="4622" max="4622" width="18.75" style="75" bestFit="1" customWidth="1"/>
    <col min="4623" max="4623" width="17.83203125" style="75" customWidth="1"/>
    <col min="4624" max="4624" width="15.83203125" style="75" bestFit="1" customWidth="1"/>
    <col min="4625" max="4625" width="19.58203125" style="75" customWidth="1"/>
    <col min="4626" max="4626" width="16.5" style="75" bestFit="1" customWidth="1"/>
    <col min="4627" max="4627" width="16.83203125" style="75" bestFit="1" customWidth="1"/>
    <col min="4628" max="4629" width="15.83203125" style="75" bestFit="1" customWidth="1"/>
    <col min="4630" max="4864" width="8.33203125" style="75"/>
    <col min="4865" max="4865" width="14.33203125" style="75" customWidth="1"/>
    <col min="4866" max="4866" width="19.75" style="75" bestFit="1" customWidth="1"/>
    <col min="4867" max="4867" width="17.58203125" style="75" bestFit="1" customWidth="1"/>
    <col min="4868" max="4869" width="19.75" style="75" bestFit="1" customWidth="1"/>
    <col min="4870" max="4870" width="19.58203125" style="75" bestFit="1" customWidth="1"/>
    <col min="4871" max="4871" width="19.83203125" style="75" customWidth="1"/>
    <col min="4872" max="4872" width="17.58203125" style="75" bestFit="1" customWidth="1"/>
    <col min="4873" max="4873" width="18.75" style="75" bestFit="1" customWidth="1"/>
    <col min="4874" max="4874" width="18.5" style="75" bestFit="1" customWidth="1"/>
    <col min="4875" max="4875" width="17.58203125" style="75" bestFit="1" customWidth="1"/>
    <col min="4876" max="4876" width="15.08203125" style="75" bestFit="1" customWidth="1"/>
    <col min="4877" max="4877" width="15.83203125" style="75" bestFit="1" customWidth="1"/>
    <col min="4878" max="4878" width="18.75" style="75" bestFit="1" customWidth="1"/>
    <col min="4879" max="4879" width="17.83203125" style="75" customWidth="1"/>
    <col min="4880" max="4880" width="15.83203125" style="75" bestFit="1" customWidth="1"/>
    <col min="4881" max="4881" width="19.58203125" style="75" customWidth="1"/>
    <col min="4882" max="4882" width="16.5" style="75" bestFit="1" customWidth="1"/>
    <col min="4883" max="4883" width="16.83203125" style="75" bestFit="1" customWidth="1"/>
    <col min="4884" max="4885" width="15.83203125" style="75" bestFit="1" customWidth="1"/>
    <col min="4886" max="5120" width="8.33203125" style="75"/>
    <col min="5121" max="5121" width="14.33203125" style="75" customWidth="1"/>
    <col min="5122" max="5122" width="19.75" style="75" bestFit="1" customWidth="1"/>
    <col min="5123" max="5123" width="17.58203125" style="75" bestFit="1" customWidth="1"/>
    <col min="5124" max="5125" width="19.75" style="75" bestFit="1" customWidth="1"/>
    <col min="5126" max="5126" width="19.58203125" style="75" bestFit="1" customWidth="1"/>
    <col min="5127" max="5127" width="19.83203125" style="75" customWidth="1"/>
    <col min="5128" max="5128" width="17.58203125" style="75" bestFit="1" customWidth="1"/>
    <col min="5129" max="5129" width="18.75" style="75" bestFit="1" customWidth="1"/>
    <col min="5130" max="5130" width="18.5" style="75" bestFit="1" customWidth="1"/>
    <col min="5131" max="5131" width="17.58203125" style="75" bestFit="1" customWidth="1"/>
    <col min="5132" max="5132" width="15.08203125" style="75" bestFit="1" customWidth="1"/>
    <col min="5133" max="5133" width="15.83203125" style="75" bestFit="1" customWidth="1"/>
    <col min="5134" max="5134" width="18.75" style="75" bestFit="1" customWidth="1"/>
    <col min="5135" max="5135" width="17.83203125" style="75" customWidth="1"/>
    <col min="5136" max="5136" width="15.83203125" style="75" bestFit="1" customWidth="1"/>
    <col min="5137" max="5137" width="19.58203125" style="75" customWidth="1"/>
    <col min="5138" max="5138" width="16.5" style="75" bestFit="1" customWidth="1"/>
    <col min="5139" max="5139" width="16.83203125" style="75" bestFit="1" customWidth="1"/>
    <col min="5140" max="5141" width="15.83203125" style="75" bestFit="1" customWidth="1"/>
    <col min="5142" max="5376" width="8.33203125" style="75"/>
    <col min="5377" max="5377" width="14.33203125" style="75" customWidth="1"/>
    <col min="5378" max="5378" width="19.75" style="75" bestFit="1" customWidth="1"/>
    <col min="5379" max="5379" width="17.58203125" style="75" bestFit="1" customWidth="1"/>
    <col min="5380" max="5381" width="19.75" style="75" bestFit="1" customWidth="1"/>
    <col min="5382" max="5382" width="19.58203125" style="75" bestFit="1" customWidth="1"/>
    <col min="5383" max="5383" width="19.83203125" style="75" customWidth="1"/>
    <col min="5384" max="5384" width="17.58203125" style="75" bestFit="1" customWidth="1"/>
    <col min="5385" max="5385" width="18.75" style="75" bestFit="1" customWidth="1"/>
    <col min="5386" max="5386" width="18.5" style="75" bestFit="1" customWidth="1"/>
    <col min="5387" max="5387" width="17.58203125" style="75" bestFit="1" customWidth="1"/>
    <col min="5388" max="5388" width="15.08203125" style="75" bestFit="1" customWidth="1"/>
    <col min="5389" max="5389" width="15.83203125" style="75" bestFit="1" customWidth="1"/>
    <col min="5390" max="5390" width="18.75" style="75" bestFit="1" customWidth="1"/>
    <col min="5391" max="5391" width="17.83203125" style="75" customWidth="1"/>
    <col min="5392" max="5392" width="15.83203125" style="75" bestFit="1" customWidth="1"/>
    <col min="5393" max="5393" width="19.58203125" style="75" customWidth="1"/>
    <col min="5394" max="5394" width="16.5" style="75" bestFit="1" customWidth="1"/>
    <col min="5395" max="5395" width="16.83203125" style="75" bestFit="1" customWidth="1"/>
    <col min="5396" max="5397" width="15.83203125" style="75" bestFit="1" customWidth="1"/>
    <col min="5398" max="5632" width="8.33203125" style="75"/>
    <col min="5633" max="5633" width="14.33203125" style="75" customWidth="1"/>
    <col min="5634" max="5634" width="19.75" style="75" bestFit="1" customWidth="1"/>
    <col min="5635" max="5635" width="17.58203125" style="75" bestFit="1" customWidth="1"/>
    <col min="5636" max="5637" width="19.75" style="75" bestFit="1" customWidth="1"/>
    <col min="5638" max="5638" width="19.58203125" style="75" bestFit="1" customWidth="1"/>
    <col min="5639" max="5639" width="19.83203125" style="75" customWidth="1"/>
    <col min="5640" max="5640" width="17.58203125" style="75" bestFit="1" customWidth="1"/>
    <col min="5641" max="5641" width="18.75" style="75" bestFit="1" customWidth="1"/>
    <col min="5642" max="5642" width="18.5" style="75" bestFit="1" customWidth="1"/>
    <col min="5643" max="5643" width="17.58203125" style="75" bestFit="1" customWidth="1"/>
    <col min="5644" max="5644" width="15.08203125" style="75" bestFit="1" customWidth="1"/>
    <col min="5645" max="5645" width="15.83203125" style="75" bestFit="1" customWidth="1"/>
    <col min="5646" max="5646" width="18.75" style="75" bestFit="1" customWidth="1"/>
    <col min="5647" max="5647" width="17.83203125" style="75" customWidth="1"/>
    <col min="5648" max="5648" width="15.83203125" style="75" bestFit="1" customWidth="1"/>
    <col min="5649" max="5649" width="19.58203125" style="75" customWidth="1"/>
    <col min="5650" max="5650" width="16.5" style="75" bestFit="1" customWidth="1"/>
    <col min="5651" max="5651" width="16.83203125" style="75" bestFit="1" customWidth="1"/>
    <col min="5652" max="5653" width="15.83203125" style="75" bestFit="1" customWidth="1"/>
    <col min="5654" max="5888" width="8.33203125" style="75"/>
    <col min="5889" max="5889" width="14.33203125" style="75" customWidth="1"/>
    <col min="5890" max="5890" width="19.75" style="75" bestFit="1" customWidth="1"/>
    <col min="5891" max="5891" width="17.58203125" style="75" bestFit="1" customWidth="1"/>
    <col min="5892" max="5893" width="19.75" style="75" bestFit="1" customWidth="1"/>
    <col min="5894" max="5894" width="19.58203125" style="75" bestFit="1" customWidth="1"/>
    <col min="5895" max="5895" width="19.83203125" style="75" customWidth="1"/>
    <col min="5896" max="5896" width="17.58203125" style="75" bestFit="1" customWidth="1"/>
    <col min="5897" max="5897" width="18.75" style="75" bestFit="1" customWidth="1"/>
    <col min="5898" max="5898" width="18.5" style="75" bestFit="1" customWidth="1"/>
    <col min="5899" max="5899" width="17.58203125" style="75" bestFit="1" customWidth="1"/>
    <col min="5900" max="5900" width="15.08203125" style="75" bestFit="1" customWidth="1"/>
    <col min="5901" max="5901" width="15.83203125" style="75" bestFit="1" customWidth="1"/>
    <col min="5902" max="5902" width="18.75" style="75" bestFit="1" customWidth="1"/>
    <col min="5903" max="5903" width="17.83203125" style="75" customWidth="1"/>
    <col min="5904" max="5904" width="15.83203125" style="75" bestFit="1" customWidth="1"/>
    <col min="5905" max="5905" width="19.58203125" style="75" customWidth="1"/>
    <col min="5906" max="5906" width="16.5" style="75" bestFit="1" customWidth="1"/>
    <col min="5907" max="5907" width="16.83203125" style="75" bestFit="1" customWidth="1"/>
    <col min="5908" max="5909" width="15.83203125" style="75" bestFit="1" customWidth="1"/>
    <col min="5910" max="6144" width="8.33203125" style="75"/>
    <col min="6145" max="6145" width="14.33203125" style="75" customWidth="1"/>
    <col min="6146" max="6146" width="19.75" style="75" bestFit="1" customWidth="1"/>
    <col min="6147" max="6147" width="17.58203125" style="75" bestFit="1" customWidth="1"/>
    <col min="6148" max="6149" width="19.75" style="75" bestFit="1" customWidth="1"/>
    <col min="6150" max="6150" width="19.58203125" style="75" bestFit="1" customWidth="1"/>
    <col min="6151" max="6151" width="19.83203125" style="75" customWidth="1"/>
    <col min="6152" max="6152" width="17.58203125" style="75" bestFit="1" customWidth="1"/>
    <col min="6153" max="6153" width="18.75" style="75" bestFit="1" customWidth="1"/>
    <col min="6154" max="6154" width="18.5" style="75" bestFit="1" customWidth="1"/>
    <col min="6155" max="6155" width="17.58203125" style="75" bestFit="1" customWidth="1"/>
    <col min="6156" max="6156" width="15.08203125" style="75" bestFit="1" customWidth="1"/>
    <col min="6157" max="6157" width="15.83203125" style="75" bestFit="1" customWidth="1"/>
    <col min="6158" max="6158" width="18.75" style="75" bestFit="1" customWidth="1"/>
    <col min="6159" max="6159" width="17.83203125" style="75" customWidth="1"/>
    <col min="6160" max="6160" width="15.83203125" style="75" bestFit="1" customWidth="1"/>
    <col min="6161" max="6161" width="19.58203125" style="75" customWidth="1"/>
    <col min="6162" max="6162" width="16.5" style="75" bestFit="1" customWidth="1"/>
    <col min="6163" max="6163" width="16.83203125" style="75" bestFit="1" customWidth="1"/>
    <col min="6164" max="6165" width="15.83203125" style="75" bestFit="1" customWidth="1"/>
    <col min="6166" max="6400" width="8.33203125" style="75"/>
    <col min="6401" max="6401" width="14.33203125" style="75" customWidth="1"/>
    <col min="6402" max="6402" width="19.75" style="75" bestFit="1" customWidth="1"/>
    <col min="6403" max="6403" width="17.58203125" style="75" bestFit="1" customWidth="1"/>
    <col min="6404" max="6405" width="19.75" style="75" bestFit="1" customWidth="1"/>
    <col min="6406" max="6406" width="19.58203125" style="75" bestFit="1" customWidth="1"/>
    <col min="6407" max="6407" width="19.83203125" style="75" customWidth="1"/>
    <col min="6408" max="6408" width="17.58203125" style="75" bestFit="1" customWidth="1"/>
    <col min="6409" max="6409" width="18.75" style="75" bestFit="1" customWidth="1"/>
    <col min="6410" max="6410" width="18.5" style="75" bestFit="1" customWidth="1"/>
    <col min="6411" max="6411" width="17.58203125" style="75" bestFit="1" customWidth="1"/>
    <col min="6412" max="6412" width="15.08203125" style="75" bestFit="1" customWidth="1"/>
    <col min="6413" max="6413" width="15.83203125" style="75" bestFit="1" customWidth="1"/>
    <col min="6414" max="6414" width="18.75" style="75" bestFit="1" customWidth="1"/>
    <col min="6415" max="6415" width="17.83203125" style="75" customWidth="1"/>
    <col min="6416" max="6416" width="15.83203125" style="75" bestFit="1" customWidth="1"/>
    <col min="6417" max="6417" width="19.58203125" style="75" customWidth="1"/>
    <col min="6418" max="6418" width="16.5" style="75" bestFit="1" customWidth="1"/>
    <col min="6419" max="6419" width="16.83203125" style="75" bestFit="1" customWidth="1"/>
    <col min="6420" max="6421" width="15.83203125" style="75" bestFit="1" customWidth="1"/>
    <col min="6422" max="6656" width="8.33203125" style="75"/>
    <col min="6657" max="6657" width="14.33203125" style="75" customWidth="1"/>
    <col min="6658" max="6658" width="19.75" style="75" bestFit="1" customWidth="1"/>
    <col min="6659" max="6659" width="17.58203125" style="75" bestFit="1" customWidth="1"/>
    <col min="6660" max="6661" width="19.75" style="75" bestFit="1" customWidth="1"/>
    <col min="6662" max="6662" width="19.58203125" style="75" bestFit="1" customWidth="1"/>
    <col min="6663" max="6663" width="19.83203125" style="75" customWidth="1"/>
    <col min="6664" max="6664" width="17.58203125" style="75" bestFit="1" customWidth="1"/>
    <col min="6665" max="6665" width="18.75" style="75" bestFit="1" customWidth="1"/>
    <col min="6666" max="6666" width="18.5" style="75" bestFit="1" customWidth="1"/>
    <col min="6667" max="6667" width="17.58203125" style="75" bestFit="1" customWidth="1"/>
    <col min="6668" max="6668" width="15.08203125" style="75" bestFit="1" customWidth="1"/>
    <col min="6669" max="6669" width="15.83203125" style="75" bestFit="1" customWidth="1"/>
    <col min="6670" max="6670" width="18.75" style="75" bestFit="1" customWidth="1"/>
    <col min="6671" max="6671" width="17.83203125" style="75" customWidth="1"/>
    <col min="6672" max="6672" width="15.83203125" style="75" bestFit="1" customWidth="1"/>
    <col min="6673" max="6673" width="19.58203125" style="75" customWidth="1"/>
    <col min="6674" max="6674" width="16.5" style="75" bestFit="1" customWidth="1"/>
    <col min="6675" max="6675" width="16.83203125" style="75" bestFit="1" customWidth="1"/>
    <col min="6676" max="6677" width="15.83203125" style="75" bestFit="1" customWidth="1"/>
    <col min="6678" max="6912" width="8.33203125" style="75"/>
    <col min="6913" max="6913" width="14.33203125" style="75" customWidth="1"/>
    <col min="6914" max="6914" width="19.75" style="75" bestFit="1" customWidth="1"/>
    <col min="6915" max="6915" width="17.58203125" style="75" bestFit="1" customWidth="1"/>
    <col min="6916" max="6917" width="19.75" style="75" bestFit="1" customWidth="1"/>
    <col min="6918" max="6918" width="19.58203125" style="75" bestFit="1" customWidth="1"/>
    <col min="6919" max="6919" width="19.83203125" style="75" customWidth="1"/>
    <col min="6920" max="6920" width="17.58203125" style="75" bestFit="1" customWidth="1"/>
    <col min="6921" max="6921" width="18.75" style="75" bestFit="1" customWidth="1"/>
    <col min="6922" max="6922" width="18.5" style="75" bestFit="1" customWidth="1"/>
    <col min="6923" max="6923" width="17.58203125" style="75" bestFit="1" customWidth="1"/>
    <col min="6924" max="6924" width="15.08203125" style="75" bestFit="1" customWidth="1"/>
    <col min="6925" max="6925" width="15.83203125" style="75" bestFit="1" customWidth="1"/>
    <col min="6926" max="6926" width="18.75" style="75" bestFit="1" customWidth="1"/>
    <col min="6927" max="6927" width="17.83203125" style="75" customWidth="1"/>
    <col min="6928" max="6928" width="15.83203125" style="75" bestFit="1" customWidth="1"/>
    <col min="6929" max="6929" width="19.58203125" style="75" customWidth="1"/>
    <col min="6930" max="6930" width="16.5" style="75" bestFit="1" customWidth="1"/>
    <col min="6931" max="6931" width="16.83203125" style="75" bestFit="1" customWidth="1"/>
    <col min="6932" max="6933" width="15.83203125" style="75" bestFit="1" customWidth="1"/>
    <col min="6934" max="7168" width="8.33203125" style="75"/>
    <col min="7169" max="7169" width="14.33203125" style="75" customWidth="1"/>
    <col min="7170" max="7170" width="19.75" style="75" bestFit="1" customWidth="1"/>
    <col min="7171" max="7171" width="17.58203125" style="75" bestFit="1" customWidth="1"/>
    <col min="7172" max="7173" width="19.75" style="75" bestFit="1" customWidth="1"/>
    <col min="7174" max="7174" width="19.58203125" style="75" bestFit="1" customWidth="1"/>
    <col min="7175" max="7175" width="19.83203125" style="75" customWidth="1"/>
    <col min="7176" max="7176" width="17.58203125" style="75" bestFit="1" customWidth="1"/>
    <col min="7177" max="7177" width="18.75" style="75" bestFit="1" customWidth="1"/>
    <col min="7178" max="7178" width="18.5" style="75" bestFit="1" customWidth="1"/>
    <col min="7179" max="7179" width="17.58203125" style="75" bestFit="1" customWidth="1"/>
    <col min="7180" max="7180" width="15.08203125" style="75" bestFit="1" customWidth="1"/>
    <col min="7181" max="7181" width="15.83203125" style="75" bestFit="1" customWidth="1"/>
    <col min="7182" max="7182" width="18.75" style="75" bestFit="1" customWidth="1"/>
    <col min="7183" max="7183" width="17.83203125" style="75" customWidth="1"/>
    <col min="7184" max="7184" width="15.83203125" style="75" bestFit="1" customWidth="1"/>
    <col min="7185" max="7185" width="19.58203125" style="75" customWidth="1"/>
    <col min="7186" max="7186" width="16.5" style="75" bestFit="1" customWidth="1"/>
    <col min="7187" max="7187" width="16.83203125" style="75" bestFit="1" customWidth="1"/>
    <col min="7188" max="7189" width="15.83203125" style="75" bestFit="1" customWidth="1"/>
    <col min="7190" max="7424" width="8.33203125" style="75"/>
    <col min="7425" max="7425" width="14.33203125" style="75" customWidth="1"/>
    <col min="7426" max="7426" width="19.75" style="75" bestFit="1" customWidth="1"/>
    <col min="7427" max="7427" width="17.58203125" style="75" bestFit="1" customWidth="1"/>
    <col min="7428" max="7429" width="19.75" style="75" bestFit="1" customWidth="1"/>
    <col min="7430" max="7430" width="19.58203125" style="75" bestFit="1" customWidth="1"/>
    <col min="7431" max="7431" width="19.83203125" style="75" customWidth="1"/>
    <col min="7432" max="7432" width="17.58203125" style="75" bestFit="1" customWidth="1"/>
    <col min="7433" max="7433" width="18.75" style="75" bestFit="1" customWidth="1"/>
    <col min="7434" max="7434" width="18.5" style="75" bestFit="1" customWidth="1"/>
    <col min="7435" max="7435" width="17.58203125" style="75" bestFit="1" customWidth="1"/>
    <col min="7436" max="7436" width="15.08203125" style="75" bestFit="1" customWidth="1"/>
    <col min="7437" max="7437" width="15.83203125" style="75" bestFit="1" customWidth="1"/>
    <col min="7438" max="7438" width="18.75" style="75" bestFit="1" customWidth="1"/>
    <col min="7439" max="7439" width="17.83203125" style="75" customWidth="1"/>
    <col min="7440" max="7440" width="15.83203125" style="75" bestFit="1" customWidth="1"/>
    <col min="7441" max="7441" width="19.58203125" style="75" customWidth="1"/>
    <col min="7442" max="7442" width="16.5" style="75" bestFit="1" customWidth="1"/>
    <col min="7443" max="7443" width="16.83203125" style="75" bestFit="1" customWidth="1"/>
    <col min="7444" max="7445" width="15.83203125" style="75" bestFit="1" customWidth="1"/>
    <col min="7446" max="7680" width="8.33203125" style="75"/>
    <col min="7681" max="7681" width="14.33203125" style="75" customWidth="1"/>
    <col min="7682" max="7682" width="19.75" style="75" bestFit="1" customWidth="1"/>
    <col min="7683" max="7683" width="17.58203125" style="75" bestFit="1" customWidth="1"/>
    <col min="7684" max="7685" width="19.75" style="75" bestFit="1" customWidth="1"/>
    <col min="7686" max="7686" width="19.58203125" style="75" bestFit="1" customWidth="1"/>
    <col min="7687" max="7687" width="19.83203125" style="75" customWidth="1"/>
    <col min="7688" max="7688" width="17.58203125" style="75" bestFit="1" customWidth="1"/>
    <col min="7689" max="7689" width="18.75" style="75" bestFit="1" customWidth="1"/>
    <col min="7690" max="7690" width="18.5" style="75" bestFit="1" customWidth="1"/>
    <col min="7691" max="7691" width="17.58203125" style="75" bestFit="1" customWidth="1"/>
    <col min="7692" max="7692" width="15.08203125" style="75" bestFit="1" customWidth="1"/>
    <col min="7693" max="7693" width="15.83203125" style="75" bestFit="1" customWidth="1"/>
    <col min="7694" max="7694" width="18.75" style="75" bestFit="1" customWidth="1"/>
    <col min="7695" max="7695" width="17.83203125" style="75" customWidth="1"/>
    <col min="7696" max="7696" width="15.83203125" style="75" bestFit="1" customWidth="1"/>
    <col min="7697" max="7697" width="19.58203125" style="75" customWidth="1"/>
    <col min="7698" max="7698" width="16.5" style="75" bestFit="1" customWidth="1"/>
    <col min="7699" max="7699" width="16.83203125" style="75" bestFit="1" customWidth="1"/>
    <col min="7700" max="7701" width="15.83203125" style="75" bestFit="1" customWidth="1"/>
    <col min="7702" max="7936" width="8.33203125" style="75"/>
    <col min="7937" max="7937" width="14.33203125" style="75" customWidth="1"/>
    <col min="7938" max="7938" width="19.75" style="75" bestFit="1" customWidth="1"/>
    <col min="7939" max="7939" width="17.58203125" style="75" bestFit="1" customWidth="1"/>
    <col min="7940" max="7941" width="19.75" style="75" bestFit="1" customWidth="1"/>
    <col min="7942" max="7942" width="19.58203125" style="75" bestFit="1" customWidth="1"/>
    <col min="7943" max="7943" width="19.83203125" style="75" customWidth="1"/>
    <col min="7944" max="7944" width="17.58203125" style="75" bestFit="1" customWidth="1"/>
    <col min="7945" max="7945" width="18.75" style="75" bestFit="1" customWidth="1"/>
    <col min="7946" max="7946" width="18.5" style="75" bestFit="1" customWidth="1"/>
    <col min="7947" max="7947" width="17.58203125" style="75" bestFit="1" customWidth="1"/>
    <col min="7948" max="7948" width="15.08203125" style="75" bestFit="1" customWidth="1"/>
    <col min="7949" max="7949" width="15.83203125" style="75" bestFit="1" customWidth="1"/>
    <col min="7950" max="7950" width="18.75" style="75" bestFit="1" customWidth="1"/>
    <col min="7951" max="7951" width="17.83203125" style="75" customWidth="1"/>
    <col min="7952" max="7952" width="15.83203125" style="75" bestFit="1" customWidth="1"/>
    <col min="7953" max="7953" width="19.58203125" style="75" customWidth="1"/>
    <col min="7954" max="7954" width="16.5" style="75" bestFit="1" customWidth="1"/>
    <col min="7955" max="7955" width="16.83203125" style="75" bestFit="1" customWidth="1"/>
    <col min="7956" max="7957" width="15.83203125" style="75" bestFit="1" customWidth="1"/>
    <col min="7958" max="8192" width="8.33203125" style="75"/>
    <col min="8193" max="8193" width="14.33203125" style="75" customWidth="1"/>
    <col min="8194" max="8194" width="19.75" style="75" bestFit="1" customWidth="1"/>
    <col min="8195" max="8195" width="17.58203125" style="75" bestFit="1" customWidth="1"/>
    <col min="8196" max="8197" width="19.75" style="75" bestFit="1" customWidth="1"/>
    <col min="8198" max="8198" width="19.58203125" style="75" bestFit="1" customWidth="1"/>
    <col min="8199" max="8199" width="19.83203125" style="75" customWidth="1"/>
    <col min="8200" max="8200" width="17.58203125" style="75" bestFit="1" customWidth="1"/>
    <col min="8201" max="8201" width="18.75" style="75" bestFit="1" customWidth="1"/>
    <col min="8202" max="8202" width="18.5" style="75" bestFit="1" customWidth="1"/>
    <col min="8203" max="8203" width="17.58203125" style="75" bestFit="1" customWidth="1"/>
    <col min="8204" max="8204" width="15.08203125" style="75" bestFit="1" customWidth="1"/>
    <col min="8205" max="8205" width="15.83203125" style="75" bestFit="1" customWidth="1"/>
    <col min="8206" max="8206" width="18.75" style="75" bestFit="1" customWidth="1"/>
    <col min="8207" max="8207" width="17.83203125" style="75" customWidth="1"/>
    <col min="8208" max="8208" width="15.83203125" style="75" bestFit="1" customWidth="1"/>
    <col min="8209" max="8209" width="19.58203125" style="75" customWidth="1"/>
    <col min="8210" max="8210" width="16.5" style="75" bestFit="1" customWidth="1"/>
    <col min="8211" max="8211" width="16.83203125" style="75" bestFit="1" customWidth="1"/>
    <col min="8212" max="8213" width="15.83203125" style="75" bestFit="1" customWidth="1"/>
    <col min="8214" max="8448" width="8.33203125" style="75"/>
    <col min="8449" max="8449" width="14.33203125" style="75" customWidth="1"/>
    <col min="8450" max="8450" width="19.75" style="75" bestFit="1" customWidth="1"/>
    <col min="8451" max="8451" width="17.58203125" style="75" bestFit="1" customWidth="1"/>
    <col min="8452" max="8453" width="19.75" style="75" bestFit="1" customWidth="1"/>
    <col min="8454" max="8454" width="19.58203125" style="75" bestFit="1" customWidth="1"/>
    <col min="8455" max="8455" width="19.83203125" style="75" customWidth="1"/>
    <col min="8456" max="8456" width="17.58203125" style="75" bestFit="1" customWidth="1"/>
    <col min="8457" max="8457" width="18.75" style="75" bestFit="1" customWidth="1"/>
    <col min="8458" max="8458" width="18.5" style="75" bestFit="1" customWidth="1"/>
    <col min="8459" max="8459" width="17.58203125" style="75" bestFit="1" customWidth="1"/>
    <col min="8460" max="8460" width="15.08203125" style="75" bestFit="1" customWidth="1"/>
    <col min="8461" max="8461" width="15.83203125" style="75" bestFit="1" customWidth="1"/>
    <col min="8462" max="8462" width="18.75" style="75" bestFit="1" customWidth="1"/>
    <col min="8463" max="8463" width="17.83203125" style="75" customWidth="1"/>
    <col min="8464" max="8464" width="15.83203125" style="75" bestFit="1" customWidth="1"/>
    <col min="8465" max="8465" width="19.58203125" style="75" customWidth="1"/>
    <col min="8466" max="8466" width="16.5" style="75" bestFit="1" customWidth="1"/>
    <col min="8467" max="8467" width="16.83203125" style="75" bestFit="1" customWidth="1"/>
    <col min="8468" max="8469" width="15.83203125" style="75" bestFit="1" customWidth="1"/>
    <col min="8470" max="8704" width="8.33203125" style="75"/>
    <col min="8705" max="8705" width="14.33203125" style="75" customWidth="1"/>
    <col min="8706" max="8706" width="19.75" style="75" bestFit="1" customWidth="1"/>
    <col min="8707" max="8707" width="17.58203125" style="75" bestFit="1" customWidth="1"/>
    <col min="8708" max="8709" width="19.75" style="75" bestFit="1" customWidth="1"/>
    <col min="8710" max="8710" width="19.58203125" style="75" bestFit="1" customWidth="1"/>
    <col min="8711" max="8711" width="19.83203125" style="75" customWidth="1"/>
    <col min="8712" max="8712" width="17.58203125" style="75" bestFit="1" customWidth="1"/>
    <col min="8713" max="8713" width="18.75" style="75" bestFit="1" customWidth="1"/>
    <col min="8714" max="8714" width="18.5" style="75" bestFit="1" customWidth="1"/>
    <col min="8715" max="8715" width="17.58203125" style="75" bestFit="1" customWidth="1"/>
    <col min="8716" max="8716" width="15.08203125" style="75" bestFit="1" customWidth="1"/>
    <col min="8717" max="8717" width="15.83203125" style="75" bestFit="1" customWidth="1"/>
    <col min="8718" max="8718" width="18.75" style="75" bestFit="1" customWidth="1"/>
    <col min="8719" max="8719" width="17.83203125" style="75" customWidth="1"/>
    <col min="8720" max="8720" width="15.83203125" style="75" bestFit="1" customWidth="1"/>
    <col min="8721" max="8721" width="19.58203125" style="75" customWidth="1"/>
    <col min="8722" max="8722" width="16.5" style="75" bestFit="1" customWidth="1"/>
    <col min="8723" max="8723" width="16.83203125" style="75" bestFit="1" customWidth="1"/>
    <col min="8724" max="8725" width="15.83203125" style="75" bestFit="1" customWidth="1"/>
    <col min="8726" max="8960" width="8.33203125" style="75"/>
    <col min="8961" max="8961" width="14.33203125" style="75" customWidth="1"/>
    <col min="8962" max="8962" width="19.75" style="75" bestFit="1" customWidth="1"/>
    <col min="8963" max="8963" width="17.58203125" style="75" bestFit="1" customWidth="1"/>
    <col min="8964" max="8965" width="19.75" style="75" bestFit="1" customWidth="1"/>
    <col min="8966" max="8966" width="19.58203125" style="75" bestFit="1" customWidth="1"/>
    <col min="8967" max="8967" width="19.83203125" style="75" customWidth="1"/>
    <col min="8968" max="8968" width="17.58203125" style="75" bestFit="1" customWidth="1"/>
    <col min="8969" max="8969" width="18.75" style="75" bestFit="1" customWidth="1"/>
    <col min="8970" max="8970" width="18.5" style="75" bestFit="1" customWidth="1"/>
    <col min="8971" max="8971" width="17.58203125" style="75" bestFit="1" customWidth="1"/>
    <col min="8972" max="8972" width="15.08203125" style="75" bestFit="1" customWidth="1"/>
    <col min="8973" max="8973" width="15.83203125" style="75" bestFit="1" customWidth="1"/>
    <col min="8974" max="8974" width="18.75" style="75" bestFit="1" customWidth="1"/>
    <col min="8975" max="8975" width="17.83203125" style="75" customWidth="1"/>
    <col min="8976" max="8976" width="15.83203125" style="75" bestFit="1" customWidth="1"/>
    <col min="8977" max="8977" width="19.58203125" style="75" customWidth="1"/>
    <col min="8978" max="8978" width="16.5" style="75" bestFit="1" customWidth="1"/>
    <col min="8979" max="8979" width="16.83203125" style="75" bestFit="1" customWidth="1"/>
    <col min="8980" max="8981" width="15.83203125" style="75" bestFit="1" customWidth="1"/>
    <col min="8982" max="9216" width="8.33203125" style="75"/>
    <col min="9217" max="9217" width="14.33203125" style="75" customWidth="1"/>
    <col min="9218" max="9218" width="19.75" style="75" bestFit="1" customWidth="1"/>
    <col min="9219" max="9219" width="17.58203125" style="75" bestFit="1" customWidth="1"/>
    <col min="9220" max="9221" width="19.75" style="75" bestFit="1" customWidth="1"/>
    <col min="9222" max="9222" width="19.58203125" style="75" bestFit="1" customWidth="1"/>
    <col min="9223" max="9223" width="19.83203125" style="75" customWidth="1"/>
    <col min="9224" max="9224" width="17.58203125" style="75" bestFit="1" customWidth="1"/>
    <col min="9225" max="9225" width="18.75" style="75" bestFit="1" customWidth="1"/>
    <col min="9226" max="9226" width="18.5" style="75" bestFit="1" customWidth="1"/>
    <col min="9227" max="9227" width="17.58203125" style="75" bestFit="1" customWidth="1"/>
    <col min="9228" max="9228" width="15.08203125" style="75" bestFit="1" customWidth="1"/>
    <col min="9229" max="9229" width="15.83203125" style="75" bestFit="1" customWidth="1"/>
    <col min="9230" max="9230" width="18.75" style="75" bestFit="1" customWidth="1"/>
    <col min="9231" max="9231" width="17.83203125" style="75" customWidth="1"/>
    <col min="9232" max="9232" width="15.83203125" style="75" bestFit="1" customWidth="1"/>
    <col min="9233" max="9233" width="19.58203125" style="75" customWidth="1"/>
    <col min="9234" max="9234" width="16.5" style="75" bestFit="1" customWidth="1"/>
    <col min="9235" max="9235" width="16.83203125" style="75" bestFit="1" customWidth="1"/>
    <col min="9236" max="9237" width="15.83203125" style="75" bestFit="1" customWidth="1"/>
    <col min="9238" max="9472" width="8.33203125" style="75"/>
    <col min="9473" max="9473" width="14.33203125" style="75" customWidth="1"/>
    <col min="9474" max="9474" width="19.75" style="75" bestFit="1" customWidth="1"/>
    <col min="9475" max="9475" width="17.58203125" style="75" bestFit="1" customWidth="1"/>
    <col min="9476" max="9477" width="19.75" style="75" bestFit="1" customWidth="1"/>
    <col min="9478" max="9478" width="19.58203125" style="75" bestFit="1" customWidth="1"/>
    <col min="9479" max="9479" width="19.83203125" style="75" customWidth="1"/>
    <col min="9480" max="9480" width="17.58203125" style="75" bestFit="1" customWidth="1"/>
    <col min="9481" max="9481" width="18.75" style="75" bestFit="1" customWidth="1"/>
    <col min="9482" max="9482" width="18.5" style="75" bestFit="1" customWidth="1"/>
    <col min="9483" max="9483" width="17.58203125" style="75" bestFit="1" customWidth="1"/>
    <col min="9484" max="9484" width="15.08203125" style="75" bestFit="1" customWidth="1"/>
    <col min="9485" max="9485" width="15.83203125" style="75" bestFit="1" customWidth="1"/>
    <col min="9486" max="9486" width="18.75" style="75" bestFit="1" customWidth="1"/>
    <col min="9487" max="9487" width="17.83203125" style="75" customWidth="1"/>
    <col min="9488" max="9488" width="15.83203125" style="75" bestFit="1" customWidth="1"/>
    <col min="9489" max="9489" width="19.58203125" style="75" customWidth="1"/>
    <col min="9490" max="9490" width="16.5" style="75" bestFit="1" customWidth="1"/>
    <col min="9491" max="9491" width="16.83203125" style="75" bestFit="1" customWidth="1"/>
    <col min="9492" max="9493" width="15.83203125" style="75" bestFit="1" customWidth="1"/>
    <col min="9494" max="9728" width="8.33203125" style="75"/>
    <col min="9729" max="9729" width="14.33203125" style="75" customWidth="1"/>
    <col min="9730" max="9730" width="19.75" style="75" bestFit="1" customWidth="1"/>
    <col min="9731" max="9731" width="17.58203125" style="75" bestFit="1" customWidth="1"/>
    <col min="9732" max="9733" width="19.75" style="75" bestFit="1" customWidth="1"/>
    <col min="9734" max="9734" width="19.58203125" style="75" bestFit="1" customWidth="1"/>
    <col min="9735" max="9735" width="19.83203125" style="75" customWidth="1"/>
    <col min="9736" max="9736" width="17.58203125" style="75" bestFit="1" customWidth="1"/>
    <col min="9737" max="9737" width="18.75" style="75" bestFit="1" customWidth="1"/>
    <col min="9738" max="9738" width="18.5" style="75" bestFit="1" customWidth="1"/>
    <col min="9739" max="9739" width="17.58203125" style="75" bestFit="1" customWidth="1"/>
    <col min="9740" max="9740" width="15.08203125" style="75" bestFit="1" customWidth="1"/>
    <col min="9741" max="9741" width="15.83203125" style="75" bestFit="1" customWidth="1"/>
    <col min="9742" max="9742" width="18.75" style="75" bestFit="1" customWidth="1"/>
    <col min="9743" max="9743" width="17.83203125" style="75" customWidth="1"/>
    <col min="9744" max="9744" width="15.83203125" style="75" bestFit="1" customWidth="1"/>
    <col min="9745" max="9745" width="19.58203125" style="75" customWidth="1"/>
    <col min="9746" max="9746" width="16.5" style="75" bestFit="1" customWidth="1"/>
    <col min="9747" max="9747" width="16.83203125" style="75" bestFit="1" customWidth="1"/>
    <col min="9748" max="9749" width="15.83203125" style="75" bestFit="1" customWidth="1"/>
    <col min="9750" max="9984" width="8.33203125" style="75"/>
    <col min="9985" max="9985" width="14.33203125" style="75" customWidth="1"/>
    <col min="9986" max="9986" width="19.75" style="75" bestFit="1" customWidth="1"/>
    <col min="9987" max="9987" width="17.58203125" style="75" bestFit="1" customWidth="1"/>
    <col min="9988" max="9989" width="19.75" style="75" bestFit="1" customWidth="1"/>
    <col min="9990" max="9990" width="19.58203125" style="75" bestFit="1" customWidth="1"/>
    <col min="9991" max="9991" width="19.83203125" style="75" customWidth="1"/>
    <col min="9992" max="9992" width="17.58203125" style="75" bestFit="1" customWidth="1"/>
    <col min="9993" max="9993" width="18.75" style="75" bestFit="1" customWidth="1"/>
    <col min="9994" max="9994" width="18.5" style="75" bestFit="1" customWidth="1"/>
    <col min="9995" max="9995" width="17.58203125" style="75" bestFit="1" customWidth="1"/>
    <col min="9996" max="9996" width="15.08203125" style="75" bestFit="1" customWidth="1"/>
    <col min="9997" max="9997" width="15.83203125" style="75" bestFit="1" customWidth="1"/>
    <col min="9998" max="9998" width="18.75" style="75" bestFit="1" customWidth="1"/>
    <col min="9999" max="9999" width="17.83203125" style="75" customWidth="1"/>
    <col min="10000" max="10000" width="15.83203125" style="75" bestFit="1" customWidth="1"/>
    <col min="10001" max="10001" width="19.58203125" style="75" customWidth="1"/>
    <col min="10002" max="10002" width="16.5" style="75" bestFit="1" customWidth="1"/>
    <col min="10003" max="10003" width="16.83203125" style="75" bestFit="1" customWidth="1"/>
    <col min="10004" max="10005" width="15.83203125" style="75" bestFit="1" customWidth="1"/>
    <col min="10006" max="10240" width="8.33203125" style="75"/>
    <col min="10241" max="10241" width="14.33203125" style="75" customWidth="1"/>
    <col min="10242" max="10242" width="19.75" style="75" bestFit="1" customWidth="1"/>
    <col min="10243" max="10243" width="17.58203125" style="75" bestFit="1" customWidth="1"/>
    <col min="10244" max="10245" width="19.75" style="75" bestFit="1" customWidth="1"/>
    <col min="10246" max="10246" width="19.58203125" style="75" bestFit="1" customWidth="1"/>
    <col min="10247" max="10247" width="19.83203125" style="75" customWidth="1"/>
    <col min="10248" max="10248" width="17.58203125" style="75" bestFit="1" customWidth="1"/>
    <col min="10249" max="10249" width="18.75" style="75" bestFit="1" customWidth="1"/>
    <col min="10250" max="10250" width="18.5" style="75" bestFit="1" customWidth="1"/>
    <col min="10251" max="10251" width="17.58203125" style="75" bestFit="1" customWidth="1"/>
    <col min="10252" max="10252" width="15.08203125" style="75" bestFit="1" customWidth="1"/>
    <col min="10253" max="10253" width="15.83203125" style="75" bestFit="1" customWidth="1"/>
    <col min="10254" max="10254" width="18.75" style="75" bestFit="1" customWidth="1"/>
    <col min="10255" max="10255" width="17.83203125" style="75" customWidth="1"/>
    <col min="10256" max="10256" width="15.83203125" style="75" bestFit="1" customWidth="1"/>
    <col min="10257" max="10257" width="19.58203125" style="75" customWidth="1"/>
    <col min="10258" max="10258" width="16.5" style="75" bestFit="1" customWidth="1"/>
    <col min="10259" max="10259" width="16.83203125" style="75" bestFit="1" customWidth="1"/>
    <col min="10260" max="10261" width="15.83203125" style="75" bestFit="1" customWidth="1"/>
    <col min="10262" max="10496" width="8.33203125" style="75"/>
    <col min="10497" max="10497" width="14.33203125" style="75" customWidth="1"/>
    <col min="10498" max="10498" width="19.75" style="75" bestFit="1" customWidth="1"/>
    <col min="10499" max="10499" width="17.58203125" style="75" bestFit="1" customWidth="1"/>
    <col min="10500" max="10501" width="19.75" style="75" bestFit="1" customWidth="1"/>
    <col min="10502" max="10502" width="19.58203125" style="75" bestFit="1" customWidth="1"/>
    <col min="10503" max="10503" width="19.83203125" style="75" customWidth="1"/>
    <col min="10504" max="10504" width="17.58203125" style="75" bestFit="1" customWidth="1"/>
    <col min="10505" max="10505" width="18.75" style="75" bestFit="1" customWidth="1"/>
    <col min="10506" max="10506" width="18.5" style="75" bestFit="1" customWidth="1"/>
    <col min="10507" max="10507" width="17.58203125" style="75" bestFit="1" customWidth="1"/>
    <col min="10508" max="10508" width="15.08203125" style="75" bestFit="1" customWidth="1"/>
    <col min="10509" max="10509" width="15.83203125" style="75" bestFit="1" customWidth="1"/>
    <col min="10510" max="10510" width="18.75" style="75" bestFit="1" customWidth="1"/>
    <col min="10511" max="10511" width="17.83203125" style="75" customWidth="1"/>
    <col min="10512" max="10512" width="15.83203125" style="75" bestFit="1" customWidth="1"/>
    <col min="10513" max="10513" width="19.58203125" style="75" customWidth="1"/>
    <col min="10514" max="10514" width="16.5" style="75" bestFit="1" customWidth="1"/>
    <col min="10515" max="10515" width="16.83203125" style="75" bestFit="1" customWidth="1"/>
    <col min="10516" max="10517" width="15.83203125" style="75" bestFit="1" customWidth="1"/>
    <col min="10518" max="10752" width="8.33203125" style="75"/>
    <col min="10753" max="10753" width="14.33203125" style="75" customWidth="1"/>
    <col min="10754" max="10754" width="19.75" style="75" bestFit="1" customWidth="1"/>
    <col min="10755" max="10755" width="17.58203125" style="75" bestFit="1" customWidth="1"/>
    <col min="10756" max="10757" width="19.75" style="75" bestFit="1" customWidth="1"/>
    <col min="10758" max="10758" width="19.58203125" style="75" bestFit="1" customWidth="1"/>
    <col min="10759" max="10759" width="19.83203125" style="75" customWidth="1"/>
    <col min="10760" max="10760" width="17.58203125" style="75" bestFit="1" customWidth="1"/>
    <col min="10761" max="10761" width="18.75" style="75" bestFit="1" customWidth="1"/>
    <col min="10762" max="10762" width="18.5" style="75" bestFit="1" customWidth="1"/>
    <col min="10763" max="10763" width="17.58203125" style="75" bestFit="1" customWidth="1"/>
    <col min="10764" max="10764" width="15.08203125" style="75" bestFit="1" customWidth="1"/>
    <col min="10765" max="10765" width="15.83203125" style="75" bestFit="1" customWidth="1"/>
    <col min="10766" max="10766" width="18.75" style="75" bestFit="1" customWidth="1"/>
    <col min="10767" max="10767" width="17.83203125" style="75" customWidth="1"/>
    <col min="10768" max="10768" width="15.83203125" style="75" bestFit="1" customWidth="1"/>
    <col min="10769" max="10769" width="19.58203125" style="75" customWidth="1"/>
    <col min="10770" max="10770" width="16.5" style="75" bestFit="1" customWidth="1"/>
    <col min="10771" max="10771" width="16.83203125" style="75" bestFit="1" customWidth="1"/>
    <col min="10772" max="10773" width="15.83203125" style="75" bestFit="1" customWidth="1"/>
    <col min="10774" max="11008" width="8.33203125" style="75"/>
    <col min="11009" max="11009" width="14.33203125" style="75" customWidth="1"/>
    <col min="11010" max="11010" width="19.75" style="75" bestFit="1" customWidth="1"/>
    <col min="11011" max="11011" width="17.58203125" style="75" bestFit="1" customWidth="1"/>
    <col min="11012" max="11013" width="19.75" style="75" bestFit="1" customWidth="1"/>
    <col min="11014" max="11014" width="19.58203125" style="75" bestFit="1" customWidth="1"/>
    <col min="11015" max="11015" width="19.83203125" style="75" customWidth="1"/>
    <col min="11016" max="11016" width="17.58203125" style="75" bestFit="1" customWidth="1"/>
    <col min="11017" max="11017" width="18.75" style="75" bestFit="1" customWidth="1"/>
    <col min="11018" max="11018" width="18.5" style="75" bestFit="1" customWidth="1"/>
    <col min="11019" max="11019" width="17.58203125" style="75" bestFit="1" customWidth="1"/>
    <col min="11020" max="11020" width="15.08203125" style="75" bestFit="1" customWidth="1"/>
    <col min="11021" max="11021" width="15.83203125" style="75" bestFit="1" customWidth="1"/>
    <col min="11022" max="11022" width="18.75" style="75" bestFit="1" customWidth="1"/>
    <col min="11023" max="11023" width="17.83203125" style="75" customWidth="1"/>
    <col min="11024" max="11024" width="15.83203125" style="75" bestFit="1" customWidth="1"/>
    <col min="11025" max="11025" width="19.58203125" style="75" customWidth="1"/>
    <col min="11026" max="11026" width="16.5" style="75" bestFit="1" customWidth="1"/>
    <col min="11027" max="11027" width="16.83203125" style="75" bestFit="1" customWidth="1"/>
    <col min="11028" max="11029" width="15.83203125" style="75" bestFit="1" customWidth="1"/>
    <col min="11030" max="11264" width="8.33203125" style="75"/>
    <col min="11265" max="11265" width="14.33203125" style="75" customWidth="1"/>
    <col min="11266" max="11266" width="19.75" style="75" bestFit="1" customWidth="1"/>
    <col min="11267" max="11267" width="17.58203125" style="75" bestFit="1" customWidth="1"/>
    <col min="11268" max="11269" width="19.75" style="75" bestFit="1" customWidth="1"/>
    <col min="11270" max="11270" width="19.58203125" style="75" bestFit="1" customWidth="1"/>
    <col min="11271" max="11271" width="19.83203125" style="75" customWidth="1"/>
    <col min="11272" max="11272" width="17.58203125" style="75" bestFit="1" customWidth="1"/>
    <col min="11273" max="11273" width="18.75" style="75" bestFit="1" customWidth="1"/>
    <col min="11274" max="11274" width="18.5" style="75" bestFit="1" customWidth="1"/>
    <col min="11275" max="11275" width="17.58203125" style="75" bestFit="1" customWidth="1"/>
    <col min="11276" max="11276" width="15.08203125" style="75" bestFit="1" customWidth="1"/>
    <col min="11277" max="11277" width="15.83203125" style="75" bestFit="1" customWidth="1"/>
    <col min="11278" max="11278" width="18.75" style="75" bestFit="1" customWidth="1"/>
    <col min="11279" max="11279" width="17.83203125" style="75" customWidth="1"/>
    <col min="11280" max="11280" width="15.83203125" style="75" bestFit="1" customWidth="1"/>
    <col min="11281" max="11281" width="19.58203125" style="75" customWidth="1"/>
    <col min="11282" max="11282" width="16.5" style="75" bestFit="1" customWidth="1"/>
    <col min="11283" max="11283" width="16.83203125" style="75" bestFit="1" customWidth="1"/>
    <col min="11284" max="11285" width="15.83203125" style="75" bestFit="1" customWidth="1"/>
    <col min="11286" max="11520" width="8.33203125" style="75"/>
    <col min="11521" max="11521" width="14.33203125" style="75" customWidth="1"/>
    <col min="11522" max="11522" width="19.75" style="75" bestFit="1" customWidth="1"/>
    <col min="11523" max="11523" width="17.58203125" style="75" bestFit="1" customWidth="1"/>
    <col min="11524" max="11525" width="19.75" style="75" bestFit="1" customWidth="1"/>
    <col min="11526" max="11526" width="19.58203125" style="75" bestFit="1" customWidth="1"/>
    <col min="11527" max="11527" width="19.83203125" style="75" customWidth="1"/>
    <col min="11528" max="11528" width="17.58203125" style="75" bestFit="1" customWidth="1"/>
    <col min="11529" max="11529" width="18.75" style="75" bestFit="1" customWidth="1"/>
    <col min="11530" max="11530" width="18.5" style="75" bestFit="1" customWidth="1"/>
    <col min="11531" max="11531" width="17.58203125" style="75" bestFit="1" customWidth="1"/>
    <col min="11532" max="11532" width="15.08203125" style="75" bestFit="1" customWidth="1"/>
    <col min="11533" max="11533" width="15.83203125" style="75" bestFit="1" customWidth="1"/>
    <col min="11534" max="11534" width="18.75" style="75" bestFit="1" customWidth="1"/>
    <col min="11535" max="11535" width="17.83203125" style="75" customWidth="1"/>
    <col min="11536" max="11536" width="15.83203125" style="75" bestFit="1" customWidth="1"/>
    <col min="11537" max="11537" width="19.58203125" style="75" customWidth="1"/>
    <col min="11538" max="11538" width="16.5" style="75" bestFit="1" customWidth="1"/>
    <col min="11539" max="11539" width="16.83203125" style="75" bestFit="1" customWidth="1"/>
    <col min="11540" max="11541" width="15.83203125" style="75" bestFit="1" customWidth="1"/>
    <col min="11542" max="11776" width="8.33203125" style="75"/>
    <col min="11777" max="11777" width="14.33203125" style="75" customWidth="1"/>
    <col min="11778" max="11778" width="19.75" style="75" bestFit="1" customWidth="1"/>
    <col min="11779" max="11779" width="17.58203125" style="75" bestFit="1" customWidth="1"/>
    <col min="11780" max="11781" width="19.75" style="75" bestFit="1" customWidth="1"/>
    <col min="11782" max="11782" width="19.58203125" style="75" bestFit="1" customWidth="1"/>
    <col min="11783" max="11783" width="19.83203125" style="75" customWidth="1"/>
    <col min="11784" max="11784" width="17.58203125" style="75" bestFit="1" customWidth="1"/>
    <col min="11785" max="11785" width="18.75" style="75" bestFit="1" customWidth="1"/>
    <col min="11786" max="11786" width="18.5" style="75" bestFit="1" customWidth="1"/>
    <col min="11787" max="11787" width="17.58203125" style="75" bestFit="1" customWidth="1"/>
    <col min="11788" max="11788" width="15.08203125" style="75" bestFit="1" customWidth="1"/>
    <col min="11789" max="11789" width="15.83203125" style="75" bestFit="1" customWidth="1"/>
    <col min="11790" max="11790" width="18.75" style="75" bestFit="1" customWidth="1"/>
    <col min="11791" max="11791" width="17.83203125" style="75" customWidth="1"/>
    <col min="11792" max="11792" width="15.83203125" style="75" bestFit="1" customWidth="1"/>
    <col min="11793" max="11793" width="19.58203125" style="75" customWidth="1"/>
    <col min="11794" max="11794" width="16.5" style="75" bestFit="1" customWidth="1"/>
    <col min="11795" max="11795" width="16.83203125" style="75" bestFit="1" customWidth="1"/>
    <col min="11796" max="11797" width="15.83203125" style="75" bestFit="1" customWidth="1"/>
    <col min="11798" max="12032" width="8.33203125" style="75"/>
    <col min="12033" max="12033" width="14.33203125" style="75" customWidth="1"/>
    <col min="12034" max="12034" width="19.75" style="75" bestFit="1" customWidth="1"/>
    <col min="12035" max="12035" width="17.58203125" style="75" bestFit="1" customWidth="1"/>
    <col min="12036" max="12037" width="19.75" style="75" bestFit="1" customWidth="1"/>
    <col min="12038" max="12038" width="19.58203125" style="75" bestFit="1" customWidth="1"/>
    <col min="12039" max="12039" width="19.83203125" style="75" customWidth="1"/>
    <col min="12040" max="12040" width="17.58203125" style="75" bestFit="1" customWidth="1"/>
    <col min="12041" max="12041" width="18.75" style="75" bestFit="1" customWidth="1"/>
    <col min="12042" max="12042" width="18.5" style="75" bestFit="1" customWidth="1"/>
    <col min="12043" max="12043" width="17.58203125" style="75" bestFit="1" customWidth="1"/>
    <col min="12044" max="12044" width="15.08203125" style="75" bestFit="1" customWidth="1"/>
    <col min="12045" max="12045" width="15.83203125" style="75" bestFit="1" customWidth="1"/>
    <col min="12046" max="12046" width="18.75" style="75" bestFit="1" customWidth="1"/>
    <col min="12047" max="12047" width="17.83203125" style="75" customWidth="1"/>
    <col min="12048" max="12048" width="15.83203125" style="75" bestFit="1" customWidth="1"/>
    <col min="12049" max="12049" width="19.58203125" style="75" customWidth="1"/>
    <col min="12050" max="12050" width="16.5" style="75" bestFit="1" customWidth="1"/>
    <col min="12051" max="12051" width="16.83203125" style="75" bestFit="1" customWidth="1"/>
    <col min="12052" max="12053" width="15.83203125" style="75" bestFit="1" customWidth="1"/>
    <col min="12054" max="12288" width="8.33203125" style="75"/>
    <col min="12289" max="12289" width="14.33203125" style="75" customWidth="1"/>
    <col min="12290" max="12290" width="19.75" style="75" bestFit="1" customWidth="1"/>
    <col min="12291" max="12291" width="17.58203125" style="75" bestFit="1" customWidth="1"/>
    <col min="12292" max="12293" width="19.75" style="75" bestFit="1" customWidth="1"/>
    <col min="12294" max="12294" width="19.58203125" style="75" bestFit="1" customWidth="1"/>
    <col min="12295" max="12295" width="19.83203125" style="75" customWidth="1"/>
    <col min="12296" max="12296" width="17.58203125" style="75" bestFit="1" customWidth="1"/>
    <col min="12297" max="12297" width="18.75" style="75" bestFit="1" customWidth="1"/>
    <col min="12298" max="12298" width="18.5" style="75" bestFit="1" customWidth="1"/>
    <col min="12299" max="12299" width="17.58203125" style="75" bestFit="1" customWidth="1"/>
    <col min="12300" max="12300" width="15.08203125" style="75" bestFit="1" customWidth="1"/>
    <col min="12301" max="12301" width="15.83203125" style="75" bestFit="1" customWidth="1"/>
    <col min="12302" max="12302" width="18.75" style="75" bestFit="1" customWidth="1"/>
    <col min="12303" max="12303" width="17.83203125" style="75" customWidth="1"/>
    <col min="12304" max="12304" width="15.83203125" style="75" bestFit="1" customWidth="1"/>
    <col min="12305" max="12305" width="19.58203125" style="75" customWidth="1"/>
    <col min="12306" max="12306" width="16.5" style="75" bestFit="1" customWidth="1"/>
    <col min="12307" max="12307" width="16.83203125" style="75" bestFit="1" customWidth="1"/>
    <col min="12308" max="12309" width="15.83203125" style="75" bestFit="1" customWidth="1"/>
    <col min="12310" max="12544" width="8.33203125" style="75"/>
    <col min="12545" max="12545" width="14.33203125" style="75" customWidth="1"/>
    <col min="12546" max="12546" width="19.75" style="75" bestFit="1" customWidth="1"/>
    <col min="12547" max="12547" width="17.58203125" style="75" bestFit="1" customWidth="1"/>
    <col min="12548" max="12549" width="19.75" style="75" bestFit="1" customWidth="1"/>
    <col min="12550" max="12550" width="19.58203125" style="75" bestFit="1" customWidth="1"/>
    <col min="12551" max="12551" width="19.83203125" style="75" customWidth="1"/>
    <col min="12552" max="12552" width="17.58203125" style="75" bestFit="1" customWidth="1"/>
    <col min="12553" max="12553" width="18.75" style="75" bestFit="1" customWidth="1"/>
    <col min="12554" max="12554" width="18.5" style="75" bestFit="1" customWidth="1"/>
    <col min="12555" max="12555" width="17.58203125" style="75" bestFit="1" customWidth="1"/>
    <col min="12556" max="12556" width="15.08203125" style="75" bestFit="1" customWidth="1"/>
    <col min="12557" max="12557" width="15.83203125" style="75" bestFit="1" customWidth="1"/>
    <col min="12558" max="12558" width="18.75" style="75" bestFit="1" customWidth="1"/>
    <col min="12559" max="12559" width="17.83203125" style="75" customWidth="1"/>
    <col min="12560" max="12560" width="15.83203125" style="75" bestFit="1" customWidth="1"/>
    <col min="12561" max="12561" width="19.58203125" style="75" customWidth="1"/>
    <col min="12562" max="12562" width="16.5" style="75" bestFit="1" customWidth="1"/>
    <col min="12563" max="12563" width="16.83203125" style="75" bestFit="1" customWidth="1"/>
    <col min="12564" max="12565" width="15.83203125" style="75" bestFit="1" customWidth="1"/>
    <col min="12566" max="12800" width="8.33203125" style="75"/>
    <col min="12801" max="12801" width="14.33203125" style="75" customWidth="1"/>
    <col min="12802" max="12802" width="19.75" style="75" bestFit="1" customWidth="1"/>
    <col min="12803" max="12803" width="17.58203125" style="75" bestFit="1" customWidth="1"/>
    <col min="12804" max="12805" width="19.75" style="75" bestFit="1" customWidth="1"/>
    <col min="12806" max="12806" width="19.58203125" style="75" bestFit="1" customWidth="1"/>
    <col min="12807" max="12807" width="19.83203125" style="75" customWidth="1"/>
    <col min="12808" max="12808" width="17.58203125" style="75" bestFit="1" customWidth="1"/>
    <col min="12809" max="12809" width="18.75" style="75" bestFit="1" customWidth="1"/>
    <col min="12810" max="12810" width="18.5" style="75" bestFit="1" customWidth="1"/>
    <col min="12811" max="12811" width="17.58203125" style="75" bestFit="1" customWidth="1"/>
    <col min="12812" max="12812" width="15.08203125" style="75" bestFit="1" customWidth="1"/>
    <col min="12813" max="12813" width="15.83203125" style="75" bestFit="1" customWidth="1"/>
    <col min="12814" max="12814" width="18.75" style="75" bestFit="1" customWidth="1"/>
    <col min="12815" max="12815" width="17.83203125" style="75" customWidth="1"/>
    <col min="12816" max="12816" width="15.83203125" style="75" bestFit="1" customWidth="1"/>
    <col min="12817" max="12817" width="19.58203125" style="75" customWidth="1"/>
    <col min="12818" max="12818" width="16.5" style="75" bestFit="1" customWidth="1"/>
    <col min="12819" max="12819" width="16.83203125" style="75" bestFit="1" customWidth="1"/>
    <col min="12820" max="12821" width="15.83203125" style="75" bestFit="1" customWidth="1"/>
    <col min="12822" max="13056" width="8.33203125" style="75"/>
    <col min="13057" max="13057" width="14.33203125" style="75" customWidth="1"/>
    <col min="13058" max="13058" width="19.75" style="75" bestFit="1" customWidth="1"/>
    <col min="13059" max="13059" width="17.58203125" style="75" bestFit="1" customWidth="1"/>
    <col min="13060" max="13061" width="19.75" style="75" bestFit="1" customWidth="1"/>
    <col min="13062" max="13062" width="19.58203125" style="75" bestFit="1" customWidth="1"/>
    <col min="13063" max="13063" width="19.83203125" style="75" customWidth="1"/>
    <col min="13064" max="13064" width="17.58203125" style="75" bestFit="1" customWidth="1"/>
    <col min="13065" max="13065" width="18.75" style="75" bestFit="1" customWidth="1"/>
    <col min="13066" max="13066" width="18.5" style="75" bestFit="1" customWidth="1"/>
    <col min="13067" max="13067" width="17.58203125" style="75" bestFit="1" customWidth="1"/>
    <col min="13068" max="13068" width="15.08203125" style="75" bestFit="1" customWidth="1"/>
    <col min="13069" max="13069" width="15.83203125" style="75" bestFit="1" customWidth="1"/>
    <col min="13070" max="13070" width="18.75" style="75" bestFit="1" customWidth="1"/>
    <col min="13071" max="13071" width="17.83203125" style="75" customWidth="1"/>
    <col min="13072" max="13072" width="15.83203125" style="75" bestFit="1" customWidth="1"/>
    <col min="13073" max="13073" width="19.58203125" style="75" customWidth="1"/>
    <col min="13074" max="13074" width="16.5" style="75" bestFit="1" customWidth="1"/>
    <col min="13075" max="13075" width="16.83203125" style="75" bestFit="1" customWidth="1"/>
    <col min="13076" max="13077" width="15.83203125" style="75" bestFit="1" customWidth="1"/>
    <col min="13078" max="13312" width="8.33203125" style="75"/>
    <col min="13313" max="13313" width="14.33203125" style="75" customWidth="1"/>
    <col min="13314" max="13314" width="19.75" style="75" bestFit="1" customWidth="1"/>
    <col min="13315" max="13315" width="17.58203125" style="75" bestFit="1" customWidth="1"/>
    <col min="13316" max="13317" width="19.75" style="75" bestFit="1" customWidth="1"/>
    <col min="13318" max="13318" width="19.58203125" style="75" bestFit="1" customWidth="1"/>
    <col min="13319" max="13319" width="19.83203125" style="75" customWidth="1"/>
    <col min="13320" max="13320" width="17.58203125" style="75" bestFit="1" customWidth="1"/>
    <col min="13321" max="13321" width="18.75" style="75" bestFit="1" customWidth="1"/>
    <col min="13322" max="13322" width="18.5" style="75" bestFit="1" customWidth="1"/>
    <col min="13323" max="13323" width="17.58203125" style="75" bestFit="1" customWidth="1"/>
    <col min="13324" max="13324" width="15.08203125" style="75" bestFit="1" customWidth="1"/>
    <col min="13325" max="13325" width="15.83203125" style="75" bestFit="1" customWidth="1"/>
    <col min="13326" max="13326" width="18.75" style="75" bestFit="1" customWidth="1"/>
    <col min="13327" max="13327" width="17.83203125" style="75" customWidth="1"/>
    <col min="13328" max="13328" width="15.83203125" style="75" bestFit="1" customWidth="1"/>
    <col min="13329" max="13329" width="19.58203125" style="75" customWidth="1"/>
    <col min="13330" max="13330" width="16.5" style="75" bestFit="1" customWidth="1"/>
    <col min="13331" max="13331" width="16.83203125" style="75" bestFit="1" customWidth="1"/>
    <col min="13332" max="13333" width="15.83203125" style="75" bestFit="1" customWidth="1"/>
    <col min="13334" max="13568" width="8.33203125" style="75"/>
    <col min="13569" max="13569" width="14.33203125" style="75" customWidth="1"/>
    <col min="13570" max="13570" width="19.75" style="75" bestFit="1" customWidth="1"/>
    <col min="13571" max="13571" width="17.58203125" style="75" bestFit="1" customWidth="1"/>
    <col min="13572" max="13573" width="19.75" style="75" bestFit="1" customWidth="1"/>
    <col min="13574" max="13574" width="19.58203125" style="75" bestFit="1" customWidth="1"/>
    <col min="13575" max="13575" width="19.83203125" style="75" customWidth="1"/>
    <col min="13576" max="13576" width="17.58203125" style="75" bestFit="1" customWidth="1"/>
    <col min="13577" max="13577" width="18.75" style="75" bestFit="1" customWidth="1"/>
    <col min="13578" max="13578" width="18.5" style="75" bestFit="1" customWidth="1"/>
    <col min="13579" max="13579" width="17.58203125" style="75" bestFit="1" customWidth="1"/>
    <col min="13580" max="13580" width="15.08203125" style="75" bestFit="1" customWidth="1"/>
    <col min="13581" max="13581" width="15.83203125" style="75" bestFit="1" customWidth="1"/>
    <col min="13582" max="13582" width="18.75" style="75" bestFit="1" customWidth="1"/>
    <col min="13583" max="13583" width="17.83203125" style="75" customWidth="1"/>
    <col min="13584" max="13584" width="15.83203125" style="75" bestFit="1" customWidth="1"/>
    <col min="13585" max="13585" width="19.58203125" style="75" customWidth="1"/>
    <col min="13586" max="13586" width="16.5" style="75" bestFit="1" customWidth="1"/>
    <col min="13587" max="13587" width="16.83203125" style="75" bestFit="1" customWidth="1"/>
    <col min="13588" max="13589" width="15.83203125" style="75" bestFit="1" customWidth="1"/>
    <col min="13590" max="13824" width="8.33203125" style="75"/>
    <col min="13825" max="13825" width="14.33203125" style="75" customWidth="1"/>
    <col min="13826" max="13826" width="19.75" style="75" bestFit="1" customWidth="1"/>
    <col min="13827" max="13827" width="17.58203125" style="75" bestFit="1" customWidth="1"/>
    <col min="13828" max="13829" width="19.75" style="75" bestFit="1" customWidth="1"/>
    <col min="13830" max="13830" width="19.58203125" style="75" bestFit="1" customWidth="1"/>
    <col min="13831" max="13831" width="19.83203125" style="75" customWidth="1"/>
    <col min="13832" max="13832" width="17.58203125" style="75" bestFit="1" customWidth="1"/>
    <col min="13833" max="13833" width="18.75" style="75" bestFit="1" customWidth="1"/>
    <col min="13834" max="13834" width="18.5" style="75" bestFit="1" customWidth="1"/>
    <col min="13835" max="13835" width="17.58203125" style="75" bestFit="1" customWidth="1"/>
    <col min="13836" max="13836" width="15.08203125" style="75" bestFit="1" customWidth="1"/>
    <col min="13837" max="13837" width="15.83203125" style="75" bestFit="1" customWidth="1"/>
    <col min="13838" max="13838" width="18.75" style="75" bestFit="1" customWidth="1"/>
    <col min="13839" max="13839" width="17.83203125" style="75" customWidth="1"/>
    <col min="13840" max="13840" width="15.83203125" style="75" bestFit="1" customWidth="1"/>
    <col min="13841" max="13841" width="19.58203125" style="75" customWidth="1"/>
    <col min="13842" max="13842" width="16.5" style="75" bestFit="1" customWidth="1"/>
    <col min="13843" max="13843" width="16.83203125" style="75" bestFit="1" customWidth="1"/>
    <col min="13844" max="13845" width="15.83203125" style="75" bestFit="1" customWidth="1"/>
    <col min="13846" max="14080" width="8.33203125" style="75"/>
    <col min="14081" max="14081" width="14.33203125" style="75" customWidth="1"/>
    <col min="14082" max="14082" width="19.75" style="75" bestFit="1" customWidth="1"/>
    <col min="14083" max="14083" width="17.58203125" style="75" bestFit="1" customWidth="1"/>
    <col min="14084" max="14085" width="19.75" style="75" bestFit="1" customWidth="1"/>
    <col min="14086" max="14086" width="19.58203125" style="75" bestFit="1" customWidth="1"/>
    <col min="14087" max="14087" width="19.83203125" style="75" customWidth="1"/>
    <col min="14088" max="14088" width="17.58203125" style="75" bestFit="1" customWidth="1"/>
    <col min="14089" max="14089" width="18.75" style="75" bestFit="1" customWidth="1"/>
    <col min="14090" max="14090" width="18.5" style="75" bestFit="1" customWidth="1"/>
    <col min="14091" max="14091" width="17.58203125" style="75" bestFit="1" customWidth="1"/>
    <col min="14092" max="14092" width="15.08203125" style="75" bestFit="1" customWidth="1"/>
    <col min="14093" max="14093" width="15.83203125" style="75" bestFit="1" customWidth="1"/>
    <col min="14094" max="14094" width="18.75" style="75" bestFit="1" customWidth="1"/>
    <col min="14095" max="14095" width="17.83203125" style="75" customWidth="1"/>
    <col min="14096" max="14096" width="15.83203125" style="75" bestFit="1" customWidth="1"/>
    <col min="14097" max="14097" width="19.58203125" style="75" customWidth="1"/>
    <col min="14098" max="14098" width="16.5" style="75" bestFit="1" customWidth="1"/>
    <col min="14099" max="14099" width="16.83203125" style="75" bestFit="1" customWidth="1"/>
    <col min="14100" max="14101" width="15.83203125" style="75" bestFit="1" customWidth="1"/>
    <col min="14102" max="14336" width="8.33203125" style="75"/>
    <col min="14337" max="14337" width="14.33203125" style="75" customWidth="1"/>
    <col min="14338" max="14338" width="19.75" style="75" bestFit="1" customWidth="1"/>
    <col min="14339" max="14339" width="17.58203125" style="75" bestFit="1" customWidth="1"/>
    <col min="14340" max="14341" width="19.75" style="75" bestFit="1" customWidth="1"/>
    <col min="14342" max="14342" width="19.58203125" style="75" bestFit="1" customWidth="1"/>
    <col min="14343" max="14343" width="19.83203125" style="75" customWidth="1"/>
    <col min="14344" max="14344" width="17.58203125" style="75" bestFit="1" customWidth="1"/>
    <col min="14345" max="14345" width="18.75" style="75" bestFit="1" customWidth="1"/>
    <col min="14346" max="14346" width="18.5" style="75" bestFit="1" customWidth="1"/>
    <col min="14347" max="14347" width="17.58203125" style="75" bestFit="1" customWidth="1"/>
    <col min="14348" max="14348" width="15.08203125" style="75" bestFit="1" customWidth="1"/>
    <col min="14349" max="14349" width="15.83203125" style="75" bestFit="1" customWidth="1"/>
    <col min="14350" max="14350" width="18.75" style="75" bestFit="1" customWidth="1"/>
    <col min="14351" max="14351" width="17.83203125" style="75" customWidth="1"/>
    <col min="14352" max="14352" width="15.83203125" style="75" bestFit="1" customWidth="1"/>
    <col min="14353" max="14353" width="19.58203125" style="75" customWidth="1"/>
    <col min="14354" max="14354" width="16.5" style="75" bestFit="1" customWidth="1"/>
    <col min="14355" max="14355" width="16.83203125" style="75" bestFit="1" customWidth="1"/>
    <col min="14356" max="14357" width="15.83203125" style="75" bestFit="1" customWidth="1"/>
    <col min="14358" max="14592" width="8.33203125" style="75"/>
    <col min="14593" max="14593" width="14.33203125" style="75" customWidth="1"/>
    <col min="14594" max="14594" width="19.75" style="75" bestFit="1" customWidth="1"/>
    <col min="14595" max="14595" width="17.58203125" style="75" bestFit="1" customWidth="1"/>
    <col min="14596" max="14597" width="19.75" style="75" bestFit="1" customWidth="1"/>
    <col min="14598" max="14598" width="19.58203125" style="75" bestFit="1" customWidth="1"/>
    <col min="14599" max="14599" width="19.83203125" style="75" customWidth="1"/>
    <col min="14600" max="14600" width="17.58203125" style="75" bestFit="1" customWidth="1"/>
    <col min="14601" max="14601" width="18.75" style="75" bestFit="1" customWidth="1"/>
    <col min="14602" max="14602" width="18.5" style="75" bestFit="1" customWidth="1"/>
    <col min="14603" max="14603" width="17.58203125" style="75" bestFit="1" customWidth="1"/>
    <col min="14604" max="14604" width="15.08203125" style="75" bestFit="1" customWidth="1"/>
    <col min="14605" max="14605" width="15.83203125" style="75" bestFit="1" customWidth="1"/>
    <col min="14606" max="14606" width="18.75" style="75" bestFit="1" customWidth="1"/>
    <col min="14607" max="14607" width="17.83203125" style="75" customWidth="1"/>
    <col min="14608" max="14608" width="15.83203125" style="75" bestFit="1" customWidth="1"/>
    <col min="14609" max="14609" width="19.58203125" style="75" customWidth="1"/>
    <col min="14610" max="14610" width="16.5" style="75" bestFit="1" customWidth="1"/>
    <col min="14611" max="14611" width="16.83203125" style="75" bestFit="1" customWidth="1"/>
    <col min="14612" max="14613" width="15.83203125" style="75" bestFit="1" customWidth="1"/>
    <col min="14614" max="14848" width="8.33203125" style="75"/>
    <col min="14849" max="14849" width="14.33203125" style="75" customWidth="1"/>
    <col min="14850" max="14850" width="19.75" style="75" bestFit="1" customWidth="1"/>
    <col min="14851" max="14851" width="17.58203125" style="75" bestFit="1" customWidth="1"/>
    <col min="14852" max="14853" width="19.75" style="75" bestFit="1" customWidth="1"/>
    <col min="14854" max="14854" width="19.58203125" style="75" bestFit="1" customWidth="1"/>
    <col min="14855" max="14855" width="19.83203125" style="75" customWidth="1"/>
    <col min="14856" max="14856" width="17.58203125" style="75" bestFit="1" customWidth="1"/>
    <col min="14857" max="14857" width="18.75" style="75" bestFit="1" customWidth="1"/>
    <col min="14858" max="14858" width="18.5" style="75" bestFit="1" customWidth="1"/>
    <col min="14859" max="14859" width="17.58203125" style="75" bestFit="1" customWidth="1"/>
    <col min="14860" max="14860" width="15.08203125" style="75" bestFit="1" customWidth="1"/>
    <col min="14861" max="14861" width="15.83203125" style="75" bestFit="1" customWidth="1"/>
    <col min="14862" max="14862" width="18.75" style="75" bestFit="1" customWidth="1"/>
    <col min="14863" max="14863" width="17.83203125" style="75" customWidth="1"/>
    <col min="14864" max="14864" width="15.83203125" style="75" bestFit="1" customWidth="1"/>
    <col min="14865" max="14865" width="19.58203125" style="75" customWidth="1"/>
    <col min="14866" max="14866" width="16.5" style="75" bestFit="1" customWidth="1"/>
    <col min="14867" max="14867" width="16.83203125" style="75" bestFit="1" customWidth="1"/>
    <col min="14868" max="14869" width="15.83203125" style="75" bestFit="1" customWidth="1"/>
    <col min="14870" max="15104" width="8.33203125" style="75"/>
    <col min="15105" max="15105" width="14.33203125" style="75" customWidth="1"/>
    <col min="15106" max="15106" width="19.75" style="75" bestFit="1" customWidth="1"/>
    <col min="15107" max="15107" width="17.58203125" style="75" bestFit="1" customWidth="1"/>
    <col min="15108" max="15109" width="19.75" style="75" bestFit="1" customWidth="1"/>
    <col min="15110" max="15110" width="19.58203125" style="75" bestFit="1" customWidth="1"/>
    <col min="15111" max="15111" width="19.83203125" style="75" customWidth="1"/>
    <col min="15112" max="15112" width="17.58203125" style="75" bestFit="1" customWidth="1"/>
    <col min="15113" max="15113" width="18.75" style="75" bestFit="1" customWidth="1"/>
    <col min="15114" max="15114" width="18.5" style="75" bestFit="1" customWidth="1"/>
    <col min="15115" max="15115" width="17.58203125" style="75" bestFit="1" customWidth="1"/>
    <col min="15116" max="15116" width="15.08203125" style="75" bestFit="1" customWidth="1"/>
    <col min="15117" max="15117" width="15.83203125" style="75" bestFit="1" customWidth="1"/>
    <col min="15118" max="15118" width="18.75" style="75" bestFit="1" customWidth="1"/>
    <col min="15119" max="15119" width="17.83203125" style="75" customWidth="1"/>
    <col min="15120" max="15120" width="15.83203125" style="75" bestFit="1" customWidth="1"/>
    <col min="15121" max="15121" width="19.58203125" style="75" customWidth="1"/>
    <col min="15122" max="15122" width="16.5" style="75" bestFit="1" customWidth="1"/>
    <col min="15123" max="15123" width="16.83203125" style="75" bestFit="1" customWidth="1"/>
    <col min="15124" max="15125" width="15.83203125" style="75" bestFit="1" customWidth="1"/>
    <col min="15126" max="15360" width="8.33203125" style="75"/>
    <col min="15361" max="15361" width="14.33203125" style="75" customWidth="1"/>
    <col min="15362" max="15362" width="19.75" style="75" bestFit="1" customWidth="1"/>
    <col min="15363" max="15363" width="17.58203125" style="75" bestFit="1" customWidth="1"/>
    <col min="15364" max="15365" width="19.75" style="75" bestFit="1" customWidth="1"/>
    <col min="15366" max="15366" width="19.58203125" style="75" bestFit="1" customWidth="1"/>
    <col min="15367" max="15367" width="19.83203125" style="75" customWidth="1"/>
    <col min="15368" max="15368" width="17.58203125" style="75" bestFit="1" customWidth="1"/>
    <col min="15369" max="15369" width="18.75" style="75" bestFit="1" customWidth="1"/>
    <col min="15370" max="15370" width="18.5" style="75" bestFit="1" customWidth="1"/>
    <col min="15371" max="15371" width="17.58203125" style="75" bestFit="1" customWidth="1"/>
    <col min="15372" max="15372" width="15.08203125" style="75" bestFit="1" customWidth="1"/>
    <col min="15373" max="15373" width="15.83203125" style="75" bestFit="1" customWidth="1"/>
    <col min="15374" max="15374" width="18.75" style="75" bestFit="1" customWidth="1"/>
    <col min="15375" max="15375" width="17.83203125" style="75" customWidth="1"/>
    <col min="15376" max="15376" width="15.83203125" style="75" bestFit="1" customWidth="1"/>
    <col min="15377" max="15377" width="19.58203125" style="75" customWidth="1"/>
    <col min="15378" max="15378" width="16.5" style="75" bestFit="1" customWidth="1"/>
    <col min="15379" max="15379" width="16.83203125" style="75" bestFit="1" customWidth="1"/>
    <col min="15380" max="15381" width="15.83203125" style="75" bestFit="1" customWidth="1"/>
    <col min="15382" max="15616" width="8.33203125" style="75"/>
    <col min="15617" max="15617" width="14.33203125" style="75" customWidth="1"/>
    <col min="15618" max="15618" width="19.75" style="75" bestFit="1" customWidth="1"/>
    <col min="15619" max="15619" width="17.58203125" style="75" bestFit="1" customWidth="1"/>
    <col min="15620" max="15621" width="19.75" style="75" bestFit="1" customWidth="1"/>
    <col min="15622" max="15622" width="19.58203125" style="75" bestFit="1" customWidth="1"/>
    <col min="15623" max="15623" width="19.83203125" style="75" customWidth="1"/>
    <col min="15624" max="15624" width="17.58203125" style="75" bestFit="1" customWidth="1"/>
    <col min="15625" max="15625" width="18.75" style="75" bestFit="1" customWidth="1"/>
    <col min="15626" max="15626" width="18.5" style="75" bestFit="1" customWidth="1"/>
    <col min="15627" max="15627" width="17.58203125" style="75" bestFit="1" customWidth="1"/>
    <col min="15628" max="15628" width="15.08203125" style="75" bestFit="1" customWidth="1"/>
    <col min="15629" max="15629" width="15.83203125" style="75" bestFit="1" customWidth="1"/>
    <col min="15630" max="15630" width="18.75" style="75" bestFit="1" customWidth="1"/>
    <col min="15631" max="15631" width="17.83203125" style="75" customWidth="1"/>
    <col min="15632" max="15632" width="15.83203125" style="75" bestFit="1" customWidth="1"/>
    <col min="15633" max="15633" width="19.58203125" style="75" customWidth="1"/>
    <col min="15634" max="15634" width="16.5" style="75" bestFit="1" customWidth="1"/>
    <col min="15635" max="15635" width="16.83203125" style="75" bestFit="1" customWidth="1"/>
    <col min="15636" max="15637" width="15.83203125" style="75" bestFit="1" customWidth="1"/>
    <col min="15638" max="15872" width="8.33203125" style="75"/>
    <col min="15873" max="15873" width="14.33203125" style="75" customWidth="1"/>
    <col min="15874" max="15874" width="19.75" style="75" bestFit="1" customWidth="1"/>
    <col min="15875" max="15875" width="17.58203125" style="75" bestFit="1" customWidth="1"/>
    <col min="15876" max="15877" width="19.75" style="75" bestFit="1" customWidth="1"/>
    <col min="15878" max="15878" width="19.58203125" style="75" bestFit="1" customWidth="1"/>
    <col min="15879" max="15879" width="19.83203125" style="75" customWidth="1"/>
    <col min="15880" max="15880" width="17.58203125" style="75" bestFit="1" customWidth="1"/>
    <col min="15881" max="15881" width="18.75" style="75" bestFit="1" customWidth="1"/>
    <col min="15882" max="15882" width="18.5" style="75" bestFit="1" customWidth="1"/>
    <col min="15883" max="15883" width="17.58203125" style="75" bestFit="1" customWidth="1"/>
    <col min="15884" max="15884" width="15.08203125" style="75" bestFit="1" customWidth="1"/>
    <col min="15885" max="15885" width="15.83203125" style="75" bestFit="1" customWidth="1"/>
    <col min="15886" max="15886" width="18.75" style="75" bestFit="1" customWidth="1"/>
    <col min="15887" max="15887" width="17.83203125" style="75" customWidth="1"/>
    <col min="15888" max="15888" width="15.83203125" style="75" bestFit="1" customWidth="1"/>
    <col min="15889" max="15889" width="19.58203125" style="75" customWidth="1"/>
    <col min="15890" max="15890" width="16.5" style="75" bestFit="1" customWidth="1"/>
    <col min="15891" max="15891" width="16.83203125" style="75" bestFit="1" customWidth="1"/>
    <col min="15892" max="15893" width="15.83203125" style="75" bestFit="1" customWidth="1"/>
    <col min="15894" max="16128" width="8.33203125" style="75"/>
    <col min="16129" max="16129" width="14.33203125" style="75" customWidth="1"/>
    <col min="16130" max="16130" width="19.75" style="75" bestFit="1" customWidth="1"/>
    <col min="16131" max="16131" width="17.58203125" style="75" bestFit="1" customWidth="1"/>
    <col min="16132" max="16133" width="19.75" style="75" bestFit="1" customWidth="1"/>
    <col min="16134" max="16134" width="19.58203125" style="75" bestFit="1" customWidth="1"/>
    <col min="16135" max="16135" width="19.83203125" style="75" customWidth="1"/>
    <col min="16136" max="16136" width="17.58203125" style="75" bestFit="1" customWidth="1"/>
    <col min="16137" max="16137" width="18.75" style="75" bestFit="1" customWidth="1"/>
    <col min="16138" max="16138" width="18.5" style="75" bestFit="1" customWidth="1"/>
    <col min="16139" max="16139" width="17.58203125" style="75" bestFit="1" customWidth="1"/>
    <col min="16140" max="16140" width="15.08203125" style="75" bestFit="1" customWidth="1"/>
    <col min="16141" max="16141" width="15.83203125" style="75" bestFit="1" customWidth="1"/>
    <col min="16142" max="16142" width="18.75" style="75" bestFit="1" customWidth="1"/>
    <col min="16143" max="16143" width="17.83203125" style="75" customWidth="1"/>
    <col min="16144" max="16144" width="15.83203125" style="75" bestFit="1" customWidth="1"/>
    <col min="16145" max="16145" width="19.58203125" style="75" customWidth="1"/>
    <col min="16146" max="16146" width="16.5" style="75" bestFit="1" customWidth="1"/>
    <col min="16147" max="16147" width="16.83203125" style="75" bestFit="1" customWidth="1"/>
    <col min="16148" max="16149" width="15.83203125" style="75" bestFit="1" customWidth="1"/>
    <col min="16150" max="16384" width="8.33203125" style="75"/>
  </cols>
  <sheetData>
    <row r="1" spans="1:21" s="66" customFormat="1" ht="12">
      <c r="A1" s="65" t="s">
        <v>1022</v>
      </c>
    </row>
    <row r="2" spans="1:21" s="66" customFormat="1" ht="48" customHeight="1">
      <c r="A2" s="66" t="s">
        <v>640</v>
      </c>
      <c r="B2" s="66" t="s">
        <v>1023</v>
      </c>
      <c r="C2" s="66" t="s">
        <v>1024</v>
      </c>
      <c r="D2" s="66" t="s">
        <v>1025</v>
      </c>
      <c r="E2" s="66" t="s">
        <v>1026</v>
      </c>
      <c r="F2" s="66" t="s">
        <v>1027</v>
      </c>
      <c r="G2" s="67" t="s">
        <v>1028</v>
      </c>
      <c r="H2" s="66" t="s">
        <v>1029</v>
      </c>
      <c r="I2" s="66" t="s">
        <v>1030</v>
      </c>
      <c r="J2" s="66" t="s">
        <v>1031</v>
      </c>
      <c r="K2" s="66" t="s">
        <v>1032</v>
      </c>
      <c r="L2" s="66" t="s">
        <v>1033</v>
      </c>
      <c r="M2" s="66" t="s">
        <v>1034</v>
      </c>
      <c r="N2" s="66" t="s">
        <v>1035</v>
      </c>
      <c r="O2" s="66" t="s">
        <v>1036</v>
      </c>
      <c r="P2" s="66" t="s">
        <v>1037</v>
      </c>
      <c r="Q2" s="67" t="s">
        <v>1038</v>
      </c>
      <c r="R2" s="66" t="s">
        <v>1039</v>
      </c>
      <c r="S2" s="66" t="s">
        <v>1040</v>
      </c>
      <c r="T2" s="66" t="s">
        <v>1041</v>
      </c>
      <c r="U2" s="66" t="s">
        <v>1042</v>
      </c>
    </row>
    <row r="3" spans="1:21" s="66" customFormat="1" ht="70.5">
      <c r="A3" s="66" t="s">
        <v>403</v>
      </c>
      <c r="B3" s="66" t="s">
        <v>1043</v>
      </c>
      <c r="C3" s="66" t="s">
        <v>1044</v>
      </c>
      <c r="D3" s="66" t="s">
        <v>1045</v>
      </c>
      <c r="E3" s="66" t="s">
        <v>1046</v>
      </c>
      <c r="F3" s="66" t="s">
        <v>1047</v>
      </c>
      <c r="G3" s="66" t="s">
        <v>1048</v>
      </c>
      <c r="H3" s="66" t="s">
        <v>1049</v>
      </c>
      <c r="I3" s="66" t="s">
        <v>1050</v>
      </c>
      <c r="J3" s="66" t="s">
        <v>1051</v>
      </c>
      <c r="K3" s="66" t="s">
        <v>1052</v>
      </c>
      <c r="L3" s="66" t="s">
        <v>1053</v>
      </c>
      <c r="M3" s="66" t="s">
        <v>1054</v>
      </c>
      <c r="N3" s="66" t="s">
        <v>1055</v>
      </c>
      <c r="O3" s="66" t="s">
        <v>1056</v>
      </c>
      <c r="P3" s="66" t="s">
        <v>1057</v>
      </c>
      <c r="Q3" s="66" t="s">
        <v>1058</v>
      </c>
      <c r="R3" s="66" t="s">
        <v>1059</v>
      </c>
      <c r="S3" s="66" t="s">
        <v>1060</v>
      </c>
      <c r="T3" s="66" t="s">
        <v>1061</v>
      </c>
      <c r="U3" s="66" t="s">
        <v>1062</v>
      </c>
    </row>
    <row r="4" spans="1:21" s="66" customFormat="1">
      <c r="A4" s="66" t="s">
        <v>663</v>
      </c>
      <c r="B4" s="66" t="s">
        <v>1063</v>
      </c>
      <c r="C4" s="66" t="s">
        <v>1063</v>
      </c>
      <c r="D4" s="66" t="s">
        <v>1063</v>
      </c>
      <c r="E4" s="66" t="s">
        <v>1063</v>
      </c>
      <c r="F4" s="66" t="s">
        <v>1063</v>
      </c>
      <c r="G4" s="66" t="s">
        <v>1063</v>
      </c>
      <c r="H4" s="66" t="s">
        <v>1063</v>
      </c>
      <c r="I4" s="66" t="s">
        <v>1063</v>
      </c>
      <c r="J4" s="66" t="s">
        <v>1063</v>
      </c>
      <c r="K4" s="66" t="s">
        <v>1063</v>
      </c>
      <c r="L4" s="66" t="s">
        <v>1063</v>
      </c>
      <c r="M4" s="66" t="s">
        <v>1063</v>
      </c>
      <c r="N4" s="66" t="s">
        <v>1063</v>
      </c>
      <c r="O4" s="66" t="s">
        <v>1063</v>
      </c>
      <c r="P4" s="66" t="s">
        <v>1063</v>
      </c>
      <c r="Q4" s="66" t="s">
        <v>1063</v>
      </c>
      <c r="R4" s="66" t="s">
        <v>1063</v>
      </c>
      <c r="S4" s="66" t="s">
        <v>1063</v>
      </c>
      <c r="T4" s="66" t="s">
        <v>1063</v>
      </c>
      <c r="U4" s="66" t="s">
        <v>1063</v>
      </c>
    </row>
    <row r="5" spans="1:21" s="66" customFormat="1">
      <c r="A5" s="66" t="s">
        <v>666</v>
      </c>
      <c r="B5" s="66" t="s">
        <v>667</v>
      </c>
      <c r="C5" s="66" t="s">
        <v>667</v>
      </c>
      <c r="D5" s="66" t="s">
        <v>667</v>
      </c>
      <c r="E5" s="66" t="s">
        <v>667</v>
      </c>
      <c r="F5" s="66" t="s">
        <v>667</v>
      </c>
      <c r="G5" s="66" t="s">
        <v>667</v>
      </c>
      <c r="H5" s="66" t="s">
        <v>667</v>
      </c>
      <c r="I5" s="66" t="s">
        <v>667</v>
      </c>
      <c r="J5" s="66" t="s">
        <v>1064</v>
      </c>
      <c r="K5" s="66" t="s">
        <v>1064</v>
      </c>
      <c r="L5" s="66" t="s">
        <v>667</v>
      </c>
      <c r="M5" s="66" t="s">
        <v>1064</v>
      </c>
      <c r="N5" s="66" t="s">
        <v>1064</v>
      </c>
      <c r="O5" s="66" t="s">
        <v>1064</v>
      </c>
      <c r="P5" s="66" t="s">
        <v>1064</v>
      </c>
      <c r="Q5" s="66" t="s">
        <v>1064</v>
      </c>
      <c r="R5" s="66" t="s">
        <v>1064</v>
      </c>
      <c r="S5" s="66" t="s">
        <v>1064</v>
      </c>
      <c r="T5" s="66" t="s">
        <v>1064</v>
      </c>
      <c r="U5" s="66" t="s">
        <v>1064</v>
      </c>
    </row>
    <row r="6" spans="1:21" s="66" customFormat="1">
      <c r="A6" s="66" t="s">
        <v>668</v>
      </c>
      <c r="B6" s="66" t="s">
        <v>1065</v>
      </c>
      <c r="C6" s="66" t="s">
        <v>669</v>
      </c>
      <c r="D6" s="66" t="s">
        <v>669</v>
      </c>
      <c r="E6" s="66" t="s">
        <v>669</v>
      </c>
      <c r="F6" s="66" t="s">
        <v>669</v>
      </c>
      <c r="G6" s="66" t="s">
        <v>669</v>
      </c>
      <c r="H6" s="66" t="s">
        <v>669</v>
      </c>
      <c r="I6" s="66" t="s">
        <v>669</v>
      </c>
      <c r="J6" s="66" t="s">
        <v>669</v>
      </c>
      <c r="K6" s="66" t="s">
        <v>669</v>
      </c>
      <c r="L6" s="66" t="s">
        <v>669</v>
      </c>
      <c r="M6" s="66" t="s">
        <v>669</v>
      </c>
      <c r="N6" s="66" t="s">
        <v>669</v>
      </c>
      <c r="O6" s="66" t="s">
        <v>669</v>
      </c>
      <c r="P6" s="66" t="s">
        <v>669</v>
      </c>
      <c r="Q6" s="66" t="s">
        <v>669</v>
      </c>
      <c r="R6" s="66" t="s">
        <v>669</v>
      </c>
      <c r="S6" s="66" t="s">
        <v>669</v>
      </c>
      <c r="T6" s="66" t="s">
        <v>669</v>
      </c>
      <c r="U6" s="66" t="s">
        <v>669</v>
      </c>
    </row>
    <row r="7" spans="1:21" s="66" customFormat="1"/>
    <row r="8" spans="1:21" s="66" customFormat="1"/>
    <row r="9" spans="1:21" s="66" customFormat="1">
      <c r="A9" s="66" t="s">
        <v>520</v>
      </c>
      <c r="B9" s="68" t="s">
        <v>1066</v>
      </c>
      <c r="C9" s="68" t="s">
        <v>1066</v>
      </c>
      <c r="D9" s="69" t="s">
        <v>532</v>
      </c>
      <c r="E9" s="69" t="s">
        <v>532</v>
      </c>
      <c r="F9" s="68" t="s">
        <v>1066</v>
      </c>
      <c r="G9" s="69" t="s">
        <v>532</v>
      </c>
      <c r="H9" s="68" t="s">
        <v>1066</v>
      </c>
      <c r="I9" s="69" t="s">
        <v>532</v>
      </c>
      <c r="J9" s="68" t="s">
        <v>1066</v>
      </c>
      <c r="K9" s="68" t="s">
        <v>1066</v>
      </c>
      <c r="L9" s="68" t="s">
        <v>1066</v>
      </c>
      <c r="M9" s="68" t="s">
        <v>1066</v>
      </c>
      <c r="N9" s="69" t="s">
        <v>532</v>
      </c>
      <c r="O9" s="69" t="s">
        <v>532</v>
      </c>
      <c r="P9" s="69" t="s">
        <v>532</v>
      </c>
      <c r="Q9" s="69" t="s">
        <v>532</v>
      </c>
      <c r="R9" s="69" t="s">
        <v>532</v>
      </c>
      <c r="S9" s="69" t="s">
        <v>532</v>
      </c>
      <c r="T9" s="68" t="s">
        <v>1066</v>
      </c>
      <c r="U9" s="68" t="s">
        <v>1066</v>
      </c>
    </row>
    <row r="10" spans="1:21" s="66" customFormat="1">
      <c r="A10" s="66" t="s">
        <v>672</v>
      </c>
      <c r="B10" s="70">
        <v>44588</v>
      </c>
      <c r="C10" s="70">
        <v>44588</v>
      </c>
      <c r="D10" s="70">
        <v>44588</v>
      </c>
      <c r="E10" s="70">
        <v>44588</v>
      </c>
      <c r="F10" s="70">
        <v>44588</v>
      </c>
      <c r="G10" s="70">
        <v>44588</v>
      </c>
      <c r="H10" s="70">
        <v>44588</v>
      </c>
      <c r="I10" s="70">
        <v>44588</v>
      </c>
      <c r="J10" s="70">
        <v>44588</v>
      </c>
      <c r="K10" s="70">
        <v>44588</v>
      </c>
      <c r="L10" s="70">
        <v>44588</v>
      </c>
      <c r="M10" s="70">
        <v>44588</v>
      </c>
      <c r="N10" s="70">
        <v>44588</v>
      </c>
      <c r="O10" s="70">
        <v>44588</v>
      </c>
      <c r="P10" s="70">
        <v>44588</v>
      </c>
      <c r="Q10" s="70">
        <v>44588</v>
      </c>
      <c r="R10" s="70">
        <v>44588</v>
      </c>
      <c r="S10" s="70">
        <v>44588</v>
      </c>
      <c r="T10" s="70">
        <v>44588</v>
      </c>
      <c r="U10" s="70">
        <v>44588</v>
      </c>
    </row>
    <row r="11" spans="1:21" s="66" customFormat="1">
      <c r="A11" s="66" t="s">
        <v>674</v>
      </c>
      <c r="B11" s="66" t="s">
        <v>1067</v>
      </c>
      <c r="C11" s="66" t="s">
        <v>1068</v>
      </c>
      <c r="D11" s="66" t="s">
        <v>1069</v>
      </c>
      <c r="E11" s="66" t="s">
        <v>1070</v>
      </c>
      <c r="F11" s="66" t="s">
        <v>1071</v>
      </c>
      <c r="G11" s="66" t="s">
        <v>1072</v>
      </c>
      <c r="H11" s="66" t="s">
        <v>1073</v>
      </c>
      <c r="I11" s="66" t="s">
        <v>1074</v>
      </c>
      <c r="J11" s="66" t="s">
        <v>1075</v>
      </c>
      <c r="K11" s="66" t="s">
        <v>1076</v>
      </c>
      <c r="L11" s="66" t="s">
        <v>1077</v>
      </c>
      <c r="M11" s="66" t="s">
        <v>1078</v>
      </c>
      <c r="N11" s="66" t="s">
        <v>1079</v>
      </c>
      <c r="O11" s="66" t="s">
        <v>1080</v>
      </c>
      <c r="P11" s="66" t="s">
        <v>1081</v>
      </c>
      <c r="Q11" s="66" t="s">
        <v>1082</v>
      </c>
      <c r="R11" s="66" t="s">
        <v>1083</v>
      </c>
      <c r="S11" s="66" t="s">
        <v>1084</v>
      </c>
      <c r="T11" s="66" t="s">
        <v>1085</v>
      </c>
      <c r="U11" s="66" t="s">
        <v>1086</v>
      </c>
    </row>
    <row r="12" spans="1:21" ht="12">
      <c r="A12" s="71">
        <v>8188</v>
      </c>
      <c r="B12" s="72">
        <v>2.8</v>
      </c>
      <c r="C12" s="73"/>
      <c r="D12" s="73"/>
      <c r="F12" s="74"/>
      <c r="G12" s="74"/>
      <c r="H12" s="74"/>
      <c r="I12" s="74"/>
      <c r="N12" s="73"/>
      <c r="P12" s="74"/>
      <c r="Q12" s="74"/>
      <c r="R12" s="74"/>
      <c r="S12" s="74"/>
    </row>
    <row r="13" spans="1:21" ht="12">
      <c r="A13" s="71">
        <v>8280</v>
      </c>
      <c r="B13" s="72">
        <v>2.8</v>
      </c>
      <c r="C13" s="73"/>
      <c r="D13" s="73"/>
      <c r="F13" s="74"/>
      <c r="G13" s="74"/>
      <c r="H13" s="74"/>
      <c r="I13" s="74"/>
      <c r="L13" s="72">
        <v>-0.1</v>
      </c>
      <c r="N13" s="73"/>
      <c r="P13" s="74"/>
      <c r="Q13" s="74"/>
      <c r="R13" s="74"/>
      <c r="S13" s="74"/>
    </row>
    <row r="14" spans="1:21" ht="12">
      <c r="A14" s="71">
        <v>8371</v>
      </c>
      <c r="B14" s="72">
        <v>2.7</v>
      </c>
      <c r="C14" s="73"/>
      <c r="D14" s="73"/>
      <c r="F14" s="74"/>
      <c r="G14" s="74"/>
      <c r="H14" s="74"/>
      <c r="I14" s="74"/>
      <c r="L14" s="72">
        <v>-1.1000000000000001</v>
      </c>
      <c r="N14" s="73"/>
      <c r="P14" s="74"/>
      <c r="Q14" s="74"/>
      <c r="R14" s="74"/>
      <c r="S14" s="74"/>
    </row>
    <row r="15" spans="1:21" ht="12">
      <c r="A15" s="71">
        <v>8461</v>
      </c>
      <c r="B15" s="72">
        <v>2.7</v>
      </c>
      <c r="C15" s="73"/>
      <c r="D15" s="73"/>
      <c r="F15" s="74"/>
      <c r="G15" s="74"/>
      <c r="H15" s="74"/>
      <c r="I15" s="74"/>
      <c r="L15" s="72">
        <v>0.4</v>
      </c>
      <c r="N15" s="73"/>
      <c r="P15" s="74"/>
      <c r="Q15" s="74"/>
      <c r="R15" s="74"/>
      <c r="S15" s="74"/>
    </row>
    <row r="16" spans="1:21" ht="12">
      <c r="A16" s="71">
        <v>8553</v>
      </c>
      <c r="B16" s="72">
        <v>2.8</v>
      </c>
      <c r="C16" s="72">
        <v>2.2999999999999998</v>
      </c>
      <c r="D16" s="73"/>
      <c r="F16" s="74"/>
      <c r="G16" s="74"/>
      <c r="H16" s="74"/>
      <c r="I16" s="74"/>
      <c r="L16" s="72">
        <v>3.1</v>
      </c>
      <c r="N16" s="73"/>
      <c r="P16" s="74"/>
      <c r="Q16" s="74"/>
      <c r="R16" s="74"/>
      <c r="S16" s="74"/>
    </row>
    <row r="17" spans="1:19" ht="12">
      <c r="A17" s="71">
        <v>8645</v>
      </c>
      <c r="B17" s="72">
        <v>2.9</v>
      </c>
      <c r="C17" s="72">
        <v>3.8</v>
      </c>
      <c r="D17" s="73"/>
      <c r="F17" s="74"/>
      <c r="G17" s="74"/>
      <c r="H17" s="74"/>
      <c r="I17" s="74"/>
      <c r="L17" s="72">
        <v>1.4</v>
      </c>
      <c r="N17" s="73"/>
      <c r="P17" s="74"/>
      <c r="Q17" s="74"/>
      <c r="R17" s="74"/>
      <c r="S17" s="74"/>
    </row>
    <row r="18" spans="1:19" ht="12">
      <c r="A18" s="71">
        <v>8736</v>
      </c>
      <c r="B18" s="72">
        <v>2.9</v>
      </c>
      <c r="C18" s="72">
        <v>4.5999999999999996</v>
      </c>
      <c r="D18" s="73"/>
      <c r="F18" s="74"/>
      <c r="G18" s="74"/>
      <c r="H18" s="74"/>
      <c r="I18" s="74"/>
      <c r="L18" s="72">
        <v>-0.4</v>
      </c>
      <c r="N18" s="73"/>
      <c r="P18" s="74"/>
      <c r="Q18" s="74"/>
      <c r="R18" s="74"/>
      <c r="S18" s="74"/>
    </row>
    <row r="19" spans="1:19" ht="12">
      <c r="A19" s="71">
        <v>8827</v>
      </c>
      <c r="B19" s="72">
        <v>2.8</v>
      </c>
      <c r="C19" s="72">
        <v>1.4</v>
      </c>
      <c r="D19" s="73"/>
      <c r="F19" s="74"/>
      <c r="G19" s="74"/>
      <c r="H19" s="74"/>
      <c r="I19" s="74"/>
      <c r="L19" s="72">
        <v>-2.6</v>
      </c>
      <c r="N19" s="73"/>
      <c r="P19" s="74"/>
      <c r="Q19" s="74"/>
      <c r="R19" s="74"/>
      <c r="S19" s="74"/>
    </row>
    <row r="20" spans="1:19" ht="12">
      <c r="A20" s="71">
        <v>8919</v>
      </c>
      <c r="B20" s="72">
        <v>2.8</v>
      </c>
      <c r="C20" s="72">
        <v>-1.7</v>
      </c>
      <c r="D20" s="73"/>
      <c r="F20" s="74"/>
      <c r="G20" s="74"/>
      <c r="H20" s="74"/>
      <c r="I20" s="74"/>
      <c r="L20" s="72">
        <v>0</v>
      </c>
      <c r="N20" s="73"/>
      <c r="P20" s="74"/>
      <c r="Q20" s="74"/>
      <c r="R20" s="74"/>
      <c r="S20" s="74"/>
    </row>
    <row r="21" spans="1:19" ht="12">
      <c r="A21" s="71">
        <v>9011</v>
      </c>
      <c r="B21" s="72">
        <v>2.8</v>
      </c>
      <c r="C21" s="72">
        <v>-3.7</v>
      </c>
      <c r="D21" s="73"/>
      <c r="F21" s="74"/>
      <c r="G21" s="74"/>
      <c r="H21" s="74"/>
      <c r="I21" s="74"/>
      <c r="L21" s="72">
        <v>-0.8</v>
      </c>
      <c r="N21" s="73"/>
      <c r="P21" s="74"/>
      <c r="Q21" s="74"/>
      <c r="R21" s="74"/>
      <c r="S21" s="74"/>
    </row>
    <row r="22" spans="1:19" ht="12">
      <c r="A22" s="71">
        <v>9102</v>
      </c>
      <c r="B22" s="72">
        <v>2.8</v>
      </c>
      <c r="C22" s="72">
        <v>-3.3</v>
      </c>
      <c r="D22" s="73"/>
      <c r="F22" s="74"/>
      <c r="G22" s="74"/>
      <c r="H22" s="74"/>
      <c r="I22" s="74"/>
      <c r="L22" s="72">
        <v>0</v>
      </c>
      <c r="N22" s="73"/>
      <c r="P22" s="74"/>
      <c r="Q22" s="74"/>
      <c r="R22" s="74"/>
      <c r="S22" s="74"/>
    </row>
    <row r="23" spans="1:19" ht="12">
      <c r="A23" s="71">
        <v>9192</v>
      </c>
      <c r="B23" s="72">
        <v>2.8</v>
      </c>
      <c r="C23" s="72">
        <v>0.8</v>
      </c>
      <c r="D23" s="73"/>
      <c r="F23" s="74"/>
      <c r="G23" s="74"/>
      <c r="H23" s="74"/>
      <c r="I23" s="74"/>
      <c r="L23" s="72">
        <v>1.6</v>
      </c>
      <c r="N23" s="73"/>
      <c r="P23" s="74"/>
      <c r="Q23" s="74"/>
      <c r="R23" s="74"/>
      <c r="S23" s="74"/>
    </row>
    <row r="24" spans="1:19" ht="12">
      <c r="A24" s="71">
        <v>9284</v>
      </c>
      <c r="B24" s="72">
        <v>2.8</v>
      </c>
      <c r="C24" s="72">
        <v>1.6</v>
      </c>
      <c r="D24" s="73"/>
      <c r="F24" s="74"/>
      <c r="G24" s="74"/>
      <c r="H24" s="74"/>
      <c r="I24" s="74"/>
      <c r="L24" s="72">
        <v>0.8</v>
      </c>
      <c r="N24" s="73"/>
      <c r="P24" s="74"/>
      <c r="Q24" s="74"/>
      <c r="R24" s="74"/>
      <c r="S24" s="74"/>
    </row>
    <row r="25" spans="1:19" ht="12">
      <c r="A25" s="71">
        <v>9376</v>
      </c>
      <c r="B25" s="72">
        <v>2.8</v>
      </c>
      <c r="C25" s="72">
        <v>2.9</v>
      </c>
      <c r="D25" s="73"/>
      <c r="F25" s="74"/>
      <c r="G25" s="74"/>
      <c r="H25" s="74"/>
      <c r="I25" s="74"/>
      <c r="L25" s="72">
        <v>0.5</v>
      </c>
      <c r="N25" s="73"/>
      <c r="P25" s="74"/>
      <c r="Q25" s="74"/>
      <c r="R25" s="74"/>
      <c r="S25" s="74"/>
    </row>
    <row r="26" spans="1:19" ht="12">
      <c r="A26" s="71">
        <v>9467</v>
      </c>
      <c r="B26" s="72">
        <v>2.8</v>
      </c>
      <c r="C26" s="72">
        <v>2.8</v>
      </c>
      <c r="D26" s="73"/>
      <c r="F26" s="74"/>
      <c r="G26" s="74"/>
      <c r="H26" s="74"/>
      <c r="I26" s="74"/>
      <c r="L26" s="72">
        <v>-0.1</v>
      </c>
      <c r="N26" s="73"/>
      <c r="P26" s="74"/>
      <c r="Q26" s="74"/>
      <c r="R26" s="74"/>
      <c r="S26" s="74"/>
    </row>
    <row r="27" spans="1:19" ht="12">
      <c r="A27" s="71">
        <v>9557</v>
      </c>
      <c r="B27" s="72">
        <v>2.8</v>
      </c>
      <c r="C27" s="72">
        <v>1.5</v>
      </c>
      <c r="D27" s="73"/>
      <c r="F27" s="74"/>
      <c r="G27" s="74"/>
      <c r="H27" s="74"/>
      <c r="I27" s="74"/>
      <c r="L27" s="72">
        <v>0.3</v>
      </c>
      <c r="N27" s="73"/>
      <c r="P27" s="74"/>
      <c r="Q27" s="74"/>
      <c r="R27" s="74"/>
      <c r="S27" s="74"/>
    </row>
    <row r="28" spans="1:19" ht="12">
      <c r="A28" s="71">
        <v>9649</v>
      </c>
      <c r="B28" s="72">
        <v>2.9</v>
      </c>
      <c r="C28" s="72">
        <v>2.7</v>
      </c>
      <c r="D28" s="73"/>
      <c r="F28" s="74"/>
      <c r="G28" s="74"/>
      <c r="H28" s="74"/>
      <c r="I28" s="74"/>
      <c r="L28" s="72">
        <v>1.9</v>
      </c>
      <c r="N28" s="73"/>
      <c r="P28" s="74"/>
      <c r="Q28" s="74"/>
      <c r="R28" s="74"/>
      <c r="S28" s="74"/>
    </row>
    <row r="29" spans="1:19" ht="12">
      <c r="A29" s="71">
        <v>9741</v>
      </c>
      <c r="B29" s="72">
        <v>2.9</v>
      </c>
      <c r="C29" s="72">
        <v>0.8</v>
      </c>
      <c r="D29" s="73"/>
      <c r="F29" s="74"/>
      <c r="G29" s="74"/>
      <c r="H29" s="74"/>
      <c r="I29" s="74"/>
      <c r="L29" s="72">
        <v>-1.4</v>
      </c>
      <c r="N29" s="73"/>
      <c r="P29" s="74"/>
      <c r="Q29" s="74"/>
      <c r="R29" s="74"/>
      <c r="S29" s="74"/>
    </row>
    <row r="30" spans="1:19" ht="12">
      <c r="A30" s="71">
        <v>9832</v>
      </c>
      <c r="B30" s="72">
        <v>2.8</v>
      </c>
      <c r="C30" s="72">
        <v>0.5</v>
      </c>
      <c r="D30" s="73"/>
      <c r="F30" s="74"/>
      <c r="G30" s="74"/>
      <c r="H30" s="74"/>
      <c r="I30" s="74"/>
      <c r="L30" s="72">
        <v>-0.3</v>
      </c>
      <c r="N30" s="73"/>
      <c r="P30" s="74"/>
      <c r="Q30" s="74"/>
      <c r="R30" s="74"/>
      <c r="S30" s="74"/>
    </row>
    <row r="31" spans="1:19" ht="12">
      <c r="A31" s="71">
        <v>9922</v>
      </c>
      <c r="B31" s="72">
        <v>2.8</v>
      </c>
      <c r="C31" s="72">
        <v>-0.6</v>
      </c>
      <c r="D31" s="73"/>
      <c r="F31" s="74"/>
      <c r="G31" s="74"/>
      <c r="H31" s="74"/>
      <c r="I31" s="74"/>
      <c r="L31" s="72">
        <v>-0.8</v>
      </c>
      <c r="N31" s="73"/>
      <c r="P31" s="74"/>
      <c r="Q31" s="74"/>
      <c r="R31" s="74"/>
      <c r="S31" s="74"/>
    </row>
    <row r="32" spans="1:19" ht="12">
      <c r="A32" s="71">
        <v>10014</v>
      </c>
      <c r="B32" s="72">
        <v>2.8</v>
      </c>
      <c r="C32" s="72">
        <v>-3</v>
      </c>
      <c r="D32" s="73"/>
      <c r="F32" s="74"/>
      <c r="G32" s="74"/>
      <c r="H32" s="74"/>
      <c r="I32" s="74"/>
      <c r="L32" s="72">
        <v>-0.5</v>
      </c>
      <c r="N32" s="73"/>
      <c r="P32" s="74"/>
      <c r="Q32" s="74"/>
      <c r="R32" s="74"/>
      <c r="S32" s="74"/>
    </row>
    <row r="33" spans="1:19" ht="12">
      <c r="A33" s="71">
        <v>10106</v>
      </c>
      <c r="B33" s="72">
        <v>2.8</v>
      </c>
      <c r="C33" s="72">
        <v>-0.5</v>
      </c>
      <c r="D33" s="73"/>
      <c r="F33" s="74"/>
      <c r="G33" s="74"/>
      <c r="H33" s="74"/>
      <c r="I33" s="74"/>
      <c r="L33" s="72">
        <v>1</v>
      </c>
      <c r="N33" s="73"/>
      <c r="P33" s="74"/>
      <c r="Q33" s="74"/>
      <c r="R33" s="74"/>
      <c r="S33" s="74"/>
    </row>
    <row r="34" spans="1:19" ht="12">
      <c r="A34" s="71">
        <v>10197</v>
      </c>
      <c r="B34" s="72">
        <v>2.9</v>
      </c>
      <c r="C34" s="72">
        <v>0.5</v>
      </c>
      <c r="D34" s="73"/>
      <c r="F34" s="74"/>
      <c r="G34" s="74"/>
      <c r="H34" s="74"/>
      <c r="I34" s="74"/>
      <c r="L34" s="72">
        <v>0.8</v>
      </c>
      <c r="N34" s="73"/>
      <c r="P34" s="74"/>
      <c r="Q34" s="74"/>
      <c r="R34" s="74"/>
      <c r="S34" s="74"/>
    </row>
    <row r="35" spans="1:19" ht="12">
      <c r="A35" s="71">
        <v>10288</v>
      </c>
      <c r="B35" s="72">
        <v>2.9</v>
      </c>
      <c r="C35" s="72">
        <v>1.1000000000000001</v>
      </c>
      <c r="D35" s="73"/>
      <c r="F35" s="74"/>
      <c r="G35" s="74"/>
      <c r="H35" s="74"/>
      <c r="I35" s="74"/>
      <c r="L35" s="72">
        <v>-0.2</v>
      </c>
      <c r="N35" s="73"/>
      <c r="P35" s="74"/>
      <c r="Q35" s="74"/>
      <c r="R35" s="74"/>
      <c r="S35" s="74"/>
    </row>
    <row r="36" spans="1:19" ht="12">
      <c r="A36" s="71">
        <v>10380</v>
      </c>
      <c r="B36" s="72">
        <v>2.9</v>
      </c>
      <c r="C36" s="72">
        <v>2.1</v>
      </c>
      <c r="D36" s="73"/>
      <c r="F36" s="74"/>
      <c r="G36" s="74"/>
      <c r="H36" s="74"/>
      <c r="I36" s="74"/>
      <c r="L36" s="72">
        <v>0.5</v>
      </c>
      <c r="N36" s="73"/>
      <c r="P36" s="74"/>
      <c r="Q36" s="74"/>
      <c r="R36" s="74"/>
      <c r="S36" s="74"/>
    </row>
    <row r="37" spans="1:19" ht="12">
      <c r="A37" s="71">
        <v>10472</v>
      </c>
      <c r="B37" s="72">
        <v>2.9</v>
      </c>
      <c r="C37" s="72">
        <v>0.3</v>
      </c>
      <c r="D37" s="73"/>
      <c r="F37" s="74"/>
      <c r="G37" s="74"/>
      <c r="H37" s="74"/>
      <c r="I37" s="74"/>
      <c r="L37" s="72">
        <v>-0.8</v>
      </c>
      <c r="N37" s="73"/>
      <c r="P37" s="74"/>
      <c r="Q37" s="74"/>
      <c r="R37" s="74"/>
      <c r="S37" s="74"/>
    </row>
    <row r="38" spans="1:19" ht="12">
      <c r="A38" s="71">
        <v>10563</v>
      </c>
      <c r="B38" s="72">
        <v>2.9</v>
      </c>
      <c r="C38" s="72">
        <v>-0.5</v>
      </c>
      <c r="D38" s="73"/>
      <c r="F38" s="74"/>
      <c r="G38" s="74"/>
      <c r="H38" s="74"/>
      <c r="I38" s="74"/>
      <c r="L38" s="72">
        <v>0</v>
      </c>
      <c r="N38" s="73"/>
      <c r="P38" s="74"/>
      <c r="Q38" s="74"/>
      <c r="R38" s="74"/>
      <c r="S38" s="74"/>
    </row>
    <row r="39" spans="1:19" ht="12">
      <c r="A39" s="71">
        <v>10653</v>
      </c>
      <c r="B39" s="72">
        <v>2.9</v>
      </c>
      <c r="C39" s="72">
        <v>2.2999999999999998</v>
      </c>
      <c r="D39" s="73"/>
      <c r="F39" s="74"/>
      <c r="G39" s="74"/>
      <c r="H39" s="74"/>
      <c r="I39" s="74"/>
      <c r="L39" s="72">
        <v>2.6</v>
      </c>
      <c r="N39" s="73"/>
      <c r="P39" s="74"/>
      <c r="Q39" s="74"/>
      <c r="R39" s="74"/>
      <c r="S39" s="74"/>
    </row>
    <row r="40" spans="1:19" ht="12">
      <c r="A40" s="71">
        <v>10745</v>
      </c>
      <c r="B40" s="72">
        <v>2.9</v>
      </c>
      <c r="C40" s="72">
        <v>1.8</v>
      </c>
      <c r="D40" s="73"/>
      <c r="F40" s="74"/>
      <c r="G40" s="74"/>
      <c r="H40" s="74"/>
      <c r="I40" s="74"/>
      <c r="L40" s="72">
        <v>0</v>
      </c>
      <c r="N40" s="73"/>
      <c r="P40" s="74"/>
      <c r="Q40" s="74"/>
      <c r="R40" s="74"/>
      <c r="S40" s="74"/>
    </row>
    <row r="41" spans="1:19" ht="12">
      <c r="A41" s="71">
        <v>10837</v>
      </c>
      <c r="B41" s="72">
        <v>2.9</v>
      </c>
      <c r="C41" s="72">
        <v>2.6</v>
      </c>
      <c r="D41" s="73"/>
      <c r="F41" s="74"/>
      <c r="G41" s="74"/>
      <c r="H41" s="74"/>
      <c r="I41" s="74"/>
      <c r="L41" s="72">
        <v>0</v>
      </c>
      <c r="N41" s="73"/>
      <c r="P41" s="74"/>
      <c r="Q41" s="74"/>
      <c r="R41" s="74"/>
      <c r="S41" s="74"/>
    </row>
    <row r="42" spans="1:19" ht="12">
      <c r="A42" s="71">
        <v>10928</v>
      </c>
      <c r="B42" s="72">
        <v>2.9</v>
      </c>
      <c r="C42" s="72">
        <v>2.5</v>
      </c>
      <c r="D42" s="73"/>
      <c r="F42" s="74"/>
      <c r="G42" s="74"/>
      <c r="H42" s="74"/>
      <c r="I42" s="74"/>
      <c r="L42" s="72">
        <v>-0.1</v>
      </c>
      <c r="N42" s="73"/>
      <c r="P42" s="74"/>
      <c r="Q42" s="74"/>
      <c r="R42" s="74"/>
      <c r="S42" s="74"/>
    </row>
    <row r="43" spans="1:19" ht="12">
      <c r="A43" s="71">
        <v>11018</v>
      </c>
      <c r="B43" s="72">
        <v>2.8</v>
      </c>
      <c r="C43" s="72">
        <v>-2.9</v>
      </c>
      <c r="D43" s="73"/>
      <c r="F43" s="74"/>
      <c r="G43" s="74"/>
      <c r="H43" s="74"/>
      <c r="I43" s="74"/>
      <c r="L43" s="72">
        <v>-2.8</v>
      </c>
      <c r="N43" s="73"/>
      <c r="P43" s="74"/>
      <c r="Q43" s="74"/>
      <c r="R43" s="74"/>
      <c r="S43" s="74"/>
    </row>
    <row r="44" spans="1:19" ht="12">
      <c r="A44" s="71">
        <v>11110</v>
      </c>
      <c r="B44" s="72">
        <v>2.8</v>
      </c>
      <c r="C44" s="72">
        <v>-3.9</v>
      </c>
      <c r="D44" s="73"/>
      <c r="F44" s="74"/>
      <c r="G44" s="74"/>
      <c r="H44" s="74"/>
      <c r="I44" s="74"/>
      <c r="L44" s="72">
        <v>-1</v>
      </c>
      <c r="N44" s="73"/>
      <c r="P44" s="74"/>
      <c r="Q44" s="74"/>
      <c r="R44" s="74"/>
      <c r="S44" s="74"/>
    </row>
    <row r="45" spans="1:19" ht="12">
      <c r="A45" s="71">
        <v>11202</v>
      </c>
      <c r="B45" s="72">
        <v>2.7</v>
      </c>
      <c r="C45" s="72">
        <v>-6.5</v>
      </c>
      <c r="D45" s="73"/>
      <c r="F45" s="74"/>
      <c r="G45" s="74"/>
      <c r="H45" s="74"/>
      <c r="I45" s="74"/>
      <c r="L45" s="72">
        <v>-2.7</v>
      </c>
      <c r="N45" s="73"/>
      <c r="P45" s="74"/>
      <c r="Q45" s="74"/>
      <c r="R45" s="74"/>
      <c r="S45" s="74"/>
    </row>
    <row r="46" spans="1:19" ht="12">
      <c r="A46" s="71">
        <v>11293</v>
      </c>
      <c r="B46" s="72">
        <v>2.6</v>
      </c>
      <c r="C46" s="72">
        <v>-10.3</v>
      </c>
      <c r="D46" s="73"/>
      <c r="F46" s="74"/>
      <c r="G46" s="74"/>
      <c r="H46" s="74"/>
      <c r="I46" s="74"/>
      <c r="L46" s="72">
        <v>-4.0999999999999996</v>
      </c>
      <c r="N46" s="73"/>
      <c r="P46" s="74"/>
      <c r="Q46" s="74"/>
      <c r="R46" s="74"/>
      <c r="S46" s="74"/>
    </row>
    <row r="47" spans="1:19" ht="12">
      <c r="A47" s="71">
        <v>11383</v>
      </c>
      <c r="B47" s="72">
        <v>2.6</v>
      </c>
      <c r="C47" s="72">
        <v>-10</v>
      </c>
      <c r="D47" s="73"/>
      <c r="F47" s="74"/>
      <c r="G47" s="74"/>
      <c r="H47" s="74"/>
      <c r="I47" s="74"/>
      <c r="L47" s="72">
        <v>-2.6</v>
      </c>
      <c r="N47" s="73"/>
      <c r="P47" s="74"/>
      <c r="Q47" s="74"/>
      <c r="R47" s="74"/>
      <c r="S47" s="74"/>
    </row>
    <row r="48" spans="1:19" ht="12">
      <c r="A48" s="71">
        <v>11475</v>
      </c>
      <c r="B48" s="72">
        <v>2.5</v>
      </c>
      <c r="C48" s="72">
        <v>-11.4</v>
      </c>
      <c r="D48" s="73"/>
      <c r="F48" s="74"/>
      <c r="G48" s="74"/>
      <c r="H48" s="74"/>
      <c r="I48" s="74"/>
      <c r="L48" s="72">
        <v>-2.5</v>
      </c>
      <c r="N48" s="73"/>
      <c r="P48" s="74"/>
      <c r="Q48" s="74"/>
      <c r="R48" s="74"/>
      <c r="S48" s="74"/>
    </row>
    <row r="49" spans="1:19" ht="12">
      <c r="A49" s="71">
        <v>11567</v>
      </c>
      <c r="B49" s="72">
        <v>2.4</v>
      </c>
      <c r="C49" s="72">
        <v>-11.6</v>
      </c>
      <c r="D49" s="73"/>
      <c r="F49" s="74"/>
      <c r="G49" s="74"/>
      <c r="H49" s="74"/>
      <c r="I49" s="74"/>
      <c r="L49" s="72">
        <v>-2.8</v>
      </c>
      <c r="N49" s="73"/>
      <c r="P49" s="74"/>
      <c r="Q49" s="74"/>
      <c r="R49" s="74"/>
      <c r="S49" s="74"/>
    </row>
    <row r="50" spans="1:19" ht="12">
      <c r="A50" s="71">
        <v>11658</v>
      </c>
      <c r="B50" s="72">
        <v>2.4</v>
      </c>
      <c r="C50" s="72">
        <v>-8.8000000000000007</v>
      </c>
      <c r="D50" s="73"/>
      <c r="F50" s="74"/>
      <c r="G50" s="74"/>
      <c r="H50" s="74"/>
      <c r="I50" s="74"/>
      <c r="L50" s="72">
        <v>-1.2</v>
      </c>
      <c r="N50" s="73"/>
      <c r="P50" s="74"/>
      <c r="Q50" s="74"/>
      <c r="R50" s="74"/>
      <c r="S50" s="74"/>
    </row>
    <row r="51" spans="1:19" ht="12">
      <c r="A51" s="71">
        <v>11749</v>
      </c>
      <c r="B51" s="72">
        <v>2.4</v>
      </c>
      <c r="C51" s="72">
        <v>-6.5</v>
      </c>
      <c r="D51" s="73"/>
      <c r="F51" s="74"/>
      <c r="G51" s="74"/>
      <c r="H51" s="74"/>
      <c r="I51" s="74"/>
      <c r="L51" s="72">
        <v>-0.1</v>
      </c>
      <c r="N51" s="73"/>
      <c r="P51" s="74"/>
      <c r="Q51" s="74"/>
      <c r="R51" s="74"/>
      <c r="S51" s="74"/>
    </row>
    <row r="52" spans="1:19" ht="12">
      <c r="A52" s="71">
        <v>11841</v>
      </c>
      <c r="B52" s="72">
        <v>2.4</v>
      </c>
      <c r="C52" s="72">
        <v>-5.0999999999999996</v>
      </c>
      <c r="D52" s="73"/>
      <c r="F52" s="74"/>
      <c r="G52" s="74"/>
      <c r="H52" s="74"/>
      <c r="I52" s="74"/>
      <c r="L52" s="72">
        <v>-1.1000000000000001</v>
      </c>
      <c r="N52" s="73"/>
      <c r="P52" s="74"/>
      <c r="Q52" s="74"/>
      <c r="R52" s="74"/>
      <c r="S52" s="74"/>
    </row>
    <row r="53" spans="1:19" ht="12">
      <c r="A53" s="71">
        <v>11933</v>
      </c>
      <c r="B53" s="72">
        <v>2.2999999999999998</v>
      </c>
      <c r="C53" s="72">
        <v>-3.6</v>
      </c>
      <c r="D53" s="73"/>
      <c r="F53" s="74"/>
      <c r="G53" s="74"/>
      <c r="H53" s="74"/>
      <c r="I53" s="74"/>
      <c r="L53" s="72">
        <v>-1.3</v>
      </c>
      <c r="N53" s="73"/>
      <c r="P53" s="74"/>
      <c r="Q53" s="74"/>
      <c r="R53" s="74"/>
      <c r="S53" s="74"/>
    </row>
    <row r="54" spans="1:19" ht="12">
      <c r="A54" s="71">
        <v>12024</v>
      </c>
      <c r="B54" s="72">
        <v>2.2999999999999998</v>
      </c>
      <c r="C54" s="72">
        <v>-4.3</v>
      </c>
      <c r="D54" s="73"/>
      <c r="F54" s="74"/>
      <c r="G54" s="74"/>
      <c r="H54" s="74"/>
      <c r="I54" s="74"/>
      <c r="L54" s="72">
        <v>-1.8</v>
      </c>
      <c r="N54" s="73"/>
      <c r="P54" s="74"/>
      <c r="Q54" s="74"/>
      <c r="R54" s="74"/>
      <c r="S54" s="74"/>
    </row>
    <row r="55" spans="1:19" ht="12">
      <c r="A55" s="71">
        <v>12114</v>
      </c>
      <c r="B55" s="72">
        <v>2.2999999999999998</v>
      </c>
      <c r="C55" s="72">
        <v>-5.4</v>
      </c>
      <c r="D55" s="73"/>
      <c r="F55" s="74"/>
      <c r="G55" s="74"/>
      <c r="H55" s="74"/>
      <c r="I55" s="74"/>
      <c r="L55" s="72">
        <v>-1.4</v>
      </c>
      <c r="N55" s="73"/>
      <c r="P55" s="74"/>
      <c r="Q55" s="74"/>
      <c r="R55" s="74"/>
      <c r="S55" s="74"/>
    </row>
    <row r="56" spans="1:19" ht="12">
      <c r="A56" s="71">
        <v>12206</v>
      </c>
      <c r="B56" s="72">
        <v>2.2999999999999998</v>
      </c>
      <c r="C56" s="72">
        <v>-3.9</v>
      </c>
      <c r="D56" s="73"/>
      <c r="F56" s="74"/>
      <c r="G56" s="74"/>
      <c r="H56" s="74"/>
      <c r="I56" s="74"/>
      <c r="L56" s="72">
        <v>0.5</v>
      </c>
      <c r="N56" s="73"/>
      <c r="P56" s="74"/>
      <c r="Q56" s="74"/>
      <c r="R56" s="74"/>
      <c r="S56" s="74"/>
    </row>
    <row r="57" spans="1:19" ht="12">
      <c r="A57" s="71">
        <v>12298</v>
      </c>
      <c r="B57" s="72">
        <v>2.2999999999999998</v>
      </c>
      <c r="C57" s="72">
        <v>-2.2999999999999998</v>
      </c>
      <c r="D57" s="73"/>
      <c r="F57" s="74"/>
      <c r="G57" s="74"/>
      <c r="H57" s="74"/>
      <c r="I57" s="74"/>
      <c r="L57" s="72">
        <v>0.4</v>
      </c>
      <c r="N57" s="73"/>
      <c r="P57" s="74"/>
      <c r="Q57" s="74"/>
      <c r="R57" s="74"/>
      <c r="S57" s="74"/>
    </row>
    <row r="58" spans="1:19" ht="12">
      <c r="A58" s="71">
        <v>12389</v>
      </c>
      <c r="B58" s="72">
        <v>2.2999999999999998</v>
      </c>
      <c r="C58" s="72">
        <v>-0.6</v>
      </c>
      <c r="D58" s="73"/>
      <c r="F58" s="74"/>
      <c r="G58" s="74"/>
      <c r="H58" s="74"/>
      <c r="I58" s="74"/>
      <c r="L58" s="72">
        <v>-0.1</v>
      </c>
      <c r="N58" s="73"/>
      <c r="P58" s="74"/>
      <c r="Q58" s="74"/>
      <c r="R58" s="74"/>
      <c r="S58" s="74"/>
    </row>
    <row r="59" spans="1:19" ht="12">
      <c r="A59" s="71">
        <v>12479</v>
      </c>
      <c r="B59" s="72">
        <v>2.2999999999999998</v>
      </c>
      <c r="C59" s="72">
        <v>1.3</v>
      </c>
      <c r="D59" s="73"/>
      <c r="F59" s="74"/>
      <c r="G59" s="74"/>
      <c r="H59" s="74"/>
      <c r="I59" s="74"/>
      <c r="L59" s="72">
        <v>0.5</v>
      </c>
      <c r="N59" s="73"/>
      <c r="P59" s="74"/>
      <c r="Q59" s="74"/>
      <c r="R59" s="74"/>
      <c r="S59" s="74"/>
    </row>
    <row r="60" spans="1:19" ht="12">
      <c r="A60" s="71">
        <v>12571</v>
      </c>
      <c r="B60" s="72">
        <v>2.2999999999999998</v>
      </c>
      <c r="C60" s="72">
        <v>1.7</v>
      </c>
      <c r="D60" s="73"/>
      <c r="F60" s="74"/>
      <c r="G60" s="74"/>
      <c r="H60" s="74"/>
      <c r="I60" s="74"/>
      <c r="L60" s="72">
        <v>1</v>
      </c>
      <c r="N60" s="73"/>
      <c r="P60" s="74"/>
      <c r="Q60" s="74"/>
      <c r="R60" s="74"/>
      <c r="S60" s="74"/>
    </row>
    <row r="61" spans="1:19" ht="12">
      <c r="A61" s="71">
        <v>12663</v>
      </c>
      <c r="B61" s="72">
        <v>2.2999999999999998</v>
      </c>
      <c r="C61" s="72">
        <v>1.4</v>
      </c>
      <c r="D61" s="73"/>
      <c r="F61" s="74"/>
      <c r="G61" s="74"/>
      <c r="H61" s="74"/>
      <c r="I61" s="74"/>
      <c r="L61" s="72">
        <v>0</v>
      </c>
      <c r="N61" s="73"/>
      <c r="P61" s="74"/>
      <c r="Q61" s="74"/>
      <c r="R61" s="74"/>
      <c r="S61" s="74"/>
    </row>
    <row r="62" spans="1:19" ht="12">
      <c r="A62" s="71">
        <v>12754</v>
      </c>
      <c r="B62" s="72">
        <v>2.2999999999999998</v>
      </c>
      <c r="C62" s="72">
        <v>1.9</v>
      </c>
      <c r="D62" s="73"/>
      <c r="F62" s="74"/>
      <c r="G62" s="74"/>
      <c r="H62" s="74"/>
      <c r="I62" s="74"/>
      <c r="L62" s="72">
        <v>0.4</v>
      </c>
      <c r="N62" s="73"/>
      <c r="P62" s="74"/>
      <c r="Q62" s="74"/>
      <c r="R62" s="74"/>
      <c r="S62" s="74"/>
    </row>
    <row r="63" spans="1:19" ht="12">
      <c r="A63" s="71">
        <v>12844</v>
      </c>
      <c r="B63" s="72">
        <v>2.2999999999999998</v>
      </c>
      <c r="C63" s="72">
        <v>1.7</v>
      </c>
      <c r="D63" s="73"/>
      <c r="F63" s="74"/>
      <c r="G63" s="74"/>
      <c r="H63" s="74"/>
      <c r="I63" s="74"/>
      <c r="L63" s="72">
        <v>0.4</v>
      </c>
      <c r="N63" s="73"/>
      <c r="P63" s="74"/>
      <c r="Q63" s="74"/>
      <c r="R63" s="74"/>
      <c r="S63" s="74"/>
    </row>
    <row r="64" spans="1:19" ht="12">
      <c r="A64" s="71">
        <v>12936</v>
      </c>
      <c r="B64" s="72">
        <v>2.2999999999999998</v>
      </c>
      <c r="C64" s="72">
        <v>1.1000000000000001</v>
      </c>
      <c r="D64" s="73"/>
      <c r="F64" s="74"/>
      <c r="G64" s="74"/>
      <c r="H64" s="74"/>
      <c r="I64" s="74"/>
      <c r="L64" s="72">
        <v>0.4</v>
      </c>
      <c r="N64" s="73"/>
      <c r="P64" s="74"/>
      <c r="Q64" s="74"/>
      <c r="R64" s="74"/>
      <c r="S64" s="74"/>
    </row>
    <row r="65" spans="1:19" ht="12">
      <c r="A65" s="71">
        <v>13028</v>
      </c>
      <c r="B65" s="72">
        <v>2.4</v>
      </c>
      <c r="C65" s="72">
        <v>2.2999999999999998</v>
      </c>
      <c r="D65" s="73"/>
      <c r="F65" s="74"/>
      <c r="G65" s="74"/>
      <c r="H65" s="74"/>
      <c r="I65" s="74"/>
      <c r="L65" s="72">
        <v>1.2</v>
      </c>
      <c r="N65" s="73"/>
      <c r="P65" s="74"/>
      <c r="Q65" s="74"/>
      <c r="R65" s="74"/>
      <c r="S65" s="74"/>
    </row>
    <row r="66" spans="1:19" ht="12">
      <c r="A66" s="71">
        <v>13119</v>
      </c>
      <c r="B66" s="72">
        <v>2.4</v>
      </c>
      <c r="C66" s="72">
        <v>2.1</v>
      </c>
      <c r="D66" s="73"/>
      <c r="F66" s="74"/>
      <c r="G66" s="74"/>
      <c r="H66" s="74"/>
      <c r="I66" s="74"/>
      <c r="L66" s="72">
        <v>0.1</v>
      </c>
      <c r="N66" s="73"/>
      <c r="P66" s="74"/>
      <c r="Q66" s="74"/>
      <c r="R66" s="74"/>
      <c r="S66" s="74"/>
    </row>
    <row r="67" spans="1:19" ht="12">
      <c r="A67" s="71">
        <v>13210</v>
      </c>
      <c r="B67" s="72">
        <v>2.4</v>
      </c>
      <c r="C67" s="72">
        <v>1.7</v>
      </c>
      <c r="D67" s="73"/>
      <c r="F67" s="74"/>
      <c r="G67" s="74"/>
      <c r="H67" s="74"/>
      <c r="I67" s="74"/>
      <c r="L67" s="72">
        <v>0</v>
      </c>
      <c r="N67" s="73"/>
      <c r="P67" s="74"/>
      <c r="Q67" s="74"/>
      <c r="R67" s="74"/>
      <c r="S67" s="74"/>
    </row>
    <row r="68" spans="1:19" ht="12">
      <c r="A68" s="71">
        <v>13302</v>
      </c>
      <c r="B68" s="72">
        <v>2.4</v>
      </c>
      <c r="C68" s="72">
        <v>1.8</v>
      </c>
      <c r="D68" s="73"/>
      <c r="F68" s="74"/>
      <c r="G68" s="74"/>
      <c r="H68" s="74"/>
      <c r="I68" s="74"/>
      <c r="L68" s="72">
        <v>0.5</v>
      </c>
      <c r="N68" s="73"/>
      <c r="P68" s="74"/>
      <c r="Q68" s="74"/>
      <c r="R68" s="74"/>
      <c r="S68" s="74"/>
    </row>
    <row r="69" spans="1:19" ht="12">
      <c r="A69" s="71">
        <v>13394</v>
      </c>
      <c r="B69" s="72">
        <v>2.4</v>
      </c>
      <c r="C69" s="72">
        <v>2.2999999999999998</v>
      </c>
      <c r="D69" s="73"/>
      <c r="F69" s="74"/>
      <c r="G69" s="74"/>
      <c r="H69" s="74"/>
      <c r="I69" s="74"/>
      <c r="L69" s="72">
        <v>1.7</v>
      </c>
      <c r="N69" s="73"/>
      <c r="P69" s="74"/>
      <c r="Q69" s="74"/>
      <c r="R69" s="74"/>
      <c r="S69" s="74"/>
    </row>
    <row r="70" spans="1:19" ht="12">
      <c r="A70" s="71">
        <v>13485</v>
      </c>
      <c r="B70" s="72">
        <v>2.4</v>
      </c>
      <c r="C70" s="72">
        <v>2.9</v>
      </c>
      <c r="D70" s="73"/>
      <c r="F70" s="74"/>
      <c r="G70" s="74"/>
      <c r="H70" s="74"/>
      <c r="I70" s="74"/>
      <c r="L70" s="72">
        <v>0.7</v>
      </c>
      <c r="N70" s="73"/>
      <c r="P70" s="74"/>
      <c r="Q70" s="74"/>
      <c r="R70" s="74"/>
      <c r="S70" s="74"/>
    </row>
    <row r="71" spans="1:19" ht="12">
      <c r="A71" s="71">
        <v>13575</v>
      </c>
      <c r="B71" s="72">
        <v>2.4</v>
      </c>
      <c r="C71" s="72">
        <v>3.1</v>
      </c>
      <c r="D71" s="73"/>
      <c r="F71" s="74"/>
      <c r="G71" s="74"/>
      <c r="H71" s="74"/>
      <c r="I71" s="74"/>
      <c r="L71" s="72">
        <v>0.2</v>
      </c>
      <c r="N71" s="73"/>
      <c r="P71" s="74"/>
      <c r="Q71" s="74"/>
      <c r="R71" s="74"/>
      <c r="S71" s="74"/>
    </row>
    <row r="72" spans="1:19" ht="12">
      <c r="A72" s="71">
        <v>13667</v>
      </c>
      <c r="B72" s="72">
        <v>2.4</v>
      </c>
      <c r="C72" s="72">
        <v>3.1</v>
      </c>
      <c r="D72" s="73"/>
      <c r="F72" s="74"/>
      <c r="G72" s="74"/>
      <c r="H72" s="74"/>
      <c r="I72" s="74"/>
      <c r="L72" s="72">
        <v>0.5</v>
      </c>
      <c r="N72" s="73"/>
      <c r="P72" s="74"/>
      <c r="Q72" s="74"/>
      <c r="R72" s="74"/>
      <c r="S72" s="74"/>
    </row>
    <row r="73" spans="1:19" ht="12">
      <c r="A73" s="71">
        <v>13759</v>
      </c>
      <c r="B73" s="72">
        <v>2.5</v>
      </c>
      <c r="C73" s="72">
        <v>2.2999999999999998</v>
      </c>
      <c r="D73" s="73"/>
      <c r="F73" s="74"/>
      <c r="G73" s="74"/>
      <c r="H73" s="74"/>
      <c r="I73" s="74"/>
      <c r="L73" s="72">
        <v>0.9</v>
      </c>
      <c r="N73" s="73"/>
      <c r="P73" s="74"/>
      <c r="Q73" s="74"/>
      <c r="R73" s="74"/>
      <c r="S73" s="74"/>
    </row>
    <row r="74" spans="1:19" ht="12">
      <c r="A74" s="71">
        <v>13850</v>
      </c>
      <c r="B74" s="72">
        <v>2.5</v>
      </c>
      <c r="C74" s="72">
        <v>2.4</v>
      </c>
      <c r="D74" s="73"/>
      <c r="F74" s="74"/>
      <c r="G74" s="74"/>
      <c r="H74" s="74"/>
      <c r="I74" s="74"/>
      <c r="L74" s="72">
        <v>0.8</v>
      </c>
      <c r="N74" s="73"/>
      <c r="P74" s="74"/>
      <c r="Q74" s="74"/>
      <c r="R74" s="74"/>
      <c r="S74" s="74"/>
    </row>
    <row r="75" spans="1:19" ht="12">
      <c r="A75" s="71">
        <v>13940</v>
      </c>
      <c r="B75" s="72">
        <v>2.5</v>
      </c>
      <c r="C75" s="72">
        <v>2.4</v>
      </c>
      <c r="D75" s="73"/>
      <c r="F75" s="74"/>
      <c r="G75" s="74"/>
      <c r="H75" s="74"/>
      <c r="I75" s="74"/>
      <c r="L75" s="72">
        <v>0.2</v>
      </c>
      <c r="N75" s="73"/>
      <c r="P75" s="74"/>
      <c r="Q75" s="74"/>
      <c r="R75" s="74"/>
      <c r="S75" s="74"/>
    </row>
    <row r="76" spans="1:19" ht="12">
      <c r="A76" s="71">
        <v>14032</v>
      </c>
      <c r="B76" s="72">
        <v>2.5</v>
      </c>
      <c r="C76" s="72">
        <v>3</v>
      </c>
      <c r="D76" s="73"/>
      <c r="F76" s="74"/>
      <c r="G76" s="74"/>
      <c r="H76" s="74"/>
      <c r="I76" s="74"/>
      <c r="L76" s="72">
        <v>1</v>
      </c>
      <c r="N76" s="73"/>
      <c r="P76" s="74"/>
      <c r="Q76" s="74"/>
      <c r="R76" s="74"/>
      <c r="S76" s="74"/>
    </row>
    <row r="77" spans="1:19" ht="12">
      <c r="A77" s="71">
        <v>14124</v>
      </c>
      <c r="B77" s="72">
        <v>2.6</v>
      </c>
      <c r="C77" s="72">
        <v>3.3</v>
      </c>
      <c r="D77" s="73"/>
      <c r="F77" s="74"/>
      <c r="G77" s="74"/>
      <c r="H77" s="74"/>
      <c r="I77" s="74"/>
      <c r="L77" s="72">
        <v>1.2</v>
      </c>
      <c r="N77" s="73"/>
      <c r="P77" s="74"/>
      <c r="Q77" s="74"/>
      <c r="R77" s="74"/>
      <c r="S77" s="74"/>
    </row>
    <row r="78" spans="1:19" ht="12">
      <c r="A78" s="71">
        <v>14215</v>
      </c>
      <c r="B78" s="72">
        <v>2.6</v>
      </c>
      <c r="C78" s="72">
        <v>2.5</v>
      </c>
      <c r="D78" s="73"/>
      <c r="F78" s="74"/>
      <c r="G78" s="74"/>
      <c r="H78" s="74"/>
      <c r="I78" s="74"/>
      <c r="L78" s="72">
        <v>0</v>
      </c>
      <c r="N78" s="73"/>
      <c r="P78" s="74"/>
      <c r="Q78" s="74"/>
      <c r="R78" s="74"/>
      <c r="S78" s="74"/>
    </row>
    <row r="79" spans="1:19" ht="12">
      <c r="A79" s="71">
        <v>14305</v>
      </c>
      <c r="B79" s="72">
        <v>2.6</v>
      </c>
      <c r="C79" s="72">
        <v>3.8</v>
      </c>
      <c r="D79" s="73"/>
      <c r="F79" s="74"/>
      <c r="G79" s="74"/>
      <c r="H79" s="74"/>
      <c r="I79" s="74"/>
      <c r="L79" s="72">
        <v>1.5</v>
      </c>
      <c r="N79" s="73"/>
      <c r="P79" s="74"/>
      <c r="Q79" s="74"/>
      <c r="R79" s="74"/>
      <c r="S79" s="74"/>
    </row>
    <row r="80" spans="1:19" ht="12">
      <c r="A80" s="71">
        <v>14397</v>
      </c>
      <c r="B80" s="72">
        <v>2.6</v>
      </c>
      <c r="C80" s="72">
        <v>2.6</v>
      </c>
      <c r="D80" s="73"/>
      <c r="F80" s="74"/>
      <c r="G80" s="74"/>
      <c r="H80" s="74"/>
      <c r="I80" s="74"/>
      <c r="L80" s="72">
        <v>-0.2</v>
      </c>
      <c r="N80" s="73"/>
      <c r="P80" s="74"/>
      <c r="Q80" s="74"/>
      <c r="R80" s="74"/>
      <c r="S80" s="74"/>
    </row>
    <row r="81" spans="1:19" ht="12">
      <c r="A81" s="71">
        <v>14489</v>
      </c>
      <c r="B81" s="72">
        <v>2.6</v>
      </c>
      <c r="C81" s="72">
        <v>1.2</v>
      </c>
      <c r="D81" s="73"/>
      <c r="F81" s="74"/>
      <c r="G81" s="74"/>
      <c r="H81" s="74"/>
      <c r="I81" s="74"/>
      <c r="L81" s="72">
        <v>-0.1</v>
      </c>
      <c r="N81" s="73"/>
      <c r="P81" s="74"/>
      <c r="Q81" s="74"/>
      <c r="R81" s="74"/>
      <c r="S81" s="74"/>
    </row>
    <row r="82" spans="1:19" ht="12">
      <c r="A82" s="71">
        <v>14580</v>
      </c>
      <c r="B82" s="72">
        <v>2.6</v>
      </c>
      <c r="C82" s="72">
        <v>2.2999999999999998</v>
      </c>
      <c r="D82" s="73"/>
      <c r="F82" s="74"/>
      <c r="G82" s="74"/>
      <c r="H82" s="74"/>
      <c r="I82" s="74"/>
      <c r="L82" s="72">
        <v>1.1000000000000001</v>
      </c>
      <c r="N82" s="73"/>
      <c r="P82" s="74"/>
      <c r="Q82" s="74"/>
      <c r="R82" s="74"/>
      <c r="S82" s="74"/>
    </row>
    <row r="83" spans="1:19" ht="12">
      <c r="A83" s="71">
        <v>14671</v>
      </c>
      <c r="B83" s="72">
        <v>2.6</v>
      </c>
      <c r="C83" s="72">
        <v>1.2</v>
      </c>
      <c r="D83" s="73"/>
      <c r="F83" s="74"/>
      <c r="G83" s="74"/>
      <c r="H83" s="74"/>
      <c r="I83" s="74"/>
      <c r="L83" s="72">
        <v>0.4</v>
      </c>
      <c r="N83" s="73"/>
      <c r="P83" s="74"/>
      <c r="Q83" s="74"/>
      <c r="R83" s="74"/>
      <c r="S83" s="74"/>
    </row>
    <row r="84" spans="1:19" ht="12">
      <c r="A84" s="71">
        <v>14763</v>
      </c>
      <c r="B84" s="72">
        <v>2.7</v>
      </c>
      <c r="C84" s="72">
        <v>4</v>
      </c>
      <c r="D84" s="73"/>
      <c r="F84" s="74"/>
      <c r="G84" s="74"/>
      <c r="H84" s="74"/>
      <c r="I84" s="74"/>
      <c r="L84" s="72">
        <v>2.6</v>
      </c>
      <c r="N84" s="73"/>
      <c r="P84" s="74"/>
      <c r="Q84" s="74"/>
      <c r="R84" s="74"/>
      <c r="S84" s="74"/>
    </row>
    <row r="85" spans="1:19" ht="12">
      <c r="A85" s="71">
        <v>14855</v>
      </c>
      <c r="B85" s="72">
        <v>2.7</v>
      </c>
      <c r="C85" s="72">
        <v>4.7</v>
      </c>
      <c r="D85" s="73"/>
      <c r="F85" s="74"/>
      <c r="G85" s="74"/>
      <c r="H85" s="74"/>
      <c r="I85" s="74"/>
      <c r="L85" s="72">
        <v>0.5</v>
      </c>
      <c r="N85" s="73"/>
      <c r="P85" s="74"/>
      <c r="Q85" s="74"/>
      <c r="R85" s="74"/>
      <c r="S85" s="74"/>
    </row>
    <row r="86" spans="1:19" ht="12">
      <c r="A86" s="71">
        <v>14946</v>
      </c>
      <c r="B86" s="72">
        <v>2.8</v>
      </c>
      <c r="C86" s="72">
        <v>6.5</v>
      </c>
      <c r="D86" s="73"/>
      <c r="F86" s="74"/>
      <c r="G86" s="74"/>
      <c r="H86" s="74"/>
      <c r="I86" s="74"/>
      <c r="L86" s="72">
        <v>2.8</v>
      </c>
      <c r="N86" s="73"/>
      <c r="P86" s="74"/>
      <c r="Q86" s="74"/>
      <c r="R86" s="74"/>
      <c r="S86" s="74"/>
    </row>
    <row r="87" spans="1:19" ht="12">
      <c r="A87" s="71">
        <v>15036</v>
      </c>
      <c r="B87" s="72">
        <v>2.8</v>
      </c>
      <c r="C87" s="72">
        <v>7</v>
      </c>
      <c r="D87" s="76"/>
      <c r="F87" s="74"/>
      <c r="G87" s="74"/>
      <c r="H87" s="74"/>
      <c r="I87" s="74"/>
      <c r="L87" s="72">
        <v>0.9</v>
      </c>
      <c r="N87" s="76"/>
      <c r="P87" s="74"/>
      <c r="Q87" s="74"/>
      <c r="R87" s="74"/>
      <c r="S87" s="74"/>
    </row>
    <row r="88" spans="1:19" ht="12">
      <c r="A88" s="71">
        <v>15128</v>
      </c>
      <c r="B88" s="72">
        <v>2.8</v>
      </c>
      <c r="C88" s="72">
        <v>4.8</v>
      </c>
      <c r="D88" s="76"/>
      <c r="F88" s="74"/>
      <c r="G88" s="74"/>
      <c r="H88" s="74"/>
      <c r="I88" s="74"/>
      <c r="L88" s="72">
        <v>0.5</v>
      </c>
      <c r="N88" s="76"/>
      <c r="P88" s="74"/>
      <c r="Q88" s="74"/>
      <c r="R88" s="74"/>
      <c r="S88" s="74"/>
    </row>
    <row r="89" spans="1:19" ht="12">
      <c r="A89" s="71">
        <v>15220</v>
      </c>
      <c r="B89" s="72">
        <v>2.8</v>
      </c>
      <c r="C89" s="72">
        <v>5.2</v>
      </c>
      <c r="D89" s="76"/>
      <c r="F89" s="74"/>
      <c r="G89" s="74"/>
      <c r="H89" s="74"/>
      <c r="I89" s="74"/>
      <c r="L89" s="72">
        <v>0.9</v>
      </c>
      <c r="N89" s="76"/>
      <c r="P89" s="74"/>
      <c r="Q89" s="74"/>
      <c r="R89" s="74"/>
      <c r="S89" s="74"/>
    </row>
    <row r="90" spans="1:19" ht="12">
      <c r="A90" s="71">
        <v>15311</v>
      </c>
      <c r="B90" s="72">
        <v>2.9</v>
      </c>
      <c r="C90" s="72">
        <v>4.4000000000000004</v>
      </c>
      <c r="D90" s="76"/>
      <c r="F90" s="74"/>
      <c r="G90" s="74"/>
      <c r="H90" s="74"/>
      <c r="I90" s="74"/>
      <c r="L90" s="72">
        <v>2</v>
      </c>
      <c r="N90" s="76"/>
      <c r="P90" s="74"/>
      <c r="Q90" s="74"/>
      <c r="R90" s="74"/>
      <c r="S90" s="74"/>
    </row>
    <row r="91" spans="1:19" ht="12">
      <c r="A91" s="71">
        <v>15401</v>
      </c>
      <c r="B91" s="72">
        <v>3</v>
      </c>
      <c r="C91" s="72">
        <v>5.8</v>
      </c>
      <c r="D91" s="76"/>
      <c r="F91" s="74"/>
      <c r="G91" s="74"/>
      <c r="H91" s="74"/>
      <c r="I91" s="74"/>
      <c r="L91" s="72">
        <v>2.2999999999999998</v>
      </c>
      <c r="N91" s="76"/>
      <c r="P91" s="74"/>
      <c r="Q91" s="74"/>
      <c r="R91" s="74"/>
      <c r="S91" s="74"/>
    </row>
    <row r="92" spans="1:19" ht="12">
      <c r="A92" s="71">
        <v>15493</v>
      </c>
      <c r="B92" s="72">
        <v>3.1</v>
      </c>
      <c r="C92" s="72">
        <v>8.1</v>
      </c>
      <c r="D92" s="76"/>
      <c r="F92" s="74"/>
      <c r="G92" s="74"/>
      <c r="H92" s="74"/>
      <c r="I92" s="74"/>
      <c r="L92" s="72">
        <v>2.7</v>
      </c>
      <c r="N92" s="76"/>
      <c r="P92" s="74"/>
      <c r="Q92" s="74"/>
      <c r="R92" s="74"/>
      <c r="S92" s="74"/>
    </row>
    <row r="93" spans="1:19" ht="12">
      <c r="A93" s="71">
        <v>15585</v>
      </c>
      <c r="B93" s="72">
        <v>3.1</v>
      </c>
      <c r="C93" s="72">
        <v>9.6</v>
      </c>
      <c r="D93" s="76"/>
      <c r="F93" s="74"/>
      <c r="G93" s="74"/>
      <c r="H93" s="74"/>
      <c r="I93" s="74"/>
      <c r="L93" s="72">
        <v>2.2999999999999998</v>
      </c>
      <c r="N93" s="76"/>
      <c r="P93" s="74"/>
      <c r="Q93" s="74"/>
      <c r="R93" s="74"/>
      <c r="S93" s="74"/>
    </row>
    <row r="94" spans="1:19" ht="12">
      <c r="A94" s="71">
        <v>15676</v>
      </c>
      <c r="B94" s="72">
        <v>3.2</v>
      </c>
      <c r="C94" s="72">
        <v>9</v>
      </c>
      <c r="D94" s="76"/>
      <c r="F94" s="74"/>
      <c r="G94" s="74"/>
      <c r="H94" s="74"/>
      <c r="I94" s="74"/>
      <c r="L94" s="72">
        <v>1.4</v>
      </c>
      <c r="N94" s="76"/>
      <c r="P94" s="74"/>
      <c r="Q94" s="74"/>
      <c r="R94" s="74"/>
      <c r="S94" s="74"/>
    </row>
    <row r="95" spans="1:19" ht="12">
      <c r="A95" s="71">
        <v>15766</v>
      </c>
      <c r="B95" s="72">
        <v>3.2</v>
      </c>
      <c r="C95" s="72">
        <v>6.6</v>
      </c>
      <c r="D95" s="76"/>
      <c r="F95" s="74"/>
      <c r="G95" s="74"/>
      <c r="H95" s="74"/>
      <c r="I95" s="74"/>
      <c r="L95" s="72">
        <v>0.1</v>
      </c>
      <c r="N95" s="76"/>
      <c r="P95" s="74"/>
      <c r="Q95" s="74"/>
      <c r="R95" s="74"/>
      <c r="S95" s="74"/>
    </row>
    <row r="96" spans="1:19" ht="12">
      <c r="A96" s="71">
        <v>15858</v>
      </c>
      <c r="B96" s="72">
        <v>3.2</v>
      </c>
      <c r="C96" s="72">
        <v>5.7</v>
      </c>
      <c r="D96" s="76"/>
      <c r="F96" s="74"/>
      <c r="G96" s="74"/>
      <c r="H96" s="74"/>
      <c r="I96" s="74"/>
      <c r="L96" s="72">
        <v>1.8</v>
      </c>
      <c r="N96" s="76"/>
      <c r="P96" s="74"/>
      <c r="Q96" s="74"/>
      <c r="R96" s="74"/>
      <c r="S96" s="74"/>
    </row>
    <row r="97" spans="1:19" ht="12">
      <c r="A97" s="71">
        <v>15950</v>
      </c>
      <c r="B97" s="72">
        <v>3.2</v>
      </c>
      <c r="C97" s="72">
        <v>2.4</v>
      </c>
      <c r="D97" s="76"/>
      <c r="F97" s="74"/>
      <c r="G97" s="74"/>
      <c r="H97" s="74"/>
      <c r="I97" s="74"/>
      <c r="L97" s="72">
        <v>-0.9</v>
      </c>
      <c r="N97" s="76"/>
      <c r="P97" s="74"/>
      <c r="Q97" s="74"/>
      <c r="R97" s="74"/>
      <c r="S97" s="74"/>
    </row>
    <row r="98" spans="1:19" ht="12">
      <c r="A98" s="71">
        <v>16041</v>
      </c>
      <c r="B98" s="72">
        <v>3.2</v>
      </c>
      <c r="C98" s="72">
        <v>0.1</v>
      </c>
      <c r="D98" s="76"/>
      <c r="F98" s="74"/>
      <c r="G98" s="74"/>
      <c r="H98" s="74"/>
      <c r="I98" s="74"/>
      <c r="L98" s="72">
        <v>-0.9</v>
      </c>
      <c r="N98" s="76"/>
      <c r="P98" s="74"/>
      <c r="Q98" s="74"/>
      <c r="R98" s="74"/>
      <c r="S98" s="74"/>
    </row>
    <row r="99" spans="1:19" ht="12">
      <c r="A99" s="71">
        <v>16132</v>
      </c>
      <c r="B99" s="72">
        <v>3.2</v>
      </c>
      <c r="C99" s="72">
        <v>0.1</v>
      </c>
      <c r="D99" s="76"/>
      <c r="F99" s="74"/>
      <c r="G99" s="74"/>
      <c r="H99" s="74"/>
      <c r="I99" s="74"/>
      <c r="L99" s="72">
        <v>0.1</v>
      </c>
      <c r="N99" s="76"/>
      <c r="P99" s="74"/>
      <c r="Q99" s="74"/>
      <c r="R99" s="74"/>
      <c r="S99" s="74"/>
    </row>
    <row r="100" spans="1:19" ht="12">
      <c r="A100" s="71">
        <v>16224</v>
      </c>
      <c r="B100" s="72">
        <v>3.2</v>
      </c>
      <c r="C100" s="72">
        <v>-1.6</v>
      </c>
      <c r="D100" s="76"/>
      <c r="F100" s="74"/>
      <c r="G100" s="74"/>
      <c r="H100" s="74"/>
      <c r="I100" s="74"/>
      <c r="L100" s="72">
        <v>0.1</v>
      </c>
      <c r="N100" s="76"/>
      <c r="P100" s="74"/>
      <c r="Q100" s="74"/>
      <c r="R100" s="74"/>
      <c r="S100" s="74"/>
    </row>
    <row r="101" spans="1:19" ht="12">
      <c r="A101" s="71">
        <v>16316</v>
      </c>
      <c r="B101" s="72">
        <v>3.2</v>
      </c>
      <c r="C101" s="72">
        <v>-0.4</v>
      </c>
      <c r="D101" s="76"/>
      <c r="F101" s="74"/>
      <c r="G101" s="74"/>
      <c r="H101" s="74"/>
      <c r="I101" s="74"/>
      <c r="L101" s="72">
        <v>0.4</v>
      </c>
      <c r="N101" s="76"/>
      <c r="P101" s="74"/>
      <c r="Q101" s="74"/>
      <c r="R101" s="74"/>
      <c r="S101" s="74"/>
    </row>
    <row r="102" spans="1:19" ht="12">
      <c r="A102" s="71">
        <v>16407</v>
      </c>
      <c r="B102" s="72">
        <v>3.2</v>
      </c>
      <c r="C102" s="72">
        <v>0.3</v>
      </c>
      <c r="D102" s="76"/>
      <c r="F102" s="74"/>
      <c r="G102" s="74"/>
      <c r="H102" s="74"/>
      <c r="I102" s="74"/>
      <c r="L102" s="72">
        <v>-0.3</v>
      </c>
      <c r="N102" s="76"/>
      <c r="P102" s="74"/>
      <c r="Q102" s="74"/>
      <c r="R102" s="74"/>
      <c r="S102" s="74"/>
    </row>
    <row r="103" spans="1:19" ht="12">
      <c r="A103" s="71">
        <v>16497</v>
      </c>
      <c r="B103" s="72">
        <v>3.2</v>
      </c>
      <c r="C103" s="72">
        <v>-0.1</v>
      </c>
      <c r="D103" s="76"/>
      <c r="F103" s="74"/>
      <c r="G103" s="74"/>
      <c r="H103" s="74"/>
      <c r="I103" s="74"/>
      <c r="L103" s="72">
        <v>-0.3</v>
      </c>
      <c r="N103" s="76"/>
      <c r="P103" s="74"/>
      <c r="Q103" s="74"/>
      <c r="R103" s="74"/>
      <c r="S103" s="74"/>
    </row>
    <row r="104" spans="1:19" ht="12">
      <c r="A104" s="71">
        <v>16589</v>
      </c>
      <c r="B104" s="72">
        <v>3.2</v>
      </c>
      <c r="C104" s="72">
        <v>0</v>
      </c>
      <c r="D104" s="76"/>
      <c r="F104" s="74"/>
      <c r="G104" s="74"/>
      <c r="H104" s="74"/>
      <c r="I104" s="74"/>
      <c r="L104" s="72">
        <v>0.2</v>
      </c>
      <c r="N104" s="76"/>
      <c r="P104" s="74"/>
      <c r="Q104" s="74"/>
      <c r="R104" s="74"/>
      <c r="S104" s="74"/>
    </row>
    <row r="105" spans="1:19" ht="12">
      <c r="A105" s="71">
        <v>16681</v>
      </c>
      <c r="B105" s="72">
        <v>3.2</v>
      </c>
      <c r="C105" s="72">
        <v>-0.3</v>
      </c>
      <c r="D105" s="76"/>
      <c r="F105" s="74"/>
      <c r="G105" s="74"/>
      <c r="H105" s="74"/>
      <c r="I105" s="74"/>
      <c r="L105" s="72">
        <v>0.1</v>
      </c>
      <c r="N105" s="76"/>
      <c r="P105" s="74"/>
      <c r="Q105" s="74"/>
      <c r="R105" s="74"/>
      <c r="S105" s="74"/>
    </row>
    <row r="106" spans="1:19" ht="12">
      <c r="A106" s="71">
        <v>16772</v>
      </c>
      <c r="B106" s="72">
        <v>3.2</v>
      </c>
      <c r="C106" s="72">
        <v>0.3</v>
      </c>
      <c r="D106" s="76"/>
      <c r="F106" s="74"/>
      <c r="G106" s="74"/>
      <c r="H106" s="74"/>
      <c r="I106" s="74"/>
      <c r="L106" s="72">
        <v>0.3</v>
      </c>
      <c r="N106" s="76"/>
      <c r="P106" s="74"/>
      <c r="Q106" s="74"/>
      <c r="R106" s="74"/>
      <c r="S106" s="74"/>
    </row>
    <row r="107" spans="1:19" ht="12">
      <c r="A107" s="71">
        <v>16862</v>
      </c>
      <c r="B107" s="72">
        <v>3.2</v>
      </c>
      <c r="C107" s="72">
        <v>1</v>
      </c>
      <c r="D107" s="76"/>
      <c r="F107" s="74"/>
      <c r="G107" s="74"/>
      <c r="H107" s="74"/>
      <c r="I107" s="74"/>
      <c r="L107" s="72">
        <v>0.4</v>
      </c>
      <c r="N107" s="76"/>
      <c r="P107" s="74"/>
      <c r="Q107" s="74"/>
      <c r="R107" s="74"/>
      <c r="S107" s="74"/>
    </row>
    <row r="108" spans="1:19" ht="12">
      <c r="A108" s="71">
        <v>16954</v>
      </c>
      <c r="B108" s="72">
        <v>3.2</v>
      </c>
      <c r="C108" s="72">
        <v>1.8</v>
      </c>
      <c r="D108" s="76"/>
      <c r="F108" s="74"/>
      <c r="G108" s="74"/>
      <c r="H108" s="74"/>
      <c r="I108" s="74"/>
      <c r="L108" s="72">
        <v>1</v>
      </c>
      <c r="N108" s="76"/>
      <c r="P108" s="74"/>
      <c r="Q108" s="74"/>
      <c r="R108" s="74"/>
      <c r="S108" s="74"/>
    </row>
    <row r="109" spans="1:19" ht="12">
      <c r="A109" s="71">
        <v>17046</v>
      </c>
      <c r="B109" s="72">
        <v>3.2</v>
      </c>
      <c r="C109" s="72">
        <v>1.8</v>
      </c>
      <c r="D109" s="76"/>
      <c r="F109" s="74"/>
      <c r="G109" s="74"/>
      <c r="H109" s="74"/>
      <c r="I109" s="74"/>
      <c r="L109" s="72">
        <v>0.1</v>
      </c>
      <c r="N109" s="76"/>
      <c r="P109" s="74"/>
      <c r="Q109" s="74"/>
      <c r="R109" s="74"/>
      <c r="S109" s="74"/>
    </row>
    <row r="110" spans="1:19" ht="12">
      <c r="A110" s="71">
        <v>17137</v>
      </c>
      <c r="B110" s="72">
        <v>3.3</v>
      </c>
      <c r="C110" s="72">
        <v>2.4</v>
      </c>
      <c r="D110" s="76"/>
      <c r="F110" s="74"/>
      <c r="G110" s="74"/>
      <c r="H110" s="74"/>
      <c r="I110" s="74"/>
      <c r="L110" s="72">
        <v>0.9</v>
      </c>
      <c r="N110" s="76"/>
      <c r="P110" s="74"/>
      <c r="Q110" s="74"/>
      <c r="R110" s="74"/>
      <c r="S110" s="74"/>
    </row>
    <row r="111" spans="1:19" ht="12">
      <c r="A111" s="71">
        <v>17227</v>
      </c>
      <c r="B111" s="72">
        <v>3.3</v>
      </c>
      <c r="C111" s="72">
        <v>2.7</v>
      </c>
      <c r="D111" s="76"/>
      <c r="F111" s="74"/>
      <c r="G111" s="74"/>
      <c r="H111" s="74"/>
      <c r="I111" s="74"/>
      <c r="L111" s="72">
        <v>0.8</v>
      </c>
      <c r="N111" s="76"/>
      <c r="P111" s="74"/>
      <c r="Q111" s="74"/>
      <c r="R111" s="74"/>
      <c r="S111" s="74"/>
    </row>
    <row r="112" spans="1:19" ht="12">
      <c r="A112" s="71">
        <v>17319</v>
      </c>
      <c r="B112" s="72">
        <v>3.3</v>
      </c>
      <c r="C112" s="72">
        <v>2.5</v>
      </c>
      <c r="D112" s="76"/>
      <c r="F112" s="74"/>
      <c r="G112" s="74"/>
      <c r="H112" s="74"/>
      <c r="I112" s="74"/>
      <c r="L112" s="72">
        <v>0.8</v>
      </c>
      <c r="N112" s="76"/>
      <c r="P112" s="74"/>
      <c r="Q112" s="74"/>
      <c r="R112" s="74"/>
      <c r="S112" s="74"/>
    </row>
    <row r="113" spans="1:19" ht="12">
      <c r="A113" s="71">
        <v>17411</v>
      </c>
      <c r="B113" s="72">
        <v>3.4</v>
      </c>
      <c r="C113" s="72">
        <v>4</v>
      </c>
      <c r="D113" s="76"/>
      <c r="F113" s="74"/>
      <c r="G113" s="74"/>
      <c r="H113" s="74"/>
      <c r="I113" s="74"/>
      <c r="L113" s="72">
        <v>1.5</v>
      </c>
      <c r="N113" s="76"/>
      <c r="P113" s="74"/>
      <c r="Q113" s="74"/>
      <c r="R113" s="74"/>
      <c r="S113" s="74"/>
    </row>
    <row r="114" spans="1:19" ht="12">
      <c r="A114" s="71">
        <v>17502</v>
      </c>
      <c r="B114" s="72">
        <v>3.4</v>
      </c>
      <c r="C114" s="72">
        <v>5.6</v>
      </c>
      <c r="D114" s="76"/>
      <c r="F114" s="74"/>
      <c r="G114" s="74"/>
      <c r="H114" s="74"/>
      <c r="I114" s="74"/>
      <c r="L114" s="72">
        <v>2.4</v>
      </c>
      <c r="N114" s="76"/>
      <c r="P114" s="74"/>
      <c r="Q114" s="74"/>
      <c r="R114" s="74"/>
      <c r="S114" s="74"/>
    </row>
    <row r="115" spans="1:19" ht="12">
      <c r="A115" s="71">
        <v>17593</v>
      </c>
      <c r="B115" s="72">
        <v>3.5</v>
      </c>
      <c r="C115" s="72">
        <v>7.1</v>
      </c>
      <c r="D115" s="76"/>
      <c r="F115" s="74"/>
      <c r="G115" s="74"/>
      <c r="H115" s="74"/>
      <c r="I115" s="74"/>
      <c r="L115" s="72">
        <v>2.2000000000000002</v>
      </c>
      <c r="N115" s="76"/>
      <c r="P115" s="74"/>
      <c r="Q115" s="74"/>
      <c r="R115" s="74"/>
      <c r="S115" s="74"/>
    </row>
    <row r="116" spans="1:19" ht="12">
      <c r="A116" s="71">
        <v>17685</v>
      </c>
      <c r="B116" s="72">
        <v>3.6</v>
      </c>
      <c r="C116" s="72">
        <v>8.9</v>
      </c>
      <c r="D116" s="76"/>
      <c r="F116" s="74"/>
      <c r="G116" s="74"/>
      <c r="H116" s="74"/>
      <c r="I116" s="74"/>
      <c r="L116" s="72">
        <v>2.4</v>
      </c>
      <c r="N116" s="76"/>
      <c r="P116" s="74"/>
      <c r="Q116" s="74"/>
      <c r="R116" s="74"/>
      <c r="S116" s="74"/>
    </row>
    <row r="117" spans="1:19" ht="12">
      <c r="A117" s="71">
        <v>17777</v>
      </c>
      <c r="B117" s="72">
        <v>3.7</v>
      </c>
      <c r="C117" s="72">
        <v>10</v>
      </c>
      <c r="D117" s="76"/>
      <c r="F117" s="74"/>
      <c r="G117" s="74"/>
      <c r="H117" s="74"/>
      <c r="I117" s="74"/>
      <c r="L117" s="72">
        <v>2.6</v>
      </c>
      <c r="N117" s="76"/>
      <c r="P117" s="74"/>
      <c r="Q117" s="74"/>
      <c r="R117" s="74"/>
      <c r="S117" s="74"/>
    </row>
    <row r="118" spans="1:19" ht="12">
      <c r="A118" s="71">
        <v>17868</v>
      </c>
      <c r="B118" s="72">
        <v>3.8</v>
      </c>
      <c r="C118" s="72">
        <v>10.3</v>
      </c>
      <c r="D118" s="76"/>
      <c r="F118" s="74"/>
      <c r="G118" s="74"/>
      <c r="H118" s="74"/>
      <c r="I118" s="74"/>
      <c r="L118" s="72">
        <v>2.7</v>
      </c>
      <c r="N118" s="76"/>
      <c r="P118" s="74"/>
      <c r="Q118" s="74"/>
      <c r="R118" s="74"/>
      <c r="S118" s="74"/>
    </row>
    <row r="119" spans="1:19" ht="12">
      <c r="A119" s="71">
        <v>17958</v>
      </c>
      <c r="B119" s="72">
        <v>3.9</v>
      </c>
      <c r="C119" s="72">
        <v>10.7</v>
      </c>
      <c r="D119" s="76"/>
      <c r="F119" s="74"/>
      <c r="G119" s="74"/>
      <c r="H119" s="74"/>
      <c r="I119" s="74"/>
      <c r="L119" s="72">
        <v>2.6</v>
      </c>
      <c r="N119" s="76"/>
      <c r="P119" s="74"/>
      <c r="Q119" s="74"/>
      <c r="R119" s="74"/>
      <c r="S119" s="74"/>
    </row>
    <row r="120" spans="1:19" ht="12">
      <c r="A120" s="71">
        <v>18050</v>
      </c>
      <c r="B120" s="72">
        <v>4</v>
      </c>
      <c r="C120" s="72">
        <v>10.9</v>
      </c>
      <c r="D120" s="76"/>
      <c r="F120" s="74"/>
      <c r="G120" s="74"/>
      <c r="H120" s="74"/>
      <c r="I120" s="74"/>
      <c r="L120" s="72">
        <v>2.6</v>
      </c>
      <c r="N120" s="76"/>
      <c r="P120" s="74"/>
      <c r="Q120" s="74"/>
      <c r="R120" s="74"/>
      <c r="S120" s="74"/>
    </row>
    <row r="121" spans="1:19" ht="12">
      <c r="A121" s="71">
        <v>18142</v>
      </c>
      <c r="B121" s="72">
        <v>4.0999999999999996</v>
      </c>
      <c r="C121" s="72">
        <v>10.8</v>
      </c>
      <c r="D121" s="76"/>
      <c r="F121" s="74"/>
      <c r="G121" s="74"/>
      <c r="H121" s="74"/>
      <c r="I121" s="74"/>
      <c r="L121" s="72">
        <v>2.5</v>
      </c>
      <c r="N121" s="76"/>
      <c r="P121" s="74"/>
      <c r="Q121" s="74"/>
      <c r="R121" s="74"/>
      <c r="S121" s="74"/>
    </row>
    <row r="122" spans="1:19" ht="12">
      <c r="A122" s="71">
        <v>18233</v>
      </c>
      <c r="B122" s="72">
        <v>4.0999999999999996</v>
      </c>
      <c r="C122" s="72">
        <v>7.9</v>
      </c>
      <c r="D122" s="76"/>
      <c r="F122" s="74"/>
      <c r="G122" s="74"/>
      <c r="H122" s="74"/>
      <c r="I122" s="74"/>
      <c r="L122" s="72">
        <v>0</v>
      </c>
      <c r="N122" s="76"/>
      <c r="P122" s="74"/>
      <c r="Q122" s="74"/>
      <c r="R122" s="74"/>
      <c r="S122" s="74"/>
    </row>
    <row r="123" spans="1:19" ht="12">
      <c r="A123" s="71">
        <v>18323</v>
      </c>
      <c r="B123" s="72">
        <v>4.2</v>
      </c>
      <c r="C123" s="72">
        <v>7.7</v>
      </c>
      <c r="D123" s="76"/>
      <c r="F123" s="74"/>
      <c r="G123" s="74"/>
      <c r="H123" s="74"/>
      <c r="I123" s="74"/>
      <c r="L123" s="72">
        <v>2.4</v>
      </c>
      <c r="N123" s="76"/>
      <c r="P123" s="74"/>
      <c r="Q123" s="74"/>
      <c r="R123" s="74"/>
      <c r="S123" s="74"/>
    </row>
    <row r="124" spans="1:19" ht="12">
      <c r="A124" s="71">
        <v>18415</v>
      </c>
      <c r="B124" s="72">
        <v>4.3</v>
      </c>
      <c r="C124" s="72">
        <v>7.5</v>
      </c>
      <c r="D124" s="76"/>
      <c r="F124" s="74"/>
      <c r="G124" s="74"/>
      <c r="H124" s="74"/>
      <c r="I124" s="74"/>
      <c r="L124" s="72">
        <v>2.4</v>
      </c>
      <c r="N124" s="76"/>
      <c r="P124" s="74"/>
      <c r="Q124" s="74"/>
      <c r="R124" s="74"/>
      <c r="S124" s="74"/>
    </row>
    <row r="125" spans="1:19" ht="12">
      <c r="A125" s="71">
        <v>18507</v>
      </c>
      <c r="B125" s="72">
        <v>4.4000000000000004</v>
      </c>
      <c r="C125" s="72">
        <v>7.3</v>
      </c>
      <c r="D125" s="76"/>
      <c r="F125" s="74"/>
      <c r="G125" s="74"/>
      <c r="H125" s="74"/>
      <c r="I125" s="74"/>
      <c r="L125" s="72">
        <v>2.2999999999999998</v>
      </c>
      <c r="N125" s="76"/>
      <c r="P125" s="74"/>
      <c r="Q125" s="74"/>
      <c r="R125" s="74"/>
      <c r="S125" s="74"/>
    </row>
    <row r="126" spans="1:19" ht="12">
      <c r="A126" s="71">
        <v>18598</v>
      </c>
      <c r="B126" s="72">
        <v>4.5999999999999996</v>
      </c>
      <c r="C126" s="72">
        <v>12.2</v>
      </c>
      <c r="D126" s="76"/>
      <c r="F126" s="74"/>
      <c r="G126" s="74"/>
      <c r="H126" s="74"/>
      <c r="I126" s="74"/>
      <c r="L126" s="72">
        <v>4.5</v>
      </c>
      <c r="N126" s="76"/>
      <c r="P126" s="74"/>
      <c r="Q126" s="74"/>
      <c r="R126" s="74"/>
      <c r="S126" s="74"/>
    </row>
    <row r="127" spans="1:19" ht="12">
      <c r="A127" s="71">
        <v>18688</v>
      </c>
      <c r="B127" s="72">
        <v>4.8</v>
      </c>
      <c r="C127" s="72">
        <v>14.3</v>
      </c>
      <c r="D127" s="76"/>
      <c r="F127" s="74"/>
      <c r="G127" s="74"/>
      <c r="H127" s="74"/>
      <c r="I127" s="74"/>
      <c r="L127" s="72">
        <v>4.3</v>
      </c>
      <c r="N127" s="76"/>
      <c r="P127" s="74"/>
      <c r="Q127" s="74"/>
      <c r="R127" s="74"/>
      <c r="S127" s="74"/>
    </row>
    <row r="128" spans="1:19" ht="12">
      <c r="A128" s="71">
        <v>18780</v>
      </c>
      <c r="B128" s="72">
        <v>5.0999999999999996</v>
      </c>
      <c r="C128" s="72">
        <v>18.600000000000001</v>
      </c>
      <c r="D128" s="76"/>
      <c r="F128" s="74"/>
      <c r="G128" s="74"/>
      <c r="H128" s="74"/>
      <c r="I128" s="74"/>
      <c r="L128" s="72">
        <v>6.3</v>
      </c>
      <c r="N128" s="76"/>
      <c r="P128" s="74"/>
      <c r="Q128" s="74"/>
      <c r="R128" s="74"/>
      <c r="S128" s="74"/>
    </row>
    <row r="129" spans="1:19" ht="12">
      <c r="A129" s="71">
        <v>18872</v>
      </c>
      <c r="B129" s="72">
        <v>5.3</v>
      </c>
      <c r="C129" s="72">
        <v>20.5</v>
      </c>
      <c r="D129" s="76"/>
      <c r="F129" s="74"/>
      <c r="G129" s="74"/>
      <c r="H129" s="74"/>
      <c r="I129" s="74"/>
      <c r="L129" s="72">
        <v>3.9</v>
      </c>
      <c r="N129" s="76"/>
      <c r="P129" s="74"/>
      <c r="Q129" s="74"/>
      <c r="R129" s="74"/>
      <c r="S129" s="74"/>
    </row>
    <row r="130" spans="1:19" ht="12">
      <c r="A130" s="71">
        <v>18963</v>
      </c>
      <c r="B130" s="72">
        <v>5.7</v>
      </c>
      <c r="C130" s="72">
        <v>23.9</v>
      </c>
      <c r="D130" s="76"/>
      <c r="F130" s="74"/>
      <c r="G130" s="74"/>
      <c r="H130" s="74"/>
      <c r="I130" s="74"/>
      <c r="L130" s="72">
        <v>7.5</v>
      </c>
      <c r="N130" s="76"/>
      <c r="P130" s="74"/>
      <c r="Q130" s="74"/>
      <c r="R130" s="74"/>
      <c r="S130" s="74"/>
    </row>
    <row r="131" spans="1:19" ht="12">
      <c r="A131" s="71">
        <v>19054</v>
      </c>
      <c r="B131" s="72">
        <v>5.9</v>
      </c>
      <c r="C131" s="72">
        <v>22.9</v>
      </c>
      <c r="D131" s="76"/>
      <c r="F131" s="74"/>
      <c r="G131" s="74"/>
      <c r="H131" s="74"/>
      <c r="I131" s="74"/>
      <c r="L131" s="72">
        <v>3.5</v>
      </c>
      <c r="N131" s="76"/>
      <c r="P131" s="74"/>
      <c r="Q131" s="74"/>
      <c r="R131" s="74"/>
      <c r="S131" s="74"/>
    </row>
    <row r="132" spans="1:19" ht="12">
      <c r="A132" s="71">
        <v>19146</v>
      </c>
      <c r="B132" s="72">
        <v>6.1</v>
      </c>
      <c r="C132" s="72">
        <v>19.600000000000001</v>
      </c>
      <c r="D132" s="76"/>
      <c r="F132" s="74"/>
      <c r="G132" s="74"/>
      <c r="H132" s="74"/>
      <c r="I132" s="74"/>
      <c r="L132" s="72">
        <v>3.4</v>
      </c>
      <c r="N132" s="76"/>
      <c r="P132" s="74"/>
      <c r="Q132" s="74"/>
      <c r="R132" s="74"/>
      <c r="S132" s="74"/>
    </row>
    <row r="133" spans="1:19" ht="12">
      <c r="A133" s="71">
        <v>19238</v>
      </c>
      <c r="B133" s="72">
        <v>6.2</v>
      </c>
      <c r="C133" s="72">
        <v>17</v>
      </c>
      <c r="D133" s="76"/>
      <c r="F133" s="74"/>
      <c r="G133" s="74"/>
      <c r="H133" s="74"/>
      <c r="I133" s="74"/>
      <c r="L133" s="72">
        <v>1.6</v>
      </c>
      <c r="N133" s="76"/>
      <c r="P133" s="74"/>
      <c r="Q133" s="74"/>
      <c r="R133" s="74"/>
      <c r="S133" s="74"/>
    </row>
    <row r="134" spans="1:19" ht="12">
      <c r="A134" s="71">
        <v>19329</v>
      </c>
      <c r="B134" s="72">
        <v>6.3</v>
      </c>
      <c r="C134" s="72">
        <v>10.5</v>
      </c>
      <c r="D134" s="76"/>
      <c r="F134" s="74"/>
      <c r="G134" s="74"/>
      <c r="H134" s="74"/>
      <c r="I134" s="74"/>
      <c r="L134" s="72">
        <v>1.6</v>
      </c>
      <c r="N134" s="76"/>
      <c r="P134" s="74"/>
      <c r="Q134" s="74"/>
      <c r="R134" s="74"/>
      <c r="S134" s="74"/>
    </row>
    <row r="135" spans="1:19" ht="12">
      <c r="A135" s="71">
        <v>19419</v>
      </c>
      <c r="B135" s="72">
        <v>6.3</v>
      </c>
      <c r="C135" s="72">
        <v>6.8</v>
      </c>
      <c r="D135" s="76"/>
      <c r="F135" s="74"/>
      <c r="G135" s="74"/>
      <c r="H135" s="74"/>
      <c r="I135" s="74"/>
      <c r="L135" s="72">
        <v>0</v>
      </c>
      <c r="N135" s="76"/>
      <c r="P135" s="74"/>
      <c r="Q135" s="74"/>
      <c r="R135" s="74"/>
      <c r="S135" s="74"/>
    </row>
    <row r="136" spans="1:19" ht="12">
      <c r="A136" s="71">
        <v>19511</v>
      </c>
      <c r="B136" s="72">
        <v>6.4</v>
      </c>
      <c r="C136" s="72">
        <v>4.9000000000000004</v>
      </c>
      <c r="D136" s="76"/>
      <c r="F136" s="74"/>
      <c r="G136" s="74"/>
      <c r="H136" s="74"/>
      <c r="I136" s="74"/>
      <c r="L136" s="72">
        <v>1.6</v>
      </c>
      <c r="N136" s="76"/>
      <c r="P136" s="74"/>
      <c r="Q136" s="74"/>
      <c r="R136" s="74"/>
      <c r="S136" s="74"/>
    </row>
    <row r="137" spans="1:19" ht="12">
      <c r="A137" s="71">
        <v>19603</v>
      </c>
      <c r="B137" s="72">
        <v>6.5</v>
      </c>
      <c r="C137" s="72">
        <v>4.8</v>
      </c>
      <c r="D137" s="76"/>
      <c r="F137" s="74"/>
      <c r="G137" s="74"/>
      <c r="H137" s="74"/>
      <c r="I137" s="74"/>
      <c r="L137" s="72">
        <v>1.6</v>
      </c>
      <c r="N137" s="76"/>
      <c r="P137" s="74"/>
      <c r="Q137" s="74"/>
      <c r="R137" s="74"/>
      <c r="S137" s="74"/>
    </row>
    <row r="138" spans="1:19" ht="12">
      <c r="A138" s="71">
        <v>19694</v>
      </c>
      <c r="B138" s="72">
        <v>6.4</v>
      </c>
      <c r="C138" s="72">
        <v>1.6</v>
      </c>
      <c r="D138" s="76"/>
      <c r="F138" s="74"/>
      <c r="G138" s="74"/>
      <c r="H138" s="74"/>
      <c r="I138" s="74"/>
      <c r="L138" s="72">
        <v>-1.5</v>
      </c>
      <c r="N138" s="76"/>
      <c r="P138" s="74"/>
      <c r="Q138" s="74"/>
      <c r="R138" s="74"/>
      <c r="S138" s="74"/>
    </row>
    <row r="139" spans="1:19" ht="12">
      <c r="A139" s="71">
        <v>19784</v>
      </c>
      <c r="B139" s="72">
        <v>6.5</v>
      </c>
      <c r="C139" s="72">
        <v>3.2</v>
      </c>
      <c r="D139" s="76"/>
      <c r="F139" s="74"/>
      <c r="G139" s="74"/>
      <c r="H139" s="74"/>
      <c r="I139" s="74"/>
      <c r="L139" s="72">
        <v>1.6</v>
      </c>
      <c r="N139" s="76"/>
      <c r="P139" s="74"/>
      <c r="Q139" s="74"/>
      <c r="R139" s="74"/>
      <c r="S139" s="74"/>
    </row>
    <row r="140" spans="1:19" ht="12">
      <c r="A140" s="71">
        <v>19876</v>
      </c>
      <c r="B140" s="72">
        <v>6.5</v>
      </c>
      <c r="C140" s="72">
        <v>1.6</v>
      </c>
      <c r="D140" s="76"/>
      <c r="F140" s="74"/>
      <c r="G140" s="74"/>
      <c r="H140" s="74"/>
      <c r="I140" s="74"/>
      <c r="L140" s="72">
        <v>0</v>
      </c>
      <c r="N140" s="76"/>
      <c r="P140" s="74"/>
      <c r="Q140" s="74"/>
      <c r="R140" s="74"/>
      <c r="S140" s="74"/>
    </row>
    <row r="141" spans="1:19" ht="12">
      <c r="A141" s="71">
        <v>19968</v>
      </c>
      <c r="B141" s="72">
        <v>6.5</v>
      </c>
      <c r="C141" s="72">
        <v>0</v>
      </c>
      <c r="D141" s="76"/>
      <c r="F141" s="74"/>
      <c r="G141" s="74"/>
      <c r="H141" s="74"/>
      <c r="I141" s="74"/>
      <c r="L141" s="72">
        <v>0</v>
      </c>
      <c r="N141" s="76"/>
      <c r="P141" s="74"/>
      <c r="Q141" s="74"/>
      <c r="R141" s="74"/>
      <c r="S141" s="74"/>
    </row>
    <row r="142" spans="1:19" ht="12">
      <c r="A142" s="71">
        <v>20059</v>
      </c>
      <c r="B142" s="72">
        <v>6.5</v>
      </c>
      <c r="C142" s="72">
        <v>1.6</v>
      </c>
      <c r="D142" s="76"/>
      <c r="F142" s="74"/>
      <c r="G142" s="74"/>
      <c r="H142" s="74"/>
      <c r="I142" s="74"/>
      <c r="L142" s="72">
        <v>0</v>
      </c>
      <c r="N142" s="76"/>
      <c r="P142" s="74"/>
      <c r="Q142" s="74"/>
      <c r="R142" s="74"/>
      <c r="S142" s="74"/>
    </row>
    <row r="143" spans="1:19" ht="12">
      <c r="A143" s="71">
        <v>20149</v>
      </c>
      <c r="B143" s="72">
        <v>6.5</v>
      </c>
      <c r="C143" s="72">
        <v>0</v>
      </c>
      <c r="D143" s="76"/>
      <c r="F143" s="74"/>
      <c r="G143" s="74"/>
      <c r="H143" s="74"/>
      <c r="I143" s="74"/>
      <c r="L143" s="72">
        <v>0</v>
      </c>
      <c r="N143" s="76"/>
      <c r="P143" s="74"/>
      <c r="Q143" s="74"/>
      <c r="R143" s="74"/>
      <c r="S143" s="74"/>
    </row>
    <row r="144" spans="1:19" ht="12">
      <c r="A144" s="71">
        <v>20241</v>
      </c>
      <c r="B144" s="72">
        <v>6.6</v>
      </c>
      <c r="C144" s="72">
        <v>1.5</v>
      </c>
      <c r="D144" s="76"/>
      <c r="F144" s="74"/>
      <c r="G144" s="74"/>
      <c r="H144" s="74"/>
      <c r="I144" s="74"/>
      <c r="L144" s="72">
        <v>1.5</v>
      </c>
      <c r="N144" s="76"/>
      <c r="P144" s="74"/>
      <c r="Q144" s="74"/>
      <c r="R144" s="74"/>
      <c r="S144" s="74"/>
    </row>
    <row r="145" spans="1:19" ht="12">
      <c r="A145" s="71">
        <v>20333</v>
      </c>
      <c r="B145" s="72">
        <v>6.6</v>
      </c>
      <c r="C145" s="72">
        <v>1.5</v>
      </c>
      <c r="D145" s="76"/>
      <c r="F145" s="74"/>
      <c r="G145" s="74"/>
      <c r="H145" s="74"/>
      <c r="I145" s="74"/>
      <c r="L145" s="72">
        <v>0</v>
      </c>
      <c r="N145" s="76"/>
      <c r="P145" s="74"/>
      <c r="Q145" s="74"/>
      <c r="R145" s="74"/>
      <c r="S145" s="74"/>
    </row>
    <row r="146" spans="1:19" ht="12">
      <c r="A146" s="71">
        <v>20424</v>
      </c>
      <c r="B146" s="72">
        <v>6.7</v>
      </c>
      <c r="C146" s="72">
        <v>3.1</v>
      </c>
      <c r="D146" s="76"/>
      <c r="F146" s="74"/>
      <c r="G146" s="74"/>
      <c r="H146" s="74"/>
      <c r="I146" s="74"/>
      <c r="L146" s="72">
        <v>1.5</v>
      </c>
      <c r="N146" s="76"/>
      <c r="P146" s="74"/>
      <c r="Q146" s="74"/>
      <c r="R146" s="74"/>
      <c r="S146" s="74"/>
    </row>
    <row r="147" spans="1:19" ht="12">
      <c r="A147" s="71">
        <v>20515</v>
      </c>
      <c r="B147" s="72">
        <v>6.7</v>
      </c>
      <c r="C147" s="72">
        <v>3.1</v>
      </c>
      <c r="D147" s="76"/>
      <c r="F147" s="74"/>
      <c r="G147" s="74"/>
      <c r="H147" s="74"/>
      <c r="I147" s="74"/>
      <c r="L147" s="72">
        <v>0</v>
      </c>
      <c r="N147" s="76"/>
      <c r="P147" s="74"/>
      <c r="Q147" s="74"/>
      <c r="R147" s="74"/>
      <c r="S147" s="74"/>
    </row>
    <row r="148" spans="1:19" ht="12">
      <c r="A148" s="71">
        <v>20607</v>
      </c>
      <c r="B148" s="72">
        <v>7</v>
      </c>
      <c r="C148" s="72">
        <v>6.1</v>
      </c>
      <c r="D148" s="76"/>
      <c r="F148" s="74"/>
      <c r="G148" s="74"/>
      <c r="H148" s="74"/>
      <c r="I148" s="74"/>
      <c r="L148" s="72">
        <v>4.5</v>
      </c>
      <c r="N148" s="76"/>
      <c r="P148" s="74"/>
      <c r="Q148" s="74"/>
      <c r="R148" s="74"/>
      <c r="S148" s="74"/>
    </row>
    <row r="149" spans="1:19" ht="12">
      <c r="A149" s="71">
        <v>20699</v>
      </c>
      <c r="B149" s="72">
        <v>7.1</v>
      </c>
      <c r="C149" s="72">
        <v>7.6</v>
      </c>
      <c r="D149" s="76"/>
      <c r="F149" s="74"/>
      <c r="G149" s="74"/>
      <c r="H149" s="74"/>
      <c r="I149" s="74"/>
      <c r="L149" s="72">
        <v>1.4</v>
      </c>
      <c r="N149" s="76"/>
      <c r="P149" s="74"/>
      <c r="Q149" s="74"/>
      <c r="R149" s="74"/>
      <c r="S149" s="74"/>
    </row>
    <row r="150" spans="1:19" ht="12">
      <c r="A150" s="71">
        <v>20790</v>
      </c>
      <c r="B150" s="72">
        <v>7.1</v>
      </c>
      <c r="C150" s="72">
        <v>6</v>
      </c>
      <c r="D150" s="76"/>
      <c r="F150" s="74"/>
      <c r="G150" s="74"/>
      <c r="H150" s="74"/>
      <c r="I150" s="74"/>
      <c r="L150" s="72">
        <v>0</v>
      </c>
      <c r="N150" s="76"/>
      <c r="P150" s="74"/>
      <c r="Q150" s="74"/>
      <c r="R150" s="74"/>
      <c r="S150" s="74"/>
    </row>
    <row r="151" spans="1:19" ht="12">
      <c r="A151" s="71">
        <v>20880</v>
      </c>
      <c r="B151" s="72">
        <v>7.1</v>
      </c>
      <c r="C151" s="72">
        <v>6</v>
      </c>
      <c r="D151" s="76"/>
      <c r="F151" s="74"/>
      <c r="G151" s="74"/>
      <c r="H151" s="74"/>
      <c r="I151" s="74"/>
      <c r="L151" s="72">
        <v>0</v>
      </c>
      <c r="N151" s="76"/>
      <c r="P151" s="74"/>
      <c r="Q151" s="74"/>
      <c r="R151" s="74"/>
      <c r="S151" s="74"/>
    </row>
    <row r="152" spans="1:19" ht="12">
      <c r="A152" s="71">
        <v>20972</v>
      </c>
      <c r="B152" s="72">
        <v>7.2</v>
      </c>
      <c r="C152" s="72">
        <v>2.9</v>
      </c>
      <c r="D152" s="76"/>
      <c r="F152" s="74"/>
      <c r="G152" s="74"/>
      <c r="H152" s="74"/>
      <c r="I152" s="74"/>
      <c r="L152" s="72">
        <v>1.4</v>
      </c>
      <c r="N152" s="76"/>
      <c r="P152" s="74"/>
      <c r="Q152" s="74"/>
      <c r="R152" s="74"/>
      <c r="S152" s="74"/>
    </row>
    <row r="153" spans="1:19" ht="12">
      <c r="A153" s="71">
        <v>21064</v>
      </c>
      <c r="B153" s="72">
        <v>7.2</v>
      </c>
      <c r="C153" s="72">
        <v>1.4</v>
      </c>
      <c r="D153" s="76"/>
      <c r="F153" s="74"/>
      <c r="G153" s="74"/>
      <c r="H153" s="74"/>
      <c r="I153" s="74"/>
      <c r="L153" s="72">
        <v>0</v>
      </c>
      <c r="N153" s="76"/>
      <c r="P153" s="74"/>
      <c r="Q153" s="74"/>
      <c r="R153" s="74"/>
      <c r="S153" s="74"/>
    </row>
    <row r="154" spans="1:19" ht="12">
      <c r="A154" s="71">
        <v>21155</v>
      </c>
      <c r="B154" s="72">
        <v>7.2</v>
      </c>
      <c r="C154" s="72">
        <v>1.4</v>
      </c>
      <c r="D154" s="76"/>
      <c r="F154" s="74"/>
      <c r="G154" s="74"/>
      <c r="H154" s="74"/>
      <c r="I154" s="74"/>
      <c r="L154" s="72">
        <v>0</v>
      </c>
      <c r="N154" s="76"/>
      <c r="P154" s="74"/>
      <c r="Q154" s="74"/>
      <c r="R154" s="74"/>
      <c r="S154" s="74"/>
    </row>
    <row r="155" spans="1:19" ht="12">
      <c r="A155" s="71">
        <v>21245</v>
      </c>
      <c r="B155" s="72">
        <v>7.2</v>
      </c>
      <c r="C155" s="72">
        <v>1.4</v>
      </c>
      <c r="D155" s="76"/>
      <c r="F155" s="74"/>
      <c r="G155" s="74"/>
      <c r="H155" s="74"/>
      <c r="I155" s="74"/>
      <c r="L155" s="72">
        <v>0</v>
      </c>
      <c r="N155" s="76"/>
      <c r="P155" s="74"/>
      <c r="Q155" s="74"/>
      <c r="R155" s="74"/>
      <c r="S155" s="74"/>
    </row>
    <row r="156" spans="1:19" ht="12">
      <c r="A156" s="71">
        <v>21337</v>
      </c>
      <c r="B156" s="72">
        <v>7.2</v>
      </c>
      <c r="C156" s="72">
        <v>0</v>
      </c>
      <c r="D156" s="76"/>
      <c r="F156" s="74"/>
      <c r="G156" s="74"/>
      <c r="H156" s="74"/>
      <c r="I156" s="74"/>
      <c r="L156" s="72">
        <v>0</v>
      </c>
      <c r="N156" s="76"/>
      <c r="P156" s="74"/>
      <c r="Q156" s="74"/>
      <c r="R156" s="74"/>
      <c r="S156" s="74"/>
    </row>
    <row r="157" spans="1:19" ht="12">
      <c r="A157" s="71">
        <v>21429</v>
      </c>
      <c r="B157" s="72">
        <v>7.2</v>
      </c>
      <c r="C157" s="72">
        <v>0</v>
      </c>
      <c r="D157" s="76"/>
      <c r="F157" s="74"/>
      <c r="G157" s="74"/>
      <c r="H157" s="74"/>
      <c r="I157" s="74"/>
      <c r="L157" s="72">
        <v>0</v>
      </c>
      <c r="N157" s="76"/>
      <c r="P157" s="74"/>
      <c r="Q157" s="74"/>
      <c r="R157" s="74"/>
      <c r="S157" s="74"/>
    </row>
    <row r="158" spans="1:19" ht="12">
      <c r="A158" s="71">
        <v>21520</v>
      </c>
      <c r="B158" s="72">
        <v>7.3</v>
      </c>
      <c r="C158" s="72">
        <v>1.4</v>
      </c>
      <c r="D158" s="76"/>
      <c r="F158" s="74"/>
      <c r="G158" s="74"/>
      <c r="H158" s="74"/>
      <c r="I158" s="74"/>
      <c r="L158" s="72">
        <v>1.4</v>
      </c>
      <c r="N158" s="76"/>
      <c r="P158" s="74"/>
      <c r="Q158" s="74"/>
      <c r="R158" s="74"/>
      <c r="S158" s="74"/>
    </row>
    <row r="159" spans="1:19" ht="12">
      <c r="A159" s="71">
        <v>21610</v>
      </c>
      <c r="B159" s="72">
        <v>7.3</v>
      </c>
      <c r="C159" s="72">
        <v>1.4</v>
      </c>
      <c r="D159" s="76"/>
      <c r="F159" s="74"/>
      <c r="G159" s="74"/>
      <c r="H159" s="74"/>
      <c r="I159" s="74"/>
      <c r="L159" s="72">
        <v>0</v>
      </c>
      <c r="N159" s="76"/>
      <c r="P159" s="74"/>
      <c r="Q159" s="74"/>
      <c r="R159" s="74"/>
      <c r="S159" s="74"/>
    </row>
    <row r="160" spans="1:19" ht="12">
      <c r="A160" s="71">
        <v>21702</v>
      </c>
      <c r="B160" s="72">
        <v>7.3</v>
      </c>
      <c r="C160" s="72">
        <v>1.4</v>
      </c>
      <c r="D160" s="76"/>
      <c r="F160" s="74"/>
      <c r="G160" s="74"/>
      <c r="H160" s="74"/>
      <c r="I160" s="74"/>
      <c r="L160" s="72">
        <v>0</v>
      </c>
      <c r="N160" s="76"/>
      <c r="P160" s="74"/>
      <c r="Q160" s="74"/>
      <c r="R160" s="74"/>
      <c r="S160" s="74"/>
    </row>
    <row r="161" spans="1:19" ht="12">
      <c r="A161" s="71">
        <v>21794</v>
      </c>
      <c r="B161" s="72">
        <v>7.4</v>
      </c>
      <c r="C161" s="72">
        <v>2.8</v>
      </c>
      <c r="D161" s="76"/>
      <c r="F161" s="74"/>
      <c r="G161" s="74"/>
      <c r="H161" s="74"/>
      <c r="I161" s="74"/>
      <c r="L161" s="72">
        <v>1.4</v>
      </c>
      <c r="N161" s="76"/>
      <c r="P161" s="74"/>
      <c r="Q161" s="74"/>
      <c r="R161" s="74"/>
      <c r="S161" s="74"/>
    </row>
    <row r="162" spans="1:19" ht="12">
      <c r="A162" s="71">
        <v>21885</v>
      </c>
      <c r="B162" s="72">
        <v>7.5</v>
      </c>
      <c r="C162" s="72">
        <v>2.7</v>
      </c>
      <c r="D162" s="76"/>
      <c r="F162" s="74"/>
      <c r="G162" s="74"/>
      <c r="H162" s="74"/>
      <c r="I162" s="74"/>
      <c r="L162" s="72">
        <v>1.4</v>
      </c>
      <c r="N162" s="76"/>
      <c r="P162" s="74"/>
      <c r="Q162" s="74"/>
      <c r="R162" s="74"/>
      <c r="S162" s="74"/>
    </row>
    <row r="163" spans="1:19" ht="12">
      <c r="A163" s="71">
        <v>21976</v>
      </c>
      <c r="B163" s="72">
        <v>7.5</v>
      </c>
      <c r="C163" s="72">
        <v>2.7</v>
      </c>
      <c r="D163" s="76">
        <v>2.7</v>
      </c>
      <c r="F163" s="74"/>
      <c r="G163" s="74"/>
      <c r="H163" s="74"/>
      <c r="I163" s="74"/>
      <c r="L163" s="72">
        <v>0</v>
      </c>
      <c r="N163" s="76"/>
      <c r="P163" s="74"/>
      <c r="Q163" s="74"/>
      <c r="R163" s="74"/>
      <c r="S163" s="74"/>
    </row>
    <row r="164" spans="1:19" ht="12">
      <c r="A164" s="71">
        <v>22068</v>
      </c>
      <c r="B164" s="72">
        <v>7.6</v>
      </c>
      <c r="C164" s="72">
        <v>4.0999999999999996</v>
      </c>
      <c r="D164" s="76">
        <v>4.0999999999999996</v>
      </c>
      <c r="F164" s="74"/>
      <c r="G164" s="74"/>
      <c r="H164" s="74"/>
      <c r="I164" s="74"/>
      <c r="L164" s="72">
        <v>1.3</v>
      </c>
      <c r="N164" s="76"/>
      <c r="P164" s="74"/>
      <c r="Q164" s="74"/>
      <c r="R164" s="74"/>
      <c r="S164" s="74"/>
    </row>
    <row r="165" spans="1:19" ht="12">
      <c r="A165" s="71">
        <v>22160</v>
      </c>
      <c r="B165" s="72">
        <v>7.7</v>
      </c>
      <c r="C165" s="72">
        <v>4.0999999999999996</v>
      </c>
      <c r="D165" s="76">
        <v>4.0999999999999996</v>
      </c>
      <c r="F165" s="74"/>
      <c r="G165" s="74"/>
      <c r="H165" s="74"/>
      <c r="I165" s="74"/>
      <c r="L165" s="72">
        <v>1.3</v>
      </c>
      <c r="N165" s="76"/>
      <c r="P165" s="74"/>
      <c r="Q165" s="74"/>
      <c r="R165" s="74"/>
      <c r="S165" s="74"/>
    </row>
    <row r="166" spans="1:19" ht="12">
      <c r="A166" s="71">
        <v>22251</v>
      </c>
      <c r="B166" s="72">
        <v>7.8</v>
      </c>
      <c r="C166" s="72">
        <v>4</v>
      </c>
      <c r="D166" s="76">
        <v>4</v>
      </c>
      <c r="F166" s="74"/>
      <c r="G166" s="74"/>
      <c r="H166" s="74"/>
      <c r="I166" s="74"/>
      <c r="L166" s="72">
        <v>1.3</v>
      </c>
      <c r="N166" s="76"/>
      <c r="P166" s="74"/>
      <c r="Q166" s="74"/>
      <c r="R166" s="74"/>
      <c r="S166" s="74"/>
    </row>
    <row r="167" spans="1:19" ht="12">
      <c r="A167" s="71">
        <v>22341</v>
      </c>
      <c r="B167" s="72">
        <v>7.8</v>
      </c>
      <c r="C167" s="72">
        <v>4</v>
      </c>
      <c r="D167" s="76">
        <v>4</v>
      </c>
      <c r="F167" s="74"/>
      <c r="G167" s="74"/>
      <c r="H167" s="74"/>
      <c r="I167" s="74"/>
      <c r="L167" s="72">
        <v>0</v>
      </c>
      <c r="N167" s="76"/>
      <c r="P167" s="74"/>
      <c r="Q167" s="74"/>
      <c r="R167" s="74"/>
      <c r="S167" s="74"/>
    </row>
    <row r="168" spans="1:19" ht="12">
      <c r="A168" s="71">
        <v>22433</v>
      </c>
      <c r="B168" s="72">
        <v>7.9</v>
      </c>
      <c r="C168" s="72">
        <v>3.9</v>
      </c>
      <c r="D168" s="76">
        <v>3.9</v>
      </c>
      <c r="F168" s="74"/>
      <c r="G168" s="74"/>
      <c r="H168" s="74"/>
      <c r="I168" s="74"/>
      <c r="L168" s="72">
        <v>1.3</v>
      </c>
      <c r="N168" s="76"/>
      <c r="P168" s="74"/>
      <c r="Q168" s="74"/>
      <c r="R168" s="74"/>
      <c r="S168" s="74"/>
    </row>
    <row r="169" spans="1:19" ht="12">
      <c r="A169" s="71">
        <v>22525</v>
      </c>
      <c r="B169" s="72">
        <v>7.8</v>
      </c>
      <c r="C169" s="72">
        <v>1.3</v>
      </c>
      <c r="D169" s="76">
        <v>1.3</v>
      </c>
      <c r="F169" s="74"/>
      <c r="G169" s="74"/>
      <c r="H169" s="74"/>
      <c r="I169" s="74"/>
      <c r="L169" s="72">
        <v>-1.3</v>
      </c>
      <c r="N169" s="76"/>
      <c r="P169" s="74"/>
      <c r="Q169" s="74"/>
      <c r="R169" s="74"/>
      <c r="S169" s="74"/>
    </row>
    <row r="170" spans="1:19" ht="12">
      <c r="A170" s="71">
        <v>22616</v>
      </c>
      <c r="B170" s="72">
        <v>7.8</v>
      </c>
      <c r="C170" s="72">
        <v>0</v>
      </c>
      <c r="D170" s="76">
        <v>0</v>
      </c>
      <c r="F170" s="74"/>
      <c r="G170" s="74"/>
      <c r="H170" s="74"/>
      <c r="I170" s="74"/>
      <c r="L170" s="72">
        <v>0</v>
      </c>
      <c r="N170" s="76"/>
      <c r="P170" s="74"/>
      <c r="Q170" s="74"/>
      <c r="R170" s="74"/>
      <c r="S170" s="74"/>
    </row>
    <row r="171" spans="1:19" ht="12">
      <c r="A171" s="71">
        <v>22706</v>
      </c>
      <c r="B171" s="72">
        <v>7.8</v>
      </c>
      <c r="C171" s="72">
        <v>0</v>
      </c>
      <c r="D171" s="76">
        <v>0</v>
      </c>
      <c r="F171" s="74"/>
      <c r="G171" s="74"/>
      <c r="H171" s="74"/>
      <c r="I171" s="74"/>
      <c r="L171" s="72">
        <v>0</v>
      </c>
      <c r="N171" s="76"/>
      <c r="P171" s="74"/>
      <c r="Q171" s="74"/>
      <c r="R171" s="74"/>
      <c r="S171" s="74"/>
    </row>
    <row r="172" spans="1:19" ht="12">
      <c r="A172" s="71">
        <v>22798</v>
      </c>
      <c r="B172" s="72">
        <v>7.8</v>
      </c>
      <c r="C172" s="72">
        <v>-1.3</v>
      </c>
      <c r="D172" s="76">
        <v>-1.3</v>
      </c>
      <c r="F172" s="74"/>
      <c r="G172" s="74"/>
      <c r="H172" s="74"/>
      <c r="I172" s="74"/>
      <c r="L172" s="72">
        <v>0</v>
      </c>
      <c r="N172" s="76"/>
      <c r="P172" s="74"/>
      <c r="Q172" s="74"/>
      <c r="R172" s="74"/>
      <c r="S172" s="74"/>
    </row>
    <row r="173" spans="1:19" ht="12">
      <c r="A173" s="71">
        <v>22890</v>
      </c>
      <c r="B173" s="72">
        <v>7.8</v>
      </c>
      <c r="C173" s="72">
        <v>0</v>
      </c>
      <c r="D173" s="76">
        <v>0</v>
      </c>
      <c r="F173" s="74"/>
      <c r="G173" s="74"/>
      <c r="H173" s="74"/>
      <c r="I173" s="74"/>
      <c r="L173" s="72">
        <v>0</v>
      </c>
      <c r="N173" s="76"/>
      <c r="P173" s="74"/>
      <c r="Q173" s="74"/>
      <c r="R173" s="74"/>
      <c r="S173" s="74"/>
    </row>
    <row r="174" spans="1:19" ht="12">
      <c r="A174" s="71">
        <v>22981</v>
      </c>
      <c r="B174" s="72">
        <v>7.8</v>
      </c>
      <c r="C174" s="72">
        <v>0</v>
      </c>
      <c r="D174" s="76">
        <v>0</v>
      </c>
      <c r="F174" s="74"/>
      <c r="G174" s="74"/>
      <c r="H174" s="74"/>
      <c r="I174" s="74"/>
      <c r="L174" s="72">
        <v>0</v>
      </c>
      <c r="N174" s="76"/>
      <c r="P174" s="74"/>
      <c r="Q174" s="74"/>
      <c r="R174" s="74"/>
      <c r="S174" s="74"/>
    </row>
    <row r="175" spans="1:19" ht="12">
      <c r="A175" s="71">
        <v>23071</v>
      </c>
      <c r="B175" s="72">
        <v>7.8</v>
      </c>
      <c r="C175" s="72">
        <v>0</v>
      </c>
      <c r="D175" s="76">
        <v>0</v>
      </c>
      <c r="F175" s="74"/>
      <c r="G175" s="74"/>
      <c r="H175" s="74"/>
      <c r="I175" s="74"/>
      <c r="L175" s="72">
        <v>0</v>
      </c>
      <c r="N175" s="76"/>
      <c r="P175" s="74"/>
      <c r="Q175" s="74"/>
      <c r="R175" s="74"/>
      <c r="S175" s="74"/>
    </row>
    <row r="176" spans="1:19" ht="12">
      <c r="A176" s="71">
        <v>23163</v>
      </c>
      <c r="B176" s="72">
        <v>7.8</v>
      </c>
      <c r="C176" s="72">
        <v>0</v>
      </c>
      <c r="D176" s="76">
        <v>0</v>
      </c>
      <c r="F176" s="74"/>
      <c r="G176" s="74"/>
      <c r="H176" s="74"/>
      <c r="I176" s="74"/>
      <c r="L176" s="72">
        <v>0</v>
      </c>
      <c r="N176" s="76"/>
      <c r="P176" s="74"/>
      <c r="Q176" s="74"/>
      <c r="R176" s="74"/>
      <c r="S176" s="74"/>
    </row>
    <row r="177" spans="1:19" ht="12">
      <c r="A177" s="71">
        <v>23255</v>
      </c>
      <c r="B177" s="72">
        <v>7.9</v>
      </c>
      <c r="C177" s="72">
        <v>1.3</v>
      </c>
      <c r="D177" s="76">
        <v>1.3</v>
      </c>
      <c r="F177" s="74"/>
      <c r="G177" s="74"/>
      <c r="H177" s="74"/>
      <c r="I177" s="74"/>
      <c r="L177" s="72">
        <v>1.3</v>
      </c>
      <c r="N177" s="76"/>
      <c r="P177" s="74"/>
      <c r="Q177" s="74"/>
      <c r="R177" s="74"/>
      <c r="S177" s="74"/>
    </row>
    <row r="178" spans="1:19" ht="12">
      <c r="A178" s="71">
        <v>23346</v>
      </c>
      <c r="B178" s="72">
        <v>7.9</v>
      </c>
      <c r="C178" s="72">
        <v>1.3</v>
      </c>
      <c r="D178" s="76">
        <v>1.3</v>
      </c>
      <c r="F178" s="74"/>
      <c r="G178" s="74"/>
      <c r="H178" s="74"/>
      <c r="I178" s="74"/>
      <c r="L178" s="72">
        <v>0</v>
      </c>
      <c r="N178" s="76"/>
      <c r="P178" s="74"/>
      <c r="Q178" s="74"/>
      <c r="R178" s="74"/>
      <c r="S178" s="74"/>
    </row>
    <row r="179" spans="1:19" ht="12">
      <c r="A179" s="71">
        <v>23437</v>
      </c>
      <c r="B179" s="72">
        <v>8</v>
      </c>
      <c r="C179" s="72">
        <v>2.6</v>
      </c>
      <c r="D179" s="76">
        <v>2.6</v>
      </c>
      <c r="F179" s="74"/>
      <c r="G179" s="74"/>
      <c r="H179" s="74"/>
      <c r="I179" s="74"/>
      <c r="L179" s="72">
        <v>1.3</v>
      </c>
      <c r="N179" s="76"/>
      <c r="P179" s="74"/>
      <c r="Q179" s="74"/>
      <c r="R179" s="74"/>
      <c r="S179" s="74"/>
    </row>
    <row r="180" spans="1:19" ht="12">
      <c r="A180" s="71">
        <v>23529</v>
      </c>
      <c r="B180" s="72">
        <v>8</v>
      </c>
      <c r="C180" s="72">
        <v>2.6</v>
      </c>
      <c r="D180" s="76">
        <v>2.6</v>
      </c>
      <c r="F180" s="74"/>
      <c r="G180" s="74"/>
      <c r="H180" s="74"/>
      <c r="I180" s="74"/>
      <c r="L180" s="72">
        <v>0</v>
      </c>
      <c r="N180" s="76"/>
      <c r="P180" s="74"/>
      <c r="Q180" s="74"/>
      <c r="R180" s="74"/>
      <c r="S180" s="74"/>
    </row>
    <row r="181" spans="1:19" ht="12">
      <c r="A181" s="71">
        <v>23621</v>
      </c>
      <c r="B181" s="72">
        <v>8.1</v>
      </c>
      <c r="C181" s="72">
        <v>2.5</v>
      </c>
      <c r="D181" s="76">
        <v>2.5</v>
      </c>
      <c r="F181" s="74"/>
      <c r="G181" s="74"/>
      <c r="H181" s="74"/>
      <c r="I181" s="74"/>
      <c r="L181" s="72">
        <v>1.3</v>
      </c>
      <c r="N181" s="76"/>
      <c r="P181" s="74"/>
      <c r="Q181" s="74"/>
      <c r="R181" s="74"/>
      <c r="S181" s="74"/>
    </row>
    <row r="182" spans="1:19" ht="12">
      <c r="A182" s="71">
        <v>23712</v>
      </c>
      <c r="B182" s="72">
        <v>8.1999999999999993</v>
      </c>
      <c r="C182" s="72">
        <v>3.8</v>
      </c>
      <c r="D182" s="76">
        <v>3.8</v>
      </c>
      <c r="F182" s="74"/>
      <c r="G182" s="74"/>
      <c r="H182" s="74"/>
      <c r="I182" s="74"/>
      <c r="L182" s="72">
        <v>1.2</v>
      </c>
      <c r="N182" s="76"/>
      <c r="P182" s="74"/>
      <c r="Q182" s="74"/>
      <c r="R182" s="74"/>
      <c r="S182" s="74"/>
    </row>
    <row r="183" spans="1:19" ht="12">
      <c r="A183" s="71">
        <v>23802</v>
      </c>
      <c r="B183" s="72">
        <v>8.1999999999999993</v>
      </c>
      <c r="C183" s="72">
        <v>2.5</v>
      </c>
      <c r="D183" s="76">
        <v>2.5</v>
      </c>
      <c r="F183" s="74"/>
      <c r="G183" s="74"/>
      <c r="H183" s="74"/>
      <c r="I183" s="74"/>
      <c r="L183" s="72">
        <v>0</v>
      </c>
      <c r="N183" s="76"/>
      <c r="P183" s="74"/>
      <c r="Q183" s="74"/>
      <c r="R183" s="74"/>
      <c r="S183" s="74"/>
    </row>
    <row r="184" spans="1:19" ht="12">
      <c r="A184" s="71">
        <v>23894</v>
      </c>
      <c r="B184" s="72">
        <v>8.3000000000000007</v>
      </c>
      <c r="C184" s="72">
        <v>3.8</v>
      </c>
      <c r="D184" s="76">
        <v>3.8</v>
      </c>
      <c r="F184" s="74"/>
      <c r="G184" s="74"/>
      <c r="H184" s="74"/>
      <c r="I184" s="74"/>
      <c r="L184" s="72">
        <v>1.2</v>
      </c>
      <c r="N184" s="76"/>
      <c r="P184" s="74"/>
      <c r="Q184" s="74"/>
      <c r="R184" s="74"/>
      <c r="S184" s="74"/>
    </row>
    <row r="185" spans="1:19" ht="12">
      <c r="A185" s="71">
        <v>23986</v>
      </c>
      <c r="B185" s="72">
        <v>8.4</v>
      </c>
      <c r="C185" s="72">
        <v>3.7</v>
      </c>
      <c r="D185" s="76">
        <v>3.7</v>
      </c>
      <c r="F185" s="74"/>
      <c r="G185" s="74"/>
      <c r="H185" s="74"/>
      <c r="I185" s="74"/>
      <c r="L185" s="72">
        <v>1.2</v>
      </c>
      <c r="N185" s="76"/>
      <c r="P185" s="74"/>
      <c r="Q185" s="74"/>
      <c r="R185" s="74"/>
      <c r="S185" s="74"/>
    </row>
    <row r="186" spans="1:19" ht="12">
      <c r="A186" s="71">
        <v>24077</v>
      </c>
      <c r="B186" s="72">
        <v>8.5</v>
      </c>
      <c r="C186" s="72">
        <v>3.7</v>
      </c>
      <c r="D186" s="76">
        <v>3.7</v>
      </c>
      <c r="F186" s="74"/>
      <c r="G186" s="74"/>
      <c r="H186" s="74"/>
      <c r="I186" s="74"/>
      <c r="L186" s="72">
        <v>1.2</v>
      </c>
      <c r="N186" s="76"/>
      <c r="P186" s="74"/>
      <c r="Q186" s="74"/>
      <c r="R186" s="74"/>
      <c r="S186" s="74"/>
    </row>
    <row r="187" spans="1:19" ht="12">
      <c r="A187" s="71">
        <v>24167</v>
      </c>
      <c r="B187" s="72">
        <v>8.6</v>
      </c>
      <c r="C187" s="72">
        <v>4.9000000000000004</v>
      </c>
      <c r="D187" s="76">
        <v>4.9000000000000004</v>
      </c>
      <c r="F187" s="74"/>
      <c r="G187" s="74"/>
      <c r="H187" s="74"/>
      <c r="I187" s="74"/>
      <c r="L187" s="72">
        <v>1.2</v>
      </c>
      <c r="N187" s="76"/>
      <c r="P187" s="74"/>
      <c r="Q187" s="74"/>
      <c r="R187" s="74"/>
      <c r="S187" s="74"/>
    </row>
    <row r="188" spans="1:19" ht="12">
      <c r="A188" s="71">
        <v>24259</v>
      </c>
      <c r="B188" s="72">
        <v>8.6</v>
      </c>
      <c r="C188" s="72">
        <v>3.6</v>
      </c>
      <c r="D188" s="76">
        <v>3.6</v>
      </c>
      <c r="F188" s="74"/>
      <c r="G188" s="74"/>
      <c r="H188" s="74"/>
      <c r="I188" s="74"/>
      <c r="L188" s="72">
        <v>0</v>
      </c>
      <c r="N188" s="76"/>
      <c r="P188" s="74"/>
      <c r="Q188" s="74"/>
      <c r="R188" s="74"/>
      <c r="S188" s="74"/>
    </row>
    <row r="189" spans="1:19" ht="12">
      <c r="A189" s="71">
        <v>24351</v>
      </c>
      <c r="B189" s="72">
        <v>8.6</v>
      </c>
      <c r="C189" s="72">
        <v>2.4</v>
      </c>
      <c r="D189" s="76">
        <v>2.4</v>
      </c>
      <c r="F189" s="74"/>
      <c r="G189" s="74"/>
      <c r="H189" s="74"/>
      <c r="I189" s="74"/>
      <c r="L189" s="72">
        <v>0</v>
      </c>
      <c r="N189" s="76"/>
      <c r="P189" s="74"/>
      <c r="Q189" s="74"/>
      <c r="R189" s="74"/>
      <c r="S189" s="74"/>
    </row>
    <row r="190" spans="1:19" ht="12">
      <c r="A190" s="71">
        <v>24442</v>
      </c>
      <c r="B190" s="72">
        <v>8.6999999999999993</v>
      </c>
      <c r="C190" s="72">
        <v>2.4</v>
      </c>
      <c r="D190" s="76">
        <v>2.4</v>
      </c>
      <c r="F190" s="74"/>
      <c r="G190" s="74"/>
      <c r="H190" s="74"/>
      <c r="I190" s="74"/>
      <c r="L190" s="72">
        <v>1.2</v>
      </c>
      <c r="N190" s="76"/>
      <c r="P190" s="74"/>
      <c r="Q190" s="74"/>
      <c r="R190" s="74"/>
      <c r="S190" s="74"/>
    </row>
    <row r="191" spans="1:19" ht="12">
      <c r="A191" s="71">
        <v>24532</v>
      </c>
      <c r="B191" s="72">
        <v>8.8000000000000007</v>
      </c>
      <c r="C191" s="72">
        <v>2.2999999999999998</v>
      </c>
      <c r="D191" s="76">
        <v>2.2999999999999998</v>
      </c>
      <c r="F191" s="74"/>
      <c r="G191" s="74"/>
      <c r="H191" s="74"/>
      <c r="I191" s="74"/>
      <c r="L191" s="72">
        <v>1.1000000000000001</v>
      </c>
      <c r="N191" s="76"/>
      <c r="P191" s="74"/>
      <c r="Q191" s="74"/>
      <c r="R191" s="74"/>
      <c r="S191" s="74"/>
    </row>
    <row r="192" spans="1:19" ht="12">
      <c r="A192" s="71">
        <v>24624</v>
      </c>
      <c r="B192" s="72">
        <v>8.9</v>
      </c>
      <c r="C192" s="72">
        <v>3.5</v>
      </c>
      <c r="D192" s="76">
        <v>3.5</v>
      </c>
      <c r="F192" s="74"/>
      <c r="G192" s="74"/>
      <c r="H192" s="74"/>
      <c r="I192" s="74"/>
      <c r="L192" s="72">
        <v>1.1000000000000001</v>
      </c>
      <c r="N192" s="76"/>
      <c r="P192" s="74"/>
      <c r="Q192" s="74"/>
      <c r="R192" s="74"/>
      <c r="S192" s="74"/>
    </row>
    <row r="193" spans="1:19" ht="12">
      <c r="A193" s="71">
        <v>24716</v>
      </c>
      <c r="B193" s="72">
        <v>9</v>
      </c>
      <c r="C193" s="72">
        <v>4.7</v>
      </c>
      <c r="D193" s="76">
        <v>4.7</v>
      </c>
      <c r="F193" s="74"/>
      <c r="G193" s="74"/>
      <c r="H193" s="74"/>
      <c r="I193" s="74"/>
      <c r="L193" s="72">
        <v>1.1000000000000001</v>
      </c>
      <c r="N193" s="76"/>
      <c r="P193" s="74"/>
      <c r="Q193" s="74"/>
      <c r="R193" s="74"/>
      <c r="S193" s="74"/>
    </row>
    <row r="194" spans="1:19" ht="12">
      <c r="A194" s="71">
        <v>24807</v>
      </c>
      <c r="B194" s="72">
        <v>9</v>
      </c>
      <c r="C194" s="72">
        <v>3.4</v>
      </c>
      <c r="D194" s="76">
        <v>3.4</v>
      </c>
      <c r="F194" s="74"/>
      <c r="G194" s="74"/>
      <c r="H194" s="74"/>
      <c r="I194" s="74"/>
      <c r="L194" s="72">
        <v>0</v>
      </c>
      <c r="N194" s="76"/>
      <c r="P194" s="74"/>
      <c r="Q194" s="74"/>
      <c r="R194" s="74"/>
      <c r="S194" s="74"/>
    </row>
    <row r="195" spans="1:19" ht="12">
      <c r="A195" s="71">
        <v>24898</v>
      </c>
      <c r="B195" s="72">
        <v>9.1</v>
      </c>
      <c r="C195" s="72">
        <v>3.4</v>
      </c>
      <c r="D195" s="76">
        <v>3.4</v>
      </c>
      <c r="F195" s="74"/>
      <c r="G195" s="74"/>
      <c r="H195" s="74"/>
      <c r="I195" s="74"/>
      <c r="L195" s="72">
        <v>1.1000000000000001</v>
      </c>
      <c r="N195" s="76"/>
      <c r="P195" s="74"/>
      <c r="Q195" s="74"/>
      <c r="R195" s="74"/>
      <c r="S195" s="74"/>
    </row>
    <row r="196" spans="1:19" ht="12">
      <c r="A196" s="71">
        <v>24990</v>
      </c>
      <c r="B196" s="72">
        <v>9.1</v>
      </c>
      <c r="C196" s="72">
        <v>2.2000000000000002</v>
      </c>
      <c r="D196" s="76">
        <v>2.2000000000000002</v>
      </c>
      <c r="F196" s="74"/>
      <c r="G196" s="74"/>
      <c r="H196" s="74"/>
      <c r="I196" s="74"/>
      <c r="L196" s="72">
        <v>0</v>
      </c>
      <c r="N196" s="76"/>
      <c r="P196" s="74"/>
      <c r="Q196" s="74"/>
      <c r="R196" s="74"/>
      <c r="S196" s="74"/>
    </row>
    <row r="197" spans="1:19" ht="12">
      <c r="A197" s="71">
        <v>25082</v>
      </c>
      <c r="B197" s="72">
        <v>9.1999999999999993</v>
      </c>
      <c r="C197" s="72">
        <v>2.2000000000000002</v>
      </c>
      <c r="D197" s="76">
        <v>2.2000000000000002</v>
      </c>
      <c r="F197" s="74"/>
      <c r="G197" s="74"/>
      <c r="H197" s="74"/>
      <c r="I197" s="74"/>
      <c r="L197" s="72">
        <v>1.1000000000000001</v>
      </c>
      <c r="N197" s="76"/>
      <c r="P197" s="74"/>
      <c r="Q197" s="74"/>
      <c r="R197" s="74"/>
      <c r="S197" s="74"/>
    </row>
    <row r="198" spans="1:19" ht="12">
      <c r="A198" s="71">
        <v>25173</v>
      </c>
      <c r="B198" s="72">
        <v>9.1999999999999993</v>
      </c>
      <c r="C198" s="72">
        <v>2.2000000000000002</v>
      </c>
      <c r="D198" s="76">
        <v>2.2000000000000002</v>
      </c>
      <c r="F198" s="74"/>
      <c r="G198" s="74"/>
      <c r="H198" s="74"/>
      <c r="I198" s="74"/>
      <c r="L198" s="72">
        <v>0</v>
      </c>
      <c r="N198" s="76"/>
      <c r="P198" s="74"/>
      <c r="Q198" s="74"/>
      <c r="R198" s="74"/>
      <c r="S198" s="74"/>
    </row>
    <row r="199" spans="1:19" ht="12">
      <c r="A199" s="71">
        <v>25263</v>
      </c>
      <c r="B199" s="72">
        <v>9.4</v>
      </c>
      <c r="C199" s="72">
        <v>3.3</v>
      </c>
      <c r="D199" s="76">
        <v>3.3</v>
      </c>
      <c r="F199" s="74"/>
      <c r="G199" s="74"/>
      <c r="H199" s="74"/>
      <c r="I199" s="74"/>
      <c r="L199" s="72">
        <v>2.2000000000000002</v>
      </c>
      <c r="N199" s="76"/>
      <c r="P199" s="74"/>
      <c r="Q199" s="74"/>
      <c r="R199" s="74"/>
      <c r="S199" s="74"/>
    </row>
    <row r="200" spans="1:19" ht="12">
      <c r="A200" s="71">
        <v>25355</v>
      </c>
      <c r="B200" s="72">
        <v>9.4</v>
      </c>
      <c r="C200" s="72">
        <v>3.3</v>
      </c>
      <c r="D200" s="76">
        <v>3.3</v>
      </c>
      <c r="F200" s="74"/>
      <c r="G200" s="74"/>
      <c r="H200" s="74"/>
      <c r="I200" s="74"/>
      <c r="L200" s="72">
        <v>0</v>
      </c>
      <c r="N200" s="76"/>
      <c r="P200" s="74"/>
      <c r="Q200" s="74"/>
      <c r="R200" s="74"/>
      <c r="S200" s="74"/>
    </row>
    <row r="201" spans="1:19" ht="12">
      <c r="A201" s="71">
        <v>25447</v>
      </c>
      <c r="B201" s="72">
        <v>9.5</v>
      </c>
      <c r="C201" s="72">
        <v>3.3</v>
      </c>
      <c r="D201" s="76">
        <v>3.3</v>
      </c>
      <c r="F201" s="74"/>
      <c r="G201" s="74"/>
      <c r="H201" s="74"/>
      <c r="I201" s="74"/>
      <c r="L201" s="72">
        <v>1.1000000000000001</v>
      </c>
      <c r="N201" s="76"/>
      <c r="P201" s="74"/>
      <c r="Q201" s="74"/>
      <c r="R201" s="74"/>
      <c r="S201" s="74"/>
    </row>
    <row r="202" spans="1:19">
      <c r="A202" s="71">
        <v>25538</v>
      </c>
      <c r="B202" s="72">
        <v>9.5</v>
      </c>
      <c r="C202" s="72">
        <v>3.3</v>
      </c>
      <c r="D202" s="72">
        <v>3.3</v>
      </c>
      <c r="L202" s="72">
        <v>0</v>
      </c>
    </row>
    <row r="203" spans="1:19">
      <c r="A203" s="71">
        <v>25628</v>
      </c>
      <c r="B203" s="72">
        <v>9.6</v>
      </c>
      <c r="C203" s="72">
        <v>2.1</v>
      </c>
      <c r="D203" s="72">
        <v>2.1</v>
      </c>
      <c r="L203" s="72">
        <v>1.1000000000000001</v>
      </c>
    </row>
    <row r="204" spans="1:19">
      <c r="A204" s="71">
        <v>25720</v>
      </c>
      <c r="B204" s="72">
        <v>9.6999999999999993</v>
      </c>
      <c r="C204" s="72">
        <v>3.2</v>
      </c>
      <c r="D204" s="72">
        <v>3.2</v>
      </c>
      <c r="L204" s="72">
        <v>1</v>
      </c>
    </row>
    <row r="205" spans="1:19">
      <c r="A205" s="71">
        <v>25841</v>
      </c>
      <c r="B205" s="72">
        <v>9.8000000000000007</v>
      </c>
      <c r="C205" s="72">
        <v>3.2</v>
      </c>
      <c r="D205" s="72">
        <v>3.2</v>
      </c>
      <c r="L205" s="72">
        <v>1</v>
      </c>
    </row>
    <row r="206" spans="1:19">
      <c r="A206" s="71">
        <v>25933</v>
      </c>
      <c r="B206" s="72">
        <v>10</v>
      </c>
      <c r="C206" s="72">
        <v>5.3</v>
      </c>
      <c r="D206" s="72">
        <v>5.3</v>
      </c>
      <c r="L206" s="72">
        <v>2</v>
      </c>
    </row>
    <row r="207" spans="1:19">
      <c r="A207" s="71">
        <v>26023</v>
      </c>
      <c r="B207" s="72">
        <v>10.1</v>
      </c>
      <c r="C207" s="72">
        <v>5.2</v>
      </c>
      <c r="D207" s="72">
        <v>5.2</v>
      </c>
      <c r="L207" s="72">
        <v>1</v>
      </c>
    </row>
    <row r="208" spans="1:19">
      <c r="A208" s="71">
        <v>26114</v>
      </c>
      <c r="B208" s="72">
        <v>10.199999999999999</v>
      </c>
      <c r="C208" s="72">
        <v>5.2</v>
      </c>
      <c r="D208" s="72">
        <v>5.2</v>
      </c>
      <c r="L208" s="72">
        <v>1</v>
      </c>
    </row>
    <row r="209" spans="1:12">
      <c r="A209" s="71">
        <v>26206</v>
      </c>
      <c r="B209" s="72">
        <v>10.5</v>
      </c>
      <c r="C209" s="72">
        <v>7.1</v>
      </c>
      <c r="D209" s="72">
        <v>7.1</v>
      </c>
      <c r="L209" s="72">
        <v>2.9</v>
      </c>
    </row>
    <row r="210" spans="1:12">
      <c r="A210" s="71">
        <v>26298</v>
      </c>
      <c r="B210" s="72">
        <v>10.7</v>
      </c>
      <c r="C210" s="72">
        <v>7</v>
      </c>
      <c r="D210" s="72">
        <v>7</v>
      </c>
      <c r="L210" s="72">
        <v>1.9</v>
      </c>
    </row>
    <row r="211" spans="1:12">
      <c r="A211" s="71">
        <v>26389</v>
      </c>
      <c r="B211" s="72">
        <v>10.8</v>
      </c>
      <c r="C211" s="72">
        <v>6.9</v>
      </c>
      <c r="D211" s="72">
        <v>6.9</v>
      </c>
      <c r="L211" s="72">
        <v>0.9</v>
      </c>
    </row>
    <row r="212" spans="1:12">
      <c r="A212" s="71">
        <v>26480</v>
      </c>
      <c r="B212" s="72">
        <v>10.9</v>
      </c>
      <c r="C212" s="72">
        <v>6.9</v>
      </c>
      <c r="D212" s="72">
        <v>6.9</v>
      </c>
      <c r="L212" s="72">
        <v>0.9</v>
      </c>
    </row>
    <row r="213" spans="1:12">
      <c r="A213" s="71">
        <v>26572</v>
      </c>
      <c r="B213" s="72">
        <v>11.1</v>
      </c>
      <c r="C213" s="72">
        <v>5.7</v>
      </c>
      <c r="D213" s="72">
        <v>5.7</v>
      </c>
      <c r="L213" s="72">
        <v>1.8</v>
      </c>
    </row>
    <row r="214" spans="1:12">
      <c r="A214" s="71">
        <v>26664</v>
      </c>
      <c r="B214" s="72">
        <v>11.2</v>
      </c>
      <c r="C214" s="72">
        <v>4.7</v>
      </c>
      <c r="D214" s="72">
        <v>4.7</v>
      </c>
      <c r="L214" s="72">
        <v>0.9</v>
      </c>
    </row>
    <row r="215" spans="1:12">
      <c r="A215" s="71">
        <v>26754</v>
      </c>
      <c r="B215" s="72">
        <v>11.4</v>
      </c>
      <c r="C215" s="72">
        <v>5.6</v>
      </c>
      <c r="D215" s="72">
        <v>5.6</v>
      </c>
      <c r="L215" s="72">
        <v>1.8</v>
      </c>
    </row>
    <row r="216" spans="1:12">
      <c r="A216" s="71">
        <v>26845</v>
      </c>
      <c r="B216" s="72">
        <v>11.8</v>
      </c>
      <c r="C216" s="72">
        <v>8.3000000000000007</v>
      </c>
      <c r="D216" s="72">
        <v>8.3000000000000007</v>
      </c>
      <c r="L216" s="72">
        <v>3.5</v>
      </c>
    </row>
    <row r="217" spans="1:12">
      <c r="A217" s="71">
        <v>26937</v>
      </c>
      <c r="B217" s="72">
        <v>12.2</v>
      </c>
      <c r="C217" s="72">
        <v>9.9</v>
      </c>
      <c r="D217" s="72">
        <v>9.9</v>
      </c>
      <c r="L217" s="72">
        <v>3.4</v>
      </c>
    </row>
    <row r="218" spans="1:12">
      <c r="A218" s="71">
        <v>27029</v>
      </c>
      <c r="B218" s="72">
        <v>12.6</v>
      </c>
      <c r="C218" s="72">
        <v>12.5</v>
      </c>
      <c r="D218" s="72">
        <v>12.5</v>
      </c>
      <c r="L218" s="72">
        <v>3.3</v>
      </c>
    </row>
    <row r="219" spans="1:12">
      <c r="A219" s="71">
        <v>27119</v>
      </c>
      <c r="B219" s="72">
        <v>13</v>
      </c>
      <c r="C219" s="72">
        <v>14</v>
      </c>
      <c r="D219" s="72">
        <v>14</v>
      </c>
      <c r="L219" s="72">
        <v>3.2</v>
      </c>
    </row>
    <row r="220" spans="1:12">
      <c r="A220" s="71">
        <v>27210</v>
      </c>
      <c r="B220" s="72">
        <v>13.5</v>
      </c>
      <c r="C220" s="72">
        <v>14.4</v>
      </c>
      <c r="D220" s="72">
        <v>14.4</v>
      </c>
      <c r="L220" s="72">
        <v>3.8</v>
      </c>
    </row>
    <row r="221" spans="1:12">
      <c r="A221" s="71">
        <v>27302</v>
      </c>
      <c r="B221" s="72">
        <v>14.2</v>
      </c>
      <c r="C221" s="72">
        <v>16.399999999999999</v>
      </c>
      <c r="D221" s="72">
        <v>16.399999999999999</v>
      </c>
      <c r="L221" s="72">
        <v>5.2</v>
      </c>
    </row>
    <row r="222" spans="1:12">
      <c r="A222" s="71">
        <v>27394</v>
      </c>
      <c r="B222" s="72">
        <v>14.7</v>
      </c>
      <c r="C222" s="72">
        <v>16.7</v>
      </c>
      <c r="D222" s="72">
        <v>16.7</v>
      </c>
      <c r="L222" s="72">
        <v>3.5</v>
      </c>
    </row>
    <row r="223" spans="1:12">
      <c r="A223" s="71">
        <v>27484</v>
      </c>
      <c r="B223" s="72">
        <v>15.3</v>
      </c>
      <c r="C223" s="72">
        <v>17.7</v>
      </c>
      <c r="D223" s="72">
        <v>17.7</v>
      </c>
      <c r="L223" s="72">
        <v>4.0999999999999996</v>
      </c>
    </row>
    <row r="224" spans="1:12">
      <c r="A224" s="71">
        <v>27575</v>
      </c>
      <c r="B224" s="72">
        <v>15.8</v>
      </c>
      <c r="C224" s="72">
        <v>17</v>
      </c>
      <c r="D224" s="72">
        <v>17</v>
      </c>
      <c r="L224" s="72">
        <v>3.3</v>
      </c>
    </row>
    <row r="225" spans="1:12">
      <c r="A225" s="71">
        <v>27667</v>
      </c>
      <c r="B225" s="72">
        <v>15.9</v>
      </c>
      <c r="C225" s="72">
        <v>12</v>
      </c>
      <c r="D225" s="72">
        <v>12</v>
      </c>
      <c r="L225" s="72">
        <v>0.6</v>
      </c>
    </row>
    <row r="226" spans="1:12">
      <c r="A226" s="71">
        <v>27759</v>
      </c>
      <c r="B226" s="72">
        <v>16.8</v>
      </c>
      <c r="C226" s="72">
        <v>14.3</v>
      </c>
      <c r="D226" s="72">
        <v>14.3</v>
      </c>
      <c r="L226" s="72">
        <v>5.7</v>
      </c>
    </row>
    <row r="227" spans="1:12">
      <c r="A227" s="71">
        <v>27850</v>
      </c>
      <c r="B227" s="72">
        <v>17.3</v>
      </c>
      <c r="C227" s="72">
        <v>13.1</v>
      </c>
      <c r="D227" s="72">
        <v>13.1</v>
      </c>
      <c r="L227" s="72">
        <v>3</v>
      </c>
    </row>
    <row r="228" spans="1:12">
      <c r="A228" s="71">
        <v>27941</v>
      </c>
      <c r="B228" s="72">
        <v>17.7</v>
      </c>
      <c r="C228" s="72">
        <v>12</v>
      </c>
      <c r="D228" s="72">
        <v>12</v>
      </c>
      <c r="L228" s="72">
        <v>2.2999999999999998</v>
      </c>
    </row>
    <row r="229" spans="1:12">
      <c r="A229" s="71">
        <v>28033</v>
      </c>
      <c r="B229" s="72">
        <v>18.100000000000001</v>
      </c>
      <c r="C229" s="72">
        <v>13.8</v>
      </c>
      <c r="D229" s="72">
        <v>13.8</v>
      </c>
      <c r="L229" s="72">
        <v>2.2999999999999998</v>
      </c>
    </row>
    <row r="230" spans="1:12">
      <c r="A230" s="71">
        <v>28125</v>
      </c>
      <c r="B230" s="72">
        <v>19.2</v>
      </c>
      <c r="C230" s="72">
        <v>14.3</v>
      </c>
      <c r="D230" s="72">
        <v>14.3</v>
      </c>
      <c r="L230" s="72">
        <v>6.1</v>
      </c>
    </row>
    <row r="231" spans="1:12">
      <c r="A231" s="71">
        <v>28215</v>
      </c>
      <c r="B231" s="72">
        <v>19.600000000000001</v>
      </c>
      <c r="C231" s="72">
        <v>13.3</v>
      </c>
      <c r="D231" s="72">
        <v>13.3</v>
      </c>
      <c r="L231" s="72">
        <v>2.1</v>
      </c>
    </row>
    <row r="232" spans="1:12">
      <c r="A232" s="71">
        <v>28306</v>
      </c>
      <c r="B232" s="72">
        <v>20.100000000000001</v>
      </c>
      <c r="C232" s="72">
        <v>13.6</v>
      </c>
      <c r="D232" s="72">
        <v>13.6</v>
      </c>
      <c r="L232" s="72">
        <v>2.6</v>
      </c>
    </row>
    <row r="233" spans="1:12">
      <c r="A233" s="71">
        <v>28398</v>
      </c>
      <c r="B233" s="72">
        <v>20.5</v>
      </c>
      <c r="C233" s="72">
        <v>13.3</v>
      </c>
      <c r="D233" s="72">
        <v>13.3</v>
      </c>
      <c r="L233" s="72">
        <v>2</v>
      </c>
    </row>
    <row r="234" spans="1:12">
      <c r="A234" s="71">
        <v>28490</v>
      </c>
      <c r="B234" s="72">
        <v>21</v>
      </c>
      <c r="C234" s="72">
        <v>9.4</v>
      </c>
      <c r="D234" s="72">
        <v>9.4</v>
      </c>
      <c r="L234" s="72">
        <v>2.4</v>
      </c>
    </row>
    <row r="235" spans="1:12">
      <c r="A235" s="71">
        <v>28580</v>
      </c>
      <c r="B235" s="72">
        <v>21.3</v>
      </c>
      <c r="C235" s="72">
        <v>8.6999999999999993</v>
      </c>
      <c r="D235" s="72">
        <v>8.6999999999999993</v>
      </c>
      <c r="L235" s="72">
        <v>1.4</v>
      </c>
    </row>
    <row r="236" spans="1:12">
      <c r="A236" s="71">
        <v>28671</v>
      </c>
      <c r="B236" s="72">
        <v>21.7</v>
      </c>
      <c r="C236" s="72">
        <v>8</v>
      </c>
      <c r="D236" s="72">
        <v>8</v>
      </c>
      <c r="L236" s="72">
        <v>1.9</v>
      </c>
    </row>
    <row r="237" spans="1:12">
      <c r="A237" s="71">
        <v>28763</v>
      </c>
      <c r="B237" s="72">
        <v>22.1</v>
      </c>
      <c r="C237" s="72">
        <v>7.8</v>
      </c>
      <c r="D237" s="72">
        <v>7.8</v>
      </c>
      <c r="L237" s="72">
        <v>1.8</v>
      </c>
    </row>
    <row r="238" spans="1:12">
      <c r="A238" s="71">
        <v>28855</v>
      </c>
      <c r="B238" s="72">
        <v>22.6</v>
      </c>
      <c r="C238" s="72">
        <v>7.6</v>
      </c>
      <c r="D238" s="72">
        <v>7.6</v>
      </c>
      <c r="L238" s="72">
        <v>2.2999999999999998</v>
      </c>
    </row>
    <row r="239" spans="1:12">
      <c r="A239" s="71">
        <v>28945</v>
      </c>
      <c r="B239" s="72">
        <v>23</v>
      </c>
      <c r="C239" s="72">
        <v>8</v>
      </c>
      <c r="D239" s="72">
        <v>8</v>
      </c>
      <c r="L239" s="72">
        <v>1.8</v>
      </c>
    </row>
    <row r="240" spans="1:12">
      <c r="A240" s="71">
        <v>29036</v>
      </c>
      <c r="B240" s="72">
        <v>23.6</v>
      </c>
      <c r="C240" s="72">
        <v>8.8000000000000007</v>
      </c>
      <c r="D240" s="72">
        <v>8.8000000000000007</v>
      </c>
      <c r="L240" s="72">
        <v>2.6</v>
      </c>
    </row>
    <row r="241" spans="1:21">
      <c r="A241" s="71">
        <v>29128</v>
      </c>
      <c r="B241" s="72">
        <v>24.2</v>
      </c>
      <c r="C241" s="72">
        <v>9.5</v>
      </c>
      <c r="D241" s="72">
        <v>9.5</v>
      </c>
      <c r="L241" s="72">
        <v>2.5</v>
      </c>
    </row>
    <row r="242" spans="1:21">
      <c r="A242" s="71">
        <v>29220</v>
      </c>
      <c r="B242" s="72">
        <v>24.9</v>
      </c>
      <c r="C242" s="72">
        <v>10.199999999999999</v>
      </c>
      <c r="D242" s="72">
        <v>10.199999999999999</v>
      </c>
      <c r="L242" s="72">
        <v>2.9</v>
      </c>
    </row>
    <row r="243" spans="1:21">
      <c r="A243" s="71">
        <v>29311</v>
      </c>
      <c r="B243" s="72">
        <v>25.4</v>
      </c>
      <c r="C243" s="72">
        <v>10.4</v>
      </c>
      <c r="D243" s="72">
        <v>10.4</v>
      </c>
      <c r="L243" s="72">
        <v>2</v>
      </c>
    </row>
    <row r="244" spans="1:21">
      <c r="A244" s="71">
        <v>29402</v>
      </c>
      <c r="B244" s="72">
        <v>26.2</v>
      </c>
      <c r="C244" s="72">
        <v>11</v>
      </c>
      <c r="D244" s="72">
        <v>11</v>
      </c>
      <c r="L244" s="72">
        <v>3.1</v>
      </c>
    </row>
    <row r="245" spans="1:21">
      <c r="A245" s="71">
        <v>29494</v>
      </c>
      <c r="B245" s="72">
        <v>26.6</v>
      </c>
      <c r="C245" s="72">
        <v>9.9</v>
      </c>
      <c r="D245" s="72">
        <v>9.9</v>
      </c>
      <c r="L245" s="72">
        <v>1.5</v>
      </c>
    </row>
    <row r="246" spans="1:21">
      <c r="A246" s="71">
        <v>29586</v>
      </c>
      <c r="B246" s="72">
        <v>27.2</v>
      </c>
      <c r="C246" s="72">
        <v>9.1999999999999993</v>
      </c>
      <c r="D246" s="72">
        <v>9.1999999999999993</v>
      </c>
      <c r="L246" s="72">
        <v>2.2999999999999998</v>
      </c>
    </row>
    <row r="247" spans="1:21">
      <c r="A247" s="71">
        <v>29676</v>
      </c>
      <c r="B247" s="72">
        <v>27.8</v>
      </c>
      <c r="C247" s="72">
        <v>9.4</v>
      </c>
      <c r="D247" s="72">
        <v>9.4</v>
      </c>
      <c r="L247" s="72">
        <v>2.2000000000000002</v>
      </c>
    </row>
    <row r="248" spans="1:21">
      <c r="A248" s="71">
        <v>29767</v>
      </c>
      <c r="B248" s="72">
        <v>28.4</v>
      </c>
      <c r="C248" s="72">
        <v>8.4</v>
      </c>
      <c r="D248" s="72">
        <v>8.4</v>
      </c>
      <c r="L248" s="72">
        <v>2.2000000000000002</v>
      </c>
    </row>
    <row r="249" spans="1:21">
      <c r="A249" s="71">
        <v>29859</v>
      </c>
      <c r="B249" s="72">
        <v>29</v>
      </c>
      <c r="C249" s="72">
        <v>9</v>
      </c>
      <c r="D249" s="72">
        <v>9</v>
      </c>
      <c r="L249" s="72">
        <v>2.1</v>
      </c>
    </row>
    <row r="250" spans="1:21">
      <c r="A250" s="71">
        <v>29951</v>
      </c>
      <c r="B250" s="72">
        <v>30.2</v>
      </c>
      <c r="C250" s="72">
        <v>11</v>
      </c>
      <c r="D250" s="72">
        <v>11</v>
      </c>
      <c r="L250" s="72">
        <v>4.0999999999999996</v>
      </c>
    </row>
    <row r="251" spans="1:21">
      <c r="A251" s="71">
        <v>30041</v>
      </c>
      <c r="B251" s="72">
        <v>30.8</v>
      </c>
      <c r="C251" s="72">
        <v>10.8</v>
      </c>
      <c r="D251" s="72">
        <v>10.8</v>
      </c>
      <c r="L251" s="72">
        <v>2</v>
      </c>
    </row>
    <row r="252" spans="1:21">
      <c r="A252" s="71">
        <v>30132</v>
      </c>
      <c r="B252" s="72">
        <v>31.5</v>
      </c>
      <c r="C252" s="72">
        <v>10.9</v>
      </c>
      <c r="D252" s="72">
        <v>10.9</v>
      </c>
      <c r="L252" s="72">
        <v>2.2999999999999998</v>
      </c>
      <c r="M252" s="72">
        <v>2.5</v>
      </c>
      <c r="N252" s="72">
        <v>2.5</v>
      </c>
      <c r="O252" s="72">
        <v>2.6</v>
      </c>
      <c r="P252" s="72">
        <v>1.6</v>
      </c>
      <c r="Q252" s="72">
        <v>1.7</v>
      </c>
      <c r="R252" s="72">
        <v>3.4</v>
      </c>
      <c r="S252" s="72">
        <v>3.4</v>
      </c>
      <c r="T252" s="72">
        <v>2.2999999999999998</v>
      </c>
      <c r="U252" s="72">
        <v>2.5</v>
      </c>
    </row>
    <row r="253" spans="1:21">
      <c r="A253" s="71">
        <v>30224</v>
      </c>
      <c r="B253" s="72">
        <v>32.6</v>
      </c>
      <c r="C253" s="72">
        <v>12.4</v>
      </c>
      <c r="D253" s="72">
        <v>12.4</v>
      </c>
      <c r="L253" s="72">
        <v>3.5</v>
      </c>
      <c r="M253" s="72">
        <v>3.5</v>
      </c>
      <c r="N253" s="72">
        <v>3.5</v>
      </c>
      <c r="O253" s="72">
        <v>3</v>
      </c>
      <c r="P253" s="72">
        <v>3.3</v>
      </c>
      <c r="Q253" s="72">
        <v>1.9</v>
      </c>
      <c r="R253" s="72">
        <v>3.7</v>
      </c>
      <c r="S253" s="72">
        <v>3.7</v>
      </c>
      <c r="T253" s="72">
        <v>2.8</v>
      </c>
      <c r="U253" s="72">
        <v>3</v>
      </c>
    </row>
    <row r="254" spans="1:21">
      <c r="A254" s="71">
        <v>30316</v>
      </c>
      <c r="B254" s="72">
        <v>33.6</v>
      </c>
      <c r="C254" s="72">
        <v>11.3</v>
      </c>
      <c r="D254" s="72">
        <v>11.3</v>
      </c>
      <c r="L254" s="72">
        <v>3.1</v>
      </c>
      <c r="M254" s="72">
        <v>2.7</v>
      </c>
      <c r="N254" s="72">
        <v>2.7</v>
      </c>
      <c r="O254" s="72">
        <v>3</v>
      </c>
      <c r="P254" s="72">
        <v>2</v>
      </c>
      <c r="Q254" s="72">
        <v>2.2999999999999998</v>
      </c>
      <c r="R254" s="72">
        <v>3.4</v>
      </c>
      <c r="S254" s="72">
        <v>3.4</v>
      </c>
      <c r="T254" s="72">
        <v>2.2999999999999998</v>
      </c>
      <c r="U254" s="72">
        <v>2.6</v>
      </c>
    </row>
    <row r="255" spans="1:21">
      <c r="A255" s="71">
        <v>30406</v>
      </c>
      <c r="B255" s="72">
        <v>34.299999999999997</v>
      </c>
      <c r="C255" s="72">
        <v>11.4</v>
      </c>
      <c r="D255" s="72">
        <v>11.4</v>
      </c>
      <c r="E255" s="72">
        <v>11.2</v>
      </c>
      <c r="F255" s="72">
        <v>9.8000000000000007</v>
      </c>
      <c r="G255" s="72">
        <v>8.4</v>
      </c>
      <c r="H255" s="72">
        <v>13.2</v>
      </c>
      <c r="I255" s="72">
        <v>13.2</v>
      </c>
      <c r="J255" s="72">
        <v>9.6999999999999993</v>
      </c>
      <c r="K255" s="72">
        <v>10.7</v>
      </c>
      <c r="L255" s="72">
        <v>2.1</v>
      </c>
      <c r="M255" s="72">
        <v>2.4</v>
      </c>
      <c r="N255" s="72">
        <v>2.4</v>
      </c>
      <c r="O255" s="72">
        <v>2.2000000000000002</v>
      </c>
      <c r="P255" s="72">
        <v>2.5</v>
      </c>
      <c r="Q255" s="72">
        <v>2.2000000000000002</v>
      </c>
      <c r="R255" s="72">
        <v>2.2000000000000002</v>
      </c>
      <c r="S255" s="72">
        <v>2.2000000000000002</v>
      </c>
      <c r="T255" s="72">
        <v>2</v>
      </c>
      <c r="U255" s="72">
        <v>2.2000000000000002</v>
      </c>
    </row>
    <row r="256" spans="1:21">
      <c r="A256" s="71">
        <v>30497</v>
      </c>
      <c r="B256" s="72">
        <v>35</v>
      </c>
      <c r="C256" s="72">
        <v>11.1</v>
      </c>
      <c r="D256" s="72">
        <v>11.1</v>
      </c>
      <c r="E256" s="72">
        <v>10.8</v>
      </c>
      <c r="F256" s="72">
        <v>11.1</v>
      </c>
      <c r="G256" s="72">
        <v>9.8000000000000007</v>
      </c>
      <c r="H256" s="72">
        <v>11.3</v>
      </c>
      <c r="I256" s="72">
        <v>11.3</v>
      </c>
      <c r="J256" s="72">
        <v>9.1</v>
      </c>
      <c r="K256" s="72">
        <v>10</v>
      </c>
      <c r="L256" s="72">
        <v>2</v>
      </c>
      <c r="M256" s="72">
        <v>2.2000000000000002</v>
      </c>
      <c r="N256" s="72">
        <v>2.2000000000000002</v>
      </c>
      <c r="O256" s="72">
        <v>2.2000000000000002</v>
      </c>
      <c r="P256" s="72">
        <v>2.9</v>
      </c>
      <c r="Q256" s="72">
        <v>3</v>
      </c>
      <c r="R256" s="72">
        <v>1.6</v>
      </c>
      <c r="S256" s="72">
        <v>1.6</v>
      </c>
      <c r="T256" s="72">
        <v>1.7</v>
      </c>
      <c r="U256" s="72">
        <v>1.8</v>
      </c>
    </row>
    <row r="257" spans="1:21">
      <c r="A257" s="71">
        <v>30589</v>
      </c>
      <c r="B257" s="72">
        <v>35.6</v>
      </c>
      <c r="C257" s="72">
        <v>9.1999999999999993</v>
      </c>
      <c r="D257" s="72">
        <v>9.1999999999999993</v>
      </c>
      <c r="E257" s="72">
        <v>9.1</v>
      </c>
      <c r="F257" s="72">
        <v>9.4</v>
      </c>
      <c r="G257" s="72">
        <v>8.6</v>
      </c>
      <c r="H257" s="72">
        <v>9.1</v>
      </c>
      <c r="I257" s="72">
        <v>9.1</v>
      </c>
      <c r="J257" s="72">
        <v>7.7</v>
      </c>
      <c r="K257" s="72">
        <v>8.5</v>
      </c>
      <c r="L257" s="72">
        <v>1.7</v>
      </c>
      <c r="M257" s="72">
        <v>1.6</v>
      </c>
      <c r="N257" s="72">
        <v>1.6</v>
      </c>
      <c r="O257" s="72">
        <v>1.4</v>
      </c>
      <c r="P257" s="72">
        <v>1.5</v>
      </c>
      <c r="Q257" s="72">
        <v>0.8</v>
      </c>
      <c r="R257" s="72">
        <v>1.7</v>
      </c>
      <c r="S257" s="72">
        <v>1.7</v>
      </c>
      <c r="T257" s="72">
        <v>1.5</v>
      </c>
      <c r="U257" s="72">
        <v>1.5</v>
      </c>
    </row>
    <row r="258" spans="1:21">
      <c r="A258" s="71">
        <v>30681</v>
      </c>
      <c r="B258" s="72">
        <v>36.5</v>
      </c>
      <c r="C258" s="72">
        <v>8.6</v>
      </c>
      <c r="D258" s="72">
        <v>8.6</v>
      </c>
      <c r="E258" s="72">
        <v>8.1999999999999993</v>
      </c>
      <c r="F258" s="72">
        <v>9.1</v>
      </c>
      <c r="G258" s="72">
        <v>7.2</v>
      </c>
      <c r="H258" s="72">
        <v>8.1999999999999993</v>
      </c>
      <c r="I258" s="72">
        <v>8.1999999999999993</v>
      </c>
      <c r="J258" s="72">
        <v>7.3</v>
      </c>
      <c r="K258" s="72">
        <v>7.9</v>
      </c>
      <c r="L258" s="72">
        <v>2.5</v>
      </c>
      <c r="M258" s="72">
        <v>2.2000000000000002</v>
      </c>
      <c r="N258" s="72">
        <v>2.2000000000000002</v>
      </c>
      <c r="O258" s="72">
        <v>2.1</v>
      </c>
      <c r="P258" s="72">
        <v>1.8</v>
      </c>
      <c r="Q258" s="72">
        <v>1.1000000000000001</v>
      </c>
      <c r="R258" s="72">
        <v>2.6</v>
      </c>
      <c r="S258" s="72">
        <v>2.6</v>
      </c>
      <c r="T258" s="72">
        <v>1.9</v>
      </c>
      <c r="U258" s="72">
        <v>2.1</v>
      </c>
    </row>
    <row r="259" spans="1:21">
      <c r="A259" s="71">
        <v>30772</v>
      </c>
      <c r="B259" s="72">
        <v>36.299999999999997</v>
      </c>
      <c r="C259" s="72">
        <v>5.8</v>
      </c>
      <c r="D259" s="72">
        <v>5.8</v>
      </c>
      <c r="E259" s="72">
        <v>5.5</v>
      </c>
      <c r="F259" s="72">
        <v>7.7</v>
      </c>
      <c r="G259" s="72">
        <v>6.2</v>
      </c>
      <c r="H259" s="72">
        <v>4.0999999999999996</v>
      </c>
      <c r="I259" s="72">
        <v>4.0999999999999996</v>
      </c>
      <c r="J259" s="72">
        <v>6.7</v>
      </c>
      <c r="K259" s="72">
        <v>7</v>
      </c>
      <c r="L259" s="72">
        <v>-0.5</v>
      </c>
      <c r="M259" s="72">
        <v>-0.2</v>
      </c>
      <c r="N259" s="72">
        <v>-0.2</v>
      </c>
      <c r="O259" s="72">
        <v>-0.3</v>
      </c>
      <c r="P259" s="72">
        <v>1.3</v>
      </c>
      <c r="Q259" s="72">
        <v>1.3</v>
      </c>
      <c r="R259" s="72">
        <v>-1.7</v>
      </c>
      <c r="S259" s="72">
        <v>-1.7</v>
      </c>
      <c r="T259" s="72">
        <v>1.5</v>
      </c>
      <c r="U259" s="72">
        <v>1.3</v>
      </c>
    </row>
    <row r="260" spans="1:21">
      <c r="A260" s="71">
        <v>30863</v>
      </c>
      <c r="B260" s="72">
        <v>36.4</v>
      </c>
      <c r="C260" s="72">
        <v>4</v>
      </c>
      <c r="D260" s="72">
        <v>4</v>
      </c>
      <c r="E260" s="72">
        <v>3.6</v>
      </c>
      <c r="F260" s="72">
        <v>5.5</v>
      </c>
      <c r="G260" s="72">
        <v>4.0999999999999996</v>
      </c>
      <c r="H260" s="72">
        <v>2.2999999999999998</v>
      </c>
      <c r="I260" s="72">
        <v>2.2999999999999998</v>
      </c>
      <c r="J260" s="72">
        <v>6.6</v>
      </c>
      <c r="K260" s="72">
        <v>6.6</v>
      </c>
      <c r="L260" s="72">
        <v>0.3</v>
      </c>
      <c r="M260" s="72">
        <v>0.3</v>
      </c>
      <c r="N260" s="72">
        <v>0.3</v>
      </c>
      <c r="O260" s="72">
        <v>0.4</v>
      </c>
      <c r="P260" s="72">
        <v>0.8</v>
      </c>
      <c r="Q260" s="72">
        <v>1</v>
      </c>
      <c r="R260" s="72">
        <v>-0.3</v>
      </c>
      <c r="S260" s="72">
        <v>-0.3</v>
      </c>
      <c r="T260" s="72">
        <v>1.6</v>
      </c>
      <c r="U260" s="72">
        <v>1.5</v>
      </c>
    </row>
    <row r="261" spans="1:21">
      <c r="A261" s="71">
        <v>30955</v>
      </c>
      <c r="B261" s="72">
        <v>36.9</v>
      </c>
      <c r="C261" s="72">
        <v>3.7</v>
      </c>
      <c r="D261" s="72">
        <v>3.7</v>
      </c>
      <c r="E261" s="72">
        <v>3.5</v>
      </c>
      <c r="F261" s="72">
        <v>5.3</v>
      </c>
      <c r="G261" s="72">
        <v>4.5999999999999996</v>
      </c>
      <c r="H261" s="72">
        <v>1.8</v>
      </c>
      <c r="I261" s="72">
        <v>1.8</v>
      </c>
      <c r="J261" s="72">
        <v>6.3</v>
      </c>
      <c r="K261" s="72">
        <v>6.2</v>
      </c>
      <c r="L261" s="72">
        <v>1.4</v>
      </c>
      <c r="M261" s="72">
        <v>1.2</v>
      </c>
      <c r="N261" s="72">
        <v>1.2</v>
      </c>
      <c r="O261" s="72">
        <v>1.2</v>
      </c>
      <c r="P261" s="72">
        <v>1.3</v>
      </c>
      <c r="Q261" s="72">
        <v>1.2</v>
      </c>
      <c r="R261" s="72">
        <v>1.2</v>
      </c>
      <c r="S261" s="72">
        <v>1.2</v>
      </c>
      <c r="T261" s="72">
        <v>1.2</v>
      </c>
      <c r="U261" s="72">
        <v>1.2</v>
      </c>
    </row>
    <row r="262" spans="1:21">
      <c r="A262" s="71">
        <v>31047</v>
      </c>
      <c r="B262" s="72">
        <v>37.4</v>
      </c>
      <c r="C262" s="72">
        <v>2.5</v>
      </c>
      <c r="D262" s="72">
        <v>2.5</v>
      </c>
      <c r="E262" s="72">
        <v>2.6</v>
      </c>
      <c r="F262" s="72">
        <v>4.5999999999999996</v>
      </c>
      <c r="G262" s="72">
        <v>4.9000000000000004</v>
      </c>
      <c r="H262" s="72">
        <v>0.5</v>
      </c>
      <c r="I262" s="72">
        <v>0.5</v>
      </c>
      <c r="J262" s="72">
        <v>5.9</v>
      </c>
      <c r="K262" s="72">
        <v>5.4</v>
      </c>
      <c r="L262" s="72">
        <v>1.4</v>
      </c>
      <c r="M262" s="72">
        <v>1.3</v>
      </c>
      <c r="N262" s="72">
        <v>1.3</v>
      </c>
      <c r="O262" s="72">
        <v>1.3</v>
      </c>
      <c r="P262" s="72">
        <v>1.3</v>
      </c>
      <c r="Q262" s="72">
        <v>1.4</v>
      </c>
      <c r="R262" s="72">
        <v>1.3</v>
      </c>
      <c r="S262" s="72">
        <v>1.3</v>
      </c>
      <c r="T262" s="72">
        <v>1.5</v>
      </c>
      <c r="U262" s="72">
        <v>1.3</v>
      </c>
    </row>
    <row r="263" spans="1:21">
      <c r="A263" s="71">
        <v>31137</v>
      </c>
      <c r="B263" s="72">
        <v>37.9</v>
      </c>
      <c r="C263" s="72">
        <v>4.4000000000000004</v>
      </c>
      <c r="D263" s="72">
        <v>4.4000000000000004</v>
      </c>
      <c r="E263" s="72">
        <v>4.5</v>
      </c>
      <c r="F263" s="72">
        <v>4.8</v>
      </c>
      <c r="G263" s="72">
        <v>4.9000000000000004</v>
      </c>
      <c r="H263" s="72">
        <v>4</v>
      </c>
      <c r="I263" s="72">
        <v>4</v>
      </c>
      <c r="J263" s="72">
        <v>6.1</v>
      </c>
      <c r="K263" s="72">
        <v>5.7</v>
      </c>
      <c r="L263" s="72">
        <v>1.3</v>
      </c>
      <c r="M263" s="72">
        <v>1.5</v>
      </c>
      <c r="N263" s="72">
        <v>1.5</v>
      </c>
      <c r="O263" s="72">
        <v>1.6</v>
      </c>
      <c r="P263" s="72">
        <v>1.3</v>
      </c>
      <c r="Q263" s="72">
        <v>1.3</v>
      </c>
      <c r="R263" s="72">
        <v>1.7</v>
      </c>
      <c r="S263" s="72">
        <v>1.7</v>
      </c>
      <c r="T263" s="72">
        <v>1.7</v>
      </c>
      <c r="U263" s="72">
        <v>1.7</v>
      </c>
    </row>
    <row r="264" spans="1:21">
      <c r="A264" s="71">
        <v>31228</v>
      </c>
      <c r="B264" s="72">
        <v>38.799999999999997</v>
      </c>
      <c r="C264" s="72">
        <v>6.6</v>
      </c>
      <c r="D264" s="72">
        <v>6.6</v>
      </c>
      <c r="E264" s="72">
        <v>6.4</v>
      </c>
      <c r="F264" s="72">
        <v>7.1</v>
      </c>
      <c r="G264" s="72">
        <v>6.5</v>
      </c>
      <c r="H264" s="72">
        <v>6.3</v>
      </c>
      <c r="I264" s="72">
        <v>6.2</v>
      </c>
      <c r="J264" s="72">
        <v>6.5</v>
      </c>
      <c r="K264" s="72">
        <v>6.4</v>
      </c>
      <c r="L264" s="72">
        <v>2.4</v>
      </c>
      <c r="M264" s="72">
        <v>2.5</v>
      </c>
      <c r="N264" s="72">
        <v>2.5</v>
      </c>
      <c r="O264" s="72">
        <v>2.2000000000000002</v>
      </c>
      <c r="P264" s="72">
        <v>3</v>
      </c>
      <c r="Q264" s="72">
        <v>2.4</v>
      </c>
      <c r="R264" s="72">
        <v>1.9</v>
      </c>
      <c r="S264" s="72">
        <v>1.9</v>
      </c>
      <c r="T264" s="72">
        <v>2.1</v>
      </c>
      <c r="U264" s="72">
        <v>2.1</v>
      </c>
    </row>
    <row r="265" spans="1:21">
      <c r="A265" s="71">
        <v>31320</v>
      </c>
      <c r="B265" s="72">
        <v>39.700000000000003</v>
      </c>
      <c r="C265" s="72">
        <v>7.6</v>
      </c>
      <c r="D265" s="72">
        <v>7.6</v>
      </c>
      <c r="E265" s="72">
        <v>7.4</v>
      </c>
      <c r="F265" s="72">
        <v>8</v>
      </c>
      <c r="G265" s="72">
        <v>7.6</v>
      </c>
      <c r="H265" s="72">
        <v>7.1</v>
      </c>
      <c r="I265" s="72">
        <v>7.2</v>
      </c>
      <c r="J265" s="72">
        <v>7.7</v>
      </c>
      <c r="K265" s="72">
        <v>7.4</v>
      </c>
      <c r="L265" s="72">
        <v>2.2999999999999998</v>
      </c>
      <c r="M265" s="72">
        <v>2</v>
      </c>
      <c r="N265" s="72">
        <v>2</v>
      </c>
      <c r="O265" s="72">
        <v>2.1</v>
      </c>
      <c r="P265" s="72">
        <v>2</v>
      </c>
      <c r="Q265" s="72">
        <v>2.1</v>
      </c>
      <c r="R265" s="72">
        <v>2</v>
      </c>
      <c r="S265" s="72">
        <v>2</v>
      </c>
      <c r="T265" s="72">
        <v>2.2000000000000002</v>
      </c>
      <c r="U265" s="72">
        <v>2.1</v>
      </c>
    </row>
    <row r="266" spans="1:21">
      <c r="A266" s="71">
        <v>31412</v>
      </c>
      <c r="B266" s="72">
        <v>40.5</v>
      </c>
      <c r="C266" s="72">
        <v>8.3000000000000007</v>
      </c>
      <c r="D266" s="72">
        <v>8.3000000000000007</v>
      </c>
      <c r="E266" s="72">
        <v>8.3000000000000007</v>
      </c>
      <c r="F266" s="72">
        <v>8.5</v>
      </c>
      <c r="G266" s="72">
        <v>8.6</v>
      </c>
      <c r="H266" s="72">
        <v>8</v>
      </c>
      <c r="I266" s="72">
        <v>8</v>
      </c>
      <c r="J266" s="72">
        <v>8.3000000000000007</v>
      </c>
      <c r="K266" s="72">
        <v>8.1</v>
      </c>
      <c r="L266" s="72">
        <v>2</v>
      </c>
      <c r="M266" s="72">
        <v>2</v>
      </c>
      <c r="N266" s="72">
        <v>2</v>
      </c>
      <c r="O266" s="72">
        <v>2.2999999999999998</v>
      </c>
      <c r="P266" s="72">
        <v>1.9</v>
      </c>
      <c r="Q266" s="72">
        <v>2.4</v>
      </c>
      <c r="R266" s="72">
        <v>2.2000000000000002</v>
      </c>
      <c r="S266" s="72">
        <v>2.2000000000000002</v>
      </c>
      <c r="T266" s="72">
        <v>2</v>
      </c>
      <c r="U266" s="72">
        <v>2</v>
      </c>
    </row>
    <row r="267" spans="1:21">
      <c r="A267" s="71">
        <v>31502</v>
      </c>
      <c r="B267" s="72">
        <v>41.4</v>
      </c>
      <c r="C267" s="72">
        <v>9.1999999999999993</v>
      </c>
      <c r="D267" s="72">
        <v>9.1999999999999993</v>
      </c>
      <c r="E267" s="72">
        <v>9.1</v>
      </c>
      <c r="F267" s="72">
        <v>9.8000000000000007</v>
      </c>
      <c r="G267" s="72">
        <v>9.3000000000000007</v>
      </c>
      <c r="H267" s="72">
        <v>8.6</v>
      </c>
      <c r="I267" s="72">
        <v>8.6999999999999993</v>
      </c>
      <c r="J267" s="72">
        <v>9.1</v>
      </c>
      <c r="K267" s="72">
        <v>8.6999999999999993</v>
      </c>
      <c r="L267" s="72">
        <v>2.2000000000000002</v>
      </c>
      <c r="M267" s="72">
        <v>2.4</v>
      </c>
      <c r="N267" s="72">
        <v>2.4</v>
      </c>
      <c r="O267" s="72">
        <v>2.2000000000000002</v>
      </c>
      <c r="P267" s="72">
        <v>2.4</v>
      </c>
      <c r="Q267" s="72">
        <v>2</v>
      </c>
      <c r="R267" s="72">
        <v>2.2999999999999998</v>
      </c>
      <c r="S267" s="72">
        <v>2.2999999999999998</v>
      </c>
      <c r="T267" s="72">
        <v>2.4</v>
      </c>
      <c r="U267" s="72">
        <v>2.2000000000000002</v>
      </c>
    </row>
    <row r="268" spans="1:21">
      <c r="A268" s="71">
        <v>31593</v>
      </c>
      <c r="B268" s="72">
        <v>42.1</v>
      </c>
      <c r="C268" s="72">
        <v>8.5</v>
      </c>
      <c r="D268" s="72">
        <v>8.5</v>
      </c>
      <c r="E268" s="72">
        <v>9.3000000000000007</v>
      </c>
      <c r="F268" s="72">
        <v>7.9</v>
      </c>
      <c r="G268" s="72">
        <v>9.1999999999999993</v>
      </c>
      <c r="H268" s="72">
        <v>9</v>
      </c>
      <c r="I268" s="72">
        <v>9</v>
      </c>
      <c r="J268" s="72">
        <v>9.1</v>
      </c>
      <c r="K268" s="72">
        <v>8.6</v>
      </c>
      <c r="L268" s="72">
        <v>1.7</v>
      </c>
      <c r="M268" s="72">
        <v>1.8</v>
      </c>
      <c r="N268" s="72">
        <v>1.8</v>
      </c>
      <c r="O268" s="72">
        <v>2.2999999999999998</v>
      </c>
      <c r="P268" s="72">
        <v>1.3</v>
      </c>
      <c r="Q268" s="72">
        <v>2.4</v>
      </c>
      <c r="R268" s="72">
        <v>2.2000000000000002</v>
      </c>
      <c r="S268" s="72">
        <v>2.2000000000000002</v>
      </c>
      <c r="T268" s="72">
        <v>2.1</v>
      </c>
      <c r="U268" s="72">
        <v>2</v>
      </c>
    </row>
    <row r="269" spans="1:21">
      <c r="A269" s="71">
        <v>31685</v>
      </c>
      <c r="B269" s="72">
        <v>43.2</v>
      </c>
      <c r="C269" s="72">
        <v>8.8000000000000007</v>
      </c>
      <c r="D269" s="72">
        <v>8.8000000000000007</v>
      </c>
      <c r="E269" s="72">
        <v>9.3000000000000007</v>
      </c>
      <c r="F269" s="72">
        <v>8.6</v>
      </c>
      <c r="G269" s="72">
        <v>9.3000000000000007</v>
      </c>
      <c r="H269" s="72">
        <v>9.1999999999999993</v>
      </c>
      <c r="I269" s="72">
        <v>9.1999999999999993</v>
      </c>
      <c r="J269" s="72">
        <v>9</v>
      </c>
      <c r="K269" s="72">
        <v>8.8000000000000007</v>
      </c>
      <c r="L269" s="72">
        <v>2.6</v>
      </c>
      <c r="M269" s="72">
        <v>2.5</v>
      </c>
      <c r="N269" s="72">
        <v>2.5</v>
      </c>
      <c r="O269" s="72">
        <v>2.2000000000000002</v>
      </c>
      <c r="P269" s="72">
        <v>2.7</v>
      </c>
      <c r="Q269" s="72">
        <v>2.2000000000000002</v>
      </c>
      <c r="R269" s="72">
        <v>2.2999999999999998</v>
      </c>
      <c r="S269" s="72">
        <v>2.2999999999999998</v>
      </c>
      <c r="T269" s="72">
        <v>2.2000000000000002</v>
      </c>
      <c r="U269" s="72">
        <v>2.2999999999999998</v>
      </c>
    </row>
    <row r="270" spans="1:21">
      <c r="A270" s="71">
        <v>31777</v>
      </c>
      <c r="B270" s="72">
        <v>44.4</v>
      </c>
      <c r="C270" s="72">
        <v>9.6</v>
      </c>
      <c r="D270" s="72">
        <v>9.6</v>
      </c>
      <c r="E270" s="72">
        <v>9.8000000000000007</v>
      </c>
      <c r="F270" s="72">
        <v>10.3</v>
      </c>
      <c r="G270" s="72">
        <v>10.199999999999999</v>
      </c>
      <c r="H270" s="72">
        <v>9.1999999999999993</v>
      </c>
      <c r="I270" s="72">
        <v>9.1999999999999993</v>
      </c>
      <c r="J270" s="72">
        <v>9.4</v>
      </c>
      <c r="K270" s="72">
        <v>9.1999999999999993</v>
      </c>
      <c r="L270" s="72">
        <v>2.8</v>
      </c>
      <c r="M270" s="72">
        <v>2.8</v>
      </c>
      <c r="N270" s="72">
        <v>2.8</v>
      </c>
      <c r="O270" s="72">
        <v>2.6</v>
      </c>
      <c r="P270" s="72">
        <v>3.5</v>
      </c>
      <c r="Q270" s="72">
        <v>3.3</v>
      </c>
      <c r="R270" s="72">
        <v>2.1</v>
      </c>
      <c r="S270" s="72">
        <v>2.1</v>
      </c>
      <c r="T270" s="72">
        <v>2.4</v>
      </c>
      <c r="U270" s="72">
        <v>2.4</v>
      </c>
    </row>
    <row r="271" spans="1:21">
      <c r="A271" s="71">
        <v>31867</v>
      </c>
      <c r="B271" s="72">
        <v>45.3</v>
      </c>
      <c r="C271" s="72">
        <v>9.4</v>
      </c>
      <c r="D271" s="72">
        <v>9.4</v>
      </c>
      <c r="E271" s="72">
        <v>9.5</v>
      </c>
      <c r="F271" s="72">
        <v>9.6</v>
      </c>
      <c r="G271" s="72">
        <v>9.9</v>
      </c>
      <c r="H271" s="72">
        <v>9.1999999999999993</v>
      </c>
      <c r="I271" s="72">
        <v>9.1</v>
      </c>
      <c r="J271" s="72">
        <v>9</v>
      </c>
      <c r="K271" s="72">
        <v>8.9</v>
      </c>
      <c r="L271" s="72">
        <v>2</v>
      </c>
      <c r="M271" s="72">
        <v>2</v>
      </c>
      <c r="N271" s="72">
        <v>1.9</v>
      </c>
      <c r="O271" s="72">
        <v>2</v>
      </c>
      <c r="P271" s="72">
        <v>1.6</v>
      </c>
      <c r="Q271" s="72">
        <v>1.7</v>
      </c>
      <c r="R271" s="72">
        <v>2.2000000000000002</v>
      </c>
      <c r="S271" s="72">
        <v>2.2000000000000002</v>
      </c>
      <c r="T271" s="72">
        <v>2.1</v>
      </c>
      <c r="U271" s="72">
        <v>2</v>
      </c>
    </row>
    <row r="272" spans="1:21">
      <c r="A272" s="71">
        <v>31958</v>
      </c>
      <c r="B272" s="72">
        <v>46</v>
      </c>
      <c r="C272" s="72">
        <v>9.3000000000000007</v>
      </c>
      <c r="D272" s="72">
        <v>9.1</v>
      </c>
      <c r="E272" s="72">
        <v>9.1999999999999993</v>
      </c>
      <c r="F272" s="72">
        <v>9.4</v>
      </c>
      <c r="G272" s="72">
        <v>9.3000000000000007</v>
      </c>
      <c r="H272" s="72">
        <v>9</v>
      </c>
      <c r="I272" s="72">
        <v>9</v>
      </c>
      <c r="J272" s="72">
        <v>8.8000000000000007</v>
      </c>
      <c r="K272" s="72">
        <v>8.9</v>
      </c>
      <c r="L272" s="72">
        <v>1.5</v>
      </c>
      <c r="M272" s="72">
        <v>1.8</v>
      </c>
      <c r="N272" s="72">
        <v>1.7</v>
      </c>
      <c r="O272" s="72">
        <v>2.1</v>
      </c>
      <c r="P272" s="72">
        <v>1.2</v>
      </c>
      <c r="Q272" s="72">
        <v>1.9</v>
      </c>
      <c r="R272" s="72">
        <v>2.2000000000000002</v>
      </c>
      <c r="S272" s="72">
        <v>2.2000000000000002</v>
      </c>
      <c r="T272" s="72">
        <v>2</v>
      </c>
      <c r="U272" s="72">
        <v>1.9</v>
      </c>
    </row>
    <row r="273" spans="1:21">
      <c r="A273" s="71">
        <v>32050</v>
      </c>
      <c r="B273" s="72">
        <v>46.8</v>
      </c>
      <c r="C273" s="72">
        <v>8.3000000000000007</v>
      </c>
      <c r="D273" s="72">
        <v>8.1999999999999993</v>
      </c>
      <c r="E273" s="72">
        <v>8.6999999999999993</v>
      </c>
      <c r="F273" s="72">
        <v>7.5</v>
      </c>
      <c r="G273" s="72">
        <v>8.1999999999999993</v>
      </c>
      <c r="H273" s="72">
        <v>9.1</v>
      </c>
      <c r="I273" s="72">
        <v>9.1</v>
      </c>
      <c r="J273" s="72">
        <v>8.4</v>
      </c>
      <c r="K273" s="72">
        <v>8.1999999999999993</v>
      </c>
      <c r="L273" s="72">
        <v>1.7</v>
      </c>
      <c r="M273" s="72">
        <v>1.5</v>
      </c>
      <c r="N273" s="72">
        <v>1.6</v>
      </c>
      <c r="O273" s="72">
        <v>1.8</v>
      </c>
      <c r="P273" s="72">
        <v>1</v>
      </c>
      <c r="Q273" s="72">
        <v>1.3</v>
      </c>
      <c r="R273" s="72">
        <v>2.4</v>
      </c>
      <c r="S273" s="72">
        <v>2.4</v>
      </c>
      <c r="T273" s="72">
        <v>1.7</v>
      </c>
      <c r="U273" s="72">
        <v>1.7</v>
      </c>
    </row>
    <row r="274" spans="1:21">
      <c r="A274" s="71">
        <v>32142</v>
      </c>
      <c r="B274" s="72">
        <v>47.6</v>
      </c>
      <c r="C274" s="72">
        <v>7.2</v>
      </c>
      <c r="D274" s="72">
        <v>7.1</v>
      </c>
      <c r="E274" s="72">
        <v>7.6</v>
      </c>
      <c r="F274" s="72">
        <v>5.8</v>
      </c>
      <c r="G274" s="72">
        <v>6.5</v>
      </c>
      <c r="H274" s="72">
        <v>8.8000000000000007</v>
      </c>
      <c r="I274" s="72">
        <v>8.6999999999999993</v>
      </c>
      <c r="J274" s="72">
        <v>7.7</v>
      </c>
      <c r="K274" s="72">
        <v>7.5</v>
      </c>
      <c r="L274" s="72">
        <v>1.7</v>
      </c>
      <c r="M274" s="72">
        <v>1.7</v>
      </c>
      <c r="N274" s="72">
        <v>1.8</v>
      </c>
      <c r="O274" s="72">
        <v>1.7</v>
      </c>
      <c r="P274" s="72">
        <v>1.9</v>
      </c>
      <c r="Q274" s="72">
        <v>1.7</v>
      </c>
      <c r="R274" s="72">
        <v>1.7</v>
      </c>
      <c r="S274" s="72">
        <v>1.7</v>
      </c>
      <c r="T274" s="72">
        <v>1.7</v>
      </c>
      <c r="U274" s="72">
        <v>1.7</v>
      </c>
    </row>
    <row r="275" spans="1:21">
      <c r="A275" s="71">
        <v>32233</v>
      </c>
      <c r="B275" s="72">
        <v>48.4</v>
      </c>
      <c r="C275" s="72">
        <v>6.8</v>
      </c>
      <c r="D275" s="72">
        <v>7</v>
      </c>
      <c r="E275" s="72">
        <v>7.4</v>
      </c>
      <c r="F275" s="72">
        <v>6</v>
      </c>
      <c r="G275" s="72">
        <v>6.8</v>
      </c>
      <c r="H275" s="72">
        <v>8.1999999999999993</v>
      </c>
      <c r="I275" s="72">
        <v>8.3000000000000007</v>
      </c>
      <c r="J275" s="72">
        <v>7.4</v>
      </c>
      <c r="K275" s="72">
        <v>7.2</v>
      </c>
      <c r="L275" s="72">
        <v>1.7</v>
      </c>
      <c r="M275" s="72">
        <v>1.7</v>
      </c>
      <c r="N275" s="72">
        <v>1.8</v>
      </c>
      <c r="O275" s="72">
        <v>1.8</v>
      </c>
      <c r="P275" s="72">
        <v>1.8</v>
      </c>
      <c r="Q275" s="72">
        <v>1.9</v>
      </c>
      <c r="R275" s="72">
        <v>1.8</v>
      </c>
      <c r="S275" s="72">
        <v>1.8</v>
      </c>
      <c r="T275" s="72">
        <v>1.9</v>
      </c>
      <c r="U275" s="72">
        <v>1.7</v>
      </c>
    </row>
    <row r="276" spans="1:21">
      <c r="A276" s="71">
        <v>32324</v>
      </c>
      <c r="B276" s="72">
        <v>49.3</v>
      </c>
      <c r="C276" s="72">
        <v>7.2</v>
      </c>
      <c r="D276" s="72">
        <v>7.4</v>
      </c>
      <c r="E276" s="72">
        <v>7.5</v>
      </c>
      <c r="F276" s="72">
        <v>6.8</v>
      </c>
      <c r="G276" s="72">
        <v>7.1</v>
      </c>
      <c r="H276" s="72">
        <v>7.9</v>
      </c>
      <c r="I276" s="72">
        <v>7.9</v>
      </c>
      <c r="J276" s="72">
        <v>7.4</v>
      </c>
      <c r="K276" s="72">
        <v>7.2</v>
      </c>
      <c r="L276" s="72">
        <v>1.9</v>
      </c>
      <c r="M276" s="72">
        <v>1.9</v>
      </c>
      <c r="N276" s="72">
        <v>1.9</v>
      </c>
      <c r="O276" s="72">
        <v>1.9</v>
      </c>
      <c r="P276" s="72">
        <v>1.9</v>
      </c>
      <c r="Q276" s="72">
        <v>2.1</v>
      </c>
      <c r="R276" s="72">
        <v>1.9</v>
      </c>
      <c r="S276" s="72">
        <v>1.9</v>
      </c>
      <c r="T276" s="72">
        <v>1.9</v>
      </c>
      <c r="U276" s="72">
        <v>1.9</v>
      </c>
    </row>
    <row r="277" spans="1:21">
      <c r="A277" s="71">
        <v>32416</v>
      </c>
      <c r="B277" s="72">
        <v>50.2</v>
      </c>
      <c r="C277" s="72">
        <v>7.3</v>
      </c>
      <c r="D277" s="72">
        <v>7.1</v>
      </c>
      <c r="E277" s="72">
        <v>7.4</v>
      </c>
      <c r="F277" s="72">
        <v>7.2</v>
      </c>
      <c r="G277" s="72">
        <v>7.2</v>
      </c>
      <c r="H277" s="72">
        <v>7.4</v>
      </c>
      <c r="I277" s="72">
        <v>7.4</v>
      </c>
      <c r="J277" s="72">
        <v>7.4</v>
      </c>
      <c r="K277" s="72">
        <v>7.2</v>
      </c>
      <c r="L277" s="72">
        <v>1.8</v>
      </c>
      <c r="M277" s="72">
        <v>2</v>
      </c>
      <c r="N277" s="72">
        <v>1.7</v>
      </c>
      <c r="O277" s="72">
        <v>1.7</v>
      </c>
      <c r="P277" s="72">
        <v>1.6</v>
      </c>
      <c r="Q277" s="72">
        <v>1.6</v>
      </c>
      <c r="R277" s="72">
        <v>1.8</v>
      </c>
      <c r="S277" s="72">
        <v>1.8</v>
      </c>
      <c r="T277" s="72">
        <v>1.7</v>
      </c>
      <c r="U277" s="72">
        <v>1.7</v>
      </c>
    </row>
    <row r="278" spans="1:21">
      <c r="A278" s="71">
        <v>32508</v>
      </c>
      <c r="B278" s="72">
        <v>51.2</v>
      </c>
      <c r="C278" s="72">
        <v>7.6</v>
      </c>
      <c r="D278" s="72">
        <v>6.9</v>
      </c>
      <c r="E278" s="72">
        <v>7.3</v>
      </c>
      <c r="F278" s="72">
        <v>6.6</v>
      </c>
      <c r="G278" s="72">
        <v>7.5</v>
      </c>
      <c r="H278" s="72">
        <v>7.2</v>
      </c>
      <c r="I278" s="72">
        <v>7.2</v>
      </c>
      <c r="J278" s="72">
        <v>7.3</v>
      </c>
      <c r="K278" s="72">
        <v>7.1</v>
      </c>
      <c r="L278" s="72">
        <v>2</v>
      </c>
      <c r="M278" s="72">
        <v>1.8</v>
      </c>
      <c r="N278" s="72">
        <v>1.3</v>
      </c>
      <c r="O278" s="72">
        <v>1.6</v>
      </c>
      <c r="P278" s="72">
        <v>1</v>
      </c>
      <c r="Q278" s="72">
        <v>1.6</v>
      </c>
      <c r="R278" s="72">
        <v>1.6</v>
      </c>
      <c r="S278" s="72">
        <v>1.6</v>
      </c>
      <c r="T278" s="72">
        <v>1.7</v>
      </c>
      <c r="U278" s="72">
        <v>1.7</v>
      </c>
    </row>
    <row r="279" spans="1:21">
      <c r="A279" s="71">
        <v>32598</v>
      </c>
      <c r="B279" s="72">
        <v>51.7</v>
      </c>
      <c r="C279" s="72">
        <v>6.8</v>
      </c>
      <c r="D279" s="72">
        <v>6.3</v>
      </c>
      <c r="E279" s="72">
        <v>6.9</v>
      </c>
      <c r="F279" s="72">
        <v>5.6</v>
      </c>
      <c r="G279" s="72">
        <v>6.4</v>
      </c>
      <c r="H279" s="72">
        <v>7.2</v>
      </c>
      <c r="I279" s="72">
        <v>7.1</v>
      </c>
      <c r="J279" s="72">
        <v>6.8</v>
      </c>
      <c r="K279" s="72">
        <v>6.7</v>
      </c>
      <c r="L279" s="72">
        <v>1</v>
      </c>
      <c r="M279" s="72">
        <v>1</v>
      </c>
      <c r="N279" s="72">
        <v>1.3</v>
      </c>
      <c r="O279" s="72">
        <v>1.4</v>
      </c>
      <c r="P279" s="72">
        <v>1</v>
      </c>
      <c r="Q279" s="72">
        <v>1.1000000000000001</v>
      </c>
      <c r="R279" s="72">
        <v>1.7</v>
      </c>
      <c r="S279" s="72">
        <v>1.7</v>
      </c>
      <c r="T279" s="72">
        <v>1.3</v>
      </c>
      <c r="U279" s="72">
        <v>1.3</v>
      </c>
    </row>
    <row r="280" spans="1:21">
      <c r="A280" s="71">
        <v>32689</v>
      </c>
      <c r="B280" s="72">
        <v>53</v>
      </c>
      <c r="C280" s="72">
        <v>7.5</v>
      </c>
      <c r="D280" s="72">
        <v>6.5</v>
      </c>
      <c r="E280" s="72">
        <v>6.4</v>
      </c>
      <c r="F280" s="72">
        <v>6.4</v>
      </c>
      <c r="G280" s="72">
        <v>5.7</v>
      </c>
      <c r="H280" s="72">
        <v>6.7</v>
      </c>
      <c r="I280" s="72">
        <v>6.7</v>
      </c>
      <c r="J280" s="72">
        <v>6.4</v>
      </c>
      <c r="K280" s="72">
        <v>6.4</v>
      </c>
      <c r="L280" s="72">
        <v>2.5</v>
      </c>
      <c r="M280" s="72">
        <v>2.7</v>
      </c>
      <c r="N280" s="72">
        <v>2.2000000000000002</v>
      </c>
      <c r="O280" s="72">
        <v>1.4</v>
      </c>
      <c r="P280" s="72">
        <v>2.7</v>
      </c>
      <c r="Q280" s="72">
        <v>1.3</v>
      </c>
      <c r="R280" s="72">
        <v>1.5</v>
      </c>
      <c r="S280" s="72">
        <v>1.5</v>
      </c>
      <c r="T280" s="72">
        <v>1.6</v>
      </c>
      <c r="U280" s="72">
        <v>1.6</v>
      </c>
    </row>
    <row r="281" spans="1:21">
      <c r="A281" s="71">
        <v>32781</v>
      </c>
      <c r="B281" s="72">
        <v>54.2</v>
      </c>
      <c r="C281" s="72">
        <v>8</v>
      </c>
      <c r="D281" s="72">
        <v>6.6</v>
      </c>
      <c r="E281" s="72">
        <v>6.1</v>
      </c>
      <c r="F281" s="72">
        <v>6.4</v>
      </c>
      <c r="G281" s="72">
        <v>5.2</v>
      </c>
      <c r="H281" s="72">
        <v>6.8</v>
      </c>
      <c r="I281" s="72">
        <v>6.8</v>
      </c>
      <c r="J281" s="72">
        <v>6.3</v>
      </c>
      <c r="K281" s="72">
        <v>6.2</v>
      </c>
      <c r="L281" s="72">
        <v>2.2999999999999998</v>
      </c>
      <c r="M281" s="72">
        <v>2.2999999999999998</v>
      </c>
      <c r="N281" s="72">
        <v>1.8</v>
      </c>
      <c r="O281" s="72">
        <v>1.6</v>
      </c>
      <c r="P281" s="72">
        <v>1.7</v>
      </c>
      <c r="Q281" s="72">
        <v>1.2</v>
      </c>
      <c r="R281" s="72">
        <v>1.9</v>
      </c>
      <c r="S281" s="72">
        <v>1.9</v>
      </c>
      <c r="T281" s="72">
        <v>1.7</v>
      </c>
      <c r="U281" s="72">
        <v>1.5</v>
      </c>
    </row>
    <row r="282" spans="1:21">
      <c r="A282" s="71">
        <v>32873</v>
      </c>
      <c r="B282" s="72">
        <v>55.2</v>
      </c>
      <c r="C282" s="72">
        <v>7.8</v>
      </c>
      <c r="D282" s="72">
        <v>6.8</v>
      </c>
      <c r="E282" s="72">
        <v>6.2</v>
      </c>
      <c r="F282" s="72">
        <v>6.5</v>
      </c>
      <c r="G282" s="72">
        <v>5</v>
      </c>
      <c r="H282" s="72">
        <v>7</v>
      </c>
      <c r="I282" s="72">
        <v>7</v>
      </c>
      <c r="J282" s="72">
        <v>6.4</v>
      </c>
      <c r="K282" s="72">
        <v>6.2</v>
      </c>
      <c r="L282" s="72">
        <v>1.8</v>
      </c>
      <c r="M282" s="72">
        <v>1.7</v>
      </c>
      <c r="N282" s="72">
        <v>1.4</v>
      </c>
      <c r="O282" s="72">
        <v>1.6</v>
      </c>
      <c r="P282" s="72">
        <v>1</v>
      </c>
      <c r="Q282" s="72">
        <v>1.3</v>
      </c>
      <c r="R282" s="72">
        <v>1.8</v>
      </c>
      <c r="S282" s="72">
        <v>1.8</v>
      </c>
      <c r="T282" s="72">
        <v>1.7</v>
      </c>
      <c r="U282" s="72">
        <v>1.7</v>
      </c>
    </row>
    <row r="283" spans="1:21">
      <c r="A283" s="71">
        <v>32963</v>
      </c>
      <c r="B283" s="72">
        <v>56.2</v>
      </c>
      <c r="C283" s="72">
        <v>8.6999999999999993</v>
      </c>
      <c r="D283" s="72">
        <v>6.9</v>
      </c>
      <c r="E283" s="72">
        <v>6.3</v>
      </c>
      <c r="F283" s="72">
        <v>6.8</v>
      </c>
      <c r="G283" s="72">
        <v>5.4</v>
      </c>
      <c r="H283" s="72">
        <v>7.1</v>
      </c>
      <c r="I283" s="72">
        <v>7.1</v>
      </c>
      <c r="J283" s="72">
        <v>6.8</v>
      </c>
      <c r="K283" s="72">
        <v>6.7</v>
      </c>
      <c r="L283" s="72">
        <v>1.8</v>
      </c>
      <c r="M283" s="72">
        <v>1.6</v>
      </c>
      <c r="N283" s="72">
        <v>1.5</v>
      </c>
      <c r="O283" s="72">
        <v>1.7</v>
      </c>
      <c r="P283" s="72">
        <v>1.2</v>
      </c>
      <c r="Q283" s="72">
        <v>1.5</v>
      </c>
      <c r="R283" s="72">
        <v>1.8</v>
      </c>
      <c r="S283" s="72">
        <v>1.8</v>
      </c>
      <c r="T283" s="72">
        <v>1.6</v>
      </c>
      <c r="U283" s="72">
        <v>1.7</v>
      </c>
    </row>
    <row r="284" spans="1:21">
      <c r="A284" s="71">
        <v>33054</v>
      </c>
      <c r="B284" s="72">
        <v>57.1</v>
      </c>
      <c r="C284" s="72">
        <v>7.7</v>
      </c>
      <c r="D284" s="72">
        <v>6.5</v>
      </c>
      <c r="E284" s="72">
        <v>6.4</v>
      </c>
      <c r="F284" s="72">
        <v>5.9</v>
      </c>
      <c r="G284" s="72">
        <v>5.2</v>
      </c>
      <c r="H284" s="72">
        <v>7.4</v>
      </c>
      <c r="I284" s="72">
        <v>7.4</v>
      </c>
      <c r="J284" s="72">
        <v>6.9</v>
      </c>
      <c r="K284" s="72">
        <v>6.7</v>
      </c>
      <c r="L284" s="72">
        <v>1.6</v>
      </c>
      <c r="M284" s="72">
        <v>1.8</v>
      </c>
      <c r="N284" s="72">
        <v>1.8</v>
      </c>
      <c r="O284" s="72">
        <v>1.5</v>
      </c>
      <c r="P284" s="72">
        <v>1.9</v>
      </c>
      <c r="Q284" s="72">
        <v>1</v>
      </c>
      <c r="R284" s="72">
        <v>1.8</v>
      </c>
      <c r="S284" s="72">
        <v>1.8</v>
      </c>
      <c r="T284" s="72">
        <v>1.7</v>
      </c>
      <c r="U284" s="72">
        <v>1.6</v>
      </c>
    </row>
    <row r="285" spans="1:21">
      <c r="A285" s="71">
        <v>33146</v>
      </c>
      <c r="B285" s="72">
        <v>57.5</v>
      </c>
      <c r="C285" s="72">
        <v>6.1</v>
      </c>
      <c r="D285" s="72">
        <v>5.7</v>
      </c>
      <c r="E285" s="72">
        <v>5.9</v>
      </c>
      <c r="F285" s="72">
        <v>4.7</v>
      </c>
      <c r="G285" s="72">
        <v>4.5999999999999996</v>
      </c>
      <c r="H285" s="72">
        <v>6.9</v>
      </c>
      <c r="I285" s="72">
        <v>6.9</v>
      </c>
      <c r="J285" s="72">
        <v>6.7</v>
      </c>
      <c r="K285" s="72">
        <v>6.5</v>
      </c>
      <c r="L285" s="72">
        <v>0.7</v>
      </c>
      <c r="M285" s="72">
        <v>0.9</v>
      </c>
      <c r="N285" s="72">
        <v>0.8</v>
      </c>
      <c r="O285" s="72">
        <v>1</v>
      </c>
      <c r="P285" s="72">
        <v>0.4</v>
      </c>
      <c r="Q285" s="72">
        <v>0.7</v>
      </c>
      <c r="R285" s="72">
        <v>1.3</v>
      </c>
      <c r="S285" s="72">
        <v>1.3</v>
      </c>
      <c r="T285" s="72">
        <v>1.5</v>
      </c>
      <c r="U285" s="72">
        <v>1.3</v>
      </c>
    </row>
    <row r="286" spans="1:21">
      <c r="A286" s="71">
        <v>33238</v>
      </c>
      <c r="B286" s="72">
        <v>59</v>
      </c>
      <c r="C286" s="72">
        <v>6.9</v>
      </c>
      <c r="D286" s="72">
        <v>6.9</v>
      </c>
      <c r="E286" s="72">
        <v>6.4</v>
      </c>
      <c r="F286" s="72">
        <v>6.8</v>
      </c>
      <c r="G286" s="72">
        <v>4.5999999999999996</v>
      </c>
      <c r="H286" s="72">
        <v>7.4</v>
      </c>
      <c r="I286" s="72">
        <v>7.4</v>
      </c>
      <c r="J286" s="72">
        <v>6.5</v>
      </c>
      <c r="K286" s="72">
        <v>6.6</v>
      </c>
      <c r="L286" s="72">
        <v>2.6</v>
      </c>
      <c r="M286" s="72">
        <v>2.4</v>
      </c>
      <c r="N286" s="72">
        <v>2.8</v>
      </c>
      <c r="O286" s="72">
        <v>1.9</v>
      </c>
      <c r="P286" s="72">
        <v>3.1</v>
      </c>
      <c r="Q286" s="72">
        <v>1.3</v>
      </c>
      <c r="R286" s="72">
        <v>2.2999999999999998</v>
      </c>
      <c r="S286" s="72">
        <v>2.2999999999999998</v>
      </c>
      <c r="T286" s="72">
        <v>1.5</v>
      </c>
      <c r="U286" s="72">
        <v>1.8</v>
      </c>
    </row>
    <row r="287" spans="1:21">
      <c r="A287" s="71">
        <v>33328</v>
      </c>
      <c r="B287" s="72">
        <v>58.9</v>
      </c>
      <c r="C287" s="72">
        <v>4.8</v>
      </c>
      <c r="D287" s="72">
        <v>5.5</v>
      </c>
      <c r="E287" s="72">
        <v>5.2</v>
      </c>
      <c r="F287" s="72">
        <v>4.5999999999999996</v>
      </c>
      <c r="G287" s="72">
        <v>3.5</v>
      </c>
      <c r="H287" s="72">
        <v>6.6</v>
      </c>
      <c r="I287" s="72">
        <v>6.6</v>
      </c>
      <c r="J287" s="72">
        <v>5.7</v>
      </c>
      <c r="K287" s="72">
        <v>5.7</v>
      </c>
      <c r="L287" s="72">
        <v>-0.2</v>
      </c>
      <c r="M287" s="72">
        <v>-0.2</v>
      </c>
      <c r="N287" s="72">
        <v>0</v>
      </c>
      <c r="O287" s="72">
        <v>0.8</v>
      </c>
      <c r="P287" s="72">
        <v>-0.9</v>
      </c>
      <c r="Q287" s="72">
        <v>0.5</v>
      </c>
      <c r="R287" s="72">
        <v>1</v>
      </c>
      <c r="S287" s="72">
        <v>1</v>
      </c>
      <c r="T287" s="72">
        <v>0.9</v>
      </c>
      <c r="U287" s="72">
        <v>0.8</v>
      </c>
    </row>
    <row r="288" spans="1:21">
      <c r="A288" s="71">
        <v>33419</v>
      </c>
      <c r="B288" s="72">
        <v>59</v>
      </c>
      <c r="C288" s="72">
        <v>3.3</v>
      </c>
      <c r="D288" s="72">
        <v>4.3</v>
      </c>
      <c r="E288" s="72">
        <v>4.7</v>
      </c>
      <c r="F288" s="72">
        <v>2.8</v>
      </c>
      <c r="G288" s="72">
        <v>3.1</v>
      </c>
      <c r="H288" s="72">
        <v>5.8</v>
      </c>
      <c r="I288" s="72">
        <v>5.8</v>
      </c>
      <c r="J288" s="72">
        <v>5</v>
      </c>
      <c r="K288" s="72">
        <v>5</v>
      </c>
      <c r="L288" s="72">
        <v>0.2</v>
      </c>
      <c r="M288" s="72">
        <v>0.3</v>
      </c>
      <c r="N288" s="72">
        <v>0.6</v>
      </c>
      <c r="O288" s="72">
        <v>0.9</v>
      </c>
      <c r="P288" s="72">
        <v>0.1</v>
      </c>
      <c r="Q288" s="72">
        <v>0.6</v>
      </c>
      <c r="R288" s="72">
        <v>1.1000000000000001</v>
      </c>
      <c r="S288" s="72">
        <v>1.1000000000000001</v>
      </c>
      <c r="T288" s="72">
        <v>1</v>
      </c>
      <c r="U288" s="72">
        <v>1</v>
      </c>
    </row>
    <row r="289" spans="1:21">
      <c r="A289" s="71">
        <v>33511</v>
      </c>
      <c r="B289" s="72">
        <v>59.3</v>
      </c>
      <c r="C289" s="72">
        <v>3.1</v>
      </c>
      <c r="D289" s="72">
        <v>4.5</v>
      </c>
      <c r="E289" s="72">
        <v>4.5</v>
      </c>
      <c r="F289" s="72">
        <v>3.5</v>
      </c>
      <c r="G289" s="72">
        <v>3.1</v>
      </c>
      <c r="H289" s="72">
        <v>5.6</v>
      </c>
      <c r="I289" s="72">
        <v>5.6</v>
      </c>
      <c r="J289" s="72">
        <v>4.5</v>
      </c>
      <c r="K289" s="72">
        <v>4.8</v>
      </c>
      <c r="L289" s="72">
        <v>0.5</v>
      </c>
      <c r="M289" s="72">
        <v>0.7</v>
      </c>
      <c r="N289" s="72">
        <v>1.1000000000000001</v>
      </c>
      <c r="O289" s="72">
        <v>1</v>
      </c>
      <c r="P289" s="72">
        <v>1.1000000000000001</v>
      </c>
      <c r="Q289" s="72">
        <v>0.7</v>
      </c>
      <c r="R289" s="72">
        <v>1.1000000000000001</v>
      </c>
      <c r="S289" s="72">
        <v>1.1000000000000001</v>
      </c>
      <c r="T289" s="72">
        <v>1</v>
      </c>
      <c r="U289" s="72">
        <v>1.1000000000000001</v>
      </c>
    </row>
    <row r="290" spans="1:21">
      <c r="A290" s="71">
        <v>33603</v>
      </c>
      <c r="B290" s="72">
        <v>59.9</v>
      </c>
      <c r="C290" s="72">
        <v>1.5</v>
      </c>
      <c r="D290" s="72">
        <v>2.6</v>
      </c>
      <c r="E290" s="72">
        <v>3.5</v>
      </c>
      <c r="F290" s="72">
        <v>0.9</v>
      </c>
      <c r="G290" s="72">
        <v>2.4</v>
      </c>
      <c r="H290" s="72">
        <v>4.5999999999999996</v>
      </c>
      <c r="I290" s="72">
        <v>4.5999999999999996</v>
      </c>
      <c r="J290" s="72">
        <v>3.6</v>
      </c>
      <c r="K290" s="72">
        <v>3.7</v>
      </c>
      <c r="L290" s="72">
        <v>1</v>
      </c>
      <c r="M290" s="72">
        <v>0.7</v>
      </c>
      <c r="N290" s="72">
        <v>0.9</v>
      </c>
      <c r="O290" s="72">
        <v>1</v>
      </c>
      <c r="P290" s="72">
        <v>0.6</v>
      </c>
      <c r="Q290" s="72">
        <v>0.5</v>
      </c>
      <c r="R290" s="72">
        <v>1.4</v>
      </c>
      <c r="S290" s="72">
        <v>1.4</v>
      </c>
      <c r="T290" s="72">
        <v>0.6</v>
      </c>
      <c r="U290" s="72">
        <v>0.7</v>
      </c>
    </row>
    <row r="291" spans="1:21">
      <c r="A291" s="71">
        <v>33694</v>
      </c>
      <c r="B291" s="72">
        <v>59.9</v>
      </c>
      <c r="C291" s="72">
        <v>1.7</v>
      </c>
      <c r="D291" s="72">
        <v>3.1</v>
      </c>
      <c r="E291" s="72">
        <v>3.7</v>
      </c>
      <c r="F291" s="72">
        <v>1.6</v>
      </c>
      <c r="G291" s="72">
        <v>1.9</v>
      </c>
      <c r="H291" s="72">
        <v>4.8</v>
      </c>
      <c r="I291" s="72">
        <v>4.8</v>
      </c>
      <c r="J291" s="72">
        <v>3.1</v>
      </c>
      <c r="K291" s="72">
        <v>3.3</v>
      </c>
      <c r="L291" s="72">
        <v>0</v>
      </c>
      <c r="M291" s="72">
        <v>0</v>
      </c>
      <c r="N291" s="72">
        <v>0.5</v>
      </c>
      <c r="O291" s="72">
        <v>0.6</v>
      </c>
      <c r="P291" s="72">
        <v>-0.2</v>
      </c>
      <c r="Q291" s="72">
        <v>0.1</v>
      </c>
      <c r="R291" s="72">
        <v>1.1000000000000001</v>
      </c>
      <c r="S291" s="72">
        <v>1.1000000000000001</v>
      </c>
      <c r="T291" s="72">
        <v>0.4</v>
      </c>
      <c r="U291" s="72">
        <v>0.4</v>
      </c>
    </row>
    <row r="292" spans="1:21">
      <c r="A292" s="71">
        <v>33785</v>
      </c>
      <c r="B292" s="72">
        <v>59.7</v>
      </c>
      <c r="C292" s="72">
        <v>1.2</v>
      </c>
      <c r="D292" s="72">
        <v>2.7</v>
      </c>
      <c r="E292" s="72">
        <v>2.8</v>
      </c>
      <c r="F292" s="72">
        <v>2</v>
      </c>
      <c r="G292" s="72">
        <v>1.5</v>
      </c>
      <c r="H292" s="72">
        <v>3.7</v>
      </c>
      <c r="I292" s="72">
        <v>3.7</v>
      </c>
      <c r="J292" s="72">
        <v>2.7</v>
      </c>
      <c r="K292" s="72">
        <v>2.8</v>
      </c>
      <c r="L292" s="72">
        <v>-0.3</v>
      </c>
      <c r="M292" s="72">
        <v>-0.2</v>
      </c>
      <c r="N292" s="72">
        <v>0.3</v>
      </c>
      <c r="O292" s="72">
        <v>0.2</v>
      </c>
      <c r="P292" s="72">
        <v>0.5</v>
      </c>
      <c r="Q292" s="72">
        <v>0.2</v>
      </c>
      <c r="R292" s="72">
        <v>0</v>
      </c>
      <c r="S292" s="72">
        <v>0</v>
      </c>
      <c r="T292" s="72">
        <v>0.7</v>
      </c>
      <c r="U292" s="72">
        <v>0.5</v>
      </c>
    </row>
    <row r="293" spans="1:21">
      <c r="A293" s="71">
        <v>33877</v>
      </c>
      <c r="B293" s="72">
        <v>59.8</v>
      </c>
      <c r="C293" s="72">
        <v>0.8</v>
      </c>
      <c r="D293" s="72">
        <v>2.1</v>
      </c>
      <c r="E293" s="72">
        <v>2.6</v>
      </c>
      <c r="F293" s="72">
        <v>1.4</v>
      </c>
      <c r="G293" s="72">
        <v>1</v>
      </c>
      <c r="H293" s="72">
        <v>3.2</v>
      </c>
      <c r="I293" s="72">
        <v>3.2</v>
      </c>
      <c r="J293" s="72">
        <v>2.4</v>
      </c>
      <c r="K293" s="72">
        <v>2.2000000000000002</v>
      </c>
      <c r="L293" s="72">
        <v>0.2</v>
      </c>
      <c r="M293" s="72">
        <v>0.2</v>
      </c>
      <c r="N293" s="72">
        <v>0.5</v>
      </c>
      <c r="O293" s="72">
        <v>0.6</v>
      </c>
      <c r="P293" s="72">
        <v>0.5</v>
      </c>
      <c r="Q293" s="72">
        <v>0.2</v>
      </c>
      <c r="R293" s="72">
        <v>0.6</v>
      </c>
      <c r="S293" s="72">
        <v>0.6</v>
      </c>
      <c r="T293" s="72">
        <v>0.7</v>
      </c>
      <c r="U293" s="72">
        <v>0.5</v>
      </c>
    </row>
    <row r="294" spans="1:21">
      <c r="A294" s="71">
        <v>33969</v>
      </c>
      <c r="B294" s="72">
        <v>60.1</v>
      </c>
      <c r="C294" s="72">
        <v>0.3</v>
      </c>
      <c r="D294" s="72">
        <v>1.9</v>
      </c>
      <c r="E294" s="72">
        <v>2.2000000000000002</v>
      </c>
      <c r="F294" s="72">
        <v>1.7</v>
      </c>
      <c r="G294" s="72">
        <v>0.9</v>
      </c>
      <c r="H294" s="72">
        <v>2.2000000000000002</v>
      </c>
      <c r="I294" s="72">
        <v>2.2000000000000002</v>
      </c>
      <c r="J294" s="72">
        <v>2.2000000000000002</v>
      </c>
      <c r="K294" s="72">
        <v>2</v>
      </c>
      <c r="L294" s="72">
        <v>0.5</v>
      </c>
      <c r="M294" s="72">
        <v>0.3</v>
      </c>
      <c r="N294" s="72">
        <v>0.7</v>
      </c>
      <c r="O294" s="72">
        <v>0.7</v>
      </c>
      <c r="P294" s="72">
        <v>0.9</v>
      </c>
      <c r="Q294" s="72">
        <v>0.5</v>
      </c>
      <c r="R294" s="72">
        <v>0.5</v>
      </c>
      <c r="S294" s="72">
        <v>0.5</v>
      </c>
      <c r="T294" s="72">
        <v>0.4</v>
      </c>
      <c r="U294" s="72">
        <v>0.6</v>
      </c>
    </row>
    <row r="295" spans="1:21">
      <c r="A295" s="71">
        <v>34059</v>
      </c>
      <c r="B295" s="72">
        <v>60.6</v>
      </c>
      <c r="C295" s="72">
        <v>1.2</v>
      </c>
      <c r="D295" s="72">
        <v>2.4</v>
      </c>
      <c r="E295" s="72">
        <v>2.4</v>
      </c>
      <c r="F295" s="72">
        <v>2.7</v>
      </c>
      <c r="G295" s="72">
        <v>1.4</v>
      </c>
      <c r="H295" s="72">
        <v>2.1</v>
      </c>
      <c r="I295" s="72">
        <v>2.1</v>
      </c>
      <c r="J295" s="72">
        <v>2.1</v>
      </c>
      <c r="K295" s="72">
        <v>2.1</v>
      </c>
      <c r="L295" s="72">
        <v>0.8</v>
      </c>
      <c r="M295" s="72">
        <v>0.8</v>
      </c>
      <c r="N295" s="72">
        <v>0.9</v>
      </c>
      <c r="O295" s="72">
        <v>0.9</v>
      </c>
      <c r="P295" s="72">
        <v>0.9</v>
      </c>
      <c r="Q295" s="72">
        <v>0.5</v>
      </c>
      <c r="R295" s="72">
        <v>0.9</v>
      </c>
      <c r="S295" s="72">
        <v>0.9</v>
      </c>
      <c r="T295" s="72">
        <v>0.4</v>
      </c>
      <c r="U295" s="72">
        <v>0.6</v>
      </c>
    </row>
    <row r="296" spans="1:21">
      <c r="A296" s="71">
        <v>34150</v>
      </c>
      <c r="B296" s="72">
        <v>60.8</v>
      </c>
      <c r="C296" s="72">
        <v>1.8</v>
      </c>
      <c r="D296" s="72">
        <v>2.8</v>
      </c>
      <c r="E296" s="72">
        <v>2.9</v>
      </c>
      <c r="F296" s="72">
        <v>2.7</v>
      </c>
      <c r="G296" s="72">
        <v>1.6</v>
      </c>
      <c r="H296" s="72">
        <v>2.9</v>
      </c>
      <c r="I296" s="72">
        <v>2.9</v>
      </c>
      <c r="J296" s="72">
        <v>2.1</v>
      </c>
      <c r="K296" s="72">
        <v>2.2000000000000002</v>
      </c>
      <c r="L296" s="72">
        <v>0.3</v>
      </c>
      <c r="M296" s="72">
        <v>0.5</v>
      </c>
      <c r="N296" s="72">
        <v>0.6</v>
      </c>
      <c r="O296" s="72">
        <v>0.8</v>
      </c>
      <c r="P296" s="72">
        <v>0.4</v>
      </c>
      <c r="Q296" s="72">
        <v>0.4</v>
      </c>
      <c r="R296" s="72">
        <v>0.9</v>
      </c>
      <c r="S296" s="72">
        <v>0.9</v>
      </c>
      <c r="T296" s="72">
        <v>0.6</v>
      </c>
      <c r="U296" s="72">
        <v>0.6</v>
      </c>
    </row>
    <row r="297" spans="1:21">
      <c r="A297" s="71">
        <v>34242</v>
      </c>
      <c r="B297" s="72">
        <v>61.1</v>
      </c>
      <c r="C297" s="72">
        <v>2.2000000000000002</v>
      </c>
      <c r="D297" s="72">
        <v>2.9</v>
      </c>
      <c r="E297" s="72">
        <v>3</v>
      </c>
      <c r="F297" s="72">
        <v>2.9</v>
      </c>
      <c r="G297" s="72">
        <v>2.2000000000000002</v>
      </c>
      <c r="H297" s="72">
        <v>2.9</v>
      </c>
      <c r="I297" s="72">
        <v>2.9</v>
      </c>
      <c r="J297" s="72">
        <v>1.9</v>
      </c>
      <c r="K297" s="72">
        <v>2.2999999999999998</v>
      </c>
      <c r="L297" s="72">
        <v>0.5</v>
      </c>
      <c r="M297" s="72">
        <v>0.5</v>
      </c>
      <c r="N297" s="72">
        <v>0.6</v>
      </c>
      <c r="O297" s="72">
        <v>0.7</v>
      </c>
      <c r="P297" s="72">
        <v>0.7</v>
      </c>
      <c r="Q297" s="72">
        <v>0.8</v>
      </c>
      <c r="R297" s="72">
        <v>0.5</v>
      </c>
      <c r="S297" s="72">
        <v>0.5</v>
      </c>
      <c r="T297" s="72">
        <v>0.5</v>
      </c>
      <c r="U297" s="72">
        <v>0.6</v>
      </c>
    </row>
    <row r="298" spans="1:21">
      <c r="A298" s="71">
        <v>34334</v>
      </c>
      <c r="B298" s="72">
        <v>61.2</v>
      </c>
      <c r="C298" s="72">
        <v>1.8</v>
      </c>
      <c r="D298" s="72">
        <v>2.6</v>
      </c>
      <c r="E298" s="72">
        <v>2.8</v>
      </c>
      <c r="F298" s="72">
        <v>2.4</v>
      </c>
      <c r="G298" s="72">
        <v>1.8</v>
      </c>
      <c r="H298" s="72">
        <v>2.9</v>
      </c>
      <c r="I298" s="72">
        <v>2.9</v>
      </c>
      <c r="J298" s="72">
        <v>2.1</v>
      </c>
      <c r="K298" s="72">
        <v>2.2999999999999998</v>
      </c>
      <c r="L298" s="72">
        <v>0.2</v>
      </c>
      <c r="M298" s="72">
        <v>0</v>
      </c>
      <c r="N298" s="72">
        <v>0.5</v>
      </c>
      <c r="O298" s="72">
        <v>0.4</v>
      </c>
      <c r="P298" s="72">
        <v>0.4</v>
      </c>
      <c r="Q298" s="72">
        <v>0.1</v>
      </c>
      <c r="R298" s="72">
        <v>0.6</v>
      </c>
      <c r="S298" s="72">
        <v>0.6</v>
      </c>
      <c r="T298" s="72">
        <v>0.6</v>
      </c>
      <c r="U298" s="72">
        <v>0.6</v>
      </c>
    </row>
    <row r="299" spans="1:21">
      <c r="A299" s="71">
        <v>34424</v>
      </c>
      <c r="B299" s="72">
        <v>61.5</v>
      </c>
      <c r="C299" s="72">
        <v>1.5</v>
      </c>
      <c r="D299" s="72">
        <v>2.2000000000000002</v>
      </c>
      <c r="E299" s="72">
        <v>2.6</v>
      </c>
      <c r="F299" s="72">
        <v>1.9</v>
      </c>
      <c r="G299" s="72">
        <v>2.1</v>
      </c>
      <c r="H299" s="72">
        <v>2.5</v>
      </c>
      <c r="I299" s="72">
        <v>2.5</v>
      </c>
      <c r="J299" s="72">
        <v>2.1</v>
      </c>
      <c r="K299" s="72">
        <v>2.2999999999999998</v>
      </c>
      <c r="L299" s="72">
        <v>0.5</v>
      </c>
      <c r="M299" s="72">
        <v>0.5</v>
      </c>
      <c r="N299" s="72">
        <v>0.5</v>
      </c>
      <c r="O299" s="72">
        <v>0.7</v>
      </c>
      <c r="P299" s="72">
        <v>0.5</v>
      </c>
      <c r="Q299" s="72">
        <v>0.8</v>
      </c>
      <c r="R299" s="72">
        <v>0.5</v>
      </c>
      <c r="S299" s="72">
        <v>0.5</v>
      </c>
      <c r="T299" s="72">
        <v>0.4</v>
      </c>
      <c r="U299" s="72">
        <v>0.5</v>
      </c>
    </row>
    <row r="300" spans="1:21">
      <c r="A300" s="71">
        <v>34515</v>
      </c>
      <c r="B300" s="72">
        <v>61.9</v>
      </c>
      <c r="C300" s="72">
        <v>1.8</v>
      </c>
      <c r="D300" s="72">
        <v>2.2999999999999998</v>
      </c>
      <c r="E300" s="72">
        <v>2.5</v>
      </c>
      <c r="F300" s="72">
        <v>2.6</v>
      </c>
      <c r="G300" s="72">
        <v>1.9</v>
      </c>
      <c r="H300" s="72">
        <v>2.1</v>
      </c>
      <c r="I300" s="72">
        <v>2.2000000000000002</v>
      </c>
      <c r="J300" s="72">
        <v>2</v>
      </c>
      <c r="K300" s="72">
        <v>2.2999999999999998</v>
      </c>
      <c r="L300" s="72">
        <v>0.7</v>
      </c>
      <c r="M300" s="72">
        <v>0.8</v>
      </c>
      <c r="N300" s="72">
        <v>0.8</v>
      </c>
      <c r="O300" s="72">
        <v>0.5</v>
      </c>
      <c r="P300" s="72">
        <v>1</v>
      </c>
      <c r="Q300" s="72">
        <v>0.2</v>
      </c>
      <c r="R300" s="72">
        <v>0.5</v>
      </c>
      <c r="S300" s="72">
        <v>0.5</v>
      </c>
      <c r="T300" s="72">
        <v>0.6</v>
      </c>
      <c r="U300" s="72">
        <v>0.6</v>
      </c>
    </row>
    <row r="301" spans="1:21">
      <c r="A301" s="71">
        <v>34607</v>
      </c>
      <c r="B301" s="72">
        <v>62.3</v>
      </c>
      <c r="C301" s="72">
        <v>2</v>
      </c>
      <c r="D301" s="72">
        <v>2.5</v>
      </c>
      <c r="E301" s="72">
        <v>2.2999999999999998</v>
      </c>
      <c r="F301" s="72">
        <v>2.5</v>
      </c>
      <c r="G301" s="72">
        <v>1.7</v>
      </c>
      <c r="H301" s="72">
        <v>2.4</v>
      </c>
      <c r="I301" s="72">
        <v>2.4</v>
      </c>
      <c r="J301" s="72">
        <v>2.1</v>
      </c>
      <c r="K301" s="72">
        <v>2.2999999999999998</v>
      </c>
      <c r="L301" s="72">
        <v>0.6</v>
      </c>
      <c r="M301" s="72">
        <v>0.5</v>
      </c>
      <c r="N301" s="72">
        <v>0.6</v>
      </c>
      <c r="O301" s="72">
        <v>0.6</v>
      </c>
      <c r="P301" s="72">
        <v>0.5</v>
      </c>
      <c r="Q301" s="72">
        <v>0.5</v>
      </c>
      <c r="R301" s="72">
        <v>0.7</v>
      </c>
      <c r="S301" s="72">
        <v>0.7</v>
      </c>
      <c r="T301" s="72">
        <v>0.5</v>
      </c>
      <c r="U301" s="72">
        <v>0.6</v>
      </c>
    </row>
    <row r="302" spans="1:21">
      <c r="A302" s="71">
        <v>34699</v>
      </c>
      <c r="B302" s="72">
        <v>62.8</v>
      </c>
      <c r="C302" s="72">
        <v>2.6</v>
      </c>
      <c r="D302" s="72">
        <v>2.4</v>
      </c>
      <c r="E302" s="72">
        <v>2.2999999999999998</v>
      </c>
      <c r="F302" s="72">
        <v>2.2999999999999998</v>
      </c>
      <c r="G302" s="72">
        <v>2</v>
      </c>
      <c r="H302" s="72">
        <v>2.2999999999999998</v>
      </c>
      <c r="I302" s="72">
        <v>2.2999999999999998</v>
      </c>
      <c r="J302" s="72">
        <v>2</v>
      </c>
      <c r="K302" s="72">
        <v>2.2000000000000002</v>
      </c>
      <c r="L302" s="72">
        <v>0.8</v>
      </c>
      <c r="M302" s="72">
        <v>1</v>
      </c>
      <c r="N302" s="72">
        <v>0.5</v>
      </c>
      <c r="O302" s="72">
        <v>0.6</v>
      </c>
      <c r="P302" s="72">
        <v>0.4</v>
      </c>
      <c r="Q302" s="72">
        <v>0.5</v>
      </c>
      <c r="R302" s="72">
        <v>0.6</v>
      </c>
      <c r="S302" s="72">
        <v>0.6</v>
      </c>
      <c r="T302" s="72">
        <v>0.5</v>
      </c>
      <c r="U302" s="72">
        <v>0.5</v>
      </c>
    </row>
    <row r="303" spans="1:21">
      <c r="A303" s="71">
        <v>34789</v>
      </c>
      <c r="B303" s="72">
        <v>63.8</v>
      </c>
      <c r="C303" s="72">
        <v>3.7</v>
      </c>
      <c r="D303" s="72">
        <v>2.8</v>
      </c>
      <c r="E303" s="72">
        <v>2.4</v>
      </c>
      <c r="F303" s="72">
        <v>2.9</v>
      </c>
      <c r="G303" s="72">
        <v>1.5</v>
      </c>
      <c r="H303" s="72">
        <v>2.7</v>
      </c>
      <c r="I303" s="72">
        <v>2.7</v>
      </c>
      <c r="J303" s="72">
        <v>2.1</v>
      </c>
      <c r="K303" s="72">
        <v>2.2999999999999998</v>
      </c>
      <c r="L303" s="72">
        <v>1.6</v>
      </c>
      <c r="M303" s="72">
        <v>1.6</v>
      </c>
      <c r="N303" s="72">
        <v>0.9</v>
      </c>
      <c r="O303" s="72">
        <v>0.6</v>
      </c>
      <c r="P303" s="72">
        <v>1</v>
      </c>
      <c r="Q303" s="72">
        <v>0.3</v>
      </c>
      <c r="R303" s="72">
        <v>0.8</v>
      </c>
      <c r="S303" s="72">
        <v>0.8</v>
      </c>
      <c r="T303" s="72">
        <v>0.5</v>
      </c>
      <c r="U303" s="72">
        <v>0.6</v>
      </c>
    </row>
    <row r="304" spans="1:21">
      <c r="A304" s="71">
        <v>34880</v>
      </c>
      <c r="B304" s="72">
        <v>64.7</v>
      </c>
      <c r="C304" s="72">
        <v>4.5</v>
      </c>
      <c r="D304" s="72">
        <v>3.2</v>
      </c>
      <c r="E304" s="72">
        <v>3</v>
      </c>
      <c r="F304" s="72">
        <v>3</v>
      </c>
      <c r="G304" s="72">
        <v>1.9</v>
      </c>
      <c r="H304" s="72">
        <v>3.3</v>
      </c>
      <c r="I304" s="72">
        <v>3.3</v>
      </c>
      <c r="J304" s="72">
        <v>2.2999999999999998</v>
      </c>
      <c r="K304" s="72">
        <v>2.5</v>
      </c>
      <c r="L304" s="72">
        <v>1.4</v>
      </c>
      <c r="M304" s="72">
        <v>1.3</v>
      </c>
      <c r="N304" s="72">
        <v>1.1000000000000001</v>
      </c>
      <c r="O304" s="72">
        <v>1.2</v>
      </c>
      <c r="P304" s="72">
        <v>1.1000000000000001</v>
      </c>
      <c r="Q304" s="72">
        <v>0.6</v>
      </c>
      <c r="R304" s="72">
        <v>1.2</v>
      </c>
      <c r="S304" s="72">
        <v>1.2</v>
      </c>
      <c r="T304" s="72">
        <v>0.8</v>
      </c>
      <c r="U304" s="72">
        <v>0.9</v>
      </c>
    </row>
    <row r="305" spans="1:21">
      <c r="A305" s="71">
        <v>34972</v>
      </c>
      <c r="B305" s="72">
        <v>65.5</v>
      </c>
      <c r="C305" s="72">
        <v>5.0999999999999996</v>
      </c>
      <c r="D305" s="72">
        <v>3.8</v>
      </c>
      <c r="E305" s="72">
        <v>3.7</v>
      </c>
      <c r="F305" s="72">
        <v>4</v>
      </c>
      <c r="G305" s="72">
        <v>2.4</v>
      </c>
      <c r="H305" s="72">
        <v>3.6</v>
      </c>
      <c r="I305" s="72">
        <v>3.6</v>
      </c>
      <c r="J305" s="72">
        <v>2.6</v>
      </c>
      <c r="K305" s="72">
        <v>3</v>
      </c>
      <c r="L305" s="72">
        <v>1.2</v>
      </c>
      <c r="M305" s="72">
        <v>1.2</v>
      </c>
      <c r="N305" s="72">
        <v>1.3</v>
      </c>
      <c r="O305" s="72">
        <v>1.2</v>
      </c>
      <c r="P305" s="72">
        <v>1.6</v>
      </c>
      <c r="Q305" s="72">
        <v>0.9</v>
      </c>
      <c r="R305" s="72">
        <v>1</v>
      </c>
      <c r="S305" s="72">
        <v>1</v>
      </c>
      <c r="T305" s="72">
        <v>0.9</v>
      </c>
      <c r="U305" s="72">
        <v>1</v>
      </c>
    </row>
    <row r="306" spans="1:21">
      <c r="A306" s="71">
        <v>35064</v>
      </c>
      <c r="B306" s="72">
        <v>66</v>
      </c>
      <c r="C306" s="72">
        <v>5.0999999999999996</v>
      </c>
      <c r="D306" s="72">
        <v>4.0999999999999996</v>
      </c>
      <c r="E306" s="72">
        <v>4</v>
      </c>
      <c r="F306" s="72">
        <v>4.0999999999999996</v>
      </c>
      <c r="G306" s="72">
        <v>2.2000000000000002</v>
      </c>
      <c r="H306" s="72">
        <v>4</v>
      </c>
      <c r="I306" s="72">
        <v>4</v>
      </c>
      <c r="J306" s="72">
        <v>2.8</v>
      </c>
      <c r="K306" s="72">
        <v>3.2</v>
      </c>
      <c r="L306" s="72">
        <v>0.8</v>
      </c>
      <c r="M306" s="72">
        <v>0.8</v>
      </c>
      <c r="N306" s="72">
        <v>0.7</v>
      </c>
      <c r="O306" s="72">
        <v>0.9</v>
      </c>
      <c r="P306" s="72">
        <v>0.4</v>
      </c>
      <c r="Q306" s="72">
        <v>0.4</v>
      </c>
      <c r="R306" s="72">
        <v>1.1000000000000001</v>
      </c>
      <c r="S306" s="72">
        <v>1.1000000000000001</v>
      </c>
      <c r="T306" s="72">
        <v>0.6</v>
      </c>
      <c r="U306" s="72">
        <v>0.7</v>
      </c>
    </row>
    <row r="307" spans="1:21">
      <c r="A307" s="71">
        <v>35155</v>
      </c>
      <c r="B307" s="72">
        <v>66.2</v>
      </c>
      <c r="C307" s="72">
        <v>3.8</v>
      </c>
      <c r="D307" s="72">
        <v>3.5</v>
      </c>
      <c r="E307" s="72">
        <v>3.8</v>
      </c>
      <c r="F307" s="72">
        <v>3.5</v>
      </c>
      <c r="G307" s="72">
        <v>2.4</v>
      </c>
      <c r="H307" s="72">
        <v>3.6</v>
      </c>
      <c r="I307" s="72">
        <v>3.6</v>
      </c>
      <c r="J307" s="72">
        <v>2.8</v>
      </c>
      <c r="K307" s="72">
        <v>3.2</v>
      </c>
      <c r="L307" s="72">
        <v>0.3</v>
      </c>
      <c r="M307" s="72">
        <v>0.5</v>
      </c>
      <c r="N307" s="72">
        <v>0.4</v>
      </c>
      <c r="O307" s="72">
        <v>0.5</v>
      </c>
      <c r="P307" s="72">
        <v>0.5</v>
      </c>
      <c r="Q307" s="72">
        <v>0.5</v>
      </c>
      <c r="R307" s="72">
        <v>0.4</v>
      </c>
      <c r="S307" s="72">
        <v>0.4</v>
      </c>
      <c r="T307" s="72">
        <v>0.6</v>
      </c>
      <c r="U307" s="72">
        <v>0.6</v>
      </c>
    </row>
    <row r="308" spans="1:21">
      <c r="A308" s="71">
        <v>35246</v>
      </c>
      <c r="B308" s="72">
        <v>66.7</v>
      </c>
      <c r="C308" s="72">
        <v>3.1</v>
      </c>
      <c r="D308" s="72">
        <v>3.2</v>
      </c>
      <c r="E308" s="72">
        <v>3.3</v>
      </c>
      <c r="F308" s="72">
        <v>3.1</v>
      </c>
      <c r="G308" s="72">
        <v>2.1</v>
      </c>
      <c r="H308" s="72">
        <v>3.2</v>
      </c>
      <c r="I308" s="72">
        <v>3.2</v>
      </c>
      <c r="J308" s="72">
        <v>2.8</v>
      </c>
      <c r="K308" s="72">
        <v>3</v>
      </c>
      <c r="L308" s="72">
        <v>0.8</v>
      </c>
      <c r="M308" s="72">
        <v>0.6</v>
      </c>
      <c r="N308" s="72">
        <v>0.7</v>
      </c>
      <c r="O308" s="72">
        <v>0.5</v>
      </c>
      <c r="P308" s="72">
        <v>0.6</v>
      </c>
      <c r="Q308" s="72">
        <v>0.3</v>
      </c>
      <c r="R308" s="72">
        <v>0.8</v>
      </c>
      <c r="S308" s="72">
        <v>0.8</v>
      </c>
      <c r="T308" s="72">
        <v>0.7</v>
      </c>
      <c r="U308" s="72">
        <v>0.7</v>
      </c>
    </row>
    <row r="309" spans="1:21">
      <c r="A309" s="71">
        <v>35338</v>
      </c>
      <c r="B309" s="72">
        <v>66.900000000000006</v>
      </c>
      <c r="C309" s="72">
        <v>2.1</v>
      </c>
      <c r="D309" s="72">
        <v>2.2999999999999998</v>
      </c>
      <c r="E309" s="72">
        <v>2.6</v>
      </c>
      <c r="F309" s="72">
        <v>1.5</v>
      </c>
      <c r="G309" s="72">
        <v>1.2</v>
      </c>
      <c r="H309" s="72">
        <v>3.1</v>
      </c>
      <c r="I309" s="72">
        <v>3.1</v>
      </c>
      <c r="J309" s="72">
        <v>2.5</v>
      </c>
      <c r="K309" s="72">
        <v>2.5</v>
      </c>
      <c r="L309" s="72">
        <v>0.3</v>
      </c>
      <c r="M309" s="72">
        <v>0.3</v>
      </c>
      <c r="N309" s="72">
        <v>0.4</v>
      </c>
      <c r="O309" s="72">
        <v>0.5</v>
      </c>
      <c r="P309" s="72">
        <v>0</v>
      </c>
      <c r="Q309" s="72">
        <v>0.1</v>
      </c>
      <c r="R309" s="72">
        <v>0.9</v>
      </c>
      <c r="S309" s="72">
        <v>0.9</v>
      </c>
      <c r="T309" s="72">
        <v>0.6</v>
      </c>
      <c r="U309" s="72">
        <v>0.5</v>
      </c>
    </row>
    <row r="310" spans="1:21">
      <c r="A310" s="71">
        <v>35430</v>
      </c>
      <c r="B310" s="72">
        <v>67</v>
      </c>
      <c r="C310" s="72">
        <v>1.5</v>
      </c>
      <c r="D310" s="72">
        <v>2.2000000000000002</v>
      </c>
      <c r="E310" s="72">
        <v>2.2999999999999998</v>
      </c>
      <c r="F310" s="72">
        <v>1.6</v>
      </c>
      <c r="G310" s="72">
        <v>1</v>
      </c>
      <c r="H310" s="72">
        <v>2.9</v>
      </c>
      <c r="I310" s="72">
        <v>2.9</v>
      </c>
      <c r="J310" s="72">
        <v>2.4</v>
      </c>
      <c r="K310" s="72">
        <v>2.4</v>
      </c>
      <c r="L310" s="72">
        <v>0.1</v>
      </c>
      <c r="M310" s="72">
        <v>0.3</v>
      </c>
      <c r="N310" s="72">
        <v>0.7</v>
      </c>
      <c r="O310" s="72">
        <v>0.5</v>
      </c>
      <c r="P310" s="72">
        <v>0.6</v>
      </c>
      <c r="Q310" s="72">
        <v>0.1</v>
      </c>
      <c r="R310" s="72">
        <v>0.8</v>
      </c>
      <c r="S310" s="72">
        <v>0.8</v>
      </c>
      <c r="T310" s="72">
        <v>0.6</v>
      </c>
      <c r="U310" s="72">
        <v>0.6</v>
      </c>
    </row>
    <row r="311" spans="1:21">
      <c r="A311" s="71">
        <v>35520</v>
      </c>
      <c r="B311" s="72">
        <v>67.099999999999994</v>
      </c>
      <c r="C311" s="72">
        <v>1.4</v>
      </c>
      <c r="D311" s="72">
        <v>2.6</v>
      </c>
      <c r="E311" s="72">
        <v>2.2999999999999998</v>
      </c>
      <c r="F311" s="72">
        <v>1.3</v>
      </c>
      <c r="G311" s="72">
        <v>0.3</v>
      </c>
      <c r="H311" s="72">
        <v>3.8</v>
      </c>
      <c r="I311" s="72">
        <v>3.8</v>
      </c>
      <c r="J311" s="72">
        <v>2.5</v>
      </c>
      <c r="K311" s="72">
        <v>2.5</v>
      </c>
      <c r="L311" s="72">
        <v>0.1</v>
      </c>
      <c r="M311" s="72">
        <v>0</v>
      </c>
      <c r="N311" s="72">
        <v>0.7</v>
      </c>
      <c r="O311" s="72">
        <v>0.6</v>
      </c>
      <c r="P311" s="72">
        <v>0.2</v>
      </c>
      <c r="Q311" s="72">
        <v>-0.2</v>
      </c>
      <c r="R311" s="72">
        <v>1.2</v>
      </c>
      <c r="S311" s="72">
        <v>1.2</v>
      </c>
      <c r="T311" s="72">
        <v>0.6</v>
      </c>
      <c r="U311" s="72">
        <v>0.7</v>
      </c>
    </row>
    <row r="312" spans="1:21">
      <c r="A312" s="71">
        <v>35611</v>
      </c>
      <c r="B312" s="72">
        <v>66.900000000000006</v>
      </c>
      <c r="C312" s="72">
        <v>0.3</v>
      </c>
      <c r="D312" s="72">
        <v>2.1</v>
      </c>
      <c r="E312" s="72">
        <v>2.1</v>
      </c>
      <c r="F312" s="72">
        <v>0.5</v>
      </c>
      <c r="G312" s="72">
        <v>0</v>
      </c>
      <c r="H312" s="72">
        <v>3.8</v>
      </c>
      <c r="I312" s="72">
        <v>3.8</v>
      </c>
      <c r="J312" s="72">
        <v>2.2000000000000002</v>
      </c>
      <c r="K312" s="72">
        <v>2.1</v>
      </c>
      <c r="L312" s="72">
        <v>-0.3</v>
      </c>
      <c r="M312" s="72">
        <v>-0.3</v>
      </c>
      <c r="N312" s="72">
        <v>0.3</v>
      </c>
      <c r="O312" s="72">
        <v>0.4</v>
      </c>
      <c r="P312" s="72">
        <v>-0.2</v>
      </c>
      <c r="Q312" s="72">
        <v>0</v>
      </c>
      <c r="R312" s="72">
        <v>0.8</v>
      </c>
      <c r="S312" s="72">
        <v>0.8</v>
      </c>
      <c r="T312" s="72">
        <v>0.4</v>
      </c>
      <c r="U312" s="72">
        <v>0.4</v>
      </c>
    </row>
    <row r="313" spans="1:21">
      <c r="A313" s="71">
        <v>35703</v>
      </c>
      <c r="B313" s="72">
        <v>66.599999999999994</v>
      </c>
      <c r="C313" s="72">
        <v>-0.4</v>
      </c>
      <c r="D313" s="72">
        <v>1.5</v>
      </c>
      <c r="E313" s="72">
        <v>1.7</v>
      </c>
      <c r="F313" s="72">
        <v>0.3</v>
      </c>
      <c r="G313" s="72">
        <v>0.1</v>
      </c>
      <c r="H313" s="72">
        <v>2.9</v>
      </c>
      <c r="I313" s="72">
        <v>2.9</v>
      </c>
      <c r="J313" s="72">
        <v>1.8</v>
      </c>
      <c r="K313" s="72">
        <v>1.8</v>
      </c>
      <c r="L313" s="72">
        <v>-0.4</v>
      </c>
      <c r="M313" s="72">
        <v>-0.3</v>
      </c>
      <c r="N313" s="72">
        <v>-0.1</v>
      </c>
      <c r="O313" s="72">
        <v>0.1</v>
      </c>
      <c r="P313" s="72">
        <v>-0.2</v>
      </c>
      <c r="Q313" s="72">
        <v>0.2</v>
      </c>
      <c r="R313" s="72">
        <v>0</v>
      </c>
      <c r="S313" s="72">
        <v>0</v>
      </c>
      <c r="T313" s="72">
        <v>0.2</v>
      </c>
      <c r="U313" s="72">
        <v>0.2</v>
      </c>
    </row>
    <row r="314" spans="1:21">
      <c r="A314" s="71">
        <v>35795</v>
      </c>
      <c r="B314" s="72">
        <v>66.8</v>
      </c>
      <c r="C314" s="72">
        <v>-0.3</v>
      </c>
      <c r="D314" s="72">
        <v>1.5</v>
      </c>
      <c r="E314" s="72">
        <v>1.6</v>
      </c>
      <c r="F314" s="72">
        <v>0.2</v>
      </c>
      <c r="G314" s="72">
        <v>0.2</v>
      </c>
      <c r="H314" s="72">
        <v>2.9</v>
      </c>
      <c r="I314" s="72">
        <v>2.9</v>
      </c>
      <c r="J314" s="72">
        <v>1.9</v>
      </c>
      <c r="K314" s="72">
        <v>1.9</v>
      </c>
      <c r="L314" s="72">
        <v>0.3</v>
      </c>
      <c r="M314" s="72">
        <v>0.3</v>
      </c>
      <c r="N314" s="72">
        <v>0.7</v>
      </c>
      <c r="O314" s="72">
        <v>0.7</v>
      </c>
      <c r="P314" s="72">
        <v>0.4</v>
      </c>
      <c r="Q314" s="72">
        <v>0.2</v>
      </c>
      <c r="R314" s="72">
        <v>0.9</v>
      </c>
      <c r="S314" s="72">
        <v>0.9</v>
      </c>
      <c r="T314" s="72">
        <v>0.7</v>
      </c>
      <c r="U314" s="72">
        <v>0.7</v>
      </c>
    </row>
    <row r="315" spans="1:21">
      <c r="A315" s="71">
        <v>35885</v>
      </c>
      <c r="B315" s="72">
        <v>67</v>
      </c>
      <c r="C315" s="72">
        <v>-0.1</v>
      </c>
      <c r="D315" s="72">
        <v>1.1000000000000001</v>
      </c>
      <c r="E315" s="72">
        <v>1.6</v>
      </c>
      <c r="F315" s="72">
        <v>0.2</v>
      </c>
      <c r="G315" s="72">
        <v>0.8</v>
      </c>
      <c r="H315" s="72">
        <v>2.1</v>
      </c>
      <c r="I315" s="72">
        <v>2.1</v>
      </c>
      <c r="J315" s="72">
        <v>1.9</v>
      </c>
      <c r="K315" s="72">
        <v>1.7</v>
      </c>
      <c r="L315" s="72">
        <v>0.3</v>
      </c>
      <c r="M315" s="72">
        <v>0.1</v>
      </c>
      <c r="N315" s="72">
        <v>0.3</v>
      </c>
      <c r="O315" s="72">
        <v>0.4</v>
      </c>
      <c r="P315" s="72">
        <v>0.2</v>
      </c>
      <c r="Q315" s="72">
        <v>0.4</v>
      </c>
      <c r="R315" s="72">
        <v>0.4</v>
      </c>
      <c r="S315" s="72">
        <v>0.4</v>
      </c>
      <c r="T315" s="72">
        <v>0.6</v>
      </c>
      <c r="U315" s="72">
        <v>0.5</v>
      </c>
    </row>
    <row r="316" spans="1:21">
      <c r="A316" s="71">
        <v>35976</v>
      </c>
      <c r="B316" s="72">
        <v>67.400000000000006</v>
      </c>
      <c r="C316" s="72">
        <v>0.7</v>
      </c>
      <c r="D316" s="72">
        <v>1.4</v>
      </c>
      <c r="E316" s="72">
        <v>1.6</v>
      </c>
      <c r="F316" s="72">
        <v>0.6</v>
      </c>
      <c r="G316" s="72">
        <v>0.6</v>
      </c>
      <c r="H316" s="72">
        <v>2.4</v>
      </c>
      <c r="I316" s="72">
        <v>2.4</v>
      </c>
      <c r="J316" s="72">
        <v>2</v>
      </c>
      <c r="K316" s="72">
        <v>1.9</v>
      </c>
      <c r="L316" s="72">
        <v>0.6</v>
      </c>
      <c r="M316" s="72">
        <v>0.6</v>
      </c>
      <c r="N316" s="72">
        <v>0.6</v>
      </c>
      <c r="O316" s="72">
        <v>0.5</v>
      </c>
      <c r="P316" s="72">
        <v>0.2</v>
      </c>
      <c r="Q316" s="72">
        <v>-0.2</v>
      </c>
      <c r="R316" s="72">
        <v>1</v>
      </c>
      <c r="S316" s="72">
        <v>1</v>
      </c>
      <c r="T316" s="72">
        <v>0.6</v>
      </c>
      <c r="U316" s="72">
        <v>0.5</v>
      </c>
    </row>
    <row r="317" spans="1:21">
      <c r="A317" s="71">
        <v>36068</v>
      </c>
      <c r="B317" s="72">
        <v>67.5</v>
      </c>
      <c r="C317" s="72">
        <v>1.4</v>
      </c>
      <c r="D317" s="72">
        <v>1.7</v>
      </c>
      <c r="E317" s="72">
        <v>1.9</v>
      </c>
      <c r="F317" s="72">
        <v>0.9</v>
      </c>
      <c r="G317" s="72">
        <v>0.5</v>
      </c>
      <c r="H317" s="72">
        <v>2.8</v>
      </c>
      <c r="I317" s="72">
        <v>2.8</v>
      </c>
      <c r="J317" s="72">
        <v>2.2999999999999998</v>
      </c>
      <c r="K317" s="72">
        <v>1.9</v>
      </c>
      <c r="L317" s="72">
        <v>0.1</v>
      </c>
      <c r="M317" s="72">
        <v>0.3</v>
      </c>
      <c r="N317" s="72">
        <v>0.3</v>
      </c>
      <c r="O317" s="72">
        <v>0.3</v>
      </c>
      <c r="P317" s="72">
        <v>0.2</v>
      </c>
      <c r="Q317" s="72">
        <v>0.1</v>
      </c>
      <c r="R317" s="72">
        <v>0.4</v>
      </c>
      <c r="S317" s="72">
        <v>0.4</v>
      </c>
      <c r="T317" s="72">
        <v>0.5</v>
      </c>
      <c r="U317" s="72">
        <v>0.3</v>
      </c>
    </row>
    <row r="318" spans="1:21">
      <c r="A318" s="71">
        <v>36160</v>
      </c>
      <c r="B318" s="72">
        <v>67.8</v>
      </c>
      <c r="C318" s="72">
        <v>1.5</v>
      </c>
      <c r="D318" s="72">
        <v>1.5</v>
      </c>
      <c r="E318" s="72">
        <v>1.6</v>
      </c>
      <c r="F318" s="72">
        <v>0.6</v>
      </c>
      <c r="G318" s="72">
        <v>0.2</v>
      </c>
      <c r="H318" s="72">
        <v>2.5</v>
      </c>
      <c r="I318" s="72">
        <v>2.5</v>
      </c>
      <c r="J318" s="72">
        <v>2.2000000000000002</v>
      </c>
      <c r="K318" s="72">
        <v>1.7</v>
      </c>
      <c r="L318" s="72">
        <v>0.4</v>
      </c>
      <c r="M318" s="72">
        <v>0.4</v>
      </c>
      <c r="N318" s="72">
        <v>0.5</v>
      </c>
      <c r="O318" s="72">
        <v>0.4</v>
      </c>
      <c r="P318" s="72">
        <v>0.3</v>
      </c>
      <c r="Q318" s="72">
        <v>0</v>
      </c>
      <c r="R318" s="72">
        <v>0.6</v>
      </c>
      <c r="S318" s="72">
        <v>0.6</v>
      </c>
      <c r="T318" s="72">
        <v>0.6</v>
      </c>
      <c r="U318" s="72">
        <v>0.4</v>
      </c>
    </row>
    <row r="319" spans="1:21">
      <c r="A319" s="71">
        <v>36250</v>
      </c>
      <c r="B319" s="72">
        <v>67.8</v>
      </c>
      <c r="C319" s="72">
        <v>1.2</v>
      </c>
      <c r="D319" s="72">
        <v>1.2</v>
      </c>
      <c r="E319" s="72">
        <v>1</v>
      </c>
      <c r="F319" s="72">
        <v>0.6</v>
      </c>
      <c r="G319" s="72">
        <v>0</v>
      </c>
      <c r="H319" s="72">
        <v>1.7</v>
      </c>
      <c r="I319" s="72">
        <v>1.7</v>
      </c>
      <c r="J319" s="72">
        <v>2.2999999999999998</v>
      </c>
      <c r="K319" s="72">
        <v>1.7</v>
      </c>
      <c r="L319" s="72">
        <v>0</v>
      </c>
      <c r="M319" s="72">
        <v>-0.1</v>
      </c>
      <c r="N319" s="72">
        <v>-0.1</v>
      </c>
      <c r="O319" s="72">
        <v>-0.1</v>
      </c>
      <c r="P319" s="72">
        <v>0.2</v>
      </c>
      <c r="Q319" s="72">
        <v>0.2</v>
      </c>
      <c r="R319" s="72">
        <v>-0.4</v>
      </c>
      <c r="S319" s="72">
        <v>-0.4</v>
      </c>
      <c r="T319" s="72">
        <v>0.7</v>
      </c>
      <c r="U319" s="72">
        <v>0.5</v>
      </c>
    </row>
    <row r="320" spans="1:21">
      <c r="A320" s="71">
        <v>36341</v>
      </c>
      <c r="B320" s="72">
        <v>68.099999999999994</v>
      </c>
      <c r="C320" s="72">
        <v>1</v>
      </c>
      <c r="D320" s="72">
        <v>1</v>
      </c>
      <c r="E320" s="72">
        <v>0.9</v>
      </c>
      <c r="F320" s="72">
        <v>1</v>
      </c>
      <c r="G320" s="72">
        <v>0.4</v>
      </c>
      <c r="H320" s="72">
        <v>1.2</v>
      </c>
      <c r="I320" s="72">
        <v>1.2</v>
      </c>
      <c r="J320" s="72">
        <v>2.2000000000000002</v>
      </c>
      <c r="K320" s="72">
        <v>1.7</v>
      </c>
      <c r="L320" s="72">
        <v>0.4</v>
      </c>
      <c r="M320" s="72">
        <v>0.4</v>
      </c>
      <c r="N320" s="72">
        <v>0.5</v>
      </c>
      <c r="O320" s="72">
        <v>0.4</v>
      </c>
      <c r="P320" s="72">
        <v>0.4</v>
      </c>
      <c r="Q320" s="72">
        <v>0.2</v>
      </c>
      <c r="R320" s="72">
        <v>0.5</v>
      </c>
      <c r="S320" s="72">
        <v>0.5</v>
      </c>
      <c r="T320" s="72">
        <v>0.5</v>
      </c>
      <c r="U320" s="72">
        <v>0.4</v>
      </c>
    </row>
    <row r="321" spans="1:21">
      <c r="A321" s="71">
        <v>36433</v>
      </c>
      <c r="B321" s="72">
        <v>68.7</v>
      </c>
      <c r="C321" s="72">
        <v>1.8</v>
      </c>
      <c r="D321" s="72">
        <v>1.8</v>
      </c>
      <c r="E321" s="72">
        <v>1.2</v>
      </c>
      <c r="F321" s="72">
        <v>1.7</v>
      </c>
      <c r="G321" s="72">
        <v>0.5</v>
      </c>
      <c r="H321" s="72">
        <v>1.7</v>
      </c>
      <c r="I321" s="72">
        <v>1.7</v>
      </c>
      <c r="J321" s="72">
        <v>2.4</v>
      </c>
      <c r="K321" s="72">
        <v>2.1</v>
      </c>
      <c r="L321" s="72">
        <v>0.9</v>
      </c>
      <c r="M321" s="72">
        <v>0.9</v>
      </c>
      <c r="N321" s="72">
        <v>0.9</v>
      </c>
      <c r="O321" s="72">
        <v>0.6</v>
      </c>
      <c r="P321" s="72">
        <v>0.8</v>
      </c>
      <c r="Q321" s="72">
        <v>0.1</v>
      </c>
      <c r="R321" s="72">
        <v>0.9</v>
      </c>
      <c r="S321" s="72">
        <v>0.9</v>
      </c>
      <c r="T321" s="72">
        <v>0.7</v>
      </c>
      <c r="U321" s="72">
        <v>0.8</v>
      </c>
    </row>
    <row r="322" spans="1:21">
      <c r="A322" s="71">
        <v>36525</v>
      </c>
      <c r="B322" s="72">
        <v>69.099999999999994</v>
      </c>
      <c r="C322" s="72">
        <v>1.9</v>
      </c>
      <c r="D322" s="72">
        <v>1.8</v>
      </c>
      <c r="E322" s="72">
        <v>1.4</v>
      </c>
      <c r="F322" s="72">
        <v>1.2</v>
      </c>
      <c r="G322" s="72">
        <v>0.3</v>
      </c>
      <c r="H322" s="72">
        <v>2.1</v>
      </c>
      <c r="I322" s="72">
        <v>2.1</v>
      </c>
      <c r="J322" s="72">
        <v>2.6</v>
      </c>
      <c r="K322" s="72">
        <v>2.2999999999999998</v>
      </c>
      <c r="L322" s="72">
        <v>0.6</v>
      </c>
      <c r="M322" s="72">
        <v>0.6</v>
      </c>
      <c r="N322" s="72">
        <v>0.5</v>
      </c>
      <c r="O322" s="72">
        <v>0.5</v>
      </c>
      <c r="P322" s="72">
        <v>-0.2</v>
      </c>
      <c r="Q322" s="72">
        <v>-0.1</v>
      </c>
      <c r="R322" s="72">
        <v>1</v>
      </c>
      <c r="S322" s="72">
        <v>1</v>
      </c>
      <c r="T322" s="72">
        <v>0.7</v>
      </c>
      <c r="U322" s="72">
        <v>0.6</v>
      </c>
    </row>
    <row r="323" spans="1:21">
      <c r="A323" s="71">
        <v>36616</v>
      </c>
      <c r="B323" s="72">
        <v>69.7</v>
      </c>
      <c r="C323" s="72">
        <v>2.8</v>
      </c>
      <c r="D323" s="72">
        <v>2.5</v>
      </c>
      <c r="E323" s="72">
        <v>1.9</v>
      </c>
      <c r="F323" s="72">
        <v>1.6</v>
      </c>
      <c r="G323" s="72">
        <v>-0.2</v>
      </c>
      <c r="H323" s="72">
        <v>3.4</v>
      </c>
      <c r="I323" s="72">
        <v>3.4</v>
      </c>
      <c r="J323" s="72">
        <v>2.5</v>
      </c>
      <c r="K323" s="72">
        <v>2.5</v>
      </c>
      <c r="L323" s="72">
        <v>0.9</v>
      </c>
      <c r="M323" s="72">
        <v>0.9</v>
      </c>
      <c r="N323" s="72">
        <v>0.7</v>
      </c>
      <c r="O323" s="72">
        <v>0.4</v>
      </c>
      <c r="P323" s="72">
        <v>0.6</v>
      </c>
      <c r="Q323" s="72">
        <v>-0.4</v>
      </c>
      <c r="R323" s="72">
        <v>0.8</v>
      </c>
      <c r="S323" s="72">
        <v>0.8</v>
      </c>
      <c r="T323" s="72">
        <v>0.5</v>
      </c>
      <c r="U323" s="72">
        <v>0.7</v>
      </c>
    </row>
    <row r="324" spans="1:21">
      <c r="A324" s="71">
        <v>36707</v>
      </c>
      <c r="B324" s="72">
        <v>70.2</v>
      </c>
      <c r="C324" s="72">
        <v>3.1</v>
      </c>
      <c r="D324" s="72">
        <v>2.8</v>
      </c>
      <c r="E324" s="72">
        <v>2.1</v>
      </c>
      <c r="F324" s="72">
        <v>1.7</v>
      </c>
      <c r="G324" s="72">
        <v>-0.2</v>
      </c>
      <c r="H324" s="72">
        <v>3.6</v>
      </c>
      <c r="I324" s="72">
        <v>3.6</v>
      </c>
      <c r="J324" s="72">
        <v>2.5</v>
      </c>
      <c r="K324" s="72">
        <v>2.6</v>
      </c>
      <c r="L324" s="72">
        <v>0.7</v>
      </c>
      <c r="M324" s="72">
        <v>0.7</v>
      </c>
      <c r="N324" s="72">
        <v>0.6</v>
      </c>
      <c r="O324" s="72">
        <v>0.5</v>
      </c>
      <c r="P324" s="72">
        <v>0.4</v>
      </c>
      <c r="Q324" s="72">
        <v>0.1</v>
      </c>
      <c r="R324" s="72">
        <v>0.8</v>
      </c>
      <c r="S324" s="72">
        <v>0.8</v>
      </c>
      <c r="T324" s="72">
        <v>0.6</v>
      </c>
      <c r="U324" s="72">
        <v>0.5</v>
      </c>
    </row>
    <row r="325" spans="1:21">
      <c r="A325" s="71">
        <v>36799</v>
      </c>
      <c r="B325" s="72">
        <v>72.900000000000006</v>
      </c>
      <c r="C325" s="72">
        <v>6.1</v>
      </c>
      <c r="D325" s="72">
        <v>2.7</v>
      </c>
      <c r="E325" s="72">
        <v>2.1</v>
      </c>
      <c r="F325" s="72">
        <v>2.4</v>
      </c>
      <c r="G325" s="72">
        <v>0.5</v>
      </c>
      <c r="H325" s="72">
        <v>2.8</v>
      </c>
      <c r="I325" s="72">
        <v>2.8</v>
      </c>
      <c r="J325" s="72">
        <v>2.1</v>
      </c>
      <c r="K325" s="72">
        <v>2.4</v>
      </c>
      <c r="L325" s="72">
        <v>3.8</v>
      </c>
      <c r="M325" s="72">
        <v>3.8</v>
      </c>
      <c r="N325" s="72">
        <v>0.8</v>
      </c>
      <c r="O325" s="72">
        <v>0.4</v>
      </c>
      <c r="P325" s="72">
        <v>1.7</v>
      </c>
      <c r="Q325" s="72">
        <v>0.9</v>
      </c>
      <c r="R325" s="72">
        <v>0</v>
      </c>
      <c r="S325" s="72">
        <v>0</v>
      </c>
      <c r="T325" s="72">
        <v>0.2</v>
      </c>
      <c r="U325" s="72">
        <v>0.6</v>
      </c>
    </row>
    <row r="326" spans="1:21">
      <c r="A326" s="71">
        <v>36891</v>
      </c>
      <c r="B326" s="72">
        <v>73.099999999999994</v>
      </c>
      <c r="C326" s="72">
        <v>5.8</v>
      </c>
      <c r="D326" s="72">
        <v>2.5</v>
      </c>
      <c r="E326" s="72">
        <v>1.9</v>
      </c>
      <c r="F326" s="72">
        <v>2.9</v>
      </c>
      <c r="G326" s="72">
        <v>0.7</v>
      </c>
      <c r="H326" s="72">
        <v>2.1</v>
      </c>
      <c r="I326" s="72">
        <v>2.2000000000000002</v>
      </c>
      <c r="J326" s="72">
        <v>2</v>
      </c>
      <c r="K326" s="72">
        <v>2.4</v>
      </c>
      <c r="L326" s="72">
        <v>0.3</v>
      </c>
      <c r="M326" s="72">
        <v>0.3</v>
      </c>
      <c r="N326" s="72">
        <v>0.4</v>
      </c>
      <c r="O326" s="72">
        <v>0.3</v>
      </c>
      <c r="P326" s="72">
        <v>0.2</v>
      </c>
      <c r="Q326" s="72">
        <v>-0.1</v>
      </c>
      <c r="R326" s="72">
        <v>0.4</v>
      </c>
      <c r="S326" s="72">
        <v>0.4</v>
      </c>
      <c r="T326" s="72">
        <v>0.6</v>
      </c>
      <c r="U326" s="72">
        <v>0.6</v>
      </c>
    </row>
    <row r="327" spans="1:21">
      <c r="A327" s="71">
        <v>36981</v>
      </c>
      <c r="B327" s="72">
        <v>73.900000000000006</v>
      </c>
      <c r="C327" s="72">
        <v>6</v>
      </c>
      <c r="D327" s="72">
        <v>2.9</v>
      </c>
      <c r="E327" s="72">
        <v>2.2999999999999998</v>
      </c>
      <c r="F327" s="72">
        <v>4</v>
      </c>
      <c r="G327" s="72">
        <v>2.2999999999999998</v>
      </c>
      <c r="H327" s="72">
        <v>1.8</v>
      </c>
      <c r="I327" s="72">
        <v>1.8</v>
      </c>
      <c r="J327" s="72">
        <v>2.4</v>
      </c>
      <c r="K327" s="72">
        <v>2.7</v>
      </c>
      <c r="L327" s="72">
        <v>1.1000000000000001</v>
      </c>
      <c r="M327" s="72">
        <v>1.1000000000000001</v>
      </c>
      <c r="N327" s="72">
        <v>1.1000000000000001</v>
      </c>
      <c r="O327" s="72">
        <v>0.9</v>
      </c>
      <c r="P327" s="72">
        <v>1.6</v>
      </c>
      <c r="Q327" s="72">
        <v>1.4</v>
      </c>
      <c r="R327" s="72">
        <v>0.5</v>
      </c>
      <c r="S327" s="72">
        <v>0.5</v>
      </c>
      <c r="T327" s="72">
        <v>0.9</v>
      </c>
      <c r="U327" s="72">
        <v>1</v>
      </c>
    </row>
    <row r="328" spans="1:21">
      <c r="A328" s="71">
        <v>37072</v>
      </c>
      <c r="B328" s="72">
        <v>74.5</v>
      </c>
      <c r="C328" s="72">
        <v>6.1</v>
      </c>
      <c r="D328" s="72">
        <v>3</v>
      </c>
      <c r="E328" s="72">
        <v>2.8</v>
      </c>
      <c r="F328" s="72">
        <v>4.5</v>
      </c>
      <c r="G328" s="72">
        <v>3.4</v>
      </c>
      <c r="H328" s="72">
        <v>1.7</v>
      </c>
      <c r="I328" s="72">
        <v>1.7</v>
      </c>
      <c r="J328" s="72">
        <v>2.6</v>
      </c>
      <c r="K328" s="72">
        <v>3</v>
      </c>
      <c r="L328" s="72">
        <v>0.8</v>
      </c>
      <c r="M328" s="72">
        <v>0.8</v>
      </c>
      <c r="N328" s="72">
        <v>0.8</v>
      </c>
      <c r="O328" s="72">
        <v>0.9</v>
      </c>
      <c r="P328" s="72">
        <v>0.9</v>
      </c>
      <c r="Q328" s="72">
        <v>1.1000000000000001</v>
      </c>
      <c r="R328" s="72">
        <v>0.7</v>
      </c>
      <c r="S328" s="72">
        <v>0.7</v>
      </c>
      <c r="T328" s="72">
        <v>0.8</v>
      </c>
      <c r="U328" s="72">
        <v>0.8</v>
      </c>
    </row>
    <row r="329" spans="1:21">
      <c r="A329" s="71">
        <v>37164</v>
      </c>
      <c r="B329" s="72">
        <v>74.7</v>
      </c>
      <c r="C329" s="72">
        <v>2.5</v>
      </c>
      <c r="D329" s="72">
        <v>2.5</v>
      </c>
      <c r="E329" s="72">
        <v>3</v>
      </c>
      <c r="F329" s="72">
        <v>2.4</v>
      </c>
      <c r="G329" s="72">
        <v>3</v>
      </c>
      <c r="H329" s="72">
        <v>2.6</v>
      </c>
      <c r="I329" s="72">
        <v>2.6</v>
      </c>
      <c r="J329" s="72">
        <v>3.1</v>
      </c>
      <c r="K329" s="72">
        <v>3.1</v>
      </c>
      <c r="L329" s="72">
        <v>0.3</v>
      </c>
      <c r="M329" s="72">
        <v>0.3</v>
      </c>
      <c r="N329" s="72">
        <v>0.3</v>
      </c>
      <c r="O329" s="72">
        <v>0.7</v>
      </c>
      <c r="P329" s="72">
        <v>-0.4</v>
      </c>
      <c r="Q329" s="72">
        <v>0.5</v>
      </c>
      <c r="R329" s="72">
        <v>0.9</v>
      </c>
      <c r="S329" s="72">
        <v>0.9</v>
      </c>
      <c r="T329" s="72">
        <v>0.7</v>
      </c>
      <c r="U329" s="72">
        <v>0.7</v>
      </c>
    </row>
    <row r="330" spans="1:21">
      <c r="A330" s="71">
        <v>37256</v>
      </c>
      <c r="B330" s="72">
        <v>75.400000000000006</v>
      </c>
      <c r="C330" s="72">
        <v>3.1</v>
      </c>
      <c r="D330" s="72">
        <v>3.1</v>
      </c>
      <c r="E330" s="72">
        <v>3.7</v>
      </c>
      <c r="F330" s="72">
        <v>3.1</v>
      </c>
      <c r="G330" s="72">
        <v>4</v>
      </c>
      <c r="H330" s="72">
        <v>3.2</v>
      </c>
      <c r="I330" s="72">
        <v>3.1</v>
      </c>
      <c r="J330" s="72">
        <v>3.3</v>
      </c>
      <c r="K330" s="72">
        <v>3.3</v>
      </c>
      <c r="L330" s="72">
        <v>0.9</v>
      </c>
      <c r="M330" s="72">
        <v>0.9</v>
      </c>
      <c r="N330" s="72">
        <v>1</v>
      </c>
      <c r="O330" s="72">
        <v>1</v>
      </c>
      <c r="P330" s="72">
        <v>0.9</v>
      </c>
      <c r="Q330" s="72">
        <v>0.9</v>
      </c>
      <c r="R330" s="72">
        <v>1</v>
      </c>
      <c r="S330" s="72">
        <v>1</v>
      </c>
      <c r="T330" s="72">
        <v>0.8</v>
      </c>
      <c r="U330" s="72">
        <v>0.9</v>
      </c>
    </row>
    <row r="331" spans="1:21">
      <c r="A331" s="71">
        <v>37346</v>
      </c>
      <c r="B331" s="72">
        <v>76.099999999999994</v>
      </c>
      <c r="C331" s="72">
        <v>3</v>
      </c>
      <c r="D331" s="72">
        <v>3</v>
      </c>
      <c r="E331" s="72">
        <v>3.6</v>
      </c>
      <c r="F331" s="72">
        <v>2.4</v>
      </c>
      <c r="G331" s="72">
        <v>3.5</v>
      </c>
      <c r="H331" s="72">
        <v>3.6</v>
      </c>
      <c r="I331" s="72">
        <v>3.5</v>
      </c>
      <c r="J331" s="72">
        <v>3.1</v>
      </c>
      <c r="K331" s="72">
        <v>3.1</v>
      </c>
      <c r="L331" s="72">
        <v>0.9</v>
      </c>
      <c r="M331" s="72">
        <v>0.9</v>
      </c>
      <c r="N331" s="72">
        <v>0.9</v>
      </c>
      <c r="O331" s="72">
        <v>0.9</v>
      </c>
      <c r="P331" s="72">
        <v>0.8</v>
      </c>
      <c r="Q331" s="72">
        <v>1</v>
      </c>
      <c r="R331" s="72">
        <v>0.9</v>
      </c>
      <c r="S331" s="72">
        <v>0.9</v>
      </c>
      <c r="T331" s="72">
        <v>0.7</v>
      </c>
      <c r="U331" s="72">
        <v>0.7</v>
      </c>
    </row>
    <row r="332" spans="1:21">
      <c r="A332" s="71">
        <v>37437</v>
      </c>
      <c r="B332" s="72">
        <v>76.599999999999994</v>
      </c>
      <c r="C332" s="72">
        <v>2.8</v>
      </c>
      <c r="D332" s="72">
        <v>2.8</v>
      </c>
      <c r="E332" s="72">
        <v>3.3</v>
      </c>
      <c r="F332" s="72">
        <v>1.8</v>
      </c>
      <c r="G332" s="72">
        <v>2.4</v>
      </c>
      <c r="H332" s="72">
        <v>3.9</v>
      </c>
      <c r="I332" s="72">
        <v>3.8</v>
      </c>
      <c r="J332" s="72">
        <v>3</v>
      </c>
      <c r="K332" s="72">
        <v>3</v>
      </c>
      <c r="L332" s="72">
        <v>0.7</v>
      </c>
      <c r="M332" s="72">
        <v>0.7</v>
      </c>
      <c r="N332" s="72">
        <v>0.7</v>
      </c>
      <c r="O332" s="72">
        <v>0.6</v>
      </c>
      <c r="P332" s="72">
        <v>0.3</v>
      </c>
      <c r="Q332" s="72">
        <v>0.1</v>
      </c>
      <c r="R332" s="72">
        <v>0.9</v>
      </c>
      <c r="S332" s="72">
        <v>0.9</v>
      </c>
      <c r="T332" s="72">
        <v>0.7</v>
      </c>
      <c r="U332" s="72">
        <v>0.6</v>
      </c>
    </row>
    <row r="333" spans="1:21">
      <c r="A333" s="71">
        <v>37529</v>
      </c>
      <c r="B333" s="72">
        <v>77.099999999999994</v>
      </c>
      <c r="C333" s="72">
        <v>3.2</v>
      </c>
      <c r="D333" s="72">
        <v>3.2</v>
      </c>
      <c r="E333" s="72">
        <v>3.2</v>
      </c>
      <c r="F333" s="72">
        <v>2.4</v>
      </c>
      <c r="G333" s="72">
        <v>1.9</v>
      </c>
      <c r="H333" s="72">
        <v>4.0999999999999996</v>
      </c>
      <c r="I333" s="72">
        <v>4.0999999999999996</v>
      </c>
      <c r="J333" s="72">
        <v>3.1</v>
      </c>
      <c r="K333" s="72">
        <v>2.9</v>
      </c>
      <c r="L333" s="72">
        <v>0.7</v>
      </c>
      <c r="M333" s="72">
        <v>0.8</v>
      </c>
      <c r="N333" s="72">
        <v>0.8</v>
      </c>
      <c r="O333" s="72">
        <v>0.7</v>
      </c>
      <c r="P333" s="72">
        <v>0.2</v>
      </c>
      <c r="Q333" s="72">
        <v>0</v>
      </c>
      <c r="R333" s="72">
        <v>1.3</v>
      </c>
      <c r="S333" s="72">
        <v>1.2</v>
      </c>
      <c r="T333" s="72">
        <v>0.9</v>
      </c>
      <c r="U333" s="72">
        <v>0.7</v>
      </c>
    </row>
    <row r="334" spans="1:21">
      <c r="A334" s="71">
        <v>37621</v>
      </c>
      <c r="B334" s="72">
        <v>77.599999999999994</v>
      </c>
      <c r="C334" s="72">
        <v>2.9</v>
      </c>
      <c r="D334" s="72">
        <v>2.9</v>
      </c>
      <c r="E334" s="72">
        <v>2.7</v>
      </c>
      <c r="F334" s="72">
        <v>2.2000000000000002</v>
      </c>
      <c r="G334" s="72">
        <v>1.5</v>
      </c>
      <c r="H334" s="72">
        <v>3.6</v>
      </c>
      <c r="I334" s="72">
        <v>3.7</v>
      </c>
      <c r="J334" s="72">
        <v>3</v>
      </c>
      <c r="K334" s="72">
        <v>2.8</v>
      </c>
      <c r="L334" s="72">
        <v>0.6</v>
      </c>
      <c r="M334" s="72">
        <v>0.6</v>
      </c>
      <c r="N334" s="72">
        <v>0.6</v>
      </c>
      <c r="O334" s="72">
        <v>0.6</v>
      </c>
      <c r="P334" s="72">
        <v>0.7</v>
      </c>
      <c r="Q334" s="72">
        <v>0.5</v>
      </c>
      <c r="R334" s="72">
        <v>0.7</v>
      </c>
      <c r="S334" s="72">
        <v>0.7</v>
      </c>
      <c r="T334" s="72">
        <v>0.7</v>
      </c>
      <c r="U334" s="72">
        <v>0.7</v>
      </c>
    </row>
    <row r="335" spans="1:21">
      <c r="A335" s="71">
        <v>37711</v>
      </c>
      <c r="B335" s="72">
        <v>78.599999999999994</v>
      </c>
      <c r="C335" s="72">
        <v>3.3</v>
      </c>
      <c r="D335" s="72">
        <v>3.3</v>
      </c>
      <c r="E335" s="72">
        <v>2.7</v>
      </c>
      <c r="F335" s="72">
        <v>2.7</v>
      </c>
      <c r="G335" s="72">
        <v>0.8</v>
      </c>
      <c r="H335" s="72">
        <v>3.9</v>
      </c>
      <c r="I335" s="72">
        <v>4</v>
      </c>
      <c r="J335" s="72">
        <v>3.1</v>
      </c>
      <c r="K335" s="72">
        <v>2.9</v>
      </c>
      <c r="L335" s="72">
        <v>1.3</v>
      </c>
      <c r="M335" s="72">
        <v>1.3</v>
      </c>
      <c r="N335" s="72">
        <v>1.3</v>
      </c>
      <c r="O335" s="72">
        <v>0.8</v>
      </c>
      <c r="P335" s="72">
        <v>1.4</v>
      </c>
      <c r="Q335" s="72">
        <v>0.2</v>
      </c>
      <c r="R335" s="72">
        <v>1.1000000000000001</v>
      </c>
      <c r="S335" s="72">
        <v>1.2</v>
      </c>
      <c r="T335" s="72">
        <v>0.7</v>
      </c>
      <c r="U335" s="72">
        <v>0.8</v>
      </c>
    </row>
    <row r="336" spans="1:21">
      <c r="A336" s="71">
        <v>37802</v>
      </c>
      <c r="B336" s="72">
        <v>78.599999999999994</v>
      </c>
      <c r="C336" s="72">
        <v>2.6</v>
      </c>
      <c r="D336" s="72">
        <v>2.6</v>
      </c>
      <c r="E336" s="72">
        <v>2.7</v>
      </c>
      <c r="F336" s="72">
        <v>1</v>
      </c>
      <c r="G336" s="72">
        <v>0.6</v>
      </c>
      <c r="H336" s="72">
        <v>4.2</v>
      </c>
      <c r="I336" s="72">
        <v>4.0999999999999996</v>
      </c>
      <c r="J336" s="72">
        <v>2.8</v>
      </c>
      <c r="K336" s="72">
        <v>2.8</v>
      </c>
      <c r="L336" s="72">
        <v>0</v>
      </c>
      <c r="M336" s="72">
        <v>-0.1</v>
      </c>
      <c r="N336" s="72">
        <v>-0.1</v>
      </c>
      <c r="O336" s="72">
        <v>0.6</v>
      </c>
      <c r="P336" s="72">
        <v>-1.2</v>
      </c>
      <c r="Q336" s="72">
        <v>-0.1</v>
      </c>
      <c r="R336" s="72">
        <v>1</v>
      </c>
      <c r="S336" s="72">
        <v>1</v>
      </c>
      <c r="T336" s="72">
        <v>0.5</v>
      </c>
      <c r="U336" s="72">
        <v>0.5</v>
      </c>
    </row>
    <row r="337" spans="1:21">
      <c r="A337" s="71">
        <v>37894</v>
      </c>
      <c r="B337" s="72">
        <v>79.099999999999994</v>
      </c>
      <c r="C337" s="72">
        <v>2.6</v>
      </c>
      <c r="D337" s="72">
        <v>2.6</v>
      </c>
      <c r="E337" s="72">
        <v>2.7</v>
      </c>
      <c r="F337" s="72">
        <v>0.7</v>
      </c>
      <c r="G337" s="72">
        <v>0.3</v>
      </c>
      <c r="H337" s="72">
        <v>4.0999999999999996</v>
      </c>
      <c r="I337" s="72">
        <v>4.0999999999999996</v>
      </c>
      <c r="J337" s="72">
        <v>2.6</v>
      </c>
      <c r="K337" s="72">
        <v>2.8</v>
      </c>
      <c r="L337" s="72">
        <v>0.6</v>
      </c>
      <c r="M337" s="72">
        <v>0.6</v>
      </c>
      <c r="N337" s="72">
        <v>0.6</v>
      </c>
      <c r="O337" s="72">
        <v>0.6</v>
      </c>
      <c r="P337" s="72">
        <v>-0.1</v>
      </c>
      <c r="Q337" s="72">
        <v>-0.4</v>
      </c>
      <c r="R337" s="72">
        <v>1.2</v>
      </c>
      <c r="S337" s="72">
        <v>1.2</v>
      </c>
      <c r="T337" s="72">
        <v>0.7</v>
      </c>
      <c r="U337" s="72">
        <v>0.7</v>
      </c>
    </row>
    <row r="338" spans="1:21">
      <c r="A338" s="71">
        <v>37986</v>
      </c>
      <c r="B338" s="72">
        <v>79.5</v>
      </c>
      <c r="C338" s="72">
        <v>2.4</v>
      </c>
      <c r="D338" s="72">
        <v>2.4</v>
      </c>
      <c r="E338" s="72">
        <v>2.5</v>
      </c>
      <c r="F338" s="72">
        <v>0.1</v>
      </c>
      <c r="G338" s="72">
        <v>-0.7</v>
      </c>
      <c r="H338" s="72">
        <v>4.5</v>
      </c>
      <c r="I338" s="72">
        <v>4.4000000000000004</v>
      </c>
      <c r="J338" s="72">
        <v>2.7</v>
      </c>
      <c r="K338" s="72">
        <v>2.7</v>
      </c>
      <c r="L338" s="72">
        <v>0.5</v>
      </c>
      <c r="M338" s="72">
        <v>0.6</v>
      </c>
      <c r="N338" s="72">
        <v>0.6</v>
      </c>
      <c r="O338" s="72">
        <v>0.5</v>
      </c>
      <c r="P338" s="72">
        <v>0.2</v>
      </c>
      <c r="Q338" s="72">
        <v>-0.3</v>
      </c>
      <c r="R338" s="72">
        <v>1</v>
      </c>
      <c r="S338" s="72">
        <v>1</v>
      </c>
      <c r="T338" s="72">
        <v>0.8</v>
      </c>
      <c r="U338" s="72">
        <v>0.7</v>
      </c>
    </row>
    <row r="339" spans="1:21">
      <c r="A339" s="71">
        <v>38077</v>
      </c>
      <c r="B339" s="72">
        <v>80.2</v>
      </c>
      <c r="C339" s="72">
        <v>2</v>
      </c>
      <c r="D339" s="72">
        <v>2</v>
      </c>
      <c r="E339" s="72">
        <v>2.1</v>
      </c>
      <c r="F339" s="72">
        <v>-0.6</v>
      </c>
      <c r="G339" s="72">
        <v>-1.1000000000000001</v>
      </c>
      <c r="H339" s="72">
        <v>4.2</v>
      </c>
      <c r="I339" s="72">
        <v>4.2</v>
      </c>
      <c r="J339" s="72">
        <v>2.6</v>
      </c>
      <c r="K339" s="72">
        <v>2.6</v>
      </c>
      <c r="L339" s="72">
        <v>0.9</v>
      </c>
      <c r="M339" s="72">
        <v>0.8</v>
      </c>
      <c r="N339" s="72">
        <v>0.8</v>
      </c>
      <c r="O339" s="72">
        <v>0.4</v>
      </c>
      <c r="P339" s="72">
        <v>0.6</v>
      </c>
      <c r="Q339" s="72">
        <v>-0.4</v>
      </c>
      <c r="R339" s="72">
        <v>0.9</v>
      </c>
      <c r="S339" s="72">
        <v>0.9</v>
      </c>
      <c r="T339" s="72">
        <v>0.7</v>
      </c>
      <c r="U339" s="72">
        <v>0.7</v>
      </c>
    </row>
    <row r="340" spans="1:21">
      <c r="A340" s="71">
        <v>38168</v>
      </c>
      <c r="B340" s="72">
        <v>80.599999999999994</v>
      </c>
      <c r="C340" s="72">
        <v>2.5</v>
      </c>
      <c r="D340" s="72">
        <v>2.5</v>
      </c>
      <c r="E340" s="72">
        <v>2</v>
      </c>
      <c r="F340" s="72">
        <v>0.5</v>
      </c>
      <c r="G340" s="72">
        <v>-1.3</v>
      </c>
      <c r="H340" s="72">
        <v>4</v>
      </c>
      <c r="I340" s="72">
        <v>4.0999999999999996</v>
      </c>
      <c r="J340" s="72">
        <v>2.8</v>
      </c>
      <c r="K340" s="72">
        <v>2.6</v>
      </c>
      <c r="L340" s="72">
        <v>0.5</v>
      </c>
      <c r="M340" s="72">
        <v>0.5</v>
      </c>
      <c r="N340" s="72">
        <v>0.5</v>
      </c>
      <c r="O340" s="72">
        <v>0.5</v>
      </c>
      <c r="P340" s="72">
        <v>-0.1</v>
      </c>
      <c r="Q340" s="72">
        <v>-0.2</v>
      </c>
      <c r="R340" s="72">
        <v>0.9</v>
      </c>
      <c r="S340" s="72">
        <v>0.9</v>
      </c>
      <c r="T340" s="72">
        <v>0.6</v>
      </c>
      <c r="U340" s="72">
        <v>0.6</v>
      </c>
    </row>
    <row r="341" spans="1:21">
      <c r="A341" s="71">
        <v>38260</v>
      </c>
      <c r="B341" s="72">
        <v>80.900000000000006</v>
      </c>
      <c r="C341" s="72">
        <v>2.2999999999999998</v>
      </c>
      <c r="D341" s="72">
        <v>2.2999999999999998</v>
      </c>
      <c r="E341" s="72">
        <v>1.7</v>
      </c>
      <c r="F341" s="72">
        <v>0.7</v>
      </c>
      <c r="G341" s="72">
        <v>-1.1000000000000001</v>
      </c>
      <c r="H341" s="72">
        <v>3.7</v>
      </c>
      <c r="I341" s="72">
        <v>3.6</v>
      </c>
      <c r="J341" s="72">
        <v>2.8</v>
      </c>
      <c r="K341" s="72">
        <v>2.6</v>
      </c>
      <c r="L341" s="72">
        <v>0.4</v>
      </c>
      <c r="M341" s="72">
        <v>0.4</v>
      </c>
      <c r="N341" s="72">
        <v>0.4</v>
      </c>
      <c r="O341" s="72">
        <v>0.4</v>
      </c>
      <c r="P341" s="72">
        <v>-0.1</v>
      </c>
      <c r="Q341" s="72">
        <v>-0.2</v>
      </c>
      <c r="R341" s="72">
        <v>0.8</v>
      </c>
      <c r="S341" s="72">
        <v>0.8</v>
      </c>
      <c r="T341" s="72">
        <v>0.6</v>
      </c>
      <c r="U341" s="72">
        <v>0.6</v>
      </c>
    </row>
    <row r="342" spans="1:21">
      <c r="A342" s="71">
        <v>38352</v>
      </c>
      <c r="B342" s="72">
        <v>81.5</v>
      </c>
      <c r="C342" s="72">
        <v>2.5</v>
      </c>
      <c r="D342" s="72">
        <v>2.5</v>
      </c>
      <c r="E342" s="72">
        <v>2</v>
      </c>
      <c r="F342" s="72">
        <v>1.3</v>
      </c>
      <c r="G342" s="72">
        <v>-0.4</v>
      </c>
      <c r="H342" s="72">
        <v>3.5</v>
      </c>
      <c r="I342" s="72">
        <v>3.6</v>
      </c>
      <c r="J342" s="72">
        <v>2.6</v>
      </c>
      <c r="K342" s="72">
        <v>2.7</v>
      </c>
      <c r="L342" s="72">
        <v>0.7</v>
      </c>
      <c r="M342" s="72">
        <v>1</v>
      </c>
      <c r="N342" s="72">
        <v>1</v>
      </c>
      <c r="O342" s="72">
        <v>0.7</v>
      </c>
      <c r="P342" s="72">
        <v>1</v>
      </c>
      <c r="Q342" s="72">
        <v>0.4</v>
      </c>
      <c r="R342" s="72">
        <v>0.8</v>
      </c>
      <c r="S342" s="72">
        <v>0.9</v>
      </c>
      <c r="T342" s="72">
        <v>0.7</v>
      </c>
      <c r="U342" s="72">
        <v>0.8</v>
      </c>
    </row>
    <row r="343" spans="1:21">
      <c r="A343" s="71">
        <v>38442</v>
      </c>
      <c r="B343" s="72">
        <v>82.1</v>
      </c>
      <c r="C343" s="72">
        <v>2.4</v>
      </c>
      <c r="D343" s="72">
        <v>2.4</v>
      </c>
      <c r="E343" s="72">
        <v>2.2999999999999998</v>
      </c>
      <c r="F343" s="72">
        <v>0.7</v>
      </c>
      <c r="G343" s="72">
        <v>0</v>
      </c>
      <c r="H343" s="72">
        <v>3.7</v>
      </c>
      <c r="I343" s="72">
        <v>3.7</v>
      </c>
      <c r="J343" s="72">
        <v>2.7</v>
      </c>
      <c r="K343" s="72">
        <v>2.7</v>
      </c>
      <c r="L343" s="72">
        <v>0.7</v>
      </c>
      <c r="M343" s="72">
        <v>0.5</v>
      </c>
      <c r="N343" s="72">
        <v>0.5</v>
      </c>
      <c r="O343" s="72">
        <v>0.7</v>
      </c>
      <c r="P343" s="72">
        <v>-0.1</v>
      </c>
      <c r="Q343" s="72">
        <v>0</v>
      </c>
      <c r="R343" s="72">
        <v>1.2</v>
      </c>
      <c r="S343" s="72">
        <v>1.1000000000000001</v>
      </c>
      <c r="T343" s="72">
        <v>0.7</v>
      </c>
      <c r="U343" s="72">
        <v>0.6</v>
      </c>
    </row>
    <row r="344" spans="1:21">
      <c r="A344" s="71">
        <v>38533</v>
      </c>
      <c r="B344" s="72">
        <v>82.6</v>
      </c>
      <c r="C344" s="72">
        <v>2.5</v>
      </c>
      <c r="D344" s="72">
        <v>2.5</v>
      </c>
      <c r="E344" s="72">
        <v>2.2000000000000002</v>
      </c>
      <c r="F344" s="72">
        <v>1.2</v>
      </c>
      <c r="G344" s="72">
        <v>0.3</v>
      </c>
      <c r="H344" s="72">
        <v>3.6</v>
      </c>
      <c r="I344" s="72">
        <v>3.5</v>
      </c>
      <c r="J344" s="72">
        <v>2.8</v>
      </c>
      <c r="K344" s="72">
        <v>2.7</v>
      </c>
      <c r="L344" s="72">
        <v>0.6</v>
      </c>
      <c r="M344" s="72">
        <v>0.6</v>
      </c>
      <c r="N344" s="72">
        <v>0.6</v>
      </c>
      <c r="O344" s="72">
        <v>0.5</v>
      </c>
      <c r="P344" s="72">
        <v>0.3</v>
      </c>
      <c r="Q344" s="72">
        <v>0</v>
      </c>
      <c r="R344" s="72">
        <v>0.6</v>
      </c>
      <c r="S344" s="72">
        <v>0.7</v>
      </c>
      <c r="T344" s="72">
        <v>0.7</v>
      </c>
      <c r="U344" s="72">
        <v>0.6</v>
      </c>
    </row>
    <row r="345" spans="1:21">
      <c r="A345" s="71">
        <v>38625</v>
      </c>
      <c r="B345" s="72">
        <v>83.4</v>
      </c>
      <c r="C345" s="72">
        <v>3.1</v>
      </c>
      <c r="D345" s="72">
        <v>3.1</v>
      </c>
      <c r="E345" s="72">
        <v>2.4</v>
      </c>
      <c r="F345" s="72">
        <v>2.6</v>
      </c>
      <c r="G345" s="72">
        <v>0.7</v>
      </c>
      <c r="H345" s="72">
        <v>3.4</v>
      </c>
      <c r="I345" s="72">
        <v>3.5</v>
      </c>
      <c r="J345" s="72">
        <v>2.7</v>
      </c>
      <c r="K345" s="72">
        <v>2.7</v>
      </c>
      <c r="L345" s="72">
        <v>1</v>
      </c>
      <c r="M345" s="72">
        <v>1</v>
      </c>
      <c r="N345" s="72">
        <v>1</v>
      </c>
      <c r="O345" s="72">
        <v>0.5</v>
      </c>
      <c r="P345" s="72">
        <v>1.3</v>
      </c>
      <c r="Q345" s="72">
        <v>0.2</v>
      </c>
      <c r="R345" s="72">
        <v>0.8</v>
      </c>
      <c r="S345" s="72">
        <v>0.8</v>
      </c>
      <c r="T345" s="72">
        <v>0.6</v>
      </c>
      <c r="U345" s="72">
        <v>0.6</v>
      </c>
    </row>
    <row r="346" spans="1:21">
      <c r="A346" s="71">
        <v>38717</v>
      </c>
      <c r="B346" s="72">
        <v>83.8</v>
      </c>
      <c r="C346" s="72">
        <v>2.8</v>
      </c>
      <c r="D346" s="72">
        <v>2.8</v>
      </c>
      <c r="E346" s="72">
        <v>2.2999999999999998</v>
      </c>
      <c r="F346" s="72">
        <v>1.9</v>
      </c>
      <c r="G346" s="72">
        <v>0.1</v>
      </c>
      <c r="H346" s="72">
        <v>3.5</v>
      </c>
      <c r="I346" s="72">
        <v>3.5</v>
      </c>
      <c r="J346" s="72">
        <v>2.8</v>
      </c>
      <c r="K346" s="72">
        <v>2.6</v>
      </c>
      <c r="L346" s="72">
        <v>0.5</v>
      </c>
      <c r="M346" s="72">
        <v>0.6</v>
      </c>
      <c r="N346" s="72">
        <v>0.6</v>
      </c>
      <c r="O346" s="72">
        <v>0.6</v>
      </c>
      <c r="P346" s="72">
        <v>0.3</v>
      </c>
      <c r="Q346" s="72">
        <v>-0.2</v>
      </c>
      <c r="R346" s="72">
        <v>0.9</v>
      </c>
      <c r="S346" s="72">
        <v>0.8</v>
      </c>
      <c r="T346" s="72">
        <v>0.8</v>
      </c>
      <c r="U346" s="72">
        <v>0.7</v>
      </c>
    </row>
    <row r="347" spans="1:21">
      <c r="A347" s="71">
        <v>38807</v>
      </c>
      <c r="B347" s="72">
        <v>84.5</v>
      </c>
      <c r="C347" s="72">
        <v>2.9</v>
      </c>
      <c r="D347" s="72">
        <v>2.9</v>
      </c>
      <c r="E347" s="72">
        <v>2.2000000000000002</v>
      </c>
      <c r="F347" s="72">
        <v>2.9</v>
      </c>
      <c r="G347" s="72">
        <v>0.7</v>
      </c>
      <c r="H347" s="72">
        <v>3.1</v>
      </c>
      <c r="I347" s="72">
        <v>3.3</v>
      </c>
      <c r="J347" s="72">
        <v>2.9</v>
      </c>
      <c r="K347" s="72">
        <v>2.8</v>
      </c>
      <c r="L347" s="72">
        <v>0.8</v>
      </c>
      <c r="M347" s="72">
        <v>0.8</v>
      </c>
      <c r="N347" s="72">
        <v>0.8</v>
      </c>
      <c r="O347" s="72">
        <v>0.7</v>
      </c>
      <c r="P347" s="72">
        <v>0.9</v>
      </c>
      <c r="Q347" s="72">
        <v>0.6</v>
      </c>
      <c r="R347" s="72">
        <v>0.8</v>
      </c>
      <c r="S347" s="72">
        <v>0.9</v>
      </c>
      <c r="T347" s="72">
        <v>0.8</v>
      </c>
      <c r="U347" s="72">
        <v>0.8</v>
      </c>
    </row>
    <row r="348" spans="1:21">
      <c r="A348" s="71">
        <v>38898</v>
      </c>
      <c r="B348" s="72">
        <v>85.9</v>
      </c>
      <c r="C348" s="72">
        <v>4</v>
      </c>
      <c r="D348" s="72">
        <v>4</v>
      </c>
      <c r="E348" s="72">
        <v>2.5</v>
      </c>
      <c r="F348" s="72">
        <v>4.8</v>
      </c>
      <c r="G348" s="72">
        <v>0.5</v>
      </c>
      <c r="H348" s="72">
        <v>3.4</v>
      </c>
      <c r="I348" s="72">
        <v>3.6</v>
      </c>
      <c r="J348" s="72">
        <v>3.1</v>
      </c>
      <c r="K348" s="72">
        <v>3</v>
      </c>
      <c r="L348" s="72">
        <v>1.7</v>
      </c>
      <c r="M348" s="72">
        <v>1.5</v>
      </c>
      <c r="N348" s="72">
        <v>1.5</v>
      </c>
      <c r="O348" s="72">
        <v>0.6</v>
      </c>
      <c r="P348" s="72">
        <v>2.2000000000000002</v>
      </c>
      <c r="Q348" s="72">
        <v>-0.1</v>
      </c>
      <c r="R348" s="72">
        <v>1</v>
      </c>
      <c r="S348" s="72">
        <v>1</v>
      </c>
      <c r="T348" s="72">
        <v>0.9</v>
      </c>
      <c r="U348" s="72">
        <v>0.8</v>
      </c>
    </row>
    <row r="349" spans="1:21">
      <c r="A349" s="71">
        <v>38990</v>
      </c>
      <c r="B349" s="72">
        <v>86.7</v>
      </c>
      <c r="C349" s="72">
        <v>4</v>
      </c>
      <c r="D349" s="72">
        <v>4</v>
      </c>
      <c r="E349" s="72">
        <v>2.6</v>
      </c>
      <c r="F349" s="72">
        <v>4.4000000000000004</v>
      </c>
      <c r="G349" s="72">
        <v>0.9</v>
      </c>
      <c r="H349" s="72">
        <v>3.5</v>
      </c>
      <c r="I349" s="72">
        <v>3.8</v>
      </c>
      <c r="J349" s="72">
        <v>3.4</v>
      </c>
      <c r="K349" s="72">
        <v>3.1</v>
      </c>
      <c r="L349" s="72">
        <v>0.9</v>
      </c>
      <c r="M349" s="72">
        <v>0.8</v>
      </c>
      <c r="N349" s="72">
        <v>0.8</v>
      </c>
      <c r="O349" s="72">
        <v>0.7</v>
      </c>
      <c r="P349" s="72">
        <v>1</v>
      </c>
      <c r="Q349" s="72">
        <v>0.6</v>
      </c>
      <c r="R349" s="72">
        <v>0.9</v>
      </c>
      <c r="S349" s="72">
        <v>0.9</v>
      </c>
      <c r="T349" s="72">
        <v>0.8</v>
      </c>
      <c r="U349" s="72">
        <v>0.7</v>
      </c>
    </row>
    <row r="350" spans="1:21">
      <c r="A350" s="71">
        <v>39082</v>
      </c>
      <c r="B350" s="72">
        <v>86.6</v>
      </c>
      <c r="C350" s="72">
        <v>3.3</v>
      </c>
      <c r="D350" s="72">
        <v>3.3</v>
      </c>
      <c r="E350" s="72">
        <v>2.7</v>
      </c>
      <c r="F350" s="72">
        <v>3</v>
      </c>
      <c r="G350" s="72">
        <v>1.2</v>
      </c>
      <c r="H350" s="72">
        <v>3.5</v>
      </c>
      <c r="I350" s="72">
        <v>3.8</v>
      </c>
      <c r="J350" s="72">
        <v>3.1</v>
      </c>
      <c r="K350" s="72">
        <v>3</v>
      </c>
      <c r="L350" s="72">
        <v>-0.1</v>
      </c>
      <c r="M350" s="72">
        <v>0.1</v>
      </c>
      <c r="N350" s="72">
        <v>0.1</v>
      </c>
      <c r="O350" s="72">
        <v>0.6</v>
      </c>
      <c r="P350" s="72">
        <v>-1.2</v>
      </c>
      <c r="Q350" s="72">
        <v>0.1</v>
      </c>
      <c r="R350" s="72">
        <v>0.9</v>
      </c>
      <c r="S350" s="72">
        <v>0.9</v>
      </c>
      <c r="T350" s="72">
        <v>0.5</v>
      </c>
      <c r="U350" s="72">
        <v>0.6</v>
      </c>
    </row>
    <row r="351" spans="1:21">
      <c r="A351" s="71">
        <v>39172</v>
      </c>
      <c r="B351" s="72">
        <v>86.6</v>
      </c>
      <c r="C351" s="72">
        <v>2.5</v>
      </c>
      <c r="D351" s="72">
        <v>2.5</v>
      </c>
      <c r="E351" s="72">
        <v>2.6</v>
      </c>
      <c r="F351" s="72">
        <v>1</v>
      </c>
      <c r="G351" s="72">
        <v>0.7</v>
      </c>
      <c r="H351" s="72">
        <v>3.5</v>
      </c>
      <c r="I351" s="72">
        <v>3.7</v>
      </c>
      <c r="J351" s="72">
        <v>2.8</v>
      </c>
      <c r="K351" s="72">
        <v>2.7</v>
      </c>
      <c r="L351" s="72">
        <v>0</v>
      </c>
      <c r="M351" s="72">
        <v>0</v>
      </c>
      <c r="N351" s="72">
        <v>0</v>
      </c>
      <c r="O351" s="72">
        <v>0.5</v>
      </c>
      <c r="P351" s="72">
        <v>-1</v>
      </c>
      <c r="Q351" s="72">
        <v>0.2</v>
      </c>
      <c r="R351" s="72">
        <v>0.7</v>
      </c>
      <c r="S351" s="72">
        <v>0.8</v>
      </c>
      <c r="T351" s="72">
        <v>0.6</v>
      </c>
      <c r="U351" s="72">
        <v>0.6</v>
      </c>
    </row>
    <row r="352" spans="1:21">
      <c r="A352" s="71">
        <v>39263</v>
      </c>
      <c r="B352" s="72">
        <v>87.7</v>
      </c>
      <c r="C352" s="72">
        <v>2.1</v>
      </c>
      <c r="D352" s="72">
        <v>2.1</v>
      </c>
      <c r="E352" s="72">
        <v>2.6</v>
      </c>
      <c r="F352" s="72">
        <v>0.3</v>
      </c>
      <c r="G352" s="72">
        <v>1.4</v>
      </c>
      <c r="H352" s="72">
        <v>3.3</v>
      </c>
      <c r="I352" s="72">
        <v>3.6</v>
      </c>
      <c r="J352" s="72">
        <v>2.8</v>
      </c>
      <c r="K352" s="72">
        <v>2.8</v>
      </c>
      <c r="L352" s="72">
        <v>1.3</v>
      </c>
      <c r="M352" s="72">
        <v>1.2</v>
      </c>
      <c r="N352" s="72">
        <v>1.2</v>
      </c>
      <c r="O352" s="72">
        <v>0.7</v>
      </c>
      <c r="P352" s="72">
        <v>1.4</v>
      </c>
      <c r="Q352" s="72">
        <v>0.4</v>
      </c>
      <c r="R352" s="72">
        <v>1</v>
      </c>
      <c r="S352" s="72">
        <v>0.9</v>
      </c>
      <c r="T352" s="72">
        <v>0.9</v>
      </c>
      <c r="U352" s="72">
        <v>0.9</v>
      </c>
    </row>
    <row r="353" spans="1:21">
      <c r="A353" s="71">
        <v>39355</v>
      </c>
      <c r="B353" s="72">
        <v>88.3</v>
      </c>
      <c r="C353" s="72">
        <v>1.8</v>
      </c>
      <c r="D353" s="72">
        <v>1.8</v>
      </c>
      <c r="E353" s="72">
        <v>2.6</v>
      </c>
      <c r="F353" s="72">
        <v>-0.3</v>
      </c>
      <c r="G353" s="72">
        <v>0.8</v>
      </c>
      <c r="H353" s="72">
        <v>3.5</v>
      </c>
      <c r="I353" s="72">
        <v>3.6</v>
      </c>
      <c r="J353" s="72">
        <v>3</v>
      </c>
      <c r="K353" s="72">
        <v>2.9</v>
      </c>
      <c r="L353" s="72">
        <v>0.7</v>
      </c>
      <c r="M353" s="72">
        <v>0.6</v>
      </c>
      <c r="N353" s="72">
        <v>0.6</v>
      </c>
      <c r="O353" s="72">
        <v>0.6</v>
      </c>
      <c r="P353" s="72">
        <v>0.3</v>
      </c>
      <c r="Q353" s="72">
        <v>0.1</v>
      </c>
      <c r="R353" s="72">
        <v>0.8</v>
      </c>
      <c r="S353" s="72">
        <v>0.8</v>
      </c>
      <c r="T353" s="72">
        <v>1</v>
      </c>
      <c r="U353" s="72">
        <v>0.9</v>
      </c>
    </row>
    <row r="354" spans="1:21">
      <c r="A354" s="71">
        <v>39447</v>
      </c>
      <c r="B354" s="72">
        <v>89.1</v>
      </c>
      <c r="C354" s="72">
        <v>2.9</v>
      </c>
      <c r="D354" s="72">
        <v>2.9</v>
      </c>
      <c r="E354" s="72">
        <v>3</v>
      </c>
      <c r="F354" s="72">
        <v>1.4</v>
      </c>
      <c r="G354" s="72">
        <v>1.2</v>
      </c>
      <c r="H354" s="72">
        <v>4</v>
      </c>
      <c r="I354" s="72">
        <v>3.9</v>
      </c>
      <c r="J354" s="72">
        <v>3.8</v>
      </c>
      <c r="K354" s="72">
        <v>3.6</v>
      </c>
      <c r="L354" s="72">
        <v>0.9</v>
      </c>
      <c r="M354" s="72">
        <v>1.2</v>
      </c>
      <c r="N354" s="72">
        <v>1.2</v>
      </c>
      <c r="O354" s="72">
        <v>1.2</v>
      </c>
      <c r="P354" s="72">
        <v>0.9</v>
      </c>
      <c r="Q354" s="72">
        <v>0.6</v>
      </c>
      <c r="R354" s="72">
        <v>1.5</v>
      </c>
      <c r="S354" s="72">
        <v>1.4</v>
      </c>
      <c r="T354" s="72">
        <v>1.3</v>
      </c>
      <c r="U354" s="72">
        <v>1.2</v>
      </c>
    </row>
    <row r="355" spans="1:21">
      <c r="A355" s="71">
        <v>39538</v>
      </c>
      <c r="B355" s="72">
        <v>90.3</v>
      </c>
      <c r="C355" s="72">
        <v>4.3</v>
      </c>
      <c r="D355" s="72">
        <v>4.3</v>
      </c>
      <c r="E355" s="72">
        <v>3.6</v>
      </c>
      <c r="F355" s="72">
        <v>3.3</v>
      </c>
      <c r="G355" s="72">
        <v>1.3</v>
      </c>
      <c r="H355" s="72">
        <v>4.9000000000000004</v>
      </c>
      <c r="I355" s="72">
        <v>4.7</v>
      </c>
      <c r="J355" s="72">
        <v>4.5</v>
      </c>
      <c r="K355" s="72">
        <v>4.2</v>
      </c>
      <c r="L355" s="72">
        <v>1.3</v>
      </c>
      <c r="M355" s="72">
        <v>1.2</v>
      </c>
      <c r="N355" s="72">
        <v>1.2</v>
      </c>
      <c r="O355" s="72">
        <v>1</v>
      </c>
      <c r="P355" s="72">
        <v>0.7</v>
      </c>
      <c r="Q355" s="72">
        <v>0.3</v>
      </c>
      <c r="R355" s="72">
        <v>1.4</v>
      </c>
      <c r="S355" s="72">
        <v>1.5</v>
      </c>
      <c r="T355" s="72">
        <v>1.3</v>
      </c>
      <c r="U355" s="72">
        <v>1.1000000000000001</v>
      </c>
    </row>
    <row r="356" spans="1:21">
      <c r="A356" s="71">
        <v>39629</v>
      </c>
      <c r="B356" s="72">
        <v>91.6</v>
      </c>
      <c r="C356" s="72">
        <v>4.4000000000000004</v>
      </c>
      <c r="D356" s="72">
        <v>4.4000000000000004</v>
      </c>
      <c r="E356" s="72">
        <v>4.2</v>
      </c>
      <c r="F356" s="72">
        <v>2.9</v>
      </c>
      <c r="G356" s="72">
        <v>1.6</v>
      </c>
      <c r="H356" s="72">
        <v>5.6</v>
      </c>
      <c r="I356" s="72">
        <v>4.8</v>
      </c>
      <c r="J356" s="72">
        <v>4.8</v>
      </c>
      <c r="K356" s="72">
        <v>4.4000000000000004</v>
      </c>
      <c r="L356" s="72">
        <v>1.4</v>
      </c>
      <c r="M356" s="72">
        <v>1.3</v>
      </c>
      <c r="N356" s="72">
        <v>1.3</v>
      </c>
      <c r="O356" s="72">
        <v>1.4</v>
      </c>
      <c r="P356" s="72">
        <v>0.8</v>
      </c>
      <c r="Q356" s="72">
        <v>0.7</v>
      </c>
      <c r="R356" s="72">
        <v>1.7</v>
      </c>
      <c r="S356" s="72">
        <v>1.1000000000000001</v>
      </c>
      <c r="T356" s="72">
        <v>1.2</v>
      </c>
      <c r="U356" s="72">
        <v>1.2</v>
      </c>
    </row>
    <row r="357" spans="1:21">
      <c r="A357" s="71">
        <v>39721</v>
      </c>
      <c r="B357" s="72">
        <v>92.7</v>
      </c>
      <c r="C357" s="72">
        <v>5</v>
      </c>
      <c r="D357" s="72">
        <v>5</v>
      </c>
      <c r="E357" s="72">
        <v>4.5999999999999996</v>
      </c>
      <c r="F357" s="72">
        <v>3.3</v>
      </c>
      <c r="G357" s="72">
        <v>1.8</v>
      </c>
      <c r="H357" s="72">
        <v>6.1</v>
      </c>
      <c r="I357" s="72">
        <v>5.3</v>
      </c>
      <c r="J357" s="72">
        <v>5.0999999999999996</v>
      </c>
      <c r="K357" s="72">
        <v>4.8</v>
      </c>
      <c r="L357" s="72">
        <v>1.2</v>
      </c>
      <c r="M357" s="72">
        <v>1.1000000000000001</v>
      </c>
      <c r="N357" s="72">
        <v>1.1000000000000001</v>
      </c>
      <c r="O357" s="72">
        <v>0.9</v>
      </c>
      <c r="P357" s="72">
        <v>0.8</v>
      </c>
      <c r="Q357" s="72">
        <v>0.2</v>
      </c>
      <c r="R357" s="72">
        <v>1.4</v>
      </c>
      <c r="S357" s="72">
        <v>1.2</v>
      </c>
      <c r="T357" s="72">
        <v>1.3</v>
      </c>
      <c r="U357" s="72">
        <v>1.2</v>
      </c>
    </row>
    <row r="358" spans="1:21">
      <c r="A358" s="71">
        <v>39813</v>
      </c>
      <c r="B358" s="72">
        <v>92.4</v>
      </c>
      <c r="C358" s="72">
        <v>3.7</v>
      </c>
      <c r="D358" s="72">
        <v>3.7</v>
      </c>
      <c r="E358" s="72">
        <v>4</v>
      </c>
      <c r="F358" s="72">
        <v>1.2</v>
      </c>
      <c r="G358" s="72">
        <v>1.5</v>
      </c>
      <c r="H358" s="72">
        <v>5.4</v>
      </c>
      <c r="I358" s="72">
        <v>5</v>
      </c>
      <c r="J358" s="72">
        <v>4.5999999999999996</v>
      </c>
      <c r="K358" s="72">
        <v>4.3</v>
      </c>
      <c r="L358" s="72">
        <v>-0.3</v>
      </c>
      <c r="M358" s="72">
        <v>0</v>
      </c>
      <c r="N358" s="72">
        <v>0</v>
      </c>
      <c r="O358" s="72">
        <v>0.7</v>
      </c>
      <c r="P358" s="72">
        <v>-1.2</v>
      </c>
      <c r="Q358" s="72">
        <v>0.3</v>
      </c>
      <c r="R358" s="72">
        <v>0.8</v>
      </c>
      <c r="S358" s="72">
        <v>1</v>
      </c>
      <c r="T358" s="72">
        <v>0.9</v>
      </c>
      <c r="U358" s="72">
        <v>0.7</v>
      </c>
    </row>
    <row r="359" spans="1:21">
      <c r="A359" s="71">
        <v>39903</v>
      </c>
      <c r="B359" s="72">
        <v>92.5</v>
      </c>
      <c r="C359" s="72">
        <v>2.4</v>
      </c>
      <c r="D359" s="72">
        <v>2.4</v>
      </c>
      <c r="E359" s="72">
        <v>3.2</v>
      </c>
      <c r="F359" s="72">
        <v>0.9</v>
      </c>
      <c r="G359" s="72">
        <v>2.6</v>
      </c>
      <c r="H359" s="72">
        <v>3.4</v>
      </c>
      <c r="I359" s="72">
        <v>4.2</v>
      </c>
      <c r="J359" s="72">
        <v>4.5999999999999996</v>
      </c>
      <c r="K359" s="72">
        <v>4.0999999999999996</v>
      </c>
      <c r="L359" s="72">
        <v>0.1</v>
      </c>
      <c r="M359" s="72">
        <v>-0.1</v>
      </c>
      <c r="N359" s="72">
        <v>-0.1</v>
      </c>
      <c r="O359" s="72">
        <v>0.2</v>
      </c>
      <c r="P359" s="72">
        <v>0.4</v>
      </c>
      <c r="Q359" s="72">
        <v>1.3</v>
      </c>
      <c r="R359" s="72">
        <v>-0.3</v>
      </c>
      <c r="S359" s="72">
        <v>0.8</v>
      </c>
      <c r="T359" s="72">
        <v>1.2</v>
      </c>
      <c r="U359" s="72">
        <v>0.9</v>
      </c>
    </row>
    <row r="360" spans="1:21">
      <c r="A360" s="71">
        <v>39994</v>
      </c>
      <c r="B360" s="72">
        <v>92.9</v>
      </c>
      <c r="C360" s="72">
        <v>1.4</v>
      </c>
      <c r="D360" s="72">
        <v>1.4</v>
      </c>
      <c r="E360" s="72">
        <v>2.5</v>
      </c>
      <c r="F360" s="72">
        <v>0</v>
      </c>
      <c r="G360" s="72">
        <v>2.2999999999999998</v>
      </c>
      <c r="H360" s="72">
        <v>2.5</v>
      </c>
      <c r="I360" s="72">
        <v>4.2</v>
      </c>
      <c r="J360" s="72">
        <v>4.2</v>
      </c>
      <c r="K360" s="72">
        <v>3.6</v>
      </c>
      <c r="L360" s="72">
        <v>0.4</v>
      </c>
      <c r="M360" s="72">
        <v>0.5</v>
      </c>
      <c r="N360" s="72">
        <v>0.5</v>
      </c>
      <c r="O360" s="72">
        <v>0.6</v>
      </c>
      <c r="P360" s="72">
        <v>0.1</v>
      </c>
      <c r="Q360" s="72">
        <v>0.4</v>
      </c>
      <c r="R360" s="72">
        <v>0.7</v>
      </c>
      <c r="S360" s="72">
        <v>1.1000000000000001</v>
      </c>
      <c r="T360" s="72">
        <v>0.8</v>
      </c>
      <c r="U360" s="72">
        <v>0.7</v>
      </c>
    </row>
    <row r="361" spans="1:21">
      <c r="A361" s="71">
        <v>40086</v>
      </c>
      <c r="B361" s="72">
        <v>93.8</v>
      </c>
      <c r="C361" s="72">
        <v>1.2</v>
      </c>
      <c r="D361" s="72">
        <v>1.2</v>
      </c>
      <c r="E361" s="72">
        <v>2.4</v>
      </c>
      <c r="F361" s="72">
        <v>-0.4</v>
      </c>
      <c r="G361" s="72">
        <v>2.2999999999999998</v>
      </c>
      <c r="H361" s="72">
        <v>2.2999999999999998</v>
      </c>
      <c r="I361" s="72">
        <v>4</v>
      </c>
      <c r="J361" s="72">
        <v>3.8</v>
      </c>
      <c r="K361" s="72">
        <v>3.1</v>
      </c>
      <c r="L361" s="72">
        <v>1</v>
      </c>
      <c r="M361" s="72">
        <v>0.8</v>
      </c>
      <c r="N361" s="72">
        <v>0.8</v>
      </c>
      <c r="O361" s="72">
        <v>0.8</v>
      </c>
      <c r="P361" s="72">
        <v>0.3</v>
      </c>
      <c r="Q361" s="72">
        <v>0.2</v>
      </c>
      <c r="R361" s="72">
        <v>1.2</v>
      </c>
      <c r="S361" s="72">
        <v>1</v>
      </c>
      <c r="T361" s="72">
        <v>0.9</v>
      </c>
      <c r="U361" s="72">
        <v>0.7</v>
      </c>
    </row>
    <row r="362" spans="1:21">
      <c r="A362" s="71">
        <v>40178</v>
      </c>
      <c r="B362" s="72">
        <v>94.3</v>
      </c>
      <c r="C362" s="72">
        <v>2.1</v>
      </c>
      <c r="D362" s="72">
        <v>2.1</v>
      </c>
      <c r="E362" s="72">
        <v>2.5</v>
      </c>
      <c r="F362" s="72">
        <v>1.4</v>
      </c>
      <c r="G362" s="72">
        <v>2.1</v>
      </c>
      <c r="H362" s="72">
        <v>2.7</v>
      </c>
      <c r="I362" s="72">
        <v>4.0999999999999996</v>
      </c>
      <c r="J362" s="72">
        <v>3.8</v>
      </c>
      <c r="K362" s="72">
        <v>3.2</v>
      </c>
      <c r="L362" s="72">
        <v>0.5</v>
      </c>
      <c r="M362" s="72">
        <v>0.9</v>
      </c>
      <c r="N362" s="72">
        <v>0.9</v>
      </c>
      <c r="O362" s="72">
        <v>0.7</v>
      </c>
      <c r="P362" s="72">
        <v>0.5</v>
      </c>
      <c r="Q362" s="72">
        <v>0.2</v>
      </c>
      <c r="R362" s="72">
        <v>1</v>
      </c>
      <c r="S362" s="72">
        <v>1.1000000000000001</v>
      </c>
      <c r="T362" s="72">
        <v>0.9</v>
      </c>
      <c r="U362" s="72">
        <v>0.8</v>
      </c>
    </row>
    <row r="363" spans="1:21">
      <c r="A363" s="71">
        <v>40268</v>
      </c>
      <c r="B363" s="72">
        <v>95.2</v>
      </c>
      <c r="C363" s="72">
        <v>2.9</v>
      </c>
      <c r="D363" s="72">
        <v>2.9</v>
      </c>
      <c r="E363" s="72">
        <v>2.9</v>
      </c>
      <c r="F363" s="72">
        <v>1</v>
      </c>
      <c r="G363" s="72">
        <v>0.3</v>
      </c>
      <c r="H363" s="72">
        <v>4.2</v>
      </c>
      <c r="I363" s="72">
        <v>4.4000000000000004</v>
      </c>
      <c r="J363" s="72">
        <v>3.5</v>
      </c>
      <c r="K363" s="72">
        <v>3.1</v>
      </c>
      <c r="L363" s="72">
        <v>1</v>
      </c>
      <c r="M363" s="72">
        <v>0.7</v>
      </c>
      <c r="N363" s="72">
        <v>0.7</v>
      </c>
      <c r="O363" s="72">
        <v>0.7</v>
      </c>
      <c r="P363" s="72">
        <v>0.1</v>
      </c>
      <c r="Q363" s="72">
        <v>-0.5</v>
      </c>
      <c r="R363" s="72">
        <v>1.2</v>
      </c>
      <c r="S363" s="72">
        <v>1.1000000000000001</v>
      </c>
      <c r="T363" s="72">
        <v>0.8</v>
      </c>
      <c r="U363" s="72">
        <v>0.8</v>
      </c>
    </row>
    <row r="364" spans="1:21">
      <c r="A364" s="71">
        <v>40359</v>
      </c>
      <c r="B364" s="72">
        <v>95.8</v>
      </c>
      <c r="C364" s="72">
        <v>3.1</v>
      </c>
      <c r="D364" s="72">
        <v>3.1</v>
      </c>
      <c r="E364" s="72">
        <v>2.9</v>
      </c>
      <c r="F364" s="72">
        <v>1.4</v>
      </c>
      <c r="G364" s="72">
        <v>-0.6</v>
      </c>
      <c r="H364" s="72">
        <v>4.0999999999999996</v>
      </c>
      <c r="I364" s="72">
        <v>4</v>
      </c>
      <c r="J364" s="72">
        <v>3.2</v>
      </c>
      <c r="K364" s="72">
        <v>2.8</v>
      </c>
      <c r="L364" s="72">
        <v>0.6</v>
      </c>
      <c r="M364" s="72">
        <v>0.6</v>
      </c>
      <c r="N364" s="72">
        <v>0.6</v>
      </c>
      <c r="O364" s="72">
        <v>0.7</v>
      </c>
      <c r="P364" s="72">
        <v>0.5</v>
      </c>
      <c r="Q364" s="72">
        <v>-0.4</v>
      </c>
      <c r="R364" s="72">
        <v>0.7</v>
      </c>
      <c r="S364" s="72">
        <v>0.7</v>
      </c>
      <c r="T364" s="72">
        <v>0.5</v>
      </c>
      <c r="U364" s="72">
        <v>0.4</v>
      </c>
    </row>
    <row r="365" spans="1:21">
      <c r="A365" s="71">
        <v>40451</v>
      </c>
      <c r="B365" s="72">
        <v>96.5</v>
      </c>
      <c r="C365" s="72">
        <v>2.9</v>
      </c>
      <c r="D365" s="72">
        <v>2.9</v>
      </c>
      <c r="E365" s="72">
        <v>3</v>
      </c>
      <c r="F365" s="72">
        <v>1.3</v>
      </c>
      <c r="G365" s="72">
        <v>-0.5</v>
      </c>
      <c r="H365" s="72">
        <v>3.8</v>
      </c>
      <c r="I365" s="72">
        <v>3.8</v>
      </c>
      <c r="J365" s="72">
        <v>2.8</v>
      </c>
      <c r="K365" s="72">
        <v>2.6</v>
      </c>
      <c r="L365" s="72">
        <v>0.7</v>
      </c>
      <c r="M365" s="72">
        <v>0.6</v>
      </c>
      <c r="N365" s="72">
        <v>0.6</v>
      </c>
      <c r="O365" s="72">
        <v>0.8</v>
      </c>
      <c r="P365" s="72">
        <v>0.2</v>
      </c>
      <c r="Q365" s="72">
        <v>0.2</v>
      </c>
      <c r="R365" s="72">
        <v>0.7</v>
      </c>
      <c r="S365" s="72">
        <v>0.8</v>
      </c>
      <c r="T365" s="72">
        <v>0.5</v>
      </c>
      <c r="U365" s="72">
        <v>0.6</v>
      </c>
    </row>
    <row r="366" spans="1:21">
      <c r="A366" s="71">
        <v>40543</v>
      </c>
      <c r="B366" s="72">
        <v>96.9</v>
      </c>
      <c r="C366" s="72">
        <v>2.8</v>
      </c>
      <c r="D366" s="72">
        <v>2.8</v>
      </c>
      <c r="E366" s="72">
        <v>2.4</v>
      </c>
      <c r="F366" s="72">
        <v>1.7</v>
      </c>
      <c r="G366" s="72">
        <v>-1.4</v>
      </c>
      <c r="H366" s="72">
        <v>3.3</v>
      </c>
      <c r="I366" s="72">
        <v>3.5</v>
      </c>
      <c r="J366" s="72">
        <v>2.6</v>
      </c>
      <c r="K366" s="72">
        <v>2.2000000000000002</v>
      </c>
      <c r="L366" s="72">
        <v>0.4</v>
      </c>
      <c r="M366" s="72">
        <v>0.6</v>
      </c>
      <c r="N366" s="72">
        <v>0.6</v>
      </c>
      <c r="O366" s="72">
        <v>0.3</v>
      </c>
      <c r="P366" s="72">
        <v>0.8</v>
      </c>
      <c r="Q366" s="72">
        <v>-0.6</v>
      </c>
      <c r="R366" s="72">
        <v>0.6</v>
      </c>
      <c r="S366" s="72">
        <v>0.8</v>
      </c>
      <c r="T366" s="72">
        <v>0.7</v>
      </c>
      <c r="U366" s="72">
        <v>0.4</v>
      </c>
    </row>
    <row r="367" spans="1:21">
      <c r="A367" s="71">
        <v>40633</v>
      </c>
      <c r="B367" s="72">
        <v>98.3</v>
      </c>
      <c r="C367" s="72">
        <v>3.3</v>
      </c>
      <c r="D367" s="72">
        <v>3.3</v>
      </c>
      <c r="E367" s="72">
        <v>2.6</v>
      </c>
      <c r="F367" s="72">
        <v>3.3</v>
      </c>
      <c r="G367" s="72">
        <v>-0.9</v>
      </c>
      <c r="H367" s="72">
        <v>3.3</v>
      </c>
      <c r="I367" s="72">
        <v>3.3</v>
      </c>
      <c r="J367" s="72">
        <v>2.5</v>
      </c>
      <c r="K367" s="72">
        <v>2.2000000000000002</v>
      </c>
      <c r="L367" s="72">
        <v>1.4</v>
      </c>
      <c r="M367" s="72">
        <v>1.4</v>
      </c>
      <c r="N367" s="72">
        <v>1.4</v>
      </c>
      <c r="O367" s="72">
        <v>0.8</v>
      </c>
      <c r="P367" s="72">
        <v>1.6</v>
      </c>
      <c r="Q367" s="72">
        <v>0</v>
      </c>
      <c r="R367" s="72">
        <v>1.3</v>
      </c>
      <c r="S367" s="72">
        <v>0.9</v>
      </c>
      <c r="T367" s="72">
        <v>0.8</v>
      </c>
      <c r="U367" s="72">
        <v>0.8</v>
      </c>
    </row>
    <row r="368" spans="1:21">
      <c r="A368" s="71">
        <v>40724</v>
      </c>
      <c r="B368" s="72">
        <v>99.2</v>
      </c>
      <c r="C368" s="72">
        <v>3.5</v>
      </c>
      <c r="D368" s="72">
        <v>3.5</v>
      </c>
      <c r="E368" s="72">
        <v>2.6</v>
      </c>
      <c r="F368" s="72">
        <v>3.6</v>
      </c>
      <c r="G368" s="72">
        <v>-0.6</v>
      </c>
      <c r="H368" s="72">
        <v>3.6</v>
      </c>
      <c r="I368" s="72">
        <v>3.5</v>
      </c>
      <c r="J368" s="72">
        <v>2.9</v>
      </c>
      <c r="K368" s="72">
        <v>2.7</v>
      </c>
      <c r="L368" s="72">
        <v>0.9</v>
      </c>
      <c r="M368" s="72">
        <v>0.9</v>
      </c>
      <c r="N368" s="72">
        <v>0.9</v>
      </c>
      <c r="O368" s="72">
        <v>0.7</v>
      </c>
      <c r="P368" s="72">
        <v>1.1000000000000001</v>
      </c>
      <c r="Q368" s="72">
        <v>-0.1</v>
      </c>
      <c r="R368" s="72">
        <v>0.9</v>
      </c>
      <c r="S368" s="72">
        <v>0.9</v>
      </c>
      <c r="T368" s="72">
        <v>0.9</v>
      </c>
      <c r="U368" s="72">
        <v>0.8</v>
      </c>
    </row>
    <row r="369" spans="1:21">
      <c r="A369" s="71">
        <v>40816</v>
      </c>
      <c r="B369" s="72">
        <v>99.8</v>
      </c>
      <c r="C369" s="72">
        <v>3.4</v>
      </c>
      <c r="D369" s="72">
        <v>3.4</v>
      </c>
      <c r="E369" s="72">
        <v>2.2999999999999998</v>
      </c>
      <c r="F369" s="72">
        <v>3.3</v>
      </c>
      <c r="G369" s="72">
        <v>-0.9</v>
      </c>
      <c r="H369" s="72">
        <v>3.6</v>
      </c>
      <c r="I369" s="72">
        <v>3.4</v>
      </c>
      <c r="J369" s="72">
        <v>2.7</v>
      </c>
      <c r="K369" s="72">
        <v>2.5</v>
      </c>
      <c r="L369" s="72">
        <v>0.6</v>
      </c>
      <c r="M369" s="72">
        <v>0.4</v>
      </c>
      <c r="N369" s="72">
        <v>0.4</v>
      </c>
      <c r="O369" s="72">
        <v>0.4</v>
      </c>
      <c r="P369" s="72">
        <v>-0.5</v>
      </c>
      <c r="Q369" s="72">
        <v>-0.5</v>
      </c>
      <c r="R369" s="72">
        <v>0.9</v>
      </c>
      <c r="S369" s="72">
        <v>0.9</v>
      </c>
      <c r="T369" s="72">
        <v>0.2</v>
      </c>
      <c r="U369" s="72">
        <v>0.4</v>
      </c>
    </row>
    <row r="370" spans="1:21">
      <c r="A370" s="71">
        <v>40908</v>
      </c>
      <c r="B370" s="72">
        <v>99.8</v>
      </c>
      <c r="C370" s="72">
        <v>3</v>
      </c>
      <c r="D370" s="72">
        <v>3</v>
      </c>
      <c r="E370" s="72">
        <v>2.6</v>
      </c>
      <c r="F370" s="72">
        <v>1.7</v>
      </c>
      <c r="G370" s="72">
        <v>-0.7</v>
      </c>
      <c r="H370" s="72">
        <v>4</v>
      </c>
      <c r="I370" s="72">
        <v>3.6</v>
      </c>
      <c r="J370" s="72">
        <v>2.5</v>
      </c>
      <c r="K370" s="72">
        <v>2.7</v>
      </c>
      <c r="L370" s="72">
        <v>0</v>
      </c>
      <c r="M370" s="72">
        <v>0.2</v>
      </c>
      <c r="N370" s="72">
        <v>0.2</v>
      </c>
      <c r="O370" s="72">
        <v>0.5</v>
      </c>
      <c r="P370" s="72">
        <v>-0.8</v>
      </c>
      <c r="Q370" s="72">
        <v>-0.4</v>
      </c>
      <c r="R370" s="72">
        <v>0.9</v>
      </c>
      <c r="S370" s="72">
        <v>0.9</v>
      </c>
      <c r="T370" s="72">
        <v>0.5</v>
      </c>
      <c r="U370" s="72">
        <v>0.6</v>
      </c>
    </row>
    <row r="371" spans="1:21">
      <c r="A371" s="71">
        <v>40999</v>
      </c>
      <c r="B371" s="72">
        <v>99.9</v>
      </c>
      <c r="C371" s="72">
        <v>1.6</v>
      </c>
      <c r="D371" s="72">
        <v>1.6</v>
      </c>
      <c r="E371" s="72">
        <v>2</v>
      </c>
      <c r="F371" s="72">
        <v>-1.5</v>
      </c>
      <c r="G371" s="72">
        <v>-1.3</v>
      </c>
      <c r="H371" s="72">
        <v>3.6</v>
      </c>
      <c r="I371" s="72">
        <v>3.5</v>
      </c>
      <c r="J371" s="72">
        <v>2.2000000000000002</v>
      </c>
      <c r="K371" s="72">
        <v>2.2999999999999998</v>
      </c>
      <c r="L371" s="72">
        <v>0.1</v>
      </c>
      <c r="M371" s="72">
        <v>0</v>
      </c>
      <c r="N371" s="72">
        <v>0</v>
      </c>
      <c r="O371" s="72">
        <v>0.4</v>
      </c>
      <c r="P371" s="72">
        <v>-1.2</v>
      </c>
      <c r="Q371" s="72">
        <v>-0.4</v>
      </c>
      <c r="R371" s="72">
        <v>0.7</v>
      </c>
      <c r="S371" s="72">
        <v>0.7</v>
      </c>
      <c r="T371" s="72">
        <v>0.5</v>
      </c>
      <c r="U371" s="72">
        <v>0.4</v>
      </c>
    </row>
    <row r="372" spans="1:21">
      <c r="A372" s="71">
        <v>41090</v>
      </c>
      <c r="B372" s="72">
        <v>100.4</v>
      </c>
      <c r="C372" s="72">
        <v>1.2</v>
      </c>
      <c r="D372" s="72">
        <v>1.2</v>
      </c>
      <c r="E372" s="72">
        <v>1.8</v>
      </c>
      <c r="F372" s="72">
        <v>-2</v>
      </c>
      <c r="G372" s="72">
        <v>-1.3</v>
      </c>
      <c r="H372" s="72">
        <v>3.4</v>
      </c>
      <c r="I372" s="72">
        <v>3.4</v>
      </c>
      <c r="J372" s="72">
        <v>1.9</v>
      </c>
      <c r="K372" s="72">
        <v>2</v>
      </c>
      <c r="L372" s="72">
        <v>0.5</v>
      </c>
      <c r="M372" s="72">
        <v>0.6</v>
      </c>
      <c r="N372" s="72">
        <v>0.6</v>
      </c>
      <c r="O372" s="72">
        <v>0.5</v>
      </c>
      <c r="P372" s="72">
        <v>0.4</v>
      </c>
      <c r="Q372" s="72">
        <v>0</v>
      </c>
      <c r="R372" s="72">
        <v>0.7</v>
      </c>
      <c r="S372" s="72">
        <v>0.7</v>
      </c>
      <c r="T372" s="72">
        <v>0.6</v>
      </c>
      <c r="U372" s="72">
        <v>0.5</v>
      </c>
    </row>
    <row r="373" spans="1:21">
      <c r="A373" s="71">
        <v>41182</v>
      </c>
      <c r="B373" s="72">
        <v>101.8</v>
      </c>
      <c r="C373" s="72">
        <v>2</v>
      </c>
      <c r="D373" s="72">
        <v>2</v>
      </c>
      <c r="E373" s="72">
        <v>2.4</v>
      </c>
      <c r="F373" s="72">
        <v>-1.2</v>
      </c>
      <c r="G373" s="72">
        <v>-0.8</v>
      </c>
      <c r="H373" s="72">
        <v>4</v>
      </c>
      <c r="I373" s="72">
        <v>4</v>
      </c>
      <c r="J373" s="72">
        <v>2.5</v>
      </c>
      <c r="K373" s="72">
        <v>2.2999999999999998</v>
      </c>
      <c r="L373" s="72">
        <v>1.4</v>
      </c>
      <c r="M373" s="72">
        <v>1.1000000000000001</v>
      </c>
      <c r="N373" s="72">
        <v>1.1000000000000001</v>
      </c>
      <c r="O373" s="72">
        <v>1.1000000000000001</v>
      </c>
      <c r="P373" s="72">
        <v>0.4</v>
      </c>
      <c r="Q373" s="72">
        <v>0</v>
      </c>
      <c r="R373" s="72">
        <v>1.6</v>
      </c>
      <c r="S373" s="72">
        <v>1.6</v>
      </c>
      <c r="T373" s="72">
        <v>0.9</v>
      </c>
      <c r="U373" s="72">
        <v>0.7</v>
      </c>
    </row>
    <row r="374" spans="1:21">
      <c r="A374" s="71">
        <v>41274</v>
      </c>
      <c r="B374" s="72">
        <v>102</v>
      </c>
      <c r="C374" s="72">
        <v>2.2000000000000002</v>
      </c>
      <c r="D374" s="72">
        <v>2.2000000000000002</v>
      </c>
      <c r="E374" s="72">
        <v>2.4</v>
      </c>
      <c r="F374" s="72">
        <v>-0.4</v>
      </c>
      <c r="G374" s="72">
        <v>-0.7</v>
      </c>
      <c r="H374" s="72">
        <v>3.9</v>
      </c>
      <c r="I374" s="72">
        <v>3.9</v>
      </c>
      <c r="J374" s="72">
        <v>2.5</v>
      </c>
      <c r="K374" s="72">
        <v>2.2000000000000002</v>
      </c>
      <c r="L374" s="72">
        <v>0.2</v>
      </c>
      <c r="M374" s="72">
        <v>0.4</v>
      </c>
      <c r="N374" s="72">
        <v>0.4</v>
      </c>
      <c r="O374" s="72">
        <v>0.5</v>
      </c>
      <c r="P374" s="72">
        <v>-0.3</v>
      </c>
      <c r="Q374" s="72">
        <v>-0.5</v>
      </c>
      <c r="R374" s="72">
        <v>0.9</v>
      </c>
      <c r="S374" s="72">
        <v>0.9</v>
      </c>
      <c r="T374" s="72">
        <v>0.6</v>
      </c>
      <c r="U374" s="72">
        <v>0.5</v>
      </c>
    </row>
    <row r="375" spans="1:21">
      <c r="A375" s="71">
        <v>41364</v>
      </c>
      <c r="B375" s="72">
        <v>102.4</v>
      </c>
      <c r="C375" s="72">
        <v>2.5</v>
      </c>
      <c r="D375" s="72">
        <v>2.5</v>
      </c>
      <c r="E375" s="72">
        <v>2.4</v>
      </c>
      <c r="F375" s="72">
        <v>-0.2</v>
      </c>
      <c r="G375" s="72">
        <v>-1.4</v>
      </c>
      <c r="H375" s="72">
        <v>4.2</v>
      </c>
      <c r="I375" s="72">
        <v>4.2</v>
      </c>
      <c r="J375" s="72">
        <v>2.8</v>
      </c>
      <c r="K375" s="72">
        <v>2.2999999999999998</v>
      </c>
      <c r="L375" s="72">
        <v>0.4</v>
      </c>
      <c r="M375" s="72">
        <v>0.4</v>
      </c>
      <c r="N375" s="72">
        <v>0.4</v>
      </c>
      <c r="O375" s="72">
        <v>0.4</v>
      </c>
      <c r="P375" s="72">
        <v>-0.7</v>
      </c>
      <c r="Q375" s="72">
        <v>-0.9</v>
      </c>
      <c r="R375" s="72">
        <v>1</v>
      </c>
      <c r="S375" s="72">
        <v>1</v>
      </c>
      <c r="T375" s="72">
        <v>0.7</v>
      </c>
      <c r="U375" s="72">
        <v>0.5</v>
      </c>
    </row>
    <row r="376" spans="1:21">
      <c r="A376" s="71">
        <v>41455</v>
      </c>
      <c r="B376" s="72">
        <v>102.8</v>
      </c>
      <c r="C376" s="72">
        <v>2.4</v>
      </c>
      <c r="D376" s="72">
        <v>2.4</v>
      </c>
      <c r="E376" s="72">
        <v>2.6</v>
      </c>
      <c r="F376" s="72">
        <v>-0.7</v>
      </c>
      <c r="G376" s="72">
        <v>-1.3</v>
      </c>
      <c r="H376" s="72">
        <v>4.3</v>
      </c>
      <c r="I376" s="72">
        <v>4.3</v>
      </c>
      <c r="J376" s="72">
        <v>2.7</v>
      </c>
      <c r="K376" s="72">
        <v>2.4</v>
      </c>
      <c r="L376" s="72">
        <v>0.4</v>
      </c>
      <c r="M376" s="72">
        <v>0.5</v>
      </c>
      <c r="N376" s="72">
        <v>0.5</v>
      </c>
      <c r="O376" s="72">
        <v>0.6</v>
      </c>
      <c r="P376" s="72">
        <v>0.1</v>
      </c>
      <c r="Q376" s="72">
        <v>0.1</v>
      </c>
      <c r="R376" s="72">
        <v>0.8</v>
      </c>
      <c r="S376" s="72">
        <v>0.8</v>
      </c>
      <c r="T376" s="72">
        <v>0.6</v>
      </c>
      <c r="U376" s="72">
        <v>0.6</v>
      </c>
    </row>
    <row r="377" spans="1:21">
      <c r="A377" s="71">
        <v>41547</v>
      </c>
      <c r="B377" s="72">
        <v>104</v>
      </c>
      <c r="C377" s="72">
        <v>2.2000000000000002</v>
      </c>
      <c r="D377" s="72">
        <v>2.2000000000000002</v>
      </c>
      <c r="E377" s="72">
        <v>2.4</v>
      </c>
      <c r="F377" s="72">
        <v>-0.1</v>
      </c>
      <c r="G377" s="72">
        <v>-1.1000000000000001</v>
      </c>
      <c r="H377" s="72">
        <v>3.6</v>
      </c>
      <c r="I377" s="72">
        <v>3.6</v>
      </c>
      <c r="J377" s="72">
        <v>2.5</v>
      </c>
      <c r="K377" s="72">
        <v>2.4</v>
      </c>
      <c r="L377" s="72">
        <v>1.2</v>
      </c>
      <c r="M377" s="72">
        <v>1</v>
      </c>
      <c r="N377" s="72">
        <v>1</v>
      </c>
      <c r="O377" s="72">
        <v>0.8</v>
      </c>
      <c r="P377" s="72">
        <v>0.8</v>
      </c>
      <c r="Q377" s="72">
        <v>0.3</v>
      </c>
      <c r="R377" s="72">
        <v>1</v>
      </c>
      <c r="S377" s="72">
        <v>1</v>
      </c>
      <c r="T377" s="72">
        <v>0.6</v>
      </c>
      <c r="U377" s="72">
        <v>0.7</v>
      </c>
    </row>
    <row r="378" spans="1:21">
      <c r="A378" s="71">
        <v>41639</v>
      </c>
      <c r="B378" s="72">
        <v>104.8</v>
      </c>
      <c r="C378" s="72">
        <v>2.7</v>
      </c>
      <c r="D378" s="72">
        <v>2.7</v>
      </c>
      <c r="E378" s="72">
        <v>2.6</v>
      </c>
      <c r="F378" s="72">
        <v>1</v>
      </c>
      <c r="G378" s="72">
        <v>-0.1</v>
      </c>
      <c r="H378" s="72">
        <v>3.7</v>
      </c>
      <c r="I378" s="72">
        <v>3.7</v>
      </c>
      <c r="J378" s="72">
        <v>2.9</v>
      </c>
      <c r="K378" s="72">
        <v>2.7</v>
      </c>
      <c r="L378" s="72">
        <v>0.8</v>
      </c>
      <c r="M378" s="72">
        <v>0.9</v>
      </c>
      <c r="N378" s="72">
        <v>0.9</v>
      </c>
      <c r="O378" s="72">
        <v>0.8</v>
      </c>
      <c r="P378" s="72">
        <v>0.8</v>
      </c>
      <c r="Q378" s="72">
        <v>0.4</v>
      </c>
      <c r="R378" s="72">
        <v>0.8</v>
      </c>
      <c r="S378" s="72">
        <v>0.8</v>
      </c>
      <c r="T378" s="72">
        <v>0.9</v>
      </c>
      <c r="U378" s="72">
        <v>0.8</v>
      </c>
    </row>
    <row r="379" spans="1:21">
      <c r="A379" s="71">
        <v>41729</v>
      </c>
      <c r="B379" s="72">
        <v>105.4</v>
      </c>
      <c r="C379" s="72">
        <v>2.9</v>
      </c>
      <c r="D379" s="72">
        <v>2.9</v>
      </c>
      <c r="E379" s="72">
        <v>2.7</v>
      </c>
      <c r="F379" s="72">
        <v>2.6</v>
      </c>
      <c r="G379" s="72">
        <v>0.8</v>
      </c>
      <c r="H379" s="72">
        <v>3.1</v>
      </c>
      <c r="I379" s="72">
        <v>3.1</v>
      </c>
      <c r="J379" s="72">
        <v>2.7</v>
      </c>
      <c r="K379" s="72">
        <v>2.7</v>
      </c>
      <c r="L379" s="72">
        <v>0.6</v>
      </c>
      <c r="M379" s="72">
        <v>0.6</v>
      </c>
      <c r="N379" s="72">
        <v>0.6</v>
      </c>
      <c r="O379" s="72">
        <v>0.5</v>
      </c>
      <c r="P379" s="72">
        <v>0.9</v>
      </c>
      <c r="Q379" s="72">
        <v>0</v>
      </c>
      <c r="R379" s="72">
        <v>0.5</v>
      </c>
      <c r="S379" s="72">
        <v>0.5</v>
      </c>
      <c r="T379" s="72">
        <v>0.6</v>
      </c>
      <c r="U379" s="72">
        <v>0.5</v>
      </c>
    </row>
    <row r="380" spans="1:21">
      <c r="A380" s="71">
        <v>41820</v>
      </c>
      <c r="B380" s="72">
        <v>105.9</v>
      </c>
      <c r="C380" s="72">
        <v>3</v>
      </c>
      <c r="D380" s="72">
        <v>3</v>
      </c>
      <c r="E380" s="72">
        <v>2.8</v>
      </c>
      <c r="F380" s="72">
        <v>2.9</v>
      </c>
      <c r="G380" s="72">
        <v>1.2</v>
      </c>
      <c r="H380" s="72">
        <v>3.1</v>
      </c>
      <c r="I380" s="72">
        <v>3.1</v>
      </c>
      <c r="J380" s="72">
        <v>2.7</v>
      </c>
      <c r="K380" s="72">
        <v>2.8</v>
      </c>
      <c r="L380" s="72">
        <v>0.5</v>
      </c>
      <c r="M380" s="72">
        <v>0.7</v>
      </c>
      <c r="N380" s="72">
        <v>0.7</v>
      </c>
      <c r="O380" s="72">
        <v>0.8</v>
      </c>
      <c r="P380" s="72">
        <v>0.4</v>
      </c>
      <c r="Q380" s="72">
        <v>0.5</v>
      </c>
      <c r="R380" s="72">
        <v>0.7</v>
      </c>
      <c r="S380" s="72">
        <v>0.7</v>
      </c>
      <c r="T380" s="72">
        <v>0.6</v>
      </c>
      <c r="U380" s="72">
        <v>0.7</v>
      </c>
    </row>
    <row r="381" spans="1:21">
      <c r="A381" s="71">
        <v>41912</v>
      </c>
      <c r="B381" s="72">
        <v>106.4</v>
      </c>
      <c r="C381" s="72">
        <v>2.2999999999999998</v>
      </c>
      <c r="D381" s="72">
        <v>2.2999999999999998</v>
      </c>
      <c r="E381" s="72">
        <v>2.1</v>
      </c>
      <c r="F381" s="72">
        <v>2</v>
      </c>
      <c r="G381" s="72">
        <v>0.4</v>
      </c>
      <c r="H381" s="72">
        <v>2.4</v>
      </c>
      <c r="I381" s="72">
        <v>2.4</v>
      </c>
      <c r="J381" s="72">
        <v>2.6</v>
      </c>
      <c r="K381" s="72">
        <v>2.4</v>
      </c>
      <c r="L381" s="72">
        <v>0.5</v>
      </c>
      <c r="M381" s="72">
        <v>0.2</v>
      </c>
      <c r="N381" s="72">
        <v>0.2</v>
      </c>
      <c r="O381" s="72">
        <v>0.2</v>
      </c>
      <c r="P381" s="72">
        <v>0</v>
      </c>
      <c r="Q381" s="72">
        <v>-0.5</v>
      </c>
      <c r="R381" s="72">
        <v>0.4</v>
      </c>
      <c r="S381" s="72">
        <v>0.4</v>
      </c>
      <c r="T381" s="72">
        <v>0.5</v>
      </c>
      <c r="U381" s="72">
        <v>0.4</v>
      </c>
    </row>
    <row r="382" spans="1:21">
      <c r="A382" s="71">
        <v>42004</v>
      </c>
      <c r="B382" s="72">
        <v>106.6</v>
      </c>
      <c r="C382" s="72">
        <v>1.7</v>
      </c>
      <c r="D382" s="72">
        <v>1.7</v>
      </c>
      <c r="E382" s="72">
        <v>2.1</v>
      </c>
      <c r="F382" s="72">
        <v>0.7</v>
      </c>
      <c r="G382" s="72">
        <v>0</v>
      </c>
      <c r="H382" s="72">
        <v>2.2999999999999998</v>
      </c>
      <c r="I382" s="72">
        <v>2.2999999999999998</v>
      </c>
      <c r="J382" s="72">
        <v>2.4</v>
      </c>
      <c r="K382" s="72">
        <v>2.2000000000000002</v>
      </c>
      <c r="L382" s="72">
        <v>0.2</v>
      </c>
      <c r="M382" s="72">
        <v>0.2</v>
      </c>
      <c r="N382" s="72">
        <v>0.2</v>
      </c>
      <c r="O382" s="72">
        <v>0.5</v>
      </c>
      <c r="P382" s="72">
        <v>-0.8</v>
      </c>
      <c r="Q382" s="72">
        <v>-0.1</v>
      </c>
      <c r="R382" s="72">
        <v>0.7</v>
      </c>
      <c r="S382" s="72">
        <v>0.7</v>
      </c>
      <c r="T382" s="72">
        <v>0.6</v>
      </c>
      <c r="U382" s="72">
        <v>0.6</v>
      </c>
    </row>
    <row r="383" spans="1:21">
      <c r="A383" s="71">
        <v>42094</v>
      </c>
      <c r="B383" s="72">
        <v>106.8</v>
      </c>
      <c r="C383" s="72">
        <v>1.3</v>
      </c>
      <c r="D383" s="72">
        <v>1.3</v>
      </c>
      <c r="E383" s="72">
        <v>2.2999999999999998</v>
      </c>
      <c r="F383" s="72">
        <v>-0.9</v>
      </c>
      <c r="G383" s="72">
        <v>0.4</v>
      </c>
      <c r="H383" s="72">
        <v>2.6</v>
      </c>
      <c r="I383" s="72">
        <v>2.6</v>
      </c>
      <c r="J383" s="72">
        <v>2.4</v>
      </c>
      <c r="K383" s="72">
        <v>2.2999999999999998</v>
      </c>
      <c r="L383" s="72">
        <v>0.2</v>
      </c>
      <c r="M383" s="72">
        <v>0.3</v>
      </c>
      <c r="N383" s="72">
        <v>0.3</v>
      </c>
      <c r="O383" s="72">
        <v>0.7</v>
      </c>
      <c r="P383" s="72">
        <v>-0.5</v>
      </c>
      <c r="Q383" s="72">
        <v>0.4</v>
      </c>
      <c r="R383" s="72">
        <v>0.8</v>
      </c>
      <c r="S383" s="72">
        <v>0.8</v>
      </c>
      <c r="T383" s="72">
        <v>0.6</v>
      </c>
      <c r="U383" s="72">
        <v>0.6</v>
      </c>
    </row>
    <row r="384" spans="1:21">
      <c r="A384" s="71">
        <v>42185</v>
      </c>
      <c r="B384" s="72">
        <v>107.5</v>
      </c>
      <c r="C384" s="72">
        <v>1.5</v>
      </c>
      <c r="D384" s="72">
        <v>1.5</v>
      </c>
      <c r="E384" s="72">
        <v>2</v>
      </c>
      <c r="F384" s="72">
        <v>-0.3</v>
      </c>
      <c r="G384" s="72">
        <v>-0.2</v>
      </c>
      <c r="H384" s="72">
        <v>2.6</v>
      </c>
      <c r="I384" s="72">
        <v>2.6</v>
      </c>
      <c r="J384" s="72">
        <v>2.2999999999999998</v>
      </c>
      <c r="K384" s="72">
        <v>2.2000000000000002</v>
      </c>
      <c r="L384" s="72">
        <v>0.7</v>
      </c>
      <c r="M384" s="72">
        <v>0.8</v>
      </c>
      <c r="N384" s="72">
        <v>0.8</v>
      </c>
      <c r="O384" s="72">
        <v>0.5</v>
      </c>
      <c r="P384" s="72">
        <v>1.2</v>
      </c>
      <c r="Q384" s="72">
        <v>-0.1</v>
      </c>
      <c r="R384" s="72">
        <v>0.6</v>
      </c>
      <c r="S384" s="72">
        <v>0.6</v>
      </c>
      <c r="T384" s="72">
        <v>0.5</v>
      </c>
      <c r="U384" s="72">
        <v>0.6</v>
      </c>
    </row>
    <row r="385" spans="1:22">
      <c r="A385" s="71">
        <v>42277</v>
      </c>
      <c r="B385" s="72">
        <v>108</v>
      </c>
      <c r="C385" s="72">
        <v>1.5</v>
      </c>
      <c r="D385" s="72">
        <v>1.5</v>
      </c>
      <c r="E385" s="72">
        <v>2.1</v>
      </c>
      <c r="F385" s="72">
        <v>-0.3</v>
      </c>
      <c r="G385" s="72">
        <v>0.2</v>
      </c>
      <c r="H385" s="72">
        <v>2.6</v>
      </c>
      <c r="I385" s="72">
        <v>2.6</v>
      </c>
      <c r="J385" s="72">
        <v>2.2000000000000002</v>
      </c>
      <c r="K385" s="72">
        <v>2.1</v>
      </c>
      <c r="L385" s="72">
        <v>0.5</v>
      </c>
      <c r="M385" s="72">
        <v>0.1</v>
      </c>
      <c r="N385" s="72">
        <v>0.1</v>
      </c>
      <c r="O385" s="72">
        <v>0.3</v>
      </c>
      <c r="P385" s="72">
        <v>-0.2</v>
      </c>
      <c r="Q385" s="72">
        <v>-0.1</v>
      </c>
      <c r="R385" s="72">
        <v>0.3</v>
      </c>
      <c r="S385" s="72">
        <v>0.3</v>
      </c>
      <c r="T385" s="72">
        <v>0.5</v>
      </c>
      <c r="U385" s="72">
        <v>0.3</v>
      </c>
    </row>
    <row r="386" spans="1:22">
      <c r="A386" s="71">
        <v>42369</v>
      </c>
      <c r="B386" s="72">
        <v>108.4</v>
      </c>
      <c r="C386" s="72">
        <v>1.7</v>
      </c>
      <c r="D386" s="72">
        <v>1.7</v>
      </c>
      <c r="E386" s="72">
        <v>2.1</v>
      </c>
      <c r="F386" s="72">
        <v>0.8</v>
      </c>
      <c r="G386" s="72">
        <v>0.8</v>
      </c>
      <c r="H386" s="72">
        <v>2.2999999999999998</v>
      </c>
      <c r="I386" s="72">
        <v>2.2999999999999998</v>
      </c>
      <c r="J386" s="72">
        <v>2</v>
      </c>
      <c r="K386" s="72">
        <v>2.1</v>
      </c>
      <c r="L386" s="72">
        <v>0.4</v>
      </c>
      <c r="M386" s="72">
        <v>0.5</v>
      </c>
      <c r="N386" s="72">
        <v>0.5</v>
      </c>
      <c r="O386" s="72">
        <v>0.6</v>
      </c>
      <c r="P386" s="72">
        <v>0.3</v>
      </c>
      <c r="Q386" s="72">
        <v>0.6</v>
      </c>
      <c r="R386" s="72">
        <v>0.4</v>
      </c>
      <c r="S386" s="72">
        <v>0.4</v>
      </c>
      <c r="T386" s="72">
        <v>0.4</v>
      </c>
      <c r="U386" s="72">
        <v>0.6</v>
      </c>
    </row>
    <row r="387" spans="1:22">
      <c r="A387" s="71">
        <v>42460</v>
      </c>
      <c r="B387" s="72">
        <v>108.2</v>
      </c>
      <c r="C387" s="72">
        <v>1.3</v>
      </c>
      <c r="D387" s="72">
        <v>1.3</v>
      </c>
      <c r="E387" s="72">
        <v>1.7</v>
      </c>
      <c r="F387" s="72">
        <v>0.6</v>
      </c>
      <c r="G387" s="72">
        <v>0.5</v>
      </c>
      <c r="H387" s="72">
        <v>1.7</v>
      </c>
      <c r="I387" s="72">
        <v>1.7</v>
      </c>
      <c r="J387" s="72">
        <v>1.5</v>
      </c>
      <c r="K387" s="72">
        <v>1.7</v>
      </c>
      <c r="L387" s="72">
        <v>-0.2</v>
      </c>
      <c r="M387" s="72">
        <v>-0.1</v>
      </c>
      <c r="N387" s="72">
        <v>-0.1</v>
      </c>
      <c r="O387" s="72">
        <v>0.3</v>
      </c>
      <c r="P387" s="72">
        <v>-0.7</v>
      </c>
      <c r="Q387" s="72">
        <v>0</v>
      </c>
      <c r="R387" s="72">
        <v>0.4</v>
      </c>
      <c r="S387" s="72">
        <v>0.4</v>
      </c>
      <c r="T387" s="72">
        <v>0.1</v>
      </c>
      <c r="U387" s="72">
        <v>0.2</v>
      </c>
    </row>
    <row r="388" spans="1:22">
      <c r="A388" s="71">
        <v>42551</v>
      </c>
      <c r="B388" s="72">
        <v>108.6</v>
      </c>
      <c r="C388" s="72">
        <v>1</v>
      </c>
      <c r="D388" s="72">
        <v>1</v>
      </c>
      <c r="E388" s="72">
        <v>1.6</v>
      </c>
      <c r="F388" s="72">
        <v>0</v>
      </c>
      <c r="G388" s="72">
        <v>0.1</v>
      </c>
      <c r="H388" s="72">
        <v>1.6</v>
      </c>
      <c r="I388" s="72">
        <v>1.6</v>
      </c>
      <c r="J388" s="72">
        <v>1.3</v>
      </c>
      <c r="K388" s="72">
        <v>1.6</v>
      </c>
      <c r="L388" s="72">
        <v>0.4</v>
      </c>
      <c r="M388" s="72">
        <v>0.6</v>
      </c>
      <c r="N388" s="72">
        <v>0.6</v>
      </c>
      <c r="O388" s="72">
        <v>0.4</v>
      </c>
      <c r="P388" s="72">
        <v>0.6</v>
      </c>
      <c r="Q388" s="72">
        <v>-0.3</v>
      </c>
      <c r="R388" s="72">
        <v>0.5</v>
      </c>
      <c r="S388" s="72">
        <v>0.5</v>
      </c>
      <c r="T388" s="72">
        <v>0.3</v>
      </c>
      <c r="U388" s="72">
        <v>0.5</v>
      </c>
    </row>
    <row r="389" spans="1:22">
      <c r="A389" s="71">
        <v>42643</v>
      </c>
      <c r="B389" s="72">
        <v>109.4</v>
      </c>
      <c r="C389" s="72">
        <v>1.3</v>
      </c>
      <c r="D389" s="72">
        <v>1.3</v>
      </c>
      <c r="E389" s="72">
        <v>1.7</v>
      </c>
      <c r="F389" s="72">
        <v>0.7</v>
      </c>
      <c r="G389" s="72">
        <v>0</v>
      </c>
      <c r="H389" s="72">
        <v>1.7</v>
      </c>
      <c r="I389" s="72">
        <v>1.7</v>
      </c>
      <c r="J389" s="72">
        <v>1.1000000000000001</v>
      </c>
      <c r="K389" s="72">
        <v>1.6</v>
      </c>
      <c r="L389" s="72">
        <v>0.7</v>
      </c>
      <c r="M389" s="72">
        <v>0.5</v>
      </c>
      <c r="N389" s="72">
        <v>0.5</v>
      </c>
      <c r="O389" s="72">
        <v>0.3</v>
      </c>
      <c r="P389" s="72">
        <v>0.5</v>
      </c>
      <c r="Q389" s="72">
        <v>-0.2</v>
      </c>
      <c r="R389" s="72">
        <v>0.4</v>
      </c>
      <c r="S389" s="72">
        <v>0.4</v>
      </c>
      <c r="T389" s="72">
        <v>0.3</v>
      </c>
      <c r="U389" s="72">
        <v>0.3</v>
      </c>
    </row>
    <row r="390" spans="1:22">
      <c r="A390" s="71">
        <v>42735</v>
      </c>
      <c r="B390" s="72">
        <v>110</v>
      </c>
      <c r="C390" s="72">
        <v>1.5</v>
      </c>
      <c r="D390" s="72">
        <v>1.5</v>
      </c>
      <c r="E390" s="72">
        <v>1.3</v>
      </c>
      <c r="F390" s="72">
        <v>0.1</v>
      </c>
      <c r="G390" s="72">
        <v>-1.2</v>
      </c>
      <c r="H390" s="72">
        <v>2.1</v>
      </c>
      <c r="I390" s="72">
        <v>2.1</v>
      </c>
      <c r="J390" s="72">
        <v>1.2</v>
      </c>
      <c r="K390" s="72">
        <v>1.5</v>
      </c>
      <c r="L390" s="72">
        <v>0.5</v>
      </c>
      <c r="M390" s="72">
        <v>0.5</v>
      </c>
      <c r="N390" s="72">
        <v>0.5</v>
      </c>
      <c r="O390" s="72">
        <v>0.3</v>
      </c>
      <c r="P390" s="72">
        <v>0.2</v>
      </c>
      <c r="Q390" s="72">
        <v>-0.6</v>
      </c>
      <c r="R390" s="72">
        <v>0.7</v>
      </c>
      <c r="S390" s="72">
        <v>0.7</v>
      </c>
      <c r="T390" s="72">
        <v>0.4</v>
      </c>
      <c r="U390" s="72">
        <v>0.4</v>
      </c>
    </row>
    <row r="391" spans="1:22">
      <c r="A391" s="71">
        <v>42825</v>
      </c>
      <c r="B391" s="72">
        <v>110.5</v>
      </c>
      <c r="C391" s="72">
        <v>2.1</v>
      </c>
      <c r="D391" s="72">
        <v>2.1</v>
      </c>
      <c r="E391" s="72">
        <v>1.5</v>
      </c>
      <c r="F391" s="72">
        <v>1.3</v>
      </c>
      <c r="G391" s="72">
        <v>-1.3</v>
      </c>
      <c r="H391" s="72">
        <v>2.6</v>
      </c>
      <c r="I391" s="72">
        <v>2.6</v>
      </c>
      <c r="J391" s="72">
        <v>1.6</v>
      </c>
      <c r="K391" s="72">
        <v>1.7</v>
      </c>
      <c r="L391" s="72">
        <v>0.5</v>
      </c>
      <c r="M391" s="72">
        <v>0.6</v>
      </c>
      <c r="N391" s="72">
        <v>0.6</v>
      </c>
      <c r="O391" s="72">
        <v>0.4</v>
      </c>
      <c r="P391" s="72">
        <v>0.2</v>
      </c>
      <c r="Q391" s="72">
        <v>-0.1</v>
      </c>
      <c r="R391" s="72">
        <v>0.8</v>
      </c>
      <c r="S391" s="72">
        <v>0.8</v>
      </c>
      <c r="T391" s="72">
        <v>0.5</v>
      </c>
      <c r="U391" s="72">
        <v>0.5</v>
      </c>
    </row>
    <row r="392" spans="1:22">
      <c r="A392" s="71">
        <v>42916</v>
      </c>
      <c r="B392" s="72">
        <v>110.7</v>
      </c>
      <c r="C392" s="72">
        <v>1.9</v>
      </c>
      <c r="D392" s="72">
        <v>1.9</v>
      </c>
      <c r="E392" s="72">
        <v>1.5</v>
      </c>
      <c r="F392" s="72">
        <v>0.4</v>
      </c>
      <c r="G392" s="72">
        <v>-1.1000000000000001</v>
      </c>
      <c r="H392" s="72">
        <v>2.7</v>
      </c>
      <c r="I392" s="72">
        <v>2.7</v>
      </c>
      <c r="J392" s="72">
        <v>1.9</v>
      </c>
      <c r="K392" s="72">
        <v>1.7</v>
      </c>
      <c r="L392" s="72">
        <v>0.2</v>
      </c>
      <c r="M392" s="72">
        <v>0.4</v>
      </c>
      <c r="N392" s="72">
        <v>0.4</v>
      </c>
      <c r="O392" s="72">
        <v>0.5</v>
      </c>
      <c r="P392" s="72">
        <v>-0.3</v>
      </c>
      <c r="Q392" s="72">
        <v>-0.1</v>
      </c>
      <c r="R392" s="72">
        <v>0.7</v>
      </c>
      <c r="S392" s="72">
        <v>0.7</v>
      </c>
      <c r="T392" s="72">
        <v>0.6</v>
      </c>
      <c r="U392" s="72">
        <v>0.5</v>
      </c>
    </row>
    <row r="393" spans="1:22">
      <c r="A393" s="71">
        <v>43008</v>
      </c>
      <c r="B393" s="72">
        <v>111.4</v>
      </c>
      <c r="C393" s="72">
        <v>1.8</v>
      </c>
      <c r="D393" s="72">
        <v>1.8</v>
      </c>
      <c r="E393" s="72">
        <v>1.9</v>
      </c>
      <c r="F393" s="72">
        <v>-0.9</v>
      </c>
      <c r="G393" s="72">
        <v>-1</v>
      </c>
      <c r="H393" s="72">
        <v>3.2</v>
      </c>
      <c r="I393" s="72">
        <v>3.2</v>
      </c>
      <c r="J393" s="72">
        <v>2</v>
      </c>
      <c r="K393" s="72">
        <v>1.7</v>
      </c>
      <c r="L393" s="72">
        <v>0.6</v>
      </c>
      <c r="M393" s="72">
        <v>0.4</v>
      </c>
      <c r="N393" s="72">
        <v>0.4</v>
      </c>
      <c r="O393" s="72">
        <v>0.6</v>
      </c>
      <c r="P393" s="72">
        <v>-1</v>
      </c>
      <c r="Q393" s="72">
        <v>-0.1</v>
      </c>
      <c r="R393" s="72">
        <v>1</v>
      </c>
      <c r="S393" s="72">
        <v>1</v>
      </c>
      <c r="T393" s="72">
        <v>0.4</v>
      </c>
      <c r="U393" s="72">
        <v>0.4</v>
      </c>
    </row>
    <row r="394" spans="1:22">
      <c r="A394" s="71">
        <v>43100</v>
      </c>
      <c r="B394" s="72">
        <v>112.1</v>
      </c>
      <c r="C394" s="72">
        <v>1.9</v>
      </c>
      <c r="D394" s="72">
        <v>1.9</v>
      </c>
      <c r="E394" s="72">
        <v>1.9</v>
      </c>
      <c r="F394" s="72">
        <v>-0.3</v>
      </c>
      <c r="G394" s="72">
        <v>-1</v>
      </c>
      <c r="H394" s="72">
        <v>3.1</v>
      </c>
      <c r="I394" s="72">
        <v>3.1</v>
      </c>
      <c r="J394" s="72">
        <v>1.9</v>
      </c>
      <c r="K394" s="72">
        <v>1.7</v>
      </c>
      <c r="L394" s="72">
        <v>0.6</v>
      </c>
      <c r="M394" s="72">
        <v>0.7</v>
      </c>
      <c r="N394" s="72">
        <v>0.7</v>
      </c>
      <c r="O394" s="72">
        <v>0.3</v>
      </c>
      <c r="P394" s="72">
        <v>0.9</v>
      </c>
      <c r="Q394" s="72">
        <v>-0.4</v>
      </c>
      <c r="R394" s="72">
        <v>0.6</v>
      </c>
      <c r="S394" s="72">
        <v>0.6</v>
      </c>
      <c r="T394" s="72">
        <v>0.4</v>
      </c>
      <c r="U394" s="72">
        <v>0.3</v>
      </c>
    </row>
    <row r="395" spans="1:22">
      <c r="A395" s="71">
        <v>43190</v>
      </c>
      <c r="B395" s="72">
        <v>112.6</v>
      </c>
      <c r="C395" s="72">
        <v>1.9</v>
      </c>
      <c r="D395" s="72">
        <v>1.9</v>
      </c>
      <c r="E395" s="72">
        <v>2</v>
      </c>
      <c r="F395" s="72">
        <v>-0.5</v>
      </c>
      <c r="G395" s="72">
        <v>-0.9</v>
      </c>
      <c r="H395" s="72">
        <v>3.1</v>
      </c>
      <c r="I395" s="72">
        <v>3.1</v>
      </c>
      <c r="J395" s="72">
        <v>1.9</v>
      </c>
      <c r="K395" s="72">
        <v>1.7</v>
      </c>
      <c r="L395" s="72">
        <v>0.4</v>
      </c>
      <c r="M395" s="72">
        <v>0.5</v>
      </c>
      <c r="N395" s="72">
        <v>0.5</v>
      </c>
      <c r="O395" s="72">
        <v>0.5</v>
      </c>
      <c r="P395" s="72">
        <v>0</v>
      </c>
      <c r="Q395" s="72">
        <v>0</v>
      </c>
      <c r="R395" s="72">
        <v>0.8</v>
      </c>
      <c r="S395" s="72">
        <v>0.8</v>
      </c>
      <c r="T395" s="72">
        <v>0.5</v>
      </c>
      <c r="U395" s="72">
        <v>0.5</v>
      </c>
      <c r="V395" s="72"/>
    </row>
    <row r="396" spans="1:22">
      <c r="A396" s="71">
        <v>43281</v>
      </c>
      <c r="B396" s="72">
        <v>113</v>
      </c>
      <c r="C396" s="72">
        <v>2.1</v>
      </c>
      <c r="D396" s="72">
        <v>2.1</v>
      </c>
      <c r="E396" s="72">
        <v>1.8</v>
      </c>
      <c r="F396" s="72">
        <v>0.3</v>
      </c>
      <c r="G396" s="72">
        <v>-1</v>
      </c>
      <c r="H396" s="72">
        <v>3</v>
      </c>
      <c r="I396" s="72">
        <v>3</v>
      </c>
      <c r="J396" s="72">
        <v>1.9</v>
      </c>
      <c r="K396" s="72">
        <v>1.6</v>
      </c>
      <c r="L396" s="72">
        <v>0.4</v>
      </c>
      <c r="M396" s="72">
        <v>0.4</v>
      </c>
      <c r="N396" s="72">
        <v>0.4</v>
      </c>
      <c r="O396" s="72">
        <v>0.3</v>
      </c>
      <c r="P396" s="72">
        <v>0.3</v>
      </c>
      <c r="Q396" s="72">
        <v>-0.2</v>
      </c>
      <c r="R396" s="72">
        <v>0.6</v>
      </c>
      <c r="S396" s="72">
        <v>0.6</v>
      </c>
      <c r="T396" s="72">
        <v>0.5</v>
      </c>
      <c r="U396" s="72">
        <v>0.4</v>
      </c>
    </row>
    <row r="397" spans="1:22">
      <c r="A397" s="71">
        <v>43373</v>
      </c>
      <c r="B397" s="72">
        <v>113.5</v>
      </c>
      <c r="C397" s="72">
        <v>1.9</v>
      </c>
      <c r="D397" s="72">
        <v>1.9</v>
      </c>
      <c r="E397" s="72">
        <v>1.2</v>
      </c>
      <c r="F397" s="72">
        <v>1.4</v>
      </c>
      <c r="G397" s="72">
        <v>-0.8</v>
      </c>
      <c r="H397" s="72">
        <v>2.2000000000000002</v>
      </c>
      <c r="I397" s="72">
        <v>2.2000000000000002</v>
      </c>
      <c r="J397" s="72">
        <v>1.9</v>
      </c>
      <c r="K397" s="72">
        <v>1.7</v>
      </c>
      <c r="L397" s="72">
        <v>0.4</v>
      </c>
      <c r="M397" s="72">
        <v>0.3</v>
      </c>
      <c r="N397" s="72">
        <v>0.3</v>
      </c>
      <c r="O397" s="72">
        <v>0.2</v>
      </c>
      <c r="P397" s="72">
        <v>0.3</v>
      </c>
      <c r="Q397" s="72">
        <v>-0.1</v>
      </c>
      <c r="R397" s="72">
        <v>0.3</v>
      </c>
      <c r="S397" s="72">
        <v>0.3</v>
      </c>
      <c r="T397" s="72">
        <v>0.4</v>
      </c>
      <c r="U397" s="72">
        <v>0.4</v>
      </c>
    </row>
    <row r="398" spans="1:22">
      <c r="A398" s="71">
        <v>43465</v>
      </c>
      <c r="B398" s="72">
        <v>114.1</v>
      </c>
      <c r="C398" s="72">
        <v>1.8</v>
      </c>
      <c r="D398" s="72">
        <v>1.8</v>
      </c>
      <c r="E398" s="72">
        <v>1.6</v>
      </c>
      <c r="F398" s="72">
        <v>0.6</v>
      </c>
      <c r="G398" s="72">
        <v>-0.1</v>
      </c>
      <c r="H398" s="72">
        <v>2.4</v>
      </c>
      <c r="I398" s="72">
        <v>2.4</v>
      </c>
      <c r="J398" s="72">
        <v>1.9</v>
      </c>
      <c r="K398" s="72">
        <v>1.8</v>
      </c>
      <c r="L398" s="72">
        <v>0.5</v>
      </c>
      <c r="M398" s="72">
        <v>0.4</v>
      </c>
      <c r="N398" s="72">
        <v>0.4</v>
      </c>
      <c r="O398" s="72">
        <v>0.5</v>
      </c>
      <c r="P398" s="72">
        <v>0</v>
      </c>
      <c r="Q398" s="72">
        <v>0.3</v>
      </c>
      <c r="R398" s="72">
        <v>0.7</v>
      </c>
      <c r="S398" s="72">
        <v>0.7</v>
      </c>
      <c r="T398" s="72">
        <v>0.4</v>
      </c>
      <c r="U398" s="72">
        <v>0.4</v>
      </c>
    </row>
    <row r="399" spans="1:22">
      <c r="A399" s="71">
        <v>43555</v>
      </c>
      <c r="B399" s="72">
        <v>114.1</v>
      </c>
      <c r="C399" s="72">
        <v>1.3</v>
      </c>
      <c r="D399" s="72">
        <v>1.3</v>
      </c>
      <c r="E399" s="72">
        <v>1.3</v>
      </c>
      <c r="F399" s="72">
        <v>0.4</v>
      </c>
      <c r="G399" s="72">
        <v>0.3</v>
      </c>
      <c r="H399" s="72">
        <v>1.8</v>
      </c>
      <c r="I399" s="72">
        <v>1.8</v>
      </c>
      <c r="J399" s="72">
        <v>1.5</v>
      </c>
      <c r="K399" s="72">
        <v>1.6</v>
      </c>
      <c r="L399" s="72">
        <v>0</v>
      </c>
      <c r="M399" s="72">
        <v>0.1</v>
      </c>
      <c r="N399" s="72">
        <v>0.1</v>
      </c>
      <c r="O399" s="72">
        <v>0.3</v>
      </c>
      <c r="P399" s="72">
        <v>-0.2</v>
      </c>
      <c r="Q399" s="72">
        <v>0.4</v>
      </c>
      <c r="R399" s="72">
        <v>0.2</v>
      </c>
      <c r="S399" s="72">
        <v>0.2</v>
      </c>
      <c r="T399" s="72">
        <v>0.1</v>
      </c>
      <c r="U399" s="72">
        <v>0.3</v>
      </c>
    </row>
    <row r="400" spans="1:22">
      <c r="A400" s="71">
        <v>43646</v>
      </c>
      <c r="B400" s="72">
        <v>114.8</v>
      </c>
      <c r="C400" s="72">
        <v>1.6</v>
      </c>
      <c r="D400" s="72">
        <v>1.6</v>
      </c>
      <c r="E400" s="72">
        <v>1.5</v>
      </c>
      <c r="F400" s="72">
        <v>1.1000000000000001</v>
      </c>
      <c r="G400" s="72">
        <v>1</v>
      </c>
      <c r="H400" s="72">
        <v>1.8</v>
      </c>
      <c r="I400" s="72">
        <v>1.8</v>
      </c>
      <c r="J400" s="72">
        <v>1.4</v>
      </c>
      <c r="K400" s="72">
        <v>1.6</v>
      </c>
      <c r="L400" s="72">
        <v>0.6</v>
      </c>
      <c r="M400" s="72">
        <v>0.7</v>
      </c>
      <c r="N400" s="72">
        <v>0.7</v>
      </c>
      <c r="O400" s="72">
        <v>0.5</v>
      </c>
      <c r="P400" s="72">
        <v>1.1000000000000001</v>
      </c>
      <c r="Q400" s="72">
        <v>0.4</v>
      </c>
      <c r="R400" s="72">
        <v>0.5</v>
      </c>
      <c r="S400" s="72">
        <v>0.5</v>
      </c>
      <c r="T400" s="72">
        <v>0.4</v>
      </c>
      <c r="U400" s="72">
        <v>0.4</v>
      </c>
    </row>
    <row r="401" spans="1:21">
      <c r="A401" s="71">
        <v>43738</v>
      </c>
      <c r="B401" s="72">
        <v>115.4</v>
      </c>
      <c r="C401" s="72">
        <v>1.7</v>
      </c>
      <c r="D401" s="72">
        <v>1.7</v>
      </c>
      <c r="E401" s="72">
        <v>1.9</v>
      </c>
      <c r="F401" s="72">
        <v>1.2</v>
      </c>
      <c r="G401" s="72">
        <v>1.8</v>
      </c>
      <c r="H401" s="72">
        <v>1.9</v>
      </c>
      <c r="I401" s="72">
        <v>1.9</v>
      </c>
      <c r="J401" s="72">
        <v>1.3</v>
      </c>
      <c r="K401" s="72">
        <v>1.6</v>
      </c>
      <c r="L401" s="72">
        <v>0.5</v>
      </c>
      <c r="M401" s="72">
        <v>0.5</v>
      </c>
      <c r="N401" s="72">
        <v>0.5</v>
      </c>
      <c r="O401" s="72">
        <v>0.6</v>
      </c>
      <c r="P401" s="72">
        <v>0.3</v>
      </c>
      <c r="Q401" s="72">
        <v>0.7</v>
      </c>
      <c r="R401" s="72">
        <v>0.6</v>
      </c>
      <c r="S401" s="72">
        <v>0.6</v>
      </c>
      <c r="T401" s="72">
        <v>0.3</v>
      </c>
      <c r="U401" s="72">
        <v>0.4</v>
      </c>
    </row>
    <row r="402" spans="1:21">
      <c r="A402" s="71">
        <v>43830</v>
      </c>
      <c r="B402" s="72">
        <v>116.2</v>
      </c>
      <c r="C402" s="72">
        <v>1.8</v>
      </c>
      <c r="D402" s="72">
        <v>1.8</v>
      </c>
      <c r="E402" s="72">
        <v>1.7</v>
      </c>
      <c r="F402" s="72">
        <v>1.7</v>
      </c>
      <c r="G402" s="72">
        <v>1.3</v>
      </c>
      <c r="H402" s="72">
        <v>2</v>
      </c>
      <c r="I402" s="72">
        <v>2</v>
      </c>
      <c r="J402" s="72">
        <v>1.2</v>
      </c>
      <c r="K402" s="72">
        <v>1.5</v>
      </c>
      <c r="L402" s="72">
        <v>0.7</v>
      </c>
      <c r="M402" s="72">
        <v>0.5</v>
      </c>
      <c r="N402" s="72">
        <v>0.5</v>
      </c>
      <c r="O402" s="72">
        <v>0.3</v>
      </c>
      <c r="P402" s="72">
        <v>0.5</v>
      </c>
      <c r="Q402" s="72">
        <v>-0.3</v>
      </c>
      <c r="R402" s="72">
        <v>0.6</v>
      </c>
      <c r="S402" s="72">
        <v>0.6</v>
      </c>
      <c r="T402" s="72">
        <v>0.4</v>
      </c>
      <c r="U402" s="72">
        <v>0.4</v>
      </c>
    </row>
    <row r="403" spans="1:21">
      <c r="A403" s="71">
        <v>43921</v>
      </c>
      <c r="B403" s="72">
        <v>116.6</v>
      </c>
      <c r="C403" s="72">
        <v>2.2000000000000002</v>
      </c>
      <c r="D403" s="72">
        <v>2.2000000000000002</v>
      </c>
      <c r="E403" s="72">
        <v>2.1</v>
      </c>
      <c r="F403" s="72">
        <v>2.1</v>
      </c>
      <c r="G403" s="72">
        <v>1.6</v>
      </c>
      <c r="H403" s="72">
        <v>2.2999999999999998</v>
      </c>
      <c r="I403" s="72">
        <v>2.2999999999999998</v>
      </c>
      <c r="J403" s="72">
        <v>1.6</v>
      </c>
      <c r="K403" s="72">
        <v>1.7</v>
      </c>
      <c r="L403" s="72">
        <v>0.3</v>
      </c>
      <c r="M403" s="72">
        <v>0.5</v>
      </c>
      <c r="N403" s="72">
        <v>0.5</v>
      </c>
      <c r="O403" s="72">
        <v>0.7</v>
      </c>
      <c r="P403" s="72">
        <v>0.2</v>
      </c>
      <c r="Q403" s="72">
        <v>0.8</v>
      </c>
      <c r="R403" s="72">
        <v>0.6</v>
      </c>
      <c r="S403" s="72">
        <v>0.6</v>
      </c>
      <c r="T403" s="72">
        <v>0.5</v>
      </c>
      <c r="U403" s="72">
        <v>0.5</v>
      </c>
    </row>
    <row r="404" spans="1:21">
      <c r="A404" s="71">
        <v>44012</v>
      </c>
      <c r="B404" s="72">
        <v>114.4</v>
      </c>
      <c r="C404" s="72">
        <v>-0.3</v>
      </c>
      <c r="D404" s="72">
        <v>-0.3</v>
      </c>
      <c r="E404" s="72">
        <v>0.4</v>
      </c>
      <c r="F404" s="72">
        <v>-0.5</v>
      </c>
      <c r="G404" s="72">
        <v>1.8</v>
      </c>
      <c r="H404" s="72">
        <v>-0.2</v>
      </c>
      <c r="I404" s="72">
        <v>-0.2</v>
      </c>
      <c r="J404" s="72">
        <v>1.3</v>
      </c>
      <c r="K404" s="72">
        <v>1.3</v>
      </c>
      <c r="L404" s="72">
        <v>-1.9</v>
      </c>
      <c r="M404" s="72">
        <v>-1.8</v>
      </c>
      <c r="N404" s="72">
        <v>-1.8</v>
      </c>
      <c r="O404" s="72">
        <v>-1.2</v>
      </c>
      <c r="P404" s="72">
        <v>-1.5</v>
      </c>
      <c r="Q404" s="72">
        <v>0.5</v>
      </c>
      <c r="R404" s="72">
        <v>-1.9</v>
      </c>
      <c r="S404" s="72">
        <v>-1.9</v>
      </c>
      <c r="T404" s="72">
        <v>0.1</v>
      </c>
      <c r="U404" s="72">
        <v>0</v>
      </c>
    </row>
    <row r="405" spans="1:21">
      <c r="A405" s="71">
        <v>44104</v>
      </c>
      <c r="B405" s="72">
        <v>116.2</v>
      </c>
      <c r="C405" s="72">
        <v>0.7</v>
      </c>
      <c r="D405" s="72">
        <v>0.7</v>
      </c>
      <c r="E405" s="72">
        <v>0.9</v>
      </c>
      <c r="F405" s="72">
        <v>0</v>
      </c>
      <c r="G405" s="72">
        <v>1.1000000000000001</v>
      </c>
      <c r="H405" s="72">
        <v>1</v>
      </c>
      <c r="I405" s="72">
        <v>1</v>
      </c>
      <c r="J405" s="72">
        <v>1.2</v>
      </c>
      <c r="K405" s="72">
        <v>1.2</v>
      </c>
      <c r="L405" s="72">
        <v>1.6</v>
      </c>
      <c r="M405" s="72">
        <v>1.5</v>
      </c>
      <c r="N405" s="72">
        <v>1.5</v>
      </c>
      <c r="O405" s="72">
        <v>1.2</v>
      </c>
      <c r="P405" s="72">
        <v>1</v>
      </c>
      <c r="Q405" s="72">
        <v>0.1</v>
      </c>
      <c r="R405" s="72">
        <v>1.7</v>
      </c>
      <c r="S405" s="72">
        <v>1.7</v>
      </c>
      <c r="T405" s="72">
        <v>0.3</v>
      </c>
      <c r="U405" s="72">
        <v>0.3</v>
      </c>
    </row>
    <row r="406" spans="1:21">
      <c r="A406" s="71">
        <v>44196</v>
      </c>
      <c r="B406" s="72">
        <v>117.2</v>
      </c>
      <c r="C406" s="72">
        <v>0.9</v>
      </c>
      <c r="D406" s="72">
        <v>0.9</v>
      </c>
      <c r="E406" s="72">
        <v>1.5</v>
      </c>
      <c r="F406" s="72">
        <v>-0.6</v>
      </c>
      <c r="G406" s="72">
        <v>1.4</v>
      </c>
      <c r="H406" s="72">
        <v>1.5</v>
      </c>
      <c r="I406" s="72">
        <v>1.5</v>
      </c>
      <c r="J406" s="72">
        <v>1.4</v>
      </c>
      <c r="K406" s="72">
        <v>1.2</v>
      </c>
      <c r="L406" s="72">
        <v>0.9</v>
      </c>
      <c r="M406" s="72">
        <v>0.7</v>
      </c>
      <c r="N406" s="72">
        <v>0.7</v>
      </c>
      <c r="O406" s="72">
        <v>0.8</v>
      </c>
      <c r="P406" s="72">
        <v>-0.2</v>
      </c>
      <c r="Q406" s="72">
        <v>-0.1</v>
      </c>
      <c r="R406" s="72">
        <v>1.1000000000000001</v>
      </c>
      <c r="S406" s="72">
        <v>1.1000000000000001</v>
      </c>
      <c r="T406" s="72">
        <v>0.5</v>
      </c>
      <c r="U406" s="72">
        <v>0.4</v>
      </c>
    </row>
    <row r="407" spans="1:21">
      <c r="A407" s="71">
        <v>44286</v>
      </c>
      <c r="B407" s="72">
        <v>117.9</v>
      </c>
      <c r="C407" s="72">
        <v>1.1000000000000001</v>
      </c>
      <c r="D407" s="72">
        <v>1.1000000000000001</v>
      </c>
      <c r="E407" s="72">
        <v>1.4</v>
      </c>
      <c r="F407" s="72">
        <v>0.7</v>
      </c>
      <c r="G407" s="72">
        <v>1.4</v>
      </c>
      <c r="H407" s="72">
        <v>1.3</v>
      </c>
      <c r="I407" s="72">
        <v>1.3</v>
      </c>
      <c r="J407" s="72">
        <v>1.3</v>
      </c>
      <c r="K407" s="72">
        <v>1.1000000000000001</v>
      </c>
      <c r="L407" s="72">
        <v>0.6</v>
      </c>
      <c r="M407" s="72">
        <v>0.6</v>
      </c>
      <c r="N407" s="72">
        <v>0.6</v>
      </c>
      <c r="O407" s="72">
        <v>0.4</v>
      </c>
      <c r="P407" s="72">
        <v>1.1000000000000001</v>
      </c>
      <c r="Q407" s="72">
        <v>0.5</v>
      </c>
      <c r="R407" s="72">
        <v>0.4</v>
      </c>
      <c r="S407" s="72">
        <v>0.4</v>
      </c>
      <c r="T407" s="72">
        <v>0.5</v>
      </c>
      <c r="U407" s="72">
        <v>0.4</v>
      </c>
    </row>
    <row r="408" spans="1:21">
      <c r="A408" s="71">
        <v>44377</v>
      </c>
      <c r="B408" s="72">
        <v>118.8</v>
      </c>
      <c r="C408" s="72">
        <v>3.8</v>
      </c>
      <c r="D408" s="72">
        <v>3.8</v>
      </c>
      <c r="E408" s="72">
        <v>3.1</v>
      </c>
      <c r="F408" s="72">
        <v>3.6</v>
      </c>
      <c r="G408" s="72">
        <v>1.2</v>
      </c>
      <c r="H408" s="72">
        <v>4</v>
      </c>
      <c r="I408" s="72">
        <v>4</v>
      </c>
      <c r="J408" s="72">
        <v>1.7</v>
      </c>
      <c r="K408" s="72">
        <v>1.6</v>
      </c>
      <c r="L408" s="72">
        <v>0.8</v>
      </c>
      <c r="M408" s="72">
        <v>0.8</v>
      </c>
      <c r="N408" s="72">
        <v>0.8</v>
      </c>
      <c r="O408" s="72">
        <v>0.5</v>
      </c>
      <c r="P408" s="72">
        <v>1.5</v>
      </c>
      <c r="Q408" s="72">
        <v>0.4</v>
      </c>
      <c r="R408" s="72">
        <v>0.6</v>
      </c>
      <c r="S408" s="72">
        <v>0.6</v>
      </c>
      <c r="T408" s="72">
        <v>0.5</v>
      </c>
      <c r="U408" s="72">
        <v>0.5</v>
      </c>
    </row>
    <row r="409" spans="1:21">
      <c r="A409" s="71">
        <v>44469</v>
      </c>
      <c r="B409" s="72">
        <v>119.7</v>
      </c>
      <c r="C409" s="72">
        <v>3</v>
      </c>
      <c r="D409" s="72">
        <v>3</v>
      </c>
      <c r="E409" s="72">
        <v>2.5</v>
      </c>
      <c r="F409" s="72">
        <v>3.1</v>
      </c>
      <c r="G409" s="72">
        <v>0.8</v>
      </c>
      <c r="H409" s="72">
        <v>3.2</v>
      </c>
      <c r="I409" s="72">
        <v>3.2</v>
      </c>
      <c r="J409" s="72">
        <v>2.2000000000000002</v>
      </c>
      <c r="K409" s="72">
        <v>2.1</v>
      </c>
      <c r="L409" s="72">
        <v>0.8</v>
      </c>
      <c r="M409" s="72">
        <v>0.8</v>
      </c>
      <c r="N409" s="72">
        <v>0.8</v>
      </c>
      <c r="O409" s="72">
        <v>0.6</v>
      </c>
      <c r="P409" s="72">
        <v>0.6</v>
      </c>
      <c r="Q409" s="72">
        <v>0</v>
      </c>
      <c r="R409" s="72">
        <v>0.9</v>
      </c>
      <c r="S409" s="72">
        <v>0.9</v>
      </c>
      <c r="T409" s="72">
        <v>0.8</v>
      </c>
      <c r="U409" s="72">
        <v>0.7</v>
      </c>
    </row>
    <row r="410" spans="1:21">
      <c r="A410" s="71">
        <v>44561</v>
      </c>
      <c r="B410" s="72">
        <v>121.3</v>
      </c>
      <c r="C410" s="72">
        <v>3.5</v>
      </c>
      <c r="D410" s="72">
        <v>3.5</v>
      </c>
      <c r="E410" s="72">
        <v>2.6</v>
      </c>
      <c r="F410" s="72">
        <v>4.9000000000000004</v>
      </c>
      <c r="G410" s="72">
        <v>2.2000000000000002</v>
      </c>
      <c r="H410" s="72">
        <v>2.8</v>
      </c>
      <c r="I410" s="72">
        <v>2.8</v>
      </c>
      <c r="J410" s="72">
        <v>2.7</v>
      </c>
      <c r="K410" s="72">
        <v>2.6</v>
      </c>
      <c r="L410" s="72">
        <v>1.3</v>
      </c>
      <c r="M410" s="72">
        <v>1.3</v>
      </c>
      <c r="N410" s="72">
        <v>1.3</v>
      </c>
      <c r="O410" s="72">
        <v>1.2</v>
      </c>
      <c r="P410" s="72">
        <v>1.7</v>
      </c>
      <c r="Q410" s="72">
        <v>1.3</v>
      </c>
      <c r="R410" s="72">
        <v>1.2</v>
      </c>
      <c r="S410" s="72">
        <v>1.2</v>
      </c>
      <c r="T410" s="72">
        <v>0.9</v>
      </c>
      <c r="U410" s="72">
        <v>1</v>
      </c>
    </row>
    <row r="411" spans="1:21">
      <c r="A411" s="71">
        <v>44651</v>
      </c>
    </row>
    <row r="412" spans="1:21">
      <c r="A412" s="71">
        <v>44742</v>
      </c>
    </row>
    <row r="413" spans="1:21">
      <c r="A413" s="71">
        <v>44834</v>
      </c>
    </row>
  </sheetData>
  <hyperlinks>
    <hyperlink ref="B9" r:id="rId1" display="http://www.abs.gov.au/" xr:uid="{D798F8FD-FF0B-4E75-8C5D-5480C4E1A340}"/>
    <hyperlink ref="C9" r:id="rId2" display="http://www.abs.gov.au/" xr:uid="{FDAEAC3D-2E6D-44C5-9411-BFE38ED61EE2}"/>
    <hyperlink ref="F9" r:id="rId3" display="http://www.abs.gov.au/" xr:uid="{C66C1B6D-21ED-4D7B-AC6B-E3A2C6ED827B}"/>
    <hyperlink ref="H9" r:id="rId4" display="http://www.abs.gov.au/" xr:uid="{29BDFE39-A4D7-458E-B9FD-EFD7136D1A93}"/>
    <hyperlink ref="J9:M9" r:id="rId5" display="http://www.abs.gov.au/" xr:uid="{DCF0552B-A93E-4F54-9074-91BE4862A612}"/>
    <hyperlink ref="T9:U9" r:id="rId6" display="http://www.abs.gov.au/" xr:uid="{29D2DB99-B526-4761-BADB-FEA0C9CC6BB6}"/>
  </hyperlinks>
  <printOptions headings="1" gridLines="1"/>
  <pageMargins left="0.39370078740157483" right="0.39370078740157483" top="0.70866141732283472" bottom="0.70866141732283472" header="0.51181102362204722" footer="0.51181102362204722"/>
  <pageSetup paperSize="9" scale="71" fitToWidth="3" fitToHeight="10" orientation="landscape" r:id="rId7"/>
  <headerFooter alignWithMargins="0">
    <oddHeader>&amp;LReserve Bank of Australia&amp;R&amp;F</oddHeader>
    <oddFooter>&amp;L&amp;D &amp;T&amp;CPage &amp;P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228663-7967-4137-9AFB-6BA47195D40F}">
  <sheetPr codeName="Sheet21">
    <tabColor theme="0" tint="-0.249977111117893"/>
  </sheetPr>
  <dimension ref="A1:I179"/>
  <sheetViews>
    <sheetView topLeftCell="A133" workbookViewId="0">
      <selection activeCell="D57" sqref="D57"/>
    </sheetView>
  </sheetViews>
  <sheetFormatPr defaultRowHeight="14.25"/>
  <cols>
    <col min="1" max="1" width="33.08203125" bestFit="1" customWidth="1"/>
    <col min="2" max="2" width="17.58203125" bestFit="1" customWidth="1"/>
  </cols>
  <sheetData>
    <row r="1" spans="1:9" ht="14.75">
      <c r="A1" s="31" t="s">
        <v>2023</v>
      </c>
      <c r="B1" s="31"/>
      <c r="C1" s="31"/>
      <c r="D1" s="31"/>
      <c r="E1" s="31"/>
      <c r="F1" s="31" t="s">
        <v>2024</v>
      </c>
      <c r="G1" s="31"/>
      <c r="I1" t="s">
        <v>2025</v>
      </c>
    </row>
    <row r="2" spans="1:9">
      <c r="A2" t="s">
        <v>2026</v>
      </c>
      <c r="B2" t="s">
        <v>2027</v>
      </c>
      <c r="C2" t="s">
        <v>2028</v>
      </c>
      <c r="D2" t="s">
        <v>2029</v>
      </c>
      <c r="E2" t="s">
        <v>2030</v>
      </c>
      <c r="F2" t="s">
        <v>2028</v>
      </c>
      <c r="G2" t="s">
        <v>2031</v>
      </c>
    </row>
    <row r="3" spans="1:9">
      <c r="A3" t="s">
        <v>2032</v>
      </c>
    </row>
    <row r="4" spans="1:9">
      <c r="A4" t="s">
        <v>2033</v>
      </c>
      <c r="B4">
        <v>32.165999999999997</v>
      </c>
      <c r="C4">
        <v>18.4818</v>
      </c>
      <c r="D4">
        <v>74.042199999999994</v>
      </c>
      <c r="E4">
        <v>2.7</v>
      </c>
      <c r="F4">
        <v>18.4818</v>
      </c>
      <c r="G4">
        <v>7.6E-3</v>
      </c>
    </row>
    <row r="5" spans="1:9">
      <c r="A5" t="s">
        <v>2034</v>
      </c>
      <c r="B5" t="s">
        <v>429</v>
      </c>
      <c r="C5" t="s">
        <v>429</v>
      </c>
      <c r="D5" t="s">
        <v>429</v>
      </c>
      <c r="E5" t="s">
        <v>429</v>
      </c>
      <c r="F5" t="s">
        <v>429</v>
      </c>
      <c r="G5" t="s">
        <v>429</v>
      </c>
    </row>
    <row r="6" spans="1:9">
      <c r="A6" t="s">
        <v>2035</v>
      </c>
      <c r="B6">
        <v>117.4284</v>
      </c>
      <c r="C6">
        <v>72.8536</v>
      </c>
      <c r="D6">
        <v>61.183999999999997</v>
      </c>
      <c r="E6">
        <v>1.2</v>
      </c>
      <c r="F6">
        <v>72.8536</v>
      </c>
      <c r="G6">
        <v>2.24E-2</v>
      </c>
    </row>
    <row r="7" spans="1:9">
      <c r="A7" t="s">
        <v>2036</v>
      </c>
      <c r="B7">
        <v>17.749600000000001</v>
      </c>
      <c r="C7">
        <v>11.1599</v>
      </c>
      <c r="D7">
        <v>59.046999999999997</v>
      </c>
      <c r="E7">
        <v>2.5</v>
      </c>
      <c r="F7">
        <v>11.1599</v>
      </c>
      <c r="G7">
        <v>2.5000000000000001E-2</v>
      </c>
    </row>
    <row r="8" spans="1:9">
      <c r="A8" t="s">
        <v>2037</v>
      </c>
      <c r="B8">
        <v>0.54979999999999996</v>
      </c>
      <c r="C8">
        <v>3.5266999999999999</v>
      </c>
      <c r="D8">
        <v>-84.411600000000007</v>
      </c>
      <c r="E8">
        <v>-1.5</v>
      </c>
      <c r="F8">
        <v>3.5266999999999999</v>
      </c>
      <c r="G8">
        <v>0.93020000000000003</v>
      </c>
    </row>
    <row r="10" spans="1:9" ht="14.75">
      <c r="A10" s="31" t="s">
        <v>2023</v>
      </c>
      <c r="B10" s="31"/>
      <c r="C10" s="31"/>
      <c r="D10" s="31"/>
      <c r="E10" s="31"/>
      <c r="F10" s="31" t="s">
        <v>2024</v>
      </c>
      <c r="G10" s="31"/>
    </row>
    <row r="11" spans="1:9">
      <c r="A11" t="s">
        <v>2026</v>
      </c>
      <c r="B11" t="s">
        <v>2027</v>
      </c>
      <c r="C11" t="s">
        <v>2028</v>
      </c>
      <c r="D11" t="s">
        <v>2029</v>
      </c>
      <c r="E11" t="s">
        <v>2030</v>
      </c>
      <c r="F11" t="s">
        <v>2028</v>
      </c>
      <c r="G11" t="s">
        <v>2031</v>
      </c>
    </row>
    <row r="12" spans="1:9">
      <c r="A12" t="s">
        <v>2038</v>
      </c>
    </row>
    <row r="13" spans="1:9">
      <c r="A13" t="s">
        <v>2034</v>
      </c>
      <c r="B13">
        <v>8.8059999999999992</v>
      </c>
      <c r="C13">
        <v>9.0277999999999992</v>
      </c>
      <c r="D13">
        <v>-2.4567999999999999</v>
      </c>
      <c r="E13">
        <v>-0.2</v>
      </c>
      <c r="F13">
        <v>9.0277999999999992</v>
      </c>
      <c r="G13">
        <v>0.60519999999999996</v>
      </c>
    </row>
    <row r="14" spans="1:9">
      <c r="A14" t="s">
        <v>2033</v>
      </c>
      <c r="B14">
        <v>3.3321999999999998</v>
      </c>
      <c r="C14">
        <v>3.0987</v>
      </c>
      <c r="D14">
        <v>7.5347999999999997</v>
      </c>
      <c r="E14">
        <v>0.4</v>
      </c>
      <c r="F14">
        <v>3.0987</v>
      </c>
      <c r="G14">
        <v>0.56520000000000004</v>
      </c>
    </row>
    <row r="15" spans="1:9">
      <c r="A15" t="s">
        <v>2035</v>
      </c>
      <c r="B15">
        <v>4.2624000000000004</v>
      </c>
      <c r="C15">
        <v>3.9339</v>
      </c>
      <c r="D15">
        <v>8.3498999999999999</v>
      </c>
      <c r="E15">
        <v>0.4</v>
      </c>
      <c r="F15">
        <v>3.9339</v>
      </c>
      <c r="G15">
        <v>0.56189999999999996</v>
      </c>
    </row>
    <row r="16" spans="1:9">
      <c r="A16" t="s">
        <v>2036</v>
      </c>
      <c r="B16">
        <v>0.21099999999999999</v>
      </c>
      <c r="C16">
        <v>0.1832</v>
      </c>
      <c r="D16">
        <v>15.1646</v>
      </c>
      <c r="E16">
        <v>0.7</v>
      </c>
      <c r="F16">
        <v>0.1832</v>
      </c>
      <c r="G16">
        <v>0.53890000000000005</v>
      </c>
    </row>
    <row r="17" spans="1:7">
      <c r="A17" t="s">
        <v>2037</v>
      </c>
      <c r="B17">
        <v>0.85350000000000004</v>
      </c>
      <c r="C17">
        <v>0.80579999999999996</v>
      </c>
      <c r="D17">
        <v>5.9212999999999996</v>
      </c>
      <c r="E17">
        <v>0.5</v>
      </c>
      <c r="F17">
        <v>0.80579999999999996</v>
      </c>
      <c r="G17">
        <v>0.55700000000000005</v>
      </c>
    </row>
    <row r="19" spans="1:7" ht="14.75">
      <c r="A19" s="31" t="s">
        <v>2023</v>
      </c>
      <c r="B19" s="31"/>
      <c r="C19" s="31"/>
      <c r="D19" s="31"/>
      <c r="E19" s="31"/>
      <c r="F19" s="31" t="s">
        <v>2024</v>
      </c>
      <c r="G19" s="31"/>
    </row>
    <row r="20" spans="1:7">
      <c r="A20" t="s">
        <v>2026</v>
      </c>
      <c r="B20" t="s">
        <v>2027</v>
      </c>
      <c r="C20" t="s">
        <v>2028</v>
      </c>
      <c r="D20" t="s">
        <v>2029</v>
      </c>
      <c r="E20" t="s">
        <v>2030</v>
      </c>
      <c r="F20" t="s">
        <v>2028</v>
      </c>
      <c r="G20" t="s">
        <v>2031</v>
      </c>
    </row>
    <row r="21" spans="1:7">
      <c r="A21" t="s">
        <v>2039</v>
      </c>
    </row>
    <row r="22" spans="1:7">
      <c r="A22" t="s">
        <v>2033</v>
      </c>
      <c r="B22" t="s">
        <v>429</v>
      </c>
      <c r="C22" t="s">
        <v>429</v>
      </c>
      <c r="D22" t="s">
        <v>429</v>
      </c>
      <c r="E22" t="s">
        <v>429</v>
      </c>
      <c r="F22" t="s">
        <v>429</v>
      </c>
      <c r="G22" t="s">
        <v>429</v>
      </c>
    </row>
    <row r="23" spans="1:7">
      <c r="A23" t="s">
        <v>2034</v>
      </c>
      <c r="B23" t="s">
        <v>429</v>
      </c>
      <c r="C23" t="s">
        <v>429</v>
      </c>
      <c r="D23" t="s">
        <v>429</v>
      </c>
      <c r="E23" t="s">
        <v>429</v>
      </c>
      <c r="F23" t="s">
        <v>429</v>
      </c>
      <c r="G23" t="s">
        <v>429</v>
      </c>
    </row>
    <row r="24" spans="1:7">
      <c r="A24" t="s">
        <v>2035</v>
      </c>
      <c r="B24" t="s">
        <v>429</v>
      </c>
      <c r="C24" t="s">
        <v>429</v>
      </c>
      <c r="D24" t="s">
        <v>429</v>
      </c>
      <c r="E24" t="s">
        <v>429</v>
      </c>
      <c r="F24" t="s">
        <v>429</v>
      </c>
      <c r="G24" t="s">
        <v>429</v>
      </c>
    </row>
    <row r="25" spans="1:7">
      <c r="A25" t="s">
        <v>2036</v>
      </c>
      <c r="B25" t="s">
        <v>429</v>
      </c>
      <c r="C25" t="s">
        <v>429</v>
      </c>
      <c r="D25" t="s">
        <v>429</v>
      </c>
      <c r="E25" t="s">
        <v>429</v>
      </c>
      <c r="F25" t="s">
        <v>429</v>
      </c>
      <c r="G25" t="s">
        <v>429</v>
      </c>
    </row>
    <row r="26" spans="1:7">
      <c r="A26" t="s">
        <v>2037</v>
      </c>
      <c r="B26">
        <v>0.80659999999999998</v>
      </c>
      <c r="C26">
        <v>0.68340000000000001</v>
      </c>
      <c r="D26">
        <v>18.017800000000001</v>
      </c>
      <c r="E26">
        <v>2.2999999999999998</v>
      </c>
      <c r="F26">
        <v>0.68340000000000001</v>
      </c>
      <c r="G26">
        <v>0.76680000000000004</v>
      </c>
    </row>
    <row r="28" spans="1:7" ht="14.75">
      <c r="A28" s="31" t="s">
        <v>2023</v>
      </c>
      <c r="B28" s="31"/>
      <c r="C28" s="31"/>
      <c r="D28" s="31"/>
      <c r="E28" s="31"/>
      <c r="F28" s="31" t="s">
        <v>2024</v>
      </c>
      <c r="G28" s="31"/>
    </row>
    <row r="29" spans="1:7">
      <c r="A29" t="s">
        <v>2026</v>
      </c>
      <c r="B29" t="s">
        <v>2027</v>
      </c>
      <c r="C29" t="s">
        <v>2028</v>
      </c>
      <c r="D29" t="s">
        <v>2029</v>
      </c>
      <c r="E29" t="s">
        <v>2030</v>
      </c>
      <c r="F29" t="s">
        <v>2028</v>
      </c>
      <c r="G29" t="s">
        <v>2031</v>
      </c>
    </row>
    <row r="30" spans="1:7">
      <c r="A30" t="s">
        <v>2040</v>
      </c>
    </row>
    <row r="31" spans="1:7">
      <c r="A31" t="s">
        <v>2034</v>
      </c>
      <c r="B31" t="s">
        <v>429</v>
      </c>
      <c r="C31" t="s">
        <v>429</v>
      </c>
      <c r="D31" t="s">
        <v>429</v>
      </c>
      <c r="E31" t="s">
        <v>429</v>
      </c>
      <c r="F31" t="s">
        <v>429</v>
      </c>
      <c r="G31" t="s">
        <v>429</v>
      </c>
    </row>
    <row r="32" spans="1:7">
      <c r="A32" t="s">
        <v>2033</v>
      </c>
      <c r="B32" t="s">
        <v>429</v>
      </c>
      <c r="C32" t="s">
        <v>429</v>
      </c>
      <c r="D32" t="s">
        <v>429</v>
      </c>
      <c r="E32" t="s">
        <v>429</v>
      </c>
      <c r="F32" t="s">
        <v>429</v>
      </c>
      <c r="G32" t="s">
        <v>429</v>
      </c>
    </row>
    <row r="33" spans="1:9">
      <c r="A33" t="s">
        <v>2035</v>
      </c>
      <c r="B33" t="s">
        <v>429</v>
      </c>
      <c r="C33" t="s">
        <v>429</v>
      </c>
      <c r="D33" t="s">
        <v>429</v>
      </c>
      <c r="E33" t="s">
        <v>429</v>
      </c>
      <c r="F33" t="s">
        <v>429</v>
      </c>
      <c r="G33" t="s">
        <v>429</v>
      </c>
    </row>
    <row r="34" spans="1:9">
      <c r="A34" t="s">
        <v>2036</v>
      </c>
      <c r="B34" t="s">
        <v>429</v>
      </c>
      <c r="C34" t="s">
        <v>429</v>
      </c>
      <c r="D34" t="s">
        <v>429</v>
      </c>
      <c r="E34" t="s">
        <v>429</v>
      </c>
      <c r="F34" t="s">
        <v>429</v>
      </c>
      <c r="G34" t="s">
        <v>429</v>
      </c>
    </row>
    <row r="35" spans="1:9">
      <c r="A35" t="s">
        <v>2037</v>
      </c>
      <c r="B35">
        <v>6.9206000000000003</v>
      </c>
      <c r="C35">
        <v>7.2077999999999998</v>
      </c>
      <c r="D35">
        <v>-3.9838</v>
      </c>
      <c r="E35">
        <v>-0.1</v>
      </c>
      <c r="F35">
        <v>7.2077999999999998</v>
      </c>
      <c r="G35">
        <v>0.45829999999999999</v>
      </c>
    </row>
    <row r="37" spans="1:9" ht="14.75">
      <c r="A37" s="31" t="s">
        <v>2023</v>
      </c>
      <c r="B37" s="31"/>
      <c r="C37" s="31"/>
      <c r="D37" s="31"/>
      <c r="E37" s="31"/>
      <c r="F37" s="31" t="s">
        <v>2024</v>
      </c>
      <c r="G37" s="31"/>
    </row>
    <row r="38" spans="1:9">
      <c r="A38" t="s">
        <v>2026</v>
      </c>
      <c r="B38" t="s">
        <v>2027</v>
      </c>
      <c r="C38" t="s">
        <v>2028</v>
      </c>
      <c r="D38" t="s">
        <v>2029</v>
      </c>
      <c r="E38" t="s">
        <v>2030</v>
      </c>
      <c r="F38" t="s">
        <v>2028</v>
      </c>
      <c r="G38" t="s">
        <v>2031</v>
      </c>
    </row>
    <row r="39" spans="1:9">
      <c r="A39" t="s">
        <v>2040</v>
      </c>
    </row>
    <row r="40" spans="1:9">
      <c r="A40" t="s">
        <v>2034</v>
      </c>
      <c r="B40" t="s">
        <v>429</v>
      </c>
      <c r="C40" t="s">
        <v>429</v>
      </c>
      <c r="D40" t="s">
        <v>429</v>
      </c>
      <c r="E40" t="s">
        <v>429</v>
      </c>
      <c r="F40" t="s">
        <v>429</v>
      </c>
      <c r="G40" t="s">
        <v>429</v>
      </c>
    </row>
    <row r="41" spans="1:9">
      <c r="A41" t="s">
        <v>2033</v>
      </c>
      <c r="B41" t="s">
        <v>429</v>
      </c>
      <c r="C41" t="s">
        <v>429</v>
      </c>
      <c r="D41" t="s">
        <v>429</v>
      </c>
      <c r="E41" t="s">
        <v>429</v>
      </c>
      <c r="F41" t="s">
        <v>429</v>
      </c>
      <c r="G41" t="s">
        <v>429</v>
      </c>
    </row>
    <row r="42" spans="1:9">
      <c r="A42" t="s">
        <v>2035</v>
      </c>
      <c r="B42" t="s">
        <v>429</v>
      </c>
      <c r="C42" t="s">
        <v>429</v>
      </c>
      <c r="D42" t="s">
        <v>429</v>
      </c>
      <c r="E42" t="s">
        <v>429</v>
      </c>
      <c r="F42" t="s">
        <v>429</v>
      </c>
      <c r="G42" t="s">
        <v>429</v>
      </c>
    </row>
    <row r="43" spans="1:9">
      <c r="A43" t="s">
        <v>2036</v>
      </c>
      <c r="B43" t="s">
        <v>429</v>
      </c>
      <c r="C43" t="s">
        <v>429</v>
      </c>
      <c r="D43" t="s">
        <v>429</v>
      </c>
      <c r="E43" t="s">
        <v>429</v>
      </c>
      <c r="F43" t="s">
        <v>429</v>
      </c>
      <c r="G43" t="s">
        <v>429</v>
      </c>
    </row>
    <row r="44" spans="1:9">
      <c r="A44" t="s">
        <v>2037</v>
      </c>
      <c r="B44">
        <v>6.9206000000000003</v>
      </c>
      <c r="C44">
        <v>7.2077999999999998</v>
      </c>
      <c r="D44">
        <v>-3.9838</v>
      </c>
      <c r="E44">
        <v>-0.1</v>
      </c>
      <c r="F44">
        <v>7.2077999999999998</v>
      </c>
      <c r="G44">
        <v>0.45829999999999999</v>
      </c>
    </row>
    <row r="46" spans="1:9" ht="14.75">
      <c r="A46" s="31" t="s">
        <v>2041</v>
      </c>
      <c r="B46" s="31"/>
      <c r="C46" s="31"/>
      <c r="D46" s="31"/>
      <c r="E46" s="31"/>
      <c r="F46" s="31" t="s">
        <v>2024</v>
      </c>
      <c r="G46" s="31"/>
      <c r="I46" t="s">
        <v>2042</v>
      </c>
    </row>
    <row r="47" spans="1:9">
      <c r="A47" t="s">
        <v>2026</v>
      </c>
      <c r="B47" t="s">
        <v>2027</v>
      </c>
      <c r="C47" t="s">
        <v>2028</v>
      </c>
      <c r="D47" t="s">
        <v>2029</v>
      </c>
      <c r="E47" t="s">
        <v>2030</v>
      </c>
      <c r="F47" t="s">
        <v>2028</v>
      </c>
      <c r="G47" t="s">
        <v>2031</v>
      </c>
    </row>
    <row r="48" spans="1:9">
      <c r="A48" t="s">
        <v>2043</v>
      </c>
    </row>
    <row r="49" spans="1:7">
      <c r="A49" t="s">
        <v>2034</v>
      </c>
      <c r="B49">
        <v>10.4274</v>
      </c>
      <c r="C49">
        <v>9.7241</v>
      </c>
      <c r="D49">
        <v>7.2319000000000004</v>
      </c>
      <c r="E49">
        <v>0.9</v>
      </c>
      <c r="F49">
        <v>9.7241</v>
      </c>
      <c r="G49">
        <v>1.141</v>
      </c>
    </row>
    <row r="50" spans="1:7">
      <c r="A50" t="s">
        <v>2033</v>
      </c>
      <c r="B50">
        <v>4.6197999999999997</v>
      </c>
      <c r="C50">
        <v>4.1718000000000002</v>
      </c>
      <c r="D50">
        <v>10.737500000000001</v>
      </c>
      <c r="E50">
        <v>1</v>
      </c>
      <c r="F50">
        <v>4.1718000000000002</v>
      </c>
      <c r="G50">
        <v>1.1111</v>
      </c>
    </row>
    <row r="51" spans="1:7">
      <c r="A51" t="s">
        <v>2035</v>
      </c>
      <c r="B51">
        <v>6.3773999999999997</v>
      </c>
      <c r="C51">
        <v>5.5803000000000003</v>
      </c>
      <c r="D51">
        <v>14.2835</v>
      </c>
      <c r="E51">
        <v>1.4</v>
      </c>
      <c r="F51">
        <v>5.5803000000000003</v>
      </c>
      <c r="G51">
        <v>1.0812999999999999</v>
      </c>
    </row>
    <row r="52" spans="1:7">
      <c r="A52" t="s">
        <v>2036</v>
      </c>
      <c r="B52">
        <v>0.41620000000000001</v>
      </c>
      <c r="C52">
        <v>0.3735</v>
      </c>
      <c r="D52">
        <v>11.4436</v>
      </c>
      <c r="E52">
        <v>1</v>
      </c>
      <c r="F52">
        <v>0.3735</v>
      </c>
      <c r="G52">
        <v>1.105</v>
      </c>
    </row>
    <row r="53" spans="1:7">
      <c r="A53" t="s">
        <v>2037</v>
      </c>
      <c r="B53">
        <v>3.8277999999999999</v>
      </c>
      <c r="C53">
        <v>3.3393999999999999</v>
      </c>
      <c r="D53">
        <v>14.6267</v>
      </c>
      <c r="E53">
        <v>1</v>
      </c>
      <c r="F53">
        <v>3.3393999999999999</v>
      </c>
      <c r="G53" t="s">
        <v>429</v>
      </c>
    </row>
    <row r="57" spans="1:7">
      <c r="A57" t="s">
        <v>106</v>
      </c>
      <c r="B57" t="s">
        <v>164</v>
      </c>
      <c r="C57">
        <v>153.774</v>
      </c>
      <c r="F57" t="s">
        <v>2044</v>
      </c>
    </row>
    <row r="58" spans="1:7">
      <c r="A58" t="s">
        <v>109</v>
      </c>
      <c r="B58" t="s">
        <v>164</v>
      </c>
      <c r="C58">
        <v>-79.329481999999999</v>
      </c>
    </row>
    <row r="59" spans="1:7">
      <c r="A59" t="s">
        <v>112</v>
      </c>
      <c r="B59" t="s">
        <v>164</v>
      </c>
      <c r="C59">
        <v>-16.242362</v>
      </c>
    </row>
    <row r="60" spans="1:7">
      <c r="A60" t="s">
        <v>2045</v>
      </c>
      <c r="B60" t="s">
        <v>164</v>
      </c>
      <c r="C60">
        <v>-5.8539669999999999</v>
      </c>
    </row>
    <row r="61" spans="1:7">
      <c r="A61" t="s">
        <v>2046</v>
      </c>
      <c r="B61" t="s">
        <v>164</v>
      </c>
      <c r="C61">
        <v>9.6926609999999993</v>
      </c>
    </row>
    <row r="62" spans="1:7">
      <c r="A62" t="s">
        <v>121</v>
      </c>
      <c r="B62" t="s">
        <v>164</v>
      </c>
      <c r="C62">
        <v>29.613999999999997</v>
      </c>
    </row>
    <row r="63" spans="1:7">
      <c r="A63" t="s">
        <v>124</v>
      </c>
      <c r="B63" t="s">
        <v>164</v>
      </c>
      <c r="C63">
        <v>27.272043</v>
      </c>
    </row>
    <row r="64" spans="1:7">
      <c r="A64" t="s">
        <v>103</v>
      </c>
      <c r="B64" t="s">
        <v>164</v>
      </c>
      <c r="C64">
        <v>123.824</v>
      </c>
    </row>
    <row r="65" spans="1:3">
      <c r="A65" t="s">
        <v>106</v>
      </c>
      <c r="B65" t="s">
        <v>165</v>
      </c>
      <c r="C65">
        <v>86.602999999999994</v>
      </c>
    </row>
    <row r="66" spans="1:3">
      <c r="A66" t="s">
        <v>109</v>
      </c>
      <c r="B66" t="s">
        <v>165</v>
      </c>
      <c r="C66">
        <v>-79.329481999999999</v>
      </c>
    </row>
    <row r="67" spans="1:3">
      <c r="A67" t="s">
        <v>112</v>
      </c>
      <c r="B67" t="s">
        <v>165</v>
      </c>
      <c r="C67">
        <v>-16.455759</v>
      </c>
    </row>
    <row r="68" spans="1:3">
      <c r="A68" t="s">
        <v>2045</v>
      </c>
      <c r="B68" t="s">
        <v>165</v>
      </c>
      <c r="C68">
        <v>-6.2053430000000001</v>
      </c>
    </row>
    <row r="69" spans="1:3">
      <c r="A69" t="s">
        <v>2046</v>
      </c>
      <c r="B69" t="s">
        <v>165</v>
      </c>
      <c r="C69">
        <v>-13.068947</v>
      </c>
    </row>
    <row r="70" spans="1:3">
      <c r="A70" t="s">
        <v>121</v>
      </c>
      <c r="B70" t="s">
        <v>165</v>
      </c>
      <c r="C70">
        <v>22.286999999999999</v>
      </c>
    </row>
    <row r="71" spans="1:3">
      <c r="A71" t="s">
        <v>124</v>
      </c>
      <c r="B71" t="s">
        <v>165</v>
      </c>
      <c r="C71">
        <v>19.858515000000001</v>
      </c>
    </row>
    <row r="72" spans="1:3">
      <c r="A72" t="s">
        <v>103</v>
      </c>
      <c r="B72" t="s">
        <v>165</v>
      </c>
      <c r="C72">
        <v>82.963999999999999</v>
      </c>
    </row>
    <row r="73" spans="1:3">
      <c r="A73" t="s">
        <v>106</v>
      </c>
      <c r="B73" t="s">
        <v>2047</v>
      </c>
      <c r="C73">
        <v>293.18599999999998</v>
      </c>
    </row>
    <row r="74" spans="1:3">
      <c r="A74" t="s">
        <v>109</v>
      </c>
      <c r="B74" t="s">
        <v>2047</v>
      </c>
      <c r="C74">
        <v>-74.255651999999998</v>
      </c>
    </row>
    <row r="75" spans="1:3">
      <c r="A75" t="s">
        <v>112</v>
      </c>
      <c r="B75" t="s">
        <v>2047</v>
      </c>
      <c r="C75">
        <v>0</v>
      </c>
    </row>
    <row r="76" spans="1:3">
      <c r="A76" t="s">
        <v>2045</v>
      </c>
      <c r="B76" t="s">
        <v>2047</v>
      </c>
      <c r="C76">
        <v>4.0436690000000004</v>
      </c>
    </row>
    <row r="77" spans="1:3">
      <c r="A77" t="s">
        <v>2046</v>
      </c>
      <c r="B77" t="s">
        <v>2047</v>
      </c>
      <c r="C77">
        <v>10.630240000000001</v>
      </c>
    </row>
    <row r="78" spans="1:3">
      <c r="A78" t="s">
        <v>121</v>
      </c>
      <c r="B78" t="s">
        <v>2047</v>
      </c>
      <c r="C78">
        <v>370.20600000000002</v>
      </c>
    </row>
    <row r="79" spans="1:3">
      <c r="A79" t="s">
        <v>124</v>
      </c>
      <c r="B79" t="s">
        <v>2047</v>
      </c>
      <c r="C79">
        <v>318.20750399999997</v>
      </c>
    </row>
    <row r="80" spans="1:3">
      <c r="A80" t="s">
        <v>103</v>
      </c>
      <c r="B80" t="s">
        <v>2047</v>
      </c>
      <c r="C80">
        <v>128.32900000000001</v>
      </c>
    </row>
    <row r="81" spans="1:5">
      <c r="A81" t="s">
        <v>106</v>
      </c>
      <c r="B81" t="s">
        <v>2048</v>
      </c>
      <c r="C81" t="s">
        <v>2049</v>
      </c>
      <c r="E81" t="s">
        <v>2050</v>
      </c>
    </row>
    <row r="82" spans="1:5">
      <c r="A82" t="s">
        <v>109</v>
      </c>
      <c r="B82" t="s">
        <v>2048</v>
      </c>
      <c r="C82">
        <v>287.07804426000001</v>
      </c>
    </row>
    <row r="83" spans="1:5">
      <c r="A83" t="s">
        <v>112</v>
      </c>
      <c r="B83" t="s">
        <v>2048</v>
      </c>
      <c r="C83">
        <v>435.69750809000004</v>
      </c>
    </row>
    <row r="84" spans="1:5">
      <c r="A84" t="s">
        <v>2045</v>
      </c>
      <c r="B84" t="s">
        <v>2048</v>
      </c>
      <c r="C84" t="s">
        <v>2049</v>
      </c>
      <c r="E84" t="s">
        <v>2050</v>
      </c>
    </row>
    <row r="85" spans="1:5">
      <c r="A85" t="s">
        <v>2046</v>
      </c>
      <c r="B85" t="s">
        <v>2048</v>
      </c>
      <c r="C85">
        <v>424.63167568000006</v>
      </c>
    </row>
    <row r="86" spans="1:5">
      <c r="A86" t="s">
        <v>121</v>
      </c>
      <c r="B86" t="s">
        <v>2048</v>
      </c>
      <c r="C86">
        <v>111.90489290499997</v>
      </c>
    </row>
    <row r="87" spans="1:5">
      <c r="A87" t="s">
        <v>124</v>
      </c>
      <c r="B87" t="s">
        <v>2048</v>
      </c>
      <c r="C87">
        <v>198.20076669999997</v>
      </c>
    </row>
    <row r="88" spans="1:5">
      <c r="A88" t="s">
        <v>103</v>
      </c>
      <c r="B88" t="s">
        <v>2048</v>
      </c>
      <c r="C88" t="s">
        <v>2049</v>
      </c>
      <c r="E88" t="s">
        <v>2050</v>
      </c>
    </row>
    <row r="97" spans="1:8">
      <c r="A97" t="s">
        <v>2051</v>
      </c>
      <c r="B97">
        <v>836</v>
      </c>
      <c r="G97" t="s">
        <v>2052</v>
      </c>
    </row>
    <row r="98" spans="1:8">
      <c r="A98" t="s">
        <v>2053</v>
      </c>
      <c r="B98">
        <v>3500</v>
      </c>
    </row>
    <row r="102" spans="1:8">
      <c r="H102" t="s">
        <v>2054</v>
      </c>
    </row>
    <row r="112" spans="1:8">
      <c r="B112" t="s">
        <v>2055</v>
      </c>
      <c r="C112">
        <f>357+875+(8*0.8)+18+245+318+101</f>
        <v>1920.4</v>
      </c>
    </row>
    <row r="113" spans="1:8">
      <c r="B113" t="s">
        <v>2056</v>
      </c>
      <c r="C113">
        <f>101+270+(5*0.8)+10+68+93+36</f>
        <v>582</v>
      </c>
    </row>
    <row r="115" spans="1:8">
      <c r="B115" t="s">
        <v>2057</v>
      </c>
      <c r="C115">
        <v>2000</v>
      </c>
      <c r="D115" t="s">
        <v>2058</v>
      </c>
      <c r="H115" t="s">
        <v>2059</v>
      </c>
    </row>
    <row r="118" spans="1:8">
      <c r="A118" t="s">
        <v>105</v>
      </c>
      <c r="B118" t="s">
        <v>2060</v>
      </c>
      <c r="G118" t="s">
        <v>2061</v>
      </c>
    </row>
    <row r="119" spans="1:8">
      <c r="B119" t="s">
        <v>2056</v>
      </c>
    </row>
    <row r="120" spans="1:8">
      <c r="A120" t="s">
        <v>2062</v>
      </c>
      <c r="B120">
        <v>89.1</v>
      </c>
    </row>
    <row r="121" spans="1:8">
      <c r="A121" t="s">
        <v>2063</v>
      </c>
      <c r="B121">
        <v>113.2</v>
      </c>
    </row>
    <row r="122" spans="1:8">
      <c r="A122" t="s">
        <v>2064</v>
      </c>
      <c r="B122">
        <v>140.69999999999999</v>
      </c>
    </row>
    <row r="123" spans="1:8">
      <c r="A123" t="s">
        <v>2065</v>
      </c>
      <c r="B123">
        <v>278.5</v>
      </c>
    </row>
    <row r="124" spans="1:8">
      <c r="A124" t="s">
        <v>2066</v>
      </c>
      <c r="B124">
        <v>48.3</v>
      </c>
    </row>
    <row r="125" spans="1:8">
      <c r="B125">
        <f>SUM(B120:B124)</f>
        <v>669.8</v>
      </c>
    </row>
    <row r="127" spans="1:8">
      <c r="B127" t="s">
        <v>2067</v>
      </c>
      <c r="G127" t="s">
        <v>2068</v>
      </c>
    </row>
    <row r="128" spans="1:8">
      <c r="B128" t="s">
        <v>2056</v>
      </c>
    </row>
    <row r="129" spans="1:7">
      <c r="A129" t="s">
        <v>2069</v>
      </c>
      <c r="B129">
        <v>143.5</v>
      </c>
    </row>
    <row r="130" spans="1:7">
      <c r="A130" t="s">
        <v>2070</v>
      </c>
      <c r="B130">
        <v>144.4</v>
      </c>
    </row>
    <row r="131" spans="1:7">
      <c r="A131" t="s">
        <v>2071</v>
      </c>
      <c r="B131">
        <v>150</v>
      </c>
    </row>
    <row r="132" spans="1:7">
      <c r="A132" t="s">
        <v>2072</v>
      </c>
      <c r="B132">
        <v>274</v>
      </c>
    </row>
    <row r="133" spans="1:7">
      <c r="A133" t="s">
        <v>2073</v>
      </c>
      <c r="B133">
        <v>320</v>
      </c>
    </row>
    <row r="134" spans="1:7">
      <c r="A134" t="s">
        <v>2074</v>
      </c>
      <c r="B134">
        <v>245</v>
      </c>
    </row>
    <row r="135" spans="1:7">
      <c r="B135">
        <f>SUM(B129:B134)</f>
        <v>1276.9000000000001</v>
      </c>
    </row>
    <row r="138" spans="1:7">
      <c r="A138" t="s">
        <v>108</v>
      </c>
      <c r="B138" t="s">
        <v>2060</v>
      </c>
      <c r="G138" t="s">
        <v>2075</v>
      </c>
    </row>
    <row r="139" spans="1:7">
      <c r="B139" t="s">
        <v>2076</v>
      </c>
    </row>
    <row r="140" spans="1:7">
      <c r="A140" t="s">
        <v>2077</v>
      </c>
      <c r="B140">
        <v>125</v>
      </c>
    </row>
    <row r="141" spans="1:7">
      <c r="A141" t="s">
        <v>2078</v>
      </c>
      <c r="B141">
        <v>67.400000000000006</v>
      </c>
    </row>
    <row r="142" spans="1:7">
      <c r="A142" t="s">
        <v>2079</v>
      </c>
      <c r="B142">
        <v>64.400000000000006</v>
      </c>
    </row>
    <row r="143" spans="1:7">
      <c r="A143" t="s">
        <v>2080</v>
      </c>
      <c r="B143">
        <v>47</v>
      </c>
    </row>
    <row r="144" spans="1:7">
      <c r="A144" t="s">
        <v>2080</v>
      </c>
      <c r="B144">
        <v>43</v>
      </c>
    </row>
    <row r="145" spans="1:7">
      <c r="A145" t="s">
        <v>2081</v>
      </c>
      <c r="B145">
        <v>200</v>
      </c>
    </row>
    <row r="146" spans="1:7">
      <c r="A146" t="s">
        <v>2082</v>
      </c>
      <c r="B146">
        <v>7.5</v>
      </c>
    </row>
    <row r="147" spans="1:7">
      <c r="A147" t="s">
        <v>2083</v>
      </c>
      <c r="B147">
        <v>5.4</v>
      </c>
    </row>
    <row r="148" spans="1:7">
      <c r="A148" t="s">
        <v>2084</v>
      </c>
      <c r="B148">
        <v>6.8</v>
      </c>
    </row>
    <row r="149" spans="1:7">
      <c r="A149" t="s">
        <v>2085</v>
      </c>
      <c r="B149">
        <v>7.5</v>
      </c>
    </row>
    <row r="150" spans="1:7">
      <c r="A150" t="s">
        <v>2086</v>
      </c>
      <c r="B150">
        <v>7.2</v>
      </c>
    </row>
    <row r="151" spans="1:7">
      <c r="A151" t="s">
        <v>2087</v>
      </c>
      <c r="B151">
        <v>7.5</v>
      </c>
    </row>
    <row r="152" spans="1:7">
      <c r="A152" t="s">
        <v>2088</v>
      </c>
      <c r="B152">
        <v>8.4</v>
      </c>
    </row>
    <row r="153" spans="1:7">
      <c r="A153" t="s">
        <v>2089</v>
      </c>
      <c r="B153">
        <v>5.2</v>
      </c>
    </row>
    <row r="154" spans="1:7">
      <c r="B154">
        <f>SUM(B140:B153)</f>
        <v>602.29999999999995</v>
      </c>
    </row>
    <row r="156" spans="1:7">
      <c r="A156" t="s">
        <v>114</v>
      </c>
      <c r="B156" t="s">
        <v>2060</v>
      </c>
      <c r="G156" t="s">
        <v>2090</v>
      </c>
    </row>
    <row r="157" spans="1:7">
      <c r="B157" t="s">
        <v>2056</v>
      </c>
    </row>
    <row r="158" spans="1:7">
      <c r="B158">
        <v>19.8</v>
      </c>
    </row>
    <row r="159" spans="1:7">
      <c r="B159">
        <v>240</v>
      </c>
    </row>
    <row r="160" spans="1:7">
      <c r="B160">
        <v>240</v>
      </c>
    </row>
    <row r="161" spans="1:7">
      <c r="B161">
        <v>60</v>
      </c>
    </row>
    <row r="162" spans="1:7">
      <c r="B162">
        <v>132</v>
      </c>
    </row>
    <row r="163" spans="1:7">
      <c r="B163">
        <f>SUM(B158:B162)</f>
        <v>691.8</v>
      </c>
    </row>
    <row r="166" spans="1:7">
      <c r="A166" t="s">
        <v>2091</v>
      </c>
      <c r="B166" t="s">
        <v>2060</v>
      </c>
      <c r="G166" t="s">
        <v>2092</v>
      </c>
    </row>
    <row r="167" spans="1:7">
      <c r="B167" t="s">
        <v>2056</v>
      </c>
    </row>
    <row r="168" spans="1:7">
      <c r="B168">
        <v>100</v>
      </c>
    </row>
    <row r="170" spans="1:7">
      <c r="B170" t="s">
        <v>2093</v>
      </c>
    </row>
    <row r="171" spans="1:7">
      <c r="B171" t="s">
        <v>2056</v>
      </c>
    </row>
    <row r="172" spans="1:7">
      <c r="B172">
        <v>300</v>
      </c>
    </row>
    <row r="174" spans="1:7">
      <c r="B174" t="s">
        <v>2094</v>
      </c>
    </row>
    <row r="175" spans="1:7">
      <c r="B175" t="s">
        <v>2056</v>
      </c>
    </row>
    <row r="176" spans="1:7">
      <c r="B176">
        <v>470</v>
      </c>
    </row>
    <row r="179" spans="2:2">
      <c r="B179" s="35"/>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444E4-74AE-4752-80E1-E903CE0F895F}">
  <sheetPr codeName="Sheet6">
    <tabColor theme="5"/>
  </sheetPr>
  <dimension ref="A1:Z134"/>
  <sheetViews>
    <sheetView showGridLines="0" zoomScale="85" zoomScaleNormal="85" workbookViewId="0">
      <pane xSplit="3" ySplit="3" topLeftCell="D4" activePane="bottomRight" state="frozen"/>
      <selection pane="topRight" activeCell="D1" sqref="D1"/>
      <selection pane="bottomLeft" activeCell="A4" sqref="A4"/>
      <selection pane="bottomRight" activeCell="D4" sqref="D4"/>
    </sheetView>
  </sheetViews>
  <sheetFormatPr defaultRowHeight="14.25"/>
  <cols>
    <col min="2" max="2" width="38.75" customWidth="1"/>
    <col min="4" max="4" width="17.33203125" bestFit="1" customWidth="1"/>
    <col min="6" max="10" width="18.33203125" bestFit="1" customWidth="1"/>
    <col min="11" max="11" width="18.33203125" customWidth="1"/>
    <col min="12" max="12" width="21.75" customWidth="1"/>
    <col min="13" max="13" width="19.58203125" customWidth="1"/>
    <col min="14" max="15" width="19.08203125" customWidth="1"/>
    <col min="16" max="17" width="19.33203125" bestFit="1" customWidth="1"/>
    <col min="18" max="18" width="12.33203125" customWidth="1"/>
  </cols>
  <sheetData>
    <row r="1" spans="1:26" ht="20" thickBot="1">
      <c r="A1" s="32" t="s">
        <v>65</v>
      </c>
      <c r="B1" s="32"/>
      <c r="C1" s="32"/>
      <c r="D1" s="32"/>
      <c r="E1" s="32"/>
      <c r="F1" s="32"/>
      <c r="G1" s="32"/>
      <c r="H1" s="32"/>
      <c r="I1" s="32"/>
      <c r="J1" s="32"/>
      <c r="K1" s="32"/>
      <c r="L1" s="32"/>
      <c r="M1" s="32"/>
      <c r="N1" s="32"/>
      <c r="O1" s="32"/>
      <c r="P1" s="32"/>
      <c r="Q1" s="32"/>
      <c r="R1" s="32"/>
      <c r="S1" s="32"/>
      <c r="T1" s="32"/>
      <c r="U1" s="32"/>
      <c r="V1" s="32"/>
      <c r="W1" s="32"/>
      <c r="X1" s="32"/>
      <c r="Y1" s="32"/>
      <c r="Z1" s="32"/>
    </row>
    <row r="2" spans="1:26" ht="15" thickTop="1">
      <c r="B2" s="42" t="s">
        <v>66</v>
      </c>
      <c r="F2" s="135">
        <v>40724</v>
      </c>
      <c r="G2" s="135">
        <v>41088</v>
      </c>
      <c r="H2" s="135">
        <v>41453</v>
      </c>
      <c r="I2" s="135">
        <v>41820</v>
      </c>
      <c r="J2" s="135">
        <v>42185</v>
      </c>
      <c r="K2" s="135">
        <v>42551</v>
      </c>
      <c r="L2" s="135">
        <v>42916</v>
      </c>
      <c r="M2" s="135">
        <v>43279</v>
      </c>
      <c r="N2" s="135">
        <v>43644</v>
      </c>
      <c r="O2" s="135">
        <v>44012</v>
      </c>
      <c r="P2" s="135">
        <v>44377</v>
      </c>
      <c r="Q2" s="1" t="s">
        <v>67</v>
      </c>
    </row>
    <row r="3" spans="1:26">
      <c r="B3" t="s">
        <v>68</v>
      </c>
    </row>
    <row r="4" spans="1:26" ht="17.5" thickBot="1">
      <c r="B4" s="136" t="s">
        <v>48</v>
      </c>
      <c r="C4" s="136"/>
      <c r="D4" s="136"/>
      <c r="E4" s="136"/>
      <c r="F4" s="136"/>
      <c r="G4" s="136"/>
      <c r="H4" s="136"/>
      <c r="I4" s="136"/>
      <c r="J4" s="136"/>
      <c r="K4" s="136"/>
      <c r="L4" s="136"/>
      <c r="M4" s="136"/>
      <c r="N4" s="136"/>
      <c r="O4" s="136"/>
      <c r="P4" s="136"/>
      <c r="Q4" s="136"/>
    </row>
    <row r="5" spans="1:26" ht="15" thickTop="1"/>
    <row r="6" spans="1:26">
      <c r="B6" t="s">
        <v>69</v>
      </c>
      <c r="F6" s="173">
        <f>VLOOKUP(F2,'SKI - Historical Equity'!$A$3:$C$4031,3,FALSE)</f>
        <v>1711486860</v>
      </c>
      <c r="G6" s="173">
        <f>VLOOKUP(G2,'SKI - Historical Equity'!$A$3:$C$4031,3,FALSE)</f>
        <v>1983467330</v>
      </c>
      <c r="H6" s="173">
        <f>VLOOKUP(H2,'SKI - Historical Equity'!$A$3:$C$4031,3,FALSE)</f>
        <v>2301883490</v>
      </c>
      <c r="I6" s="173">
        <f>VLOOKUP(I2,'SKI - Historical Equity'!$A$3:$C$4031,3,FALSE)</f>
        <v>2712766000</v>
      </c>
      <c r="J6" s="173">
        <f>VLOOKUP(J2,'SKI - Historical Equity'!$A$3:$C$4031,3,FALSE)</f>
        <v>2866733800</v>
      </c>
      <c r="K6" s="173">
        <f>VLOOKUP(K2,'SKI - Historical Equity'!$A$3:$C$4031,3,FALSE)</f>
        <v>4104106840</v>
      </c>
      <c r="L6" s="173">
        <f>VLOOKUP(L2,'SKI - Historical Equity'!$A$3:$C$4031,3,FALSE)</f>
        <v>4406868820</v>
      </c>
      <c r="M6" s="173">
        <f>VLOOKUP(M2,'SKI - Historical Equity'!$A$3:$C$4031,3,FALSE)</f>
        <v>3885445410</v>
      </c>
      <c r="N6" s="173">
        <f>VLOOKUP(N2,'SKI - Historical Equity'!$A$3:$C$4031,3,FALSE)</f>
        <v>4087286730</v>
      </c>
      <c r="O6" s="173">
        <f>VLOOKUP(O2,'SKI - Historical Equity'!$A$3:$C$4031,3,FALSE)</f>
        <v>3718905534</v>
      </c>
      <c r="P6" s="173">
        <f>VLOOKUP(P2,'SKI - Historical Equity'!$A$3:$C$4031,3,FALSE)</f>
        <v>3948647130</v>
      </c>
      <c r="Q6" s="173">
        <v>5200000000</v>
      </c>
    </row>
    <row r="7" spans="1:26">
      <c r="B7" t="s">
        <v>70</v>
      </c>
      <c r="F7" s="173">
        <f>'SKI - BalanceSheet'!W9*1000000</f>
        <v>15900000</v>
      </c>
      <c r="G7" s="173">
        <f>'SKI - BalanceSheet'!X9*1000000</f>
        <v>89300000</v>
      </c>
      <c r="H7" s="173">
        <f>'SKI - BalanceSheet'!Y9*1000000</f>
        <v>87700000</v>
      </c>
      <c r="I7" s="173">
        <f>'SKI - BalanceSheet'!Z9*1000000</f>
        <v>114300000</v>
      </c>
      <c r="J7" s="173">
        <f>'SKI - BalanceSheet'!AA9*1000000</f>
        <v>56300000</v>
      </c>
      <c r="K7" s="173">
        <f>'SKI - BalanceSheet'!AB9*1000000</f>
        <v>53300000</v>
      </c>
      <c r="L7" s="173">
        <f>'SKI - BalanceSheet'!AC9*1000000</f>
        <v>65599999.999999993</v>
      </c>
      <c r="M7" s="173">
        <f>'SKI - BalanceSheet'!AD9*1000000</f>
        <v>61900000</v>
      </c>
      <c r="N7" s="173">
        <f>'SKI - BalanceSheet'!AE9*1000000</f>
        <v>57300000</v>
      </c>
      <c r="O7" s="173">
        <f>'SKI - BalanceSheet'!AF9*1000000</f>
        <v>49300000</v>
      </c>
      <c r="P7" s="173">
        <f>'SKI - BalanceSheet'!AG9*1000000</f>
        <v>46600000</v>
      </c>
      <c r="Q7" s="173">
        <f>P7</f>
        <v>46600000</v>
      </c>
    </row>
    <row r="8" spans="1:26">
      <c r="B8" s="5"/>
      <c r="F8" s="117"/>
      <c r="G8" s="117"/>
      <c r="H8" s="117"/>
      <c r="I8" s="117"/>
      <c r="J8" s="117"/>
      <c r="K8" s="117"/>
      <c r="L8" s="117"/>
      <c r="M8" s="117"/>
      <c r="N8" s="117"/>
      <c r="O8" s="117"/>
      <c r="P8" s="117"/>
    </row>
    <row r="9" spans="1:26">
      <c r="B9" s="5" t="s">
        <v>71</v>
      </c>
      <c r="F9" s="117"/>
      <c r="G9" s="117"/>
      <c r="H9" s="117"/>
      <c r="I9" s="117"/>
      <c r="J9" s="117"/>
      <c r="K9" s="117"/>
      <c r="L9" s="117"/>
      <c r="M9" s="117"/>
      <c r="N9" s="117"/>
      <c r="O9" s="117"/>
      <c r="P9" s="117"/>
    </row>
    <row r="10" spans="1:26">
      <c r="B10" s="1" t="s">
        <v>48</v>
      </c>
      <c r="F10" s="117"/>
      <c r="G10" s="117"/>
      <c r="H10" s="117"/>
      <c r="I10" s="117"/>
      <c r="J10" s="117"/>
      <c r="K10" s="117"/>
      <c r="L10" s="117"/>
      <c r="M10" s="117"/>
      <c r="N10" s="117"/>
      <c r="O10" s="117"/>
      <c r="P10" s="117"/>
    </row>
    <row r="11" spans="1:26">
      <c r="B11" t="s">
        <v>72</v>
      </c>
      <c r="F11" s="173">
        <f>'SKI - BalanceSheet'!W53*1000000</f>
        <v>934100000</v>
      </c>
      <c r="G11" s="173">
        <f>'SKI - BalanceSheet'!U53*1000000</f>
        <v>920200000</v>
      </c>
      <c r="H11" s="173">
        <f>'SKI - BalanceSheet'!S53*1000000</f>
        <v>861300000</v>
      </c>
      <c r="I11" s="173">
        <f>'SKI - BalanceSheet'!Q53*1000000</f>
        <v>925800000</v>
      </c>
      <c r="J11" s="173">
        <f>'SKI - BalanceSheet'!O53*1000000</f>
        <v>925900000</v>
      </c>
      <c r="K11" s="173">
        <f>'SKI - BalanceSheet'!M53*1000000</f>
        <v>1061700000</v>
      </c>
      <c r="L11" s="173">
        <f>'SKI - BalanceSheet'!K53*1000000</f>
        <v>1061700000</v>
      </c>
      <c r="M11" s="173">
        <f>'SKI - BalanceSheet'!I53*1000000</f>
        <v>1061800000</v>
      </c>
      <c r="N11" s="173">
        <f>'SKI - BalanceSheet'!G53*1000000</f>
        <v>1061800000</v>
      </c>
      <c r="O11" s="173">
        <f>'SKI - BalanceSheet'!F53*1000000</f>
        <v>1072700000</v>
      </c>
      <c r="P11" s="173">
        <f>'SKI - BalanceSheet'!D53*1000000</f>
        <v>1098000000</v>
      </c>
      <c r="Q11" s="173">
        <f>P11</f>
        <v>1098000000</v>
      </c>
    </row>
    <row r="12" spans="1:26">
      <c r="F12" s="117"/>
      <c r="G12" s="117"/>
      <c r="H12" s="117"/>
      <c r="I12" s="117"/>
      <c r="J12" s="117"/>
      <c r="K12" s="117"/>
      <c r="L12" s="117"/>
      <c r="M12" s="117"/>
      <c r="N12" s="117"/>
      <c r="O12" s="117"/>
      <c r="P12" s="117"/>
    </row>
    <row r="13" spans="1:26">
      <c r="B13" s="1" t="s">
        <v>73</v>
      </c>
      <c r="F13" s="117"/>
      <c r="G13" s="117"/>
      <c r="H13" s="117"/>
      <c r="I13" s="117"/>
      <c r="J13" s="117"/>
      <c r="K13" s="117"/>
      <c r="L13" s="117"/>
      <c r="M13" s="117"/>
      <c r="N13" s="117"/>
      <c r="O13" s="117"/>
      <c r="P13" s="117"/>
    </row>
    <row r="14" spans="1:26">
      <c r="B14" t="s">
        <v>74</v>
      </c>
      <c r="F14" s="173">
        <f>'Value of Debt (listed bonds)'!F43</f>
        <v>1582342189.4000001</v>
      </c>
      <c r="G14" s="173">
        <f>'Value of Debt (listed bonds)'!G43</f>
        <v>1243178105.2</v>
      </c>
      <c r="H14" s="173">
        <f>'Value of Debt (listed bonds)'!H43</f>
        <v>1123293389.2</v>
      </c>
      <c r="I14" s="173">
        <f>'Value of Debt (listed bonds)'!I43</f>
        <v>1295938480.5</v>
      </c>
      <c r="J14" s="173">
        <f>'Value of Debt (listed bonds)'!J43</f>
        <v>1310580050</v>
      </c>
      <c r="K14" s="173">
        <f>'Value of Debt (listed bonds)'!K43</f>
        <v>976522500</v>
      </c>
      <c r="L14" s="173">
        <f>'Value of Debt (listed bonds)'!L43</f>
        <v>1411588174.0517001</v>
      </c>
      <c r="M14" s="173">
        <f>'Value of Debt (listed bonds)'!M43</f>
        <v>1999027593.3399301</v>
      </c>
      <c r="N14" s="173">
        <f>'Value of Debt (listed bonds)'!N43</f>
        <v>1937027574.25226</v>
      </c>
      <c r="O14" s="173">
        <f>'Value of Debt (listed bonds)'!O43</f>
        <v>1989075900.37534</v>
      </c>
      <c r="P14" s="173">
        <f>'Value of Debt (listed bonds)'!P43</f>
        <v>3276113774.1235299</v>
      </c>
      <c r="Q14" s="173">
        <f>'Value of Debt (listed bonds)'!Q43</f>
        <v>3217105753.7643003</v>
      </c>
    </row>
    <row r="15" spans="1:26">
      <c r="B15" t="s">
        <v>75</v>
      </c>
      <c r="F15" s="173">
        <f>'Value of Debt (unlisted bonds)'!D819*1000000+'VPN Bonds'!C158*1000000</f>
        <v>1748500000</v>
      </c>
      <c r="G15" s="173">
        <f>'Value of Debt (unlisted bonds)'!E819*1000000+'VPN Bonds'!D158*1000000</f>
        <v>1748500000</v>
      </c>
      <c r="H15" s="173">
        <f>'Value of Debt (unlisted bonds)'!F819*1000000+'VPN Bonds'!E158*1000000</f>
        <v>2042500000</v>
      </c>
      <c r="I15" s="173">
        <f>'Value of Debt (unlisted bonds)'!G819*1000000+'VPN Bonds'!F158*1000000</f>
        <v>1892500000</v>
      </c>
      <c r="J15" s="173">
        <f>'Value of Debt (unlisted bonds)'!H819*1000000+'VPN Bonds'!G158*1000000</f>
        <v>1889232802.3154268</v>
      </c>
      <c r="K15" s="173">
        <f>'Value of Debt (unlisted bonds)'!I819*1000000+'VPN Bonds'!H158*1000000</f>
        <v>2086281730.8064418</v>
      </c>
      <c r="L15" s="173">
        <f>'Value of Debt (unlisted bonds)'!J819*1000000+'VPN Bonds'!I158*1000000</f>
        <v>2273686103.7202702</v>
      </c>
      <c r="M15" s="173">
        <f>'Value of Debt (unlisted bonds)'!K819*1000000+'VPN Bonds'!J158*1000000</f>
        <v>2105171652.1690903</v>
      </c>
      <c r="N15" s="173">
        <f>'Value of Debt (unlisted bonds)'!L819*1000000+'VPN Bonds'!K158*1000000</f>
        <v>1940055268.6647</v>
      </c>
      <c r="O15" s="173">
        <f>'Value of Debt (unlisted bonds)'!M819*1000000+'VPN Bonds'!L158*1000000</f>
        <v>1939244769.0733738</v>
      </c>
      <c r="P15" s="173">
        <f>'Value of Debt (unlisted bonds)'!N819*1000000+'VPN Bonds'!M158*1000000</f>
        <v>2082586745.7828238</v>
      </c>
      <c r="Q15" s="173">
        <f>'Value of Debt (unlisted bonds)'!O819*1000000+'VPN Bonds'!N158*1000000</f>
        <v>2129761893.1111455</v>
      </c>
    </row>
    <row r="16" spans="1:26">
      <c r="B16" t="s">
        <v>76</v>
      </c>
      <c r="F16" s="173">
        <f>'VPN Bonds'!C159*1000000</f>
        <v>0</v>
      </c>
      <c r="G16" s="173">
        <f>'VPN Bonds'!D159*1000000</f>
        <v>0</v>
      </c>
      <c r="H16" s="173">
        <f>'VPN Bonds'!E159*1000000</f>
        <v>335000000</v>
      </c>
      <c r="I16" s="173">
        <f>'VPN Bonds'!F159*1000000</f>
        <v>1085000000</v>
      </c>
      <c r="J16" s="173">
        <f>'VPN Bonds'!G159*1000000</f>
        <v>1085000000</v>
      </c>
      <c r="K16" s="173">
        <f>'VPN Bonds'!H159*1000000</f>
        <v>1150000000</v>
      </c>
      <c r="L16" s="173">
        <f>'VPN Bonds'!I159*1000000</f>
        <v>450000000</v>
      </c>
      <c r="M16" s="173">
        <f>'VPN Bonds'!J159*1000000</f>
        <v>250000000</v>
      </c>
      <c r="N16" s="173">
        <f>'VPN Bonds'!K159*1000000</f>
        <v>0</v>
      </c>
      <c r="O16" s="173">
        <f>'VPN Bonds'!L159*1000000</f>
        <v>0</v>
      </c>
      <c r="P16" s="173">
        <f>'VPN Bonds'!M159*1000000</f>
        <v>0</v>
      </c>
      <c r="Q16" s="173">
        <f>'VPN Bonds'!N159*1000000</f>
        <v>0</v>
      </c>
    </row>
    <row r="17" spans="2:17">
      <c r="B17" t="s">
        <v>77</v>
      </c>
      <c r="F17" s="171">
        <f>SUM(F14:F16)</f>
        <v>3330842189.4000001</v>
      </c>
      <c r="G17" s="171">
        <f t="shared" ref="G17:Q17" si="0">SUM(G14:G16)</f>
        <v>2991678105.1999998</v>
      </c>
      <c r="H17" s="171">
        <f t="shared" si="0"/>
        <v>3500793389.1999998</v>
      </c>
      <c r="I17" s="171">
        <f t="shared" si="0"/>
        <v>4273438480.5</v>
      </c>
      <c r="J17" s="171">
        <f t="shared" si="0"/>
        <v>4284812852.3154268</v>
      </c>
      <c r="K17" s="171">
        <f t="shared" si="0"/>
        <v>4212804230.8064418</v>
      </c>
      <c r="L17" s="171">
        <f t="shared" si="0"/>
        <v>4135274277.7719703</v>
      </c>
      <c r="M17" s="171">
        <f t="shared" si="0"/>
        <v>4354199245.5090199</v>
      </c>
      <c r="N17" s="171">
        <f t="shared" si="0"/>
        <v>3877082842.9169598</v>
      </c>
      <c r="O17" s="171">
        <f t="shared" si="0"/>
        <v>3928320669.4487138</v>
      </c>
      <c r="P17" s="171">
        <f t="shared" si="0"/>
        <v>5358700519.906354</v>
      </c>
      <c r="Q17" s="171">
        <f t="shared" si="0"/>
        <v>5346867646.8754463</v>
      </c>
    </row>
    <row r="18" spans="2:17">
      <c r="F18" s="117"/>
      <c r="G18" s="117"/>
      <c r="H18" s="117"/>
      <c r="I18" s="117"/>
      <c r="J18" s="117"/>
      <c r="K18" s="117"/>
      <c r="L18" s="117"/>
      <c r="M18" s="117"/>
      <c r="N18" s="117"/>
      <c r="O18" s="117"/>
      <c r="P18" s="117"/>
    </row>
    <row r="19" spans="2:17">
      <c r="B19" s="1" t="s">
        <v>78</v>
      </c>
      <c r="F19" s="117"/>
      <c r="G19" s="117"/>
      <c r="H19" s="117"/>
      <c r="I19" s="117"/>
      <c r="J19" s="117"/>
      <c r="K19" s="117"/>
      <c r="L19" s="117"/>
      <c r="M19" s="117"/>
      <c r="N19" s="117"/>
      <c r="O19" s="117"/>
      <c r="P19" s="117"/>
    </row>
    <row r="20" spans="2:17">
      <c r="B20" t="s">
        <v>74</v>
      </c>
      <c r="F20" s="173">
        <f>'Value of Debt (listed bonds)'!F98</f>
        <v>262188000</v>
      </c>
      <c r="G20" s="173">
        <f>'Value of Debt (listed bonds)'!G98</f>
        <v>650757698.5</v>
      </c>
      <c r="H20" s="173">
        <f>'Value of Debt (listed bonds)'!H98</f>
        <v>819702104</v>
      </c>
      <c r="I20" s="173">
        <f>'Value of Debt (listed bonds)'!I98</f>
        <v>823136867</v>
      </c>
      <c r="J20" s="173">
        <f>'Value of Debt (listed bonds)'!J98</f>
        <v>822539750</v>
      </c>
      <c r="K20" s="173">
        <f>'Value of Debt (listed bonds)'!K98</f>
        <v>513232250</v>
      </c>
      <c r="L20" s="173">
        <f>'Value of Debt (listed bonds)'!L98</f>
        <v>502504825.00000012</v>
      </c>
      <c r="M20" s="173">
        <f>'Value of Debt (listed bonds)'!M98</f>
        <v>946619524</v>
      </c>
      <c r="N20" s="173">
        <f>'Value of Debt (listed bonds)'!N98</f>
        <v>974504039</v>
      </c>
      <c r="O20" s="173">
        <f>'Value of Debt (listed bonds)'!O98</f>
        <v>680049438.25</v>
      </c>
      <c r="P20" s="173">
        <f>'Value of Debt (listed bonds)'!P98</f>
        <v>679811441</v>
      </c>
      <c r="Q20" s="173">
        <f>'Value of Debt (listed bonds)'!Q98</f>
        <v>669638381</v>
      </c>
    </row>
    <row r="21" spans="2:17">
      <c r="B21" t="s">
        <v>75</v>
      </c>
      <c r="F21" s="173">
        <f>'Value of Debt (unlisted bonds)'!D818*1000000+'SA Power Bonds'!C104*1000000</f>
        <v>1225000000</v>
      </c>
      <c r="G21" s="173">
        <f>'Value of Debt (unlisted bonds)'!E818*1000000+'SA Power Bonds'!D104*1000000</f>
        <v>1225000000</v>
      </c>
      <c r="H21" s="173">
        <f>'Value of Debt (unlisted bonds)'!F818*1000000+'SA Power Bonds'!E104*1000000</f>
        <v>1225000000</v>
      </c>
      <c r="I21" s="173">
        <f>'Value of Debt (unlisted bonds)'!G818*1000000+'SA Power Bonds'!F104*1000000</f>
        <v>1929378044.0052328</v>
      </c>
      <c r="J21" s="173">
        <f>'Value of Debt (unlisted bonds)'!H818*1000000+'SA Power Bonds'!G104*1000000</f>
        <v>2139380774.2449234</v>
      </c>
      <c r="K21" s="173">
        <f>'Value of Debt (unlisted bonds)'!I818*1000000+'SA Power Bonds'!H104*1000000</f>
        <v>2754309369.3380518</v>
      </c>
      <c r="L21" s="173">
        <f>'Value of Debt (unlisted bonds)'!J818*1000000+'SA Power Bonds'!I104*1000000</f>
        <v>2751786382.0145278</v>
      </c>
      <c r="M21" s="173">
        <f>'Value of Debt (unlisted bonds)'!K818*1000000+'SA Power Bonds'!J104*1000000</f>
        <v>2958088493.0375199</v>
      </c>
      <c r="N21" s="173">
        <f>'Value of Debt (unlisted bonds)'!L818*1000000+'SA Power Bonds'!K104*1000000</f>
        <v>3391110819.9081655</v>
      </c>
      <c r="O21" s="173">
        <f>'Value of Debt (unlisted bonds)'!M818*1000000+'SA Power Bonds'!L104*1000000</f>
        <v>3011931362.5115628</v>
      </c>
      <c r="P21" s="173">
        <f>'Value of Debt (unlisted bonds)'!N818*1000000+'SA Power Bonds'!M104*1000000</f>
        <v>3329252917.3795204</v>
      </c>
      <c r="Q21" s="173">
        <f>'Value of Debt (unlisted bonds)'!O818*1000000+'SA Power Bonds'!N104*1000000</f>
        <v>1917044528.7845569</v>
      </c>
    </row>
    <row r="22" spans="2:17">
      <c r="B22" t="s">
        <v>76</v>
      </c>
      <c r="F22" s="173">
        <f>'Value of Debt (listed bonds)'!F107+'SA Power Bonds'!C105*1000000</f>
        <v>225000000</v>
      </c>
      <c r="G22" s="173">
        <f>'Value of Debt (listed bonds)'!G107+'SA Power Bonds'!D105*1000000</f>
        <v>225000000</v>
      </c>
      <c r="H22" s="173">
        <f>'Value of Debt (listed bonds)'!H107+'SA Power Bonds'!E105*1000000</f>
        <v>0</v>
      </c>
      <c r="I22" s="173">
        <f>'Value of Debt (listed bonds)'!I107+'SA Power Bonds'!F105*1000000</f>
        <v>0</v>
      </c>
      <c r="J22" s="173">
        <f>'Value of Debt (listed bonds)'!J107+'SA Power Bonds'!G105*1000000</f>
        <v>0</v>
      </c>
      <c r="K22" s="173">
        <f>'Value of Debt (listed bonds)'!K107+'SA Power Bonds'!H105*1000000</f>
        <v>0</v>
      </c>
      <c r="L22" s="173">
        <f>'Value of Debt (listed bonds)'!L107+'SA Power Bonds'!I105*1000000</f>
        <v>0</v>
      </c>
      <c r="M22" s="173">
        <f>'Value of Debt (listed bonds)'!M107+'SA Power Bonds'!J105*1000000</f>
        <v>0</v>
      </c>
      <c r="N22" s="173">
        <f>'Value of Debt (listed bonds)'!N107+'SA Power Bonds'!K105*1000000</f>
        <v>550000000</v>
      </c>
      <c r="O22" s="173">
        <f>'Value of Debt (listed bonds)'!O107+'SA Power Bonds'!L105*1000000</f>
        <v>550000000</v>
      </c>
      <c r="P22" s="173">
        <f>'Value of Debt (listed bonds)'!P107+'SA Power Bonds'!M105*1000000</f>
        <v>550000000</v>
      </c>
      <c r="Q22" s="173">
        <f>'Value of Debt (listed bonds)'!Q107+'SA Power Bonds'!N105*1000000</f>
        <v>550000000</v>
      </c>
    </row>
    <row r="23" spans="2:17">
      <c r="B23" t="s">
        <v>77</v>
      </c>
      <c r="F23" s="171">
        <f>SUM(F20:F22)</f>
        <v>1712188000</v>
      </c>
      <c r="G23" s="171">
        <f t="shared" ref="G23:Q23" si="1">SUM(G20:G22)</f>
        <v>2100757698.5</v>
      </c>
      <c r="H23" s="171">
        <f t="shared" si="1"/>
        <v>2044702104</v>
      </c>
      <c r="I23" s="171">
        <f t="shared" si="1"/>
        <v>2752514911.0052328</v>
      </c>
      <c r="J23" s="171">
        <f t="shared" si="1"/>
        <v>2961920524.2449236</v>
      </c>
      <c r="K23" s="171">
        <f t="shared" si="1"/>
        <v>3267541619.3380518</v>
      </c>
      <c r="L23" s="171">
        <f t="shared" si="1"/>
        <v>3254291207.0145278</v>
      </c>
      <c r="M23" s="171">
        <f t="shared" si="1"/>
        <v>3904708017.0375199</v>
      </c>
      <c r="N23" s="171">
        <f t="shared" si="1"/>
        <v>4915614858.908165</v>
      </c>
      <c r="O23" s="171">
        <f t="shared" si="1"/>
        <v>4241980800.7615628</v>
      </c>
      <c r="P23" s="171">
        <f t="shared" si="1"/>
        <v>4559064358.3795204</v>
      </c>
      <c r="Q23" s="171">
        <f t="shared" si="1"/>
        <v>3136682909.7845569</v>
      </c>
    </row>
    <row r="24" spans="2:17">
      <c r="F24" s="117"/>
      <c r="G24" s="117"/>
      <c r="H24" s="117"/>
      <c r="I24" s="117"/>
      <c r="J24" s="117"/>
      <c r="K24" s="117"/>
      <c r="L24" s="117"/>
      <c r="M24" s="117"/>
      <c r="N24" s="117"/>
      <c r="O24" s="117"/>
      <c r="P24" s="117"/>
    </row>
    <row r="25" spans="2:17">
      <c r="B25" s="1" t="s">
        <v>43</v>
      </c>
      <c r="F25" s="117"/>
      <c r="G25" s="117"/>
      <c r="H25" s="117"/>
      <c r="I25" s="117"/>
      <c r="J25" s="117"/>
      <c r="K25" s="117"/>
      <c r="L25" s="117"/>
      <c r="M25" s="117"/>
      <c r="N25" s="117"/>
      <c r="O25" s="117"/>
      <c r="P25" s="117"/>
    </row>
    <row r="26" spans="2:17">
      <c r="B26" t="s">
        <v>74</v>
      </c>
      <c r="F26" s="173">
        <f>'Value of Debt (listed bonds)'!F57</f>
        <v>0</v>
      </c>
      <c r="G26" s="173">
        <f>'Value of Debt (listed bonds)'!G57</f>
        <v>0</v>
      </c>
      <c r="H26" s="173">
        <f>'Value of Debt (listed bonds)'!H57</f>
        <v>0</v>
      </c>
      <c r="I26" s="173">
        <f>'Value of Debt (listed bonds)'!I57</f>
        <v>0</v>
      </c>
      <c r="J26" s="173">
        <f>'Value of Debt (listed bonds)'!J57</f>
        <v>0</v>
      </c>
      <c r="K26" s="173">
        <f>'Value of Debt (listed bonds)'!K57</f>
        <v>0</v>
      </c>
      <c r="L26" s="173">
        <f>'Value of Debt (listed bonds)'!L57</f>
        <v>0</v>
      </c>
      <c r="M26" s="173">
        <f>'Value of Debt (listed bonds)'!M57</f>
        <v>0</v>
      </c>
      <c r="N26" s="173">
        <f>'Value of Debt (listed bonds)'!N57</f>
        <v>0</v>
      </c>
      <c r="O26" s="173">
        <f>'Value of Debt (listed bonds)'!O57</f>
        <v>0</v>
      </c>
      <c r="P26" s="173">
        <f>'Value of Debt (listed bonds)'!P57</f>
        <v>884475000</v>
      </c>
      <c r="Q26" s="173">
        <f>'Value of Debt (listed bonds)'!Q57</f>
        <v>847587000</v>
      </c>
    </row>
    <row r="27" spans="2:17">
      <c r="B27" t="s">
        <v>75</v>
      </c>
      <c r="F27" s="173">
        <f>'Value of Debt (unlisted bonds)'!D817*1000000</f>
        <v>0</v>
      </c>
      <c r="G27" s="173">
        <f>'Value of Debt (unlisted bonds)'!E817*1000000</f>
        <v>0</v>
      </c>
      <c r="H27" s="173">
        <f>'Value of Debt (unlisted bonds)'!F817*1000000</f>
        <v>0</v>
      </c>
      <c r="I27" s="173">
        <f>'Value of Debt (unlisted bonds)'!G817*1000000</f>
        <v>0</v>
      </c>
      <c r="J27" s="173">
        <f>'Value of Debt (unlisted bonds)'!H817*1000000</f>
        <v>0</v>
      </c>
      <c r="K27" s="173">
        <f>'Value of Debt (unlisted bonds)'!I817*1000000</f>
        <v>0</v>
      </c>
      <c r="L27" s="173">
        <f>'Value of Debt (unlisted bonds)'!J817*1000000</f>
        <v>934900733.17940319</v>
      </c>
      <c r="M27" s="173">
        <f>'Value of Debt (unlisted bonds)'!K817*1000000</f>
        <v>1585228652.8019817</v>
      </c>
      <c r="N27" s="173">
        <f>'Value of Debt (unlisted bonds)'!L817*1000000</f>
        <v>1762778268.1288316</v>
      </c>
      <c r="O27" s="173">
        <f>'Value of Debt (unlisted bonds)'!M817*1000000</f>
        <v>1798931664.922368</v>
      </c>
      <c r="P27" s="173">
        <f>'Value of Debt (unlisted bonds)'!N817*1000000</f>
        <v>1907247796.2419622</v>
      </c>
      <c r="Q27" s="173">
        <f>'Value of Debt (unlisted bonds)'!O817*1000000</f>
        <v>1829346600.5364866</v>
      </c>
    </row>
    <row r="28" spans="2:17">
      <c r="B28" t="s">
        <v>76</v>
      </c>
      <c r="F28" s="173">
        <f>'Value of Debt (listed bonds)'!F70+'Transgrid Bonds'!C78*1000000</f>
        <v>0</v>
      </c>
      <c r="G28" s="173">
        <f>'Value of Debt (listed bonds)'!G70+'Transgrid Bonds'!D78*1000000</f>
        <v>0</v>
      </c>
      <c r="H28" s="173">
        <f>'Value of Debt (listed bonds)'!H70+'Transgrid Bonds'!E78*1000000</f>
        <v>0</v>
      </c>
      <c r="I28" s="173">
        <f>'Value of Debt (listed bonds)'!I70+'Transgrid Bonds'!F78*1000000</f>
        <v>0</v>
      </c>
      <c r="J28" s="173">
        <f>'Value of Debt (listed bonds)'!J70+'Transgrid Bonds'!G78*1000000</f>
        <v>0</v>
      </c>
      <c r="K28" s="173">
        <f>'Value of Debt (listed bonds)'!K70+'Transgrid Bonds'!H78*1000000</f>
        <v>0</v>
      </c>
      <c r="L28" s="173">
        <f>'Value of Debt (listed bonds)'!L70+'Transgrid Bonds'!I78*1000000</f>
        <v>0</v>
      </c>
      <c r="M28" s="173">
        <f>'Value of Debt (listed bonds)'!M70+'Transgrid Bonds'!J78*1000000</f>
        <v>2660000000</v>
      </c>
      <c r="N28" s="173">
        <f>'Value of Debt (listed bonds)'!N70+'Transgrid Bonds'!K78*1000000</f>
        <v>2660000000</v>
      </c>
      <c r="O28" s="173">
        <f>'Value of Debt (listed bonds)'!O70+'Transgrid Bonds'!L78*1000000</f>
        <v>3015000000</v>
      </c>
      <c r="P28" s="173">
        <f>'Value of Debt (listed bonds)'!P70+'Transgrid Bonds'!M78*1000000</f>
        <v>5390000000</v>
      </c>
      <c r="Q28" s="173">
        <f>'Value of Debt (listed bonds)'!Q70+'Transgrid Bonds'!N78*1000000</f>
        <v>4310000000</v>
      </c>
    </row>
    <row r="29" spans="2:17">
      <c r="B29" t="s">
        <v>77</v>
      </c>
      <c r="F29" s="171">
        <f>SUM(F26:F28)</f>
        <v>0</v>
      </c>
      <c r="G29" s="171">
        <f t="shared" ref="G29:Q29" si="2">SUM(G26:G28)</f>
        <v>0</v>
      </c>
      <c r="H29" s="171">
        <f t="shared" si="2"/>
        <v>0</v>
      </c>
      <c r="I29" s="171">
        <f t="shared" si="2"/>
        <v>0</v>
      </c>
      <c r="J29" s="171">
        <f t="shared" si="2"/>
        <v>0</v>
      </c>
      <c r="K29" s="171">
        <f t="shared" si="2"/>
        <v>0</v>
      </c>
      <c r="L29" s="171">
        <f t="shared" si="2"/>
        <v>934900733.17940319</v>
      </c>
      <c r="M29" s="171">
        <f t="shared" si="2"/>
        <v>4245228652.8019819</v>
      </c>
      <c r="N29" s="171">
        <f t="shared" si="2"/>
        <v>4422778268.1288319</v>
      </c>
      <c r="O29" s="171">
        <f t="shared" si="2"/>
        <v>4813931664.922368</v>
      </c>
      <c r="P29" s="171">
        <f t="shared" si="2"/>
        <v>8181722796.2419624</v>
      </c>
      <c r="Q29" s="171">
        <f t="shared" si="2"/>
        <v>6986933600.5364866</v>
      </c>
    </row>
    <row r="30" spans="2:17">
      <c r="F30" s="8"/>
      <c r="G30" s="8"/>
      <c r="H30" s="8"/>
      <c r="I30" s="8"/>
      <c r="J30" s="8"/>
      <c r="K30" s="8"/>
      <c r="L30" s="8"/>
      <c r="M30" s="8"/>
      <c r="N30" s="8"/>
      <c r="O30" s="8"/>
      <c r="P30" s="8"/>
      <c r="Q30" s="8"/>
    </row>
    <row r="31" spans="2:17">
      <c r="B31" s="1" t="s">
        <v>54</v>
      </c>
      <c r="F31" s="8"/>
      <c r="G31" s="8"/>
      <c r="H31" s="8"/>
      <c r="I31" s="8"/>
      <c r="J31" s="8"/>
      <c r="K31" s="8"/>
      <c r="L31" s="8"/>
      <c r="M31" s="8"/>
      <c r="N31" s="8"/>
      <c r="O31" s="8"/>
      <c r="P31" s="8"/>
      <c r="Q31" s="8"/>
    </row>
    <row r="32" spans="2:17">
      <c r="B32" t="s">
        <v>74</v>
      </c>
      <c r="F32" s="173"/>
      <c r="G32" s="173"/>
      <c r="H32" s="173"/>
      <c r="I32" s="173">
        <f>'Value of Debt (listed bonds)'!I214</f>
        <v>3057683710.4783535</v>
      </c>
      <c r="J32" s="173">
        <f>'Value of Debt (listed bonds)'!J214</f>
        <v>2798342604.0515199</v>
      </c>
      <c r="K32" s="173"/>
      <c r="L32" s="173"/>
      <c r="M32" s="173"/>
      <c r="N32" s="173"/>
      <c r="O32" s="173"/>
      <c r="P32" s="173"/>
      <c r="Q32" s="173"/>
    </row>
    <row r="33" spans="2:17">
      <c r="B33" t="s">
        <v>79</v>
      </c>
      <c r="F33" s="173"/>
      <c r="G33" s="173"/>
      <c r="H33" s="173"/>
      <c r="I33" s="173">
        <f>'Value of Debt (unlisted bonds)'!G835</f>
        <v>2619115248</v>
      </c>
      <c r="J33" s="173">
        <f>'Value of Debt (unlisted bonds)'!H835</f>
        <v>2852237248</v>
      </c>
      <c r="K33" s="173"/>
      <c r="L33" s="173"/>
      <c r="M33" s="173"/>
      <c r="N33" s="173"/>
      <c r="O33" s="173"/>
      <c r="P33" s="173"/>
      <c r="Q33" s="173"/>
    </row>
    <row r="34" spans="2:17">
      <c r="B34" t="s">
        <v>80</v>
      </c>
      <c r="F34" s="173"/>
      <c r="G34" s="173"/>
      <c r="H34" s="173"/>
      <c r="I34" s="173"/>
      <c r="J34" s="173"/>
      <c r="K34" s="173"/>
      <c r="L34" s="173"/>
      <c r="M34" s="173"/>
      <c r="N34" s="173"/>
      <c r="O34" s="173"/>
      <c r="P34" s="173"/>
      <c r="Q34" s="173"/>
    </row>
    <row r="35" spans="2:17">
      <c r="B35" t="s">
        <v>77</v>
      </c>
      <c r="F35" s="171"/>
      <c r="G35" s="171"/>
      <c r="H35" s="171"/>
      <c r="I35" s="171">
        <f>I32+I33</f>
        <v>5676798958.4783535</v>
      </c>
      <c r="J35" s="171">
        <f>J32+J33</f>
        <v>5650579852.0515194</v>
      </c>
      <c r="K35" s="171"/>
      <c r="L35" s="171"/>
      <c r="M35" s="171"/>
      <c r="N35" s="171"/>
      <c r="O35" s="171"/>
      <c r="P35" s="171"/>
      <c r="Q35" s="171"/>
    </row>
    <row r="36" spans="2:17">
      <c r="F36" s="8"/>
      <c r="G36" s="8"/>
      <c r="H36" s="8"/>
      <c r="I36" s="8"/>
      <c r="J36" s="8"/>
      <c r="K36" s="8"/>
      <c r="L36" s="8"/>
      <c r="M36" s="8"/>
      <c r="N36" s="8"/>
      <c r="O36" s="8"/>
      <c r="P36" s="8"/>
      <c r="Q36" s="8"/>
    </row>
    <row r="37" spans="2:17">
      <c r="B37" s="5" t="s">
        <v>81</v>
      </c>
      <c r="F37" s="8"/>
      <c r="G37" s="8"/>
      <c r="H37" s="8"/>
      <c r="I37" s="8"/>
      <c r="J37" s="8"/>
      <c r="K37" s="8"/>
      <c r="L37" s="8"/>
      <c r="M37" s="8"/>
      <c r="N37" s="8"/>
      <c r="O37" s="8"/>
      <c r="P37" s="8"/>
      <c r="Q37" s="8"/>
    </row>
    <row r="38" spans="2:17">
      <c r="B38" t="s">
        <v>73</v>
      </c>
      <c r="F38" s="8">
        <f>'Annual Report'!F76</f>
        <v>3402839999.9999995</v>
      </c>
      <c r="G38" s="8">
        <f>0.5*'Annual Report'!F76+0.5*'Annual Report'!G76</f>
        <v>3541650000</v>
      </c>
      <c r="H38" s="8">
        <f>0.5*'Annual Report'!G76+0.5*'Annual Report'!H76</f>
        <v>3820428000</v>
      </c>
      <c r="I38" s="8">
        <f>0.5*'Annual Report'!H76+0.5*'Annual Report'!I76</f>
        <v>4034080500</v>
      </c>
      <c r="J38" s="8">
        <f>0.5*'Annual Report'!I76+0.5*'Annual Report'!J76</f>
        <v>4100725500</v>
      </c>
      <c r="K38" s="8">
        <f>0.5*'Annual Report'!J76+0.5*'Annual Report'!K76</f>
        <v>4122551000</v>
      </c>
      <c r="L38" s="8">
        <f>0.5*'Annual Report'!K76+0.5*'Annual Report'!L76</f>
        <v>4169143000</v>
      </c>
      <c r="M38" s="8">
        <f>0.5*'Annual Report'!L76+0.5*'Annual Report'!M76</f>
        <v>4277402499.9999995</v>
      </c>
      <c r="N38" s="8">
        <f>0.5*'Annual Report'!M76+0.5*'Annual Report'!N76</f>
        <v>4431143000</v>
      </c>
      <c r="O38" s="8">
        <f>0.5*'Annual Report'!N76+0.5*'Annual Report'!O76</f>
        <v>4645728000</v>
      </c>
      <c r="P38" s="8">
        <f>'Annual Report'!P76</f>
        <v>4930902000.000001</v>
      </c>
      <c r="Q38" s="8">
        <f>P38</f>
        <v>4930902000.000001</v>
      </c>
    </row>
    <row r="39" spans="2:17">
      <c r="B39" t="s">
        <v>78</v>
      </c>
      <c r="F39" s="8">
        <f>'Annual Report'!F77</f>
        <v>2600528000.0000005</v>
      </c>
      <c r="G39" s="8">
        <f>0.5*'Annual Report'!F77+0.5*'Annual Report'!G77</f>
        <v>2679301000</v>
      </c>
      <c r="H39" s="8">
        <f>0.5*'Annual Report'!G77+0.5*'Annual Report'!H77</f>
        <v>2783403000</v>
      </c>
      <c r="I39" s="8">
        <f>0.5*'Annual Report'!H77+0.5*'Annual Report'!I77</f>
        <v>2837168000</v>
      </c>
      <c r="J39" s="8">
        <f>0.5*'Annual Report'!I77+0.5*'Annual Report'!J77</f>
        <v>2845277500</v>
      </c>
      <c r="K39" s="8">
        <f>0.5*'Annual Report'!J77+0.5*'Annual Report'!K77</f>
        <v>2823696500.0000005</v>
      </c>
      <c r="L39" s="8">
        <f>0.5*'Annual Report'!K77+0.5*'Annual Report'!L77</f>
        <v>2892227000</v>
      </c>
      <c r="M39" s="8">
        <f>0.5*'Annual Report'!L77+0.5*'Annual Report'!M77</f>
        <v>3058631000</v>
      </c>
      <c r="N39" s="8">
        <f>0.5*'Annual Report'!M77+0.5*'Annual Report'!N77</f>
        <v>3194275000</v>
      </c>
      <c r="O39" s="8">
        <f>0.5*'Annual Report'!N77+0.5*'Annual Report'!O77</f>
        <v>3240602500</v>
      </c>
      <c r="P39" s="8">
        <f>'Annual Report'!P77</f>
        <v>3206069999.9999995</v>
      </c>
      <c r="Q39" s="8">
        <f>P39</f>
        <v>3206069999.9999995</v>
      </c>
    </row>
    <row r="40" spans="2:17">
      <c r="B40" t="s">
        <v>43</v>
      </c>
      <c r="F40" s="8">
        <f>'Annual Report'!F78</f>
        <v>0</v>
      </c>
      <c r="G40" s="8">
        <f>0.5*'Annual Report'!F78+0.5*'Annual Report'!G78</f>
        <v>0</v>
      </c>
      <c r="H40" s="8">
        <f>0.5*'Annual Report'!G78+0.5*'Annual Report'!H78</f>
        <v>0</v>
      </c>
      <c r="I40" s="8">
        <f>0.5*'Annual Report'!H78+0.5*'Annual Report'!I78</f>
        <v>0</v>
      </c>
      <c r="J40" s="8">
        <f>0.5*'Annual Report'!I78+0.5*'Annual Report'!J78</f>
        <v>0</v>
      </c>
      <c r="K40" s="8">
        <f>0.5*'Annual Report'!J78+0.5*'Annual Report'!K78</f>
        <v>2776525000</v>
      </c>
      <c r="L40" s="8">
        <f>0.5*'Annual Report'!K78+0.5*'Annual Report'!L78</f>
        <v>5505552500</v>
      </c>
      <c r="M40" s="8">
        <f>0.5*'Annual Report'!L78+0.5*'Annual Report'!M78</f>
        <v>5482108000</v>
      </c>
      <c r="N40" s="8">
        <f>0.5*'Annual Report'!M78+0.5*'Annual Report'!N78</f>
        <v>5610606500</v>
      </c>
      <c r="O40" s="8">
        <f>0.5*'Annual Report'!N78+0.5*'Annual Report'!O78</f>
        <v>5890635500</v>
      </c>
      <c r="P40" s="8">
        <f>'Annual Report'!P78</f>
        <v>6189681000.000001</v>
      </c>
      <c r="Q40" s="8">
        <f>P40</f>
        <v>6189681000.000001</v>
      </c>
    </row>
    <row r="41" spans="2:17">
      <c r="F41" s="8"/>
      <c r="G41" s="8"/>
      <c r="H41" s="8"/>
      <c r="I41" s="8"/>
      <c r="J41" s="8"/>
      <c r="K41" s="8"/>
      <c r="L41" s="8"/>
      <c r="M41" s="8"/>
      <c r="N41" s="8"/>
      <c r="O41" s="8"/>
      <c r="P41" s="8"/>
      <c r="Q41" s="8"/>
    </row>
    <row r="42" spans="2:17">
      <c r="F42" s="8"/>
      <c r="G42" s="8"/>
      <c r="H42" s="8"/>
      <c r="I42" s="8"/>
      <c r="J42" s="8"/>
      <c r="K42" s="8"/>
      <c r="L42" s="8"/>
      <c r="M42" s="8"/>
      <c r="N42" s="8"/>
      <c r="O42" s="8"/>
      <c r="P42" s="8"/>
      <c r="Q42" s="8"/>
    </row>
    <row r="43" spans="2:17">
      <c r="F43" s="8"/>
      <c r="G43" s="8"/>
      <c r="H43" s="8"/>
      <c r="I43" s="8"/>
      <c r="J43" s="8"/>
      <c r="K43" s="8"/>
      <c r="L43" s="8"/>
      <c r="M43" s="8"/>
      <c r="N43" s="8"/>
      <c r="O43" s="8"/>
      <c r="P43" s="8"/>
      <c r="Q43" s="8"/>
    </row>
    <row r="44" spans="2:17">
      <c r="B44" s="5" t="s">
        <v>82</v>
      </c>
      <c r="F44" s="8"/>
      <c r="G44" s="8"/>
      <c r="H44" s="8"/>
      <c r="I44" s="8"/>
      <c r="J44" s="8"/>
      <c r="K44" s="8"/>
      <c r="L44" s="8"/>
      <c r="M44" s="8"/>
      <c r="N44" s="8"/>
      <c r="O44" s="8"/>
      <c r="P44" s="8"/>
      <c r="Q44" s="8"/>
    </row>
    <row r="45" spans="2:17">
      <c r="F45" s="117"/>
      <c r="G45" s="117"/>
      <c r="H45" s="117"/>
      <c r="I45" s="117"/>
      <c r="J45" s="117"/>
      <c r="K45" s="117"/>
      <c r="L45" s="117"/>
      <c r="M45" s="117"/>
      <c r="N45" s="117"/>
      <c r="O45" s="117"/>
      <c r="P45" s="117"/>
    </row>
    <row r="46" spans="2:17">
      <c r="B46" t="s">
        <v>48</v>
      </c>
      <c r="F46" s="172">
        <v>1</v>
      </c>
      <c r="G46" s="172">
        <v>1</v>
      </c>
      <c r="H46" s="172">
        <v>1</v>
      </c>
      <c r="I46" s="172">
        <v>1</v>
      </c>
      <c r="J46" s="172">
        <v>1</v>
      </c>
      <c r="K46" s="172">
        <v>1</v>
      </c>
      <c r="L46" s="172">
        <v>1</v>
      </c>
      <c r="M46" s="172">
        <v>1</v>
      </c>
      <c r="N46" s="172">
        <v>1</v>
      </c>
      <c r="O46" s="172">
        <v>1</v>
      </c>
      <c r="P46" s="172">
        <v>1</v>
      </c>
      <c r="Q46" s="172">
        <v>1</v>
      </c>
    </row>
    <row r="47" spans="2:17">
      <c r="B47" t="s">
        <v>73</v>
      </c>
      <c r="F47" s="172">
        <v>0.49</v>
      </c>
      <c r="G47" s="172">
        <v>0.49</v>
      </c>
      <c r="H47" s="172">
        <v>0.49</v>
      </c>
      <c r="I47" s="172">
        <v>0.49</v>
      </c>
      <c r="J47" s="172">
        <v>0.49</v>
      </c>
      <c r="K47" s="172">
        <v>0.49</v>
      </c>
      <c r="L47" s="172">
        <v>0.49</v>
      </c>
      <c r="M47" s="172">
        <v>0.49</v>
      </c>
      <c r="N47" s="172">
        <v>0.49</v>
      </c>
      <c r="O47" s="172">
        <v>0.49</v>
      </c>
      <c r="P47" s="172">
        <v>0.49</v>
      </c>
      <c r="Q47" s="172">
        <v>0.49</v>
      </c>
    </row>
    <row r="48" spans="2:17">
      <c r="B48" t="s">
        <v>78</v>
      </c>
      <c r="F48" s="172">
        <v>0.49</v>
      </c>
      <c r="G48" s="172">
        <v>0.49</v>
      </c>
      <c r="H48" s="172">
        <v>0.49</v>
      </c>
      <c r="I48" s="172">
        <v>0.49</v>
      </c>
      <c r="J48" s="172">
        <v>0.49</v>
      </c>
      <c r="K48" s="172">
        <v>0.49</v>
      </c>
      <c r="L48" s="172">
        <v>0.49</v>
      </c>
      <c r="M48" s="172">
        <v>0.49</v>
      </c>
      <c r="N48" s="172">
        <v>0.49</v>
      </c>
      <c r="O48" s="172">
        <v>0.49</v>
      </c>
      <c r="P48" s="172">
        <v>0.49</v>
      </c>
      <c r="Q48" s="172">
        <v>0.49</v>
      </c>
    </row>
    <row r="49" spans="2:17">
      <c r="B49" t="s">
        <v>43</v>
      </c>
      <c r="F49" s="172">
        <v>0</v>
      </c>
      <c r="G49" s="172">
        <v>0</v>
      </c>
      <c r="H49" s="172">
        <v>0</v>
      </c>
      <c r="I49" s="172">
        <v>0</v>
      </c>
      <c r="J49" s="172">
        <v>0</v>
      </c>
      <c r="K49" s="172">
        <v>0.15010000000000001</v>
      </c>
      <c r="L49" s="172">
        <v>0.15010000000000001</v>
      </c>
      <c r="M49" s="172">
        <v>0.15010000000000001</v>
      </c>
      <c r="N49" s="172">
        <v>0.15010000000000001</v>
      </c>
      <c r="O49" s="172">
        <v>0.15010000000000001</v>
      </c>
      <c r="P49" s="172">
        <v>0.15010000000000001</v>
      </c>
      <c r="Q49" s="172">
        <v>0.15010000000000001</v>
      </c>
    </row>
    <row r="50" spans="2:17">
      <c r="B50" t="s">
        <v>83</v>
      </c>
      <c r="F50" s="177">
        <v>0</v>
      </c>
      <c r="G50" s="177">
        <v>0</v>
      </c>
      <c r="H50" s="177">
        <v>0</v>
      </c>
      <c r="I50" s="177">
        <v>0.14099999999999999</v>
      </c>
      <c r="J50" s="177">
        <v>0.124</v>
      </c>
      <c r="K50" s="177">
        <v>0</v>
      </c>
      <c r="L50" s="177">
        <v>0</v>
      </c>
      <c r="M50" s="177">
        <v>0</v>
      </c>
      <c r="N50" s="177">
        <v>0</v>
      </c>
      <c r="O50" s="177">
        <v>0</v>
      </c>
      <c r="P50" s="177">
        <v>0</v>
      </c>
      <c r="Q50" s="177">
        <v>0</v>
      </c>
    </row>
    <row r="51" spans="2:17">
      <c r="F51" s="117"/>
      <c r="G51" s="117"/>
      <c r="H51" s="117"/>
      <c r="I51" s="117"/>
      <c r="J51" s="117"/>
      <c r="K51" s="117"/>
      <c r="L51" s="117"/>
      <c r="M51" s="117"/>
      <c r="N51" s="117"/>
      <c r="O51" s="117"/>
      <c r="P51" s="117"/>
    </row>
    <row r="52" spans="2:17">
      <c r="B52" t="s">
        <v>48</v>
      </c>
      <c r="F52" s="171">
        <f t="shared" ref="F52:Q52" si="3">F46*F11</f>
        <v>934100000</v>
      </c>
      <c r="G52" s="171">
        <f t="shared" si="3"/>
        <v>920200000</v>
      </c>
      <c r="H52" s="171">
        <f t="shared" si="3"/>
        <v>861300000</v>
      </c>
      <c r="I52" s="171">
        <f t="shared" si="3"/>
        <v>925800000</v>
      </c>
      <c r="J52" s="171">
        <f t="shared" si="3"/>
        <v>925900000</v>
      </c>
      <c r="K52" s="171">
        <f t="shared" si="3"/>
        <v>1061700000</v>
      </c>
      <c r="L52" s="171">
        <f t="shared" si="3"/>
        <v>1061700000</v>
      </c>
      <c r="M52" s="171">
        <f t="shared" si="3"/>
        <v>1061800000</v>
      </c>
      <c r="N52" s="171">
        <f t="shared" si="3"/>
        <v>1061800000</v>
      </c>
      <c r="O52" s="171">
        <f t="shared" si="3"/>
        <v>1072700000</v>
      </c>
      <c r="P52" s="171">
        <f t="shared" si="3"/>
        <v>1098000000</v>
      </c>
      <c r="Q52" s="171">
        <f t="shared" si="3"/>
        <v>1098000000</v>
      </c>
    </row>
    <row r="53" spans="2:17">
      <c r="B53" t="s">
        <v>73</v>
      </c>
      <c r="F53" s="171">
        <f t="shared" ref="F53:Q53" si="4">F47*F17</f>
        <v>1632112672.806</v>
      </c>
      <c r="G53" s="171">
        <f t="shared" si="4"/>
        <v>1465922271.5479999</v>
      </c>
      <c r="H53" s="171">
        <f t="shared" si="4"/>
        <v>1715388760.7079999</v>
      </c>
      <c r="I53" s="171">
        <f t="shared" si="4"/>
        <v>2093984855.4449999</v>
      </c>
      <c r="J53" s="171">
        <f t="shared" si="4"/>
        <v>2099558297.6345592</v>
      </c>
      <c r="K53" s="171">
        <f t="shared" si="4"/>
        <v>2064274073.0951564</v>
      </c>
      <c r="L53" s="171">
        <f t="shared" si="4"/>
        <v>2026284396.1082654</v>
      </c>
      <c r="M53" s="171">
        <f t="shared" si="4"/>
        <v>2133557630.2994196</v>
      </c>
      <c r="N53" s="171">
        <f t="shared" si="4"/>
        <v>1899770593.0293102</v>
      </c>
      <c r="O53" s="171">
        <f t="shared" si="4"/>
        <v>1924877128.0298698</v>
      </c>
      <c r="P53" s="171">
        <f t="shared" si="4"/>
        <v>2625763254.7541132</v>
      </c>
      <c r="Q53" s="171">
        <f t="shared" si="4"/>
        <v>2619965146.9689689</v>
      </c>
    </row>
    <row r="54" spans="2:17">
      <c r="B54" t="s">
        <v>78</v>
      </c>
      <c r="F54" s="171">
        <f t="shared" ref="F54:Q54" si="5">F48*F23</f>
        <v>838972120</v>
      </c>
      <c r="G54" s="171">
        <f t="shared" si="5"/>
        <v>1029371272.265</v>
      </c>
      <c r="H54" s="171">
        <f t="shared" si="5"/>
        <v>1001904030.96</v>
      </c>
      <c r="I54" s="171">
        <f t="shared" si="5"/>
        <v>1348732306.3925641</v>
      </c>
      <c r="J54" s="171">
        <f t="shared" si="5"/>
        <v>1451341056.8800125</v>
      </c>
      <c r="K54" s="171">
        <f t="shared" si="5"/>
        <v>1601095393.4756453</v>
      </c>
      <c r="L54" s="171">
        <f t="shared" si="5"/>
        <v>1594602691.4371185</v>
      </c>
      <c r="M54" s="171">
        <f t="shared" si="5"/>
        <v>1913306928.3483846</v>
      </c>
      <c r="N54" s="171">
        <f t="shared" si="5"/>
        <v>2408651280.8650007</v>
      </c>
      <c r="O54" s="171">
        <f t="shared" si="5"/>
        <v>2078570592.3731658</v>
      </c>
      <c r="P54" s="171">
        <f t="shared" si="5"/>
        <v>2233941535.6059651</v>
      </c>
      <c r="Q54" s="171">
        <f t="shared" si="5"/>
        <v>1536974625.7944329</v>
      </c>
    </row>
    <row r="55" spans="2:17">
      <c r="B55" t="s">
        <v>43</v>
      </c>
      <c r="F55" s="171">
        <f t="shared" ref="F55:Q55" si="6">F49*F29</f>
        <v>0</v>
      </c>
      <c r="G55" s="171">
        <f t="shared" si="6"/>
        <v>0</v>
      </c>
      <c r="H55" s="171">
        <f t="shared" si="6"/>
        <v>0</v>
      </c>
      <c r="I55" s="171">
        <f t="shared" si="6"/>
        <v>0</v>
      </c>
      <c r="J55" s="171">
        <f t="shared" si="6"/>
        <v>0</v>
      </c>
      <c r="K55" s="171">
        <f t="shared" si="6"/>
        <v>0</v>
      </c>
      <c r="L55" s="171">
        <f t="shared" si="6"/>
        <v>140328600.05022842</v>
      </c>
      <c r="M55" s="171">
        <f t="shared" si="6"/>
        <v>637208820.78557754</v>
      </c>
      <c r="N55" s="171">
        <f t="shared" si="6"/>
        <v>663859018.04613769</v>
      </c>
      <c r="O55" s="171">
        <f t="shared" si="6"/>
        <v>722571142.9048475</v>
      </c>
      <c r="P55" s="171">
        <f t="shared" si="6"/>
        <v>1228076591.7159185</v>
      </c>
      <c r="Q55" s="171">
        <f t="shared" si="6"/>
        <v>1048738733.4405267</v>
      </c>
    </row>
    <row r="56" spans="2:17">
      <c r="B56" t="s">
        <v>54</v>
      </c>
      <c r="F56" s="171">
        <f t="shared" ref="F56:Q56" si="7">F35*F50</f>
        <v>0</v>
      </c>
      <c r="G56" s="171">
        <f t="shared" si="7"/>
        <v>0</v>
      </c>
      <c r="H56" s="171">
        <f t="shared" si="7"/>
        <v>0</v>
      </c>
      <c r="I56" s="171">
        <f t="shared" si="7"/>
        <v>800428653.14544773</v>
      </c>
      <c r="J56" s="171">
        <f t="shared" si="7"/>
        <v>700671901.65438843</v>
      </c>
      <c r="K56" s="171">
        <f t="shared" si="7"/>
        <v>0</v>
      </c>
      <c r="L56" s="171">
        <f t="shared" si="7"/>
        <v>0</v>
      </c>
      <c r="M56" s="171">
        <f t="shared" si="7"/>
        <v>0</v>
      </c>
      <c r="N56" s="171">
        <f t="shared" si="7"/>
        <v>0</v>
      </c>
      <c r="O56" s="171">
        <f t="shared" si="7"/>
        <v>0</v>
      </c>
      <c r="P56" s="171">
        <f t="shared" si="7"/>
        <v>0</v>
      </c>
      <c r="Q56" s="171">
        <f t="shared" si="7"/>
        <v>0</v>
      </c>
    </row>
    <row r="57" spans="2:17">
      <c r="B57" t="s">
        <v>77</v>
      </c>
      <c r="F57" s="171">
        <f>SUM(F52:F56)</f>
        <v>3405184792.8059998</v>
      </c>
      <c r="G57" s="171">
        <f t="shared" ref="G57:O57" si="8">SUM(G52:G56)</f>
        <v>3415493543.8129997</v>
      </c>
      <c r="H57" s="171">
        <f t="shared" si="8"/>
        <v>3578592791.6680002</v>
      </c>
      <c r="I57" s="171">
        <f t="shared" si="8"/>
        <v>5168945814.9830112</v>
      </c>
      <c r="J57" s="171">
        <f t="shared" si="8"/>
        <v>5177471256.1689606</v>
      </c>
      <c r="K57" s="171">
        <f t="shared" si="8"/>
        <v>4727069466.5708017</v>
      </c>
      <c r="L57" s="171">
        <f t="shared" si="8"/>
        <v>4822915687.5956116</v>
      </c>
      <c r="M57" s="171">
        <f t="shared" si="8"/>
        <v>5745873379.433382</v>
      </c>
      <c r="N57" s="171">
        <f t="shared" si="8"/>
        <v>6034080891.9404488</v>
      </c>
      <c r="O57" s="171">
        <f t="shared" si="8"/>
        <v>5798718863.3078833</v>
      </c>
      <c r="P57" s="171">
        <f t="shared" ref="P57:Q57" si="9">SUM(P52:P55)</f>
        <v>7185781382.0759974</v>
      </c>
      <c r="Q57" s="171">
        <f t="shared" si="9"/>
        <v>6303678506.2039289</v>
      </c>
    </row>
    <row r="58" spans="2:17">
      <c r="F58" s="8"/>
      <c r="G58" s="8"/>
      <c r="H58" s="8"/>
      <c r="I58" s="8"/>
      <c r="J58" s="8"/>
      <c r="K58" s="8"/>
      <c r="L58" s="8"/>
      <c r="M58" s="8"/>
      <c r="N58" s="8"/>
      <c r="O58" s="8"/>
      <c r="P58" s="8"/>
      <c r="Q58" s="8"/>
    </row>
    <row r="59" spans="2:17">
      <c r="B59" t="s">
        <v>73</v>
      </c>
      <c r="C59" t="s">
        <v>84</v>
      </c>
      <c r="F59" s="8">
        <f>F38*F47</f>
        <v>1667391599.9999998</v>
      </c>
      <c r="G59" s="8">
        <f t="shared" ref="G59:P59" si="10">G38*G47</f>
        <v>1735408500</v>
      </c>
      <c r="H59" s="8">
        <f t="shared" si="10"/>
        <v>1872009720</v>
      </c>
      <c r="I59" s="8">
        <f t="shared" si="10"/>
        <v>1976699445</v>
      </c>
      <c r="J59" s="8">
        <f t="shared" si="10"/>
        <v>2009355495</v>
      </c>
      <c r="K59" s="8">
        <f t="shared" si="10"/>
        <v>2020049990</v>
      </c>
      <c r="L59" s="8">
        <f t="shared" si="10"/>
        <v>2042880070</v>
      </c>
      <c r="M59" s="8">
        <f t="shared" si="10"/>
        <v>2095927224.9999998</v>
      </c>
      <c r="N59" s="8">
        <f t="shared" si="10"/>
        <v>2171260070</v>
      </c>
      <c r="O59" s="8">
        <f t="shared" si="10"/>
        <v>2276406720</v>
      </c>
      <c r="P59" s="8">
        <f t="shared" si="10"/>
        <v>2416141980.0000005</v>
      </c>
      <c r="Q59" s="8">
        <f t="shared" ref="Q59" si="11">Q38*Q47</f>
        <v>2416141980.0000005</v>
      </c>
    </row>
    <row r="60" spans="2:17">
      <c r="B60" t="s">
        <v>78</v>
      </c>
      <c r="C60" t="s">
        <v>84</v>
      </c>
      <c r="F60" s="8">
        <f>F39*F48</f>
        <v>1274258720.0000002</v>
      </c>
      <c r="G60" s="8">
        <f t="shared" ref="G60:P60" si="12">G39*G48</f>
        <v>1312857490</v>
      </c>
      <c r="H60" s="8">
        <f t="shared" si="12"/>
        <v>1363867470</v>
      </c>
      <c r="I60" s="8">
        <f t="shared" si="12"/>
        <v>1390212320</v>
      </c>
      <c r="J60" s="8">
        <f t="shared" si="12"/>
        <v>1394185975</v>
      </c>
      <c r="K60" s="8">
        <f t="shared" si="12"/>
        <v>1383611285.0000002</v>
      </c>
      <c r="L60" s="8">
        <f t="shared" si="12"/>
        <v>1417191230</v>
      </c>
      <c r="M60" s="8">
        <f t="shared" si="12"/>
        <v>1498729190</v>
      </c>
      <c r="N60" s="8">
        <f t="shared" si="12"/>
        <v>1565194750</v>
      </c>
      <c r="O60" s="8">
        <f t="shared" si="12"/>
        <v>1587895225</v>
      </c>
      <c r="P60" s="8">
        <f t="shared" si="12"/>
        <v>1570974299.9999998</v>
      </c>
      <c r="Q60" s="8">
        <f t="shared" ref="Q60" si="13">Q39*Q48</f>
        <v>1570974299.9999998</v>
      </c>
    </row>
    <row r="61" spans="2:17">
      <c r="B61" t="s">
        <v>43</v>
      </c>
      <c r="C61" t="s">
        <v>84</v>
      </c>
      <c r="F61" s="8">
        <f>F40*F49</f>
        <v>0</v>
      </c>
      <c r="G61" s="8">
        <f t="shared" ref="G61:P61" si="14">G40*G49</f>
        <v>0</v>
      </c>
      <c r="H61" s="8">
        <f t="shared" si="14"/>
        <v>0</v>
      </c>
      <c r="I61" s="8">
        <f t="shared" si="14"/>
        <v>0</v>
      </c>
      <c r="J61" s="8">
        <f t="shared" si="14"/>
        <v>0</v>
      </c>
      <c r="K61" s="8">
        <f t="shared" si="14"/>
        <v>416756402.50000006</v>
      </c>
      <c r="L61" s="8">
        <f t="shared" si="14"/>
        <v>826383430.25000012</v>
      </c>
      <c r="M61" s="8">
        <f t="shared" si="14"/>
        <v>822864410.80000007</v>
      </c>
      <c r="N61" s="8">
        <f t="shared" si="14"/>
        <v>842152035.6500001</v>
      </c>
      <c r="O61" s="8">
        <f t="shared" si="14"/>
        <v>884184388.55000007</v>
      </c>
      <c r="P61" s="8">
        <f t="shared" si="14"/>
        <v>929071118.10000026</v>
      </c>
      <c r="Q61" s="8">
        <f t="shared" ref="Q61" si="15">Q40*Q49</f>
        <v>929071118.10000026</v>
      </c>
    </row>
    <row r="62" spans="2:17">
      <c r="B62" t="s">
        <v>85</v>
      </c>
      <c r="F62" s="8">
        <f>SUM(F59:F61)</f>
        <v>2941650320</v>
      </c>
      <c r="G62" s="8">
        <f t="shared" ref="G62:Q62" si="16">SUM(G59:G61)</f>
        <v>3048265990</v>
      </c>
      <c r="H62" s="8">
        <f t="shared" si="16"/>
        <v>3235877190</v>
      </c>
      <c r="I62" s="8">
        <f t="shared" si="16"/>
        <v>3366911765</v>
      </c>
      <c r="J62" s="8">
        <f t="shared" si="16"/>
        <v>3403541470</v>
      </c>
      <c r="K62" s="8">
        <f t="shared" si="16"/>
        <v>3820417677.5</v>
      </c>
      <c r="L62" s="8">
        <f t="shared" si="16"/>
        <v>4286454730.25</v>
      </c>
      <c r="M62" s="8">
        <f t="shared" si="16"/>
        <v>4417520825.8000002</v>
      </c>
      <c r="N62" s="8">
        <f t="shared" si="16"/>
        <v>4578606855.6499996</v>
      </c>
      <c r="O62" s="8">
        <f t="shared" si="16"/>
        <v>4748486333.5500002</v>
      </c>
      <c r="P62" s="8">
        <f t="shared" si="16"/>
        <v>4916187398.1000004</v>
      </c>
      <c r="Q62" s="8">
        <f t="shared" si="16"/>
        <v>4916187398.1000004</v>
      </c>
    </row>
    <row r="63" spans="2:17">
      <c r="F63" s="8"/>
      <c r="G63" s="8"/>
      <c r="H63" s="8"/>
      <c r="I63" s="8"/>
      <c r="J63" s="8"/>
      <c r="K63" s="8"/>
      <c r="L63" s="8"/>
      <c r="M63" s="8"/>
      <c r="N63" s="8"/>
      <c r="O63" s="8"/>
      <c r="P63" s="8"/>
      <c r="Q63" s="8"/>
    </row>
    <row r="64" spans="2:17">
      <c r="F64" s="8"/>
      <c r="G64" s="8"/>
      <c r="H64" s="8"/>
      <c r="I64" s="8"/>
      <c r="J64" s="8"/>
      <c r="K64" s="8"/>
      <c r="L64" s="8"/>
      <c r="M64" s="8"/>
      <c r="N64" s="8"/>
      <c r="O64" s="8"/>
      <c r="P64" s="8"/>
      <c r="Q64" s="8"/>
    </row>
    <row r="65" spans="2:17">
      <c r="F65" s="117"/>
      <c r="G65" s="117"/>
      <c r="H65" s="8"/>
      <c r="I65" s="8"/>
      <c r="J65" s="8"/>
      <c r="K65" s="8"/>
      <c r="L65" s="8"/>
      <c r="M65" s="8"/>
      <c r="N65" s="8"/>
      <c r="O65" s="8"/>
      <c r="P65" s="117"/>
    </row>
    <row r="66" spans="2:17">
      <c r="B66" s="5" t="s">
        <v>86</v>
      </c>
      <c r="F66" s="117"/>
      <c r="G66" s="117"/>
      <c r="H66" s="117"/>
      <c r="I66" s="117"/>
      <c r="J66" s="117"/>
      <c r="K66" s="117"/>
      <c r="L66" s="117"/>
      <c r="M66" s="117"/>
      <c r="N66" s="117"/>
      <c r="O66" s="117"/>
      <c r="P66" s="117"/>
    </row>
    <row r="67" spans="2:17">
      <c r="F67" s="117"/>
      <c r="G67" s="117"/>
      <c r="H67" s="117"/>
      <c r="I67" s="117"/>
      <c r="J67" s="117"/>
      <c r="K67" s="117"/>
      <c r="L67" s="117"/>
      <c r="M67" s="117"/>
      <c r="N67" s="117"/>
      <c r="O67" s="117"/>
      <c r="P67" s="117"/>
    </row>
    <row r="68" spans="2:17">
      <c r="B68" s="1" t="s">
        <v>41</v>
      </c>
      <c r="C68" t="s">
        <v>39</v>
      </c>
      <c r="F68" s="173">
        <f>'Market Value of Non-Regulated'!E62*1000000</f>
        <v>217500000</v>
      </c>
      <c r="G68" s="173">
        <f>'Market Value of Non-Regulated'!F62*1000000</f>
        <v>200500000</v>
      </c>
      <c r="H68" s="173">
        <f>'Market Value of Non-Regulated'!G62*1000000</f>
        <v>249098000</v>
      </c>
      <c r="I68" s="173">
        <f>'Market Value of Non-Regulated'!H62*1000000</f>
        <v>215919000</v>
      </c>
      <c r="J68" s="173">
        <f>'Market Value of Non-Regulated'!I62*1000000</f>
        <v>254079000</v>
      </c>
      <c r="K68" s="173">
        <f>'Market Value of Non-Regulated'!J62*1000000</f>
        <v>288686000</v>
      </c>
      <c r="L68" s="173">
        <f>'Market Value of Non-Regulated'!K62*1000000</f>
        <v>206900000</v>
      </c>
      <c r="M68" s="173">
        <f>'Market Value of Non-Regulated'!L62*1000000</f>
        <v>271810000</v>
      </c>
      <c r="N68" s="173">
        <f>'Market Value of Non-Regulated'!M62*1000000</f>
        <v>347589000</v>
      </c>
      <c r="O68" s="173">
        <f>'Market Value of Non-Regulated'!N62*1000000</f>
        <v>336099000</v>
      </c>
      <c r="P68" s="173">
        <f>'Market Value of Non-Regulated'!O62*1000000</f>
        <v>391128000</v>
      </c>
      <c r="Q68" s="173">
        <f>P68</f>
        <v>391128000</v>
      </c>
    </row>
    <row r="69" spans="2:17">
      <c r="B69" s="1"/>
      <c r="C69" t="s">
        <v>40</v>
      </c>
      <c r="F69" s="173">
        <f>'Market Value of Non-Regulated'!E63*1000000</f>
        <v>652500000</v>
      </c>
      <c r="G69" s="173">
        <f>'Market Value of Non-Regulated'!F63*1000000</f>
        <v>601500000</v>
      </c>
      <c r="H69" s="173">
        <f>'Market Value of Non-Regulated'!G63*1000000</f>
        <v>747294000.00000012</v>
      </c>
      <c r="I69" s="173">
        <f>'Market Value of Non-Regulated'!H63*1000000</f>
        <v>647757000.00000012</v>
      </c>
      <c r="J69" s="173">
        <f>'Market Value of Non-Regulated'!I63*1000000</f>
        <v>762237000.00000012</v>
      </c>
      <c r="K69" s="173">
        <f>'Market Value of Non-Regulated'!J63*1000000</f>
        <v>866058000</v>
      </c>
      <c r="L69" s="173">
        <f>'Market Value of Non-Regulated'!K63*1000000</f>
        <v>620700000</v>
      </c>
      <c r="M69" s="173">
        <f>'Market Value of Non-Regulated'!L63*1000000</f>
        <v>815430000.00000012</v>
      </c>
      <c r="N69" s="173">
        <f>'Market Value of Non-Regulated'!M63*1000000</f>
        <v>1042767000</v>
      </c>
      <c r="O69" s="173">
        <f>'Market Value of Non-Regulated'!N63*1000000</f>
        <v>1008297000</v>
      </c>
      <c r="P69" s="173">
        <f>'Market Value of Non-Regulated'!O63*1000000</f>
        <v>1173384000</v>
      </c>
      <c r="Q69" s="173">
        <f t="shared" ref="Q69:Q74" si="17">P69</f>
        <v>1173384000</v>
      </c>
    </row>
    <row r="70" spans="2:17">
      <c r="B70" s="1" t="s">
        <v>42</v>
      </c>
      <c r="C70" t="s">
        <v>39</v>
      </c>
      <c r="F70" s="173">
        <f>'Market Value of Non-Regulated'!E69*1000000</f>
        <v>319900000</v>
      </c>
      <c r="G70" s="173">
        <f>'Market Value of Non-Regulated'!F69*1000000</f>
        <v>283000000</v>
      </c>
      <c r="H70" s="173">
        <f>'Market Value of Non-Regulated'!G69*1000000</f>
        <v>278300000</v>
      </c>
      <c r="I70" s="173">
        <f>'Market Value of Non-Regulated'!H69*1000000</f>
        <v>267338000.00000003</v>
      </c>
      <c r="J70" s="173">
        <f>'Market Value of Non-Regulated'!I69*1000000</f>
        <v>309214000</v>
      </c>
      <c r="K70" s="173">
        <f>'Market Value of Non-Regulated'!J69*1000000</f>
        <v>326709000</v>
      </c>
      <c r="L70" s="173">
        <f>'Market Value of Non-Regulated'!K69*1000000</f>
        <v>258692999.99999997</v>
      </c>
      <c r="M70" s="173">
        <f>'Market Value of Non-Regulated'!L69*1000000</f>
        <v>276617000</v>
      </c>
      <c r="N70" s="173">
        <f>'Market Value of Non-Regulated'!M69*1000000</f>
        <v>379407000</v>
      </c>
      <c r="O70" s="173">
        <f>'Market Value of Non-Regulated'!N69*1000000</f>
        <v>389163000</v>
      </c>
      <c r="P70" s="173">
        <f>'Market Value of Non-Regulated'!O69*1000000</f>
        <v>310768000</v>
      </c>
      <c r="Q70" s="173">
        <f t="shared" si="17"/>
        <v>310768000</v>
      </c>
    </row>
    <row r="71" spans="2:17">
      <c r="C71" t="s">
        <v>40</v>
      </c>
      <c r="F71" s="173">
        <f>'Market Value of Non-Regulated'!E70*1000000</f>
        <v>959699999.99999988</v>
      </c>
      <c r="G71" s="173">
        <f>'Market Value of Non-Regulated'!F70*1000000</f>
        <v>849000000</v>
      </c>
      <c r="H71" s="173">
        <f>'Market Value of Non-Regulated'!G70*1000000</f>
        <v>834900000.00000012</v>
      </c>
      <c r="I71" s="173">
        <f>'Market Value of Non-Regulated'!H70*1000000</f>
        <v>802014000.00000012</v>
      </c>
      <c r="J71" s="173">
        <f>'Market Value of Non-Regulated'!I70*1000000</f>
        <v>927642000</v>
      </c>
      <c r="K71" s="173">
        <f>'Market Value of Non-Regulated'!J70*1000000</f>
        <v>980127000</v>
      </c>
      <c r="L71" s="173">
        <f>'Market Value of Non-Regulated'!K70*1000000</f>
        <v>776079000</v>
      </c>
      <c r="M71" s="173">
        <f>'Market Value of Non-Regulated'!L70*1000000</f>
        <v>829851000.00000012</v>
      </c>
      <c r="N71" s="173">
        <f>'Market Value of Non-Regulated'!M70*1000000</f>
        <v>1138221000</v>
      </c>
      <c r="O71" s="173">
        <f>'Market Value of Non-Regulated'!N70*1000000</f>
        <v>1167489000</v>
      </c>
      <c r="P71" s="173">
        <f>'Market Value of Non-Regulated'!O70*1000000</f>
        <v>932303999.99999988</v>
      </c>
      <c r="Q71" s="173">
        <f t="shared" si="17"/>
        <v>932303999.99999988</v>
      </c>
    </row>
    <row r="72" spans="2:17">
      <c r="B72" s="1" t="s">
        <v>43</v>
      </c>
      <c r="C72" t="s">
        <v>39</v>
      </c>
      <c r="F72" s="173">
        <f>'Market Value of Non-Regulated'!E76*1000000</f>
        <v>0</v>
      </c>
      <c r="G72" s="173">
        <f>'Market Value of Non-Regulated'!F76*1000000</f>
        <v>0</v>
      </c>
      <c r="H72" s="173">
        <f>'Market Value of Non-Regulated'!G76*1000000</f>
        <v>0</v>
      </c>
      <c r="I72" s="173">
        <f>'Market Value of Non-Regulated'!H76*1000000</f>
        <v>0</v>
      </c>
      <c r="J72" s="173">
        <f>'Market Value of Non-Regulated'!I76*1000000</f>
        <v>0</v>
      </c>
      <c r="K72" s="173">
        <f>'Market Value of Non-Regulated'!J76*1000000</f>
        <v>77220000</v>
      </c>
      <c r="L72" s="173">
        <f>'Market Value of Non-Regulated'!K76*1000000</f>
        <v>90451000</v>
      </c>
      <c r="M72" s="173">
        <f>'Market Value of Non-Regulated'!L76*1000000</f>
        <v>177721000</v>
      </c>
      <c r="N72" s="173">
        <f>'Market Value of Non-Regulated'!M76*1000000</f>
        <v>149252000</v>
      </c>
      <c r="O72" s="173">
        <f>'Market Value of Non-Regulated'!N76*1000000</f>
        <v>152870000</v>
      </c>
      <c r="P72" s="173">
        <f>'Market Value of Non-Regulated'!O76*1000000</f>
        <v>177232000</v>
      </c>
      <c r="Q72" s="173">
        <f t="shared" si="17"/>
        <v>177232000</v>
      </c>
    </row>
    <row r="73" spans="2:17">
      <c r="C73" t="s">
        <v>40</v>
      </c>
      <c r="F73" s="173">
        <f>'Market Value of Non-Regulated'!E77*1000000</f>
        <v>0</v>
      </c>
      <c r="G73" s="173">
        <f>'Market Value of Non-Regulated'!F77*1000000</f>
        <v>0</v>
      </c>
      <c r="H73" s="173">
        <f>'Market Value of Non-Regulated'!G77*1000000</f>
        <v>0</v>
      </c>
      <c r="I73" s="173">
        <f>'Market Value of Non-Regulated'!H77*1000000</f>
        <v>0</v>
      </c>
      <c r="J73" s="173">
        <f>'Market Value of Non-Regulated'!I77*1000000</f>
        <v>0</v>
      </c>
      <c r="K73" s="173">
        <f>'Market Value of Non-Regulated'!J77*1000000</f>
        <v>231660000</v>
      </c>
      <c r="L73" s="173">
        <f>'Market Value of Non-Regulated'!K77*1000000</f>
        <v>271352999.99999994</v>
      </c>
      <c r="M73" s="173">
        <f>'Market Value of Non-Regulated'!L77*1000000</f>
        <v>533163000</v>
      </c>
      <c r="N73" s="173">
        <f>'Market Value of Non-Regulated'!M77*1000000</f>
        <v>447756000</v>
      </c>
      <c r="O73" s="173">
        <f>'Market Value of Non-Regulated'!N77*1000000</f>
        <v>458610000</v>
      </c>
      <c r="P73" s="173">
        <f>'Market Value of Non-Regulated'!O77*1000000</f>
        <v>531696000</v>
      </c>
      <c r="Q73" s="173">
        <f t="shared" si="17"/>
        <v>531696000</v>
      </c>
    </row>
    <row r="74" spans="2:17">
      <c r="B74" s="1" t="s">
        <v>87</v>
      </c>
      <c r="C74" t="s">
        <v>39</v>
      </c>
      <c r="F74" s="173"/>
      <c r="G74" s="173"/>
      <c r="H74" s="173"/>
      <c r="I74" s="173"/>
      <c r="J74" s="173"/>
      <c r="K74" s="173"/>
      <c r="L74" s="173"/>
      <c r="M74" s="173"/>
      <c r="N74" s="173"/>
      <c r="O74" s="173">
        <f>'Market Value of Non-Regulated'!$E$53*1000000</f>
        <v>120000000</v>
      </c>
      <c r="P74" s="173">
        <f>'Market Value of Non-Regulated'!$E$53*1000000</f>
        <v>120000000</v>
      </c>
      <c r="Q74" s="173">
        <f t="shared" si="17"/>
        <v>120000000</v>
      </c>
    </row>
    <row r="75" spans="2:17">
      <c r="B75" s="1"/>
      <c r="C75" t="s">
        <v>40</v>
      </c>
      <c r="F75" s="173"/>
      <c r="G75" s="173"/>
      <c r="H75" s="173"/>
      <c r="I75" s="173"/>
      <c r="J75" s="173"/>
      <c r="K75" s="173"/>
      <c r="L75" s="173"/>
      <c r="M75" s="173"/>
      <c r="N75" s="173"/>
      <c r="O75" s="173">
        <f>'Market Value of Non-Regulated'!$E$54*1000000</f>
        <v>480000000</v>
      </c>
      <c r="P75" s="173">
        <f>'Market Value of Non-Regulated'!$E$54*1000000</f>
        <v>480000000</v>
      </c>
      <c r="Q75" s="173">
        <f>P75</f>
        <v>480000000</v>
      </c>
    </row>
    <row r="76" spans="2:17">
      <c r="B76" s="1" t="s">
        <v>83</v>
      </c>
      <c r="C76" t="s">
        <v>39</v>
      </c>
      <c r="F76" s="173"/>
      <c r="G76" s="173"/>
      <c r="H76" s="173">
        <f>'Market Value of Non-Regulated'!G83*1000000</f>
        <v>175900000.00000009</v>
      </c>
      <c r="I76" s="173">
        <f>'Market Value of Non-Regulated'!H83*1000000</f>
        <v>150500000</v>
      </c>
      <c r="J76" s="173">
        <f>'Market Value of Non-Regulated'!I83*1000000</f>
        <v>152799999.99999985</v>
      </c>
      <c r="K76" s="173"/>
      <c r="L76" s="173"/>
      <c r="M76" s="173"/>
      <c r="N76" s="173"/>
      <c r="O76" s="173"/>
      <c r="P76" s="173"/>
      <c r="Q76" s="173"/>
    </row>
    <row r="77" spans="2:17">
      <c r="B77" s="1"/>
      <c r="C77" t="s">
        <v>40</v>
      </c>
      <c r="F77" s="173"/>
      <c r="G77" s="173"/>
      <c r="H77" s="173">
        <f>'Market Value of Non-Regulated'!G84*1000000</f>
        <v>527700000.0000003</v>
      </c>
      <c r="I77" s="173">
        <f>'Market Value of Non-Regulated'!H84*1000000</f>
        <v>451500000</v>
      </c>
      <c r="J77" s="173">
        <f>'Market Value of Non-Regulated'!I84*1000000</f>
        <v>458399999.99999952</v>
      </c>
      <c r="K77" s="173"/>
      <c r="L77" s="173"/>
      <c r="M77" s="173"/>
      <c r="N77" s="173"/>
      <c r="O77" s="173"/>
      <c r="P77" s="173"/>
      <c r="Q77" s="173"/>
    </row>
    <row r="78" spans="2:17">
      <c r="B78" s="1"/>
      <c r="F78" s="173"/>
      <c r="G78" s="173"/>
      <c r="H78" s="173"/>
      <c r="I78" s="173"/>
      <c r="J78" s="173"/>
      <c r="K78" s="173"/>
      <c r="L78" s="173"/>
      <c r="M78" s="173"/>
      <c r="N78" s="173"/>
      <c r="O78" s="173"/>
      <c r="P78" s="173"/>
      <c r="Q78" s="173"/>
    </row>
    <row r="79" spans="2:17">
      <c r="B79" s="5" t="s">
        <v>88</v>
      </c>
      <c r="G79" s="117"/>
      <c r="H79" s="117"/>
      <c r="I79" s="117"/>
      <c r="J79" s="117"/>
      <c r="K79" s="117"/>
      <c r="L79" s="117"/>
      <c r="M79" s="117"/>
      <c r="N79" s="117"/>
      <c r="O79" s="8"/>
      <c r="P79" s="8"/>
      <c r="Q79" s="8"/>
    </row>
    <row r="81" spans="1:17">
      <c r="B81" s="1" t="s">
        <v>89</v>
      </c>
      <c r="C81" t="s">
        <v>39</v>
      </c>
      <c r="F81" s="171">
        <f>F68*F47+F70*F48+F72*F49+F74*F46+F50*F76</f>
        <v>263326000</v>
      </c>
      <c r="G81" s="171">
        <f t="shared" ref="G81:Q81" si="18">G68*G47+G70*G48+G72*G49+G74*G46+G50*G76</f>
        <v>236915000</v>
      </c>
      <c r="H81" s="171">
        <f t="shared" si="18"/>
        <v>258425020</v>
      </c>
      <c r="I81" s="171">
        <f t="shared" si="18"/>
        <v>258016430</v>
      </c>
      <c r="J81" s="171">
        <f t="shared" si="18"/>
        <v>294960770</v>
      </c>
      <c r="K81" s="171">
        <f t="shared" si="18"/>
        <v>313134272</v>
      </c>
      <c r="L81" s="171">
        <f t="shared" si="18"/>
        <v>241717265.09999999</v>
      </c>
      <c r="M81" s="171">
        <f t="shared" si="18"/>
        <v>295405152.10000002</v>
      </c>
      <c r="N81" s="171">
        <f t="shared" si="18"/>
        <v>378630765.19999999</v>
      </c>
      <c r="O81" s="171">
        <f t="shared" si="18"/>
        <v>498324167</v>
      </c>
      <c r="P81" s="171">
        <f t="shared" si="18"/>
        <v>490531563.19999999</v>
      </c>
      <c r="Q81" s="171">
        <f t="shared" si="18"/>
        <v>490531563.19999999</v>
      </c>
    </row>
    <row r="82" spans="1:17">
      <c r="C82" t="s">
        <v>40</v>
      </c>
      <c r="F82" s="171">
        <f>F69*F47+F71*F48+F73*F49+F75*F46+F50*F77</f>
        <v>789978000</v>
      </c>
      <c r="G82" s="171">
        <f t="shared" ref="G82:Q82" si="19">G69*G47+G71*G48+G73*G49+G75*G46+G50*G77</f>
        <v>710745000</v>
      </c>
      <c r="H82" s="171">
        <f t="shared" si="19"/>
        <v>775275060.00000012</v>
      </c>
      <c r="I82" s="171">
        <f t="shared" si="19"/>
        <v>774049290.00000012</v>
      </c>
      <c r="J82" s="171">
        <f t="shared" si="19"/>
        <v>884882310</v>
      </c>
      <c r="K82" s="171">
        <f t="shared" si="19"/>
        <v>939402816</v>
      </c>
      <c r="L82" s="171">
        <f t="shared" si="19"/>
        <v>725151795.29999995</v>
      </c>
      <c r="M82" s="171">
        <f t="shared" si="19"/>
        <v>886215456.30000019</v>
      </c>
      <c r="N82" s="171">
        <f t="shared" si="19"/>
        <v>1135892295.5999999</v>
      </c>
      <c r="O82" s="171">
        <f t="shared" si="19"/>
        <v>1614972501</v>
      </c>
      <c r="P82" s="171">
        <f t="shared" si="19"/>
        <v>1591594689.5999999</v>
      </c>
      <c r="Q82" s="171">
        <f t="shared" si="19"/>
        <v>1591594689.5999999</v>
      </c>
    </row>
    <row r="83" spans="1:17">
      <c r="F83" s="117"/>
      <c r="G83" s="117"/>
      <c r="H83" s="117"/>
      <c r="I83" s="117"/>
      <c r="J83" s="117"/>
      <c r="K83" s="117"/>
      <c r="L83" s="117"/>
      <c r="M83" s="117"/>
      <c r="N83" s="117"/>
      <c r="O83" s="117"/>
      <c r="P83" s="117"/>
    </row>
    <row r="84" spans="1:17">
      <c r="B84" s="5" t="s">
        <v>90</v>
      </c>
      <c r="F84" s="117"/>
      <c r="G84" s="117"/>
      <c r="H84" s="117"/>
      <c r="I84" s="117"/>
      <c r="J84" s="117"/>
      <c r="K84" s="117"/>
      <c r="L84" s="117"/>
      <c r="M84" s="117"/>
      <c r="N84" s="117"/>
      <c r="O84" s="117"/>
      <c r="P84" s="117"/>
    </row>
    <row r="85" spans="1:17">
      <c r="B85" s="1" t="s">
        <v>65</v>
      </c>
      <c r="C85" t="s">
        <v>39</v>
      </c>
      <c r="F85" s="171">
        <f t="shared" ref="F85:Q85" si="20">F6-F7+F57-F82</f>
        <v>4310793652.8059998</v>
      </c>
      <c r="G85" s="171">
        <f t="shared" si="20"/>
        <v>4598915873.8129997</v>
      </c>
      <c r="H85" s="171">
        <f t="shared" si="20"/>
        <v>5017501221.6680002</v>
      </c>
      <c r="I85" s="171">
        <f t="shared" si="20"/>
        <v>6993362524.9830112</v>
      </c>
      <c r="J85" s="171">
        <f t="shared" si="20"/>
        <v>7103022746.1689606</v>
      </c>
      <c r="K85" s="171">
        <f t="shared" si="20"/>
        <v>7838473490.5708008</v>
      </c>
      <c r="L85" s="171">
        <f t="shared" si="20"/>
        <v>8439032712.2956114</v>
      </c>
      <c r="M85" s="171">
        <f t="shared" si="20"/>
        <v>8683203333.1333809</v>
      </c>
      <c r="N85" s="171">
        <f t="shared" si="20"/>
        <v>8928175326.3404484</v>
      </c>
      <c r="O85" s="171">
        <f t="shared" si="20"/>
        <v>7853351896.3078842</v>
      </c>
      <c r="P85" s="171">
        <f t="shared" si="20"/>
        <v>9496233822.475996</v>
      </c>
      <c r="Q85" s="171">
        <f t="shared" si="20"/>
        <v>9865483816.6039295</v>
      </c>
    </row>
    <row r="86" spans="1:17">
      <c r="C86" t="s">
        <v>40</v>
      </c>
      <c r="F86" s="171">
        <f t="shared" ref="F86:Q86" si="21">F6-F7+F57-F81</f>
        <v>4837445652.8059998</v>
      </c>
      <c r="G86" s="171">
        <f t="shared" si="21"/>
        <v>5072745873.8129997</v>
      </c>
      <c r="H86" s="171">
        <f t="shared" si="21"/>
        <v>5534351261.6680002</v>
      </c>
      <c r="I86" s="171">
        <f t="shared" si="21"/>
        <v>7509395384.9830112</v>
      </c>
      <c r="J86" s="171">
        <f t="shared" si="21"/>
        <v>7692944286.1689606</v>
      </c>
      <c r="K86" s="171">
        <f t="shared" si="21"/>
        <v>8464742034.5708008</v>
      </c>
      <c r="L86" s="171">
        <f t="shared" si="21"/>
        <v>8922467242.4956112</v>
      </c>
      <c r="M86" s="171">
        <f t="shared" si="21"/>
        <v>9274013637.3333817</v>
      </c>
      <c r="N86" s="171">
        <f t="shared" si="21"/>
        <v>9685436856.740448</v>
      </c>
      <c r="O86" s="171">
        <f t="shared" si="21"/>
        <v>8970000230.3078842</v>
      </c>
      <c r="P86" s="171">
        <f t="shared" si="21"/>
        <v>10597296948.875996</v>
      </c>
      <c r="Q86" s="171">
        <f t="shared" si="21"/>
        <v>10966546943.003929</v>
      </c>
    </row>
    <row r="87" spans="1:17">
      <c r="F87" s="117"/>
      <c r="G87" s="117"/>
      <c r="H87" s="117"/>
      <c r="I87" s="117"/>
      <c r="J87" s="117"/>
      <c r="K87" s="117"/>
      <c r="L87" s="117"/>
      <c r="M87" s="117"/>
      <c r="N87" s="117"/>
      <c r="O87" s="117"/>
      <c r="P87" s="117"/>
    </row>
    <row r="88" spans="1:17">
      <c r="B88" s="5" t="s">
        <v>91</v>
      </c>
      <c r="F88" s="117"/>
      <c r="G88" s="117"/>
      <c r="H88" s="117"/>
      <c r="I88" s="117"/>
      <c r="J88" s="117"/>
      <c r="K88" s="117"/>
      <c r="L88" s="117"/>
      <c r="M88" s="117"/>
      <c r="N88" s="117"/>
      <c r="O88" s="117"/>
      <c r="P88" s="117"/>
    </row>
    <row r="89" spans="1:17">
      <c r="B89" s="1" t="s">
        <v>65</v>
      </c>
      <c r="C89" t="s">
        <v>39</v>
      </c>
      <c r="F89" s="171">
        <f>F6-F7+F62+F56+F52-F82</f>
        <v>4781359180</v>
      </c>
      <c r="G89" s="171">
        <f t="shared" ref="G89:P89" si="22">G6-G7+G62+G56+G52-G82</f>
        <v>5151888320</v>
      </c>
      <c r="H89" s="171">
        <f t="shared" si="22"/>
        <v>5536085620</v>
      </c>
      <c r="I89" s="171">
        <f t="shared" si="22"/>
        <v>6917557128.1454477</v>
      </c>
      <c r="J89" s="171">
        <f t="shared" si="22"/>
        <v>6955664861.6543884</v>
      </c>
      <c r="K89" s="171">
        <f t="shared" si="22"/>
        <v>7993521701.5</v>
      </c>
      <c r="L89" s="171">
        <f t="shared" si="22"/>
        <v>8964271754.9500008</v>
      </c>
      <c r="M89" s="171">
        <f t="shared" si="22"/>
        <v>8416650779.499999</v>
      </c>
      <c r="N89" s="171">
        <f t="shared" si="22"/>
        <v>8534501290.0499992</v>
      </c>
      <c r="O89" s="171">
        <f t="shared" si="22"/>
        <v>7875819366.5499992</v>
      </c>
      <c r="P89" s="171">
        <f t="shared" si="22"/>
        <v>8324639838.5</v>
      </c>
      <c r="Q89" s="171">
        <f t="shared" ref="Q89" si="23">Q6-Q7+Q62+Q56+Q52-Q82</f>
        <v>9575992708.5</v>
      </c>
    </row>
    <row r="90" spans="1:17">
      <c r="C90" t="s">
        <v>40</v>
      </c>
      <c r="F90" s="171">
        <f>F6-F7+F62+F56+F52-F81</f>
        <v>5308011180</v>
      </c>
      <c r="G90" s="171">
        <f t="shared" ref="G90:P90" si="24">G6-G7+G62+G56+G52-G81</f>
        <v>5625718320</v>
      </c>
      <c r="H90" s="171">
        <f t="shared" si="24"/>
        <v>6052935660</v>
      </c>
      <c r="I90" s="171">
        <f t="shared" si="24"/>
        <v>7433589988.1454477</v>
      </c>
      <c r="J90" s="171">
        <f t="shared" si="24"/>
        <v>7545586401.6543884</v>
      </c>
      <c r="K90" s="171">
        <f t="shared" si="24"/>
        <v>8619790245.5</v>
      </c>
      <c r="L90" s="171">
        <f t="shared" si="24"/>
        <v>9447706285.1499996</v>
      </c>
      <c r="M90" s="171">
        <f t="shared" si="24"/>
        <v>9007461083.6999989</v>
      </c>
      <c r="N90" s="171">
        <f t="shared" si="24"/>
        <v>9291762820.4499989</v>
      </c>
      <c r="O90" s="171">
        <f t="shared" si="24"/>
        <v>8992467700.5499992</v>
      </c>
      <c r="P90" s="171">
        <f t="shared" si="24"/>
        <v>9425702964.8999996</v>
      </c>
      <c r="Q90" s="171">
        <f t="shared" ref="Q90" si="25">Q6-Q7+Q62+Q56+Q52-Q81</f>
        <v>10677055834.9</v>
      </c>
    </row>
    <row r="91" spans="1:17">
      <c r="F91" s="117"/>
      <c r="G91" s="117"/>
      <c r="H91" s="117"/>
      <c r="I91" s="117"/>
      <c r="J91" s="117"/>
      <c r="K91" s="117"/>
      <c r="L91" s="117"/>
      <c r="M91" s="117"/>
      <c r="N91" s="117"/>
      <c r="O91" s="117"/>
      <c r="P91" s="117"/>
    </row>
    <row r="92" spans="1:17" s="136" customFormat="1" ht="17.5" thickBot="1">
      <c r="A92"/>
      <c r="B92" s="136" t="s">
        <v>61</v>
      </c>
      <c r="F92" s="150"/>
      <c r="G92" s="150"/>
      <c r="H92" s="150"/>
      <c r="I92" s="150"/>
      <c r="J92" s="150"/>
      <c r="K92" s="150"/>
      <c r="L92" s="150"/>
      <c r="M92" s="150"/>
      <c r="N92" s="150"/>
      <c r="O92" s="150"/>
      <c r="P92" s="150"/>
    </row>
    <row r="93" spans="1:17" ht="15" thickTop="1"/>
    <row r="94" spans="1:17">
      <c r="B94" t="s">
        <v>69</v>
      </c>
      <c r="F94" s="173">
        <f>VLOOKUP(F2,'AST - Historical Equity'!$A$3:$C$4080,3,FALSE)</f>
        <v>2641384089.855</v>
      </c>
      <c r="G94" s="173">
        <f>VLOOKUP(G2,'AST - Historical Equity'!$A$3:$C$4080,3,FALSE)</f>
        <v>3347272780.4099998</v>
      </c>
      <c r="H94" s="173">
        <f>VLOOKUP(H2,'AST - Historical Equity'!$A$3:$C$4080,3,FALSE)</f>
        <v>3967182489.5250001</v>
      </c>
      <c r="I94" s="173">
        <f>VLOOKUP(I2,'AST - Historical Equity'!$A$3:$C$4080,3,FALSE)</f>
        <v>4487254381</v>
      </c>
      <c r="J94" s="173">
        <f>VLOOKUP(J2,'AST - Historical Equity'!$A$3:$C$4080,3,FALSE)</f>
        <v>4836343647.5550003</v>
      </c>
      <c r="K94" s="173">
        <f>VLOOKUP(K2,'AST - Historical Equity'!$A$3:$C$4080,3,FALSE)</f>
        <v>5847349821.1199999</v>
      </c>
      <c r="L94" s="173">
        <f>VLOOKUP(L2,'AST - Historical Equity'!$A$3:$C$4080,3,FALSE)</f>
        <v>6251473945.8199997</v>
      </c>
      <c r="M94" s="173">
        <f>VLOOKUP(M2,'AST - Historical Equity'!$A$3:$C$4080,3,FALSE)</f>
        <v>5837170025.4750004</v>
      </c>
      <c r="N94" s="173">
        <f>VLOOKUP(N2,'AST - Historical Equity'!$A$3:$C$4080,3,FALSE)</f>
        <v>6848745705</v>
      </c>
      <c r="O94" s="173">
        <f>VLOOKUP(O2,'AST - Historical Equity'!$A$3:$C$4080,3,FALSE)</f>
        <v>6223823685.1000004</v>
      </c>
      <c r="P94" s="173">
        <f>VLOOKUP(P2,'AST - Historical Equity'!$A$3:$C$4080,3,FALSE)</f>
        <v>6652156652.75</v>
      </c>
      <c r="Q94" s="173">
        <v>10200000000</v>
      </c>
    </row>
    <row r="95" spans="1:17">
      <c r="B95" t="s">
        <v>92</v>
      </c>
      <c r="F95" s="173">
        <f>0.5*'AST - BalanceSheet'!X10*1000000+0.5*'AST - BalanceSheet'!W10*1000000</f>
        <v>33500000</v>
      </c>
      <c r="G95" s="173">
        <f>0.5*'AST - BalanceSheet'!V10*100000+0.5*'AST - BalanceSheet'!U10*100000</f>
        <v>22350000</v>
      </c>
      <c r="H95" s="173">
        <f>0.5*'AST - BalanceSheet'!T10*1000000+0.5*'AST - BalanceSheet'!S10*1000000</f>
        <v>277500000</v>
      </c>
      <c r="I95" s="173">
        <f>0.5*'AST - BalanceSheet'!R10*1000000+0.5*'AST - BalanceSheet'!Q10*1000000</f>
        <v>542500000</v>
      </c>
      <c r="J95" s="173">
        <f>0.5*'AST - BalanceSheet'!P10*1000000+0.5*'AST - BalanceSheet'!O10*1000000</f>
        <v>458000000</v>
      </c>
      <c r="K95" s="173">
        <f>0.5*'AST - BalanceSheet'!N10*1000000+0.5*'AST - BalanceSheet'!M10*1000000</f>
        <v>238000000</v>
      </c>
      <c r="L95" s="173">
        <f>0.5*'AST - BalanceSheet'!L10*1000000+0.5*'AST - BalanceSheet'!K10*1000000</f>
        <v>172000000</v>
      </c>
      <c r="M95" s="173">
        <f>0.5*'AST - BalanceSheet'!J10*1000000+0.5*'AST - BalanceSheet'!I10*1000000</f>
        <v>410500000</v>
      </c>
      <c r="N95" s="173">
        <f>0.5*'AST - BalanceSheet'!H10*1000000+0.5*'AST - BalanceSheet'!G10*1000000</f>
        <v>260000000</v>
      </c>
      <c r="O95" s="173">
        <f>0.5*'AST - BalanceSheet'!F10*1000000+0.5*'AST - BalanceSheet'!E10*1000000</f>
        <v>91500000</v>
      </c>
      <c r="P95" s="173">
        <f>0.5*'AST - BalanceSheet'!D10*1000000+0.5*'AST - BalanceSheet'!C10*1000000</f>
        <v>579000000</v>
      </c>
      <c r="Q95" s="173">
        <f>'AST - BalanceSheet'!C10*1000000</f>
        <v>330000000</v>
      </c>
    </row>
    <row r="96" spans="1:17">
      <c r="F96" s="8"/>
      <c r="G96" s="8"/>
      <c r="H96" s="8"/>
      <c r="I96" s="8"/>
      <c r="J96" s="8"/>
      <c r="K96" s="8"/>
      <c r="L96" s="8"/>
      <c r="M96" s="8"/>
      <c r="N96" s="8"/>
      <c r="O96" s="8"/>
      <c r="P96" s="8"/>
      <c r="Q96" s="8"/>
    </row>
    <row r="97" spans="2:17">
      <c r="B97" s="5" t="s">
        <v>93</v>
      </c>
      <c r="F97" s="117"/>
      <c r="G97" s="117"/>
      <c r="H97" s="117"/>
      <c r="I97" s="117"/>
      <c r="J97" s="117"/>
      <c r="K97" s="117"/>
      <c r="L97" s="117"/>
      <c r="M97" s="117"/>
      <c r="N97" s="117"/>
      <c r="O97" s="117"/>
      <c r="P97" s="117"/>
      <c r="Q97" s="117"/>
    </row>
    <row r="98" spans="2:17">
      <c r="B98" t="s">
        <v>74</v>
      </c>
      <c r="F98" s="173">
        <f>'Value of Debt (listed bonds)'!F173</f>
        <v>2740943725.4413838</v>
      </c>
      <c r="G98" s="173">
        <f>'Value of Debt (listed bonds)'!G173</f>
        <v>3286736532.2784004</v>
      </c>
      <c r="H98" s="173">
        <f>'Value of Debt (listed bonds)'!H173</f>
        <v>4095615055.9483981</v>
      </c>
      <c r="I98" s="173">
        <f>'Value of Debt (listed bonds)'!I173</f>
        <v>5569534149.5742302</v>
      </c>
      <c r="J98" s="173">
        <f>'Value of Debt (listed bonds)'!J173</f>
        <v>6094062437.4701757</v>
      </c>
      <c r="K98" s="173">
        <f>'Value of Debt (listed bonds)'!K173</f>
        <v>5686622462.9297504</v>
      </c>
      <c r="L98" s="173">
        <f>'Value of Debt (listed bonds)'!L173</f>
        <v>5185233595.8823547</v>
      </c>
      <c r="M98" s="173">
        <f>'Value of Debt (listed bonds)'!M173</f>
        <v>6376491991.7655592</v>
      </c>
      <c r="N98" s="173">
        <f>'Value of Debt (listed bonds)'!N173</f>
        <v>6037476799.8175554</v>
      </c>
      <c r="O98" s="173">
        <f>'Value of Debt (listed bonds)'!O173</f>
        <v>6798660694.5522003</v>
      </c>
      <c r="P98" s="173">
        <f>'Value of Debt (listed bonds)'!P173</f>
        <v>8771057403.2036304</v>
      </c>
      <c r="Q98" s="173">
        <f>'Value of Debt (listed bonds)'!Q173</f>
        <v>7921828383.1683207</v>
      </c>
    </row>
    <row r="99" spans="2:17">
      <c r="B99" t="s">
        <v>75</v>
      </c>
      <c r="F99" s="173">
        <f>'Value of Debt (unlisted bonds)'!D828+'Value of Debt (unlisted bonds)'!D820</f>
        <v>2234749612.000001</v>
      </c>
      <c r="G99" s="173">
        <f>'Value of Debt (unlisted bonds)'!E828+'Value of Debt (unlisted bonds)'!E820</f>
        <v>1859770695.999999</v>
      </c>
      <c r="H99" s="173">
        <f>'Value of Debt (unlisted bonds)'!F828+'Value of Debt (unlisted bonds)'!F820</f>
        <v>1444723160.000001</v>
      </c>
      <c r="I99" s="173">
        <f>'Value of Debt (unlisted bonds)'!G828+'Value of Debt (unlisted bonds)'!G820</f>
        <v>521001043</v>
      </c>
      <c r="J99" s="173">
        <f>'Value of Debt (unlisted bonds)'!H828+'Value of Debt (unlisted bonds)'!H820</f>
        <v>513245829</v>
      </c>
      <c r="K99" s="173">
        <f>'Value of Debt (unlisted bonds)'!I828+'Value of Debt (unlisted bonds)'!I820</f>
        <v>90396462</v>
      </c>
      <c r="L99" s="173">
        <f>'Value of Debt (unlisted bonds)'!J828+'Value of Debt (unlisted bonds)'!J820</f>
        <v>562966218</v>
      </c>
      <c r="M99" s="173">
        <f>'Value of Debt (unlisted bonds)'!K828+'Value of Debt (unlisted bonds)'!K820</f>
        <v>188356166</v>
      </c>
      <c r="N99" s="173">
        <f>'Value of Debt (unlisted bonds)'!L828+'Value of Debt (unlisted bonds)'!L820</f>
        <v>148382720</v>
      </c>
      <c r="O99" s="173">
        <f>'Value of Debt (unlisted bonds)'!M828+'Value of Debt (unlisted bonds)'!M820</f>
        <v>349420904</v>
      </c>
      <c r="P99" s="173">
        <f>'Value of Debt (unlisted bonds)'!N828+'Value of Debt (unlisted bonds)'!N820</f>
        <v>327121582</v>
      </c>
      <c r="Q99" s="173">
        <f>'Value of Debt (unlisted bonds)'!O828+'Value of Debt (unlisted bonds)'!O820</f>
        <v>327121582</v>
      </c>
    </row>
    <row r="100" spans="2:17">
      <c r="B100" t="s">
        <v>76</v>
      </c>
      <c r="F100" s="173">
        <f>'Value of Debt (listed bonds)'!F187</f>
        <v>0</v>
      </c>
      <c r="G100" s="173">
        <f>'Value of Debt (listed bonds)'!G187</f>
        <v>0</v>
      </c>
      <c r="H100" s="173">
        <f>'Value of Debt (listed bonds)'!H187</f>
        <v>0</v>
      </c>
      <c r="I100" s="173">
        <f>'Value of Debt (listed bonds)'!I187</f>
        <v>0</v>
      </c>
      <c r="J100" s="173">
        <f>'Value of Debt (listed bonds)'!J187</f>
        <v>0</v>
      </c>
      <c r="K100" s="173">
        <f>'Value of Debt (listed bonds)'!K187</f>
        <v>0</v>
      </c>
      <c r="L100" s="173">
        <f>'Value of Debt (listed bonds)'!L187</f>
        <v>0</v>
      </c>
      <c r="M100" s="173">
        <f>'Value of Debt (listed bonds)'!M187</f>
        <v>0</v>
      </c>
      <c r="N100" s="173">
        <f>'Value of Debt (listed bonds)'!N187</f>
        <v>700000000</v>
      </c>
      <c r="O100" s="173">
        <f>'Value of Debt (listed bonds)'!O187</f>
        <v>1200000000</v>
      </c>
      <c r="P100" s="173">
        <f>'Value of Debt (listed bonds)'!P187</f>
        <v>1200000000</v>
      </c>
      <c r="Q100" s="173">
        <f>'Value of Debt (listed bonds)'!Q187</f>
        <v>1200000000</v>
      </c>
    </row>
    <row r="101" spans="2:17">
      <c r="B101" t="s">
        <v>77</v>
      </c>
      <c r="F101" s="171">
        <f>F98+F99</f>
        <v>4975693337.4413853</v>
      </c>
      <c r="G101" s="171">
        <f t="shared" ref="G101:Q101" si="26">G98+G99</f>
        <v>5146507228.2783995</v>
      </c>
      <c r="H101" s="171">
        <f t="shared" si="26"/>
        <v>5540338215.9483986</v>
      </c>
      <c r="I101" s="171">
        <f t="shared" si="26"/>
        <v>6090535192.5742302</v>
      </c>
      <c r="J101" s="171">
        <f t="shared" si="26"/>
        <v>6607308266.4701757</v>
      </c>
      <c r="K101" s="171">
        <f t="shared" si="26"/>
        <v>5777018924.9297504</v>
      </c>
      <c r="L101" s="171">
        <f t="shared" si="26"/>
        <v>5748199813.8823547</v>
      </c>
      <c r="M101" s="171">
        <f t="shared" si="26"/>
        <v>6564848157.7655592</v>
      </c>
      <c r="N101" s="171">
        <f t="shared" si="26"/>
        <v>6185859519.8175554</v>
      </c>
      <c r="O101" s="171">
        <f t="shared" si="26"/>
        <v>7148081598.5522003</v>
      </c>
      <c r="P101" s="171">
        <f t="shared" si="26"/>
        <v>9098178985.2036304</v>
      </c>
      <c r="Q101" s="171">
        <f t="shared" si="26"/>
        <v>8248949965.1683207</v>
      </c>
    </row>
    <row r="102" spans="2:17">
      <c r="F102" s="117"/>
      <c r="G102" s="117"/>
      <c r="H102" s="117"/>
      <c r="I102" s="117"/>
      <c r="J102" s="117"/>
      <c r="K102" s="117"/>
      <c r="L102" s="117"/>
      <c r="M102" s="117"/>
      <c r="N102" s="117"/>
      <c r="O102" s="117"/>
      <c r="P102" s="117"/>
      <c r="Q102" s="117"/>
    </row>
    <row r="103" spans="2:17">
      <c r="B103" s="1" t="s">
        <v>94</v>
      </c>
      <c r="C103" t="s">
        <v>39</v>
      </c>
      <c r="F103" s="173">
        <f>'Market Value of Non-Regulated'!E105*1000000</f>
        <v>164399999.99999997</v>
      </c>
      <c r="G103" s="173">
        <f>'Market Value of Non-Regulated'!F105*1000000</f>
        <v>140100000</v>
      </c>
      <c r="H103" s="173">
        <f>'Market Value of Non-Regulated'!G105*1000000</f>
        <v>52050000.000000007</v>
      </c>
      <c r="I103" s="173">
        <f>'Market Value of Non-Regulated'!H105*1000000</f>
        <v>58500000</v>
      </c>
      <c r="J103" s="173">
        <f>'Market Value of Non-Regulated'!I105*1000000</f>
        <v>44550000</v>
      </c>
      <c r="K103" s="173">
        <f>'Market Value of Non-Regulated'!J105*1000000</f>
        <v>199800000</v>
      </c>
      <c r="L103" s="173">
        <f>'Market Value of Non-Regulated'!K105*1000000</f>
        <v>231899999.99999997</v>
      </c>
      <c r="M103" s="173">
        <f>'Market Value of Non-Regulated'!L105*1000000</f>
        <v>181500000</v>
      </c>
      <c r="N103" s="173">
        <f>'Market Value of Non-Regulated'!M105*1000000</f>
        <v>163450000</v>
      </c>
      <c r="O103" s="173">
        <f>'Market Value of Non-Regulated'!N105*1000000</f>
        <v>164450000</v>
      </c>
      <c r="P103" s="173">
        <f>'Market Value of Non-Regulated'!O105*1000000</f>
        <v>185050000</v>
      </c>
      <c r="Q103" s="173">
        <f>P103</f>
        <v>185050000</v>
      </c>
    </row>
    <row r="104" spans="2:17">
      <c r="C104" t="s">
        <v>40</v>
      </c>
      <c r="F104" s="173">
        <f>'Market Value of Non-Regulated'!E106*1000000</f>
        <v>493199999.99999994</v>
      </c>
      <c r="G104" s="173">
        <f>'Market Value of Non-Regulated'!F106*1000000</f>
        <v>420299999.99999994</v>
      </c>
      <c r="H104" s="173">
        <f>'Market Value of Non-Regulated'!G106*1000000</f>
        <v>418950000.00000006</v>
      </c>
      <c r="I104" s="173">
        <f>'Market Value of Non-Regulated'!H106*1000000</f>
        <v>461700000.00000006</v>
      </c>
      <c r="J104" s="173">
        <f>'Market Value of Non-Regulated'!I106*1000000</f>
        <v>472349999.99999994</v>
      </c>
      <c r="K104" s="173">
        <f>'Market Value of Non-Regulated'!J106*1000000</f>
        <v>626249999.99999988</v>
      </c>
      <c r="L104" s="173">
        <f>'Market Value of Non-Regulated'!K106*1000000</f>
        <v>737550000</v>
      </c>
      <c r="M104" s="173">
        <f>'Market Value of Non-Regulated'!L106*1000000</f>
        <v>590850000</v>
      </c>
      <c r="N104" s="173">
        <f>'Market Value of Non-Regulated'!M106*1000000</f>
        <v>490349999.99999994</v>
      </c>
      <c r="O104" s="173">
        <f>'Market Value of Non-Regulated'!N106*1000000</f>
        <v>493349999.99999994</v>
      </c>
      <c r="P104" s="173">
        <f>'Market Value of Non-Regulated'!O106*1000000</f>
        <v>555150000.00000012</v>
      </c>
      <c r="Q104" s="173">
        <f>P104</f>
        <v>555150000.00000012</v>
      </c>
    </row>
    <row r="106" spans="2:17">
      <c r="B106" s="1" t="s">
        <v>2095</v>
      </c>
      <c r="C106" t="s">
        <v>39</v>
      </c>
      <c r="Q106" s="185">
        <v>3000000000</v>
      </c>
    </row>
    <row r="107" spans="2:17">
      <c r="C107" t="s">
        <v>40</v>
      </c>
      <c r="Q107" s="185">
        <v>3300000000</v>
      </c>
    </row>
    <row r="109" spans="2:17">
      <c r="B109" s="1" t="s">
        <v>95</v>
      </c>
      <c r="C109" t="s">
        <v>39</v>
      </c>
      <c r="F109" s="173">
        <f>'Market Value of Non-Regulated'!E118*1000000</f>
        <v>266049999.99999994</v>
      </c>
      <c r="G109" s="173">
        <f>'Market Value of Non-Regulated'!F118*1000000</f>
        <v>203675000</v>
      </c>
      <c r="H109" s="173">
        <f>'Market Value of Non-Regulated'!G118*1000000</f>
        <v>125150000</v>
      </c>
      <c r="I109" s="173">
        <f>'Market Value of Non-Regulated'!H118*1000000</f>
        <v>149925000</v>
      </c>
      <c r="J109" s="173">
        <f>'Market Value of Non-Regulated'!I118*1000000</f>
        <v>123399999.99999999</v>
      </c>
      <c r="K109" s="173">
        <f>'Market Value of Non-Regulated'!J118*1000000</f>
        <v>247650000</v>
      </c>
      <c r="L109" s="173">
        <f>'Market Value of Non-Regulated'!K118*1000000</f>
        <v>308250000</v>
      </c>
      <c r="M109" s="173">
        <f>'Market Value of Non-Regulated'!L118*1000000</f>
        <v>335525000</v>
      </c>
      <c r="N109" s="173">
        <f>'Market Value of Non-Regulated'!M118*1000000</f>
        <v>330525000</v>
      </c>
      <c r="O109" s="173">
        <f>'Market Value of Non-Regulated'!N118*1000000</f>
        <v>306525000</v>
      </c>
      <c r="P109" s="173">
        <f>'Market Value of Non-Regulated'!O118*1000000</f>
        <v>300050000</v>
      </c>
      <c r="Q109" s="173">
        <f>P109</f>
        <v>300050000</v>
      </c>
    </row>
    <row r="110" spans="2:17">
      <c r="C110" t="s">
        <v>40</v>
      </c>
      <c r="F110" s="173">
        <f>'Market Value of Non-Regulated'!E119*1000000</f>
        <v>798150000</v>
      </c>
      <c r="G110" s="173">
        <f>'Market Value of Non-Regulated'!F119*1000000</f>
        <v>611025000</v>
      </c>
      <c r="H110" s="173">
        <f>'Market Value of Non-Regulated'!G119*1000000</f>
        <v>638250000</v>
      </c>
      <c r="I110" s="173">
        <f>'Market Value of Non-Regulated'!H119*1000000</f>
        <v>735975000</v>
      </c>
      <c r="J110" s="173">
        <f>'Market Value of Non-Regulated'!I119*1000000</f>
        <v>708900000</v>
      </c>
      <c r="K110" s="173">
        <f>'Market Value of Non-Regulated'!J119*1000000</f>
        <v>769800000</v>
      </c>
      <c r="L110" s="173">
        <f>'Market Value of Non-Regulated'!K119*1000000</f>
        <v>966599999.99999988</v>
      </c>
      <c r="M110" s="173">
        <f>'Market Value of Non-Regulated'!L119*1000000</f>
        <v>1052925000.0000002</v>
      </c>
      <c r="N110" s="173">
        <f>'Market Value of Non-Regulated'!M119*1000000</f>
        <v>991575000</v>
      </c>
      <c r="O110" s="173">
        <f>'Market Value of Non-Regulated'!N119*1000000</f>
        <v>919575000</v>
      </c>
      <c r="P110" s="173">
        <f>'Market Value of Non-Regulated'!O119*1000000</f>
        <v>900150000.00000012</v>
      </c>
      <c r="Q110" s="173">
        <f>P110</f>
        <v>900150000.00000012</v>
      </c>
    </row>
    <row r="112" spans="2:17">
      <c r="B112" s="1" t="s">
        <v>96</v>
      </c>
      <c r="C112" t="s">
        <v>39</v>
      </c>
      <c r="F112" s="171">
        <f t="shared" ref="F112:Q112" si="27">F109+F103</f>
        <v>430449999.99999988</v>
      </c>
      <c r="G112" s="171">
        <f t="shared" si="27"/>
        <v>343775000</v>
      </c>
      <c r="H112" s="171">
        <f t="shared" si="27"/>
        <v>177200000</v>
      </c>
      <c r="I112" s="171">
        <f t="shared" si="27"/>
        <v>208425000</v>
      </c>
      <c r="J112" s="171">
        <f t="shared" si="27"/>
        <v>167950000</v>
      </c>
      <c r="K112" s="171">
        <f t="shared" si="27"/>
        <v>447450000</v>
      </c>
      <c r="L112" s="171">
        <f t="shared" si="27"/>
        <v>540150000</v>
      </c>
      <c r="M112" s="171">
        <f t="shared" si="27"/>
        <v>517025000</v>
      </c>
      <c r="N112" s="171">
        <f t="shared" si="27"/>
        <v>493975000</v>
      </c>
      <c r="O112" s="171">
        <f t="shared" si="27"/>
        <v>470975000</v>
      </c>
      <c r="P112" s="171">
        <f t="shared" si="27"/>
        <v>485100000</v>
      </c>
      <c r="Q112" s="171">
        <f t="shared" si="27"/>
        <v>485100000</v>
      </c>
    </row>
    <row r="113" spans="2:18">
      <c r="C113" t="s">
        <v>40</v>
      </c>
      <c r="F113" s="171">
        <f t="shared" ref="F113:Q113" si="28">F110+F104</f>
        <v>1291350000</v>
      </c>
      <c r="G113" s="171">
        <f t="shared" si="28"/>
        <v>1031325000</v>
      </c>
      <c r="H113" s="171">
        <f t="shared" si="28"/>
        <v>1057200000</v>
      </c>
      <c r="I113" s="171">
        <f t="shared" si="28"/>
        <v>1197675000</v>
      </c>
      <c r="J113" s="171">
        <f t="shared" si="28"/>
        <v>1181250000</v>
      </c>
      <c r="K113" s="171">
        <f t="shared" si="28"/>
        <v>1396050000</v>
      </c>
      <c r="L113" s="171">
        <f t="shared" si="28"/>
        <v>1704150000</v>
      </c>
      <c r="M113" s="171">
        <f t="shared" si="28"/>
        <v>1643775000.0000002</v>
      </c>
      <c r="N113" s="171">
        <f t="shared" si="28"/>
        <v>1481925000</v>
      </c>
      <c r="O113" s="171">
        <f t="shared" si="28"/>
        <v>1412925000</v>
      </c>
      <c r="P113" s="171">
        <f t="shared" si="28"/>
        <v>1455300000.0000002</v>
      </c>
      <c r="Q113" s="171">
        <f t="shared" si="28"/>
        <v>1455300000.0000002</v>
      </c>
    </row>
    <row r="115" spans="2:18">
      <c r="B115" s="1" t="s">
        <v>65</v>
      </c>
      <c r="C115" t="s">
        <v>39</v>
      </c>
      <c r="F115" s="171">
        <f t="shared" ref="F115:Q115" si="29">F94-F95+F101-F104-F110</f>
        <v>6292227427.2963848</v>
      </c>
      <c r="G115" s="171">
        <f t="shared" si="29"/>
        <v>7440105008.6883993</v>
      </c>
      <c r="H115" s="171">
        <f t="shared" si="29"/>
        <v>8172820705.4733982</v>
      </c>
      <c r="I115" s="171">
        <f t="shared" si="29"/>
        <v>8837614573.5742302</v>
      </c>
      <c r="J115" s="171">
        <f t="shared" si="29"/>
        <v>9804401914.025177</v>
      </c>
      <c r="K115" s="171">
        <f t="shared" si="29"/>
        <v>9990318746.0497513</v>
      </c>
      <c r="L115" s="171">
        <f t="shared" si="29"/>
        <v>10123523759.702354</v>
      </c>
      <c r="M115" s="171">
        <f t="shared" si="29"/>
        <v>10347743183.240559</v>
      </c>
      <c r="N115" s="171">
        <f t="shared" si="29"/>
        <v>11292680224.817554</v>
      </c>
      <c r="O115" s="171">
        <f t="shared" si="29"/>
        <v>11867480283.652201</v>
      </c>
      <c r="P115" s="171">
        <f t="shared" si="29"/>
        <v>13716035637.95363</v>
      </c>
      <c r="Q115" s="171">
        <f t="shared" si="29"/>
        <v>16663649965.16832</v>
      </c>
      <c r="R115" s="8"/>
    </row>
    <row r="116" spans="2:18">
      <c r="C116" t="s">
        <v>40</v>
      </c>
      <c r="F116" s="171">
        <f t="shared" ref="F116:Q116" si="30">F94-F95+F101-F103-F109</f>
        <v>7153127427.2963848</v>
      </c>
      <c r="G116" s="171">
        <f t="shared" si="30"/>
        <v>8127655008.6883993</v>
      </c>
      <c r="H116" s="171">
        <f t="shared" si="30"/>
        <v>9052820705.4733982</v>
      </c>
      <c r="I116" s="171">
        <f t="shared" si="30"/>
        <v>9826864573.5742302</v>
      </c>
      <c r="J116" s="171">
        <f t="shared" si="30"/>
        <v>10817701914.025177</v>
      </c>
      <c r="K116" s="171">
        <f t="shared" si="30"/>
        <v>10938918746.049751</v>
      </c>
      <c r="L116" s="171">
        <f t="shared" si="30"/>
        <v>11287523759.702354</v>
      </c>
      <c r="M116" s="171">
        <f t="shared" si="30"/>
        <v>11474493183.240559</v>
      </c>
      <c r="N116" s="171">
        <f t="shared" si="30"/>
        <v>12280630224.817554</v>
      </c>
      <c r="O116" s="171">
        <f t="shared" si="30"/>
        <v>12809430283.652201</v>
      </c>
      <c r="P116" s="171">
        <f t="shared" si="30"/>
        <v>14686235637.95363</v>
      </c>
      <c r="Q116" s="171">
        <f t="shared" si="30"/>
        <v>17633849965.16832</v>
      </c>
      <c r="R116" s="8"/>
    </row>
    <row r="118" spans="2:18">
      <c r="B118" s="1" t="s">
        <v>2096</v>
      </c>
      <c r="C118" t="s">
        <v>39</v>
      </c>
      <c r="Q118" s="171">
        <f>Q94-Q95+Q101-Q107-Q110</f>
        <v>13918799965.16832</v>
      </c>
    </row>
    <row r="119" spans="2:18">
      <c r="C119" t="s">
        <v>40</v>
      </c>
      <c r="Q119" s="171">
        <f>Q94-Q95+Q101-Q106-Q109</f>
        <v>14818899965.16832</v>
      </c>
    </row>
    <row r="123" spans="2:18">
      <c r="D123" s="131"/>
      <c r="F123" s="8"/>
      <c r="G123" s="8"/>
      <c r="H123" s="8"/>
      <c r="I123" s="8"/>
      <c r="J123" s="8"/>
      <c r="K123" s="8"/>
      <c r="L123" s="8"/>
      <c r="M123" s="8"/>
      <c r="N123" s="8"/>
      <c r="O123" s="8"/>
      <c r="P123" s="8"/>
    </row>
    <row r="124" spans="2:18">
      <c r="D124" s="131"/>
      <c r="F124" s="64"/>
      <c r="G124" s="64"/>
      <c r="H124" s="64"/>
      <c r="I124" s="64"/>
      <c r="J124" s="64"/>
      <c r="K124" s="64"/>
      <c r="L124" s="64"/>
      <c r="M124" s="64"/>
      <c r="N124" s="64"/>
      <c r="O124" s="64"/>
      <c r="P124" s="64"/>
    </row>
    <row r="125" spans="2:18">
      <c r="D125" s="131"/>
      <c r="F125" s="64"/>
      <c r="G125" s="64"/>
      <c r="H125" s="64"/>
      <c r="I125" s="64"/>
      <c r="J125" s="64"/>
      <c r="K125" s="64"/>
      <c r="L125" s="64"/>
      <c r="M125" s="64"/>
      <c r="N125" s="64"/>
      <c r="O125" s="64"/>
      <c r="P125" s="64"/>
    </row>
    <row r="126" spans="2:18">
      <c r="D126" s="131"/>
    </row>
    <row r="127" spans="2:18">
      <c r="D127" s="131"/>
    </row>
    <row r="134" spans="6:16">
      <c r="F134" s="132"/>
      <c r="G134" s="132"/>
      <c r="H134" s="132"/>
      <c r="I134" s="132"/>
      <c r="J134" s="133"/>
      <c r="K134" s="133"/>
      <c r="L134" s="133"/>
      <c r="M134" s="133"/>
      <c r="N134" s="133"/>
      <c r="O134" s="133"/>
      <c r="P134" s="134"/>
    </row>
  </sheetData>
  <phoneticPr fontId="17" type="noConversion"/>
  <pageMargins left="0.7" right="0.7" top="0.75" bottom="0.75" header="0.3" footer="0.3"/>
  <pageSetup orientation="portrait" horizontalDpi="200" verticalDpi="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DF8CB-4216-4DF2-80F7-1591F935EEB6}">
  <sheetPr codeName="Sheet7">
    <tabColor theme="5"/>
  </sheetPr>
  <dimension ref="A1:X119"/>
  <sheetViews>
    <sheetView showGridLines="0" zoomScale="85" zoomScaleNormal="85" workbookViewId="0"/>
  </sheetViews>
  <sheetFormatPr defaultRowHeight="14.25"/>
  <cols>
    <col min="3" max="3" width="34.33203125" bestFit="1" customWidth="1"/>
    <col min="4" max="4" width="27.58203125" bestFit="1" customWidth="1"/>
    <col min="5" max="5" width="18.58203125" customWidth="1"/>
    <col min="6" max="6" width="13.58203125" bestFit="1" customWidth="1"/>
    <col min="7" max="7" width="12.5" bestFit="1" customWidth="1"/>
    <col min="8" max="10" width="12.08203125" bestFit="1" customWidth="1"/>
    <col min="11" max="11" width="13.75" bestFit="1" customWidth="1"/>
    <col min="12" max="13" width="12.5" bestFit="1" customWidth="1"/>
    <col min="14" max="15" width="12.08203125" bestFit="1" customWidth="1"/>
  </cols>
  <sheetData>
    <row r="1" spans="1:24" ht="20" thickBot="1">
      <c r="A1" s="32" t="s">
        <v>97</v>
      </c>
      <c r="B1" s="32"/>
      <c r="C1" s="32"/>
      <c r="D1" s="32"/>
      <c r="E1" s="32"/>
      <c r="F1" s="32"/>
      <c r="G1" s="32"/>
      <c r="H1" s="32"/>
      <c r="I1" s="32"/>
      <c r="J1" s="32"/>
      <c r="K1" s="32"/>
      <c r="L1" s="32"/>
      <c r="M1" s="32"/>
      <c r="N1" s="32"/>
      <c r="O1" s="32"/>
      <c r="P1" s="32"/>
      <c r="Q1" s="32"/>
      <c r="R1" s="32"/>
      <c r="S1" s="32"/>
      <c r="T1" s="32"/>
      <c r="U1" s="32"/>
      <c r="V1" s="32"/>
      <c r="W1" s="32"/>
      <c r="X1" s="32"/>
    </row>
    <row r="2" spans="1:24" ht="15" thickTop="1"/>
    <row r="4" spans="1:24" s="136" customFormat="1" ht="17.5" thickBot="1">
      <c r="B4" s="136" t="s">
        <v>98</v>
      </c>
    </row>
    <row r="5" spans="1:24" ht="15" thickTop="1"/>
    <row r="6" spans="1:24">
      <c r="C6" s="1" t="s">
        <v>99</v>
      </c>
      <c r="D6" s="1" t="s">
        <v>100</v>
      </c>
      <c r="E6" s="1" t="s">
        <v>101</v>
      </c>
    </row>
    <row r="7" spans="1:24">
      <c r="C7" t="s">
        <v>102</v>
      </c>
      <c r="D7" t="s">
        <v>103</v>
      </c>
      <c r="E7" t="s">
        <v>104</v>
      </c>
    </row>
    <row r="8" spans="1:24">
      <c r="C8" t="s">
        <v>105</v>
      </c>
      <c r="D8" t="s">
        <v>106</v>
      </c>
      <c r="E8" t="s">
        <v>107</v>
      </c>
    </row>
    <row r="9" spans="1:24">
      <c r="C9" t="s">
        <v>108</v>
      </c>
      <c r="D9" t="s">
        <v>109</v>
      </c>
      <c r="E9" t="s">
        <v>110</v>
      </c>
    </row>
    <row r="10" spans="1:24">
      <c r="C10" t="s">
        <v>111</v>
      </c>
      <c r="D10" t="s">
        <v>112</v>
      </c>
      <c r="E10" t="s">
        <v>113</v>
      </c>
    </row>
    <row r="11" spans="1:24">
      <c r="C11" t="s">
        <v>114</v>
      </c>
      <c r="D11" t="s">
        <v>115</v>
      </c>
      <c r="E11" t="s">
        <v>116</v>
      </c>
    </row>
    <row r="12" spans="1:24">
      <c r="C12" t="s">
        <v>117</v>
      </c>
      <c r="D12" t="s">
        <v>118</v>
      </c>
      <c r="E12" t="s">
        <v>119</v>
      </c>
    </row>
    <row r="13" spans="1:24">
      <c r="C13" t="s">
        <v>120</v>
      </c>
      <c r="D13" t="s">
        <v>121</v>
      </c>
      <c r="E13" t="s">
        <v>122</v>
      </c>
    </row>
    <row r="14" spans="1:24">
      <c r="C14" t="s">
        <v>123</v>
      </c>
      <c r="D14" t="s">
        <v>124</v>
      </c>
      <c r="E14" t="s">
        <v>125</v>
      </c>
    </row>
    <row r="16" spans="1:24">
      <c r="C16" s="5" t="s">
        <v>126</v>
      </c>
    </row>
    <row r="17" spans="4:14">
      <c r="E17" s="1" t="s">
        <v>127</v>
      </c>
      <c r="K17" s="1" t="s">
        <v>128</v>
      </c>
    </row>
    <row r="18" spans="4:14">
      <c r="D18" s="189"/>
      <c r="E18" s="33" t="s">
        <v>129</v>
      </c>
      <c r="F18" s="33" t="s">
        <v>130</v>
      </c>
      <c r="G18" s="33" t="s">
        <v>131</v>
      </c>
      <c r="H18" s="33" t="s">
        <v>132</v>
      </c>
      <c r="I18" s="33" t="s">
        <v>133</v>
      </c>
      <c r="J18" s="33" t="s">
        <v>134</v>
      </c>
      <c r="K18" s="33" t="s">
        <v>129</v>
      </c>
      <c r="L18" s="33" t="s">
        <v>130</v>
      </c>
      <c r="M18" s="33" t="s">
        <v>131</v>
      </c>
      <c r="N18" s="33" t="s">
        <v>135</v>
      </c>
    </row>
    <row r="19" spans="4:14">
      <c r="D19" s="34" t="s">
        <v>103</v>
      </c>
      <c r="E19" s="30">
        <f>2750/'Valuation multiples'!C64</f>
        <v>22.208941723736917</v>
      </c>
      <c r="F19" s="30">
        <f>2750/'Valuation multiples'!C72</f>
        <v>33.146907092232773</v>
      </c>
      <c r="G19" s="30">
        <f>2750/'Valuation multiples'!C80</f>
        <v>21.429295015156356</v>
      </c>
      <c r="H19" s="30">
        <f>2750/('Valuation multiples'!C112*1000)</f>
        <v>1.431993334721933E-3</v>
      </c>
      <c r="I19" s="30">
        <f>2917/836</f>
        <v>3.4892344497607657</v>
      </c>
      <c r="J19" s="30">
        <f>2750/4336</f>
        <v>0.6342250922509225</v>
      </c>
      <c r="K19" s="30" t="s">
        <v>136</v>
      </c>
      <c r="L19" s="30" t="s">
        <v>136</v>
      </c>
      <c r="M19" s="30" t="s">
        <v>136</v>
      </c>
      <c r="N19" t="s">
        <v>2129</v>
      </c>
    </row>
    <row r="20" spans="4:14">
      <c r="D20" s="34" t="s">
        <v>106</v>
      </c>
      <c r="E20" s="30">
        <f>(897*(1/0.976))/'Valuation multiples'!C57</f>
        <v>5.9766760118692384</v>
      </c>
      <c r="F20" s="30">
        <f>(897*(1/0.976))/'Valuation multiples'!C65</f>
        <v>10.612304158622452</v>
      </c>
      <c r="G20" s="30">
        <f>(897*(1/0.976))/'Valuation multiples'!C73</f>
        <v>3.1347246357233303</v>
      </c>
      <c r="H20" s="30" t="s">
        <v>136</v>
      </c>
      <c r="I20" s="30">
        <f>(1333)/'Valuation multiples'!B125</f>
        <v>1.9901463123320395</v>
      </c>
      <c r="J20" s="30">
        <f>(897*(1/0.976))/('Valuation multiples'!B135+'Valuation multiples'!B125)</f>
        <v>0.47211043152472398</v>
      </c>
      <c r="K20" s="30" t="s">
        <v>136</v>
      </c>
      <c r="L20" s="30" t="s">
        <v>136</v>
      </c>
      <c r="M20" s="30" t="s">
        <v>136</v>
      </c>
      <c r="N20" t="s">
        <v>2130</v>
      </c>
    </row>
    <row r="21" spans="4:14">
      <c r="D21" s="34" t="s">
        <v>109</v>
      </c>
      <c r="E21" s="30" t="s">
        <v>136</v>
      </c>
      <c r="F21" s="30" t="s">
        <v>136</v>
      </c>
      <c r="G21" s="30" t="s">
        <v>136</v>
      </c>
      <c r="H21" s="30" t="s">
        <v>136</v>
      </c>
      <c r="I21" s="30">
        <f>'Valuation multiples'!C82/'Valuation multiples'!B154</f>
        <v>0.47663630127843271</v>
      </c>
      <c r="J21" s="30">
        <f>I21</f>
        <v>0.47663630127843271</v>
      </c>
      <c r="K21" s="30" t="s">
        <v>136</v>
      </c>
      <c r="L21" s="30" t="s">
        <v>136</v>
      </c>
      <c r="M21" s="30" t="s">
        <v>136</v>
      </c>
    </row>
    <row r="22" spans="4:14">
      <c r="D22" s="34" t="s">
        <v>112</v>
      </c>
      <c r="E22" s="30" t="s">
        <v>136</v>
      </c>
      <c r="F22" s="30" t="s">
        <v>136</v>
      </c>
      <c r="G22" s="30" t="s">
        <v>136</v>
      </c>
      <c r="H22" s="30" t="s">
        <v>136</v>
      </c>
      <c r="I22" s="30" t="s">
        <v>136</v>
      </c>
      <c r="J22" s="30" t="s">
        <v>136</v>
      </c>
      <c r="K22" s="30" t="s">
        <v>136</v>
      </c>
      <c r="L22" s="30" t="s">
        <v>136</v>
      </c>
      <c r="M22" s="30" t="s">
        <v>136</v>
      </c>
    </row>
    <row r="23" spans="4:14">
      <c r="D23" s="34" t="s">
        <v>115</v>
      </c>
      <c r="E23" s="30" t="s">
        <v>136</v>
      </c>
      <c r="F23" s="30" t="s">
        <v>136</v>
      </c>
      <c r="G23" s="30">
        <f>55.46/'Valuation multiples'!C76</f>
        <v>13.715267001329732</v>
      </c>
      <c r="H23" s="30" t="s">
        <v>136</v>
      </c>
      <c r="I23" s="30">
        <f>67/'Valuation multiples'!B163</f>
        <v>9.6848800231280729E-2</v>
      </c>
      <c r="J23" s="30" t="s">
        <v>136</v>
      </c>
      <c r="K23" s="30" t="s">
        <v>136</v>
      </c>
      <c r="L23" s="30" t="s">
        <v>136</v>
      </c>
      <c r="M23" s="30" t="s">
        <v>136</v>
      </c>
      <c r="N23" t="s">
        <v>2131</v>
      </c>
    </row>
    <row r="24" spans="4:14">
      <c r="D24" s="34" t="s">
        <v>118</v>
      </c>
      <c r="E24" s="30">
        <f>'Valuation multiples'!B4</f>
        <v>32.165999999999997</v>
      </c>
      <c r="F24" s="30">
        <f>'Valuation multiples'!B6</f>
        <v>117.4284</v>
      </c>
      <c r="G24" s="30">
        <f>'Valuation multiples'!B7</f>
        <v>17.749600000000001</v>
      </c>
      <c r="H24" s="30" t="s">
        <v>136</v>
      </c>
      <c r="I24" s="30">
        <f>'Valuation multiples'!C85/'Valuation multiples'!B168</f>
        <v>4.2463167568000006</v>
      </c>
      <c r="J24" s="30">
        <f>'Valuation multiples'!C85/('Valuation multiples'!B168+'Valuation multiples'!B172+'Valuation multiples'!B176)</f>
        <v>0.48808238583908053</v>
      </c>
      <c r="K24" s="30">
        <f>'Valuation multiples'!C4</f>
        <v>18.4818</v>
      </c>
      <c r="L24" s="30">
        <f>'Valuation multiples'!C6</f>
        <v>72.8536</v>
      </c>
      <c r="M24" s="30">
        <f>'Valuation multiples'!C7</f>
        <v>11.1599</v>
      </c>
    </row>
    <row r="25" spans="4:14">
      <c r="D25" s="34" t="s">
        <v>121</v>
      </c>
      <c r="E25" s="30">
        <f>'Valuation multiples'!B14</f>
        <v>3.3321999999999998</v>
      </c>
      <c r="F25" s="30">
        <f>'Valuation multiples'!B15</f>
        <v>4.2624000000000004</v>
      </c>
      <c r="G25" s="30">
        <f>'Valuation multiples'!B16</f>
        <v>0.21099999999999999</v>
      </c>
      <c r="H25" s="30" t="s">
        <v>137</v>
      </c>
      <c r="I25" s="30" t="s">
        <v>137</v>
      </c>
      <c r="J25" s="30" t="s">
        <v>137</v>
      </c>
      <c r="K25" s="30">
        <f>'Valuation multiples'!C14</f>
        <v>3.0987</v>
      </c>
      <c r="L25" s="30">
        <f>'Valuation multiples'!C15</f>
        <v>3.9339</v>
      </c>
      <c r="M25" s="30">
        <f>'Valuation multiples'!C16</f>
        <v>0.1832</v>
      </c>
    </row>
    <row r="26" spans="4:14">
      <c r="D26" s="34" t="s">
        <v>124</v>
      </c>
      <c r="E26" s="30">
        <f>'Valuation multiples'!B50</f>
        <v>4.6197999999999997</v>
      </c>
      <c r="F26" s="30">
        <f>'Valuation multiples'!B51</f>
        <v>6.3773999999999997</v>
      </c>
      <c r="G26" s="30">
        <f>'Valuation multiples'!B52</f>
        <v>0.41620000000000001</v>
      </c>
      <c r="H26" s="30" t="s">
        <v>137</v>
      </c>
      <c r="I26" s="30" t="s">
        <v>137</v>
      </c>
      <c r="J26" s="30" t="s">
        <v>137</v>
      </c>
      <c r="K26" s="30">
        <f>'Valuation multiples'!C50</f>
        <v>4.1718000000000002</v>
      </c>
      <c r="L26" s="30">
        <f>'Valuation multiples'!C51</f>
        <v>5.5803000000000003</v>
      </c>
      <c r="M26" s="30">
        <f>'Valuation multiples'!C52</f>
        <v>0.3735</v>
      </c>
    </row>
    <row r="27" spans="4:14">
      <c r="I27" s="30"/>
    </row>
    <row r="28" spans="4:14">
      <c r="J28" t="s">
        <v>138</v>
      </c>
    </row>
    <row r="29" spans="4:14">
      <c r="J29" t="s">
        <v>2132</v>
      </c>
    </row>
    <row r="31" spans="4:14">
      <c r="D31" t="s">
        <v>2128</v>
      </c>
    </row>
    <row r="34" spans="2:6" s="136" customFormat="1" ht="17.5" thickBot="1">
      <c r="B34" s="136" t="s">
        <v>139</v>
      </c>
    </row>
    <row r="35" spans="2:6" ht="15" thickTop="1"/>
    <row r="36" spans="2:6">
      <c r="C36" s="5" t="s">
        <v>140</v>
      </c>
    </row>
    <row r="37" spans="2:6">
      <c r="C37" s="190"/>
      <c r="D37" s="153" t="s">
        <v>29</v>
      </c>
      <c r="E37" s="153" t="s">
        <v>31</v>
      </c>
    </row>
    <row r="38" spans="2:6">
      <c r="C38" s="152" t="s">
        <v>131</v>
      </c>
      <c r="D38" s="160">
        <v>1</v>
      </c>
      <c r="E38" s="160">
        <v>3</v>
      </c>
    </row>
    <row r="39" spans="2:6">
      <c r="C39" s="152" t="s">
        <v>129</v>
      </c>
      <c r="D39" s="160">
        <v>3</v>
      </c>
      <c r="E39" s="160">
        <v>5</v>
      </c>
    </row>
    <row r="40" spans="2:6">
      <c r="C40" s="152" t="s">
        <v>141</v>
      </c>
      <c r="D40" s="160">
        <v>1</v>
      </c>
      <c r="E40" s="160">
        <v>4</v>
      </c>
    </row>
    <row r="41" spans="2:6">
      <c r="C41" s="5"/>
    </row>
    <row r="42" spans="2:6" ht="15" thickBot="1">
      <c r="C42" s="137" t="s">
        <v>48</v>
      </c>
    </row>
    <row r="43" spans="2:6">
      <c r="C43" s="5"/>
    </row>
    <row r="44" spans="2:6">
      <c r="C44" s="5" t="s">
        <v>87</v>
      </c>
    </row>
    <row r="45" spans="2:6">
      <c r="C45" s="5"/>
    </row>
    <row r="46" spans="2:6">
      <c r="C46" s="189"/>
      <c r="D46" s="153" t="s">
        <v>142</v>
      </c>
      <c r="E46" s="153" t="s">
        <v>143</v>
      </c>
      <c r="F46" s="153" t="s">
        <v>135</v>
      </c>
    </row>
    <row r="47" spans="2:6">
      <c r="C47" s="152" t="s">
        <v>144</v>
      </c>
      <c r="D47" t="s">
        <v>145</v>
      </c>
      <c r="E47">
        <v>120</v>
      </c>
      <c r="F47" t="s">
        <v>146</v>
      </c>
    </row>
    <row r="48" spans="2:6">
      <c r="C48" s="152" t="s">
        <v>147</v>
      </c>
      <c r="D48" t="s">
        <v>148</v>
      </c>
      <c r="E48">
        <v>0</v>
      </c>
      <c r="F48" t="s">
        <v>149</v>
      </c>
    </row>
    <row r="49" spans="3:15">
      <c r="C49" s="152" t="s">
        <v>150</v>
      </c>
      <c r="D49" t="s">
        <v>148</v>
      </c>
      <c r="E49">
        <v>160</v>
      </c>
      <c r="F49" t="s">
        <v>151</v>
      </c>
    </row>
    <row r="50" spans="3:15">
      <c r="C50" s="152" t="s">
        <v>152</v>
      </c>
      <c r="D50" t="s">
        <v>153</v>
      </c>
      <c r="E50">
        <v>960</v>
      </c>
    </row>
    <row r="51" spans="3:15">
      <c r="C51" s="1"/>
    </row>
    <row r="52" spans="3:15">
      <c r="D52" t="s">
        <v>141</v>
      </c>
      <c r="E52" t="s">
        <v>154</v>
      </c>
    </row>
    <row r="53" spans="3:15">
      <c r="C53" t="s">
        <v>155</v>
      </c>
      <c r="D53" s="116">
        <f>D40</f>
        <v>1</v>
      </c>
      <c r="E53" s="171">
        <f>E47*D53</f>
        <v>120</v>
      </c>
    </row>
    <row r="54" spans="3:15">
      <c r="C54" t="s">
        <v>156</v>
      </c>
      <c r="D54" s="116">
        <f>E40</f>
        <v>4</v>
      </c>
      <c r="E54" s="171">
        <f>D54*E47</f>
        <v>480</v>
      </c>
    </row>
    <row r="57" spans="3:15">
      <c r="D57" s="126">
        <v>11658</v>
      </c>
      <c r="E57" s="1">
        <v>2011</v>
      </c>
      <c r="F57" s="1">
        <v>2012</v>
      </c>
      <c r="G57" s="1">
        <v>2013</v>
      </c>
      <c r="H57" s="1">
        <v>2014</v>
      </c>
      <c r="I57" s="1">
        <v>2015</v>
      </c>
      <c r="J57" s="1">
        <v>2016</v>
      </c>
      <c r="K57" s="1">
        <v>2017</v>
      </c>
      <c r="L57" s="1">
        <v>2018</v>
      </c>
      <c r="M57" s="1">
        <v>2019</v>
      </c>
      <c r="N57" s="1">
        <v>2020</v>
      </c>
      <c r="O57" s="1">
        <v>2021</v>
      </c>
    </row>
    <row r="58" spans="3:15">
      <c r="C58" s="5" t="s">
        <v>41</v>
      </c>
    </row>
    <row r="59" spans="3:15">
      <c r="C59" t="s">
        <v>157</v>
      </c>
      <c r="E59" s="173">
        <f>'Annual Report'!F29/1000</f>
        <v>217.5</v>
      </c>
      <c r="F59" s="173">
        <f>'Annual Report'!G29/1000</f>
        <v>200.5</v>
      </c>
      <c r="G59" s="173">
        <f>'Annual Report'!H29/1000</f>
        <v>249.09800000000001</v>
      </c>
      <c r="H59" s="173">
        <f>'Annual Report'!I29/1000</f>
        <v>215.91900000000001</v>
      </c>
      <c r="I59" s="173">
        <f>'Annual Report'!J29/1000</f>
        <v>254.07900000000001</v>
      </c>
      <c r="J59" s="173">
        <f>'Annual Report'!K29/1000</f>
        <v>288.68599999999998</v>
      </c>
      <c r="K59" s="173">
        <f>'Annual Report'!L29/1000</f>
        <v>206.9</v>
      </c>
      <c r="L59" s="173">
        <f>'Annual Report'!M29/1000</f>
        <v>271.81</v>
      </c>
      <c r="M59" s="173">
        <f>'Annual Report'!N29/1000</f>
        <v>347.589</v>
      </c>
      <c r="N59" s="173">
        <f>'Annual Report'!O29/1000</f>
        <v>336.09899999999999</v>
      </c>
      <c r="O59" s="173">
        <f>'Annual Report'!P29*2/1000</f>
        <v>391.12799999999999</v>
      </c>
    </row>
    <row r="60" spans="3:15">
      <c r="C60" t="s">
        <v>158</v>
      </c>
      <c r="E60" s="174">
        <f t="shared" ref="E60:O60" si="0">$D$38</f>
        <v>1</v>
      </c>
      <c r="F60" s="174">
        <f t="shared" si="0"/>
        <v>1</v>
      </c>
      <c r="G60" s="174">
        <f t="shared" si="0"/>
        <v>1</v>
      </c>
      <c r="H60" s="174">
        <f t="shared" si="0"/>
        <v>1</v>
      </c>
      <c r="I60" s="174">
        <f t="shared" si="0"/>
        <v>1</v>
      </c>
      <c r="J60" s="174">
        <f t="shared" si="0"/>
        <v>1</v>
      </c>
      <c r="K60" s="174">
        <f t="shared" si="0"/>
        <v>1</v>
      </c>
      <c r="L60" s="174">
        <f t="shared" si="0"/>
        <v>1</v>
      </c>
      <c r="M60" s="174">
        <f t="shared" si="0"/>
        <v>1</v>
      </c>
      <c r="N60" s="174">
        <f t="shared" si="0"/>
        <v>1</v>
      </c>
      <c r="O60" s="174">
        <f t="shared" si="0"/>
        <v>1</v>
      </c>
    </row>
    <row r="61" spans="3:15">
      <c r="C61" t="s">
        <v>159</v>
      </c>
      <c r="E61" s="174">
        <f t="shared" ref="E61:O61" si="1">$E$38</f>
        <v>3</v>
      </c>
      <c r="F61" s="174">
        <f t="shared" si="1"/>
        <v>3</v>
      </c>
      <c r="G61" s="174">
        <f t="shared" si="1"/>
        <v>3</v>
      </c>
      <c r="H61" s="174">
        <f t="shared" si="1"/>
        <v>3</v>
      </c>
      <c r="I61" s="174">
        <f t="shared" si="1"/>
        <v>3</v>
      </c>
      <c r="J61" s="174">
        <f t="shared" si="1"/>
        <v>3</v>
      </c>
      <c r="K61" s="174">
        <f t="shared" si="1"/>
        <v>3</v>
      </c>
      <c r="L61" s="174">
        <f t="shared" si="1"/>
        <v>3</v>
      </c>
      <c r="M61" s="174">
        <f t="shared" si="1"/>
        <v>3</v>
      </c>
      <c r="N61" s="174">
        <f t="shared" si="1"/>
        <v>3</v>
      </c>
      <c r="O61" s="174">
        <f t="shared" si="1"/>
        <v>3</v>
      </c>
    </row>
    <row r="62" spans="3:15">
      <c r="C62" t="s">
        <v>155</v>
      </c>
      <c r="E62" s="171">
        <f>(E59*E60)</f>
        <v>217.5</v>
      </c>
      <c r="F62" s="171">
        <f t="shared" ref="F62:O62" si="2">(F59*F60)</f>
        <v>200.5</v>
      </c>
      <c r="G62" s="171">
        <f t="shared" si="2"/>
        <v>249.09800000000001</v>
      </c>
      <c r="H62" s="171">
        <f t="shared" si="2"/>
        <v>215.91900000000001</v>
      </c>
      <c r="I62" s="171">
        <f t="shared" si="2"/>
        <v>254.07900000000001</v>
      </c>
      <c r="J62" s="171">
        <f t="shared" si="2"/>
        <v>288.68599999999998</v>
      </c>
      <c r="K62" s="171">
        <f t="shared" si="2"/>
        <v>206.9</v>
      </c>
      <c r="L62" s="171">
        <f t="shared" si="2"/>
        <v>271.81</v>
      </c>
      <c r="M62" s="171">
        <f t="shared" si="2"/>
        <v>347.589</v>
      </c>
      <c r="N62" s="171">
        <f t="shared" si="2"/>
        <v>336.09899999999999</v>
      </c>
      <c r="O62" s="171">
        <f t="shared" si="2"/>
        <v>391.12799999999999</v>
      </c>
    </row>
    <row r="63" spans="3:15">
      <c r="C63" t="s">
        <v>156</v>
      </c>
      <c r="E63" s="171">
        <f>(E59*E61)</f>
        <v>652.5</v>
      </c>
      <c r="F63" s="171">
        <f t="shared" ref="F63:O63" si="3">(F59*F61)</f>
        <v>601.5</v>
      </c>
      <c r="G63" s="171">
        <f t="shared" si="3"/>
        <v>747.2940000000001</v>
      </c>
      <c r="H63" s="171">
        <f t="shared" si="3"/>
        <v>647.75700000000006</v>
      </c>
      <c r="I63" s="171">
        <f t="shared" si="3"/>
        <v>762.23700000000008</v>
      </c>
      <c r="J63" s="171">
        <f t="shared" si="3"/>
        <v>866.05799999999999</v>
      </c>
      <c r="K63" s="171">
        <f t="shared" si="3"/>
        <v>620.70000000000005</v>
      </c>
      <c r="L63" s="171">
        <f t="shared" si="3"/>
        <v>815.43000000000006</v>
      </c>
      <c r="M63" s="171">
        <f t="shared" si="3"/>
        <v>1042.7670000000001</v>
      </c>
      <c r="N63" s="171">
        <f t="shared" si="3"/>
        <v>1008.297</v>
      </c>
      <c r="O63" s="171">
        <f t="shared" si="3"/>
        <v>1173.384</v>
      </c>
    </row>
    <row r="64" spans="3:15">
      <c r="E64" s="154"/>
      <c r="F64" s="154"/>
      <c r="G64" s="154"/>
      <c r="H64" s="154"/>
      <c r="I64" s="154"/>
      <c r="J64" s="154"/>
      <c r="K64" s="154"/>
      <c r="L64" s="154"/>
      <c r="M64" s="154"/>
      <c r="N64" s="154"/>
      <c r="O64" s="154"/>
    </row>
    <row r="65" spans="3:15">
      <c r="C65" s="5" t="s">
        <v>160</v>
      </c>
      <c r="E65" s="154"/>
      <c r="F65" s="154"/>
      <c r="G65" s="154"/>
      <c r="H65" s="154"/>
      <c r="I65" s="154"/>
      <c r="J65" s="154"/>
      <c r="K65" s="154"/>
      <c r="L65" s="154"/>
      <c r="M65" s="154"/>
      <c r="N65" s="154"/>
      <c r="O65" s="154"/>
    </row>
    <row r="66" spans="3:15">
      <c r="C66" t="s">
        <v>157</v>
      </c>
      <c r="E66" s="173">
        <f>'Annual Report'!F30/1000</f>
        <v>319.89999999999998</v>
      </c>
      <c r="F66" s="173">
        <f>'Annual Report'!G30/1000</f>
        <v>283</v>
      </c>
      <c r="G66" s="173">
        <f>'Annual Report'!H30/1000</f>
        <v>278.3</v>
      </c>
      <c r="H66" s="173">
        <f>'Annual Report'!I30/1000</f>
        <v>267.33800000000002</v>
      </c>
      <c r="I66" s="173">
        <f>'Annual Report'!J30/1000</f>
        <v>309.214</v>
      </c>
      <c r="J66" s="173">
        <f>'Annual Report'!K30/1000</f>
        <v>326.709</v>
      </c>
      <c r="K66" s="173">
        <f>'Annual Report'!L30/1000</f>
        <v>258.69299999999998</v>
      </c>
      <c r="L66" s="173">
        <f>'Annual Report'!M30/1000</f>
        <v>276.61700000000002</v>
      </c>
      <c r="M66" s="173">
        <f>'Annual Report'!N30/1000</f>
        <v>379.40699999999998</v>
      </c>
      <c r="N66" s="173">
        <f>'Annual Report'!O30/1000</f>
        <v>389.16300000000001</v>
      </c>
      <c r="O66" s="173">
        <f>'Annual Report'!P30*2/1000</f>
        <v>310.76799999999997</v>
      </c>
    </row>
    <row r="67" spans="3:15">
      <c r="C67" t="s">
        <v>158</v>
      </c>
      <c r="E67" s="174">
        <f t="shared" ref="E67:O67" si="4">$D$38</f>
        <v>1</v>
      </c>
      <c r="F67" s="174">
        <f t="shared" si="4"/>
        <v>1</v>
      </c>
      <c r="G67" s="174">
        <f t="shared" si="4"/>
        <v>1</v>
      </c>
      <c r="H67" s="174">
        <f t="shared" si="4"/>
        <v>1</v>
      </c>
      <c r="I67" s="174">
        <f t="shared" si="4"/>
        <v>1</v>
      </c>
      <c r="J67" s="174">
        <f t="shared" si="4"/>
        <v>1</v>
      </c>
      <c r="K67" s="174">
        <f t="shared" si="4"/>
        <v>1</v>
      </c>
      <c r="L67" s="174">
        <f t="shared" si="4"/>
        <v>1</v>
      </c>
      <c r="M67" s="174">
        <f t="shared" si="4"/>
        <v>1</v>
      </c>
      <c r="N67" s="174">
        <f t="shared" si="4"/>
        <v>1</v>
      </c>
      <c r="O67" s="174">
        <f t="shared" si="4"/>
        <v>1</v>
      </c>
    </row>
    <row r="68" spans="3:15">
      <c r="C68" t="s">
        <v>159</v>
      </c>
      <c r="E68" s="174">
        <f t="shared" ref="E68:O68" si="5">$E$38</f>
        <v>3</v>
      </c>
      <c r="F68" s="174">
        <f t="shared" si="5"/>
        <v>3</v>
      </c>
      <c r="G68" s="174">
        <f t="shared" si="5"/>
        <v>3</v>
      </c>
      <c r="H68" s="174">
        <f t="shared" si="5"/>
        <v>3</v>
      </c>
      <c r="I68" s="174">
        <f t="shared" si="5"/>
        <v>3</v>
      </c>
      <c r="J68" s="174">
        <f t="shared" si="5"/>
        <v>3</v>
      </c>
      <c r="K68" s="174">
        <f t="shared" si="5"/>
        <v>3</v>
      </c>
      <c r="L68" s="174">
        <f t="shared" si="5"/>
        <v>3</v>
      </c>
      <c r="M68" s="174">
        <f t="shared" si="5"/>
        <v>3</v>
      </c>
      <c r="N68" s="174">
        <f t="shared" si="5"/>
        <v>3</v>
      </c>
      <c r="O68" s="174">
        <f t="shared" si="5"/>
        <v>3</v>
      </c>
    </row>
    <row r="69" spans="3:15">
      <c r="C69" t="s">
        <v>155</v>
      </c>
      <c r="E69" s="171">
        <f>(E66*E67)</f>
        <v>319.89999999999998</v>
      </c>
      <c r="F69" s="171">
        <f t="shared" ref="F69:O69" si="6">(F66*F67)</f>
        <v>283</v>
      </c>
      <c r="G69" s="171">
        <f t="shared" si="6"/>
        <v>278.3</v>
      </c>
      <c r="H69" s="171">
        <f t="shared" si="6"/>
        <v>267.33800000000002</v>
      </c>
      <c r="I69" s="171">
        <f t="shared" si="6"/>
        <v>309.214</v>
      </c>
      <c r="J69" s="171">
        <f t="shared" si="6"/>
        <v>326.709</v>
      </c>
      <c r="K69" s="171">
        <f t="shared" si="6"/>
        <v>258.69299999999998</v>
      </c>
      <c r="L69" s="171">
        <f t="shared" si="6"/>
        <v>276.61700000000002</v>
      </c>
      <c r="M69" s="171">
        <f t="shared" si="6"/>
        <v>379.40699999999998</v>
      </c>
      <c r="N69" s="171">
        <f t="shared" si="6"/>
        <v>389.16300000000001</v>
      </c>
      <c r="O69" s="171">
        <f t="shared" si="6"/>
        <v>310.76799999999997</v>
      </c>
    </row>
    <row r="70" spans="3:15">
      <c r="C70" t="s">
        <v>156</v>
      </c>
      <c r="E70" s="171">
        <f>(E66*E68)</f>
        <v>959.69999999999993</v>
      </c>
      <c r="F70" s="171">
        <f t="shared" ref="F70:O70" si="7">(F66*F68)</f>
        <v>849</v>
      </c>
      <c r="G70" s="171">
        <f t="shared" si="7"/>
        <v>834.90000000000009</v>
      </c>
      <c r="H70" s="171">
        <f t="shared" si="7"/>
        <v>802.01400000000012</v>
      </c>
      <c r="I70" s="171">
        <f t="shared" si="7"/>
        <v>927.64200000000005</v>
      </c>
      <c r="J70" s="171">
        <f t="shared" si="7"/>
        <v>980.12699999999995</v>
      </c>
      <c r="K70" s="171">
        <f t="shared" si="7"/>
        <v>776.07899999999995</v>
      </c>
      <c r="L70" s="171">
        <f t="shared" si="7"/>
        <v>829.85100000000011</v>
      </c>
      <c r="M70" s="171">
        <f t="shared" si="7"/>
        <v>1138.221</v>
      </c>
      <c r="N70" s="171">
        <f t="shared" si="7"/>
        <v>1167.489</v>
      </c>
      <c r="O70" s="171">
        <f t="shared" si="7"/>
        <v>932.30399999999986</v>
      </c>
    </row>
    <row r="71" spans="3:15">
      <c r="E71" s="154"/>
      <c r="F71" s="154"/>
      <c r="G71" s="154"/>
      <c r="H71" s="154"/>
      <c r="I71" s="154"/>
      <c r="J71" s="154"/>
      <c r="K71" s="154"/>
      <c r="L71" s="154"/>
      <c r="M71" s="154"/>
      <c r="N71" s="154"/>
      <c r="O71" s="154"/>
    </row>
    <row r="72" spans="3:15">
      <c r="C72" s="5" t="s">
        <v>43</v>
      </c>
      <c r="E72" s="154"/>
      <c r="F72" s="154"/>
      <c r="G72" s="154"/>
      <c r="H72" s="154"/>
      <c r="I72" s="154"/>
      <c r="J72" s="154"/>
      <c r="K72" s="154"/>
      <c r="L72" s="154"/>
      <c r="M72" s="154"/>
      <c r="N72" s="154"/>
      <c r="O72" s="154"/>
    </row>
    <row r="73" spans="3:15">
      <c r="C73" t="s">
        <v>157</v>
      </c>
      <c r="E73" s="173"/>
      <c r="F73" s="173"/>
      <c r="G73" s="173"/>
      <c r="H73" s="173"/>
      <c r="I73" s="173"/>
      <c r="J73" s="173">
        <f>'Annual Report'!K32/1000</f>
        <v>77.22</v>
      </c>
      <c r="K73" s="173">
        <f>'Annual Report'!L32/1000</f>
        <v>90.450999999999993</v>
      </c>
      <c r="L73" s="173">
        <f>'Annual Report'!M32/1000</f>
        <v>177.721</v>
      </c>
      <c r="M73" s="173">
        <f>'Annual Report'!N32/1000</f>
        <v>149.25200000000001</v>
      </c>
      <c r="N73" s="173">
        <f>'Annual Report'!O32/1000</f>
        <v>152.87</v>
      </c>
      <c r="O73" s="173">
        <f>'Annual Report'!P32*2/1000</f>
        <v>177.232</v>
      </c>
    </row>
    <row r="74" spans="3:15">
      <c r="C74" t="s">
        <v>158</v>
      </c>
      <c r="E74" s="174"/>
      <c r="F74" s="174"/>
      <c r="G74" s="174"/>
      <c r="H74" s="174"/>
      <c r="I74" s="174"/>
      <c r="J74" s="174">
        <f t="shared" ref="J74:O74" si="8">$D$38</f>
        <v>1</v>
      </c>
      <c r="K74" s="174">
        <f t="shared" si="8"/>
        <v>1</v>
      </c>
      <c r="L74" s="174">
        <f t="shared" si="8"/>
        <v>1</v>
      </c>
      <c r="M74" s="174">
        <f t="shared" si="8"/>
        <v>1</v>
      </c>
      <c r="N74" s="174">
        <f t="shared" si="8"/>
        <v>1</v>
      </c>
      <c r="O74" s="174">
        <f t="shared" si="8"/>
        <v>1</v>
      </c>
    </row>
    <row r="75" spans="3:15">
      <c r="C75" t="s">
        <v>159</v>
      </c>
      <c r="E75" s="174"/>
      <c r="F75" s="174"/>
      <c r="G75" s="174"/>
      <c r="H75" s="174"/>
      <c r="I75" s="174"/>
      <c r="J75" s="174">
        <f t="shared" ref="J75:O75" si="9">$E$38</f>
        <v>3</v>
      </c>
      <c r="K75" s="174">
        <f t="shared" si="9"/>
        <v>3</v>
      </c>
      <c r="L75" s="174">
        <f t="shared" si="9"/>
        <v>3</v>
      </c>
      <c r="M75" s="174">
        <f t="shared" si="9"/>
        <v>3</v>
      </c>
      <c r="N75" s="174">
        <f t="shared" si="9"/>
        <v>3</v>
      </c>
      <c r="O75" s="174">
        <f t="shared" si="9"/>
        <v>3</v>
      </c>
    </row>
    <row r="76" spans="3:15">
      <c r="C76" t="s">
        <v>155</v>
      </c>
      <c r="E76" s="171"/>
      <c r="F76" s="171"/>
      <c r="G76" s="171"/>
      <c r="H76" s="171"/>
      <c r="I76" s="171"/>
      <c r="J76" s="171">
        <f>(J73*J74)</f>
        <v>77.22</v>
      </c>
      <c r="K76" s="171">
        <f t="shared" ref="K76:O76" si="10">(K73*K74)</f>
        <v>90.450999999999993</v>
      </c>
      <c r="L76" s="171">
        <f t="shared" si="10"/>
        <v>177.721</v>
      </c>
      <c r="M76" s="171">
        <f t="shared" si="10"/>
        <v>149.25200000000001</v>
      </c>
      <c r="N76" s="171">
        <f t="shared" si="10"/>
        <v>152.87</v>
      </c>
      <c r="O76" s="171">
        <f t="shared" si="10"/>
        <v>177.232</v>
      </c>
    </row>
    <row r="77" spans="3:15">
      <c r="C77" t="s">
        <v>156</v>
      </c>
      <c r="E77" s="171"/>
      <c r="F77" s="171"/>
      <c r="G77" s="171"/>
      <c r="H77" s="171"/>
      <c r="I77" s="171"/>
      <c r="J77" s="171">
        <f>(J73*J75)</f>
        <v>231.66</v>
      </c>
      <c r="K77" s="171">
        <f t="shared" ref="K77:O77" si="11">(K73*K75)</f>
        <v>271.35299999999995</v>
      </c>
      <c r="L77" s="171">
        <f t="shared" si="11"/>
        <v>533.16300000000001</v>
      </c>
      <c r="M77" s="171">
        <f t="shared" si="11"/>
        <v>447.75600000000003</v>
      </c>
      <c r="N77" s="171">
        <f t="shared" si="11"/>
        <v>458.61</v>
      </c>
      <c r="O77" s="171">
        <f t="shared" si="11"/>
        <v>531.69600000000003</v>
      </c>
    </row>
    <row r="79" spans="3:15">
      <c r="C79" s="146" t="s">
        <v>161</v>
      </c>
    </row>
    <row r="80" spans="3:15">
      <c r="C80" t="s">
        <v>157</v>
      </c>
      <c r="G80" s="173">
        <f>'Annual Report'!H92+'Annual Report'!H98+'Annual Report'!H106+'Annual Report'!H113-'Annual Report'!H112-'Annual Report'!H105-'Annual Report'!H97-'Annual Report'!H91</f>
        <v>175.90000000000009</v>
      </c>
      <c r="H80" s="173">
        <f>'Annual Report'!I92+'Annual Report'!I98+'Annual Report'!I106+'Annual Report'!I113-'Annual Report'!I112-'Annual Report'!I105-'Annual Report'!I97-'Annual Report'!I91</f>
        <v>150.5</v>
      </c>
      <c r="I80" s="173">
        <f>'Annual Report'!J92+'Annual Report'!J98+'Annual Report'!J106+'Annual Report'!J113-'Annual Report'!J112-'Annual Report'!J105-'Annual Report'!J97-'Annual Report'!J91</f>
        <v>152.79999999999984</v>
      </c>
    </row>
    <row r="81" spans="3:15">
      <c r="C81" t="s">
        <v>158</v>
      </c>
      <c r="E81" s="174">
        <f t="shared" ref="E81" si="12">$D$38</f>
        <v>1</v>
      </c>
      <c r="F81" s="174">
        <f t="shared" ref="F81" si="13">$D$38</f>
        <v>1</v>
      </c>
      <c r="G81" s="174">
        <f t="shared" ref="G81:O81" si="14">$D$38</f>
        <v>1</v>
      </c>
      <c r="H81" s="174">
        <f t="shared" si="14"/>
        <v>1</v>
      </c>
      <c r="I81" s="174">
        <f t="shared" si="14"/>
        <v>1</v>
      </c>
      <c r="J81" s="174">
        <f t="shared" si="14"/>
        <v>1</v>
      </c>
      <c r="K81" s="174">
        <f t="shared" si="14"/>
        <v>1</v>
      </c>
      <c r="L81" s="174">
        <f t="shared" si="14"/>
        <v>1</v>
      </c>
      <c r="M81" s="174">
        <f t="shared" si="14"/>
        <v>1</v>
      </c>
      <c r="N81" s="174">
        <f t="shared" si="14"/>
        <v>1</v>
      </c>
      <c r="O81" s="174">
        <f t="shared" si="14"/>
        <v>1</v>
      </c>
    </row>
    <row r="82" spans="3:15">
      <c r="C82" t="s">
        <v>159</v>
      </c>
      <c r="E82" s="174">
        <f t="shared" ref="E82" si="15">$E$38</f>
        <v>3</v>
      </c>
      <c r="F82" s="174">
        <f t="shared" ref="F82" si="16">$E$38</f>
        <v>3</v>
      </c>
      <c r="G82" s="174">
        <f t="shared" ref="G82:O82" si="17">$E$38</f>
        <v>3</v>
      </c>
      <c r="H82" s="174">
        <f t="shared" si="17"/>
        <v>3</v>
      </c>
      <c r="I82" s="174">
        <f t="shared" si="17"/>
        <v>3</v>
      </c>
      <c r="J82" s="174">
        <f t="shared" si="17"/>
        <v>3</v>
      </c>
      <c r="K82" s="174">
        <f t="shared" si="17"/>
        <v>3</v>
      </c>
      <c r="L82" s="174">
        <f t="shared" si="17"/>
        <v>3</v>
      </c>
      <c r="M82" s="174">
        <f t="shared" si="17"/>
        <v>3</v>
      </c>
      <c r="N82" s="174">
        <f t="shared" si="17"/>
        <v>3</v>
      </c>
      <c r="O82" s="174">
        <f t="shared" si="17"/>
        <v>3</v>
      </c>
    </row>
    <row r="83" spans="3:15">
      <c r="C83" t="s">
        <v>155</v>
      </c>
      <c r="E83" s="171">
        <f t="shared" ref="E83:G83" si="18">(E80*E81)</f>
        <v>0</v>
      </c>
      <c r="F83" s="171">
        <f t="shared" si="18"/>
        <v>0</v>
      </c>
      <c r="G83" s="171">
        <f t="shared" si="18"/>
        <v>175.90000000000009</v>
      </c>
      <c r="H83" s="171">
        <f t="shared" ref="H83:O83" si="19">(H80*H81)</f>
        <v>150.5</v>
      </c>
      <c r="I83" s="171">
        <f t="shared" si="19"/>
        <v>152.79999999999984</v>
      </c>
      <c r="J83" s="171">
        <f t="shared" si="19"/>
        <v>0</v>
      </c>
      <c r="K83" s="171">
        <f t="shared" si="19"/>
        <v>0</v>
      </c>
      <c r="L83" s="171">
        <f t="shared" si="19"/>
        <v>0</v>
      </c>
      <c r="M83" s="171">
        <f t="shared" si="19"/>
        <v>0</v>
      </c>
      <c r="N83" s="171">
        <f t="shared" si="19"/>
        <v>0</v>
      </c>
      <c r="O83" s="171">
        <f t="shared" si="19"/>
        <v>0</v>
      </c>
    </row>
    <row r="84" spans="3:15">
      <c r="C84" t="s">
        <v>156</v>
      </c>
      <c r="E84" s="171">
        <f t="shared" ref="E84:G84" si="20">(E80*E82)</f>
        <v>0</v>
      </c>
      <c r="F84" s="171">
        <f t="shared" si="20"/>
        <v>0</v>
      </c>
      <c r="G84" s="171">
        <f t="shared" si="20"/>
        <v>527.70000000000027</v>
      </c>
      <c r="H84" s="171">
        <f t="shared" ref="H84:O84" si="21">(H80*H82)</f>
        <v>451.5</v>
      </c>
      <c r="I84" s="171">
        <f t="shared" si="21"/>
        <v>458.39999999999952</v>
      </c>
      <c r="J84" s="171">
        <f t="shared" si="21"/>
        <v>0</v>
      </c>
      <c r="K84" s="171">
        <f t="shared" si="21"/>
        <v>0</v>
      </c>
      <c r="L84" s="171">
        <f t="shared" si="21"/>
        <v>0</v>
      </c>
      <c r="M84" s="171">
        <f t="shared" si="21"/>
        <v>0</v>
      </c>
      <c r="N84" s="171">
        <f t="shared" si="21"/>
        <v>0</v>
      </c>
      <c r="O84" s="171">
        <f t="shared" si="21"/>
        <v>0</v>
      </c>
    </row>
    <row r="87" spans="3:15" ht="15" thickBot="1">
      <c r="C87" s="137" t="s">
        <v>162</v>
      </c>
    </row>
    <row r="89" spans="3:15">
      <c r="C89" s="5" t="s">
        <v>163</v>
      </c>
      <c r="D89" s="126">
        <v>11110</v>
      </c>
      <c r="E89" s="1">
        <v>2011</v>
      </c>
      <c r="F89" s="1">
        <v>2012</v>
      </c>
      <c r="G89" s="1">
        <v>2013</v>
      </c>
      <c r="H89" s="1">
        <v>2014</v>
      </c>
      <c r="I89" s="1">
        <v>2015</v>
      </c>
      <c r="J89" s="1">
        <v>2016</v>
      </c>
      <c r="K89" s="1">
        <v>2017</v>
      </c>
      <c r="L89" s="1">
        <v>2018</v>
      </c>
      <c r="M89" s="1">
        <v>2019</v>
      </c>
      <c r="N89" s="1">
        <v>2020</v>
      </c>
      <c r="O89" s="1">
        <v>2021</v>
      </c>
    </row>
    <row r="91" spans="3:15">
      <c r="C91" t="s">
        <v>164</v>
      </c>
      <c r="E91" s="173" t="e">
        <f>'AST - Segments'!$X$53+0.5*'AST - Segments'!$W$53</f>
        <v>#VALUE!</v>
      </c>
      <c r="F91" s="173" t="e">
        <f>'AST - Segments'!$V$53+0.5*'AST - Segments'!$U$53+0.5*'AST - Segments'!$W$53</f>
        <v>#VALUE!</v>
      </c>
      <c r="G91" s="173">
        <f>'AST - Segments'!$T$53+0.5*'AST - Segments'!$S$53+0.5*'AST - Segments'!$U$53</f>
        <v>17.350000000000001</v>
      </c>
      <c r="H91" s="173">
        <f>'AST - Segments'!$R$53+0.5*'AST - Segments'!$Q$53+0.5*'AST - Segments'!$S$53</f>
        <v>19.5</v>
      </c>
      <c r="I91" s="173">
        <f>'AST - Segments'!$P$53+0.5*'AST - Segments'!$O$53+0.5*'AST - Segments'!$Q$53</f>
        <v>14.85</v>
      </c>
      <c r="J91" s="173">
        <f>'AST - Segments'!$N$63+0.5*'AST - Segments'!$M$63+0.5*'AST - Segments'!$O$53</f>
        <v>66.600000000000009</v>
      </c>
      <c r="K91" s="173">
        <f>'AST - Segments'!$L$63+'AST - Segments'!$L$53+0.5*'AST - Segments'!$M$63+0.5*'AST - Segments'!$K$63</f>
        <v>77.3</v>
      </c>
      <c r="L91" s="173">
        <f>'AST - Segments'!$J$63+0.5*'AST - Segments'!$I$63+0.5*'AST - Segments'!$K$63</f>
        <v>60.5</v>
      </c>
      <c r="M91" s="173">
        <f>'AST - Segments'!$H$63+0.5*'AST - Segments'!$G$63+0.5*'AST - Segments'!$I$63</f>
        <v>59</v>
      </c>
      <c r="N91" s="173">
        <f>'AST - Segments'!$F$63+0.5*'AST - Segments'!$E$70+0.5*'AST - Segments'!$G$63</f>
        <v>86</v>
      </c>
      <c r="O91" s="173">
        <f>'AST - Segments'!$D$70+0.5*'AST - Segments'!$E$70+0.5*'AST - Segments'!$C$70</f>
        <v>110.80000000000001</v>
      </c>
    </row>
    <row r="92" spans="3:15">
      <c r="C92" t="s">
        <v>165</v>
      </c>
      <c r="E92" s="173"/>
      <c r="F92" s="173"/>
      <c r="G92" s="173"/>
      <c r="H92" s="173"/>
      <c r="I92" s="173"/>
      <c r="J92" s="173"/>
      <c r="K92" s="173"/>
      <c r="L92" s="173"/>
      <c r="M92" s="173"/>
      <c r="N92" s="173"/>
      <c r="O92" s="173"/>
    </row>
    <row r="93" spans="3:15">
      <c r="C93" t="s">
        <v>166</v>
      </c>
      <c r="E93" s="173">
        <f>'AST - Segments'!$X$52+0.5*'AST - Segments'!$W$52</f>
        <v>164.39999999999998</v>
      </c>
      <c r="F93" s="173">
        <f>'AST - Segments'!$V$52+0.5*'AST - Segments'!$U$52+0.5*'AST - Segments'!$W$52</f>
        <v>140.1</v>
      </c>
      <c r="G93" s="173">
        <f>'AST - Segments'!$T$52+0.5*'AST - Segments'!$S$52+0.5*'AST - Segments'!$U$52</f>
        <v>139.65</v>
      </c>
      <c r="H93" s="173">
        <f>'AST - Segments'!$R$52+0.5*'AST - Segments'!$Q$52+0.5*'AST - Segments'!$S$52</f>
        <v>153.9</v>
      </c>
      <c r="I93" s="173">
        <f>'AST - Segments'!$P$52+0.5*'AST - Segments'!$O$52+0.5*'AST - Segments'!$Q$52</f>
        <v>157.44999999999999</v>
      </c>
      <c r="J93" s="173">
        <f>'AST - Segments'!$N$62+0.5*'AST - Segments'!$M$62+0.5*'AST - Segments'!$O$52</f>
        <v>208.74999999999997</v>
      </c>
      <c r="K93" s="173">
        <f>'AST - Segments'!$L$62+'AST - Segments'!$L$52+0.5*'AST - Segments'!$M$62+0.5*'AST - Segments'!$K$62</f>
        <v>245.85</v>
      </c>
      <c r="L93" s="173">
        <f>'AST - Segments'!$J$62+0.5*'AST - Segments'!$I$62+0.5*'AST - Segments'!$K$62</f>
        <v>196.95000000000002</v>
      </c>
      <c r="M93" s="173">
        <f>'AST - Segments'!$H$62+0.5*'AST - Segments'!$G$62+0.5*'AST - Segments'!$I$62</f>
        <v>163.44999999999999</v>
      </c>
      <c r="N93" s="173">
        <f>'AST - Segments'!$F$62+0.5*'AST - Segments'!$E$69+0.5*'AST - Segments'!$G$62</f>
        <v>164.45</v>
      </c>
      <c r="O93" s="173">
        <f>'AST - Segments'!$D$69+0.5*'AST - Segments'!$E$69+0.5*'AST - Segments'!$C$69</f>
        <v>185.05</v>
      </c>
    </row>
    <row r="95" spans="3:15">
      <c r="C95" t="s">
        <v>158</v>
      </c>
      <c r="E95" s="116">
        <f t="shared" ref="E95:O95" si="22">$D$38</f>
        <v>1</v>
      </c>
      <c r="F95" s="116">
        <f t="shared" si="22"/>
        <v>1</v>
      </c>
      <c r="G95" s="116">
        <f t="shared" si="22"/>
        <v>1</v>
      </c>
      <c r="H95" s="116">
        <f t="shared" si="22"/>
        <v>1</v>
      </c>
      <c r="I95" s="116">
        <f t="shared" si="22"/>
        <v>1</v>
      </c>
      <c r="J95" s="116">
        <f t="shared" si="22"/>
        <v>1</v>
      </c>
      <c r="K95" s="116">
        <f t="shared" si="22"/>
        <v>1</v>
      </c>
      <c r="L95" s="116">
        <f t="shared" si="22"/>
        <v>1</v>
      </c>
      <c r="M95" s="116">
        <f t="shared" si="22"/>
        <v>1</v>
      </c>
      <c r="N95" s="116">
        <f t="shared" si="22"/>
        <v>1</v>
      </c>
      <c r="O95" s="116">
        <f t="shared" si="22"/>
        <v>1</v>
      </c>
    </row>
    <row r="96" spans="3:15">
      <c r="C96" t="s">
        <v>159</v>
      </c>
      <c r="E96" s="116">
        <f t="shared" ref="E96:O96" si="23">$E$38</f>
        <v>3</v>
      </c>
      <c r="F96" s="116">
        <f t="shared" si="23"/>
        <v>3</v>
      </c>
      <c r="G96" s="116">
        <f t="shared" si="23"/>
        <v>3</v>
      </c>
      <c r="H96" s="116">
        <f t="shared" si="23"/>
        <v>3</v>
      </c>
      <c r="I96" s="116">
        <f t="shared" si="23"/>
        <v>3</v>
      </c>
      <c r="J96" s="116">
        <f t="shared" si="23"/>
        <v>3</v>
      </c>
      <c r="K96" s="116">
        <f t="shared" si="23"/>
        <v>3</v>
      </c>
      <c r="L96" s="116">
        <f t="shared" si="23"/>
        <v>3</v>
      </c>
      <c r="M96" s="116">
        <f t="shared" si="23"/>
        <v>3</v>
      </c>
      <c r="N96" s="116">
        <f t="shared" si="23"/>
        <v>3</v>
      </c>
      <c r="O96" s="116">
        <f t="shared" si="23"/>
        <v>3</v>
      </c>
    </row>
    <row r="97" spans="3:15">
      <c r="C97" t="s">
        <v>167</v>
      </c>
      <c r="E97" s="116">
        <f>$D$39</f>
        <v>3</v>
      </c>
      <c r="F97" s="116">
        <f t="shared" ref="F97:O97" si="24">$D$39</f>
        <v>3</v>
      </c>
      <c r="G97" s="116">
        <f t="shared" si="24"/>
        <v>3</v>
      </c>
      <c r="H97" s="116">
        <f t="shared" si="24"/>
        <v>3</v>
      </c>
      <c r="I97" s="116">
        <f t="shared" si="24"/>
        <v>3</v>
      </c>
      <c r="J97" s="116">
        <f t="shared" si="24"/>
        <v>3</v>
      </c>
      <c r="K97" s="116">
        <f t="shared" si="24"/>
        <v>3</v>
      </c>
      <c r="L97" s="116">
        <f t="shared" si="24"/>
        <v>3</v>
      </c>
      <c r="M97" s="116">
        <f t="shared" si="24"/>
        <v>3</v>
      </c>
      <c r="N97" s="116">
        <f t="shared" si="24"/>
        <v>3</v>
      </c>
      <c r="O97" s="116">
        <f t="shared" si="24"/>
        <v>3</v>
      </c>
    </row>
    <row r="98" spans="3:15">
      <c r="C98" t="s">
        <v>168</v>
      </c>
      <c r="E98" s="116">
        <f>$E$39</f>
        <v>5</v>
      </c>
      <c r="F98" s="116">
        <f t="shared" ref="F98:O98" si="25">$E$39</f>
        <v>5</v>
      </c>
      <c r="G98" s="116">
        <f t="shared" si="25"/>
        <v>5</v>
      </c>
      <c r="H98" s="116">
        <f t="shared" si="25"/>
        <v>5</v>
      </c>
      <c r="I98" s="116">
        <f t="shared" si="25"/>
        <v>5</v>
      </c>
      <c r="J98" s="116">
        <f t="shared" si="25"/>
        <v>5</v>
      </c>
      <c r="K98" s="116">
        <f t="shared" si="25"/>
        <v>5</v>
      </c>
      <c r="L98" s="116">
        <f t="shared" si="25"/>
        <v>5</v>
      </c>
      <c r="M98" s="116">
        <f t="shared" si="25"/>
        <v>5</v>
      </c>
      <c r="N98" s="116">
        <f t="shared" si="25"/>
        <v>5</v>
      </c>
      <c r="O98" s="116">
        <f t="shared" si="25"/>
        <v>5</v>
      </c>
    </row>
    <row r="100" spans="3:15">
      <c r="C100" t="s">
        <v>158</v>
      </c>
      <c r="E100" s="171">
        <f>E95*E93</f>
        <v>164.39999999999998</v>
      </c>
      <c r="F100" s="171">
        <f t="shared" ref="F100:O100" si="26">F95*F93</f>
        <v>140.1</v>
      </c>
      <c r="G100" s="171">
        <f t="shared" si="26"/>
        <v>139.65</v>
      </c>
      <c r="H100" s="171">
        <f t="shared" si="26"/>
        <v>153.9</v>
      </c>
      <c r="I100" s="171">
        <f t="shared" si="26"/>
        <v>157.44999999999999</v>
      </c>
      <c r="J100" s="171">
        <f t="shared" si="26"/>
        <v>208.74999999999997</v>
      </c>
      <c r="K100" s="171">
        <f t="shared" si="26"/>
        <v>245.85</v>
      </c>
      <c r="L100" s="171">
        <f t="shared" si="26"/>
        <v>196.95000000000002</v>
      </c>
      <c r="M100" s="171">
        <f t="shared" si="26"/>
        <v>163.44999999999999</v>
      </c>
      <c r="N100" s="171">
        <f t="shared" si="26"/>
        <v>164.45</v>
      </c>
      <c r="O100" s="171">
        <f t="shared" si="26"/>
        <v>185.05</v>
      </c>
    </row>
    <row r="101" spans="3:15">
      <c r="C101" t="s">
        <v>159</v>
      </c>
      <c r="E101" s="171">
        <f>E96*E93</f>
        <v>493.19999999999993</v>
      </c>
      <c r="F101" s="171">
        <f t="shared" ref="F101:O101" si="27">F96*F93</f>
        <v>420.29999999999995</v>
      </c>
      <c r="G101" s="171">
        <f t="shared" si="27"/>
        <v>418.95000000000005</v>
      </c>
      <c r="H101" s="171">
        <f t="shared" si="27"/>
        <v>461.70000000000005</v>
      </c>
      <c r="I101" s="171">
        <f t="shared" si="27"/>
        <v>472.34999999999997</v>
      </c>
      <c r="J101" s="171">
        <f t="shared" si="27"/>
        <v>626.24999999999989</v>
      </c>
      <c r="K101" s="171">
        <f t="shared" si="27"/>
        <v>737.55</v>
      </c>
      <c r="L101" s="171">
        <f t="shared" si="27"/>
        <v>590.85</v>
      </c>
      <c r="M101" s="171">
        <f t="shared" si="27"/>
        <v>490.34999999999997</v>
      </c>
      <c r="N101" s="171">
        <f t="shared" si="27"/>
        <v>493.34999999999997</v>
      </c>
      <c r="O101" s="171">
        <f t="shared" si="27"/>
        <v>555.15000000000009</v>
      </c>
    </row>
    <row r="102" spans="3:15">
      <c r="C102" t="s">
        <v>167</v>
      </c>
      <c r="E102" s="171"/>
      <c r="F102" s="171"/>
      <c r="G102" s="171">
        <f t="shared" ref="G102:O102" si="28">G97*G91</f>
        <v>52.050000000000004</v>
      </c>
      <c r="H102" s="171">
        <f t="shared" si="28"/>
        <v>58.5</v>
      </c>
      <c r="I102" s="171">
        <f t="shared" si="28"/>
        <v>44.55</v>
      </c>
      <c r="J102" s="171">
        <f t="shared" si="28"/>
        <v>199.8</v>
      </c>
      <c r="K102" s="171">
        <f t="shared" si="28"/>
        <v>231.89999999999998</v>
      </c>
      <c r="L102" s="171">
        <f t="shared" si="28"/>
        <v>181.5</v>
      </c>
      <c r="M102" s="171">
        <f t="shared" si="28"/>
        <v>177</v>
      </c>
      <c r="N102" s="171">
        <f t="shared" si="28"/>
        <v>258</v>
      </c>
      <c r="O102" s="171">
        <f t="shared" si="28"/>
        <v>332.40000000000003</v>
      </c>
    </row>
    <row r="103" spans="3:15">
      <c r="C103" t="s">
        <v>168</v>
      </c>
      <c r="E103" s="171"/>
      <c r="F103" s="171"/>
      <c r="G103" s="171">
        <f t="shared" ref="G103:O103" si="29">G98*G91</f>
        <v>86.75</v>
      </c>
      <c r="H103" s="171">
        <f t="shared" si="29"/>
        <v>97.5</v>
      </c>
      <c r="I103" s="171">
        <f t="shared" si="29"/>
        <v>74.25</v>
      </c>
      <c r="J103" s="171">
        <f t="shared" si="29"/>
        <v>333.00000000000006</v>
      </c>
      <c r="K103" s="171">
        <f t="shared" si="29"/>
        <v>386.5</v>
      </c>
      <c r="L103" s="171">
        <f t="shared" si="29"/>
        <v>302.5</v>
      </c>
      <c r="M103" s="171">
        <f t="shared" si="29"/>
        <v>295</v>
      </c>
      <c r="N103" s="171">
        <f t="shared" si="29"/>
        <v>430</v>
      </c>
      <c r="O103" s="171">
        <f t="shared" si="29"/>
        <v>554</v>
      </c>
    </row>
    <row r="105" spans="3:15">
      <c r="C105" t="s">
        <v>29</v>
      </c>
      <c r="E105" s="171">
        <f>MIN(E100:E103)</f>
        <v>164.39999999999998</v>
      </c>
      <c r="F105" s="171">
        <f t="shared" ref="F105:O105" si="30">MIN(F100:F103)</f>
        <v>140.1</v>
      </c>
      <c r="G105" s="171">
        <f t="shared" si="30"/>
        <v>52.050000000000004</v>
      </c>
      <c r="H105" s="171">
        <f t="shared" si="30"/>
        <v>58.5</v>
      </c>
      <c r="I105" s="171">
        <f t="shared" si="30"/>
        <v>44.55</v>
      </c>
      <c r="J105" s="171">
        <f t="shared" si="30"/>
        <v>199.8</v>
      </c>
      <c r="K105" s="171">
        <f t="shared" si="30"/>
        <v>231.89999999999998</v>
      </c>
      <c r="L105" s="171">
        <f t="shared" si="30"/>
        <v>181.5</v>
      </c>
      <c r="M105" s="171">
        <f t="shared" si="30"/>
        <v>163.44999999999999</v>
      </c>
      <c r="N105" s="171">
        <f t="shared" si="30"/>
        <v>164.45</v>
      </c>
      <c r="O105" s="171">
        <f t="shared" si="30"/>
        <v>185.05</v>
      </c>
    </row>
    <row r="106" spans="3:15">
      <c r="C106" t="s">
        <v>31</v>
      </c>
      <c r="E106" s="171">
        <f>MAX(E100:E103)</f>
        <v>493.19999999999993</v>
      </c>
      <c r="F106" s="171">
        <f t="shared" ref="F106:O106" si="31">MAX(F100:F103)</f>
        <v>420.29999999999995</v>
      </c>
      <c r="G106" s="171">
        <f t="shared" si="31"/>
        <v>418.95000000000005</v>
      </c>
      <c r="H106" s="171">
        <f t="shared" si="31"/>
        <v>461.70000000000005</v>
      </c>
      <c r="I106" s="171">
        <f t="shared" si="31"/>
        <v>472.34999999999997</v>
      </c>
      <c r="J106" s="171">
        <f t="shared" si="31"/>
        <v>626.24999999999989</v>
      </c>
      <c r="K106" s="171">
        <f t="shared" si="31"/>
        <v>737.55</v>
      </c>
      <c r="L106" s="171">
        <f t="shared" si="31"/>
        <v>590.85</v>
      </c>
      <c r="M106" s="171">
        <f t="shared" si="31"/>
        <v>490.34999999999997</v>
      </c>
      <c r="N106" s="171">
        <f t="shared" si="31"/>
        <v>493.34999999999997</v>
      </c>
      <c r="O106" s="171">
        <f t="shared" si="31"/>
        <v>555.15000000000009</v>
      </c>
    </row>
    <row r="108" spans="3:15">
      <c r="C108" s="5" t="s">
        <v>169</v>
      </c>
    </row>
    <row r="110" spans="3:15">
      <c r="C110" t="s">
        <v>166</v>
      </c>
      <c r="E110" s="173">
        <f>0.75*'Annual Report'!F59+0.25*'Annual Report'!G59</f>
        <v>101.65</v>
      </c>
      <c r="F110" s="173">
        <f>0.75*'Annual Report'!G59+0.25*'Annual Report'!H59</f>
        <v>63.575000000000003</v>
      </c>
      <c r="G110" s="173">
        <f>0.75*'Annual Report'!H59+0.25*'Annual Report'!I59</f>
        <v>73.099999999999994</v>
      </c>
      <c r="H110" s="173">
        <f>0.75*'Annual Report'!I59+0.25*'Annual Report'!J59</f>
        <v>91.424999999999997</v>
      </c>
      <c r="I110" s="173">
        <f>0.75*'Annual Report'!J59+0.25*'Annual Report'!K59</f>
        <v>78.849999999999994</v>
      </c>
      <c r="J110" s="173">
        <f>0.75*'Annual Report'!K59+0.25*'Annual Report'!L59</f>
        <v>47.85</v>
      </c>
      <c r="K110" s="173">
        <f>0.75*'Annual Report'!L59+0.25*'Annual Report'!M59</f>
        <v>76.349999999999994</v>
      </c>
      <c r="L110" s="173">
        <f>0.75*'Annual Report'!M59+0.25*'Annual Report'!N59</f>
        <v>154.02500000000001</v>
      </c>
      <c r="M110" s="173">
        <f>0.75*'Annual Report'!N59+0.25*'Annual Report'!O59</f>
        <v>167.07500000000002</v>
      </c>
      <c r="N110" s="173">
        <f>0.75*'Annual Report'!O59+0.25*'Annual Report'!P59</f>
        <v>142.07500000000002</v>
      </c>
      <c r="O110" s="173">
        <f>'Annual Report'!P59</f>
        <v>115</v>
      </c>
    </row>
    <row r="111" spans="3:15">
      <c r="C111" t="s">
        <v>158</v>
      </c>
      <c r="E111" s="116">
        <f t="shared" ref="E111:O111" si="32">$D$38</f>
        <v>1</v>
      </c>
      <c r="F111" s="116">
        <f t="shared" si="32"/>
        <v>1</v>
      </c>
      <c r="G111" s="116">
        <f t="shared" si="32"/>
        <v>1</v>
      </c>
      <c r="H111" s="116">
        <f t="shared" si="32"/>
        <v>1</v>
      </c>
      <c r="I111" s="116">
        <f t="shared" si="32"/>
        <v>1</v>
      </c>
      <c r="J111" s="116">
        <f t="shared" si="32"/>
        <v>1</v>
      </c>
      <c r="K111" s="116">
        <f t="shared" si="32"/>
        <v>1</v>
      </c>
      <c r="L111" s="116">
        <f t="shared" si="32"/>
        <v>1</v>
      </c>
      <c r="M111" s="116">
        <f t="shared" si="32"/>
        <v>1</v>
      </c>
      <c r="N111" s="116">
        <f t="shared" si="32"/>
        <v>1</v>
      </c>
      <c r="O111" s="116">
        <f t="shared" si="32"/>
        <v>1</v>
      </c>
    </row>
    <row r="112" spans="3:15">
      <c r="C112" t="s">
        <v>159</v>
      </c>
      <c r="E112" s="116">
        <f t="shared" ref="E112:O112" si="33">$E$38</f>
        <v>3</v>
      </c>
      <c r="F112" s="116">
        <f t="shared" si="33"/>
        <v>3</v>
      </c>
      <c r="G112" s="116">
        <f t="shared" si="33"/>
        <v>3</v>
      </c>
      <c r="H112" s="116">
        <f t="shared" si="33"/>
        <v>3</v>
      </c>
      <c r="I112" s="116">
        <f t="shared" si="33"/>
        <v>3</v>
      </c>
      <c r="J112" s="116">
        <f t="shared" si="33"/>
        <v>3</v>
      </c>
      <c r="K112" s="116">
        <f t="shared" si="33"/>
        <v>3</v>
      </c>
      <c r="L112" s="116">
        <f t="shared" si="33"/>
        <v>3</v>
      </c>
      <c r="M112" s="116">
        <f t="shared" si="33"/>
        <v>3</v>
      </c>
      <c r="N112" s="116">
        <f t="shared" si="33"/>
        <v>3</v>
      </c>
      <c r="O112" s="116">
        <f t="shared" si="33"/>
        <v>3</v>
      </c>
    </row>
    <row r="114" spans="3:15">
      <c r="C114" t="s">
        <v>29</v>
      </c>
      <c r="E114" s="171">
        <f>E110*E111</f>
        <v>101.65</v>
      </c>
      <c r="F114" s="171">
        <f t="shared" ref="F114:O114" si="34">F110*F111</f>
        <v>63.575000000000003</v>
      </c>
      <c r="G114" s="171">
        <f t="shared" si="34"/>
        <v>73.099999999999994</v>
      </c>
      <c r="H114" s="171">
        <f t="shared" si="34"/>
        <v>91.424999999999997</v>
      </c>
      <c r="I114" s="171">
        <f t="shared" si="34"/>
        <v>78.849999999999994</v>
      </c>
      <c r="J114" s="171">
        <f t="shared" si="34"/>
        <v>47.85</v>
      </c>
      <c r="K114" s="171">
        <f t="shared" si="34"/>
        <v>76.349999999999994</v>
      </c>
      <c r="L114" s="171">
        <f t="shared" si="34"/>
        <v>154.02500000000001</v>
      </c>
      <c r="M114" s="171">
        <f t="shared" si="34"/>
        <v>167.07500000000002</v>
      </c>
      <c r="N114" s="171">
        <f t="shared" si="34"/>
        <v>142.07500000000002</v>
      </c>
      <c r="O114" s="171">
        <f t="shared" si="34"/>
        <v>115</v>
      </c>
    </row>
    <row r="115" spans="3:15">
      <c r="C115" t="s">
        <v>31</v>
      </c>
      <c r="E115" s="171">
        <f>E112*E110</f>
        <v>304.95000000000005</v>
      </c>
      <c r="F115" s="171">
        <f t="shared" ref="F115:O115" si="35">F112*F110</f>
        <v>190.72500000000002</v>
      </c>
      <c r="G115" s="171">
        <f t="shared" si="35"/>
        <v>219.29999999999998</v>
      </c>
      <c r="H115" s="171">
        <f t="shared" si="35"/>
        <v>274.27499999999998</v>
      </c>
      <c r="I115" s="171">
        <f t="shared" si="35"/>
        <v>236.54999999999998</v>
      </c>
      <c r="J115" s="171">
        <f t="shared" si="35"/>
        <v>143.55000000000001</v>
      </c>
      <c r="K115" s="171">
        <f t="shared" si="35"/>
        <v>229.04999999999998</v>
      </c>
      <c r="L115" s="171">
        <f t="shared" si="35"/>
        <v>462.07500000000005</v>
      </c>
      <c r="M115" s="171">
        <f t="shared" si="35"/>
        <v>501.22500000000002</v>
      </c>
      <c r="N115" s="171">
        <f t="shared" si="35"/>
        <v>426.22500000000002</v>
      </c>
      <c r="O115" s="171">
        <f t="shared" si="35"/>
        <v>345</v>
      </c>
    </row>
    <row r="117" spans="3:15">
      <c r="C117" s="5" t="s">
        <v>170</v>
      </c>
    </row>
    <row r="118" spans="3:15">
      <c r="C118" t="s">
        <v>29</v>
      </c>
      <c r="E118" s="171">
        <f>E114+E105</f>
        <v>266.04999999999995</v>
      </c>
      <c r="F118" s="171">
        <f t="shared" ref="F118:O118" si="36">F114+F105</f>
        <v>203.67500000000001</v>
      </c>
      <c r="G118" s="171">
        <f t="shared" si="36"/>
        <v>125.15</v>
      </c>
      <c r="H118" s="171">
        <f t="shared" si="36"/>
        <v>149.92500000000001</v>
      </c>
      <c r="I118" s="171">
        <f t="shared" si="36"/>
        <v>123.39999999999999</v>
      </c>
      <c r="J118" s="171">
        <f t="shared" si="36"/>
        <v>247.65</v>
      </c>
      <c r="K118" s="171">
        <f t="shared" si="36"/>
        <v>308.25</v>
      </c>
      <c r="L118" s="171">
        <f t="shared" si="36"/>
        <v>335.52499999999998</v>
      </c>
      <c r="M118" s="171">
        <f t="shared" si="36"/>
        <v>330.52499999999998</v>
      </c>
      <c r="N118" s="171">
        <f t="shared" si="36"/>
        <v>306.52499999999998</v>
      </c>
      <c r="O118" s="171">
        <f t="shared" si="36"/>
        <v>300.05</v>
      </c>
    </row>
    <row r="119" spans="3:15">
      <c r="C119" t="s">
        <v>31</v>
      </c>
      <c r="E119" s="171">
        <f>E115+E106</f>
        <v>798.15</v>
      </c>
      <c r="F119" s="171">
        <f t="shared" ref="F119:O119" si="37">F115+F106</f>
        <v>611.02499999999998</v>
      </c>
      <c r="G119" s="171">
        <f t="shared" si="37"/>
        <v>638.25</v>
      </c>
      <c r="H119" s="171">
        <f t="shared" si="37"/>
        <v>735.97500000000002</v>
      </c>
      <c r="I119" s="171">
        <f t="shared" si="37"/>
        <v>708.9</v>
      </c>
      <c r="J119" s="171">
        <f t="shared" si="37"/>
        <v>769.8</v>
      </c>
      <c r="K119" s="171">
        <f t="shared" si="37"/>
        <v>966.59999999999991</v>
      </c>
      <c r="L119" s="171">
        <f t="shared" si="37"/>
        <v>1052.9250000000002</v>
      </c>
      <c r="M119" s="171">
        <f t="shared" si="37"/>
        <v>991.57500000000005</v>
      </c>
      <c r="N119" s="171">
        <f t="shared" si="37"/>
        <v>919.57500000000005</v>
      </c>
      <c r="O119" s="171">
        <f t="shared" si="37"/>
        <v>900.15000000000009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BA8D8-AA00-423B-855B-F5B3F13C5672}">
  <sheetPr>
    <tabColor theme="2"/>
  </sheetPr>
  <dimension ref="A1:XFD261"/>
  <sheetViews>
    <sheetView showGridLines="0" zoomScale="85" zoomScaleNormal="85" workbookViewId="0"/>
  </sheetViews>
  <sheetFormatPr defaultRowHeight="14.25"/>
  <cols>
    <col min="2" max="2" width="31.58203125" customWidth="1"/>
    <col min="5" max="8" width="17.33203125" bestFit="1" customWidth="1"/>
    <col min="9" max="9" width="20.83203125" bestFit="1" customWidth="1"/>
    <col min="10" max="11" width="19.33203125" bestFit="1" customWidth="1"/>
    <col min="12" max="15" width="17.33203125" bestFit="1" customWidth="1"/>
    <col min="16" max="16" width="19.33203125" bestFit="1" customWidth="1"/>
    <col min="17" max="17" width="17.33203125" bestFit="1" customWidth="1"/>
  </cols>
  <sheetData>
    <row r="1" spans="1:17 16384:16384" s="32" customFormat="1" ht="20" thickBot="1">
      <c r="A1" s="32" t="s">
        <v>171</v>
      </c>
    </row>
    <row r="2" spans="1:17 16384:16384" ht="15" thickTop="1"/>
    <row r="3" spans="1:17 16384:16384" s="136" customFormat="1" ht="17.5" thickBot="1">
      <c r="A3"/>
      <c r="B3" s="136" t="s">
        <v>162</v>
      </c>
    </row>
    <row r="4" spans="1:17 16384:16384" ht="15" thickTop="1"/>
    <row r="5" spans="1:17 16384:16384">
      <c r="B5" s="5" t="s">
        <v>172</v>
      </c>
      <c r="L5" s="1" t="s">
        <v>173</v>
      </c>
    </row>
    <row r="6" spans="1:17 16384:16384">
      <c r="C6" t="s">
        <v>174</v>
      </c>
      <c r="E6">
        <v>2011</v>
      </c>
      <c r="F6">
        <v>2012</v>
      </c>
      <c r="G6">
        <v>2013</v>
      </c>
      <c r="H6">
        <v>2014</v>
      </c>
      <c r="I6">
        <v>2015</v>
      </c>
      <c r="J6">
        <v>2016</v>
      </c>
      <c r="K6">
        <v>2017</v>
      </c>
      <c r="L6">
        <v>2018</v>
      </c>
      <c r="M6">
        <v>2019</v>
      </c>
      <c r="N6">
        <v>2020</v>
      </c>
      <c r="O6">
        <v>2021</v>
      </c>
      <c r="P6">
        <v>2022</v>
      </c>
      <c r="Q6">
        <v>2023</v>
      </c>
    </row>
    <row r="8" spans="1:17 16384:16384">
      <c r="B8" t="s">
        <v>45</v>
      </c>
      <c r="E8" s="173">
        <f>'AST - RIN'!H11*1000</f>
        <v>2257868064</v>
      </c>
      <c r="F8" s="173">
        <f>'AST - RIN'!I11*1000</f>
        <v>2328015869</v>
      </c>
      <c r="G8" s="173">
        <f>'AST - RIN'!J11*1000</f>
        <v>2413683359</v>
      </c>
      <c r="H8" s="173">
        <f>'AST - RIN'!K11*1000</f>
        <v>2539015262.7664485</v>
      </c>
      <c r="I8" s="173">
        <f>'AST - RIN'!L11</f>
        <v>2843420673.8552299</v>
      </c>
      <c r="J8" s="173">
        <f>'AST - RIN'!M11</f>
        <v>2880085281.4596777</v>
      </c>
      <c r="K8" s="173">
        <f>'AST - RIN'!N11</f>
        <v>2953237774.7254901</v>
      </c>
      <c r="L8" s="173">
        <f>'AST - RIN'!O11</f>
        <v>2944047973.0995603</v>
      </c>
      <c r="M8" s="173">
        <f>'AST - RIN'!P11</f>
        <v>2944244235.546926</v>
      </c>
      <c r="N8" s="173">
        <f>'AST - RIN'!Q11</f>
        <v>3038266156.7574196</v>
      </c>
      <c r="O8" s="171">
        <f>N8*(Inflation!B403/Inflation!B399)+'AER Regulatory determination'!L47-'AER Regulatory determination'!L49</f>
        <v>3104836363.790843</v>
      </c>
      <c r="P8" s="171">
        <f>O8*(Inflation!B407/Inflation!B403)+'AER Regulatory determination'!M47-'AER Regulatory determination'!M49</f>
        <v>3139452862.6181855</v>
      </c>
      <c r="Q8" s="171">
        <f>P8*(Inflation!B410/Inflation!B406)+'AER Regulatory determination'!N47-'AER Regulatory determination'!N49</f>
        <v>3249280118.9288898</v>
      </c>
    </row>
    <row r="9" spans="1:17 16384:16384">
      <c r="B9" t="s">
        <v>175</v>
      </c>
      <c r="L9" s="172">
        <v>0.6</v>
      </c>
      <c r="M9" s="172">
        <v>0.6</v>
      </c>
      <c r="N9" s="172">
        <v>0.6</v>
      </c>
      <c r="O9" s="172">
        <v>0.6</v>
      </c>
      <c r="P9" s="172">
        <v>0.6</v>
      </c>
    </row>
    <row r="10" spans="1:17 16384:16384">
      <c r="B10" t="s">
        <v>176</v>
      </c>
      <c r="K10" s="64"/>
      <c r="L10" s="171">
        <f t="shared" ref="L10:P10" si="0">L8*L9</f>
        <v>1766428783.8597362</v>
      </c>
      <c r="M10" s="171">
        <f t="shared" si="0"/>
        <v>1766546541.3281555</v>
      </c>
      <c r="N10" s="171">
        <f t="shared" si="0"/>
        <v>1822959694.0544517</v>
      </c>
      <c r="O10" s="171">
        <f t="shared" si="0"/>
        <v>1862901818.2745059</v>
      </c>
      <c r="P10" s="171">
        <f t="shared" si="0"/>
        <v>1883671717.5709112</v>
      </c>
    </row>
    <row r="11" spans="1:17 16384:16384">
      <c r="B11" t="s">
        <v>177</v>
      </c>
      <c r="L11" s="176">
        <f>'Yield Curve'!L107</f>
        <v>4.33</v>
      </c>
      <c r="M11" s="176">
        <f>'Yield Curve'!M107</f>
        <v>4.13</v>
      </c>
      <c r="N11" s="176">
        <f>'Yield Curve'!N107</f>
        <v>3.15</v>
      </c>
      <c r="O11" s="176">
        <f>'Yield Curve'!O107</f>
        <v>3.13</v>
      </c>
      <c r="P11" s="176">
        <f>'Yield Curve'!P107</f>
        <v>2.96</v>
      </c>
      <c r="XFD11" s="30"/>
    </row>
    <row r="12" spans="1:17 16384:16384">
      <c r="B12" s="1" t="s">
        <v>178</v>
      </c>
    </row>
    <row r="13" spans="1:17 16384:16384">
      <c r="B13" t="s">
        <v>179</v>
      </c>
      <c r="L13" s="172">
        <v>1</v>
      </c>
      <c r="M13" s="172">
        <v>0.9</v>
      </c>
      <c r="N13" s="172">
        <v>0.8</v>
      </c>
      <c r="O13" s="172">
        <v>0.7</v>
      </c>
      <c r="P13" s="172">
        <v>0.6</v>
      </c>
    </row>
    <row r="14" spans="1:17 16384:16384">
      <c r="B14" t="s">
        <v>180</v>
      </c>
      <c r="L14" s="172"/>
      <c r="M14" s="172">
        <v>0.1</v>
      </c>
      <c r="N14" s="172">
        <v>0.1</v>
      </c>
      <c r="O14" s="172">
        <v>0.1</v>
      </c>
      <c r="P14" s="172">
        <v>0.1</v>
      </c>
    </row>
    <row r="15" spans="1:17 16384:16384">
      <c r="B15" t="s">
        <v>181</v>
      </c>
      <c r="L15" s="172"/>
      <c r="M15" s="172"/>
      <c r="N15" s="172">
        <v>0.1</v>
      </c>
      <c r="O15" s="172">
        <v>0.1</v>
      </c>
      <c r="P15" s="172">
        <v>0.1</v>
      </c>
    </row>
    <row r="16" spans="1:17 16384:16384">
      <c r="B16" t="s">
        <v>182</v>
      </c>
      <c r="L16" s="172"/>
      <c r="M16" s="172"/>
      <c r="N16" s="172"/>
      <c r="O16" s="172">
        <v>0.1</v>
      </c>
      <c r="P16" s="172">
        <v>0.1</v>
      </c>
    </row>
    <row r="17" spans="2:16">
      <c r="B17" t="s">
        <v>183</v>
      </c>
      <c r="L17" s="172"/>
      <c r="M17" s="172"/>
      <c r="N17" s="172"/>
      <c r="O17" s="172"/>
      <c r="P17" s="172">
        <v>0.1</v>
      </c>
    </row>
    <row r="19" spans="2:16">
      <c r="B19" s="1" t="s">
        <v>184</v>
      </c>
    </row>
    <row r="20" spans="2:16">
      <c r="B20" t="s">
        <v>179</v>
      </c>
      <c r="L20" s="171">
        <f>L13*L$10</f>
        <v>1766428783.8597362</v>
      </c>
      <c r="M20" s="171">
        <f t="shared" ref="M20:P20" si="1">M13*M$10</f>
        <v>1589891887.1953399</v>
      </c>
      <c r="N20" s="171">
        <f t="shared" si="1"/>
        <v>1458367755.2435615</v>
      </c>
      <c r="O20" s="171">
        <f t="shared" si="1"/>
        <v>1304031272.7921541</v>
      </c>
      <c r="P20" s="171">
        <f t="shared" si="1"/>
        <v>1130203030.5425467</v>
      </c>
    </row>
    <row r="21" spans="2:16">
      <c r="B21" t="s">
        <v>180</v>
      </c>
      <c r="L21" s="171">
        <f t="shared" ref="L21:P24" si="2">L14*L$10</f>
        <v>0</v>
      </c>
      <c r="M21" s="171">
        <f t="shared" si="2"/>
        <v>176654654.13281557</v>
      </c>
      <c r="N21" s="171">
        <f t="shared" si="2"/>
        <v>182295969.40544519</v>
      </c>
      <c r="O21" s="171">
        <f t="shared" si="2"/>
        <v>186290181.8274506</v>
      </c>
      <c r="P21" s="171">
        <f t="shared" si="2"/>
        <v>188367171.75709113</v>
      </c>
    </row>
    <row r="22" spans="2:16">
      <c r="B22" t="s">
        <v>181</v>
      </c>
      <c r="L22" s="171">
        <f t="shared" si="2"/>
        <v>0</v>
      </c>
      <c r="M22" s="171">
        <f t="shared" si="2"/>
        <v>0</v>
      </c>
      <c r="N22" s="171">
        <f t="shared" si="2"/>
        <v>182295969.40544519</v>
      </c>
      <c r="O22" s="171">
        <f t="shared" si="2"/>
        <v>186290181.8274506</v>
      </c>
      <c r="P22" s="171">
        <f t="shared" si="2"/>
        <v>188367171.75709113</v>
      </c>
    </row>
    <row r="23" spans="2:16">
      <c r="B23" t="s">
        <v>182</v>
      </c>
      <c r="L23" s="171">
        <f t="shared" si="2"/>
        <v>0</v>
      </c>
      <c r="M23" s="171">
        <f t="shared" si="2"/>
        <v>0</v>
      </c>
      <c r="N23" s="171">
        <f t="shared" si="2"/>
        <v>0</v>
      </c>
      <c r="O23" s="171">
        <f t="shared" si="2"/>
        <v>186290181.8274506</v>
      </c>
      <c r="P23" s="171">
        <f t="shared" si="2"/>
        <v>188367171.75709113</v>
      </c>
    </row>
    <row r="24" spans="2:16">
      <c r="B24" t="s">
        <v>183</v>
      </c>
      <c r="L24" s="171">
        <f t="shared" si="2"/>
        <v>0</v>
      </c>
      <c r="M24" s="171">
        <f t="shared" si="2"/>
        <v>0</v>
      </c>
      <c r="N24" s="171">
        <f t="shared" si="2"/>
        <v>0</v>
      </c>
      <c r="O24" s="171">
        <f t="shared" si="2"/>
        <v>0</v>
      </c>
      <c r="P24" s="171">
        <f t="shared" si="2"/>
        <v>188367171.75709113</v>
      </c>
    </row>
    <row r="26" spans="2:16">
      <c r="B26" s="1" t="s">
        <v>185</v>
      </c>
    </row>
    <row r="27" spans="2:16">
      <c r="B27" t="s">
        <v>179</v>
      </c>
      <c r="L27" s="171">
        <f>L20*('Trailing average adjustment bnd'!N15/100)</f>
        <v>1766428783.8597362</v>
      </c>
      <c r="M27" s="171">
        <f>M20*('Trailing average adjustment bnd'!O15/100)</f>
        <v>1626654495.290982</v>
      </c>
      <c r="N27" s="171">
        <f>N20*('Trailing average adjustment bnd'!P15/100)</f>
        <v>1610432514.89571</v>
      </c>
      <c r="O27" s="171">
        <f>O20*('Trailing average adjustment bnd'!Q15/100)</f>
        <v>1429711311.7090802</v>
      </c>
      <c r="P27" s="171">
        <f>P20*('Trailing average adjustment bnd'!R15/100)</f>
        <v>1264648175.7559834</v>
      </c>
    </row>
    <row r="28" spans="2:16">
      <c r="B28" t="s">
        <v>180</v>
      </c>
      <c r="L28" s="171">
        <f>L21*('Trailing average adjustment bnd'!N16/100)</f>
        <v>0</v>
      </c>
      <c r="M28" s="171">
        <f>M21*('Trailing average adjustment bnd'!O16/100)</f>
        <v>176654654.13281557</v>
      </c>
      <c r="N28" s="171">
        <f>N21*('Trailing average adjustment bnd'!P16/100)</f>
        <v>197570962.82209969</v>
      </c>
      <c r="O28" s="171">
        <f>O21*('Trailing average adjustment bnd'!Q16/100)</f>
        <v>202736790.20240387</v>
      </c>
      <c r="P28" s="171">
        <f>P21*('Trailing average adjustment bnd'!R16/100)</f>
        <v>207989314.19356447</v>
      </c>
    </row>
    <row r="29" spans="2:16">
      <c r="B29" t="s">
        <v>181</v>
      </c>
      <c r="L29" s="171">
        <f>L22*('Trailing average adjustment bnd'!N17/100)</f>
        <v>0</v>
      </c>
      <c r="M29" s="171">
        <f>M22*('Trailing average adjustment bnd'!O17/100)</f>
        <v>0</v>
      </c>
      <c r="N29" s="171">
        <f>N22*('Trailing average adjustment bnd'!P17/100)</f>
        <v>182295969.40544519</v>
      </c>
      <c r="O29" s="171">
        <f>O22*('Trailing average adjustment bnd'!Q17/100)</f>
        <v>187791809.89135614</v>
      </c>
      <c r="P29" s="171">
        <f>P22*('Trailing average adjustment bnd'!R17/100)</f>
        <v>195660807.43836206</v>
      </c>
    </row>
    <row r="30" spans="2:16">
      <c r="B30" t="s">
        <v>182</v>
      </c>
      <c r="L30" s="171">
        <f>L23*('Trailing average adjustment bnd'!N18/100)</f>
        <v>0</v>
      </c>
      <c r="M30" s="171">
        <f>M23*('Trailing average adjustment bnd'!O18/100)</f>
        <v>0</v>
      </c>
      <c r="N30" s="171">
        <f>N23*('Trailing average adjustment bnd'!P18/100)</f>
        <v>0</v>
      </c>
      <c r="O30" s="171">
        <f>O23*('Trailing average adjustment bnd'!Q18/100)</f>
        <v>186290181.8274506</v>
      </c>
      <c r="P30" s="171">
        <f>P23*('Trailing average adjustment bnd'!R18/100)</f>
        <v>192614923.30823079</v>
      </c>
    </row>
    <row r="31" spans="2:16">
      <c r="B31" t="s">
        <v>183</v>
      </c>
      <c r="L31" s="171">
        <f>L24*('Trailing average adjustment bnd'!N19/100)</f>
        <v>0</v>
      </c>
      <c r="M31" s="171">
        <f>M24*('Trailing average adjustment bnd'!O19/100)</f>
        <v>0</v>
      </c>
      <c r="N31" s="171">
        <f>N24*('Trailing average adjustment bnd'!P19/100)</f>
        <v>0</v>
      </c>
      <c r="O31" s="171">
        <f>O24*('Trailing average adjustment bnd'!Q19/100)</f>
        <v>0</v>
      </c>
      <c r="P31" s="171">
        <f>P24*('Trailing average adjustment bnd'!R19/100)</f>
        <v>188367171.75709113</v>
      </c>
    </row>
    <row r="33" spans="2:17">
      <c r="B33" t="s">
        <v>186</v>
      </c>
      <c r="L33" s="171">
        <f>SUM(L27:L31)</f>
        <v>1766428783.8597362</v>
      </c>
      <c r="M33" s="171">
        <f t="shared" ref="M33:P33" si="3">SUM(M27:M31)</f>
        <v>1803309149.4237976</v>
      </c>
      <c r="N33" s="171">
        <f t="shared" si="3"/>
        <v>1990299447.1232548</v>
      </c>
      <c r="O33" s="171">
        <f t="shared" si="3"/>
        <v>2006530093.6302907</v>
      </c>
      <c r="P33" s="171">
        <f t="shared" si="3"/>
        <v>2049280392.4532318</v>
      </c>
    </row>
    <row r="34" spans="2:17">
      <c r="P34" s="64"/>
    </row>
    <row r="35" spans="2:17">
      <c r="B35" t="s">
        <v>187</v>
      </c>
      <c r="L35" s="171">
        <f>L33-L10</f>
        <v>0</v>
      </c>
      <c r="M35" s="171">
        <f>M33-M10</f>
        <v>36762608.09564209</v>
      </c>
      <c r="N35" s="171">
        <f>N33-N10</f>
        <v>167339753.06880307</v>
      </c>
      <c r="O35" s="171">
        <f>O33-O10</f>
        <v>143628275.35578489</v>
      </c>
      <c r="P35" s="171">
        <f>P33-P10</f>
        <v>165608674.88232064</v>
      </c>
      <c r="Q35" s="171">
        <f>P35</f>
        <v>165608674.88232064</v>
      </c>
    </row>
    <row r="36" spans="2:17">
      <c r="B36" t="s">
        <v>188</v>
      </c>
      <c r="E36" s="171">
        <f>E35+E8</f>
        <v>2257868064</v>
      </c>
      <c r="F36" s="171">
        <f t="shared" ref="F36:Q36" si="4">F35+F8</f>
        <v>2328015869</v>
      </c>
      <c r="G36" s="171">
        <f t="shared" si="4"/>
        <v>2413683359</v>
      </c>
      <c r="H36" s="171">
        <f t="shared" si="4"/>
        <v>2539015262.7664485</v>
      </c>
      <c r="I36" s="171">
        <f t="shared" si="4"/>
        <v>2843420673.8552299</v>
      </c>
      <c r="J36" s="171">
        <f t="shared" si="4"/>
        <v>2880085281.4596777</v>
      </c>
      <c r="K36" s="171">
        <f t="shared" si="4"/>
        <v>2953237774.7254901</v>
      </c>
      <c r="L36" s="171">
        <f t="shared" si="4"/>
        <v>2944047973.0995603</v>
      </c>
      <c r="M36" s="171">
        <f t="shared" si="4"/>
        <v>2981006843.6425681</v>
      </c>
      <c r="N36" s="171">
        <f t="shared" si="4"/>
        <v>3205605909.8262224</v>
      </c>
      <c r="O36" s="171">
        <f t="shared" si="4"/>
        <v>3248464639.1466279</v>
      </c>
      <c r="P36" s="171">
        <f t="shared" si="4"/>
        <v>3305061537.5005064</v>
      </c>
      <c r="Q36" s="171">
        <f t="shared" si="4"/>
        <v>3414888793.8112106</v>
      </c>
    </row>
    <row r="38" spans="2:17">
      <c r="B38" s="5" t="s">
        <v>189</v>
      </c>
      <c r="J38" s="1" t="s">
        <v>173</v>
      </c>
      <c r="O38" s="1" t="s">
        <v>190</v>
      </c>
    </row>
    <row r="39" spans="2:17">
      <c r="C39" t="s">
        <v>191</v>
      </c>
      <c r="E39">
        <v>2011</v>
      </c>
      <c r="F39">
        <v>2012</v>
      </c>
      <c r="G39">
        <v>2013</v>
      </c>
      <c r="H39">
        <v>2014</v>
      </c>
      <c r="I39">
        <v>2015</v>
      </c>
      <c r="J39">
        <v>2016</v>
      </c>
      <c r="K39">
        <v>2017</v>
      </c>
      <c r="L39">
        <v>2018</v>
      </c>
      <c r="M39">
        <v>2019</v>
      </c>
      <c r="N39">
        <v>2020</v>
      </c>
      <c r="O39">
        <v>2021</v>
      </c>
      <c r="P39">
        <v>2022</v>
      </c>
    </row>
    <row r="41" spans="2:17">
      <c r="B41" t="s">
        <v>45</v>
      </c>
      <c r="E41" s="173">
        <f>'AST - RIN'!H31+'AST - RIN'!H41</f>
        <v>2283900142.8158398</v>
      </c>
      <c r="F41" s="173">
        <f>'AST - RIN'!I31+'AST - RIN'!I41</f>
        <v>2570384002.85286</v>
      </c>
      <c r="G41" s="173">
        <f>'AST - RIN'!J31+'AST - RIN'!J41</f>
        <v>2867023985.0231338</v>
      </c>
      <c r="H41" s="173">
        <f>'AST - RIN'!K31+'AST - RIN'!K41</f>
        <v>3199049841.8444719</v>
      </c>
      <c r="I41" s="173">
        <f>'AST - RIN'!L31+'AST - RIN'!L41</f>
        <v>3474930697.2273326</v>
      </c>
      <c r="J41" s="173">
        <f>'AST - RIN'!M31+'AST - RIN'!M41</f>
        <v>3621629332.7165833</v>
      </c>
      <c r="K41" s="173">
        <f>'AST - RIN'!N31+'AST - RIN'!N41</f>
        <v>3825769798.2530894</v>
      </c>
      <c r="L41" s="173">
        <f>'AST - RIN'!O31+'AST - RIN'!O41</f>
        <v>4384701611.9980373</v>
      </c>
      <c r="M41" s="173">
        <f>'AST - RIN'!P31+'AST - RIN'!P41</f>
        <v>4631235376.6888437</v>
      </c>
      <c r="N41" s="173">
        <f>'AST - RIN'!Q31+'AST - RIN'!Q41</f>
        <v>4833307333.289649</v>
      </c>
      <c r="O41" s="171">
        <f>N41*(Inflation!B404/Inflation!B402)+'AER Regulatory determination'!L63-'AER Regulatory determination'!L65</f>
        <v>4758436924.623889</v>
      </c>
      <c r="P41" s="171">
        <f>O41*(Inflation!B408/Inflation!B404)+'AER Regulatory determination'!M63-'AER Regulatory determination'!M65</f>
        <v>4941453797.4171152</v>
      </c>
    </row>
    <row r="42" spans="2:17">
      <c r="B42" t="s">
        <v>175</v>
      </c>
      <c r="J42" s="172">
        <v>0.6</v>
      </c>
      <c r="K42" s="172">
        <v>0.6</v>
      </c>
      <c r="L42" s="172">
        <v>0.6</v>
      </c>
      <c r="M42" s="172">
        <v>0.6</v>
      </c>
      <c r="N42" s="172">
        <v>0.6</v>
      </c>
      <c r="O42" s="172">
        <v>0.6</v>
      </c>
      <c r="P42" s="172">
        <v>0.6</v>
      </c>
    </row>
    <row r="43" spans="2:17">
      <c r="B43" t="s">
        <v>176</v>
      </c>
      <c r="J43" s="171">
        <f>J41*J42</f>
        <v>2172977599.62995</v>
      </c>
      <c r="K43" s="171">
        <f t="shared" ref="K43:P43" si="5">K41*K42</f>
        <v>2295461878.9518538</v>
      </c>
      <c r="L43" s="171">
        <f t="shared" si="5"/>
        <v>2630820967.1988225</v>
      </c>
      <c r="M43" s="171">
        <f t="shared" si="5"/>
        <v>2778741226.0133061</v>
      </c>
      <c r="N43" s="171">
        <f t="shared" si="5"/>
        <v>2899984399.9737892</v>
      </c>
      <c r="O43" s="171">
        <f t="shared" si="5"/>
        <v>2855062154.7743335</v>
      </c>
      <c r="P43" s="171">
        <f t="shared" si="5"/>
        <v>2964872278.4502692</v>
      </c>
    </row>
    <row r="44" spans="2:17">
      <c r="B44" t="s">
        <v>177</v>
      </c>
      <c r="J44" s="176">
        <f>'Yield Curve'!J154</f>
        <v>4.9350000000000005</v>
      </c>
      <c r="K44" s="176">
        <f>'Yield Curve'!K154</f>
        <v>4.2200000000000006</v>
      </c>
      <c r="L44" s="176">
        <f>'Yield Curve'!L154</f>
        <v>4.66</v>
      </c>
      <c r="M44" s="176">
        <f>'Yield Curve'!M154</f>
        <v>3.0549999999999997</v>
      </c>
      <c r="N44" s="176">
        <f>'Yield Curve'!N154</f>
        <v>2.2949999999999999</v>
      </c>
      <c r="O44" s="176">
        <f>'Yield Curve'!O61</f>
        <v>3.12</v>
      </c>
      <c r="P44" s="176">
        <f>'Yield Curve'!P61</f>
        <v>3.7750000000000004</v>
      </c>
    </row>
    <row r="45" spans="2:17">
      <c r="B45" s="1" t="s">
        <v>178</v>
      </c>
      <c r="J45" s="30"/>
      <c r="K45" s="30"/>
      <c r="L45" s="30"/>
      <c r="M45" s="30"/>
      <c r="N45" s="30"/>
      <c r="O45" s="30"/>
      <c r="P45" s="30"/>
    </row>
    <row r="46" spans="2:17">
      <c r="B46" t="s">
        <v>179</v>
      </c>
      <c r="J46" s="172">
        <v>1</v>
      </c>
      <c r="K46" s="172">
        <f>J46-0.1</f>
        <v>0.9</v>
      </c>
      <c r="L46" s="172">
        <f t="shared" ref="L46:P46" si="6">K46-0.1</f>
        <v>0.8</v>
      </c>
      <c r="M46" s="172">
        <f t="shared" si="6"/>
        <v>0.70000000000000007</v>
      </c>
      <c r="N46" s="172">
        <f t="shared" si="6"/>
        <v>0.60000000000000009</v>
      </c>
      <c r="O46" s="172">
        <f t="shared" si="6"/>
        <v>0.50000000000000011</v>
      </c>
      <c r="P46" s="172">
        <f t="shared" si="6"/>
        <v>0.40000000000000013</v>
      </c>
    </row>
    <row r="47" spans="2:17">
      <c r="B47" t="s">
        <v>180</v>
      </c>
      <c r="J47" s="172"/>
      <c r="K47" s="172">
        <f>0.1</f>
        <v>0.1</v>
      </c>
      <c r="L47" s="172">
        <f t="shared" ref="L47:P52" si="7">0.1</f>
        <v>0.1</v>
      </c>
      <c r="M47" s="172">
        <f t="shared" si="7"/>
        <v>0.1</v>
      </c>
      <c r="N47" s="172">
        <f t="shared" si="7"/>
        <v>0.1</v>
      </c>
      <c r="O47" s="172">
        <f t="shared" si="7"/>
        <v>0.1</v>
      </c>
      <c r="P47" s="172">
        <f t="shared" si="7"/>
        <v>0.1</v>
      </c>
    </row>
    <row r="48" spans="2:17">
      <c r="B48" t="s">
        <v>181</v>
      </c>
      <c r="J48" s="172"/>
      <c r="K48" s="172"/>
      <c r="L48" s="172">
        <f t="shared" si="7"/>
        <v>0.1</v>
      </c>
      <c r="M48" s="172">
        <f t="shared" si="7"/>
        <v>0.1</v>
      </c>
      <c r="N48" s="172">
        <f t="shared" si="7"/>
        <v>0.1</v>
      </c>
      <c r="O48" s="172">
        <f t="shared" si="7"/>
        <v>0.1</v>
      </c>
      <c r="P48" s="172">
        <f t="shared" si="7"/>
        <v>0.1</v>
      </c>
    </row>
    <row r="49" spans="2:16">
      <c r="B49" t="s">
        <v>182</v>
      </c>
      <c r="J49" s="172"/>
      <c r="K49" s="172"/>
      <c r="L49" s="172"/>
      <c r="M49" s="172">
        <f t="shared" si="7"/>
        <v>0.1</v>
      </c>
      <c r="N49" s="172">
        <f t="shared" si="7"/>
        <v>0.1</v>
      </c>
      <c r="O49" s="172">
        <f t="shared" si="7"/>
        <v>0.1</v>
      </c>
      <c r="P49" s="172">
        <f t="shared" si="7"/>
        <v>0.1</v>
      </c>
    </row>
    <row r="50" spans="2:16">
      <c r="B50" t="s">
        <v>183</v>
      </c>
      <c r="J50" s="172"/>
      <c r="K50" s="172"/>
      <c r="L50" s="172"/>
      <c r="M50" s="172"/>
      <c r="N50" s="172">
        <f t="shared" si="7"/>
        <v>0.1</v>
      </c>
      <c r="O50" s="172">
        <f t="shared" si="7"/>
        <v>0.1</v>
      </c>
      <c r="P50" s="172">
        <f t="shared" si="7"/>
        <v>0.1</v>
      </c>
    </row>
    <row r="51" spans="2:16">
      <c r="B51" t="s">
        <v>192</v>
      </c>
      <c r="J51" s="172"/>
      <c r="K51" s="172"/>
      <c r="L51" s="172"/>
      <c r="M51" s="172"/>
      <c r="N51" s="172"/>
      <c r="O51" s="172">
        <f t="shared" si="7"/>
        <v>0.1</v>
      </c>
      <c r="P51" s="172">
        <f t="shared" si="7"/>
        <v>0.1</v>
      </c>
    </row>
    <row r="52" spans="2:16">
      <c r="B52" t="s">
        <v>193</v>
      </c>
      <c r="J52" s="172"/>
      <c r="K52" s="172"/>
      <c r="L52" s="172"/>
      <c r="M52" s="172"/>
      <c r="N52" s="172"/>
      <c r="O52" s="172"/>
      <c r="P52" s="172">
        <f t="shared" si="7"/>
        <v>0.1</v>
      </c>
    </row>
    <row r="54" spans="2:16">
      <c r="B54" s="1" t="s">
        <v>184</v>
      </c>
    </row>
    <row r="55" spans="2:16">
      <c r="B55" t="s">
        <v>179</v>
      </c>
      <c r="J55" s="171">
        <f>J46*J$43</f>
        <v>2172977599.62995</v>
      </c>
      <c r="K55" s="171">
        <f t="shared" ref="K55:P55" si="8">K46*K$43</f>
        <v>2065915691.0566685</v>
      </c>
      <c r="L55" s="171">
        <f t="shared" si="8"/>
        <v>2104656773.759058</v>
      </c>
      <c r="M55" s="171">
        <f t="shared" si="8"/>
        <v>1945118858.2093146</v>
      </c>
      <c r="N55" s="171">
        <f t="shared" si="8"/>
        <v>1739990639.9842737</v>
      </c>
      <c r="O55" s="171">
        <f t="shared" si="8"/>
        <v>1427531077.387167</v>
      </c>
      <c r="P55" s="171">
        <f t="shared" si="8"/>
        <v>1185948911.3801081</v>
      </c>
    </row>
    <row r="56" spans="2:16">
      <c r="B56" t="s">
        <v>180</v>
      </c>
      <c r="J56" s="171">
        <f t="shared" ref="J56:P56" si="9">J47*J$43</f>
        <v>0</v>
      </c>
      <c r="K56" s="171">
        <f t="shared" si="9"/>
        <v>229546187.89518538</v>
      </c>
      <c r="L56" s="171">
        <f t="shared" si="9"/>
        <v>263082096.71988225</v>
      </c>
      <c r="M56" s="171">
        <f t="shared" si="9"/>
        <v>277874122.60133064</v>
      </c>
      <c r="N56" s="171">
        <f t="shared" si="9"/>
        <v>289998439.99737895</v>
      </c>
      <c r="O56" s="171">
        <f t="shared" si="9"/>
        <v>285506215.47743338</v>
      </c>
      <c r="P56" s="171">
        <f t="shared" si="9"/>
        <v>296487227.84502691</v>
      </c>
    </row>
    <row r="57" spans="2:16">
      <c r="B57" t="s">
        <v>181</v>
      </c>
      <c r="J57" s="171">
        <f t="shared" ref="J57:P57" si="10">J48*J$43</f>
        <v>0</v>
      </c>
      <c r="K57" s="171">
        <f t="shared" si="10"/>
        <v>0</v>
      </c>
      <c r="L57" s="171">
        <f t="shared" si="10"/>
        <v>263082096.71988225</v>
      </c>
      <c r="M57" s="171">
        <f t="shared" si="10"/>
        <v>277874122.60133064</v>
      </c>
      <c r="N57" s="171">
        <f t="shared" si="10"/>
        <v>289998439.99737895</v>
      </c>
      <c r="O57" s="171">
        <f t="shared" si="10"/>
        <v>285506215.47743338</v>
      </c>
      <c r="P57" s="171">
        <f t="shared" si="10"/>
        <v>296487227.84502691</v>
      </c>
    </row>
    <row r="58" spans="2:16">
      <c r="B58" t="s">
        <v>182</v>
      </c>
      <c r="J58" s="171">
        <f t="shared" ref="J58:P58" si="11">J49*J$43</f>
        <v>0</v>
      </c>
      <c r="K58" s="171">
        <f t="shared" si="11"/>
        <v>0</v>
      </c>
      <c r="L58" s="171">
        <f t="shared" si="11"/>
        <v>0</v>
      </c>
      <c r="M58" s="171">
        <f t="shared" si="11"/>
        <v>277874122.60133064</v>
      </c>
      <c r="N58" s="171">
        <f t="shared" si="11"/>
        <v>289998439.99737895</v>
      </c>
      <c r="O58" s="171">
        <f t="shared" si="11"/>
        <v>285506215.47743338</v>
      </c>
      <c r="P58" s="171">
        <f t="shared" si="11"/>
        <v>296487227.84502691</v>
      </c>
    </row>
    <row r="59" spans="2:16">
      <c r="B59" t="s">
        <v>183</v>
      </c>
      <c r="J59" s="171">
        <f t="shared" ref="J59:P59" si="12">J50*J$43</f>
        <v>0</v>
      </c>
      <c r="K59" s="171">
        <f t="shared" si="12"/>
        <v>0</v>
      </c>
      <c r="L59" s="171">
        <f t="shared" si="12"/>
        <v>0</v>
      </c>
      <c r="M59" s="171">
        <f t="shared" si="12"/>
        <v>0</v>
      </c>
      <c r="N59" s="171">
        <f t="shared" si="12"/>
        <v>289998439.99737895</v>
      </c>
      <c r="O59" s="171">
        <f t="shared" si="12"/>
        <v>285506215.47743338</v>
      </c>
      <c r="P59" s="171">
        <f t="shared" si="12"/>
        <v>296487227.84502691</v>
      </c>
    </row>
    <row r="60" spans="2:16">
      <c r="B60" t="s">
        <v>192</v>
      </c>
      <c r="J60" s="171">
        <f t="shared" ref="J60:P60" si="13">J51*J$43</f>
        <v>0</v>
      </c>
      <c r="K60" s="171">
        <f t="shared" si="13"/>
        <v>0</v>
      </c>
      <c r="L60" s="171">
        <f t="shared" si="13"/>
        <v>0</v>
      </c>
      <c r="M60" s="171">
        <f t="shared" si="13"/>
        <v>0</v>
      </c>
      <c r="N60" s="171">
        <f t="shared" si="13"/>
        <v>0</v>
      </c>
      <c r="O60" s="171">
        <f t="shared" si="13"/>
        <v>285506215.47743338</v>
      </c>
      <c r="P60" s="171">
        <f t="shared" si="13"/>
        <v>296487227.84502691</v>
      </c>
    </row>
    <row r="61" spans="2:16">
      <c r="B61" t="s">
        <v>193</v>
      </c>
      <c r="J61" s="171">
        <f t="shared" ref="J61:P61" si="14">J52*J$43</f>
        <v>0</v>
      </c>
      <c r="K61" s="171">
        <f t="shared" si="14"/>
        <v>0</v>
      </c>
      <c r="L61" s="171">
        <f t="shared" si="14"/>
        <v>0</v>
      </c>
      <c r="M61" s="171">
        <f t="shared" si="14"/>
        <v>0</v>
      </c>
      <c r="N61" s="171">
        <f t="shared" si="14"/>
        <v>0</v>
      </c>
      <c r="O61" s="171">
        <f t="shared" si="14"/>
        <v>0</v>
      </c>
      <c r="P61" s="171">
        <f t="shared" si="14"/>
        <v>296487227.84502691</v>
      </c>
    </row>
    <row r="63" spans="2:16">
      <c r="B63" s="1" t="s">
        <v>185</v>
      </c>
    </row>
    <row r="64" spans="2:16">
      <c r="B64" t="s">
        <v>179</v>
      </c>
      <c r="J64" s="171">
        <f>J55*('Trailing average adjustment bnd'!L33/100)</f>
        <v>2172977599.62995</v>
      </c>
      <c r="K64" s="171">
        <f>K55*('Trailing average adjustment bnd'!M33/100)</f>
        <v>2192009205.2680521</v>
      </c>
      <c r="L64" s="171">
        <f>L55*('Trailing average adjustment bnd'!N33/100)</f>
        <v>2191917890.0559363</v>
      </c>
      <c r="M64" s="171">
        <f>M55*('Trailing average adjustment bnd'!O33/100)</f>
        <v>2219724269.821394</v>
      </c>
      <c r="N64" s="171">
        <f>N55*('Trailing average adjustment bnd'!P33/100)</f>
        <v>2044903135.5001166</v>
      </c>
      <c r="O64" s="171">
        <f>O55*('Trailing average adjustment bnd'!Q33/100)</f>
        <v>1630503851.6458514</v>
      </c>
      <c r="P64" s="171">
        <f>P55*('Trailing average adjustment bnd'!R33/100)</f>
        <v>1296951081.485528</v>
      </c>
    </row>
    <row r="65" spans="2:17">
      <c r="B65" t="s">
        <v>180</v>
      </c>
      <c r="J65" s="171">
        <f>J56*('Trailing average adjustment bnd'!L34/100)</f>
        <v>0</v>
      </c>
      <c r="K65" s="171">
        <f>K56*('Trailing average adjustment bnd'!M34/100)</f>
        <v>229546187.89518538</v>
      </c>
      <c r="L65" s="171">
        <f>L56*('Trailing average adjustment bnd'!N34/100)</f>
        <v>256903245.20525211</v>
      </c>
      <c r="M65" s="171">
        <f>M56*('Trailing average adjustment bnd'!O34/100)</f>
        <v>306120712.52972883</v>
      </c>
      <c r="N65" s="171">
        <f>N56*('Trailing average adjustment bnd'!P34/100)</f>
        <v>328828045.67211688</v>
      </c>
      <c r="O65" s="171">
        <f>O56*('Trailing average adjustment bnd'!Q34/100)</f>
        <v>316282672.27959347</v>
      </c>
      <c r="P65" s="171">
        <f>P56*('Trailing average adjustment bnd'!R34/100)</f>
        <v>316163332.95614111</v>
      </c>
    </row>
    <row r="66" spans="2:17">
      <c r="B66" t="s">
        <v>181</v>
      </c>
      <c r="J66" s="171">
        <f>J57*('Trailing average adjustment bnd'!L35/100)</f>
        <v>0</v>
      </c>
      <c r="K66" s="171">
        <f>K57*('Trailing average adjustment bnd'!M35/100)</f>
        <v>0</v>
      </c>
      <c r="L66" s="171">
        <f>L57*('Trailing average adjustment bnd'!N35/100)</f>
        <v>263082096.71988225</v>
      </c>
      <c r="M66" s="171">
        <f>M57*('Trailing average adjustment bnd'!O35/100)</f>
        <v>314606361.60533381</v>
      </c>
      <c r="N66" s="171">
        <f>N57*('Trailing average adjustment bnd'!P35/100)</f>
        <v>342305824.97831118</v>
      </c>
      <c r="O66" s="171">
        <f>O57*('Trailing average adjustment bnd'!Q35/100)</f>
        <v>322124460.87322944</v>
      </c>
      <c r="P66" s="171">
        <f>P57*('Trailing average adjustment bnd'!R35/100)</f>
        <v>322514297.59772408</v>
      </c>
    </row>
    <row r="67" spans="2:17">
      <c r="B67" t="s">
        <v>182</v>
      </c>
      <c r="J67" s="171">
        <f>J58*('Trailing average adjustment bnd'!L36/100)</f>
        <v>0</v>
      </c>
      <c r="K67" s="171">
        <f>K58*('Trailing average adjustment bnd'!M36/100)</f>
        <v>0</v>
      </c>
      <c r="L67" s="171">
        <f>L58*('Trailing average adjustment bnd'!N36/100)</f>
        <v>0</v>
      </c>
      <c r="M67" s="171">
        <f>M58*('Trailing average adjustment bnd'!O36/100)</f>
        <v>277874122.60133058</v>
      </c>
      <c r="N67" s="171">
        <f>N58*('Trailing average adjustment bnd'!P36/100)</f>
        <v>308676000.24793679</v>
      </c>
      <c r="O67" s="171">
        <f>O58*('Trailing average adjustment bnd'!Q36/100)</f>
        <v>291632615.24711645</v>
      </c>
      <c r="P67" s="171">
        <f>P58*('Trailing average adjustment bnd'!R36/100)</f>
        <v>292102824.10582322</v>
      </c>
    </row>
    <row r="68" spans="2:17">
      <c r="B68" t="s">
        <v>183</v>
      </c>
      <c r="J68" s="171">
        <f>J59*('Trailing average adjustment bnd'!L37/100)</f>
        <v>0</v>
      </c>
      <c r="K68" s="171">
        <f>K59*('Trailing average adjustment bnd'!M37/100)</f>
        <v>0</v>
      </c>
      <c r="L68" s="171">
        <f>L59*('Trailing average adjustment bnd'!N37/100)</f>
        <v>0</v>
      </c>
      <c r="M68" s="171">
        <f>M59*('Trailing average adjustment bnd'!O37/100)</f>
        <v>0</v>
      </c>
      <c r="N68" s="171">
        <f>N59*('Trailing average adjustment bnd'!P37/100)</f>
        <v>289998439.99737895</v>
      </c>
      <c r="O68" s="171">
        <f>O59*('Trailing average adjustment bnd'!Q37/100)</f>
        <v>269887942.71890676</v>
      </c>
      <c r="P68" s="171">
        <f>P59*('Trailing average adjustment bnd'!R37/100)</f>
        <v>273579986.18569255</v>
      </c>
    </row>
    <row r="69" spans="2:17">
      <c r="B69" t="s">
        <v>192</v>
      </c>
      <c r="J69" s="171">
        <f>J60*('Trailing average adjustment bnd'!L38/100)</f>
        <v>0</v>
      </c>
      <c r="K69" s="171">
        <f>K60*('Trailing average adjustment bnd'!M38/100)</f>
        <v>0</v>
      </c>
      <c r="L69" s="171">
        <f>L60*('Trailing average adjustment bnd'!N38/100)</f>
        <v>0</v>
      </c>
      <c r="M69" s="171">
        <f>M60*('Trailing average adjustment bnd'!O38/100)</f>
        <v>0</v>
      </c>
      <c r="N69" s="171">
        <f>N60*('Trailing average adjustment bnd'!P38/100)</f>
        <v>0</v>
      </c>
      <c r="O69" s="171">
        <f>O60*('Trailing average adjustment bnd'!Q38/100)</f>
        <v>285506215.47743338</v>
      </c>
      <c r="P69" s="171">
        <f>P60*('Trailing average adjustment bnd'!R38/100)</f>
        <v>284505625.95239812</v>
      </c>
    </row>
    <row r="70" spans="2:17">
      <c r="B70" t="s">
        <v>193</v>
      </c>
      <c r="J70" s="171">
        <f>J61*('Trailing average adjustment bnd'!L39/100)</f>
        <v>0</v>
      </c>
      <c r="K70" s="171">
        <f>K61*('Trailing average adjustment bnd'!M39/100)</f>
        <v>0</v>
      </c>
      <c r="L70" s="171">
        <f>L61*('Trailing average adjustment bnd'!N39/100)</f>
        <v>0</v>
      </c>
      <c r="M70" s="171">
        <f>M61*('Trailing average adjustment bnd'!O39/100)</f>
        <v>0</v>
      </c>
      <c r="N70" s="171">
        <f>N61*('Trailing average adjustment bnd'!P39/100)</f>
        <v>0</v>
      </c>
      <c r="O70" s="171">
        <f>O61*('Trailing average adjustment bnd'!Q39/100)</f>
        <v>0</v>
      </c>
      <c r="P70" s="171">
        <f>P61*('Trailing average adjustment bnd'!R39/100)</f>
        <v>296487227.84502691</v>
      </c>
    </row>
    <row r="72" spans="2:17">
      <c r="B72" t="s">
        <v>186</v>
      </c>
      <c r="J72" s="171">
        <f>SUM(J64:J70)</f>
        <v>2172977599.62995</v>
      </c>
      <c r="K72" s="171">
        <f t="shared" ref="K72:P72" si="15">SUM(K64:K70)</f>
        <v>2421555393.1632376</v>
      </c>
      <c r="L72" s="171">
        <f t="shared" si="15"/>
        <v>2711903231.9810705</v>
      </c>
      <c r="M72" s="171">
        <f t="shared" si="15"/>
        <v>3118325466.5577874</v>
      </c>
      <c r="N72" s="171">
        <f t="shared" si="15"/>
        <v>3314711446.3958602</v>
      </c>
      <c r="O72" s="171">
        <f t="shared" si="15"/>
        <v>3115937758.2421308</v>
      </c>
      <c r="P72" s="171">
        <f t="shared" si="15"/>
        <v>3082304376.128334</v>
      </c>
    </row>
    <row r="74" spans="2:17">
      <c r="B74" t="s">
        <v>187</v>
      </c>
      <c r="J74" s="171">
        <f t="shared" ref="J74:P74" si="16">J72-J43</f>
        <v>0</v>
      </c>
      <c r="K74" s="171">
        <f t="shared" si="16"/>
        <v>126093514.21138382</v>
      </c>
      <c r="L74" s="171">
        <f t="shared" si="16"/>
        <v>81082264.78224802</v>
      </c>
      <c r="M74" s="171">
        <f t="shared" si="16"/>
        <v>339584240.54448128</v>
      </c>
      <c r="N74" s="171">
        <f t="shared" si="16"/>
        <v>414727046.42207098</v>
      </c>
      <c r="O74" s="171">
        <f t="shared" si="16"/>
        <v>260875603.46779728</v>
      </c>
      <c r="P74" s="171">
        <f t="shared" si="16"/>
        <v>117432097.67806482</v>
      </c>
    </row>
    <row r="75" spans="2:17">
      <c r="B75" t="s">
        <v>188</v>
      </c>
      <c r="E75" s="171">
        <f t="shared" ref="E75:P75" si="17">E74+E41</f>
        <v>2283900142.8158398</v>
      </c>
      <c r="F75" s="171">
        <f t="shared" si="17"/>
        <v>2570384002.85286</v>
      </c>
      <c r="G75" s="171">
        <f t="shared" si="17"/>
        <v>2867023985.0231338</v>
      </c>
      <c r="H75" s="171">
        <f t="shared" si="17"/>
        <v>3199049841.8444719</v>
      </c>
      <c r="I75" s="171">
        <f t="shared" si="17"/>
        <v>3474930697.2273326</v>
      </c>
      <c r="J75" s="171">
        <f t="shared" si="17"/>
        <v>3621629332.7165833</v>
      </c>
      <c r="K75" s="171">
        <f t="shared" si="17"/>
        <v>3951863312.4644732</v>
      </c>
      <c r="L75" s="171">
        <f t="shared" si="17"/>
        <v>4465783876.7802849</v>
      </c>
      <c r="M75" s="171">
        <f t="shared" si="17"/>
        <v>4970819617.233325</v>
      </c>
      <c r="N75" s="171">
        <f t="shared" si="17"/>
        <v>5248034379.7117195</v>
      </c>
      <c r="O75" s="171">
        <f t="shared" si="17"/>
        <v>5019312528.0916862</v>
      </c>
      <c r="P75" s="171">
        <f t="shared" si="17"/>
        <v>5058885895.0951805</v>
      </c>
    </row>
    <row r="77" spans="2:17">
      <c r="B77" s="5" t="s">
        <v>194</v>
      </c>
      <c r="L77" s="1" t="s">
        <v>195</v>
      </c>
    </row>
    <row r="78" spans="2:17">
      <c r="C78" t="s">
        <v>191</v>
      </c>
      <c r="E78">
        <v>2011</v>
      </c>
      <c r="F78">
        <v>2012</v>
      </c>
      <c r="G78">
        <v>2013</v>
      </c>
      <c r="H78">
        <v>2014</v>
      </c>
      <c r="I78">
        <v>2015</v>
      </c>
      <c r="J78">
        <v>2016</v>
      </c>
      <c r="K78">
        <v>2017</v>
      </c>
      <c r="L78">
        <v>2018</v>
      </c>
      <c r="M78">
        <v>2019</v>
      </c>
      <c r="N78">
        <v>2020</v>
      </c>
      <c r="O78">
        <v>2021</v>
      </c>
      <c r="P78">
        <v>2022</v>
      </c>
      <c r="Q78">
        <v>2023</v>
      </c>
    </row>
    <row r="80" spans="2:17">
      <c r="B80" t="s">
        <v>45</v>
      </c>
      <c r="E80" s="173">
        <f>'AST - RIN'!H51</f>
        <v>1211543975.7748775</v>
      </c>
      <c r="F80" s="173">
        <f>'AST - RIN'!I51</f>
        <v>1287350987.4855974</v>
      </c>
      <c r="G80" s="173">
        <f>'AST - RIN'!J51</f>
        <v>1351450756.8940611</v>
      </c>
      <c r="H80" s="173">
        <f>'AST - RIN'!K51</f>
        <v>1419909936.7920811</v>
      </c>
      <c r="I80" s="173">
        <f>'AST - RIN'!L51</f>
        <v>1483855739.1138797</v>
      </c>
      <c r="J80" s="173">
        <f>'AST - RIN'!M51</f>
        <v>1523631042.9336925</v>
      </c>
      <c r="K80" s="173">
        <f>'AST - RIN'!N51</f>
        <v>1558095802.9343722</v>
      </c>
      <c r="L80" s="173">
        <f>'AST - RIN'!O51</f>
        <v>1606625186.4941208</v>
      </c>
      <c r="M80" s="173">
        <f>'AST - RIN'!P51</f>
        <v>1675511455.6634638</v>
      </c>
      <c r="N80" s="173">
        <f>'AST - RIN'!Q51</f>
        <v>1721723404.1435182</v>
      </c>
      <c r="O80" s="171">
        <f>N80*(Inflation!B402/Inflation!B398)+'AER Regulatory determination'!L76-'AER Regulatory determination'!L78</f>
        <v>1753411586.0559757</v>
      </c>
      <c r="P80" s="171">
        <f>O80*(Inflation!B406/Inflation!B402)+'AER Regulatory determination'!M76-'AER Regulatory determination'!M78</f>
        <v>1768501198.9244435</v>
      </c>
    </row>
    <row r="81" spans="2:16">
      <c r="B81" t="s">
        <v>175</v>
      </c>
      <c r="L81" s="172">
        <v>0.6</v>
      </c>
      <c r="M81" s="172">
        <v>0.6</v>
      </c>
      <c r="N81" s="172">
        <v>0.6</v>
      </c>
      <c r="O81" s="172">
        <v>0.6</v>
      </c>
      <c r="P81" s="172">
        <v>0.6</v>
      </c>
    </row>
    <row r="82" spans="2:16">
      <c r="B82" t="s">
        <v>176</v>
      </c>
      <c r="L82" s="171">
        <f>L80*L81</f>
        <v>963975111.89647245</v>
      </c>
      <c r="M82" s="171">
        <f t="shared" ref="M82:P82" si="18">M80*M81</f>
        <v>1005306873.3980782</v>
      </c>
      <c r="N82" s="171">
        <f t="shared" si="18"/>
        <v>1033034042.4861109</v>
      </c>
      <c r="O82" s="171">
        <f t="shared" si="18"/>
        <v>1052046951.6335853</v>
      </c>
      <c r="P82" s="171">
        <f t="shared" si="18"/>
        <v>1061100719.354666</v>
      </c>
    </row>
    <row r="83" spans="2:16">
      <c r="B83" t="s">
        <v>177</v>
      </c>
      <c r="L83" s="176">
        <f>'Yield Curve'!L154</f>
        <v>4.66</v>
      </c>
      <c r="M83" s="176">
        <f>'Yield Curve'!M154</f>
        <v>3.0549999999999997</v>
      </c>
      <c r="N83" s="176">
        <f>'Yield Curve'!N154</f>
        <v>2.2949999999999999</v>
      </c>
      <c r="O83" s="176">
        <f>'Yield Curve'!O154</f>
        <v>3.7750000000000004</v>
      </c>
      <c r="P83" s="176">
        <f>'Yield Curve'!P154</f>
        <v>3.7750000000000004</v>
      </c>
    </row>
    <row r="84" spans="2:16">
      <c r="B84" s="1" t="s">
        <v>178</v>
      </c>
    </row>
    <row r="85" spans="2:16">
      <c r="B85" t="s">
        <v>179</v>
      </c>
      <c r="L85" s="172">
        <v>1</v>
      </c>
      <c r="M85" s="172">
        <v>0.9</v>
      </c>
      <c r="N85" s="172">
        <v>0.8</v>
      </c>
      <c r="O85" s="172">
        <v>0.7</v>
      </c>
      <c r="P85" s="172">
        <v>0.6</v>
      </c>
    </row>
    <row r="86" spans="2:16">
      <c r="B86" t="s">
        <v>180</v>
      </c>
      <c r="L86" s="172"/>
      <c r="M86" s="172">
        <f>0.1</f>
        <v>0.1</v>
      </c>
      <c r="N86" s="172">
        <f t="shared" ref="N86:P88" si="19">0.1</f>
        <v>0.1</v>
      </c>
      <c r="O86" s="172">
        <f t="shared" si="19"/>
        <v>0.1</v>
      </c>
      <c r="P86" s="172">
        <f t="shared" si="19"/>
        <v>0.1</v>
      </c>
    </row>
    <row r="87" spans="2:16">
      <c r="B87" t="s">
        <v>181</v>
      </c>
      <c r="L87" s="172"/>
      <c r="M87" s="172"/>
      <c r="N87" s="172">
        <f t="shared" si="19"/>
        <v>0.1</v>
      </c>
      <c r="O87" s="172">
        <f t="shared" si="19"/>
        <v>0.1</v>
      </c>
      <c r="P87" s="172">
        <f t="shared" si="19"/>
        <v>0.1</v>
      </c>
    </row>
    <row r="88" spans="2:16">
      <c r="B88" t="s">
        <v>182</v>
      </c>
      <c r="L88" s="172"/>
      <c r="M88" s="172"/>
      <c r="N88" s="172"/>
      <c r="O88" s="172">
        <f t="shared" si="19"/>
        <v>0.1</v>
      </c>
      <c r="P88" s="172">
        <f t="shared" si="19"/>
        <v>0.1</v>
      </c>
    </row>
    <row r="89" spans="2:16">
      <c r="B89" t="s">
        <v>183</v>
      </c>
      <c r="L89" s="172"/>
      <c r="M89" s="172"/>
      <c r="N89" s="172"/>
      <c r="O89" s="172"/>
      <c r="P89" s="172">
        <f>0.1</f>
        <v>0.1</v>
      </c>
    </row>
    <row r="91" spans="2:16">
      <c r="B91" s="1" t="s">
        <v>184</v>
      </c>
    </row>
    <row r="92" spans="2:16">
      <c r="B92" t="s">
        <v>179</v>
      </c>
      <c r="L92" s="171">
        <f>L85*L$82</f>
        <v>963975111.89647245</v>
      </c>
      <c r="M92" s="171">
        <f t="shared" ref="M92:P92" si="20">M85*M$82</f>
        <v>904776186.05827045</v>
      </c>
      <c r="N92" s="171">
        <f t="shared" si="20"/>
        <v>826427233.98888874</v>
      </c>
      <c r="O92" s="171">
        <f t="shared" si="20"/>
        <v>736432866.14350975</v>
      </c>
      <c r="P92" s="171">
        <f t="shared" si="20"/>
        <v>636660431.61279953</v>
      </c>
    </row>
    <row r="93" spans="2:16">
      <c r="B93" t="s">
        <v>180</v>
      </c>
      <c r="L93" s="171">
        <f t="shared" ref="L93:P96" si="21">L86*L$82</f>
        <v>0</v>
      </c>
      <c r="M93" s="171">
        <f t="shared" si="21"/>
        <v>100530687.33980782</v>
      </c>
      <c r="N93" s="171">
        <f t="shared" si="21"/>
        <v>103303404.24861109</v>
      </c>
      <c r="O93" s="171">
        <f t="shared" si="21"/>
        <v>105204695.16335854</v>
      </c>
      <c r="P93" s="171">
        <f t="shared" si="21"/>
        <v>106110071.9354666</v>
      </c>
    </row>
    <row r="94" spans="2:16">
      <c r="B94" t="s">
        <v>181</v>
      </c>
      <c r="L94" s="171">
        <f t="shared" si="21"/>
        <v>0</v>
      </c>
      <c r="M94" s="171">
        <f t="shared" si="21"/>
        <v>0</v>
      </c>
      <c r="N94" s="171">
        <f t="shared" si="21"/>
        <v>103303404.24861109</v>
      </c>
      <c r="O94" s="171">
        <f t="shared" si="21"/>
        <v>105204695.16335854</v>
      </c>
      <c r="P94" s="171">
        <f t="shared" si="21"/>
        <v>106110071.9354666</v>
      </c>
    </row>
    <row r="95" spans="2:16">
      <c r="B95" t="s">
        <v>182</v>
      </c>
      <c r="L95" s="171">
        <f t="shared" si="21"/>
        <v>0</v>
      </c>
      <c r="M95" s="171">
        <f t="shared" si="21"/>
        <v>0</v>
      </c>
      <c r="N95" s="171">
        <f t="shared" si="21"/>
        <v>0</v>
      </c>
      <c r="O95" s="171">
        <f t="shared" si="21"/>
        <v>105204695.16335854</v>
      </c>
      <c r="P95" s="171">
        <f t="shared" si="21"/>
        <v>106110071.9354666</v>
      </c>
    </row>
    <row r="96" spans="2:16">
      <c r="B96" t="s">
        <v>183</v>
      </c>
      <c r="L96" s="171">
        <f t="shared" si="21"/>
        <v>0</v>
      </c>
      <c r="M96" s="171">
        <f t="shared" si="21"/>
        <v>0</v>
      </c>
      <c r="N96" s="171">
        <f t="shared" si="21"/>
        <v>0</v>
      </c>
      <c r="O96" s="171">
        <f t="shared" si="21"/>
        <v>0</v>
      </c>
      <c r="P96" s="171">
        <f t="shared" si="21"/>
        <v>106110071.9354666</v>
      </c>
    </row>
    <row r="98" spans="1:16">
      <c r="B98" s="1" t="s">
        <v>185</v>
      </c>
    </row>
    <row r="99" spans="1:16">
      <c r="B99" t="s">
        <v>179</v>
      </c>
      <c r="L99" s="171">
        <f>L92*('Trailing average adjustment bnd'!N51/100)</f>
        <v>963975111.89647245</v>
      </c>
      <c r="M99" s="171">
        <f>M92*('Trailing average adjustment bnd'!O51/100)</f>
        <v>1024378741.3458842</v>
      </c>
      <c r="N99" s="171">
        <f>N92*('Trailing average adjustment bnd'!P51/100)</f>
        <v>975490958.21917927</v>
      </c>
      <c r="O99" s="171">
        <f>O92*('Trailing average adjustment bnd'!Q51/100)</f>
        <v>798371143.43181157</v>
      </c>
      <c r="P99" s="171">
        <f>P92*('Trailing average adjustment bnd'!R51/100)</f>
        <v>692549535.44640517</v>
      </c>
    </row>
    <row r="100" spans="1:16">
      <c r="B100" t="s">
        <v>180</v>
      </c>
      <c r="L100" s="171">
        <f>L93*('Trailing average adjustment bnd'!N52/100)</f>
        <v>0</v>
      </c>
      <c r="M100" s="171">
        <f>M93*('Trailing average adjustment bnd'!O52/100)</f>
        <v>100530687.33980781</v>
      </c>
      <c r="N100" s="171">
        <f>N93*('Trailing average adjustment bnd'!P52/100)</f>
        <v>109956735.06293757</v>
      </c>
      <c r="O100" s="171">
        <f>O93*('Trailing average adjustment bnd'!Q52/100)</f>
        <v>102592014.03469743</v>
      </c>
      <c r="P100" s="171">
        <f>P93*('Trailing average adjustment bnd'!R52/100)</f>
        <v>104540933.86654375</v>
      </c>
    </row>
    <row r="101" spans="1:16">
      <c r="B101" t="s">
        <v>181</v>
      </c>
      <c r="L101" s="171">
        <f>L94*('Trailing average adjustment bnd'!N53/100)</f>
        <v>0</v>
      </c>
      <c r="M101" s="171">
        <f>M94*('Trailing average adjustment bnd'!O53/100)</f>
        <v>0</v>
      </c>
      <c r="N101" s="171">
        <f>N94*('Trailing average adjustment bnd'!P53/100)</f>
        <v>103303404.24861109</v>
      </c>
      <c r="O101" s="171">
        <f>O94*('Trailing average adjustment bnd'!Q53/100)</f>
        <v>94397098.101112351</v>
      </c>
      <c r="P101" s="171">
        <f>P94*('Trailing average adjustment bnd'!R53/100)</f>
        <v>97911779.287307069</v>
      </c>
    </row>
    <row r="102" spans="1:16">
      <c r="B102" t="s">
        <v>182</v>
      </c>
      <c r="L102" s="171">
        <f>L95*('Trailing average adjustment bnd'!N54/100)</f>
        <v>0</v>
      </c>
      <c r="M102" s="171">
        <f>M95*('Trailing average adjustment bnd'!O54/100)</f>
        <v>0</v>
      </c>
      <c r="N102" s="171">
        <f>N95*('Trailing average adjustment bnd'!P54/100)</f>
        <v>0</v>
      </c>
      <c r="O102" s="171">
        <f>O95*('Trailing average adjustment bnd'!Q54/100)</f>
        <v>105204695.16335854</v>
      </c>
      <c r="P102" s="171">
        <f>P95*('Trailing average adjustment bnd'!R54/100)</f>
        <v>107071890.08711046</v>
      </c>
    </row>
    <row r="103" spans="1:16">
      <c r="B103" t="s">
        <v>183</v>
      </c>
      <c r="L103" s="171">
        <f>L96*('Trailing average adjustment bnd'!N55/100)</f>
        <v>0</v>
      </c>
      <c r="M103" s="171">
        <f>M96*('Trailing average adjustment bnd'!O55/100)</f>
        <v>0</v>
      </c>
      <c r="N103" s="171">
        <f>N96*('Trailing average adjustment bnd'!P55/100)</f>
        <v>0</v>
      </c>
      <c r="O103" s="171">
        <f>O96*('Trailing average adjustment bnd'!Q55/100)</f>
        <v>0</v>
      </c>
      <c r="P103" s="171">
        <f>P96*('Trailing average adjustment bnd'!R55/100)</f>
        <v>106110071.9354666</v>
      </c>
    </row>
    <row r="104" spans="1:16">
      <c r="L104" s="64"/>
      <c r="M104" s="64"/>
      <c r="N104" s="64"/>
      <c r="O104" s="64"/>
      <c r="P104" s="64"/>
    </row>
    <row r="105" spans="1:16">
      <c r="B105" t="s">
        <v>186</v>
      </c>
      <c r="L105" s="171">
        <f>SUM(L99:L103)</f>
        <v>963975111.89647245</v>
      </c>
      <c r="M105" s="171">
        <f t="shared" ref="M105:P105" si="22">SUM(M99:M103)</f>
        <v>1124909428.6856921</v>
      </c>
      <c r="N105" s="171">
        <f t="shared" si="22"/>
        <v>1188751097.5307279</v>
      </c>
      <c r="O105" s="171">
        <f t="shared" si="22"/>
        <v>1100564950.7309799</v>
      </c>
      <c r="P105" s="171">
        <f t="shared" si="22"/>
        <v>1108184210.622833</v>
      </c>
    </row>
    <row r="107" spans="1:16">
      <c r="B107" t="s">
        <v>187</v>
      </c>
      <c r="L107" s="171">
        <f>L105-L82</f>
        <v>0</v>
      </c>
      <c r="M107" s="171">
        <f t="shared" ref="M107:P107" si="23">M105-M82</f>
        <v>119602555.28761387</v>
      </c>
      <c r="N107" s="171">
        <f t="shared" si="23"/>
        <v>155717055.04461694</v>
      </c>
      <c r="O107" s="171">
        <f t="shared" si="23"/>
        <v>48517999.097394586</v>
      </c>
      <c r="P107" s="171">
        <f t="shared" si="23"/>
        <v>47083491.268167019</v>
      </c>
    </row>
    <row r="108" spans="1:16">
      <c r="B108" t="s">
        <v>188</v>
      </c>
      <c r="E108" s="171">
        <f t="shared" ref="E108:K108" si="24">E107+E80</f>
        <v>1211543975.7748775</v>
      </c>
      <c r="F108" s="171">
        <f t="shared" si="24"/>
        <v>1287350987.4855974</v>
      </c>
      <c r="G108" s="171">
        <f t="shared" si="24"/>
        <v>1351450756.8940611</v>
      </c>
      <c r="H108" s="171">
        <f t="shared" si="24"/>
        <v>1419909936.7920811</v>
      </c>
      <c r="I108" s="171">
        <f t="shared" si="24"/>
        <v>1483855739.1138797</v>
      </c>
      <c r="J108" s="171">
        <f t="shared" si="24"/>
        <v>1523631042.9336925</v>
      </c>
      <c r="K108" s="171">
        <f t="shared" si="24"/>
        <v>1558095802.9343722</v>
      </c>
      <c r="L108" s="171">
        <f>L107+L80</f>
        <v>1606625186.4941208</v>
      </c>
      <c r="M108" s="171">
        <f t="shared" ref="M108:P108" si="25">M107+M80</f>
        <v>1795114010.9510777</v>
      </c>
      <c r="N108" s="171">
        <f t="shared" si="25"/>
        <v>1877440459.1881351</v>
      </c>
      <c r="O108" s="171">
        <f t="shared" si="25"/>
        <v>1801929585.1533704</v>
      </c>
      <c r="P108" s="171">
        <f t="shared" si="25"/>
        <v>1815584690.1926105</v>
      </c>
    </row>
    <row r="110" spans="1:16" s="136" customFormat="1" ht="17.5" thickBot="1">
      <c r="A110"/>
      <c r="B110" s="136" t="s">
        <v>48</v>
      </c>
    </row>
    <row r="111" spans="1:16" ht="15" thickTop="1"/>
    <row r="112" spans="1:16">
      <c r="B112" s="5" t="s">
        <v>42</v>
      </c>
      <c r="J112" s="1" t="s">
        <v>195</v>
      </c>
    </row>
    <row r="113" spans="2:15">
      <c r="C113" t="s">
        <v>196</v>
      </c>
      <c r="E113">
        <v>2011</v>
      </c>
      <c r="F113">
        <v>2012</v>
      </c>
      <c r="G113">
        <v>2013</v>
      </c>
      <c r="H113">
        <v>2014</v>
      </c>
      <c r="I113">
        <v>2015</v>
      </c>
      <c r="J113">
        <v>2016</v>
      </c>
      <c r="K113">
        <v>2017</v>
      </c>
      <c r="L113">
        <v>2018</v>
      </c>
      <c r="M113">
        <v>2019</v>
      </c>
      <c r="N113">
        <v>2020</v>
      </c>
      <c r="O113">
        <v>2021</v>
      </c>
    </row>
    <row r="115" spans="2:15">
      <c r="B115" t="s">
        <v>45</v>
      </c>
      <c r="E115" s="173">
        <f>('SKI - RIN'!H91+'SKI - RIN'!H101)*1000</f>
        <v>3149184101.4788342</v>
      </c>
      <c r="F115" s="173">
        <f>('SKI - RIN'!I91+'SKI - RIN'!I101)*1000</f>
        <v>3337033760.3329821</v>
      </c>
      <c r="G115" s="173">
        <f>('SKI - RIN'!J91+'SKI - RIN'!J101)*1000</f>
        <v>3547866809.2124777</v>
      </c>
      <c r="H115" s="173">
        <f>('SKI - RIN'!K91+'SKI - RIN'!K101)*1000</f>
        <v>3715955576.4281383</v>
      </c>
      <c r="I115" s="173">
        <f>'SKI - RIN'!L91+'SKI - RIN'!L101</f>
        <v>3837316330.5772347</v>
      </c>
      <c r="J115" s="173">
        <f>'SKI - RIN'!M91+'SKI - RIN'!M101</f>
        <v>3933779885.7872362</v>
      </c>
      <c r="K115" s="173">
        <f>'SKI - RIN'!N91+'SKI - RIN'!N101</f>
        <v>3971622211.5831723</v>
      </c>
      <c r="L115" s="173">
        <f>'SKI - RIN'!O91+'SKI - RIN'!O101</f>
        <v>4119057011.4600005</v>
      </c>
      <c r="M115" s="173">
        <f>'SKI - RIN'!P91+'SKI - RIN'!P101</f>
        <v>4274016713.2400002</v>
      </c>
      <c r="N115" s="173">
        <f>'SKI - RIN'!Q91+'SKI - RIN'!Q101</f>
        <v>4319762281.5799999</v>
      </c>
      <c r="O115" s="171">
        <f>N115*(Inflation!B404/Inflation!B400)+'AER Regulatory determination'!L37-'AER Regulatory determination'!L39</f>
        <v>4304710863.2588148</v>
      </c>
    </row>
    <row r="116" spans="2:15">
      <c r="B116" t="s">
        <v>175</v>
      </c>
      <c r="J116" s="172">
        <v>0.6</v>
      </c>
      <c r="K116" s="172">
        <v>0.6</v>
      </c>
      <c r="L116" s="172">
        <v>0.6</v>
      </c>
      <c r="M116" s="172">
        <v>0.6</v>
      </c>
      <c r="N116" s="172">
        <v>0.6</v>
      </c>
      <c r="O116" s="172">
        <v>0.6</v>
      </c>
    </row>
    <row r="117" spans="2:15">
      <c r="B117" t="s">
        <v>176</v>
      </c>
      <c r="J117" s="171">
        <f>J116*J115</f>
        <v>2360267931.4723415</v>
      </c>
      <c r="K117" s="171">
        <f t="shared" ref="K117:O117" si="26">K116*K115</f>
        <v>2382973326.9499035</v>
      </c>
      <c r="L117" s="171">
        <f t="shared" si="26"/>
        <v>2471434206.8760004</v>
      </c>
      <c r="M117" s="171">
        <f t="shared" si="26"/>
        <v>2564410027.9440002</v>
      </c>
      <c r="N117" s="171">
        <f t="shared" si="26"/>
        <v>2591857368.948</v>
      </c>
      <c r="O117" s="171">
        <f t="shared" si="26"/>
        <v>2582826517.9552889</v>
      </c>
    </row>
    <row r="118" spans="2:15">
      <c r="B118" t="s">
        <v>177</v>
      </c>
      <c r="J118" s="176">
        <f>'Yield Curve'!J61</f>
        <v>4.7200000000000006</v>
      </c>
      <c r="K118" s="176">
        <f>'Yield Curve'!K61</f>
        <v>4.33</v>
      </c>
      <c r="L118" s="176">
        <f>'Yield Curve'!L61</f>
        <v>4.49</v>
      </c>
      <c r="M118" s="176">
        <f>'Yield Curve'!M61</f>
        <v>3.55</v>
      </c>
      <c r="N118" s="176">
        <f>'Yield Curve'!N61</f>
        <v>3.45</v>
      </c>
      <c r="O118" s="176">
        <f>'Yield Curve'!O61</f>
        <v>3.12</v>
      </c>
    </row>
    <row r="120" spans="2:15">
      <c r="B120" s="1" t="s">
        <v>178</v>
      </c>
    </row>
    <row r="121" spans="2:15">
      <c r="B121" t="s">
        <v>179</v>
      </c>
      <c r="J121" s="172">
        <v>1</v>
      </c>
      <c r="K121" s="172">
        <v>0.9</v>
      </c>
      <c r="L121" s="172">
        <v>0.8</v>
      </c>
      <c r="M121" s="172">
        <v>0.7</v>
      </c>
      <c r="N121" s="172">
        <v>0.6</v>
      </c>
      <c r="O121" s="172">
        <v>0.5</v>
      </c>
    </row>
    <row r="122" spans="2:15">
      <c r="B122" t="s">
        <v>180</v>
      </c>
      <c r="J122" s="172"/>
      <c r="K122" s="172">
        <v>0.1</v>
      </c>
      <c r="L122" s="172">
        <v>0.1</v>
      </c>
      <c r="M122" s="172">
        <v>0.1</v>
      </c>
      <c r="N122" s="172">
        <v>0.1</v>
      </c>
      <c r="O122" s="172">
        <v>0.1</v>
      </c>
    </row>
    <row r="123" spans="2:15">
      <c r="B123" t="s">
        <v>181</v>
      </c>
      <c r="J123" s="172"/>
      <c r="K123" s="172"/>
      <c r="L123" s="172">
        <v>0.1</v>
      </c>
      <c r="M123" s="172">
        <v>0.1</v>
      </c>
      <c r="N123" s="172">
        <v>0.1</v>
      </c>
      <c r="O123" s="172">
        <v>0.1</v>
      </c>
    </row>
    <row r="124" spans="2:15">
      <c r="B124" t="s">
        <v>182</v>
      </c>
      <c r="J124" s="172"/>
      <c r="K124" s="172"/>
      <c r="L124" s="172"/>
      <c r="M124" s="172">
        <v>0.1</v>
      </c>
      <c r="N124" s="172">
        <v>0.1</v>
      </c>
      <c r="O124" s="172">
        <v>0.1</v>
      </c>
    </row>
    <row r="125" spans="2:15">
      <c r="B125" t="s">
        <v>183</v>
      </c>
      <c r="J125" s="172"/>
      <c r="K125" s="172"/>
      <c r="L125" s="172"/>
      <c r="M125" s="172"/>
      <c r="N125" s="172">
        <v>0.1</v>
      </c>
      <c r="O125" s="172">
        <v>0.1</v>
      </c>
    </row>
    <row r="126" spans="2:15">
      <c r="B126" t="s">
        <v>192</v>
      </c>
      <c r="J126" s="172"/>
      <c r="K126" s="172"/>
      <c r="L126" s="172"/>
      <c r="M126" s="172"/>
      <c r="N126" s="172"/>
      <c r="O126" s="172">
        <v>0.1</v>
      </c>
    </row>
    <row r="128" spans="2:15">
      <c r="B128" s="1" t="s">
        <v>184</v>
      </c>
    </row>
    <row r="129" spans="2:15">
      <c r="B129" t="s">
        <v>179</v>
      </c>
      <c r="J129" s="171">
        <f>J121*J$117</f>
        <v>2360267931.4723415</v>
      </c>
      <c r="K129" s="171">
        <f t="shared" ref="K129:O129" si="27">K121*K$117</f>
        <v>2144675994.2549131</v>
      </c>
      <c r="L129" s="171">
        <f t="shared" si="27"/>
        <v>1977147365.5008004</v>
      </c>
      <c r="M129" s="171">
        <f t="shared" si="27"/>
        <v>1795087019.5608001</v>
      </c>
      <c r="N129" s="171">
        <f t="shared" si="27"/>
        <v>1555114421.3687999</v>
      </c>
      <c r="O129" s="171">
        <f t="shared" si="27"/>
        <v>1291413258.9776444</v>
      </c>
    </row>
    <row r="130" spans="2:15">
      <c r="B130" t="s">
        <v>180</v>
      </c>
      <c r="J130" s="171">
        <f t="shared" ref="J130:O130" si="28">J122*J$117</f>
        <v>0</v>
      </c>
      <c r="K130" s="171">
        <f t="shared" si="28"/>
        <v>238297332.69499037</v>
      </c>
      <c r="L130" s="171">
        <f t="shared" si="28"/>
        <v>247143420.68760005</v>
      </c>
      <c r="M130" s="171">
        <f t="shared" si="28"/>
        <v>256441002.79440004</v>
      </c>
      <c r="N130" s="171">
        <f t="shared" si="28"/>
        <v>259185736.89480001</v>
      </c>
      <c r="O130" s="171">
        <f t="shared" si="28"/>
        <v>258282651.79552889</v>
      </c>
    </row>
    <row r="131" spans="2:15">
      <c r="B131" t="s">
        <v>181</v>
      </c>
      <c r="J131" s="171">
        <f t="shared" ref="J131:O131" si="29">J123*J$117</f>
        <v>0</v>
      </c>
      <c r="K131" s="171">
        <f t="shared" si="29"/>
        <v>0</v>
      </c>
      <c r="L131" s="171">
        <f t="shared" si="29"/>
        <v>247143420.68760005</v>
      </c>
      <c r="M131" s="171">
        <f t="shared" si="29"/>
        <v>256441002.79440004</v>
      </c>
      <c r="N131" s="171">
        <f t="shared" si="29"/>
        <v>259185736.89480001</v>
      </c>
      <c r="O131" s="171">
        <f t="shared" si="29"/>
        <v>258282651.79552889</v>
      </c>
    </row>
    <row r="132" spans="2:15">
      <c r="B132" t="s">
        <v>182</v>
      </c>
      <c r="J132" s="171">
        <f t="shared" ref="J132:O132" si="30">J124*J$117</f>
        <v>0</v>
      </c>
      <c r="K132" s="171">
        <f t="shared" si="30"/>
        <v>0</v>
      </c>
      <c r="L132" s="171">
        <f t="shared" si="30"/>
        <v>0</v>
      </c>
      <c r="M132" s="171">
        <f t="shared" si="30"/>
        <v>256441002.79440004</v>
      </c>
      <c r="N132" s="171">
        <f t="shared" si="30"/>
        <v>259185736.89480001</v>
      </c>
      <c r="O132" s="171">
        <f t="shared" si="30"/>
        <v>258282651.79552889</v>
      </c>
    </row>
    <row r="133" spans="2:15">
      <c r="B133" t="s">
        <v>183</v>
      </c>
      <c r="J133" s="171">
        <f t="shared" ref="J133:O133" si="31">J125*J$117</f>
        <v>0</v>
      </c>
      <c r="K133" s="171">
        <f t="shared" si="31"/>
        <v>0</v>
      </c>
      <c r="L133" s="171">
        <f t="shared" si="31"/>
        <v>0</v>
      </c>
      <c r="M133" s="171">
        <f t="shared" si="31"/>
        <v>0</v>
      </c>
      <c r="N133" s="171">
        <f t="shared" si="31"/>
        <v>259185736.89480001</v>
      </c>
      <c r="O133" s="171">
        <f t="shared" si="31"/>
        <v>258282651.79552889</v>
      </c>
    </row>
    <row r="134" spans="2:15">
      <c r="B134" t="s">
        <v>192</v>
      </c>
      <c r="J134" s="171">
        <f t="shared" ref="J134:O134" si="32">J126*J$117</f>
        <v>0</v>
      </c>
      <c r="K134" s="171">
        <f t="shared" si="32"/>
        <v>0</v>
      </c>
      <c r="L134" s="171">
        <f t="shared" si="32"/>
        <v>0</v>
      </c>
      <c r="M134" s="171">
        <f t="shared" si="32"/>
        <v>0</v>
      </c>
      <c r="N134" s="171">
        <f t="shared" si="32"/>
        <v>0</v>
      </c>
      <c r="O134" s="171">
        <f t="shared" si="32"/>
        <v>258282651.79552889</v>
      </c>
    </row>
    <row r="136" spans="2:15">
      <c r="B136" s="1" t="s">
        <v>197</v>
      </c>
    </row>
    <row r="137" spans="2:15">
      <c r="B137" t="s">
        <v>179</v>
      </c>
      <c r="J137" s="171">
        <f>J129*('Trailing average adjustment bnd'!L70/100)</f>
        <v>2360267931.4723415</v>
      </c>
      <c r="K137" s="171">
        <f>K129*('Trailing average adjustment bnd'!M70/100)</f>
        <v>2220791314.5944223</v>
      </c>
      <c r="L137" s="171">
        <f>L129*('Trailing average adjustment bnd'!N70/100)</f>
        <v>2052725136.0294528</v>
      </c>
      <c r="M137" s="171">
        <f>M129*('Trailing average adjustment bnd'!O70/100)</f>
        <v>1979727983.9902823</v>
      </c>
      <c r="N137" s="171">
        <f>N129*('Trailing average adjustment bnd'!P70/100)</f>
        <v>1715911214.8015246</v>
      </c>
      <c r="O137" s="171">
        <f>O129*('Trailing average adjustment bnd'!Q70/100)</f>
        <v>1461916553.0182996</v>
      </c>
    </row>
    <row r="138" spans="2:15">
      <c r="B138" t="s">
        <v>180</v>
      </c>
      <c r="J138" s="171">
        <f>J130*('Trailing average adjustment bnd'!L71/100)</f>
        <v>0</v>
      </c>
      <c r="K138" s="171">
        <f>K130*('Trailing average adjustment bnd'!M71/100)</f>
        <v>238297332.69499037</v>
      </c>
      <c r="L138" s="171">
        <f>L130*('Trailing average adjustment bnd'!N71/100)</f>
        <v>246307918.95671788</v>
      </c>
      <c r="M138" s="171">
        <f>M130*('Trailing average adjustment bnd'!O71/100)</f>
        <v>276869257.92821002</v>
      </c>
      <c r="N138" s="171">
        <f>N130*('Trailing average adjustment bnd'!P71/100)</f>
        <v>278133125.0838083</v>
      </c>
      <c r="O138" s="171">
        <f>O130*('Trailing average adjustment bnd'!Q71/100)</f>
        <v>287701145.16348547</v>
      </c>
    </row>
    <row r="139" spans="2:15">
      <c r="B139" t="s">
        <v>181</v>
      </c>
      <c r="J139" s="171">
        <f>J131*('Trailing average adjustment bnd'!L72/100)</f>
        <v>0</v>
      </c>
      <c r="K139" s="171">
        <f>K131*('Trailing average adjustment bnd'!M72/100)</f>
        <v>0</v>
      </c>
      <c r="L139" s="171">
        <f>L131*('Trailing average adjustment bnd'!N72/100)</f>
        <v>247143420.68760005</v>
      </c>
      <c r="M139" s="171">
        <f>M131*('Trailing average adjustment bnd'!O72/100)</f>
        <v>277213339.34971029</v>
      </c>
      <c r="N139" s="171">
        <f>N131*('Trailing average adjustment bnd'!P72/100)</f>
        <v>281984302.69971186</v>
      </c>
      <c r="O139" s="171">
        <f>O131*('Trailing average adjustment bnd'!Q72/100)</f>
        <v>288635126.54204452</v>
      </c>
    </row>
    <row r="140" spans="2:15">
      <c r="B140" t="s">
        <v>182</v>
      </c>
      <c r="J140" s="171">
        <f>J132*('Trailing average adjustment bnd'!L73/100)</f>
        <v>0</v>
      </c>
      <c r="K140" s="171">
        <f>K132*('Trailing average adjustment bnd'!M73/100)</f>
        <v>0</v>
      </c>
      <c r="L140" s="171">
        <f>L132*('Trailing average adjustment bnd'!N73/100)</f>
        <v>0</v>
      </c>
      <c r="M140" s="171">
        <f>M132*('Trailing average adjustment bnd'!O73/100)</f>
        <v>256441002.79440004</v>
      </c>
      <c r="N140" s="171">
        <f>N132*('Trailing average adjustment bnd'!P73/100)</f>
        <v>262656362.96339181</v>
      </c>
      <c r="O140" s="171">
        <f>O132*('Trailing average adjustment bnd'!Q73/100)</f>
        <v>272894000.814511</v>
      </c>
    </row>
    <row r="141" spans="2:15">
      <c r="B141" t="s">
        <v>183</v>
      </c>
      <c r="J141" s="171">
        <f>J133*('Trailing average adjustment bnd'!L74/100)</f>
        <v>0</v>
      </c>
      <c r="K141" s="171">
        <f>K133*('Trailing average adjustment bnd'!M74/100)</f>
        <v>0</v>
      </c>
      <c r="L141" s="171">
        <f>L133*('Trailing average adjustment bnd'!N74/100)</f>
        <v>0</v>
      </c>
      <c r="M141" s="171">
        <f>M133*('Trailing average adjustment bnd'!O74/100)</f>
        <v>0</v>
      </c>
      <c r="N141" s="171">
        <f>N133*('Trailing average adjustment bnd'!P74/100)</f>
        <v>259185736.89480001</v>
      </c>
      <c r="O141" s="171">
        <f>O133*('Trailing average adjustment bnd'!Q74/100)</f>
        <v>267383564.05572984</v>
      </c>
    </row>
    <row r="142" spans="2:15">
      <c r="B142" t="s">
        <v>192</v>
      </c>
      <c r="J142" s="171">
        <f>J134*('Trailing average adjustment bnd'!L75/100)</f>
        <v>0</v>
      </c>
      <c r="K142" s="171">
        <f>K134*('Trailing average adjustment bnd'!M75/100)</f>
        <v>0</v>
      </c>
      <c r="L142" s="171">
        <f>L134*('Trailing average adjustment bnd'!N75/100)</f>
        <v>0</v>
      </c>
      <c r="M142" s="171">
        <f>M134*('Trailing average adjustment bnd'!O75/100)</f>
        <v>0</v>
      </c>
      <c r="N142" s="171">
        <f>N134*('Trailing average adjustment bnd'!P75/100)</f>
        <v>0</v>
      </c>
      <c r="O142" s="171">
        <f>O134*('Trailing average adjustment bnd'!Q75/100)</f>
        <v>258282651.79552889</v>
      </c>
    </row>
    <row r="144" spans="2:15">
      <c r="B144" t="s">
        <v>186</v>
      </c>
      <c r="J144" s="171">
        <f t="shared" ref="J144:O144" si="33">SUM(J137:J142)</f>
        <v>2360267931.4723415</v>
      </c>
      <c r="K144" s="171">
        <f t="shared" si="33"/>
        <v>2459088647.2894125</v>
      </c>
      <c r="L144" s="171">
        <f t="shared" si="33"/>
        <v>2546176475.6737709</v>
      </c>
      <c r="M144" s="171">
        <f t="shared" si="33"/>
        <v>2790251584.062603</v>
      </c>
      <c r="N144" s="171">
        <f t="shared" si="33"/>
        <v>2797870742.4432368</v>
      </c>
      <c r="O144" s="171">
        <f t="shared" si="33"/>
        <v>2836813041.3895993</v>
      </c>
    </row>
    <row r="146" spans="2:15">
      <c r="B146" t="s">
        <v>187</v>
      </c>
      <c r="J146" s="171">
        <f>J144-J117</f>
        <v>0</v>
      </c>
      <c r="K146" s="171">
        <f t="shared" ref="K146:O146" si="34">K144-K117</f>
        <v>76115320.33950901</v>
      </c>
      <c r="L146" s="171">
        <f t="shared" si="34"/>
        <v>74742268.7977705</v>
      </c>
      <c r="M146" s="171">
        <f t="shared" si="34"/>
        <v>225841556.11860275</v>
      </c>
      <c r="N146" s="171">
        <f t="shared" si="34"/>
        <v>206013373.49523687</v>
      </c>
      <c r="O146" s="171">
        <f t="shared" si="34"/>
        <v>253986523.43431044</v>
      </c>
    </row>
    <row r="147" spans="2:15">
      <c r="B147" t="s">
        <v>188</v>
      </c>
      <c r="E147" s="171">
        <f>E146+E115</f>
        <v>3149184101.4788342</v>
      </c>
      <c r="F147" s="171">
        <f t="shared" ref="F147:O147" si="35">F146+F115</f>
        <v>3337033760.3329821</v>
      </c>
      <c r="G147" s="171">
        <f t="shared" si="35"/>
        <v>3547866809.2124777</v>
      </c>
      <c r="H147" s="171">
        <f t="shared" si="35"/>
        <v>3715955576.4281383</v>
      </c>
      <c r="I147" s="171">
        <f t="shared" si="35"/>
        <v>3837316330.5772347</v>
      </c>
      <c r="J147" s="171">
        <f t="shared" si="35"/>
        <v>3933779885.7872362</v>
      </c>
      <c r="K147" s="171">
        <f t="shared" si="35"/>
        <v>4047737531.9226813</v>
      </c>
      <c r="L147" s="171">
        <f t="shared" si="35"/>
        <v>4193799280.257771</v>
      </c>
      <c r="M147" s="171">
        <f t="shared" si="35"/>
        <v>4499858269.3586025</v>
      </c>
      <c r="N147" s="171">
        <f t="shared" si="35"/>
        <v>4525775655.0752373</v>
      </c>
      <c r="O147" s="171">
        <f t="shared" si="35"/>
        <v>4558697386.6931248</v>
      </c>
    </row>
    <row r="149" spans="2:15">
      <c r="B149" s="5" t="s">
        <v>50</v>
      </c>
      <c r="J149" s="1" t="s">
        <v>195</v>
      </c>
      <c r="O149" s="1" t="s">
        <v>198</v>
      </c>
    </row>
    <row r="150" spans="2:15">
      <c r="C150" t="s">
        <v>199</v>
      </c>
      <c r="E150">
        <v>2011</v>
      </c>
      <c r="F150">
        <v>2012</v>
      </c>
      <c r="G150">
        <v>2013</v>
      </c>
      <c r="H150">
        <v>2014</v>
      </c>
      <c r="I150">
        <v>2015</v>
      </c>
      <c r="J150">
        <v>2016</v>
      </c>
      <c r="K150">
        <v>2017</v>
      </c>
      <c r="L150">
        <v>2018</v>
      </c>
      <c r="M150">
        <v>2019</v>
      </c>
      <c r="N150">
        <v>2020</v>
      </c>
      <c r="O150">
        <v>2021</v>
      </c>
    </row>
    <row r="152" spans="2:15">
      <c r="B152" t="s">
        <v>45</v>
      </c>
      <c r="E152" s="173">
        <f>('SKI - RIN'!H21+'SKI - RIN'!H31)*1000</f>
        <v>1426170575.2661355</v>
      </c>
      <c r="F152" s="173">
        <f>('SKI - RIN'!I21+'SKI - RIN'!I31)*1000</f>
        <v>1520642090.2205954</v>
      </c>
      <c r="G152" s="173">
        <f>('SKI - RIN'!J21+'SKI - RIN'!J31)*1000</f>
        <v>1612717077.4992993</v>
      </c>
      <c r="H152" s="173">
        <f>('SKI - RIN'!K21+'SKI - RIN'!K31)*1000</f>
        <v>1718535301.5446224</v>
      </c>
      <c r="I152" s="173">
        <f>'SKI - RIN'!L21+'SKI - RIN'!L31</f>
        <v>1765718503.8860371</v>
      </c>
      <c r="J152" s="173">
        <f>'SKI - RIN'!M21+'SKI - RIN'!M31</f>
        <v>1935043887</v>
      </c>
      <c r="K152" s="173">
        <f>'SKI - RIN'!N21+'SKI - RIN'!N31</f>
        <v>1948231648.4968367</v>
      </c>
      <c r="L152" s="173">
        <f>'SKI - RIN'!O21+'SKI - RIN'!O31</f>
        <v>1964654524.468075</v>
      </c>
      <c r="M152" s="173">
        <f>'SKI - RIN'!P21+'SKI - RIN'!P31</f>
        <v>1973691419</v>
      </c>
      <c r="N152" s="173">
        <f>'SKI - RIN'!Q21+'SKI - RIN'!Q31</f>
        <v>2014677133</v>
      </c>
      <c r="O152" s="171">
        <f>N152*(Inflation!B404/Inflation!B402)+'AER Regulatory determination'!L7-'AER Regulatory determination'!L9</f>
        <v>1983468724.7530122</v>
      </c>
    </row>
    <row r="153" spans="2:15">
      <c r="B153" t="s">
        <v>175</v>
      </c>
      <c r="J153" s="172">
        <v>0.6</v>
      </c>
      <c r="K153" s="172">
        <v>0.6</v>
      </c>
      <c r="L153" s="172">
        <v>0.6</v>
      </c>
      <c r="M153" s="172">
        <v>0.6</v>
      </c>
      <c r="N153" s="172">
        <v>0.6</v>
      </c>
      <c r="O153" s="172">
        <v>0.6</v>
      </c>
    </row>
    <row r="154" spans="2:15">
      <c r="B154" t="s">
        <v>176</v>
      </c>
      <c r="J154" s="171">
        <f>J152*J153</f>
        <v>1161026332.2</v>
      </c>
      <c r="K154" s="171">
        <f t="shared" ref="K154:O154" si="36">K152*K153</f>
        <v>1168938989.0981019</v>
      </c>
      <c r="L154" s="171">
        <f t="shared" si="36"/>
        <v>1178792714.680845</v>
      </c>
      <c r="M154" s="171">
        <f t="shared" si="36"/>
        <v>1184214851.3999999</v>
      </c>
      <c r="N154" s="171">
        <f t="shared" si="36"/>
        <v>1208806279.8</v>
      </c>
      <c r="O154" s="171">
        <f t="shared" si="36"/>
        <v>1190081234.8518074</v>
      </c>
    </row>
    <row r="155" spans="2:15">
      <c r="B155" t="s">
        <v>177</v>
      </c>
      <c r="J155" s="176">
        <f>'Yield Curve'!J154</f>
        <v>4.9350000000000005</v>
      </c>
      <c r="K155" s="176">
        <f>'Yield Curve'!K154</f>
        <v>4.2200000000000006</v>
      </c>
      <c r="L155" s="176">
        <f>'Yield Curve'!L154</f>
        <v>4.66</v>
      </c>
      <c r="M155" s="176">
        <f>'Yield Curve'!M154</f>
        <v>3.0549999999999997</v>
      </c>
      <c r="N155" s="176">
        <f>'Yield Curve'!N154</f>
        <v>2.2949999999999999</v>
      </c>
      <c r="O155" s="176">
        <f>'Yield Curve'!O61</f>
        <v>3.12</v>
      </c>
    </row>
    <row r="157" spans="2:15">
      <c r="B157" s="1" t="s">
        <v>178</v>
      </c>
    </row>
    <row r="158" spans="2:15">
      <c r="B158" t="s">
        <v>179</v>
      </c>
      <c r="J158" s="172">
        <v>1</v>
      </c>
      <c r="K158" s="172">
        <v>0.9</v>
      </c>
      <c r="L158" s="172">
        <v>0.8</v>
      </c>
      <c r="M158" s="172">
        <v>0.7</v>
      </c>
      <c r="N158" s="172">
        <v>0.6</v>
      </c>
      <c r="O158" s="172">
        <v>0.5</v>
      </c>
    </row>
    <row r="159" spans="2:15">
      <c r="B159" t="s">
        <v>180</v>
      </c>
      <c r="J159" s="172"/>
      <c r="K159" s="172">
        <v>0.1</v>
      </c>
      <c r="L159" s="172">
        <v>0.1</v>
      </c>
      <c r="M159" s="172">
        <v>0.1</v>
      </c>
      <c r="N159" s="172">
        <v>0.1</v>
      </c>
      <c r="O159" s="172">
        <v>0.1</v>
      </c>
    </row>
    <row r="160" spans="2:15">
      <c r="B160" t="s">
        <v>181</v>
      </c>
      <c r="J160" s="172"/>
      <c r="K160" s="172"/>
      <c r="L160" s="172">
        <v>0.1</v>
      </c>
      <c r="M160" s="172">
        <v>0.1</v>
      </c>
      <c r="N160" s="172">
        <v>0.1</v>
      </c>
      <c r="O160" s="172">
        <v>0.1</v>
      </c>
    </row>
    <row r="161" spans="2:15">
      <c r="B161" t="s">
        <v>182</v>
      </c>
      <c r="J161" s="172"/>
      <c r="K161" s="172"/>
      <c r="L161" s="172"/>
      <c r="M161" s="172">
        <v>0.1</v>
      </c>
      <c r="N161" s="172">
        <v>0.1</v>
      </c>
      <c r="O161" s="172">
        <v>0.1</v>
      </c>
    </row>
    <row r="162" spans="2:15">
      <c r="B162" t="s">
        <v>183</v>
      </c>
      <c r="J162" s="172"/>
      <c r="K162" s="172"/>
      <c r="L162" s="172"/>
      <c r="M162" s="172"/>
      <c r="N162" s="172">
        <v>0.1</v>
      </c>
      <c r="O162" s="172">
        <v>0.1</v>
      </c>
    </row>
    <row r="163" spans="2:15">
      <c r="B163" t="s">
        <v>192</v>
      </c>
      <c r="J163" s="172"/>
      <c r="K163" s="172"/>
      <c r="L163" s="172"/>
      <c r="M163" s="172"/>
      <c r="N163" s="172"/>
      <c r="O163" s="172">
        <v>0.1</v>
      </c>
    </row>
    <row r="165" spans="2:15">
      <c r="B165" s="1" t="s">
        <v>184</v>
      </c>
    </row>
    <row r="166" spans="2:15">
      <c r="B166" t="s">
        <v>179</v>
      </c>
      <c r="J166" s="171">
        <f>J158*J$154</f>
        <v>1161026332.2</v>
      </c>
      <c r="K166" s="171">
        <f t="shared" ref="K166:O166" si="37">K158*K$154</f>
        <v>1052045090.1882917</v>
      </c>
      <c r="L166" s="171">
        <f t="shared" si="37"/>
        <v>943034171.74467611</v>
      </c>
      <c r="M166" s="171">
        <f t="shared" si="37"/>
        <v>828950395.9799999</v>
      </c>
      <c r="N166" s="171">
        <f t="shared" si="37"/>
        <v>725283767.88</v>
      </c>
      <c r="O166" s="171">
        <f t="shared" si="37"/>
        <v>595040617.42590368</v>
      </c>
    </row>
    <row r="167" spans="2:15">
      <c r="B167" t="s">
        <v>180</v>
      </c>
      <c r="J167" s="171">
        <f t="shared" ref="J167:O171" si="38">J159*J$154</f>
        <v>0</v>
      </c>
      <c r="K167" s="171">
        <f t="shared" si="38"/>
        <v>116893898.90981019</v>
      </c>
      <c r="L167" s="171">
        <f t="shared" si="38"/>
        <v>117879271.46808451</v>
      </c>
      <c r="M167" s="171">
        <f t="shared" si="38"/>
        <v>118421485.13999999</v>
      </c>
      <c r="N167" s="171">
        <f t="shared" si="38"/>
        <v>120880627.98</v>
      </c>
      <c r="O167" s="171">
        <f t="shared" si="38"/>
        <v>119008123.48518074</v>
      </c>
    </row>
    <row r="168" spans="2:15">
      <c r="B168" t="s">
        <v>181</v>
      </c>
      <c r="J168" s="171">
        <f t="shared" si="38"/>
        <v>0</v>
      </c>
      <c r="K168" s="171">
        <f t="shared" si="38"/>
        <v>0</v>
      </c>
      <c r="L168" s="171">
        <f t="shared" si="38"/>
        <v>117879271.46808451</v>
      </c>
      <c r="M168" s="171">
        <f t="shared" si="38"/>
        <v>118421485.13999999</v>
      </c>
      <c r="N168" s="171">
        <f t="shared" si="38"/>
        <v>120880627.98</v>
      </c>
      <c r="O168" s="171">
        <f t="shared" si="38"/>
        <v>119008123.48518074</v>
      </c>
    </row>
    <row r="169" spans="2:15">
      <c r="B169" t="s">
        <v>182</v>
      </c>
      <c r="J169" s="171">
        <f t="shared" si="38"/>
        <v>0</v>
      </c>
      <c r="K169" s="171">
        <f t="shared" si="38"/>
        <v>0</v>
      </c>
      <c r="L169" s="171">
        <f t="shared" si="38"/>
        <v>0</v>
      </c>
      <c r="M169" s="171">
        <f t="shared" si="38"/>
        <v>118421485.13999999</v>
      </c>
      <c r="N169" s="171">
        <f t="shared" si="38"/>
        <v>120880627.98</v>
      </c>
      <c r="O169" s="171">
        <f t="shared" si="38"/>
        <v>119008123.48518074</v>
      </c>
    </row>
    <row r="170" spans="2:15">
      <c r="B170" t="s">
        <v>183</v>
      </c>
      <c r="J170" s="171">
        <f t="shared" si="38"/>
        <v>0</v>
      </c>
      <c r="K170" s="171">
        <f t="shared" si="38"/>
        <v>0</v>
      </c>
      <c r="L170" s="171">
        <f t="shared" si="38"/>
        <v>0</v>
      </c>
      <c r="M170" s="171">
        <f t="shared" si="38"/>
        <v>0</v>
      </c>
      <c r="N170" s="171">
        <f t="shared" si="38"/>
        <v>120880627.98</v>
      </c>
      <c r="O170" s="171">
        <f t="shared" si="38"/>
        <v>119008123.48518074</v>
      </c>
    </row>
    <row r="171" spans="2:15">
      <c r="B171" t="s">
        <v>192</v>
      </c>
      <c r="J171" s="171">
        <f t="shared" si="38"/>
        <v>0</v>
      </c>
      <c r="K171" s="171">
        <f t="shared" si="38"/>
        <v>0</v>
      </c>
      <c r="L171" s="171">
        <f t="shared" si="38"/>
        <v>0</v>
      </c>
      <c r="M171" s="171">
        <f t="shared" si="38"/>
        <v>0</v>
      </c>
      <c r="N171" s="171">
        <f t="shared" si="38"/>
        <v>0</v>
      </c>
      <c r="O171" s="171">
        <f t="shared" si="38"/>
        <v>119008123.48518074</v>
      </c>
    </row>
    <row r="173" spans="2:15">
      <c r="B173" s="1" t="s">
        <v>185</v>
      </c>
    </row>
    <row r="174" spans="2:15">
      <c r="B174" t="s">
        <v>179</v>
      </c>
      <c r="J174" s="171">
        <f>J166*('Trailing average adjustment bnd'!L88/100)</f>
        <v>1161026332.2</v>
      </c>
      <c r="K174" s="171">
        <f>K166*('Trailing average adjustment bnd'!M88/100)</f>
        <v>1116256840.5055678</v>
      </c>
      <c r="L174" s="171">
        <f>L166*('Trailing average adjustment bnd'!N88/100)</f>
        <v>982133285.46171546</v>
      </c>
      <c r="M174" s="171">
        <f>M166*('Trailing average adjustment bnd'!O88/100)</f>
        <v>945978856.08327866</v>
      </c>
      <c r="N174" s="171">
        <f>N166*('Trailing average adjustment bnd'!P88/100)</f>
        <v>852381051.35930824</v>
      </c>
      <c r="O174" s="171">
        <f>O166*('Trailing average adjustment bnd'!Q88/100)</f>
        <v>679646162.50208962</v>
      </c>
    </row>
    <row r="175" spans="2:15">
      <c r="B175" t="s">
        <v>180</v>
      </c>
      <c r="J175" s="171">
        <f>J167*('Trailing average adjustment bnd'!L89/100)</f>
        <v>0</v>
      </c>
      <c r="K175" s="171">
        <f>K167*('Trailing average adjustment bnd'!M89/100)</f>
        <v>116893898.90981019</v>
      </c>
      <c r="L175" s="171">
        <f>L167*('Trailing average adjustment bnd'!N89/100)</f>
        <v>115110711.67577909</v>
      </c>
      <c r="M175" s="171">
        <f>M167*('Trailing average adjustment bnd'!O89/100)</f>
        <v>130459321.1865778</v>
      </c>
      <c r="N175" s="171">
        <f>N167*('Trailing average adjustment bnd'!P89/100)</f>
        <v>137066049.93682334</v>
      </c>
      <c r="O175" s="171">
        <f>O167*('Trailing average adjustment bnd'!Q89/100)</f>
        <v>131836735.16854808</v>
      </c>
    </row>
    <row r="176" spans="2:15">
      <c r="B176" t="s">
        <v>181</v>
      </c>
      <c r="J176" s="171">
        <f>J168*('Trailing average adjustment bnd'!L90/100)</f>
        <v>0</v>
      </c>
      <c r="K176" s="171">
        <f>K168*('Trailing average adjustment bnd'!M90/100)</f>
        <v>0</v>
      </c>
      <c r="L176" s="171">
        <f>L168*('Trailing average adjustment bnd'!N90/100)</f>
        <v>117879271.46808451</v>
      </c>
      <c r="M176" s="171">
        <f>M168*('Trailing average adjustment bnd'!O90/100)</f>
        <v>134075646.29271848</v>
      </c>
      <c r="N176" s="171">
        <f>N168*('Trailing average adjustment bnd'!P90/100)</f>
        <v>142684019.55874041</v>
      </c>
      <c r="O176" s="171">
        <f>O168*('Trailing average adjustment bnd'!Q90/100)</f>
        <v>134271779.52358314</v>
      </c>
    </row>
    <row r="177" spans="2:15">
      <c r="B177" t="s">
        <v>182</v>
      </c>
      <c r="J177" s="171">
        <f>J169*('Trailing average adjustment bnd'!L91/100)</f>
        <v>0</v>
      </c>
      <c r="K177" s="171">
        <f>K169*('Trailing average adjustment bnd'!M91/100)</f>
        <v>0</v>
      </c>
      <c r="L177" s="171">
        <f>L169*('Trailing average adjustment bnd'!N91/100)</f>
        <v>0</v>
      </c>
      <c r="M177" s="171">
        <f>M169*('Trailing average adjustment bnd'!O91/100)</f>
        <v>118421485.13999997</v>
      </c>
      <c r="N177" s="171">
        <f>N169*('Trailing average adjustment bnd'!P91/100)</f>
        <v>128666032.66094287</v>
      </c>
      <c r="O177" s="171">
        <f>O169*('Trailing average adjustment bnd'!Q91/100)</f>
        <v>121561802.88263558</v>
      </c>
    </row>
    <row r="178" spans="2:15">
      <c r="B178" t="s">
        <v>183</v>
      </c>
      <c r="J178" s="171">
        <f>J170*('Trailing average adjustment bnd'!L92/100)</f>
        <v>0</v>
      </c>
      <c r="K178" s="171">
        <f>K170*('Trailing average adjustment bnd'!M92/100)</f>
        <v>0</v>
      </c>
      <c r="L178" s="171">
        <f>L170*('Trailing average adjustment bnd'!N92/100)</f>
        <v>0</v>
      </c>
      <c r="M178" s="171">
        <f>M170*('Trailing average adjustment bnd'!O92/100)</f>
        <v>0</v>
      </c>
      <c r="N178" s="171">
        <f>N170*('Trailing average adjustment bnd'!P92/100)</f>
        <v>120880627.98</v>
      </c>
      <c r="O178" s="171">
        <f>O170*('Trailing average adjustment bnd'!Q92/100)</f>
        <v>112497927.79657273</v>
      </c>
    </row>
    <row r="179" spans="2:15">
      <c r="B179" t="s">
        <v>192</v>
      </c>
      <c r="J179" s="171">
        <f>J171*('Trailing average adjustment bnd'!L93/100)</f>
        <v>0</v>
      </c>
      <c r="K179" s="171">
        <f>K171*('Trailing average adjustment bnd'!M93/100)</f>
        <v>0</v>
      </c>
      <c r="L179" s="171">
        <f>L171*('Trailing average adjustment bnd'!N93/100)</f>
        <v>0</v>
      </c>
      <c r="M179" s="171">
        <f>M171*('Trailing average adjustment bnd'!O93/100)</f>
        <v>0</v>
      </c>
      <c r="N179" s="171">
        <f>N171*('Trailing average adjustment bnd'!P93/100)</f>
        <v>0</v>
      </c>
      <c r="O179" s="171">
        <f>O171*('Trailing average adjustment bnd'!Q93/100)</f>
        <v>119008123.48518074</v>
      </c>
    </row>
    <row r="181" spans="2:15">
      <c r="B181" t="s">
        <v>186</v>
      </c>
      <c r="J181" s="171">
        <f>SUM(J174:J179)</f>
        <v>1161026332.2</v>
      </c>
      <c r="K181" s="171">
        <f t="shared" ref="K181:O181" si="39">SUM(K174:K179)</f>
        <v>1233150739.4153781</v>
      </c>
      <c r="L181" s="171">
        <f t="shared" si="39"/>
        <v>1215123268.6055791</v>
      </c>
      <c r="M181" s="171">
        <f t="shared" si="39"/>
        <v>1328935308.7025747</v>
      </c>
      <c r="N181" s="171">
        <f t="shared" si="39"/>
        <v>1381677781.4958148</v>
      </c>
      <c r="O181" s="171">
        <f t="shared" si="39"/>
        <v>1298822531.3586102</v>
      </c>
    </row>
    <row r="183" spans="2:15">
      <c r="B183" t="s">
        <v>187</v>
      </c>
      <c r="J183" s="171">
        <f>J181-J154</f>
        <v>0</v>
      </c>
      <c r="K183" s="171">
        <f t="shared" ref="K183:O183" si="40">K181-K154</f>
        <v>64211750.317276239</v>
      </c>
      <c r="L183" s="171">
        <f t="shared" si="40"/>
        <v>36330553.924734116</v>
      </c>
      <c r="M183" s="171">
        <f t="shared" si="40"/>
        <v>144720457.30257487</v>
      </c>
      <c r="N183" s="171">
        <f t="shared" si="40"/>
        <v>172871501.69581485</v>
      </c>
      <c r="O183" s="171">
        <f t="shared" si="40"/>
        <v>108741296.5068028</v>
      </c>
    </row>
    <row r="184" spans="2:15">
      <c r="B184" t="s">
        <v>188</v>
      </c>
      <c r="E184" s="171">
        <f>E183+E152</f>
        <v>1426170575.2661355</v>
      </c>
      <c r="F184" s="171">
        <f t="shared" ref="F184:O184" si="41">F183+F152</f>
        <v>1520642090.2205954</v>
      </c>
      <c r="G184" s="171">
        <f t="shared" si="41"/>
        <v>1612717077.4992993</v>
      </c>
      <c r="H184" s="171">
        <f t="shared" si="41"/>
        <v>1718535301.5446224</v>
      </c>
      <c r="I184" s="171">
        <f t="shared" si="41"/>
        <v>1765718503.8860371</v>
      </c>
      <c r="J184" s="171">
        <f t="shared" si="41"/>
        <v>1935043887</v>
      </c>
      <c r="K184" s="171">
        <f t="shared" si="41"/>
        <v>2012443398.8141129</v>
      </c>
      <c r="L184" s="171">
        <f t="shared" si="41"/>
        <v>2000985078.3928092</v>
      </c>
      <c r="M184" s="171">
        <f t="shared" si="41"/>
        <v>2118411876.3025749</v>
      </c>
      <c r="N184" s="171">
        <f t="shared" si="41"/>
        <v>2187548634.6958151</v>
      </c>
      <c r="O184" s="171">
        <f t="shared" si="41"/>
        <v>2092210021.259815</v>
      </c>
    </row>
    <row r="186" spans="2:15">
      <c r="B186" s="5" t="s">
        <v>52</v>
      </c>
      <c r="J186" s="1" t="s">
        <v>195</v>
      </c>
      <c r="O186" s="1" t="s">
        <v>198</v>
      </c>
    </row>
    <row r="187" spans="2:15">
      <c r="C187" t="s">
        <v>199</v>
      </c>
      <c r="E187">
        <v>2011</v>
      </c>
      <c r="F187">
        <v>2012</v>
      </c>
      <c r="G187">
        <v>2013</v>
      </c>
      <c r="H187">
        <v>2014</v>
      </c>
      <c r="I187">
        <v>2015</v>
      </c>
      <c r="J187">
        <v>2016</v>
      </c>
      <c r="K187">
        <v>2017</v>
      </c>
      <c r="L187">
        <v>2018</v>
      </c>
      <c r="M187">
        <v>2019</v>
      </c>
      <c r="N187">
        <v>2020</v>
      </c>
      <c r="O187">
        <v>2021</v>
      </c>
    </row>
    <row r="189" spans="2:15">
      <c r="B189" t="s">
        <v>45</v>
      </c>
      <c r="E189" s="173">
        <f>('SKI - RIN'!H51+'SKI - RIN'!H61)*1000</f>
        <v>2446369158.3284392</v>
      </c>
      <c r="F189" s="173">
        <f>('SKI - RIN'!I51+'SKI - RIN'!I61)*1000</f>
        <v>2673289379.6656795</v>
      </c>
      <c r="G189" s="173">
        <f>('SKI - RIN'!J51+'SKI - RIN'!J61)*1000</f>
        <v>2886948489.5444021</v>
      </c>
      <c r="H189" s="173">
        <f>('SKI - RIN'!K51+'SKI - RIN'!K61)*1000</f>
        <v>3142661963.2115731</v>
      </c>
      <c r="I189" s="173">
        <f>('SKI - RIN'!L51+'SKI - RIN'!L61)</f>
        <v>3317956727.9105754</v>
      </c>
      <c r="J189" s="173">
        <f>'SKI - RIN'!M51+'SKI - RIN'!M61</f>
        <v>3775693868</v>
      </c>
      <c r="K189" s="173">
        <f>'SKI - RIN'!N51+'SKI - RIN'!N61</f>
        <v>3960867803.8310308</v>
      </c>
      <c r="L189" s="173">
        <f>'SKI - RIN'!O51+'SKI - RIN'!O61</f>
        <v>4157139318.4019566</v>
      </c>
      <c r="M189" s="173">
        <f>'SKI - RIN'!P51+'SKI - RIN'!P61</f>
        <v>4357818156</v>
      </c>
      <c r="N189" s="173">
        <f>'SKI - RIN'!Q51+'SKI - RIN'!Q61</f>
        <v>4595229627</v>
      </c>
      <c r="O189" s="173">
        <f>N189*(Inflation!B404/Inflation!B402)+'AER Regulatory determination'!L17-'AER Regulatory determination'!L19</f>
        <v>4524047197.9340792</v>
      </c>
    </row>
    <row r="190" spans="2:15">
      <c r="B190" t="s">
        <v>175</v>
      </c>
      <c r="J190" s="172">
        <v>0.6</v>
      </c>
      <c r="K190" s="172">
        <v>0.6</v>
      </c>
      <c r="L190" s="172">
        <v>0.6</v>
      </c>
      <c r="M190" s="172">
        <v>0.6</v>
      </c>
      <c r="N190" s="172">
        <v>0.6</v>
      </c>
      <c r="O190" s="172">
        <v>0.6</v>
      </c>
    </row>
    <row r="191" spans="2:15">
      <c r="B191" t="s">
        <v>176</v>
      </c>
      <c r="J191" s="171">
        <f>J189*J190</f>
        <v>2265416320.7999997</v>
      </c>
      <c r="K191" s="171">
        <f t="shared" ref="K191:O191" si="42">K189*K190</f>
        <v>2376520682.2986183</v>
      </c>
      <c r="L191" s="171">
        <f t="shared" si="42"/>
        <v>2494283591.0411739</v>
      </c>
      <c r="M191" s="171">
        <f t="shared" si="42"/>
        <v>2614690893.5999999</v>
      </c>
      <c r="N191" s="171">
        <f t="shared" si="42"/>
        <v>2757137776.1999998</v>
      </c>
      <c r="O191" s="171">
        <f t="shared" si="42"/>
        <v>2714428318.7604475</v>
      </c>
    </row>
    <row r="192" spans="2:15">
      <c r="B192" t="s">
        <v>177</v>
      </c>
      <c r="J192" s="176">
        <f>'Yield Curve'!J154</f>
        <v>4.9350000000000005</v>
      </c>
      <c r="K192" s="176">
        <f>'Yield Curve'!K154</f>
        <v>4.2200000000000006</v>
      </c>
      <c r="L192" s="176">
        <f>'Yield Curve'!L154</f>
        <v>4.66</v>
      </c>
      <c r="M192" s="176">
        <f>'Yield Curve'!M154</f>
        <v>3.0549999999999997</v>
      </c>
      <c r="N192" s="176">
        <f>'Yield Curve'!N154</f>
        <v>2.2949999999999999</v>
      </c>
      <c r="O192" s="176">
        <f>'Yield Curve'!O61</f>
        <v>3.12</v>
      </c>
    </row>
    <row r="194" spans="2:15">
      <c r="B194" s="1" t="s">
        <v>178</v>
      </c>
    </row>
    <row r="195" spans="2:15">
      <c r="B195" t="s">
        <v>179</v>
      </c>
      <c r="J195" s="172">
        <v>1</v>
      </c>
      <c r="K195" s="172">
        <v>0.9</v>
      </c>
      <c r="L195" s="172">
        <v>0.8</v>
      </c>
      <c r="M195" s="172">
        <v>0.7</v>
      </c>
      <c r="N195" s="172">
        <v>0.6</v>
      </c>
      <c r="O195" s="172">
        <v>0.5</v>
      </c>
    </row>
    <row r="196" spans="2:15">
      <c r="B196" t="s">
        <v>180</v>
      </c>
      <c r="J196" s="172"/>
      <c r="K196" s="172">
        <v>0.1</v>
      </c>
      <c r="L196" s="172">
        <v>0.1</v>
      </c>
      <c r="M196" s="172">
        <v>0.1</v>
      </c>
      <c r="N196" s="172">
        <v>0.1</v>
      </c>
      <c r="O196" s="172">
        <v>0.1</v>
      </c>
    </row>
    <row r="197" spans="2:15">
      <c r="B197" t="s">
        <v>181</v>
      </c>
      <c r="J197" s="172"/>
      <c r="K197" s="172"/>
      <c r="L197" s="172">
        <v>0.1</v>
      </c>
      <c r="M197" s="172">
        <v>0.1</v>
      </c>
      <c r="N197" s="172">
        <v>0.1</v>
      </c>
      <c r="O197" s="172">
        <v>0.1</v>
      </c>
    </row>
    <row r="198" spans="2:15">
      <c r="B198" t="s">
        <v>182</v>
      </c>
      <c r="J198" s="172"/>
      <c r="K198" s="172"/>
      <c r="L198" s="172"/>
      <c r="M198" s="172">
        <v>0.1</v>
      </c>
      <c r="N198" s="172">
        <v>0.1</v>
      </c>
      <c r="O198" s="172">
        <v>0.1</v>
      </c>
    </row>
    <row r="199" spans="2:15">
      <c r="B199" t="s">
        <v>183</v>
      </c>
      <c r="J199" s="172"/>
      <c r="K199" s="172"/>
      <c r="L199" s="172"/>
      <c r="M199" s="172"/>
      <c r="N199" s="172">
        <v>0.1</v>
      </c>
      <c r="O199" s="172">
        <v>0.1</v>
      </c>
    </row>
    <row r="200" spans="2:15">
      <c r="B200" t="s">
        <v>192</v>
      </c>
      <c r="J200" s="172"/>
      <c r="K200" s="172"/>
      <c r="L200" s="172"/>
      <c r="M200" s="172"/>
      <c r="N200" s="172"/>
      <c r="O200" s="172">
        <v>0.1</v>
      </c>
    </row>
    <row r="202" spans="2:15">
      <c r="B202" s="1" t="s">
        <v>184</v>
      </c>
    </row>
    <row r="203" spans="2:15">
      <c r="B203" t="s">
        <v>179</v>
      </c>
      <c r="J203" s="171">
        <f>J195*J$191</f>
        <v>2265416320.7999997</v>
      </c>
      <c r="K203" s="171">
        <f t="shared" ref="K203:O203" si="43">K195*K$191</f>
        <v>2138868614.0687566</v>
      </c>
      <c r="L203" s="171">
        <f t="shared" si="43"/>
        <v>1995426872.8329391</v>
      </c>
      <c r="M203" s="171">
        <f t="shared" si="43"/>
        <v>1830283625.5199997</v>
      </c>
      <c r="N203" s="171">
        <f t="shared" si="43"/>
        <v>1654282665.7199998</v>
      </c>
      <c r="O203" s="171">
        <f t="shared" si="43"/>
        <v>1357214159.3802238</v>
      </c>
    </row>
    <row r="204" spans="2:15">
      <c r="B204" t="s">
        <v>180</v>
      </c>
      <c r="J204" s="171">
        <f t="shared" ref="J204:O208" si="44">J196*J$191</f>
        <v>0</v>
      </c>
      <c r="K204" s="171">
        <f t="shared" si="44"/>
        <v>237652068.22986186</v>
      </c>
      <c r="L204" s="171">
        <f t="shared" si="44"/>
        <v>249428359.10411739</v>
      </c>
      <c r="M204" s="171">
        <f t="shared" si="44"/>
        <v>261469089.36000001</v>
      </c>
      <c r="N204" s="171">
        <f t="shared" si="44"/>
        <v>275713777.62</v>
      </c>
      <c r="O204" s="171">
        <f t="shared" si="44"/>
        <v>271442831.87604475</v>
      </c>
    </row>
    <row r="205" spans="2:15">
      <c r="B205" t="s">
        <v>181</v>
      </c>
      <c r="J205" s="171">
        <f t="shared" si="44"/>
        <v>0</v>
      </c>
      <c r="K205" s="171">
        <f t="shared" si="44"/>
        <v>0</v>
      </c>
      <c r="L205" s="171">
        <f t="shared" si="44"/>
        <v>249428359.10411739</v>
      </c>
      <c r="M205" s="171">
        <f t="shared" si="44"/>
        <v>261469089.36000001</v>
      </c>
      <c r="N205" s="171">
        <f t="shared" si="44"/>
        <v>275713777.62</v>
      </c>
      <c r="O205" s="171">
        <f t="shared" si="44"/>
        <v>271442831.87604475</v>
      </c>
    </row>
    <row r="206" spans="2:15">
      <c r="B206" t="s">
        <v>182</v>
      </c>
      <c r="J206" s="171">
        <f t="shared" si="44"/>
        <v>0</v>
      </c>
      <c r="K206" s="171">
        <f t="shared" si="44"/>
        <v>0</v>
      </c>
      <c r="L206" s="171">
        <f t="shared" si="44"/>
        <v>0</v>
      </c>
      <c r="M206" s="171">
        <f t="shared" si="44"/>
        <v>261469089.36000001</v>
      </c>
      <c r="N206" s="171">
        <f t="shared" si="44"/>
        <v>275713777.62</v>
      </c>
      <c r="O206" s="171">
        <f t="shared" si="44"/>
        <v>271442831.87604475</v>
      </c>
    </row>
    <row r="207" spans="2:15">
      <c r="B207" t="s">
        <v>183</v>
      </c>
      <c r="J207" s="171">
        <f t="shared" si="44"/>
        <v>0</v>
      </c>
      <c r="K207" s="171">
        <f t="shared" si="44"/>
        <v>0</v>
      </c>
      <c r="L207" s="171">
        <f t="shared" si="44"/>
        <v>0</v>
      </c>
      <c r="M207" s="171">
        <f t="shared" si="44"/>
        <v>0</v>
      </c>
      <c r="N207" s="171">
        <f t="shared" si="44"/>
        <v>275713777.62</v>
      </c>
      <c r="O207" s="171">
        <f t="shared" si="44"/>
        <v>271442831.87604475</v>
      </c>
    </row>
    <row r="208" spans="2:15">
      <c r="B208" t="s">
        <v>192</v>
      </c>
      <c r="J208" s="171">
        <f t="shared" si="44"/>
        <v>0</v>
      </c>
      <c r="K208" s="171">
        <f t="shared" si="44"/>
        <v>0</v>
      </c>
      <c r="L208" s="171">
        <f t="shared" si="44"/>
        <v>0</v>
      </c>
      <c r="M208" s="171">
        <f t="shared" si="44"/>
        <v>0</v>
      </c>
      <c r="N208" s="171">
        <f t="shared" si="44"/>
        <v>0</v>
      </c>
      <c r="O208" s="171">
        <f t="shared" si="44"/>
        <v>271442831.87604475</v>
      </c>
    </row>
    <row r="210" spans="2:15">
      <c r="B210" s="1" t="s">
        <v>185</v>
      </c>
    </row>
    <row r="211" spans="2:15">
      <c r="B211" t="s">
        <v>179</v>
      </c>
      <c r="J211" s="171">
        <f>J203*('Trailing average adjustment bnd'!L106/100)</f>
        <v>2265416320.7999997</v>
      </c>
      <c r="K211" s="171">
        <f>K203*('Trailing average adjustment bnd'!M106/100)</f>
        <v>2269414822.2958779</v>
      </c>
      <c r="L211" s="171">
        <f>L203*('Trailing average adjustment bnd'!N106/100)</f>
        <v>2078159211.2280474</v>
      </c>
      <c r="M211" s="171">
        <f>M203*('Trailing average adjustment bnd'!O106/100)</f>
        <v>2088676980.8831108</v>
      </c>
      <c r="N211" s="171">
        <f>N203*('Trailing average adjustment bnd'!P106/100)</f>
        <v>1944175866.466094</v>
      </c>
      <c r="O211" s="171">
        <f>O203*('Trailing average adjustment bnd'!Q106/100)</f>
        <v>1550188958.7077336</v>
      </c>
    </row>
    <row r="212" spans="2:15">
      <c r="B212" t="s">
        <v>180</v>
      </c>
      <c r="J212" s="171">
        <f>J204*('Trailing average adjustment bnd'!L107/100)</f>
        <v>0</v>
      </c>
      <c r="K212" s="171">
        <f>K204*('Trailing average adjustment bnd'!M107/100)</f>
        <v>237652068.22986186</v>
      </c>
      <c r="L212" s="171">
        <f>L204*('Trailing average adjustment bnd'!N107/100)</f>
        <v>243570184.74083805</v>
      </c>
      <c r="M212" s="171">
        <f>M204*('Trailing average adjustment bnd'!O107/100)</f>
        <v>288048067.19702536</v>
      </c>
      <c r="N212" s="171">
        <f>N204*('Trailing average adjustment bnd'!P107/100)</f>
        <v>312630725.39452511</v>
      </c>
      <c r="O212" s="171">
        <f>O204*('Trailing average adjustment bnd'!Q107/100)</f>
        <v>300703310.76095855</v>
      </c>
    </row>
    <row r="213" spans="2:15">
      <c r="B213" t="s">
        <v>181</v>
      </c>
      <c r="J213" s="171">
        <f>J205*('Trailing average adjustment bnd'!L108/100)</f>
        <v>0</v>
      </c>
      <c r="K213" s="171">
        <f>K205*('Trailing average adjustment bnd'!M108/100)</f>
        <v>0</v>
      </c>
      <c r="L213" s="171">
        <f>L205*('Trailing average adjustment bnd'!N108/100)</f>
        <v>249428359.10411739</v>
      </c>
      <c r="M213" s="171">
        <f>M205*('Trailing average adjustment bnd'!O108/100)</f>
        <v>296032743.55211794</v>
      </c>
      <c r="N213" s="171">
        <f>N205*('Trailing average adjustment bnd'!P108/100)</f>
        <v>325444620.00193429</v>
      </c>
      <c r="O213" s="171">
        <f>O205*('Trailing average adjustment bnd'!Q108/100)</f>
        <v>306257346.20087373</v>
      </c>
    </row>
    <row r="214" spans="2:15">
      <c r="B214" t="s">
        <v>182</v>
      </c>
      <c r="J214" s="171">
        <f>J206*('Trailing average adjustment bnd'!L109/100)</f>
        <v>0</v>
      </c>
      <c r="K214" s="171">
        <f>K206*('Trailing average adjustment bnd'!M109/100)</f>
        <v>0</v>
      </c>
      <c r="L214" s="171">
        <f>L206*('Trailing average adjustment bnd'!N109/100)</f>
        <v>0</v>
      </c>
      <c r="M214" s="171">
        <f>M206*('Trailing average adjustment bnd'!O109/100)</f>
        <v>261469089.35999998</v>
      </c>
      <c r="N214" s="171">
        <f>N206*('Trailing average adjustment bnd'!P109/100)</f>
        <v>293471323.81043124</v>
      </c>
      <c r="O214" s="171">
        <f>O206*('Trailing average adjustment bnd'!Q109/100)</f>
        <v>277267459.19600219</v>
      </c>
    </row>
    <row r="215" spans="2:15">
      <c r="B215" t="s">
        <v>183</v>
      </c>
      <c r="J215" s="171">
        <f>J207*('Trailing average adjustment bnd'!L110/100)</f>
        <v>0</v>
      </c>
      <c r="K215" s="171">
        <f>K207*('Trailing average adjustment bnd'!M110/100)</f>
        <v>0</v>
      </c>
      <c r="L215" s="171">
        <f>L207*('Trailing average adjustment bnd'!N110/100)</f>
        <v>0</v>
      </c>
      <c r="M215" s="171">
        <f>M207*('Trailing average adjustment bnd'!O110/100)</f>
        <v>0</v>
      </c>
      <c r="N215" s="171">
        <f>N207*('Trailing average adjustment bnd'!P110/100)</f>
        <v>275713777.62</v>
      </c>
      <c r="O215" s="171">
        <f>O207*('Trailing average adjustment bnd'!Q110/100)</f>
        <v>256593879.53538352</v>
      </c>
    </row>
    <row r="216" spans="2:15">
      <c r="B216" t="s">
        <v>192</v>
      </c>
      <c r="J216" s="171">
        <f>J208*('Trailing average adjustment bnd'!L111/100)</f>
        <v>0</v>
      </c>
      <c r="K216" s="171">
        <f>K208*('Trailing average adjustment bnd'!M111/100)</f>
        <v>0</v>
      </c>
      <c r="L216" s="171">
        <f>L208*('Trailing average adjustment bnd'!N111/100)</f>
        <v>0</v>
      </c>
      <c r="M216" s="171">
        <f>M208*('Trailing average adjustment bnd'!O111/100)</f>
        <v>0</v>
      </c>
      <c r="N216" s="171">
        <f>N208*('Trailing average adjustment bnd'!P111/100)</f>
        <v>0</v>
      </c>
      <c r="O216" s="171">
        <f>O208*('Trailing average adjustment bnd'!Q111/100)</f>
        <v>271442831.87604475</v>
      </c>
    </row>
    <row r="217" spans="2:15">
      <c r="J217" s="64"/>
      <c r="K217" s="64"/>
      <c r="L217" s="64"/>
      <c r="M217" s="64"/>
      <c r="N217" s="64"/>
      <c r="O217" s="64"/>
    </row>
    <row r="218" spans="2:15">
      <c r="B218" t="s">
        <v>186</v>
      </c>
      <c r="J218" s="171">
        <f>SUM(J211:J216)</f>
        <v>2265416320.7999997</v>
      </c>
      <c r="K218" s="171">
        <f t="shared" ref="K218:O218" si="45">SUM(K211:K216)</f>
        <v>2507066890.5257397</v>
      </c>
      <c r="L218" s="171">
        <f t="shared" si="45"/>
        <v>2571157755.0730028</v>
      </c>
      <c r="M218" s="171">
        <f t="shared" si="45"/>
        <v>2934226880.9922543</v>
      </c>
      <c r="N218" s="171">
        <f t="shared" si="45"/>
        <v>3151436313.292985</v>
      </c>
      <c r="O218" s="171">
        <f t="shared" si="45"/>
        <v>2962453786.2769966</v>
      </c>
    </row>
    <row r="220" spans="2:15">
      <c r="B220" t="s">
        <v>187</v>
      </c>
      <c r="J220" s="171">
        <f>J218-J191</f>
        <v>0</v>
      </c>
      <c r="K220" s="171">
        <f t="shared" ref="K220:O220" si="46">K218-K191</f>
        <v>130546208.22712135</v>
      </c>
      <c r="L220" s="171">
        <f t="shared" si="46"/>
        <v>76874164.03182888</v>
      </c>
      <c r="M220" s="171">
        <f t="shared" si="46"/>
        <v>319535987.39225435</v>
      </c>
      <c r="N220" s="171">
        <f t="shared" si="46"/>
        <v>394298537.09298515</v>
      </c>
      <c r="O220" s="171">
        <f t="shared" si="46"/>
        <v>248025467.51654911</v>
      </c>
    </row>
    <row r="221" spans="2:15">
      <c r="B221" t="s">
        <v>188</v>
      </c>
      <c r="E221" s="171">
        <f>E220+E189</f>
        <v>2446369158.3284392</v>
      </c>
      <c r="F221" s="171">
        <f t="shared" ref="F221:O221" si="47">F220+F189</f>
        <v>2673289379.6656795</v>
      </c>
      <c r="G221" s="171">
        <f t="shared" si="47"/>
        <v>2886948489.5444021</v>
      </c>
      <c r="H221" s="171">
        <f t="shared" si="47"/>
        <v>3142661963.2115731</v>
      </c>
      <c r="I221" s="171">
        <f t="shared" si="47"/>
        <v>3317956727.9105754</v>
      </c>
      <c r="J221" s="171">
        <f t="shared" si="47"/>
        <v>3775693868</v>
      </c>
      <c r="K221" s="171">
        <f t="shared" si="47"/>
        <v>4091414012.0581522</v>
      </c>
      <c r="L221" s="171">
        <f t="shared" si="47"/>
        <v>4234013482.4337854</v>
      </c>
      <c r="M221" s="171">
        <f t="shared" si="47"/>
        <v>4677354143.3922539</v>
      </c>
      <c r="N221" s="171">
        <f t="shared" si="47"/>
        <v>4989528164.0929852</v>
      </c>
      <c r="O221" s="171">
        <f t="shared" si="47"/>
        <v>4772072665.4506283</v>
      </c>
    </row>
    <row r="223" spans="2:15">
      <c r="B223" s="5" t="s">
        <v>43</v>
      </c>
      <c r="I223" s="1" t="s">
        <v>195</v>
      </c>
    </row>
    <row r="224" spans="2:15">
      <c r="C224" t="s">
        <v>196</v>
      </c>
      <c r="E224">
        <v>2011</v>
      </c>
      <c r="F224">
        <v>2012</v>
      </c>
      <c r="G224">
        <v>2013</v>
      </c>
      <c r="H224">
        <v>2014</v>
      </c>
      <c r="I224">
        <v>2015</v>
      </c>
      <c r="J224">
        <v>2016</v>
      </c>
      <c r="K224">
        <v>2017</v>
      </c>
      <c r="L224">
        <v>2018</v>
      </c>
      <c r="M224">
        <v>2019</v>
      </c>
      <c r="N224">
        <v>2020</v>
      </c>
      <c r="O224">
        <v>2021</v>
      </c>
    </row>
    <row r="226" spans="2:15">
      <c r="B226" t="s">
        <v>45</v>
      </c>
      <c r="E226" s="173">
        <f>'SKI - RIN'!H71*1000</f>
        <v>4724751887.6782007</v>
      </c>
      <c r="F226" s="173">
        <f>'SKI - RIN'!I71*1000</f>
        <v>4981986045.157649</v>
      </c>
      <c r="G226" s="173">
        <f>'SKI - RIN'!J71*1000</f>
        <v>5288644187.7974691</v>
      </c>
      <c r="H226" s="173">
        <f>'SKI - RIN'!K71*1000</f>
        <v>5833875360.7173347</v>
      </c>
      <c r="I226" s="173">
        <f>'SKI - RIN'!L71</f>
        <v>5983666284.3869867</v>
      </c>
      <c r="J226" s="173">
        <f>'SKI - RIN'!M71</f>
        <v>6082443295.085988</v>
      </c>
      <c r="K226" s="173">
        <f>'SKI - RIN'!N71</f>
        <v>6030010661.7457294</v>
      </c>
      <c r="L226" s="173">
        <f>'SKI - RIN'!O71</f>
        <v>6053065301.0150719</v>
      </c>
      <c r="M226" s="173">
        <f>'SKI - RIN'!P71</f>
        <v>6317014244.8444128</v>
      </c>
      <c r="N226" s="173">
        <f>'SKI - RIN'!Q71</f>
        <v>6373474963</v>
      </c>
      <c r="O226" s="171">
        <f>'SKI - RIN'!Q71*(Inflation!B404/Inflation!B400)+'AER Regulatory determination'!L27-'AER Regulatory determination'!L29</f>
        <v>6351267726.663763</v>
      </c>
    </row>
    <row r="227" spans="2:15">
      <c r="B227" t="s">
        <v>175</v>
      </c>
      <c r="I227" s="172">
        <v>0.6</v>
      </c>
      <c r="J227" s="172">
        <v>0.6</v>
      </c>
      <c r="K227" s="172">
        <v>0.6</v>
      </c>
      <c r="L227" s="172">
        <v>0.6</v>
      </c>
      <c r="M227" s="172">
        <v>0.6</v>
      </c>
      <c r="N227" s="172">
        <v>0.6</v>
      </c>
      <c r="O227" s="172">
        <v>0.6</v>
      </c>
    </row>
    <row r="228" spans="2:15">
      <c r="B228" t="s">
        <v>176</v>
      </c>
      <c r="I228" s="171">
        <f>I226*I227</f>
        <v>3590199770.6321921</v>
      </c>
      <c r="J228" s="171">
        <f t="shared" ref="J228:O228" si="48">J226*J227</f>
        <v>3649465977.0515928</v>
      </c>
      <c r="K228" s="171">
        <f t="shared" si="48"/>
        <v>3618006397.0474377</v>
      </c>
      <c r="L228" s="171">
        <f t="shared" si="48"/>
        <v>3631839180.6090431</v>
      </c>
      <c r="M228" s="171">
        <f t="shared" si="48"/>
        <v>3790208546.9066477</v>
      </c>
      <c r="N228" s="171">
        <f t="shared" si="48"/>
        <v>3824084977.7999997</v>
      </c>
      <c r="O228" s="171">
        <f t="shared" si="48"/>
        <v>3810760635.9982576</v>
      </c>
    </row>
    <row r="229" spans="2:15">
      <c r="B229" t="s">
        <v>177</v>
      </c>
      <c r="I229" s="176">
        <f>'Yield Curve'!I61</f>
        <v>5</v>
      </c>
      <c r="J229" s="176">
        <f>'Yield Curve'!J61</f>
        <v>4.7200000000000006</v>
      </c>
      <c r="K229" s="176">
        <f>'Yield Curve'!K61</f>
        <v>4.33</v>
      </c>
      <c r="L229" s="176">
        <f>'Yield Curve'!L61</f>
        <v>4.49</v>
      </c>
      <c r="M229" s="176">
        <f>'Yield Curve'!M61</f>
        <v>3.55</v>
      </c>
      <c r="N229" s="176">
        <f>'Yield Curve'!N61</f>
        <v>3.45</v>
      </c>
      <c r="O229" s="176">
        <f>'Yield Curve'!O61</f>
        <v>3.12</v>
      </c>
    </row>
    <row r="231" spans="2:15">
      <c r="B231" s="1" t="s">
        <v>178</v>
      </c>
    </row>
    <row r="232" spans="2:15">
      <c r="B232" t="s">
        <v>179</v>
      </c>
      <c r="I232" s="172">
        <v>1</v>
      </c>
      <c r="J232" s="172">
        <f>I232-0.1</f>
        <v>0.9</v>
      </c>
      <c r="K232" s="172">
        <f t="shared" ref="K232:O232" si="49">J232-0.1</f>
        <v>0.8</v>
      </c>
      <c r="L232" s="172">
        <f t="shared" si="49"/>
        <v>0.70000000000000007</v>
      </c>
      <c r="M232" s="172">
        <f t="shared" si="49"/>
        <v>0.60000000000000009</v>
      </c>
      <c r="N232" s="172">
        <f t="shared" si="49"/>
        <v>0.50000000000000011</v>
      </c>
      <c r="O232" s="172">
        <f t="shared" si="49"/>
        <v>0.40000000000000013</v>
      </c>
    </row>
    <row r="233" spans="2:15">
      <c r="B233" t="s">
        <v>180</v>
      </c>
      <c r="I233" s="172"/>
      <c r="J233" s="172">
        <v>0.1</v>
      </c>
      <c r="K233" s="172">
        <v>0.1</v>
      </c>
      <c r="L233" s="172">
        <v>0.1</v>
      </c>
      <c r="M233" s="172">
        <v>0.1</v>
      </c>
      <c r="N233" s="172">
        <v>0.1</v>
      </c>
      <c r="O233" s="172">
        <v>0.1</v>
      </c>
    </row>
    <row r="234" spans="2:15">
      <c r="B234" t="s">
        <v>181</v>
      </c>
      <c r="I234" s="172"/>
      <c r="J234" s="172"/>
      <c r="K234" s="172">
        <v>0.1</v>
      </c>
      <c r="L234" s="172">
        <v>0.1</v>
      </c>
      <c r="M234" s="172">
        <v>0.1</v>
      </c>
      <c r="N234" s="172">
        <v>0.1</v>
      </c>
      <c r="O234" s="172">
        <v>0.1</v>
      </c>
    </row>
    <row r="235" spans="2:15">
      <c r="B235" t="s">
        <v>182</v>
      </c>
      <c r="I235" s="172"/>
      <c r="J235" s="172"/>
      <c r="K235" s="172"/>
      <c r="L235" s="172">
        <v>0.1</v>
      </c>
      <c r="M235" s="172">
        <v>0.1</v>
      </c>
      <c r="N235" s="172">
        <v>0.1</v>
      </c>
      <c r="O235" s="172">
        <v>0.1</v>
      </c>
    </row>
    <row r="236" spans="2:15">
      <c r="B236" t="s">
        <v>183</v>
      </c>
      <c r="I236" s="172"/>
      <c r="J236" s="172"/>
      <c r="K236" s="172"/>
      <c r="L236" s="172"/>
      <c r="M236" s="172">
        <v>0.1</v>
      </c>
      <c r="N236" s="172">
        <v>0.1</v>
      </c>
      <c r="O236" s="172">
        <v>0.1</v>
      </c>
    </row>
    <row r="237" spans="2:15">
      <c r="B237" t="s">
        <v>192</v>
      </c>
      <c r="I237" s="172"/>
      <c r="J237" s="172"/>
      <c r="K237" s="172"/>
      <c r="L237" s="172"/>
      <c r="M237" s="172"/>
      <c r="N237" s="172">
        <v>0.1</v>
      </c>
      <c r="O237" s="172">
        <v>0.1</v>
      </c>
    </row>
    <row r="238" spans="2:15">
      <c r="B238" t="s">
        <v>193</v>
      </c>
      <c r="I238" s="172"/>
      <c r="J238" s="172"/>
      <c r="K238" s="172"/>
      <c r="L238" s="172"/>
      <c r="M238" s="172"/>
      <c r="N238" s="172"/>
      <c r="O238" s="172">
        <v>0.1</v>
      </c>
    </row>
    <row r="240" spans="2:15">
      <c r="B240" s="1" t="s">
        <v>184</v>
      </c>
    </row>
    <row r="241" spans="2:15">
      <c r="B241" t="s">
        <v>179</v>
      </c>
      <c r="I241" s="171">
        <f>I232*I$228</f>
        <v>3590199770.6321921</v>
      </c>
      <c r="J241" s="171">
        <f t="shared" ref="J241:O241" si="50">J232*J$228</f>
        <v>3284519379.3464336</v>
      </c>
      <c r="K241" s="171">
        <f t="shared" si="50"/>
        <v>2894405117.6379504</v>
      </c>
      <c r="L241" s="171">
        <f t="shared" si="50"/>
        <v>2542287426.4263306</v>
      </c>
      <c r="M241" s="171">
        <f t="shared" si="50"/>
        <v>2274125128.1439891</v>
      </c>
      <c r="N241" s="171">
        <f t="shared" si="50"/>
        <v>1912042488.9000003</v>
      </c>
      <c r="O241" s="171">
        <f t="shared" si="50"/>
        <v>1524304254.3993037</v>
      </c>
    </row>
    <row r="242" spans="2:15">
      <c r="B242" t="s">
        <v>180</v>
      </c>
      <c r="I242" s="171">
        <f t="shared" ref="I242:O247" si="51">I233*I$228</f>
        <v>0</v>
      </c>
      <c r="J242" s="171">
        <f t="shared" si="51"/>
        <v>364946597.70515931</v>
      </c>
      <c r="K242" s="171">
        <f t="shared" si="51"/>
        <v>361800639.7047438</v>
      </c>
      <c r="L242" s="171">
        <f t="shared" si="51"/>
        <v>363183918.06090432</v>
      </c>
      <c r="M242" s="171">
        <f t="shared" si="51"/>
        <v>379020854.69066477</v>
      </c>
      <c r="N242" s="171">
        <f t="shared" si="51"/>
        <v>382408497.77999997</v>
      </c>
      <c r="O242" s="171">
        <f t="shared" si="51"/>
        <v>381076063.5998258</v>
      </c>
    </row>
    <row r="243" spans="2:15">
      <c r="B243" t="s">
        <v>181</v>
      </c>
      <c r="I243" s="171">
        <f t="shared" si="51"/>
        <v>0</v>
      </c>
      <c r="J243" s="171">
        <f t="shared" si="51"/>
        <v>0</v>
      </c>
      <c r="K243" s="171">
        <f t="shared" si="51"/>
        <v>361800639.7047438</v>
      </c>
      <c r="L243" s="171">
        <f t="shared" si="51"/>
        <v>363183918.06090432</v>
      </c>
      <c r="M243" s="171">
        <f t="shared" si="51"/>
        <v>379020854.69066477</v>
      </c>
      <c r="N243" s="171">
        <f t="shared" si="51"/>
        <v>382408497.77999997</v>
      </c>
      <c r="O243" s="171">
        <f t="shared" si="51"/>
        <v>381076063.5998258</v>
      </c>
    </row>
    <row r="244" spans="2:15">
      <c r="B244" t="s">
        <v>182</v>
      </c>
      <c r="I244" s="171">
        <f t="shared" si="51"/>
        <v>0</v>
      </c>
      <c r="J244" s="171">
        <f t="shared" si="51"/>
        <v>0</v>
      </c>
      <c r="K244" s="171">
        <f t="shared" si="51"/>
        <v>0</v>
      </c>
      <c r="L244" s="171">
        <f t="shared" si="51"/>
        <v>363183918.06090432</v>
      </c>
      <c r="M244" s="171">
        <f t="shared" si="51"/>
        <v>379020854.69066477</v>
      </c>
      <c r="N244" s="171">
        <f t="shared" si="51"/>
        <v>382408497.77999997</v>
      </c>
      <c r="O244" s="171">
        <f t="shared" si="51"/>
        <v>381076063.5998258</v>
      </c>
    </row>
    <row r="245" spans="2:15">
      <c r="B245" t="s">
        <v>183</v>
      </c>
      <c r="I245" s="171">
        <f t="shared" si="51"/>
        <v>0</v>
      </c>
      <c r="J245" s="171">
        <f t="shared" si="51"/>
        <v>0</v>
      </c>
      <c r="K245" s="171">
        <f t="shared" si="51"/>
        <v>0</v>
      </c>
      <c r="L245" s="171">
        <f t="shared" si="51"/>
        <v>0</v>
      </c>
      <c r="M245" s="171">
        <f t="shared" si="51"/>
        <v>379020854.69066477</v>
      </c>
      <c r="N245" s="171">
        <f t="shared" si="51"/>
        <v>382408497.77999997</v>
      </c>
      <c r="O245" s="171">
        <f t="shared" si="51"/>
        <v>381076063.5998258</v>
      </c>
    </row>
    <row r="246" spans="2:15">
      <c r="B246" t="s">
        <v>192</v>
      </c>
      <c r="I246" s="171">
        <f t="shared" si="51"/>
        <v>0</v>
      </c>
      <c r="J246" s="171">
        <f t="shared" si="51"/>
        <v>0</v>
      </c>
      <c r="K246" s="171">
        <f t="shared" si="51"/>
        <v>0</v>
      </c>
      <c r="L246" s="171">
        <f t="shared" si="51"/>
        <v>0</v>
      </c>
      <c r="M246" s="171">
        <f t="shared" si="51"/>
        <v>0</v>
      </c>
      <c r="N246" s="171">
        <f t="shared" si="51"/>
        <v>382408497.77999997</v>
      </c>
      <c r="O246" s="171">
        <f t="shared" si="51"/>
        <v>381076063.5998258</v>
      </c>
    </row>
    <row r="247" spans="2:15">
      <c r="B247" t="s">
        <v>193</v>
      </c>
      <c r="I247" s="171">
        <f t="shared" si="51"/>
        <v>0</v>
      </c>
      <c r="J247" s="171">
        <f t="shared" si="51"/>
        <v>0</v>
      </c>
      <c r="K247" s="171">
        <f t="shared" si="51"/>
        <v>0</v>
      </c>
      <c r="L247" s="171">
        <f t="shared" si="51"/>
        <v>0</v>
      </c>
      <c r="M247" s="171">
        <f t="shared" si="51"/>
        <v>0</v>
      </c>
      <c r="N247" s="171">
        <f t="shared" si="51"/>
        <v>0</v>
      </c>
      <c r="O247" s="171">
        <f t="shared" si="51"/>
        <v>381076063.5998258</v>
      </c>
    </row>
    <row r="249" spans="2:15">
      <c r="B249" s="1" t="s">
        <v>185</v>
      </c>
    </row>
    <row r="250" spans="2:15">
      <c r="B250" t="s">
        <v>179</v>
      </c>
      <c r="I250" s="171">
        <f>I241*('Trailing average adjustment bnd'!K125/100)</f>
        <v>3590199770.6321921</v>
      </c>
      <c r="J250" s="171">
        <f>J241*('Trailing average adjustment bnd'!L125/100)</f>
        <v>3362404790.2777815</v>
      </c>
      <c r="K250" s="171">
        <f>K241*('Trailing average adjustment bnd'!M125/100)</f>
        <v>3078647580.1064806</v>
      </c>
      <c r="L250" s="171">
        <f>L241*('Trailing average adjustment bnd'!N125/100)</f>
        <v>2689346008.834372</v>
      </c>
      <c r="M250" s="171">
        <f>M241*('Trailing average adjustment bnd'!O125/100)</f>
        <v>2541972351.138978</v>
      </c>
      <c r="N250" s="171">
        <f>N241*('Trailing average adjustment bnd'!P125/100)</f>
        <v>2134594208.5242591</v>
      </c>
      <c r="O250" s="171">
        <f>O241*('Trailing average adjustment bnd'!Q125/100)</f>
        <v>1722782342.8933837</v>
      </c>
    </row>
    <row r="251" spans="2:15">
      <c r="B251" t="s">
        <v>180</v>
      </c>
      <c r="I251" s="171">
        <f>I242*('Trailing average adjustment bnd'!K126/100)</f>
        <v>0</v>
      </c>
      <c r="J251" s="171">
        <f>J242*('Trailing average adjustment bnd'!L126/100)</f>
        <v>364946597.70515931</v>
      </c>
      <c r="K251" s="171">
        <f>K242*('Trailing average adjustment bnd'!M126/100)</f>
        <v>374641074.18712497</v>
      </c>
      <c r="L251" s="171">
        <f>L242*('Trailing average adjustment bnd'!N126/100)</f>
        <v>377066864.41981238</v>
      </c>
      <c r="M251" s="171">
        <f>M242*('Trailing average adjustment bnd'!O126/100)</f>
        <v>418006583.73130673</v>
      </c>
      <c r="N251" s="171">
        <f>N242*('Trailing average adjustment bnd'!P126/100)</f>
        <v>421949035.36328989</v>
      </c>
      <c r="O251" s="171">
        <f>O242*('Trailing average adjustment bnd'!Q126/100)</f>
        <v>431388946.5380528</v>
      </c>
    </row>
    <row r="252" spans="2:15">
      <c r="B252" t="s">
        <v>181</v>
      </c>
      <c r="I252" s="171">
        <f>I243*('Trailing average adjustment bnd'!K127/100)</f>
        <v>0</v>
      </c>
      <c r="J252" s="171">
        <f>J243*('Trailing average adjustment bnd'!L127/100)</f>
        <v>0</v>
      </c>
      <c r="K252" s="171">
        <f>K243*('Trailing average adjustment bnd'!M127/100)</f>
        <v>361800639.7047438</v>
      </c>
      <c r="L252" s="171">
        <f>L243*('Trailing average adjustment bnd'!N127/100)</f>
        <v>361956125.74774373</v>
      </c>
      <c r="M252" s="171">
        <f>M243*('Trailing average adjustment bnd'!O127/100)</f>
        <v>409213899.62608528</v>
      </c>
      <c r="N252" s="171">
        <f>N243*('Trailing average adjustment bnd'!P127/100)</f>
        <v>410363902.81509292</v>
      </c>
      <c r="O252" s="171">
        <f>O243*('Trailing average adjustment bnd'!Q127/100)</f>
        <v>424480773.79528052</v>
      </c>
    </row>
    <row r="253" spans="2:15">
      <c r="B253" t="s">
        <v>182</v>
      </c>
      <c r="I253" s="171">
        <f>I244*('Trailing average adjustment bnd'!K128/100)</f>
        <v>0</v>
      </c>
      <c r="J253" s="171">
        <f>J244*('Trailing average adjustment bnd'!L128/100)</f>
        <v>0</v>
      </c>
      <c r="K253" s="171">
        <f>K244*('Trailing average adjustment bnd'!M128/100)</f>
        <v>0</v>
      </c>
      <c r="L253" s="171">
        <f>L244*('Trailing average adjustment bnd'!N128/100)</f>
        <v>363183918.06090432</v>
      </c>
      <c r="M253" s="171">
        <f>M244*('Trailing average adjustment bnd'!O128/100)</f>
        <v>409722453.37934279</v>
      </c>
      <c r="N253" s="171">
        <f>N244*('Trailing average adjustment bnd'!P128/100)</f>
        <v>416046017.36516714</v>
      </c>
      <c r="O253" s="171">
        <f>O244*('Trailing average adjustment bnd'!Q128/100)</f>
        <v>425858791.03624713</v>
      </c>
    </row>
    <row r="254" spans="2:15">
      <c r="B254" t="s">
        <v>183</v>
      </c>
      <c r="I254" s="171">
        <f>I245*('Trailing average adjustment bnd'!K129/100)</f>
        <v>0</v>
      </c>
      <c r="J254" s="171">
        <f>J245*('Trailing average adjustment bnd'!L129/100)</f>
        <v>0</v>
      </c>
      <c r="K254" s="171">
        <f>K245*('Trailing average adjustment bnd'!M129/100)</f>
        <v>0</v>
      </c>
      <c r="L254" s="171">
        <f>L245*('Trailing average adjustment bnd'!N129/100)</f>
        <v>0</v>
      </c>
      <c r="M254" s="171">
        <f>M245*('Trailing average adjustment bnd'!O129/100)</f>
        <v>379020854.69066477</v>
      </c>
      <c r="N254" s="171">
        <f>N245*('Trailing average adjustment bnd'!P129/100)</f>
        <v>387529137.97087973</v>
      </c>
      <c r="O254" s="171">
        <f>O245*('Trailing average adjustment bnd'!Q129/100)</f>
        <v>402633978.2693904</v>
      </c>
    </row>
    <row r="255" spans="2:15">
      <c r="B255" t="s">
        <v>192</v>
      </c>
      <c r="I255" s="171">
        <f>I246*('Trailing average adjustment bnd'!K130/100)</f>
        <v>0</v>
      </c>
      <c r="J255" s="171">
        <f>J246*('Trailing average adjustment bnd'!L130/100)</f>
        <v>0</v>
      </c>
      <c r="K255" s="171">
        <f>K246*('Trailing average adjustment bnd'!M130/100)</f>
        <v>0</v>
      </c>
      <c r="L255" s="171">
        <f>L246*('Trailing average adjustment bnd'!N130/100)</f>
        <v>0</v>
      </c>
      <c r="M255" s="171">
        <f>M246*('Trailing average adjustment bnd'!O130/100)</f>
        <v>0</v>
      </c>
      <c r="N255" s="171">
        <f>N246*('Trailing average adjustment bnd'!P130/100)</f>
        <v>382408497.77999997</v>
      </c>
      <c r="O255" s="171">
        <f>O246*('Trailing average adjustment bnd'!Q130/100)</f>
        <v>394503755.2979517</v>
      </c>
    </row>
    <row r="256" spans="2:15">
      <c r="B256" t="s">
        <v>193</v>
      </c>
      <c r="I256" s="171">
        <f>I247*('Trailing average adjustment bnd'!K131/100)</f>
        <v>0</v>
      </c>
      <c r="J256" s="171">
        <f>J247*('Trailing average adjustment bnd'!L131/100)</f>
        <v>0</v>
      </c>
      <c r="K256" s="171">
        <f>K247*('Trailing average adjustment bnd'!M131/100)</f>
        <v>0</v>
      </c>
      <c r="L256" s="171">
        <f>L247*('Trailing average adjustment bnd'!N131/100)</f>
        <v>0</v>
      </c>
      <c r="M256" s="171">
        <f>M247*('Trailing average adjustment bnd'!O131/100)</f>
        <v>0</v>
      </c>
      <c r="N256" s="171">
        <f>N247*('Trailing average adjustment bnd'!P131/100)</f>
        <v>0</v>
      </c>
      <c r="O256" s="171">
        <f>O247*('Trailing average adjustment bnd'!Q131/100)</f>
        <v>381076063.5998258</v>
      </c>
    </row>
    <row r="258" spans="2:15">
      <c r="B258" t="s">
        <v>186</v>
      </c>
      <c r="I258" s="171">
        <f>SUM(I250:I256)</f>
        <v>3590199770.6321921</v>
      </c>
      <c r="J258" s="171">
        <f t="shared" ref="J258:O258" si="52">SUM(J250:J256)</f>
        <v>3727351387.9829407</v>
      </c>
      <c r="K258" s="171">
        <f t="shared" si="52"/>
        <v>3815089293.9983497</v>
      </c>
      <c r="L258" s="171">
        <f t="shared" si="52"/>
        <v>3791552917.0628324</v>
      </c>
      <c r="M258" s="171">
        <f t="shared" si="52"/>
        <v>4157936142.5663772</v>
      </c>
      <c r="N258" s="171">
        <f t="shared" si="52"/>
        <v>4152890799.8186884</v>
      </c>
      <c r="O258" s="171">
        <f t="shared" si="52"/>
        <v>4182724651.4301324</v>
      </c>
    </row>
    <row r="260" spans="2:15">
      <c r="B260" t="s">
        <v>187</v>
      </c>
      <c r="I260" s="171">
        <f>I258-I228</f>
        <v>0</v>
      </c>
      <c r="J260" s="171">
        <f t="shared" ref="J260:O260" si="53">J258-J228</f>
        <v>77885410.931347847</v>
      </c>
      <c r="K260" s="171">
        <f t="shared" si="53"/>
        <v>197082896.950912</v>
      </c>
      <c r="L260" s="171">
        <f t="shared" si="53"/>
        <v>159713736.45378923</v>
      </c>
      <c r="M260" s="171">
        <f t="shared" si="53"/>
        <v>367727595.65972948</v>
      </c>
      <c r="N260" s="171">
        <f t="shared" si="53"/>
        <v>328805822.01868868</v>
      </c>
      <c r="O260" s="171">
        <f t="shared" si="53"/>
        <v>371964015.43187475</v>
      </c>
    </row>
    <row r="261" spans="2:15">
      <c r="B261" t="s">
        <v>188</v>
      </c>
      <c r="E261" s="171">
        <f>E260+E226</f>
        <v>4724751887.6782007</v>
      </c>
      <c r="F261" s="171">
        <f t="shared" ref="F261:O261" si="54">F260+F226</f>
        <v>4981986045.157649</v>
      </c>
      <c r="G261" s="171">
        <f t="shared" si="54"/>
        <v>5288644187.7974691</v>
      </c>
      <c r="H261" s="171">
        <f t="shared" si="54"/>
        <v>5833875360.7173347</v>
      </c>
      <c r="I261" s="171">
        <f t="shared" si="54"/>
        <v>5983666284.3869867</v>
      </c>
      <c r="J261" s="171">
        <f t="shared" si="54"/>
        <v>6160328706.0173359</v>
      </c>
      <c r="K261" s="171">
        <f t="shared" si="54"/>
        <v>6227093558.6966419</v>
      </c>
      <c r="L261" s="171">
        <f t="shared" si="54"/>
        <v>6212779037.4688606</v>
      </c>
      <c r="M261" s="171">
        <f t="shared" si="54"/>
        <v>6684741840.5041428</v>
      </c>
      <c r="N261" s="171">
        <f t="shared" si="54"/>
        <v>6702280785.0186882</v>
      </c>
      <c r="O261" s="171">
        <f t="shared" si="54"/>
        <v>6723231742.0956383</v>
      </c>
    </row>
  </sheetData>
  <phoneticPr fontId="17"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BBAC8-051A-40B7-9812-6F0C233D8635}">
  <sheetPr>
    <tabColor theme="2"/>
  </sheetPr>
  <dimension ref="A1:AB131"/>
  <sheetViews>
    <sheetView showGridLines="0" zoomScale="80" zoomScaleNormal="80" workbookViewId="0"/>
  </sheetViews>
  <sheetFormatPr defaultRowHeight="14.25"/>
  <sheetData>
    <row r="1" spans="1:28" ht="20" thickBot="1">
      <c r="A1" s="32" t="s">
        <v>200</v>
      </c>
      <c r="B1" s="32"/>
      <c r="C1" s="32"/>
      <c r="D1" s="32"/>
      <c r="E1" s="32"/>
      <c r="F1" s="32"/>
      <c r="G1" s="32"/>
      <c r="H1" s="32"/>
      <c r="I1" s="32"/>
      <c r="J1" s="32"/>
      <c r="K1" s="32"/>
      <c r="L1" s="32"/>
      <c r="M1" s="32"/>
      <c r="N1" s="32"/>
      <c r="O1" s="32"/>
      <c r="P1" s="32"/>
      <c r="Q1" s="32"/>
      <c r="R1" s="32"/>
      <c r="S1" s="32"/>
      <c r="T1" s="32"/>
      <c r="U1" s="32"/>
      <c r="V1" s="32"/>
      <c r="W1" s="32"/>
      <c r="X1" s="32"/>
      <c r="Y1" s="32"/>
      <c r="Z1" s="32"/>
      <c r="AA1" s="32"/>
      <c r="AB1" s="32"/>
    </row>
    <row r="2" spans="1:28" ht="15" thickTop="1"/>
    <row r="3" spans="1:28" s="136" customFormat="1" ht="17.5" thickBot="1">
      <c r="A3"/>
      <c r="B3" s="136" t="s">
        <v>162</v>
      </c>
    </row>
    <row r="4" spans="1:28" ht="15" thickTop="1"/>
    <row r="5" spans="1:28">
      <c r="B5" s="5" t="s">
        <v>201</v>
      </c>
      <c r="D5" t="s">
        <v>202</v>
      </c>
      <c r="E5" t="s">
        <v>203</v>
      </c>
      <c r="G5">
        <v>2011</v>
      </c>
      <c r="H5">
        <v>2012</v>
      </c>
      <c r="I5">
        <v>2013</v>
      </c>
      <c r="J5">
        <v>2014</v>
      </c>
      <c r="K5">
        <v>2015</v>
      </c>
      <c r="L5">
        <v>2016</v>
      </c>
      <c r="M5">
        <v>2017</v>
      </c>
      <c r="N5">
        <v>2018</v>
      </c>
      <c r="O5">
        <v>2019</v>
      </c>
      <c r="P5">
        <v>2020</v>
      </c>
      <c r="Q5">
        <v>2021</v>
      </c>
      <c r="R5">
        <v>2022</v>
      </c>
    </row>
    <row r="7" spans="1:28">
      <c r="B7" s="1" t="s">
        <v>204</v>
      </c>
      <c r="S7" s="30"/>
      <c r="T7" s="30"/>
      <c r="U7" s="30"/>
      <c r="V7" s="30"/>
    </row>
    <row r="8" spans="1:28">
      <c r="B8" t="s">
        <v>179</v>
      </c>
      <c r="C8" s="116"/>
      <c r="E8">
        <v>2028</v>
      </c>
      <c r="L8" s="30"/>
      <c r="M8" s="30"/>
      <c r="N8" s="178">
        <f>INDEX('Yield Curve'!$B$94:$Q$137,MATCH('Trailing average adjustment bnd'!$E8-'Trailing average adjustment bnd'!N$5,'Yield Curve'!$B$94:$B$137,0),MATCH('Trailing average adjustment bnd'!N$5,'Yield Curve'!$B$94:$Q$94,0))/100</f>
        <v>4.3299999999999998E-2</v>
      </c>
      <c r="O8" s="178">
        <f>INDEX('Yield Curve'!$B$94:$Q$137,MATCH('Trailing average adjustment bnd'!$E8-'Trailing average adjustment bnd'!O$5,'Yield Curve'!$B$94:$B$137,0),MATCH('Trailing average adjustment bnd'!O$5,'Yield Curve'!$B$94:$Q$94,0))/100</f>
        <v>4.0187500000000001E-2</v>
      </c>
      <c r="P8" s="178">
        <f>INDEX('Yield Curve'!$B$94:$Q$137,MATCH('Trailing average adjustment bnd'!$E8-'Trailing average adjustment bnd'!P$5,'Yield Curve'!$B$94:$B$137,0),MATCH('Trailing average adjustment bnd'!P$5,'Yield Curve'!$B$94:$Q$94,0))/100</f>
        <v>2.8537500000000004E-2</v>
      </c>
      <c r="Q8" s="178">
        <f>INDEX('Yield Curve'!$B$94:$Q$137,MATCH('Trailing average adjustment bnd'!$E8-'Trailing average adjustment bnd'!Q$5,'Yield Curve'!$B$94:$B$137,0),MATCH('Trailing average adjustment bnd'!Q$5,'Yield Curve'!$B$94:$Q$94,0))/100</f>
        <v>2.7949999999999999E-2</v>
      </c>
      <c r="R8" s="178">
        <f>INDEX('Yield Curve'!$B$94:$Q$137,MATCH('Trailing average adjustment bnd'!$E8-'Trailing average adjustment bnd'!R$5,'Yield Curve'!$B$94:$B$137,0),MATCH('Trailing average adjustment bnd'!R$5,'Yield Curve'!$B$94:$Q$94,0))/100</f>
        <v>2.1925E-2</v>
      </c>
      <c r="S8" s="30"/>
      <c r="T8" s="30"/>
      <c r="U8" s="30"/>
      <c r="V8" s="30"/>
      <c r="W8" s="30"/>
      <c r="X8" s="30"/>
      <c r="Y8" s="30"/>
      <c r="Z8" s="30"/>
      <c r="AA8" s="30"/>
      <c r="AB8" s="30"/>
    </row>
    <row r="9" spans="1:28">
      <c r="B9" t="s">
        <v>180</v>
      </c>
      <c r="C9" s="116"/>
      <c r="E9">
        <v>2029</v>
      </c>
      <c r="N9" s="178">
        <f>INDEX('Yield Curve'!$B$94:$Q$137,MATCH('Trailing average adjustment bnd'!$E9-'Trailing average adjustment bnd'!N$5,'Yield Curve'!$B$94:$B$137,0),MATCH('Trailing average adjustment bnd'!N$5,'Yield Curve'!$B$94:$Q$94,0))/100</f>
        <v>4.3299999999999998E-2</v>
      </c>
      <c r="O9" s="178">
        <f>INDEX('Yield Curve'!$B$94:$Q$137,MATCH('Trailing average adjustment bnd'!$E9-'Trailing average adjustment bnd'!O$5,'Yield Curve'!$B$94:$B$137,0),MATCH('Trailing average adjustment bnd'!O$5,'Yield Curve'!$B$94:$Q$94,0))/100</f>
        <v>4.1299999999999996E-2</v>
      </c>
      <c r="P9" s="178">
        <f>INDEX('Yield Curve'!$B$94:$Q$137,MATCH('Trailing average adjustment bnd'!$E9-'Trailing average adjustment bnd'!P$5,'Yield Curve'!$B$94:$B$137,0),MATCH('Trailing average adjustment bnd'!P$5,'Yield Curve'!$B$94:$Q$94,0))/100</f>
        <v>3.0512499999999994E-2</v>
      </c>
      <c r="Q9" s="178">
        <f>INDEX('Yield Curve'!$B$94:$Q$137,MATCH('Trailing average adjustment bnd'!$E9-'Trailing average adjustment bnd'!Q$5,'Yield Curve'!$B$94:$B$137,0),MATCH('Trailing average adjustment bnd'!Q$5,'Yield Curve'!$B$94:$Q$94,0))/100</f>
        <v>2.8787500000000001E-2</v>
      </c>
      <c r="R9" s="178">
        <f>INDEX('Yield Curve'!$B$94:$Q$137,MATCH('Trailing average adjustment bnd'!$E9-'Trailing average adjustment bnd'!R$5,'Yield Curve'!$B$94:$B$137,0),MATCH('Trailing average adjustment bnd'!R$5,'Yield Curve'!$B$94:$Q$94,0))/100</f>
        <v>2.4900000000000002E-2</v>
      </c>
      <c r="S9" s="30"/>
      <c r="T9" s="30"/>
      <c r="U9" s="30"/>
      <c r="V9" s="30"/>
      <c r="W9" s="30"/>
      <c r="X9" s="30"/>
      <c r="Y9" s="30"/>
      <c r="Z9" s="30"/>
      <c r="AA9" s="30"/>
      <c r="AB9" s="30"/>
    </row>
    <row r="10" spans="1:28">
      <c r="B10" t="s">
        <v>181</v>
      </c>
      <c r="C10" s="116"/>
      <c r="E10">
        <v>2030</v>
      </c>
      <c r="N10" s="178">
        <f>INDEX('Yield Curve'!$B$94:$Q$137,MATCH('Trailing average adjustment bnd'!$E10-'Trailing average adjustment bnd'!N$5,'Yield Curve'!$B$94:$B$137,0),MATCH('Trailing average adjustment bnd'!N$5,'Yield Curve'!$B$94:$Q$94,0))/100</f>
        <v>4.3299999999999998E-2</v>
      </c>
      <c r="O10" s="178">
        <f>INDEX('Yield Curve'!$B$94:$Q$137,MATCH('Trailing average adjustment bnd'!$E10-'Trailing average adjustment bnd'!O$5,'Yield Curve'!$B$94:$B$137,0),MATCH('Trailing average adjustment bnd'!O$5,'Yield Curve'!$B$94:$Q$94,0))/100</f>
        <v>4.1299999999999996E-2</v>
      </c>
      <c r="P10" s="178">
        <f>INDEX('Yield Curve'!$B$94:$Q$137,MATCH('Trailing average adjustment bnd'!$E10-'Trailing average adjustment bnd'!P$5,'Yield Curve'!$B$94:$B$137,0),MATCH('Trailing average adjustment bnd'!P$5,'Yield Curve'!$B$94:$Q$94,0))/100</f>
        <v>3.15E-2</v>
      </c>
      <c r="Q10" s="178">
        <f>INDEX('Yield Curve'!$B$94:$Q$137,MATCH('Trailing average adjustment bnd'!$E10-'Trailing average adjustment bnd'!Q$5,'Yield Curve'!$B$94:$B$137,0),MATCH('Trailing average adjustment bnd'!Q$5,'Yield Curve'!$B$94:$Q$94,0))/100</f>
        <v>3.04625E-2</v>
      </c>
      <c r="R10" s="178">
        <f>INDEX('Yield Curve'!$B$94:$Q$137,MATCH('Trailing average adjustment bnd'!$E10-'Trailing average adjustment bnd'!R$5,'Yield Curve'!$B$94:$B$137,0),MATCH('Trailing average adjustment bnd'!R$5,'Yield Curve'!$B$94:$Q$94,0))/100</f>
        <v>2.6075000000000001E-2</v>
      </c>
      <c r="S10" s="30"/>
      <c r="T10" s="30"/>
      <c r="U10" s="30"/>
      <c r="V10" s="30"/>
      <c r="W10" s="30"/>
      <c r="X10" s="30"/>
      <c r="Y10" s="30"/>
      <c r="Z10" s="30"/>
      <c r="AA10" s="30"/>
      <c r="AB10" s="30"/>
    </row>
    <row r="11" spans="1:28">
      <c r="B11" t="s">
        <v>182</v>
      </c>
      <c r="C11" s="116"/>
      <c r="E11">
        <v>2031</v>
      </c>
      <c r="N11" s="178">
        <f>INDEX('Yield Curve'!$B$94:$Q$137,MATCH('Trailing average adjustment bnd'!$E11-'Trailing average adjustment bnd'!N$5,'Yield Curve'!$B$94:$B$137,0),MATCH('Trailing average adjustment bnd'!N$5,'Yield Curve'!$B$94:$Q$94,0))/100</f>
        <v>4.3299999999999998E-2</v>
      </c>
      <c r="O11" s="178">
        <f>INDEX('Yield Curve'!$B$94:$Q$137,MATCH('Trailing average adjustment bnd'!$E11-'Trailing average adjustment bnd'!O$5,'Yield Curve'!$B$94:$B$137,0),MATCH('Trailing average adjustment bnd'!O$5,'Yield Curve'!$B$94:$Q$94,0))/100</f>
        <v>4.1299999999999996E-2</v>
      </c>
      <c r="P11" s="178">
        <f>INDEX('Yield Curve'!$B$94:$Q$137,MATCH('Trailing average adjustment bnd'!$E11-'Trailing average adjustment bnd'!P$5,'Yield Curve'!$B$94:$B$137,0),MATCH('Trailing average adjustment bnd'!P$5,'Yield Curve'!$B$94:$Q$94,0))/100</f>
        <v>3.15E-2</v>
      </c>
      <c r="Q11" s="178">
        <f>INDEX('Yield Curve'!$B$94:$Q$137,MATCH('Trailing average adjustment bnd'!$E11-'Trailing average adjustment bnd'!Q$5,'Yield Curve'!$B$94:$B$137,0),MATCH('Trailing average adjustment bnd'!Q$5,'Yield Curve'!$B$94:$Q$94,0))/100</f>
        <v>3.1300000000000001E-2</v>
      </c>
      <c r="R11" s="178">
        <f>INDEX('Yield Curve'!$B$94:$Q$137,MATCH('Trailing average adjustment bnd'!$E11-'Trailing average adjustment bnd'!R$5,'Yield Curve'!$B$94:$B$137,0),MATCH('Trailing average adjustment bnd'!R$5,'Yield Curve'!$B$94:$Q$94,0))/100</f>
        <v>2.8424999999999999E-2</v>
      </c>
      <c r="S11" s="30"/>
      <c r="T11" s="30"/>
      <c r="U11" s="30"/>
      <c r="V11" s="30"/>
      <c r="W11" s="30"/>
      <c r="X11" s="30"/>
      <c r="Y11" s="30"/>
      <c r="Z11" s="30"/>
      <c r="AA11" s="30"/>
      <c r="AB11" s="30"/>
    </row>
    <row r="12" spans="1:28">
      <c r="B12" t="s">
        <v>183</v>
      </c>
      <c r="C12" s="116"/>
      <c r="E12">
        <v>2032</v>
      </c>
      <c r="N12" s="178">
        <f>INDEX('Yield Curve'!$B$94:$Q$137,MATCH('Trailing average adjustment bnd'!$E12-'Trailing average adjustment bnd'!N$5,'Yield Curve'!$B$94:$B$137,0),MATCH('Trailing average adjustment bnd'!N$5,'Yield Curve'!$B$94:$Q$94,0))/100</f>
        <v>4.3299999999999998E-2</v>
      </c>
      <c r="O12" s="178">
        <f>INDEX('Yield Curve'!$B$94:$Q$137,MATCH('Trailing average adjustment bnd'!$E12-'Trailing average adjustment bnd'!O$5,'Yield Curve'!$B$94:$B$137,0),MATCH('Trailing average adjustment bnd'!O$5,'Yield Curve'!$B$94:$Q$94,0))/100</f>
        <v>4.1299999999999996E-2</v>
      </c>
      <c r="P12" s="178">
        <f>INDEX('Yield Curve'!$B$94:$Q$137,MATCH('Trailing average adjustment bnd'!$E12-'Trailing average adjustment bnd'!P$5,'Yield Curve'!$B$94:$B$137,0),MATCH('Trailing average adjustment bnd'!P$5,'Yield Curve'!$B$94:$Q$94,0))/100</f>
        <v>3.15E-2</v>
      </c>
      <c r="Q12" s="178">
        <f>INDEX('Yield Curve'!$B$94:$Q$137,MATCH('Trailing average adjustment bnd'!$E12-'Trailing average adjustment bnd'!Q$5,'Yield Curve'!$B$94:$B$137,0),MATCH('Trailing average adjustment bnd'!Q$5,'Yield Curve'!$B$94:$Q$94,0))/100</f>
        <v>3.1300000000000001E-2</v>
      </c>
      <c r="R12" s="178">
        <f>INDEX('Yield Curve'!$B$94:$Q$137,MATCH('Trailing average adjustment bnd'!$E12-'Trailing average adjustment bnd'!R$5,'Yield Curve'!$B$94:$B$137,0),MATCH('Trailing average adjustment bnd'!R$5,'Yield Curve'!$B$94:$Q$94,0))/100</f>
        <v>2.9600000000000001E-2</v>
      </c>
    </row>
    <row r="14" spans="1:28">
      <c r="B14" s="1" t="s">
        <v>6</v>
      </c>
    </row>
    <row r="15" spans="1:28">
      <c r="B15" t="s">
        <v>179</v>
      </c>
      <c r="C15" s="116"/>
      <c r="D15" s="175">
        <f>'Trailing average adjustment'!L11</f>
        <v>4.33</v>
      </c>
      <c r="E15">
        <v>2028</v>
      </c>
      <c r="N15" s="179">
        <f>$D15*((1-(1/((1+N8)^($E15-N$5))))/N8)+(100/((1+N8)^($E15-N$5)))</f>
        <v>100</v>
      </c>
      <c r="O15" s="179">
        <f t="shared" ref="O15:R15" si="0">$D15*((1-(1/((1+O8)^($E15-O$5))))/O8)+(100/((1+O8)^($E15-O$5)))</f>
        <v>102.31227094066713</v>
      </c>
      <c r="P15" s="179">
        <f t="shared" si="0"/>
        <v>110.42705168880755</v>
      </c>
      <c r="Q15" s="179">
        <f t="shared" si="0"/>
        <v>109.63780865836321</v>
      </c>
      <c r="R15" s="179">
        <f t="shared" si="0"/>
        <v>111.8956631313311</v>
      </c>
    </row>
    <row r="16" spans="1:28">
      <c r="B16" t="s">
        <v>180</v>
      </c>
      <c r="C16" s="116"/>
      <c r="D16" s="175">
        <f>'Trailing average adjustment'!M11</f>
        <v>4.13</v>
      </c>
      <c r="E16">
        <v>2029</v>
      </c>
      <c r="N16" s="179"/>
      <c r="O16" s="179">
        <f>$D16*((1-(1/((1+O9)^($E16-O$5))))/O9)+(100/((1+O9)^($E16-O$5)))</f>
        <v>100</v>
      </c>
      <c r="P16" s="179">
        <f t="shared" ref="P16:R16" si="1">$D16*((1-(1/((1+P9)^($E16-P$5))))/P9)+(100/((1+P9)^($E16-P$5)))</f>
        <v>108.37922718010364</v>
      </c>
      <c r="Q16" s="179">
        <f t="shared" si="1"/>
        <v>108.8284890881618</v>
      </c>
      <c r="R16" s="179">
        <f t="shared" si="1"/>
        <v>110.41696504408799</v>
      </c>
    </row>
    <row r="17" spans="2:18">
      <c r="B17" t="s">
        <v>181</v>
      </c>
      <c r="C17" s="116"/>
      <c r="D17" s="175">
        <f>'Trailing average adjustment'!N11</f>
        <v>3.15</v>
      </c>
      <c r="E17">
        <v>2030</v>
      </c>
      <c r="N17" s="179"/>
      <c r="O17" s="179"/>
      <c r="P17" s="179">
        <f t="shared" ref="P17:R17" si="2">$D17*((1-(1/((1+P10)^($E17-P$5))))/P10)+(100/((1+P10)^($E17-P$5)))</f>
        <v>100</v>
      </c>
      <c r="Q17" s="179">
        <f t="shared" si="2"/>
        <v>100.80606935329335</v>
      </c>
      <c r="R17" s="179">
        <f t="shared" si="2"/>
        <v>103.87203121076556</v>
      </c>
    </row>
    <row r="18" spans="2:18">
      <c r="B18" t="s">
        <v>182</v>
      </c>
      <c r="C18" s="116"/>
      <c r="D18" s="175">
        <f>'Trailing average adjustment'!O11</f>
        <v>3.13</v>
      </c>
      <c r="E18">
        <v>2031</v>
      </c>
      <c r="N18" s="179"/>
      <c r="O18" s="179"/>
      <c r="P18" s="179"/>
      <c r="Q18" s="179">
        <f t="shared" ref="Q18:R18" si="3">$D18*((1-(1/((1+Q11)^($E18-Q$5))))/Q11)+(100/((1+Q11)^($E18-Q$5)))</f>
        <v>100</v>
      </c>
      <c r="R18" s="179">
        <f t="shared" si="3"/>
        <v>102.25503813191895</v>
      </c>
    </row>
    <row r="19" spans="2:18">
      <c r="B19" t="s">
        <v>183</v>
      </c>
      <c r="C19" s="116"/>
      <c r="D19" s="175">
        <f>'Trailing average adjustment'!P11</f>
        <v>2.96</v>
      </c>
      <c r="E19">
        <v>2032</v>
      </c>
      <c r="N19" s="179"/>
      <c r="O19" s="179"/>
      <c r="P19" s="179"/>
      <c r="Q19" s="179"/>
      <c r="R19" s="179">
        <f t="shared" ref="R19" si="4">$D19*((1-(1/((1+R12)^($E19-R$5))))/R12)+(100/((1+R12)^($E19-R$5)))</f>
        <v>100</v>
      </c>
    </row>
    <row r="21" spans="2:18">
      <c r="B21" s="5" t="s">
        <v>205</v>
      </c>
    </row>
    <row r="23" spans="2:18">
      <c r="B23" s="1" t="s">
        <v>204</v>
      </c>
    </row>
    <row r="24" spans="2:18">
      <c r="B24" t="s">
        <v>179</v>
      </c>
      <c r="C24" s="116"/>
      <c r="E24">
        <v>2026</v>
      </c>
      <c r="L24" s="178">
        <f>INDEX('Yield Curve'!$B$141:$Q$184,MATCH('Trailing average adjustment bnd'!$E24-'Trailing average adjustment bnd'!L$5,'Yield Curve'!$B$141:$B$184,0),MATCH('Trailing average adjustment bnd'!L$5,'Yield Curve'!$B$141:$Q$141,0))/100</f>
        <v>4.9350000000000005E-2</v>
      </c>
      <c r="M24" s="178">
        <f>INDEX('Yield Curve'!$B$141:$Q$184,MATCH('Trailing average adjustment bnd'!$E24-'Trailing average adjustment bnd'!M$5,'Yield Curve'!$B$141:$B$184,0),MATCH('Trailing average adjustment bnd'!M$5,'Yield Curve'!$B$141:$Q$141,0))/100</f>
        <v>4.1100000000000005E-2</v>
      </c>
      <c r="N24" s="178">
        <f>INDEX('Yield Curve'!$B$141:$Q$184,MATCH('Trailing average adjustment bnd'!$E24-'Trailing average adjustment bnd'!N$5,'Yield Curve'!$B$141:$B$184,0),MATCH('Trailing average adjustment bnd'!N$5,'Yield Curve'!$B$141:$Q$141,0))/100</f>
        <v>4.3112500000000005E-2</v>
      </c>
      <c r="O24" s="178">
        <f>INDEX('Yield Curve'!$B$141:$Q$184,MATCH('Trailing average adjustment bnd'!$E24-'Trailing average adjustment bnd'!O$5,'Yield Curve'!$B$141:$B$184,0),MATCH('Trailing average adjustment bnd'!O$5,'Yield Curve'!$B$141:$Q$141,0))/100</f>
        <v>2.6950000000000002E-2</v>
      </c>
      <c r="P24" s="178">
        <f>INDEX('Yield Curve'!$B$141:$Q$184,MATCH('Trailing average adjustment bnd'!$E24-'Trailing average adjustment bnd'!P$5,'Yield Curve'!$B$141:$B$184,0),MATCH('Trailing average adjustment bnd'!P$5,'Yield Curve'!$B$141:$Q$141,0))/100</f>
        <v>1.8249999999999999E-2</v>
      </c>
      <c r="Q24" s="178">
        <f>INDEX('Yield Curve'!$B$48:$Q$91,MATCH('Trailing average adjustment bnd'!$E24-'Trailing average adjustment bnd'!Q$5,'Yield Curve'!$B$48:$B$91,0),MATCH('Trailing average adjustment bnd'!Q$5,'Yield Curve'!$B$48:$Q$48,0))/100</f>
        <v>1.925E-2</v>
      </c>
      <c r="R24" s="178">
        <f>INDEX('Yield Curve'!$B$48:$Q$91,MATCH('Trailing average adjustment bnd'!$E24-'Trailing average adjustment bnd'!R$5,'Yield Curve'!$B$48:$B$91,0),MATCH('Trailing average adjustment bnd'!R$5,'Yield Curve'!$B$48:$Q$48,0))/100</f>
        <v>2.4500000000000001E-2</v>
      </c>
    </row>
    <row r="25" spans="2:18">
      <c r="B25" t="s">
        <v>180</v>
      </c>
      <c r="C25" s="116"/>
      <c r="E25">
        <v>2027</v>
      </c>
      <c r="L25" s="178">
        <f>INDEX('Yield Curve'!$B$141:$Q$184,MATCH('Trailing average adjustment bnd'!$E25-'Trailing average adjustment bnd'!L$5,'Yield Curve'!$B$141:$B$184,0),MATCH('Trailing average adjustment bnd'!L$5,'Yield Curve'!$B$141:$Q$141,0))/100</f>
        <v>4.9350000000000005E-2</v>
      </c>
      <c r="M25" s="178">
        <f>INDEX('Yield Curve'!$B$141:$Q$184,MATCH('Trailing average adjustment bnd'!$E25-'Trailing average adjustment bnd'!M$5,'Yield Curve'!$B$141:$B$184,0),MATCH('Trailing average adjustment bnd'!M$5,'Yield Curve'!$B$141:$Q$141,0))/100</f>
        <v>4.2200000000000008E-2</v>
      </c>
      <c r="N25" s="178">
        <f>INDEX('Yield Curve'!$B$141:$Q$184,MATCH('Trailing average adjustment bnd'!$E25-'Trailing average adjustment bnd'!N$5,'Yield Curve'!$B$141:$B$184,0),MATCH('Trailing average adjustment bnd'!N$5,'Yield Curve'!$B$141:$Q$141,0))/100</f>
        <v>4.5437499999999999E-2</v>
      </c>
      <c r="O25" s="178">
        <f>INDEX('Yield Curve'!$B$141:$Q$184,MATCH('Trailing average adjustment bnd'!$E25-'Trailing average adjustment bnd'!O$5,'Yield Curve'!$B$141:$B$184,0),MATCH('Trailing average adjustment bnd'!O$5,'Yield Curve'!$B$141:$Q$141,0))/100</f>
        <v>2.785E-2</v>
      </c>
      <c r="P25" s="178">
        <f>INDEX('Yield Curve'!$B$141:$Q$184,MATCH('Trailing average adjustment bnd'!$E25-'Trailing average adjustment bnd'!P$5,'Yield Curve'!$B$141:$B$184,0),MATCH('Trailing average adjustment bnd'!P$5,'Yield Curve'!$B$141:$Q$141,0))/100</f>
        <v>2.1399999999999995E-2</v>
      </c>
      <c r="Q25" s="178">
        <f>INDEX('Yield Curve'!$B$48:$Q$91,MATCH('Trailing average adjustment bnd'!$E25-'Trailing average adjustment bnd'!Q$5,'Yield Curve'!$B$48:$B$91,0),MATCH('Trailing average adjustment bnd'!Q$5,'Yield Curve'!$B$48:$Q$48,0))/100</f>
        <v>2.2775E-2</v>
      </c>
      <c r="R25" s="178">
        <f>INDEX('Yield Curve'!$B$48:$Q$91,MATCH('Trailing average adjustment bnd'!$E25-'Trailing average adjustment bnd'!R$5,'Yield Curve'!$B$48:$B$91,0),MATCH('Trailing average adjustment bnd'!R$5,'Yield Curve'!$B$48:$Q$48,0))/100</f>
        <v>2.7800000000000002E-2</v>
      </c>
    </row>
    <row r="26" spans="2:18">
      <c r="B26" t="s">
        <v>181</v>
      </c>
      <c r="C26" s="116"/>
      <c r="E26">
        <v>2028</v>
      </c>
      <c r="L26" s="178">
        <f>INDEX('Yield Curve'!$B$141:$Q$184,MATCH('Trailing average adjustment bnd'!$E26-'Trailing average adjustment bnd'!L$5,'Yield Curve'!$B$141:$B$184,0),MATCH('Trailing average adjustment bnd'!L$5,'Yield Curve'!$B$141:$Q$141,0))/100</f>
        <v>4.9350000000000005E-2</v>
      </c>
      <c r="M26" s="178">
        <f>INDEX('Yield Curve'!$B$141:$Q$184,MATCH('Trailing average adjustment bnd'!$E26-'Trailing average adjustment bnd'!M$5,'Yield Curve'!$B$141:$B$184,0),MATCH('Trailing average adjustment bnd'!M$5,'Yield Curve'!$B$141:$Q$141,0))/100</f>
        <v>4.2200000000000008E-2</v>
      </c>
      <c r="N26" s="178">
        <f>INDEX('Yield Curve'!$B$141:$Q$184,MATCH('Trailing average adjustment bnd'!$E26-'Trailing average adjustment bnd'!N$5,'Yield Curve'!$B$141:$B$184,0),MATCH('Trailing average adjustment bnd'!N$5,'Yield Curve'!$B$141:$Q$141,0))/100</f>
        <v>4.6600000000000003E-2</v>
      </c>
      <c r="O26" s="178">
        <f>INDEX('Yield Curve'!$B$141:$Q$184,MATCH('Trailing average adjustment bnd'!$E26-'Trailing average adjustment bnd'!O$5,'Yield Curve'!$B$141:$B$184,0),MATCH('Trailing average adjustment bnd'!O$5,'Yield Curve'!$B$141:$Q$141,0))/100</f>
        <v>2.9649999999999999E-2</v>
      </c>
      <c r="P26" s="178">
        <f>INDEX('Yield Curve'!$B$141:$Q$184,MATCH('Trailing average adjustment bnd'!$E26-'Trailing average adjustment bnd'!P$5,'Yield Curve'!$B$141:$B$184,0),MATCH('Trailing average adjustment bnd'!P$5,'Yield Curve'!$B$141:$Q$141,0))/100</f>
        <v>2.1787500000000001E-2</v>
      </c>
      <c r="Q26" s="178">
        <f>INDEX('Yield Curve'!$B$48:$Q$91,MATCH('Trailing average adjustment bnd'!$E26-'Trailing average adjustment bnd'!Q$5,'Yield Curve'!$B$48:$B$91,0),MATCH('Trailing average adjustment bnd'!Q$5,'Yield Curve'!$B$48:$Q$48,0))/100</f>
        <v>2.63E-2</v>
      </c>
      <c r="R26" s="178">
        <f>INDEX('Yield Curve'!$B$48:$Q$91,MATCH('Trailing average adjustment bnd'!$E26-'Trailing average adjustment bnd'!R$5,'Yield Curve'!$B$48:$B$91,0),MATCH('Trailing average adjustment bnd'!R$5,'Yield Curve'!$B$48:$Q$48,0))/100</f>
        <v>3.0374999999999999E-2</v>
      </c>
    </row>
    <row r="27" spans="2:18">
      <c r="B27" t="s">
        <v>182</v>
      </c>
      <c r="C27" s="116"/>
      <c r="E27">
        <v>2029</v>
      </c>
      <c r="L27" s="178">
        <f>INDEX('Yield Curve'!$B$141:$Q$184,MATCH('Trailing average adjustment bnd'!$E27-'Trailing average adjustment bnd'!L$5,'Yield Curve'!$B$141:$B$184,0),MATCH('Trailing average adjustment bnd'!L$5,'Yield Curve'!$B$141:$Q$141,0))/100</f>
        <v>4.9350000000000005E-2</v>
      </c>
      <c r="M27" s="178">
        <f>INDEX('Yield Curve'!$B$141:$Q$184,MATCH('Trailing average adjustment bnd'!$E27-'Trailing average adjustment bnd'!M$5,'Yield Curve'!$B$141:$B$184,0),MATCH('Trailing average adjustment bnd'!M$5,'Yield Curve'!$B$141:$Q$141,0))/100</f>
        <v>4.2200000000000008E-2</v>
      </c>
      <c r="N27" s="178">
        <f>INDEX('Yield Curve'!$B$141:$Q$184,MATCH('Trailing average adjustment bnd'!$E27-'Trailing average adjustment bnd'!N$5,'Yield Curve'!$B$141:$B$184,0),MATCH('Trailing average adjustment bnd'!N$5,'Yield Curve'!$B$141:$Q$141,0))/100</f>
        <v>4.6600000000000003E-2</v>
      </c>
      <c r="O27" s="178">
        <f>INDEX('Yield Curve'!$B$141:$Q$184,MATCH('Trailing average adjustment bnd'!$E27-'Trailing average adjustment bnd'!O$5,'Yield Curve'!$B$141:$B$184,0),MATCH('Trailing average adjustment bnd'!O$5,'Yield Curve'!$B$141:$Q$141,0))/100</f>
        <v>3.0549999999999997E-2</v>
      </c>
      <c r="P27" s="178">
        <f>INDEX('Yield Curve'!$B$141:$Q$184,MATCH('Trailing average adjustment bnd'!$E27-'Trailing average adjustment bnd'!P$5,'Yield Curve'!$B$141:$B$184,0),MATCH('Trailing average adjustment bnd'!P$5,'Yield Curve'!$B$141:$Q$141,0))/100</f>
        <v>2.2562499999999996E-2</v>
      </c>
      <c r="Q27" s="178">
        <f>INDEX('Yield Curve'!$B$48:$Q$91,MATCH('Trailing average adjustment bnd'!$E27-'Trailing average adjustment bnd'!Q$5,'Yield Curve'!$B$48:$B$91,0),MATCH('Trailing average adjustment bnd'!Q$5,'Yield Curve'!$B$48:$Q$48,0))/100</f>
        <v>2.7525000000000001E-2</v>
      </c>
      <c r="R27" s="178">
        <f>INDEX('Yield Curve'!$B$48:$Q$91,MATCH('Trailing average adjustment bnd'!$E27-'Trailing average adjustment bnd'!R$5,'Yield Curve'!$B$48:$B$91,0),MATCH('Trailing average adjustment bnd'!R$5,'Yield Curve'!$B$48:$Q$48,0))/100</f>
        <v>3.295E-2</v>
      </c>
    </row>
    <row r="28" spans="2:18">
      <c r="B28" t="s">
        <v>183</v>
      </c>
      <c r="C28" s="116"/>
      <c r="E28">
        <v>2030</v>
      </c>
      <c r="L28" s="178">
        <f>INDEX('Yield Curve'!$B$141:$Q$184,MATCH('Trailing average adjustment bnd'!$E28-'Trailing average adjustment bnd'!L$5,'Yield Curve'!$B$141:$B$184,0),MATCH('Trailing average adjustment bnd'!L$5,'Yield Curve'!$B$141:$Q$141,0))/100</f>
        <v>4.9350000000000005E-2</v>
      </c>
      <c r="M28" s="178">
        <f>INDEX('Yield Curve'!$B$141:$Q$184,MATCH('Trailing average adjustment bnd'!$E28-'Trailing average adjustment bnd'!M$5,'Yield Curve'!$B$141:$B$184,0),MATCH('Trailing average adjustment bnd'!M$5,'Yield Curve'!$B$141:$Q$141,0))/100</f>
        <v>4.2200000000000008E-2</v>
      </c>
      <c r="N28" s="178">
        <f>INDEX('Yield Curve'!$B$141:$Q$184,MATCH('Trailing average adjustment bnd'!$E28-'Trailing average adjustment bnd'!N$5,'Yield Curve'!$B$141:$B$184,0),MATCH('Trailing average adjustment bnd'!N$5,'Yield Curve'!$B$141:$Q$141,0))/100</f>
        <v>4.6600000000000003E-2</v>
      </c>
      <c r="O28" s="178">
        <f>INDEX('Yield Curve'!$B$141:$Q$184,MATCH('Trailing average adjustment bnd'!$E28-'Trailing average adjustment bnd'!O$5,'Yield Curve'!$B$141:$B$184,0),MATCH('Trailing average adjustment bnd'!O$5,'Yield Curve'!$B$141:$Q$141,0))/100</f>
        <v>3.0549999999999997E-2</v>
      </c>
      <c r="P28" s="178">
        <f>INDEX('Yield Curve'!$B$141:$Q$184,MATCH('Trailing average adjustment bnd'!$E28-'Trailing average adjustment bnd'!P$5,'Yield Curve'!$B$141:$B$184,0),MATCH('Trailing average adjustment bnd'!P$5,'Yield Curve'!$B$141:$Q$141,0))/100</f>
        <v>2.2949999999999998E-2</v>
      </c>
      <c r="Q28" s="178">
        <f>INDEX('Yield Curve'!$B$48:$Q$91,MATCH('Trailing average adjustment bnd'!$E28-'Trailing average adjustment bnd'!Q$5,'Yield Curve'!$B$48:$B$91,0),MATCH('Trailing average adjustment bnd'!Q$5,'Yield Curve'!$B$48:$Q$48,0))/100</f>
        <v>2.9974999999999995E-2</v>
      </c>
      <c r="R28" s="178">
        <f>INDEX('Yield Curve'!$B$48:$Q$91,MATCH('Trailing average adjustment bnd'!$E28-'Trailing average adjustment bnd'!R$5,'Yield Curve'!$B$48:$B$91,0),MATCH('Trailing average adjustment bnd'!R$5,'Yield Curve'!$B$48:$Q$48,0))/100</f>
        <v>3.415E-2</v>
      </c>
    </row>
    <row r="29" spans="2:18">
      <c r="B29" t="s">
        <v>192</v>
      </c>
      <c r="E29">
        <v>2031</v>
      </c>
      <c r="L29" s="178">
        <f>INDEX('Yield Curve'!$B$141:$Q$184,MATCH('Trailing average adjustment bnd'!$E29-'Trailing average adjustment bnd'!L$5,'Yield Curve'!$B$141:$B$184,0),MATCH('Trailing average adjustment bnd'!L$5,'Yield Curve'!$B$141:$Q$141,0))/100</f>
        <v>4.9350000000000005E-2</v>
      </c>
      <c r="M29" s="178">
        <f>INDEX('Yield Curve'!$B$141:$Q$184,MATCH('Trailing average adjustment bnd'!$E29-'Trailing average adjustment bnd'!M$5,'Yield Curve'!$B$141:$B$184,0),MATCH('Trailing average adjustment bnd'!M$5,'Yield Curve'!$B$141:$Q$141,0))/100</f>
        <v>4.2200000000000008E-2</v>
      </c>
      <c r="N29" s="178">
        <f>INDEX('Yield Curve'!$B$141:$Q$184,MATCH('Trailing average adjustment bnd'!$E29-'Trailing average adjustment bnd'!N$5,'Yield Curve'!$B$141:$B$184,0),MATCH('Trailing average adjustment bnd'!N$5,'Yield Curve'!$B$141:$Q$141,0))/100</f>
        <v>4.6600000000000003E-2</v>
      </c>
      <c r="O29" s="178">
        <f>INDEX('Yield Curve'!$B$141:$Q$184,MATCH('Trailing average adjustment bnd'!$E29-'Trailing average adjustment bnd'!O$5,'Yield Curve'!$B$141:$B$184,0),MATCH('Trailing average adjustment bnd'!O$5,'Yield Curve'!$B$141:$Q$141,0))/100</f>
        <v>3.0549999999999997E-2</v>
      </c>
      <c r="P29" s="178">
        <f>INDEX('Yield Curve'!$B$141:$Q$184,MATCH('Trailing average adjustment bnd'!$E29-'Trailing average adjustment bnd'!P$5,'Yield Curve'!$B$141:$B$184,0),MATCH('Trailing average adjustment bnd'!P$5,'Yield Curve'!$B$141:$Q$141,0))/100</f>
        <v>2.2949999999999998E-2</v>
      </c>
      <c r="Q29" s="178">
        <f>INDEX('Yield Curve'!$B$48:$Q$91,MATCH('Trailing average adjustment bnd'!$E29-'Trailing average adjustment bnd'!Q$5,'Yield Curve'!$B$48:$B$91,0),MATCH('Trailing average adjustment bnd'!Q$5,'Yield Curve'!$B$48:$Q$48,0))/100</f>
        <v>3.1200000000000002E-2</v>
      </c>
      <c r="R29" s="178">
        <f>INDEX('Yield Curve'!$B$48:$Q$91,MATCH('Trailing average adjustment bnd'!$E29-'Trailing average adjustment bnd'!R$5,'Yield Curve'!$B$48:$B$91,0),MATCH('Trailing average adjustment bnd'!R$5,'Yield Curve'!$B$48:$Q$48,0))/100</f>
        <v>3.6549999999999999E-2</v>
      </c>
    </row>
    <row r="30" spans="2:18">
      <c r="B30" t="s">
        <v>193</v>
      </c>
      <c r="E30">
        <v>2032</v>
      </c>
      <c r="L30" s="178">
        <f>INDEX('Yield Curve'!$B$141:$Q$184,MATCH('Trailing average adjustment bnd'!$E30-'Trailing average adjustment bnd'!L$5,'Yield Curve'!$B$141:$B$184,0),MATCH('Trailing average adjustment bnd'!L$5,'Yield Curve'!$B$141:$Q$141,0))/100</f>
        <v>4.9350000000000005E-2</v>
      </c>
      <c r="M30" s="178">
        <f>INDEX('Yield Curve'!$B$141:$Q$184,MATCH('Trailing average adjustment bnd'!$E30-'Trailing average adjustment bnd'!M$5,'Yield Curve'!$B$141:$B$184,0),MATCH('Trailing average adjustment bnd'!M$5,'Yield Curve'!$B$141:$Q$141,0))/100</f>
        <v>4.2200000000000008E-2</v>
      </c>
      <c r="N30" s="178">
        <f>INDEX('Yield Curve'!$B$141:$Q$184,MATCH('Trailing average adjustment bnd'!$E30-'Trailing average adjustment bnd'!N$5,'Yield Curve'!$B$141:$B$184,0),MATCH('Trailing average adjustment bnd'!N$5,'Yield Curve'!$B$141:$Q$141,0))/100</f>
        <v>4.6600000000000003E-2</v>
      </c>
      <c r="O30" s="178">
        <f>INDEX('Yield Curve'!$B$141:$Q$184,MATCH('Trailing average adjustment bnd'!$E30-'Trailing average adjustment bnd'!O$5,'Yield Curve'!$B$141:$B$184,0),MATCH('Trailing average adjustment bnd'!O$5,'Yield Curve'!$B$141:$Q$141,0))/100</f>
        <v>3.0549999999999997E-2</v>
      </c>
      <c r="P30" s="178">
        <f>INDEX('Yield Curve'!$B$141:$Q$184,MATCH('Trailing average adjustment bnd'!$E30-'Trailing average adjustment bnd'!P$5,'Yield Curve'!$B$141:$B$184,0),MATCH('Trailing average adjustment bnd'!P$5,'Yield Curve'!$B$141:$Q$141,0))/100</f>
        <v>2.2949999999999998E-2</v>
      </c>
      <c r="Q30" s="178">
        <f>INDEX('Yield Curve'!$B$48:$Q$91,MATCH('Trailing average adjustment bnd'!$E30-'Trailing average adjustment bnd'!Q$5,'Yield Curve'!$B$48:$B$91,0),MATCH('Trailing average adjustment bnd'!Q$5,'Yield Curve'!$B$48:$Q$48,0))/100</f>
        <v>3.1200000000000002E-2</v>
      </c>
      <c r="R30" s="178">
        <f>INDEX('Yield Curve'!$B$48:$Q$91,MATCH('Trailing average adjustment bnd'!$E30-'Trailing average adjustment bnd'!R$5,'Yield Curve'!$B$48:$B$91,0),MATCH('Trailing average adjustment bnd'!R$5,'Yield Curve'!$B$48:$Q$48,0))/100</f>
        <v>3.7750000000000006E-2</v>
      </c>
    </row>
    <row r="32" spans="2:18">
      <c r="B32" s="1" t="s">
        <v>6</v>
      </c>
    </row>
    <row r="33" spans="2:18">
      <c r="B33" t="s">
        <v>179</v>
      </c>
      <c r="C33" s="116"/>
      <c r="D33" s="175">
        <f>'Trailing average adjustment'!J44</f>
        <v>4.9350000000000005</v>
      </c>
      <c r="E33">
        <v>2026</v>
      </c>
      <c r="L33" s="179">
        <f t="shared" ref="L33:R38" si="5">$D33*((1-(1/((1+L24)^($E33-L$5))))/L24)+(100/((1+L24)^($E33-L$5)))</f>
        <v>100</v>
      </c>
      <c r="M33" s="179">
        <f t="shared" si="5"/>
        <v>106.10351694201469</v>
      </c>
      <c r="N33" s="179">
        <f t="shared" si="5"/>
        <v>104.14609723470608</v>
      </c>
      <c r="O33" s="179">
        <f t="shared" si="5"/>
        <v>114.11766743472336</v>
      </c>
      <c r="P33" s="179">
        <f t="shared" si="5"/>
        <v>117.52380090496341</v>
      </c>
      <c r="Q33" s="179">
        <f t="shared" si="5"/>
        <v>114.21844872408585</v>
      </c>
      <c r="R33" s="179">
        <f t="shared" si="5"/>
        <v>109.3597767189014</v>
      </c>
    </row>
    <row r="34" spans="2:18">
      <c r="B34" t="s">
        <v>180</v>
      </c>
      <c r="C34" s="116"/>
      <c r="D34" s="175">
        <f>'Trailing average adjustment'!K44</f>
        <v>4.2200000000000006</v>
      </c>
      <c r="E34">
        <v>2027</v>
      </c>
      <c r="L34" s="179"/>
      <c r="M34" s="179">
        <f>$D34*((1-(1/((1+M25)^($E34-M$5))))/M25)+(100/((1+M25)^($E34-M$5)))</f>
        <v>100</v>
      </c>
      <c r="N34" s="179">
        <f t="shared" si="5"/>
        <v>97.651359939855922</v>
      </c>
      <c r="O34" s="179">
        <f t="shared" si="5"/>
        <v>110.16524664620316</v>
      </c>
      <c r="P34" s="179">
        <f t="shared" si="5"/>
        <v>113.3895912250731</v>
      </c>
      <c r="Q34" s="179">
        <f t="shared" si="5"/>
        <v>110.77961008683982</v>
      </c>
      <c r="R34" s="179">
        <f t="shared" si="5"/>
        <v>106.63640901300438</v>
      </c>
    </row>
    <row r="35" spans="2:18">
      <c r="B35" t="s">
        <v>181</v>
      </c>
      <c r="C35" s="116"/>
      <c r="D35" s="175">
        <f>'Trailing average adjustment'!L44</f>
        <v>4.66</v>
      </c>
      <c r="E35">
        <v>2028</v>
      </c>
      <c r="L35" s="179"/>
      <c r="M35" s="179"/>
      <c r="N35" s="179">
        <f>$D35*((1-(1/((1+N26)^($E35-N$5))))/N26)+(100/((1+N26)^($E35-N$5)))</f>
        <v>100</v>
      </c>
      <c r="O35" s="179">
        <f t="shared" si="5"/>
        <v>113.2190211381084</v>
      </c>
      <c r="P35" s="179">
        <f t="shared" si="5"/>
        <v>118.03712633123301</v>
      </c>
      <c r="Q35" s="179">
        <f t="shared" si="5"/>
        <v>112.82572617011567</v>
      </c>
      <c r="R35" s="179">
        <f t="shared" si="5"/>
        <v>108.77847924238458</v>
      </c>
    </row>
    <row r="36" spans="2:18">
      <c r="B36" t="s">
        <v>182</v>
      </c>
      <c r="C36" s="116"/>
      <c r="D36" s="175">
        <f>'Trailing average adjustment'!M44</f>
        <v>3.0549999999999997</v>
      </c>
      <c r="E36">
        <v>2029</v>
      </c>
      <c r="L36" s="179"/>
      <c r="M36" s="179"/>
      <c r="N36" s="179"/>
      <c r="O36" s="179">
        <f>$D36*((1-(1/((1+O27)^($E36-O$5))))/O27)+(100/((1+O27)^($E36-O$5)))</f>
        <v>99.999999999999986</v>
      </c>
      <c r="P36" s="179">
        <f t="shared" si="5"/>
        <v>106.44057266333111</v>
      </c>
      <c r="Q36" s="179">
        <f t="shared" si="5"/>
        <v>102.14580259117591</v>
      </c>
      <c r="R36" s="179">
        <f t="shared" si="5"/>
        <v>98.521216657098151</v>
      </c>
    </row>
    <row r="37" spans="2:18">
      <c r="B37" t="s">
        <v>183</v>
      </c>
      <c r="C37" s="116"/>
      <c r="D37" s="175">
        <f>'Trailing average adjustment'!N44</f>
        <v>2.2949999999999999</v>
      </c>
      <c r="E37">
        <v>2030</v>
      </c>
      <c r="L37" s="179"/>
      <c r="M37" s="179"/>
      <c r="N37" s="179"/>
      <c r="O37" s="179"/>
      <c r="P37" s="179">
        <f>$D37*((1-(1/((1+P28)^($E37-P$5))))/P28)+(100/((1+P28)^($E37-P$5)))</f>
        <v>100</v>
      </c>
      <c r="Q37" s="179">
        <f t="shared" si="5"/>
        <v>94.529620753646554</v>
      </c>
      <c r="R37" s="179">
        <f t="shared" si="5"/>
        <v>92.27378466660025</v>
      </c>
    </row>
    <row r="38" spans="2:18">
      <c r="B38" t="s">
        <v>192</v>
      </c>
      <c r="D38" s="175">
        <f>'Trailing average adjustment'!O44</f>
        <v>3.12</v>
      </c>
      <c r="E38">
        <v>2031</v>
      </c>
      <c r="L38" s="179"/>
      <c r="M38" s="179"/>
      <c r="N38" s="179"/>
      <c r="O38" s="179"/>
      <c r="P38" s="179"/>
      <c r="Q38" s="179">
        <f>$D38*((1-(1/((1+Q29)^($E38-Q$5))))/Q29)+(100/((1+Q29)^($E38-Q$5)))</f>
        <v>100</v>
      </c>
      <c r="R38" s="179">
        <f t="shared" si="5"/>
        <v>95.958813477492683</v>
      </c>
    </row>
    <row r="39" spans="2:18">
      <c r="B39" t="s">
        <v>193</v>
      </c>
      <c r="D39" s="175">
        <f>'Trailing average adjustment'!P44</f>
        <v>3.7750000000000004</v>
      </c>
      <c r="E39">
        <v>2032</v>
      </c>
      <c r="L39" s="179"/>
      <c r="M39" s="179"/>
      <c r="N39" s="179"/>
      <c r="O39" s="179"/>
      <c r="P39" s="179"/>
      <c r="Q39" s="179"/>
      <c r="R39" s="179">
        <f>$D39*((1-(1/((1+R30)^($E39-R$5))))/R30)+(100/((1+R30)^($E39-R$5)))</f>
        <v>100</v>
      </c>
    </row>
    <row r="41" spans="2:18">
      <c r="B41" s="5" t="s">
        <v>206</v>
      </c>
      <c r="D41" t="s">
        <v>202</v>
      </c>
      <c r="E41" t="s">
        <v>203</v>
      </c>
    </row>
    <row r="43" spans="2:18">
      <c r="B43" s="1" t="s">
        <v>204</v>
      </c>
    </row>
    <row r="44" spans="2:18">
      <c r="B44" t="s">
        <v>179</v>
      </c>
      <c r="C44" s="116"/>
      <c r="E44">
        <v>2028</v>
      </c>
      <c r="N44" s="178">
        <f>INDEX('Yield Curve'!$B$141:$Q$184,MATCH('Trailing average adjustment bnd'!$E44-'Trailing average adjustment bnd'!N$5,'Yield Curve'!$B$141:$B$184,0),MATCH('Trailing average adjustment bnd'!N$5,'Yield Curve'!$B$141:$Q$141,0))/100</f>
        <v>4.6600000000000003E-2</v>
      </c>
      <c r="O44" s="178">
        <f>INDEX('Yield Curve'!$B$141:$Q$184,MATCH('Trailing average adjustment bnd'!$E44-'Trailing average adjustment bnd'!O$5,'Yield Curve'!$B$141:$B$184,0),MATCH('Trailing average adjustment bnd'!O$5,'Yield Curve'!$B$141:$Q$141,0))/100</f>
        <v>2.9649999999999999E-2</v>
      </c>
      <c r="P44" s="178">
        <f>INDEX('Yield Curve'!$B$141:$Q$184,MATCH('Trailing average adjustment bnd'!$E44-'Trailing average adjustment bnd'!P$5,'Yield Curve'!$B$141:$B$184,0),MATCH('Trailing average adjustment bnd'!P$5,'Yield Curve'!$B$141:$Q$141,0))/100</f>
        <v>2.1787500000000001E-2</v>
      </c>
      <c r="Q44" s="178">
        <f>INDEX('Yield Curve'!$B$141:$Q$184,MATCH('Trailing average adjustment bnd'!$E44-'Trailing average adjustment bnd'!Q$5,'Yield Curve'!$B$141:$B$184,0),MATCH('Trailing average adjustment bnd'!Q$5,'Yield Curve'!$B$141:$Q$141,0))/100</f>
        <v>3.295E-2</v>
      </c>
      <c r="R44" s="178">
        <f>INDEX('Yield Curve'!$B$141:$Q$184,MATCH('Trailing average adjustment bnd'!$E44-'Trailing average adjustment bnd'!R$5,'Yield Curve'!$B$141:$B$184,0),MATCH('Trailing average adjustment bnd'!R$5,'Yield Curve'!$B$141:$Q$141,0))/100</f>
        <v>3.0374999999999999E-2</v>
      </c>
    </row>
    <row r="45" spans="2:18">
      <c r="B45" t="s">
        <v>180</v>
      </c>
      <c r="C45" s="116"/>
      <c r="E45">
        <v>2029</v>
      </c>
      <c r="N45" s="178">
        <f>INDEX('Yield Curve'!$B$141:$Q$184,MATCH('Trailing average adjustment bnd'!$E45-'Trailing average adjustment bnd'!N$5,'Yield Curve'!$B$141:$B$184,0),MATCH('Trailing average adjustment bnd'!N$5,'Yield Curve'!$B$141:$Q$141,0))/100</f>
        <v>4.6600000000000003E-2</v>
      </c>
      <c r="O45" s="178">
        <f>INDEX('Yield Curve'!$B$141:$Q$184,MATCH('Trailing average adjustment bnd'!$E45-'Trailing average adjustment bnd'!O$5,'Yield Curve'!$B$141:$B$184,0),MATCH('Trailing average adjustment bnd'!O$5,'Yield Curve'!$B$141:$Q$141,0))/100</f>
        <v>3.0549999999999997E-2</v>
      </c>
      <c r="P45" s="178">
        <f>INDEX('Yield Curve'!$B$141:$Q$184,MATCH('Trailing average adjustment bnd'!$E45-'Trailing average adjustment bnd'!P$5,'Yield Curve'!$B$141:$B$184,0),MATCH('Trailing average adjustment bnd'!P$5,'Yield Curve'!$B$141:$Q$141,0))/100</f>
        <v>2.2562499999999996E-2</v>
      </c>
      <c r="Q45" s="178">
        <f>INDEX('Yield Curve'!$B$141:$Q$184,MATCH('Trailing average adjustment bnd'!$E45-'Trailing average adjustment bnd'!Q$5,'Yield Curve'!$B$141:$B$184,0),MATCH('Trailing average adjustment bnd'!Q$5,'Yield Curve'!$B$141:$Q$141,0))/100</f>
        <v>3.415E-2</v>
      </c>
      <c r="R45" s="178">
        <f>INDEX('Yield Curve'!$B$141:$Q$184,MATCH('Trailing average adjustment bnd'!$E45-'Trailing average adjustment bnd'!R$5,'Yield Curve'!$B$141:$B$184,0),MATCH('Trailing average adjustment bnd'!R$5,'Yield Curve'!$B$141:$Q$141,0))/100</f>
        <v>3.295E-2</v>
      </c>
    </row>
    <row r="46" spans="2:18">
      <c r="B46" t="s">
        <v>181</v>
      </c>
      <c r="C46" s="116"/>
      <c r="E46">
        <v>2030</v>
      </c>
      <c r="N46" s="178">
        <f>INDEX('Yield Curve'!$B$141:$Q$184,MATCH('Trailing average adjustment bnd'!$E46-'Trailing average adjustment bnd'!N$5,'Yield Curve'!$B$141:$B$184,0),MATCH('Trailing average adjustment bnd'!N$5,'Yield Curve'!$B$141:$Q$141,0))/100</f>
        <v>4.6600000000000003E-2</v>
      </c>
      <c r="O46" s="178">
        <f>INDEX('Yield Curve'!$B$141:$Q$184,MATCH('Trailing average adjustment bnd'!$E46-'Trailing average adjustment bnd'!O$5,'Yield Curve'!$B$141:$B$184,0),MATCH('Trailing average adjustment bnd'!O$5,'Yield Curve'!$B$141:$Q$141,0))/100</f>
        <v>3.0549999999999997E-2</v>
      </c>
      <c r="P46" s="178">
        <f>INDEX('Yield Curve'!$B$141:$Q$184,MATCH('Trailing average adjustment bnd'!$E46-'Trailing average adjustment bnd'!P$5,'Yield Curve'!$B$141:$B$184,0),MATCH('Trailing average adjustment bnd'!P$5,'Yield Curve'!$B$141:$Q$141,0))/100</f>
        <v>2.2949999999999998E-2</v>
      </c>
      <c r="Q46" s="178">
        <f>INDEX('Yield Curve'!$B$141:$Q$184,MATCH('Trailing average adjustment bnd'!$E46-'Trailing average adjustment bnd'!Q$5,'Yield Curve'!$B$141:$B$184,0),MATCH('Trailing average adjustment bnd'!Q$5,'Yield Curve'!$B$141:$Q$141,0))/100</f>
        <v>3.6549999999999999E-2</v>
      </c>
      <c r="R46" s="178">
        <f>INDEX('Yield Curve'!$B$141:$Q$184,MATCH('Trailing average adjustment bnd'!$E46-'Trailing average adjustment bnd'!R$5,'Yield Curve'!$B$141:$B$184,0),MATCH('Trailing average adjustment bnd'!R$5,'Yield Curve'!$B$141:$Q$141,0))/100</f>
        <v>3.415E-2</v>
      </c>
    </row>
    <row r="47" spans="2:18">
      <c r="B47" t="s">
        <v>182</v>
      </c>
      <c r="C47" s="116"/>
      <c r="E47">
        <v>2031</v>
      </c>
      <c r="N47" s="178">
        <f>INDEX('Yield Curve'!$B$141:$Q$184,MATCH('Trailing average adjustment bnd'!$E47-'Trailing average adjustment bnd'!N$5,'Yield Curve'!$B$141:$B$184,0),MATCH('Trailing average adjustment bnd'!N$5,'Yield Curve'!$B$141:$Q$141,0))/100</f>
        <v>4.6600000000000003E-2</v>
      </c>
      <c r="O47" s="178">
        <f>INDEX('Yield Curve'!$B$141:$Q$184,MATCH('Trailing average adjustment bnd'!$E47-'Trailing average adjustment bnd'!O$5,'Yield Curve'!$B$141:$B$184,0),MATCH('Trailing average adjustment bnd'!O$5,'Yield Curve'!$B$141:$Q$141,0))/100</f>
        <v>3.0549999999999997E-2</v>
      </c>
      <c r="P47" s="178">
        <f>INDEX('Yield Curve'!$B$141:$Q$184,MATCH('Trailing average adjustment bnd'!$E47-'Trailing average adjustment bnd'!P$5,'Yield Curve'!$B$141:$B$184,0),MATCH('Trailing average adjustment bnd'!P$5,'Yield Curve'!$B$141:$Q$141,0))/100</f>
        <v>2.2949999999999998E-2</v>
      </c>
      <c r="Q47" s="178">
        <f>INDEX('Yield Curve'!$B$141:$Q$184,MATCH('Trailing average adjustment bnd'!$E47-'Trailing average adjustment bnd'!Q$5,'Yield Curve'!$B$141:$B$184,0),MATCH('Trailing average adjustment bnd'!Q$5,'Yield Curve'!$B$141:$Q$141,0))/100</f>
        <v>3.7750000000000006E-2</v>
      </c>
      <c r="R47" s="178">
        <f>INDEX('Yield Curve'!$B$141:$Q$184,MATCH('Trailing average adjustment bnd'!$E47-'Trailing average adjustment bnd'!R$5,'Yield Curve'!$B$141:$B$184,0),MATCH('Trailing average adjustment bnd'!R$5,'Yield Curve'!$B$141:$Q$141,0))/100</f>
        <v>3.6549999999999999E-2</v>
      </c>
    </row>
    <row r="48" spans="2:18">
      <c r="B48" t="s">
        <v>183</v>
      </c>
      <c r="C48" s="116"/>
      <c r="E48">
        <v>2032</v>
      </c>
      <c r="N48" s="178">
        <f>INDEX('Yield Curve'!$B$141:$Q$184,MATCH('Trailing average adjustment bnd'!$E48-'Trailing average adjustment bnd'!N$5,'Yield Curve'!$B$141:$B$184,0),MATCH('Trailing average adjustment bnd'!N$5,'Yield Curve'!$B$141:$Q$141,0))/100</f>
        <v>4.6600000000000003E-2</v>
      </c>
      <c r="O48" s="178">
        <f>INDEX('Yield Curve'!$B$141:$Q$184,MATCH('Trailing average adjustment bnd'!$E48-'Trailing average adjustment bnd'!O$5,'Yield Curve'!$B$141:$B$184,0),MATCH('Trailing average adjustment bnd'!O$5,'Yield Curve'!$B$141:$Q$141,0))/100</f>
        <v>3.0549999999999997E-2</v>
      </c>
      <c r="P48" s="178">
        <f>INDEX('Yield Curve'!$B$141:$Q$184,MATCH('Trailing average adjustment bnd'!$E48-'Trailing average adjustment bnd'!P$5,'Yield Curve'!$B$141:$B$184,0),MATCH('Trailing average adjustment bnd'!P$5,'Yield Curve'!$B$141:$Q$141,0))/100</f>
        <v>2.2949999999999998E-2</v>
      </c>
      <c r="Q48" s="178">
        <f>INDEX('Yield Curve'!$B$141:$Q$184,MATCH('Trailing average adjustment bnd'!$E48-'Trailing average adjustment bnd'!Q$5,'Yield Curve'!$B$141:$B$184,0),MATCH('Trailing average adjustment bnd'!Q$5,'Yield Curve'!$B$141:$Q$141,0))/100</f>
        <v>3.7750000000000006E-2</v>
      </c>
      <c r="R48" s="178">
        <f>INDEX('Yield Curve'!$B$141:$Q$184,MATCH('Trailing average adjustment bnd'!$E48-'Trailing average adjustment bnd'!R$5,'Yield Curve'!$B$141:$B$184,0),MATCH('Trailing average adjustment bnd'!R$5,'Yield Curve'!$B$141:$Q$141,0))/100</f>
        <v>3.7750000000000006E-2</v>
      </c>
    </row>
    <row r="50" spans="1:18">
      <c r="B50" s="1" t="s">
        <v>6</v>
      </c>
    </row>
    <row r="51" spans="1:18">
      <c r="B51" t="s">
        <v>179</v>
      </c>
      <c r="C51" s="116"/>
      <c r="D51" s="175">
        <f>'Trailing average adjustment'!L83</f>
        <v>4.66</v>
      </c>
      <c r="E51">
        <v>2028</v>
      </c>
      <c r="N51" s="179">
        <f>$D51*((1-(1/((1+N44)^($E51-N$5))))/N44)+(100/((1+N44)^($E51-N$5)))</f>
        <v>100</v>
      </c>
      <c r="O51" s="179">
        <f t="shared" ref="O51:R51" si="6">$D51*((1-(1/((1+O44)^($E51-O$5))))/O44)+(100/((1+O44)^($E51-O$5)))</f>
        <v>113.2190211381084</v>
      </c>
      <c r="P51" s="179">
        <f t="shared" si="6"/>
        <v>118.03712633123301</v>
      </c>
      <c r="Q51" s="179">
        <f t="shared" si="6"/>
        <v>108.41058026275429</v>
      </c>
      <c r="R51" s="179">
        <f t="shared" si="6"/>
        <v>108.77847924238458</v>
      </c>
    </row>
    <row r="52" spans="1:18">
      <c r="B52" t="s">
        <v>180</v>
      </c>
      <c r="C52" s="116"/>
      <c r="D52" s="175">
        <f>'Trailing average adjustment'!M83</f>
        <v>3.0549999999999997</v>
      </c>
      <c r="E52">
        <v>2029</v>
      </c>
      <c r="N52" s="179"/>
      <c r="O52" s="179">
        <f>$D52*((1-(1/((1+O45)^($E52-O$5))))/O45)+(100/((1+O45)^($E52-O$5)))</f>
        <v>99.999999999999986</v>
      </c>
      <c r="P52" s="179">
        <f t="shared" ref="P52:R52" si="7">$D52*((1-(1/((1+P45)^($E52-P$5))))/P45)+(100/((1+P45)^($E52-P$5)))</f>
        <v>106.44057266333111</v>
      </c>
      <c r="Q52" s="179">
        <f t="shared" si="7"/>
        <v>97.516573642835795</v>
      </c>
      <c r="R52" s="179">
        <f t="shared" si="7"/>
        <v>98.521216657098151</v>
      </c>
    </row>
    <row r="53" spans="1:18">
      <c r="B53" t="s">
        <v>181</v>
      </c>
      <c r="C53" s="116"/>
      <c r="D53" s="175">
        <f>'Trailing average adjustment'!N83</f>
        <v>2.2949999999999999</v>
      </c>
      <c r="E53">
        <v>2030</v>
      </c>
      <c r="N53" s="179"/>
      <c r="O53" s="179"/>
      <c r="P53" s="179">
        <f t="shared" ref="P53:R53" si="8">$D53*((1-(1/((1+P46)^($E53-P$5))))/P46)+(100/((1+P46)^($E53-P$5)))</f>
        <v>100</v>
      </c>
      <c r="Q53" s="179">
        <f t="shared" si="8"/>
        <v>89.727077251196349</v>
      </c>
      <c r="R53" s="179">
        <f t="shared" si="8"/>
        <v>92.27378466660025</v>
      </c>
    </row>
    <row r="54" spans="1:18">
      <c r="B54" t="s">
        <v>182</v>
      </c>
      <c r="C54" s="116"/>
      <c r="D54" s="175">
        <f>'Trailing average adjustment'!O83</f>
        <v>3.7750000000000004</v>
      </c>
      <c r="E54">
        <v>2031</v>
      </c>
      <c r="N54" s="179"/>
      <c r="O54" s="179"/>
      <c r="P54" s="179"/>
      <c r="Q54" s="179">
        <f t="shared" ref="Q54:R54" si="9">$D54*((1-(1/((1+Q47)^($E54-Q$5))))/Q47)+(100/((1+Q47)^($E54-Q$5)))</f>
        <v>100</v>
      </c>
      <c r="R54" s="179">
        <f t="shared" si="9"/>
        <v>100.90643436018856</v>
      </c>
    </row>
    <row r="55" spans="1:18">
      <c r="B55" t="s">
        <v>183</v>
      </c>
      <c r="C55" s="116"/>
      <c r="D55" s="175">
        <f>'Trailing average adjustment'!P83</f>
        <v>3.7750000000000004</v>
      </c>
      <c r="E55">
        <v>2032</v>
      </c>
      <c r="N55" s="179"/>
      <c r="O55" s="179"/>
      <c r="P55" s="179"/>
      <c r="Q55" s="179"/>
      <c r="R55" s="179">
        <f>$D55*((1-(1/((1+R48)^($E55-R$5))))/R48)+(100/((1+R48)^($E55-R$5)))</f>
        <v>100</v>
      </c>
    </row>
    <row r="57" spans="1:18" s="136" customFormat="1" ht="17.5" thickBot="1">
      <c r="A57"/>
      <c r="B57" s="136" t="s">
        <v>48</v>
      </c>
    </row>
    <row r="58" spans="1:18" ht="15" thickTop="1"/>
    <row r="59" spans="1:18">
      <c r="B59" s="5" t="s">
        <v>42</v>
      </c>
      <c r="D59" t="s">
        <v>202</v>
      </c>
      <c r="E59" t="s">
        <v>203</v>
      </c>
    </row>
    <row r="61" spans="1:18">
      <c r="B61" s="1" t="s">
        <v>204</v>
      </c>
    </row>
    <row r="62" spans="1:18">
      <c r="B62" t="s">
        <v>179</v>
      </c>
      <c r="E62">
        <v>2026</v>
      </c>
      <c r="L62" s="178">
        <f>INDEX('Yield Curve'!$B$48:$Q$91,MATCH('Trailing average adjustment bnd'!$E62-'Trailing average adjustment bnd'!L$5,'Yield Curve'!$B$48:$B$91,0),MATCH('Trailing average adjustment bnd'!L$5,'Yield Curve'!$B$48:$Q$48,0))/100</f>
        <v>4.7200000000000006E-2</v>
      </c>
      <c r="M62" s="178">
        <f>INDEX('Yield Curve'!$B$48:$Q$91,MATCH('Trailing average adjustment bnd'!$E62-'Trailing average adjustment bnd'!M$5,'Yield Curve'!$B$48:$B$91,0),MATCH('Trailing average adjustment bnd'!M$5,'Yield Curve'!$B$48:$Q$48,0))/100</f>
        <v>4.2374999999999996E-2</v>
      </c>
      <c r="N62" s="178">
        <f>INDEX('Yield Curve'!$B$48:$Q$91,MATCH('Trailing average adjustment bnd'!$E62-'Trailing average adjustment bnd'!N$5,'Yield Curve'!$B$48:$B$91,0),MATCH('Trailing average adjustment bnd'!N$5,'Yield Curve'!$B$48:$Q$48,0))/100</f>
        <v>4.1487499999999997E-2</v>
      </c>
      <c r="O62" s="178">
        <f>INDEX('Yield Curve'!$B$48:$Q$91,MATCH('Trailing average adjustment bnd'!$E62-'Trailing average adjustment bnd'!O$5,'Yield Curve'!$B$48:$B$91,0),MATCH('Trailing average adjustment bnd'!O$5,'Yield Curve'!$B$48:$Q$48,0))/100</f>
        <v>3.065E-2</v>
      </c>
      <c r="P62" s="178">
        <f>INDEX('Yield Curve'!$B$48:$Q$91,MATCH('Trailing average adjustment bnd'!$E62-'Trailing average adjustment bnd'!P$5,'Yield Curve'!$B$48:$B$91,0),MATCH('Trailing average adjustment bnd'!P$5,'Yield Curve'!$B$48:$Q$48,0))/100</f>
        <v>2.8224999999999997E-2</v>
      </c>
      <c r="Q62" s="178">
        <f>INDEX('Yield Curve'!$B$48:$Q$91,MATCH('Trailing average adjustment bnd'!$E62-'Trailing average adjustment bnd'!Q$5,'Yield Curve'!$B$48:$B$91,0),MATCH('Trailing average adjustment bnd'!Q$5,'Yield Curve'!$B$48:$Q$48,0))/100</f>
        <v>1.925E-2</v>
      </c>
      <c r="R62" s="30"/>
    </row>
    <row r="63" spans="1:18">
      <c r="B63" t="s">
        <v>180</v>
      </c>
      <c r="E63">
        <v>2027</v>
      </c>
      <c r="L63" s="178">
        <f>INDEX('Yield Curve'!$B$48:$Q$91,MATCH('Trailing average adjustment bnd'!$E63-'Trailing average adjustment bnd'!L$5,'Yield Curve'!$B$48:$B$91,0),MATCH('Trailing average adjustment bnd'!L$5,'Yield Curve'!$B$48:$Q$48,0))/100</f>
        <v>4.7200000000000006E-2</v>
      </c>
      <c r="M63" s="178">
        <f>INDEX('Yield Curve'!$B$48:$Q$91,MATCH('Trailing average adjustment bnd'!$E63-'Trailing average adjustment bnd'!M$5,'Yield Curve'!$B$48:$B$91,0),MATCH('Trailing average adjustment bnd'!M$5,'Yield Curve'!$B$48:$Q$48,0))/100</f>
        <v>4.3299999999999998E-2</v>
      </c>
      <c r="N63" s="178">
        <f>INDEX('Yield Curve'!$B$48:$Q$91,MATCH('Trailing average adjustment bnd'!$E63-'Trailing average adjustment bnd'!N$5,'Yield Curve'!$B$48:$B$91,0),MATCH('Trailing average adjustment bnd'!N$5,'Yield Curve'!$B$48:$Q$48,0))/100</f>
        <v>4.376250000000001E-2</v>
      </c>
      <c r="O63" s="178">
        <f>INDEX('Yield Curve'!$B$48:$Q$91,MATCH('Trailing average adjustment bnd'!$E63-'Trailing average adjustment bnd'!O$5,'Yield Curve'!$B$48:$B$91,0),MATCH('Trailing average adjustment bnd'!O$5,'Yield Curve'!$B$48:$Q$48,0))/100</f>
        <v>3.1862500000000002E-2</v>
      </c>
      <c r="P63" s="178">
        <f>INDEX('Yield Curve'!$B$48:$Q$91,MATCH('Trailing average adjustment bnd'!$E63-'Trailing average adjustment bnd'!P$5,'Yield Curve'!$B$48:$B$91,0),MATCH('Trailing average adjustment bnd'!P$5,'Yield Curve'!$B$48:$Q$48,0))/100</f>
        <v>3.15E-2</v>
      </c>
      <c r="Q63" s="178">
        <f>INDEX('Yield Curve'!$B$48:$Q$91,MATCH('Trailing average adjustment bnd'!$E63-'Trailing average adjustment bnd'!Q$5,'Yield Curve'!$B$48:$B$91,0),MATCH('Trailing average adjustment bnd'!Q$5,'Yield Curve'!$B$48:$Q$48,0))/100</f>
        <v>2.2775E-2</v>
      </c>
      <c r="R63" s="30"/>
    </row>
    <row r="64" spans="1:18">
      <c r="B64" t="s">
        <v>181</v>
      </c>
      <c r="E64">
        <v>2028</v>
      </c>
      <c r="L64" s="178">
        <f>INDEX('Yield Curve'!$B$48:$Q$91,MATCH('Trailing average adjustment bnd'!$E64-'Trailing average adjustment bnd'!L$5,'Yield Curve'!$B$48:$B$91,0),MATCH('Trailing average adjustment bnd'!L$5,'Yield Curve'!$B$48:$Q$48,0))/100</f>
        <v>4.7200000000000006E-2</v>
      </c>
      <c r="M64" s="178">
        <f>INDEX('Yield Curve'!$B$48:$Q$91,MATCH('Trailing average adjustment bnd'!$E64-'Trailing average adjustment bnd'!M$5,'Yield Curve'!$B$48:$B$91,0),MATCH('Trailing average adjustment bnd'!M$5,'Yield Curve'!$B$48:$Q$48,0))/100</f>
        <v>4.3299999999999998E-2</v>
      </c>
      <c r="N64" s="178">
        <f>INDEX('Yield Curve'!$B$48:$Q$91,MATCH('Trailing average adjustment bnd'!$E64-'Trailing average adjustment bnd'!N$5,'Yield Curve'!$B$48:$B$91,0),MATCH('Trailing average adjustment bnd'!N$5,'Yield Curve'!$B$48:$Q$48,0))/100</f>
        <v>4.4900000000000002E-2</v>
      </c>
      <c r="O64" s="178">
        <f>INDEX('Yield Curve'!$B$48:$Q$91,MATCH('Trailing average adjustment bnd'!$E64-'Trailing average adjustment bnd'!O$5,'Yield Curve'!$B$48:$B$91,0),MATCH('Trailing average adjustment bnd'!O$5,'Yield Curve'!$B$48:$Q$48,0))/100</f>
        <v>3.4287499999999999E-2</v>
      </c>
      <c r="P64" s="178">
        <f>INDEX('Yield Curve'!$B$48:$Q$91,MATCH('Trailing average adjustment bnd'!$E64-'Trailing average adjustment bnd'!P$5,'Yield Curve'!$B$48:$B$91,0),MATCH('Trailing average adjustment bnd'!P$5,'Yield Curve'!$B$48:$Q$48,0))/100</f>
        <v>3.2249999999999994E-2</v>
      </c>
      <c r="Q64" s="178">
        <f>INDEX('Yield Curve'!$B$48:$Q$91,MATCH('Trailing average adjustment bnd'!$E64-'Trailing average adjustment bnd'!Q$5,'Yield Curve'!$B$48:$B$91,0),MATCH('Trailing average adjustment bnd'!Q$5,'Yield Curve'!$B$48:$Q$48,0))/100</f>
        <v>2.63E-2</v>
      </c>
      <c r="R64" s="30"/>
    </row>
    <row r="65" spans="2:18">
      <c r="B65" t="s">
        <v>182</v>
      </c>
      <c r="E65">
        <v>2029</v>
      </c>
      <c r="L65" s="178">
        <f>INDEX('Yield Curve'!$B$48:$Q$91,MATCH('Trailing average adjustment bnd'!$E65-'Trailing average adjustment bnd'!L$5,'Yield Curve'!$B$48:$B$91,0),MATCH('Trailing average adjustment bnd'!L$5,'Yield Curve'!$B$48:$Q$48,0))/100</f>
        <v>4.7200000000000006E-2</v>
      </c>
      <c r="M65" s="178">
        <f>INDEX('Yield Curve'!$B$48:$Q$91,MATCH('Trailing average adjustment bnd'!$E65-'Trailing average adjustment bnd'!M$5,'Yield Curve'!$B$48:$B$91,0),MATCH('Trailing average adjustment bnd'!M$5,'Yield Curve'!$B$48:$Q$48,0))/100</f>
        <v>4.3299999999999998E-2</v>
      </c>
      <c r="N65" s="178">
        <f>INDEX('Yield Curve'!$B$48:$Q$91,MATCH('Trailing average adjustment bnd'!$E65-'Trailing average adjustment bnd'!N$5,'Yield Curve'!$B$48:$B$91,0),MATCH('Trailing average adjustment bnd'!N$5,'Yield Curve'!$B$48:$Q$48,0))/100</f>
        <v>4.4900000000000002E-2</v>
      </c>
      <c r="O65" s="178">
        <f>INDEX('Yield Curve'!$B$48:$Q$91,MATCH('Trailing average adjustment bnd'!$E65-'Trailing average adjustment bnd'!O$5,'Yield Curve'!$B$48:$B$91,0),MATCH('Trailing average adjustment bnd'!O$5,'Yield Curve'!$B$48:$Q$48,0))/100</f>
        <v>3.5499999999999997E-2</v>
      </c>
      <c r="P65" s="178">
        <f>INDEX('Yield Curve'!$B$48:$Q$91,MATCH('Trailing average adjustment bnd'!$E65-'Trailing average adjustment bnd'!P$5,'Yield Curve'!$B$48:$B$91,0),MATCH('Trailing average adjustment bnd'!P$5,'Yield Curve'!$B$48:$Q$48,0))/100</f>
        <v>3.3750000000000002E-2</v>
      </c>
      <c r="Q65" s="178">
        <f>INDEX('Yield Curve'!$B$48:$Q$91,MATCH('Trailing average adjustment bnd'!$E65-'Trailing average adjustment bnd'!Q$5,'Yield Curve'!$B$48:$B$91,0),MATCH('Trailing average adjustment bnd'!Q$5,'Yield Curve'!$B$48:$Q$48,0))/100</f>
        <v>2.7525000000000001E-2</v>
      </c>
      <c r="R65" s="30"/>
    </row>
    <row r="66" spans="2:18">
      <c r="B66" t="s">
        <v>183</v>
      </c>
      <c r="E66">
        <v>2030</v>
      </c>
      <c r="L66" s="178">
        <f>INDEX('Yield Curve'!$B$48:$Q$91,MATCH('Trailing average adjustment bnd'!$E66-'Trailing average adjustment bnd'!L$5,'Yield Curve'!$B$48:$B$91,0),MATCH('Trailing average adjustment bnd'!L$5,'Yield Curve'!$B$48:$Q$48,0))/100</f>
        <v>4.7200000000000006E-2</v>
      </c>
      <c r="M66" s="178">
        <f>INDEX('Yield Curve'!$B$48:$Q$91,MATCH('Trailing average adjustment bnd'!$E66-'Trailing average adjustment bnd'!M$5,'Yield Curve'!$B$48:$B$91,0),MATCH('Trailing average adjustment bnd'!M$5,'Yield Curve'!$B$48:$Q$48,0))/100</f>
        <v>4.3299999999999998E-2</v>
      </c>
      <c r="N66" s="178">
        <f>INDEX('Yield Curve'!$B$48:$Q$91,MATCH('Trailing average adjustment bnd'!$E66-'Trailing average adjustment bnd'!N$5,'Yield Curve'!$B$48:$B$91,0),MATCH('Trailing average adjustment bnd'!N$5,'Yield Curve'!$B$48:$Q$48,0))/100</f>
        <v>4.4900000000000002E-2</v>
      </c>
      <c r="O66" s="178">
        <f>INDEX('Yield Curve'!$B$48:$Q$91,MATCH('Trailing average adjustment bnd'!$E66-'Trailing average adjustment bnd'!O$5,'Yield Curve'!$B$48:$B$91,0),MATCH('Trailing average adjustment bnd'!O$5,'Yield Curve'!$B$48:$Q$48,0))/100</f>
        <v>3.5499999999999997E-2</v>
      </c>
      <c r="P66" s="178">
        <f>INDEX('Yield Curve'!$B$48:$Q$91,MATCH('Trailing average adjustment bnd'!$E66-'Trailing average adjustment bnd'!P$5,'Yield Curve'!$B$48:$B$91,0),MATCH('Trailing average adjustment bnd'!P$5,'Yield Curve'!$B$48:$Q$48,0))/100</f>
        <v>3.4500000000000003E-2</v>
      </c>
      <c r="Q66" s="178">
        <f>INDEX('Yield Curve'!$B$48:$Q$91,MATCH('Trailing average adjustment bnd'!$E66-'Trailing average adjustment bnd'!Q$5,'Yield Curve'!$B$48:$B$91,0),MATCH('Trailing average adjustment bnd'!Q$5,'Yield Curve'!$B$48:$Q$48,0))/100</f>
        <v>2.9974999999999995E-2</v>
      </c>
      <c r="R66" s="30"/>
    </row>
    <row r="67" spans="2:18">
      <c r="B67" t="s">
        <v>192</v>
      </c>
      <c r="E67">
        <v>2031</v>
      </c>
      <c r="L67" s="178">
        <f>INDEX('Yield Curve'!$B$48:$Q$91,MATCH('Trailing average adjustment bnd'!$E67-'Trailing average adjustment bnd'!L$5,'Yield Curve'!$B$48:$B$91,0),MATCH('Trailing average adjustment bnd'!L$5,'Yield Curve'!$B$48:$Q$48,0))/100</f>
        <v>4.7200000000000006E-2</v>
      </c>
      <c r="M67" s="178">
        <f>INDEX('Yield Curve'!$B$48:$Q$91,MATCH('Trailing average adjustment bnd'!$E67-'Trailing average adjustment bnd'!M$5,'Yield Curve'!$B$48:$B$91,0),MATCH('Trailing average adjustment bnd'!M$5,'Yield Curve'!$B$48:$Q$48,0))/100</f>
        <v>4.3299999999999998E-2</v>
      </c>
      <c r="N67" s="178">
        <f>INDEX('Yield Curve'!$B$48:$Q$91,MATCH('Trailing average adjustment bnd'!$E67-'Trailing average adjustment bnd'!N$5,'Yield Curve'!$B$48:$B$91,0),MATCH('Trailing average adjustment bnd'!N$5,'Yield Curve'!$B$48:$Q$48,0))/100</f>
        <v>4.4900000000000002E-2</v>
      </c>
      <c r="O67" s="178">
        <f>INDEX('Yield Curve'!$B$48:$Q$91,MATCH('Trailing average adjustment bnd'!$E67-'Trailing average adjustment bnd'!O$5,'Yield Curve'!$B$48:$B$91,0),MATCH('Trailing average adjustment bnd'!O$5,'Yield Curve'!$B$48:$Q$48,0))/100</f>
        <v>3.5499999999999997E-2</v>
      </c>
      <c r="P67" s="178">
        <f>INDEX('Yield Curve'!$B$48:$Q$91,MATCH('Trailing average adjustment bnd'!$E67-'Trailing average adjustment bnd'!P$5,'Yield Curve'!$B$48:$B$91,0),MATCH('Trailing average adjustment bnd'!P$5,'Yield Curve'!$B$48:$Q$48,0))/100</f>
        <v>3.4500000000000003E-2</v>
      </c>
      <c r="Q67" s="178">
        <f>INDEX('Yield Curve'!$B$48:$Q$91,MATCH('Trailing average adjustment bnd'!$E67-'Trailing average adjustment bnd'!Q$5,'Yield Curve'!$B$48:$B$91,0),MATCH('Trailing average adjustment bnd'!Q$5,'Yield Curve'!$B$48:$Q$48,0))/100</f>
        <v>3.1200000000000002E-2</v>
      </c>
      <c r="R67" s="30"/>
    </row>
    <row r="69" spans="2:18">
      <c r="B69" s="1" t="s">
        <v>6</v>
      </c>
    </row>
    <row r="70" spans="2:18">
      <c r="B70" t="s">
        <v>179</v>
      </c>
      <c r="D70" s="175">
        <f>'Trailing average adjustment'!J118</f>
        <v>4.7200000000000006</v>
      </c>
      <c r="E70">
        <v>2026</v>
      </c>
      <c r="L70" s="179">
        <f>$D70*((1-(1/((1+L62)^($E70-L$5))))/L62)+(100/((1+L62)^($E70-L$5)))</f>
        <v>100</v>
      </c>
      <c r="M70" s="179">
        <f t="shared" ref="M70:Q70" si="10">$D70*((1-(1/((1+M62)^($E70-M$5))))/M62)+(100/((1+M62)^($E70-M$5)))</f>
        <v>103.54903587037876</v>
      </c>
      <c r="N70" s="179">
        <f t="shared" si="10"/>
        <v>103.8225663826282</v>
      </c>
      <c r="O70" s="179">
        <f t="shared" si="10"/>
        <v>110.28590605455204</v>
      </c>
      <c r="P70" s="179">
        <f t="shared" si="10"/>
        <v>110.3398689654741</v>
      </c>
      <c r="Q70" s="179">
        <f t="shared" si="10"/>
        <v>113.202845243794</v>
      </c>
    </row>
    <row r="71" spans="2:18">
      <c r="B71" t="s">
        <v>180</v>
      </c>
      <c r="D71" s="175">
        <f>'Trailing average adjustment'!K118</f>
        <v>4.33</v>
      </c>
      <c r="E71">
        <v>2027</v>
      </c>
      <c r="L71" s="179"/>
      <c r="M71" s="179">
        <f t="shared" ref="M71:Q71" si="11">$D71*((1-(1/((1+M63)^($E71-M$5))))/M63)+(100/((1+M63)^($E71-M$5)))</f>
        <v>100</v>
      </c>
      <c r="N71" s="179">
        <f t="shared" si="11"/>
        <v>99.661936486693577</v>
      </c>
      <c r="O71" s="179">
        <f t="shared" si="11"/>
        <v>107.96606428426277</v>
      </c>
      <c r="P71" s="179">
        <f t="shared" si="11"/>
        <v>107.31035141671347</v>
      </c>
      <c r="Q71" s="179">
        <f t="shared" si="11"/>
        <v>111.39003845726576</v>
      </c>
    </row>
    <row r="72" spans="2:18">
      <c r="B72" t="s">
        <v>181</v>
      </c>
      <c r="D72" s="175">
        <f>'Trailing average adjustment'!L118</f>
        <v>4.49</v>
      </c>
      <c r="E72">
        <v>2028</v>
      </c>
      <c r="L72" s="179"/>
      <c r="M72" s="179"/>
      <c r="N72" s="179">
        <f t="shared" ref="N72:Q72" si="12">$D72*((1-(1/((1+N64)^($E72-N$5))))/N64)+(100/((1+N64)^($E72-N$5)))</f>
        <v>100</v>
      </c>
      <c r="O72" s="179">
        <f t="shared" si="12"/>
        <v>108.10023994952334</v>
      </c>
      <c r="P72" s="179">
        <f t="shared" si="12"/>
        <v>108.79622701389833</v>
      </c>
      <c r="Q72" s="179">
        <f t="shared" si="12"/>
        <v>111.75165057951486</v>
      </c>
    </row>
    <row r="73" spans="2:18">
      <c r="B73" t="s">
        <v>182</v>
      </c>
      <c r="D73" s="175">
        <f>'Trailing average adjustment'!M118</f>
        <v>3.55</v>
      </c>
      <c r="E73">
        <v>2029</v>
      </c>
      <c r="L73" s="179"/>
      <c r="M73" s="179"/>
      <c r="N73" s="179"/>
      <c r="O73" s="179">
        <f t="shared" ref="O73:Q73" si="13">$D73*((1-(1/((1+O65)^($E73-O$5))))/O65)+(100/((1+O65)^($E73-O$5)))</f>
        <v>100</v>
      </c>
      <c r="P73" s="179">
        <f t="shared" si="13"/>
        <v>101.33904979115441</v>
      </c>
      <c r="Q73" s="179">
        <f t="shared" si="13"/>
        <v>105.65711592219104</v>
      </c>
    </row>
    <row r="74" spans="2:18">
      <c r="B74" t="s">
        <v>183</v>
      </c>
      <c r="D74" s="175">
        <f>'Trailing average adjustment'!N118</f>
        <v>3.45</v>
      </c>
      <c r="E74">
        <v>2030</v>
      </c>
      <c r="L74" s="179"/>
      <c r="M74" s="179"/>
      <c r="N74" s="179"/>
      <c r="O74" s="179"/>
      <c r="P74" s="179">
        <f t="shared" ref="P74:Q74" si="14">$D74*((1-(1/((1+P66)^($E74-P$5))))/P66)+(100/((1+P66)^($E74-P$5)))</f>
        <v>100</v>
      </c>
      <c r="Q74" s="179">
        <f t="shared" si="14"/>
        <v>103.5236250661565</v>
      </c>
    </row>
    <row r="75" spans="2:18">
      <c r="B75" t="s">
        <v>192</v>
      </c>
      <c r="D75" s="175">
        <f>'Trailing average adjustment'!O118</f>
        <v>3.12</v>
      </c>
      <c r="E75">
        <v>2031</v>
      </c>
      <c r="L75" s="179"/>
      <c r="M75" s="179"/>
      <c r="N75" s="179"/>
      <c r="O75" s="179"/>
      <c r="P75" s="179"/>
      <c r="Q75" s="179">
        <f t="shared" ref="Q75" si="15">$D75*((1-(1/((1+Q67)^($E75-Q$5))))/Q67)+(100/((1+Q67)^($E75-Q$5)))</f>
        <v>100</v>
      </c>
    </row>
    <row r="77" spans="2:18">
      <c r="B77" s="5" t="s">
        <v>50</v>
      </c>
      <c r="D77" t="s">
        <v>202</v>
      </c>
      <c r="E77" t="s">
        <v>203</v>
      </c>
    </row>
    <row r="79" spans="2:18">
      <c r="B79" s="1" t="s">
        <v>204</v>
      </c>
    </row>
    <row r="80" spans="2:18">
      <c r="B80" t="s">
        <v>179</v>
      </c>
      <c r="E80">
        <v>2026</v>
      </c>
      <c r="L80" s="178">
        <f>INDEX('Yield Curve'!$B$141:$Q$184,MATCH('Trailing average adjustment bnd'!$E80-'Trailing average adjustment bnd'!L$5,'Yield Curve'!$B$141:$B$184,0),MATCH('Trailing average adjustment bnd'!L$5,'Yield Curve'!$B$141:$Q$141,0))/100</f>
        <v>4.9350000000000005E-2</v>
      </c>
      <c r="M80" s="178">
        <f>INDEX('Yield Curve'!$B$141:$Q$184,MATCH('Trailing average adjustment bnd'!$E80-'Trailing average adjustment bnd'!M$5,'Yield Curve'!$B$141:$B$184,0),MATCH('Trailing average adjustment bnd'!M$5,'Yield Curve'!$B$141:$Q$141,0))/100</f>
        <v>4.1100000000000005E-2</v>
      </c>
      <c r="N80" s="178">
        <f>INDEX('Yield Curve'!$B$141:$Q$184,MATCH('Trailing average adjustment bnd'!$E80-'Trailing average adjustment bnd'!N$5,'Yield Curve'!$B$141:$B$184,0),MATCH('Trailing average adjustment bnd'!N$5,'Yield Curve'!$B$141:$Q$141,0))/100</f>
        <v>4.3112500000000005E-2</v>
      </c>
      <c r="O80" s="178">
        <f>INDEX('Yield Curve'!$B$141:$Q$184,MATCH('Trailing average adjustment bnd'!$E80-'Trailing average adjustment bnd'!O$5,'Yield Curve'!$B$141:$B$184,0),MATCH('Trailing average adjustment bnd'!O$5,'Yield Curve'!$B$141:$Q$141,0))/100</f>
        <v>2.6950000000000002E-2</v>
      </c>
      <c r="P80" s="178">
        <f>INDEX('Yield Curve'!$B$141:$Q$184,MATCH('Trailing average adjustment bnd'!$E80-'Trailing average adjustment bnd'!P$5,'Yield Curve'!$B$141:$B$184,0),MATCH('Trailing average adjustment bnd'!P$5,'Yield Curve'!$B$141:$Q$141,0))/100</f>
        <v>1.8249999999999999E-2</v>
      </c>
      <c r="Q80" s="178">
        <f>INDEX('Yield Curve'!$B$48:$Q$91,MATCH('Trailing average adjustment bnd'!$E80-'Trailing average adjustment bnd'!Q$5,'Yield Curve'!$B$48:$B$91,0),MATCH('Trailing average adjustment bnd'!Q$5,'Yield Curve'!$B$48:$Q$48,0))/100</f>
        <v>1.925E-2</v>
      </c>
    </row>
    <row r="81" spans="2:17">
      <c r="B81" t="s">
        <v>180</v>
      </c>
      <c r="E81">
        <v>2027</v>
      </c>
      <c r="L81" s="178">
        <f>INDEX('Yield Curve'!$B$141:$Q$184,MATCH('Trailing average adjustment bnd'!$E81-'Trailing average adjustment bnd'!L$5,'Yield Curve'!$B$141:$B$184,0),MATCH('Trailing average adjustment bnd'!L$5,'Yield Curve'!$B$141:$Q$141,0))/100</f>
        <v>4.9350000000000005E-2</v>
      </c>
      <c r="M81" s="178">
        <f>INDEX('Yield Curve'!$B$141:$Q$184,MATCH('Trailing average adjustment bnd'!$E81-'Trailing average adjustment bnd'!M$5,'Yield Curve'!$B$141:$B$184,0),MATCH('Trailing average adjustment bnd'!M$5,'Yield Curve'!$B$141:$Q$141,0))/100</f>
        <v>4.2200000000000008E-2</v>
      </c>
      <c r="N81" s="178">
        <f>INDEX('Yield Curve'!$B$141:$Q$184,MATCH('Trailing average adjustment bnd'!$E81-'Trailing average adjustment bnd'!N$5,'Yield Curve'!$B$141:$B$184,0),MATCH('Trailing average adjustment bnd'!N$5,'Yield Curve'!$B$141:$Q$141,0))/100</f>
        <v>4.5437499999999999E-2</v>
      </c>
      <c r="O81" s="178">
        <f>INDEX('Yield Curve'!$B$141:$Q$184,MATCH('Trailing average adjustment bnd'!$E81-'Trailing average adjustment bnd'!O$5,'Yield Curve'!$B$141:$B$184,0),MATCH('Trailing average adjustment bnd'!O$5,'Yield Curve'!$B$141:$Q$141,0))/100</f>
        <v>2.785E-2</v>
      </c>
      <c r="P81" s="178">
        <f>INDEX('Yield Curve'!$B$141:$Q$184,MATCH('Trailing average adjustment bnd'!$E81-'Trailing average adjustment bnd'!P$5,'Yield Curve'!$B$141:$B$184,0),MATCH('Trailing average adjustment bnd'!P$5,'Yield Curve'!$B$141:$Q$141,0))/100</f>
        <v>2.1399999999999995E-2</v>
      </c>
      <c r="Q81" s="178">
        <f>INDEX('Yield Curve'!$B$48:$Q$91,MATCH('Trailing average adjustment bnd'!$E81-'Trailing average adjustment bnd'!Q$5,'Yield Curve'!$B$48:$B$91,0),MATCH('Trailing average adjustment bnd'!Q$5,'Yield Curve'!$B$48:$Q$48,0))/100</f>
        <v>2.2775E-2</v>
      </c>
    </row>
    <row r="82" spans="2:17">
      <c r="B82" t="s">
        <v>181</v>
      </c>
      <c r="E82">
        <v>2028</v>
      </c>
      <c r="L82" s="178">
        <f>INDEX('Yield Curve'!$B$141:$Q$184,MATCH('Trailing average adjustment bnd'!$E82-'Trailing average adjustment bnd'!L$5,'Yield Curve'!$B$141:$B$184,0),MATCH('Trailing average adjustment bnd'!L$5,'Yield Curve'!$B$141:$Q$141,0))/100</f>
        <v>4.9350000000000005E-2</v>
      </c>
      <c r="M82" s="178">
        <f>INDEX('Yield Curve'!$B$141:$Q$184,MATCH('Trailing average adjustment bnd'!$E82-'Trailing average adjustment bnd'!M$5,'Yield Curve'!$B$141:$B$184,0),MATCH('Trailing average adjustment bnd'!M$5,'Yield Curve'!$B$141:$Q$141,0))/100</f>
        <v>4.2200000000000008E-2</v>
      </c>
      <c r="N82" s="178">
        <f>INDEX('Yield Curve'!$B$141:$Q$184,MATCH('Trailing average adjustment bnd'!$E82-'Trailing average adjustment bnd'!N$5,'Yield Curve'!$B$141:$B$184,0),MATCH('Trailing average adjustment bnd'!N$5,'Yield Curve'!$B$141:$Q$141,0))/100</f>
        <v>4.6600000000000003E-2</v>
      </c>
      <c r="O82" s="178">
        <f>INDEX('Yield Curve'!$B$141:$Q$184,MATCH('Trailing average adjustment bnd'!$E82-'Trailing average adjustment bnd'!O$5,'Yield Curve'!$B$141:$B$184,0),MATCH('Trailing average adjustment bnd'!O$5,'Yield Curve'!$B$141:$Q$141,0))/100</f>
        <v>2.9649999999999999E-2</v>
      </c>
      <c r="P82" s="178">
        <f>INDEX('Yield Curve'!$B$141:$Q$184,MATCH('Trailing average adjustment bnd'!$E82-'Trailing average adjustment bnd'!P$5,'Yield Curve'!$B$141:$B$184,0),MATCH('Trailing average adjustment bnd'!P$5,'Yield Curve'!$B$141:$Q$141,0))/100</f>
        <v>2.1787500000000001E-2</v>
      </c>
      <c r="Q82" s="178">
        <f>INDEX('Yield Curve'!$B$48:$Q$91,MATCH('Trailing average adjustment bnd'!$E82-'Trailing average adjustment bnd'!Q$5,'Yield Curve'!$B$48:$B$91,0),MATCH('Trailing average adjustment bnd'!Q$5,'Yield Curve'!$B$48:$Q$48,0))/100</f>
        <v>2.63E-2</v>
      </c>
    </row>
    <row r="83" spans="2:17">
      <c r="B83" t="s">
        <v>182</v>
      </c>
      <c r="E83">
        <v>2029</v>
      </c>
      <c r="L83" s="178">
        <f>INDEX('Yield Curve'!$B$141:$Q$184,MATCH('Trailing average adjustment bnd'!$E83-'Trailing average adjustment bnd'!L$5,'Yield Curve'!$B$141:$B$184,0),MATCH('Trailing average adjustment bnd'!L$5,'Yield Curve'!$B$141:$Q$141,0))/100</f>
        <v>4.9350000000000005E-2</v>
      </c>
      <c r="M83" s="178">
        <f>INDEX('Yield Curve'!$B$141:$Q$184,MATCH('Trailing average adjustment bnd'!$E83-'Trailing average adjustment bnd'!M$5,'Yield Curve'!$B$141:$B$184,0),MATCH('Trailing average adjustment bnd'!M$5,'Yield Curve'!$B$141:$Q$141,0))/100</f>
        <v>4.2200000000000008E-2</v>
      </c>
      <c r="N83" s="178">
        <f>INDEX('Yield Curve'!$B$141:$Q$184,MATCH('Trailing average adjustment bnd'!$E83-'Trailing average adjustment bnd'!N$5,'Yield Curve'!$B$141:$B$184,0),MATCH('Trailing average adjustment bnd'!N$5,'Yield Curve'!$B$141:$Q$141,0))/100</f>
        <v>4.6600000000000003E-2</v>
      </c>
      <c r="O83" s="178">
        <f>INDEX('Yield Curve'!$B$141:$Q$184,MATCH('Trailing average adjustment bnd'!$E83-'Trailing average adjustment bnd'!O$5,'Yield Curve'!$B$141:$B$184,0),MATCH('Trailing average adjustment bnd'!O$5,'Yield Curve'!$B$141:$Q$141,0))/100</f>
        <v>3.0549999999999997E-2</v>
      </c>
      <c r="P83" s="178">
        <f>INDEX('Yield Curve'!$B$141:$Q$184,MATCH('Trailing average adjustment bnd'!$E83-'Trailing average adjustment bnd'!P$5,'Yield Curve'!$B$141:$B$184,0),MATCH('Trailing average adjustment bnd'!P$5,'Yield Curve'!$B$141:$Q$141,0))/100</f>
        <v>2.2562499999999996E-2</v>
      </c>
      <c r="Q83" s="178">
        <f>INDEX('Yield Curve'!$B$48:$Q$91,MATCH('Trailing average adjustment bnd'!$E83-'Trailing average adjustment bnd'!Q$5,'Yield Curve'!$B$48:$B$91,0),MATCH('Trailing average adjustment bnd'!Q$5,'Yield Curve'!$B$48:$Q$48,0))/100</f>
        <v>2.7525000000000001E-2</v>
      </c>
    </row>
    <row r="84" spans="2:17">
      <c r="B84" t="s">
        <v>183</v>
      </c>
      <c r="E84">
        <v>2030</v>
      </c>
      <c r="L84" s="178">
        <f>INDEX('Yield Curve'!$B$141:$Q$184,MATCH('Trailing average adjustment bnd'!$E84-'Trailing average adjustment bnd'!L$5,'Yield Curve'!$B$141:$B$184,0),MATCH('Trailing average adjustment bnd'!L$5,'Yield Curve'!$B$141:$Q$141,0))/100</f>
        <v>4.9350000000000005E-2</v>
      </c>
      <c r="M84" s="178">
        <f>INDEX('Yield Curve'!$B$141:$Q$184,MATCH('Trailing average adjustment bnd'!$E84-'Trailing average adjustment bnd'!M$5,'Yield Curve'!$B$141:$B$184,0),MATCH('Trailing average adjustment bnd'!M$5,'Yield Curve'!$B$141:$Q$141,0))/100</f>
        <v>4.2200000000000008E-2</v>
      </c>
      <c r="N84" s="178">
        <f>INDEX('Yield Curve'!$B$141:$Q$184,MATCH('Trailing average adjustment bnd'!$E84-'Trailing average adjustment bnd'!N$5,'Yield Curve'!$B$141:$B$184,0),MATCH('Trailing average adjustment bnd'!N$5,'Yield Curve'!$B$141:$Q$141,0))/100</f>
        <v>4.6600000000000003E-2</v>
      </c>
      <c r="O84" s="178">
        <f>INDEX('Yield Curve'!$B$141:$Q$184,MATCH('Trailing average adjustment bnd'!$E84-'Trailing average adjustment bnd'!O$5,'Yield Curve'!$B$141:$B$184,0),MATCH('Trailing average adjustment bnd'!O$5,'Yield Curve'!$B$141:$Q$141,0))/100</f>
        <v>3.0549999999999997E-2</v>
      </c>
      <c r="P84" s="178">
        <f>INDEX('Yield Curve'!$B$141:$Q$184,MATCH('Trailing average adjustment bnd'!$E84-'Trailing average adjustment bnd'!P$5,'Yield Curve'!$B$141:$B$184,0),MATCH('Trailing average adjustment bnd'!P$5,'Yield Curve'!$B$141:$Q$141,0))/100</f>
        <v>2.2949999999999998E-2</v>
      </c>
      <c r="Q84" s="178">
        <f>INDEX('Yield Curve'!$B$48:$Q$91,MATCH('Trailing average adjustment bnd'!$E84-'Trailing average adjustment bnd'!Q$5,'Yield Curve'!$B$48:$B$91,0),MATCH('Trailing average adjustment bnd'!Q$5,'Yield Curve'!$B$48:$Q$48,0))/100</f>
        <v>2.9974999999999995E-2</v>
      </c>
    </row>
    <row r="85" spans="2:17">
      <c r="B85" t="s">
        <v>192</v>
      </c>
      <c r="E85">
        <v>2031</v>
      </c>
      <c r="L85" s="178">
        <f>INDEX('Yield Curve'!$B$141:$Q$184,MATCH('Trailing average adjustment bnd'!$E85-'Trailing average adjustment bnd'!L$5,'Yield Curve'!$B$141:$B$184,0),MATCH('Trailing average adjustment bnd'!L$5,'Yield Curve'!$B$141:$Q$141,0))/100</f>
        <v>4.9350000000000005E-2</v>
      </c>
      <c r="M85" s="178">
        <f>INDEX('Yield Curve'!$B$141:$Q$184,MATCH('Trailing average adjustment bnd'!$E85-'Trailing average adjustment bnd'!M$5,'Yield Curve'!$B$141:$B$184,0),MATCH('Trailing average adjustment bnd'!M$5,'Yield Curve'!$B$141:$Q$141,0))/100</f>
        <v>4.2200000000000008E-2</v>
      </c>
      <c r="N85" s="178">
        <f>INDEX('Yield Curve'!$B$141:$Q$184,MATCH('Trailing average adjustment bnd'!$E85-'Trailing average adjustment bnd'!N$5,'Yield Curve'!$B$141:$B$184,0),MATCH('Trailing average adjustment bnd'!N$5,'Yield Curve'!$B$141:$Q$141,0))/100</f>
        <v>4.6600000000000003E-2</v>
      </c>
      <c r="O85" s="178">
        <f>INDEX('Yield Curve'!$B$141:$Q$184,MATCH('Trailing average adjustment bnd'!$E85-'Trailing average adjustment bnd'!O$5,'Yield Curve'!$B$141:$B$184,0),MATCH('Trailing average adjustment bnd'!O$5,'Yield Curve'!$B$141:$Q$141,0))/100</f>
        <v>3.0549999999999997E-2</v>
      </c>
      <c r="P85" s="178">
        <f>INDEX('Yield Curve'!$B$141:$Q$184,MATCH('Trailing average adjustment bnd'!$E85-'Trailing average adjustment bnd'!P$5,'Yield Curve'!$B$141:$B$184,0),MATCH('Trailing average adjustment bnd'!P$5,'Yield Curve'!$B$141:$Q$141,0))/100</f>
        <v>2.2949999999999998E-2</v>
      </c>
      <c r="Q85" s="178">
        <f>INDEX('Yield Curve'!$B$48:$Q$91,MATCH('Trailing average adjustment bnd'!$E85-'Trailing average adjustment bnd'!Q$5,'Yield Curve'!$B$48:$B$91,0),MATCH('Trailing average adjustment bnd'!Q$5,'Yield Curve'!$B$48:$Q$48,0))/100</f>
        <v>3.1200000000000002E-2</v>
      </c>
    </row>
    <row r="87" spans="2:17">
      <c r="B87" s="1" t="s">
        <v>6</v>
      </c>
    </row>
    <row r="88" spans="2:17">
      <c r="B88" t="s">
        <v>179</v>
      </c>
      <c r="D88" s="175">
        <f>'Trailing average adjustment'!J155</f>
        <v>4.9350000000000005</v>
      </c>
      <c r="E88">
        <v>2026</v>
      </c>
      <c r="L88" s="179">
        <f>$D88*((1-(1/((1+L80)^($E88-L$5))))/L80)+(100/((1+L80)^($E88-L$5)))</f>
        <v>100</v>
      </c>
      <c r="M88" s="179">
        <f t="shared" ref="M88:Q88" si="16">$D88*((1-(1/((1+M80)^($E88-M$5))))/M80)+(100/((1+M80)^($E88-M$5)))</f>
        <v>106.10351694201469</v>
      </c>
      <c r="N88" s="179">
        <f t="shared" si="16"/>
        <v>104.14609723470608</v>
      </c>
      <c r="O88" s="179">
        <f t="shared" si="16"/>
        <v>114.11766743472336</v>
      </c>
      <c r="P88" s="179">
        <f t="shared" si="16"/>
        <v>117.52380090496341</v>
      </c>
      <c r="Q88" s="179">
        <f t="shared" si="16"/>
        <v>114.21844872408585</v>
      </c>
    </row>
    <row r="89" spans="2:17">
      <c r="B89" t="s">
        <v>180</v>
      </c>
      <c r="D89" s="175">
        <f>'Trailing average adjustment'!K155</f>
        <v>4.2200000000000006</v>
      </c>
      <c r="E89">
        <v>2027</v>
      </c>
      <c r="L89" s="179"/>
      <c r="M89" s="179">
        <f t="shared" ref="M89:Q89" si="17">$D89*((1-(1/((1+M81)^($E89-M$5))))/M81)+(100/((1+M81)^($E89-M$5)))</f>
        <v>100</v>
      </c>
      <c r="N89" s="179">
        <f t="shared" si="17"/>
        <v>97.651359939855922</v>
      </c>
      <c r="O89" s="179">
        <f t="shared" si="17"/>
        <v>110.16524664620316</v>
      </c>
      <c r="P89" s="179">
        <f t="shared" si="17"/>
        <v>113.3895912250731</v>
      </c>
      <c r="Q89" s="179">
        <f t="shared" si="17"/>
        <v>110.77961008683982</v>
      </c>
    </row>
    <row r="90" spans="2:17">
      <c r="B90" t="s">
        <v>181</v>
      </c>
      <c r="D90" s="175">
        <f>'Trailing average adjustment'!L155</f>
        <v>4.66</v>
      </c>
      <c r="E90">
        <v>2028</v>
      </c>
      <c r="L90" s="179"/>
      <c r="M90" s="179"/>
      <c r="N90" s="179">
        <f t="shared" ref="N90:Q90" si="18">$D90*((1-(1/((1+N82)^($E90-N$5))))/N82)+(100/((1+N82)^($E90-N$5)))</f>
        <v>100</v>
      </c>
      <c r="O90" s="179">
        <f t="shared" si="18"/>
        <v>113.2190211381084</v>
      </c>
      <c r="P90" s="179">
        <f t="shared" si="18"/>
        <v>118.03712633123301</v>
      </c>
      <c r="Q90" s="179">
        <f t="shared" si="18"/>
        <v>112.82572617011567</v>
      </c>
    </row>
    <row r="91" spans="2:17">
      <c r="B91" t="s">
        <v>182</v>
      </c>
      <c r="D91" s="175">
        <f>'Trailing average adjustment'!M155</f>
        <v>3.0549999999999997</v>
      </c>
      <c r="E91">
        <v>2029</v>
      </c>
      <c r="L91" s="179"/>
      <c r="M91" s="179"/>
      <c r="N91" s="179"/>
      <c r="O91" s="179">
        <f t="shared" ref="O91:Q91" si="19">$D91*((1-(1/((1+O83)^($E91-O$5))))/O83)+(100/((1+O83)^($E91-O$5)))</f>
        <v>99.999999999999986</v>
      </c>
      <c r="P91" s="179">
        <f t="shared" si="19"/>
        <v>106.44057266333111</v>
      </c>
      <c r="Q91" s="179">
        <f t="shared" si="19"/>
        <v>102.14580259117591</v>
      </c>
    </row>
    <row r="92" spans="2:17">
      <c r="B92" t="s">
        <v>183</v>
      </c>
      <c r="D92" s="175">
        <f>'Trailing average adjustment'!N155</f>
        <v>2.2949999999999999</v>
      </c>
      <c r="E92">
        <v>2030</v>
      </c>
      <c r="L92" s="179"/>
      <c r="M92" s="179"/>
      <c r="N92" s="179"/>
      <c r="O92" s="179"/>
      <c r="P92" s="179">
        <f t="shared" ref="P92:Q92" si="20">$D92*((1-(1/((1+P84)^($E92-P$5))))/P84)+(100/((1+P84)^($E92-P$5)))</f>
        <v>100</v>
      </c>
      <c r="Q92" s="179">
        <f t="shared" si="20"/>
        <v>94.529620753646554</v>
      </c>
    </row>
    <row r="93" spans="2:17">
      <c r="B93" t="s">
        <v>192</v>
      </c>
      <c r="D93" s="175">
        <f>'Trailing average adjustment'!O155</f>
        <v>3.12</v>
      </c>
      <c r="E93">
        <v>2031</v>
      </c>
      <c r="L93" s="179"/>
      <c r="M93" s="179"/>
      <c r="N93" s="179"/>
      <c r="O93" s="179"/>
      <c r="P93" s="179"/>
      <c r="Q93" s="179">
        <f>$D93*((1-(1/((1+Q85)^($E93-Q$5))))/Q85)+(100/((1+Q85)^($E93-Q$5)))</f>
        <v>100</v>
      </c>
    </row>
    <row r="95" spans="2:17">
      <c r="B95" s="5" t="s">
        <v>52</v>
      </c>
      <c r="D95" t="s">
        <v>202</v>
      </c>
      <c r="E95" t="s">
        <v>203</v>
      </c>
    </row>
    <row r="97" spans="2:17">
      <c r="B97" s="1" t="s">
        <v>204</v>
      </c>
    </row>
    <row r="98" spans="2:17">
      <c r="B98" t="s">
        <v>179</v>
      </c>
      <c r="E98">
        <v>2026</v>
      </c>
      <c r="L98" s="178">
        <f>INDEX('Yield Curve'!$B$141:$Q$184,MATCH('Trailing average adjustment bnd'!$E98-'Trailing average adjustment bnd'!L$5,'Yield Curve'!$B$141:$B$184,0),MATCH('Trailing average adjustment bnd'!L$5,'Yield Curve'!$B$141:$Q$141,0))/100</f>
        <v>4.9350000000000005E-2</v>
      </c>
      <c r="M98" s="178">
        <f>INDEX('Yield Curve'!$B$141:$Q$184,MATCH('Trailing average adjustment bnd'!$E98-'Trailing average adjustment bnd'!M$5,'Yield Curve'!$B$141:$B$184,0),MATCH('Trailing average adjustment bnd'!M$5,'Yield Curve'!$B$141:$Q$141,0))/100</f>
        <v>4.1100000000000005E-2</v>
      </c>
      <c r="N98" s="178">
        <f>INDEX('Yield Curve'!$B$141:$Q$184,MATCH('Trailing average adjustment bnd'!$E98-'Trailing average adjustment bnd'!N$5,'Yield Curve'!$B$141:$B$184,0),MATCH('Trailing average adjustment bnd'!N$5,'Yield Curve'!$B$141:$Q$141,0))/100</f>
        <v>4.3112500000000005E-2</v>
      </c>
      <c r="O98" s="178">
        <f>INDEX('Yield Curve'!$B$141:$Q$184,MATCH('Trailing average adjustment bnd'!$E98-'Trailing average adjustment bnd'!O$5,'Yield Curve'!$B$141:$B$184,0),MATCH('Trailing average adjustment bnd'!O$5,'Yield Curve'!$B$141:$Q$141,0))/100</f>
        <v>2.6950000000000002E-2</v>
      </c>
      <c r="P98" s="178">
        <f>INDEX('Yield Curve'!$B$141:$Q$184,MATCH('Trailing average adjustment bnd'!$E98-'Trailing average adjustment bnd'!P$5,'Yield Curve'!$B$141:$B$184,0),MATCH('Trailing average adjustment bnd'!P$5,'Yield Curve'!$B$141:$Q$141,0))/100</f>
        <v>1.8249999999999999E-2</v>
      </c>
      <c r="Q98" s="178">
        <f>INDEX('Yield Curve'!$B$48:$Q$91,MATCH('Trailing average adjustment bnd'!$E98-'Trailing average adjustment bnd'!Q$5,'Yield Curve'!$B$48:$B$91,0),MATCH('Trailing average adjustment bnd'!Q$5,'Yield Curve'!$B$48:$Q$48,0))/100</f>
        <v>1.925E-2</v>
      </c>
    </row>
    <row r="99" spans="2:17">
      <c r="B99" t="s">
        <v>180</v>
      </c>
      <c r="E99">
        <v>2027</v>
      </c>
      <c r="L99" s="178">
        <f>INDEX('Yield Curve'!$B$141:$Q$184,MATCH('Trailing average adjustment bnd'!$E99-'Trailing average adjustment bnd'!L$5,'Yield Curve'!$B$141:$B$184,0),MATCH('Trailing average adjustment bnd'!L$5,'Yield Curve'!$B$141:$Q$141,0))/100</f>
        <v>4.9350000000000005E-2</v>
      </c>
      <c r="M99" s="178">
        <f>INDEX('Yield Curve'!$B$141:$Q$184,MATCH('Trailing average adjustment bnd'!$E99-'Trailing average adjustment bnd'!M$5,'Yield Curve'!$B$141:$B$184,0),MATCH('Trailing average adjustment bnd'!M$5,'Yield Curve'!$B$141:$Q$141,0))/100</f>
        <v>4.2200000000000008E-2</v>
      </c>
      <c r="N99" s="178">
        <f>INDEX('Yield Curve'!$B$141:$Q$184,MATCH('Trailing average adjustment bnd'!$E99-'Trailing average adjustment bnd'!N$5,'Yield Curve'!$B$141:$B$184,0),MATCH('Trailing average adjustment bnd'!N$5,'Yield Curve'!$B$141:$Q$141,0))/100</f>
        <v>4.5437499999999999E-2</v>
      </c>
      <c r="O99" s="178">
        <f>INDEX('Yield Curve'!$B$141:$Q$184,MATCH('Trailing average adjustment bnd'!$E99-'Trailing average adjustment bnd'!O$5,'Yield Curve'!$B$141:$B$184,0),MATCH('Trailing average adjustment bnd'!O$5,'Yield Curve'!$B$141:$Q$141,0))/100</f>
        <v>2.785E-2</v>
      </c>
      <c r="P99" s="178">
        <f>INDEX('Yield Curve'!$B$141:$Q$184,MATCH('Trailing average adjustment bnd'!$E99-'Trailing average adjustment bnd'!P$5,'Yield Curve'!$B$141:$B$184,0),MATCH('Trailing average adjustment bnd'!P$5,'Yield Curve'!$B$141:$Q$141,0))/100</f>
        <v>2.1399999999999995E-2</v>
      </c>
      <c r="Q99" s="178">
        <f>INDEX('Yield Curve'!$B$48:$Q$91,MATCH('Trailing average adjustment bnd'!$E99-'Trailing average adjustment bnd'!Q$5,'Yield Curve'!$B$48:$B$91,0),MATCH('Trailing average adjustment bnd'!Q$5,'Yield Curve'!$B$48:$Q$48,0))/100</f>
        <v>2.2775E-2</v>
      </c>
    </row>
    <row r="100" spans="2:17">
      <c r="B100" t="s">
        <v>181</v>
      </c>
      <c r="E100">
        <v>2028</v>
      </c>
      <c r="L100" s="178">
        <f>INDEX('Yield Curve'!$B$141:$Q$184,MATCH('Trailing average adjustment bnd'!$E100-'Trailing average adjustment bnd'!L$5,'Yield Curve'!$B$141:$B$184,0),MATCH('Trailing average adjustment bnd'!L$5,'Yield Curve'!$B$141:$Q$141,0))/100</f>
        <v>4.9350000000000005E-2</v>
      </c>
      <c r="M100" s="178">
        <f>INDEX('Yield Curve'!$B$141:$Q$184,MATCH('Trailing average adjustment bnd'!$E100-'Trailing average adjustment bnd'!M$5,'Yield Curve'!$B$141:$B$184,0),MATCH('Trailing average adjustment bnd'!M$5,'Yield Curve'!$B$141:$Q$141,0))/100</f>
        <v>4.2200000000000008E-2</v>
      </c>
      <c r="N100" s="178">
        <f>INDEX('Yield Curve'!$B$141:$Q$184,MATCH('Trailing average adjustment bnd'!$E100-'Trailing average adjustment bnd'!N$5,'Yield Curve'!$B$141:$B$184,0),MATCH('Trailing average adjustment bnd'!N$5,'Yield Curve'!$B$141:$Q$141,0))/100</f>
        <v>4.6600000000000003E-2</v>
      </c>
      <c r="O100" s="178">
        <f>INDEX('Yield Curve'!$B$141:$Q$184,MATCH('Trailing average adjustment bnd'!$E100-'Trailing average adjustment bnd'!O$5,'Yield Curve'!$B$141:$B$184,0),MATCH('Trailing average adjustment bnd'!O$5,'Yield Curve'!$B$141:$Q$141,0))/100</f>
        <v>2.9649999999999999E-2</v>
      </c>
      <c r="P100" s="178">
        <f>INDEX('Yield Curve'!$B$141:$Q$184,MATCH('Trailing average adjustment bnd'!$E100-'Trailing average adjustment bnd'!P$5,'Yield Curve'!$B$141:$B$184,0),MATCH('Trailing average adjustment bnd'!P$5,'Yield Curve'!$B$141:$Q$141,0))/100</f>
        <v>2.1787500000000001E-2</v>
      </c>
      <c r="Q100" s="178">
        <f>INDEX('Yield Curve'!$B$48:$Q$91,MATCH('Trailing average adjustment bnd'!$E100-'Trailing average adjustment bnd'!Q$5,'Yield Curve'!$B$48:$B$91,0),MATCH('Trailing average adjustment bnd'!Q$5,'Yield Curve'!$B$48:$Q$48,0))/100</f>
        <v>2.63E-2</v>
      </c>
    </row>
    <row r="101" spans="2:17">
      <c r="B101" t="s">
        <v>182</v>
      </c>
      <c r="E101">
        <v>2029</v>
      </c>
      <c r="L101" s="178">
        <f>INDEX('Yield Curve'!$B$141:$Q$184,MATCH('Trailing average adjustment bnd'!$E101-'Trailing average adjustment bnd'!L$5,'Yield Curve'!$B$141:$B$184,0),MATCH('Trailing average adjustment bnd'!L$5,'Yield Curve'!$B$141:$Q$141,0))/100</f>
        <v>4.9350000000000005E-2</v>
      </c>
      <c r="M101" s="178">
        <f>INDEX('Yield Curve'!$B$141:$Q$184,MATCH('Trailing average adjustment bnd'!$E101-'Trailing average adjustment bnd'!M$5,'Yield Curve'!$B$141:$B$184,0),MATCH('Trailing average adjustment bnd'!M$5,'Yield Curve'!$B$141:$Q$141,0))/100</f>
        <v>4.2200000000000008E-2</v>
      </c>
      <c r="N101" s="178">
        <f>INDEX('Yield Curve'!$B$141:$Q$184,MATCH('Trailing average adjustment bnd'!$E101-'Trailing average adjustment bnd'!N$5,'Yield Curve'!$B$141:$B$184,0),MATCH('Trailing average adjustment bnd'!N$5,'Yield Curve'!$B$141:$Q$141,0))/100</f>
        <v>4.6600000000000003E-2</v>
      </c>
      <c r="O101" s="178">
        <f>INDEX('Yield Curve'!$B$141:$Q$184,MATCH('Trailing average adjustment bnd'!$E101-'Trailing average adjustment bnd'!O$5,'Yield Curve'!$B$141:$B$184,0),MATCH('Trailing average adjustment bnd'!O$5,'Yield Curve'!$B$141:$Q$141,0))/100</f>
        <v>3.0549999999999997E-2</v>
      </c>
      <c r="P101" s="178">
        <f>INDEX('Yield Curve'!$B$141:$Q$184,MATCH('Trailing average adjustment bnd'!$E101-'Trailing average adjustment bnd'!P$5,'Yield Curve'!$B$141:$B$184,0),MATCH('Trailing average adjustment bnd'!P$5,'Yield Curve'!$B$141:$Q$141,0))/100</f>
        <v>2.2562499999999996E-2</v>
      </c>
      <c r="Q101" s="178">
        <f>INDEX('Yield Curve'!$B$48:$Q$91,MATCH('Trailing average adjustment bnd'!$E101-'Trailing average adjustment bnd'!Q$5,'Yield Curve'!$B$48:$B$91,0),MATCH('Trailing average adjustment bnd'!Q$5,'Yield Curve'!$B$48:$Q$48,0))/100</f>
        <v>2.7525000000000001E-2</v>
      </c>
    </row>
    <row r="102" spans="2:17">
      <c r="B102" t="s">
        <v>183</v>
      </c>
      <c r="E102">
        <v>2030</v>
      </c>
      <c r="L102" s="178">
        <f>INDEX('Yield Curve'!$B$141:$Q$184,MATCH('Trailing average adjustment bnd'!$E102-'Trailing average adjustment bnd'!L$5,'Yield Curve'!$B$141:$B$184,0),MATCH('Trailing average adjustment bnd'!L$5,'Yield Curve'!$B$141:$Q$141,0))/100</f>
        <v>4.9350000000000005E-2</v>
      </c>
      <c r="M102" s="178">
        <f>INDEX('Yield Curve'!$B$141:$Q$184,MATCH('Trailing average adjustment bnd'!$E102-'Trailing average adjustment bnd'!M$5,'Yield Curve'!$B$141:$B$184,0),MATCH('Trailing average adjustment bnd'!M$5,'Yield Curve'!$B$141:$Q$141,0))/100</f>
        <v>4.2200000000000008E-2</v>
      </c>
      <c r="N102" s="178">
        <f>INDEX('Yield Curve'!$B$141:$Q$184,MATCH('Trailing average adjustment bnd'!$E102-'Trailing average adjustment bnd'!N$5,'Yield Curve'!$B$141:$B$184,0),MATCH('Trailing average adjustment bnd'!N$5,'Yield Curve'!$B$141:$Q$141,0))/100</f>
        <v>4.6600000000000003E-2</v>
      </c>
      <c r="O102" s="178">
        <f>INDEX('Yield Curve'!$B$141:$Q$184,MATCH('Trailing average adjustment bnd'!$E102-'Trailing average adjustment bnd'!O$5,'Yield Curve'!$B$141:$B$184,0),MATCH('Trailing average adjustment bnd'!O$5,'Yield Curve'!$B$141:$Q$141,0))/100</f>
        <v>3.0549999999999997E-2</v>
      </c>
      <c r="P102" s="178">
        <f>INDEX('Yield Curve'!$B$141:$Q$184,MATCH('Trailing average adjustment bnd'!$E102-'Trailing average adjustment bnd'!P$5,'Yield Curve'!$B$141:$B$184,0),MATCH('Trailing average adjustment bnd'!P$5,'Yield Curve'!$B$141:$Q$141,0))/100</f>
        <v>2.2949999999999998E-2</v>
      </c>
      <c r="Q102" s="178">
        <f>INDEX('Yield Curve'!$B$48:$Q$91,MATCH('Trailing average adjustment bnd'!$E102-'Trailing average adjustment bnd'!Q$5,'Yield Curve'!$B$48:$B$91,0),MATCH('Trailing average adjustment bnd'!Q$5,'Yield Curve'!$B$48:$Q$48,0))/100</f>
        <v>2.9974999999999995E-2</v>
      </c>
    </row>
    <row r="103" spans="2:17">
      <c r="B103" t="s">
        <v>192</v>
      </c>
      <c r="E103">
        <v>2031</v>
      </c>
      <c r="L103" s="178">
        <f>INDEX('Yield Curve'!$B$141:$Q$184,MATCH('Trailing average adjustment bnd'!$E103-'Trailing average adjustment bnd'!L$5,'Yield Curve'!$B$141:$B$184,0),MATCH('Trailing average adjustment bnd'!L$5,'Yield Curve'!$B$141:$Q$141,0))/100</f>
        <v>4.9350000000000005E-2</v>
      </c>
      <c r="M103" s="178">
        <f>INDEX('Yield Curve'!$B$141:$Q$184,MATCH('Trailing average adjustment bnd'!$E103-'Trailing average adjustment bnd'!M$5,'Yield Curve'!$B$141:$B$184,0),MATCH('Trailing average adjustment bnd'!M$5,'Yield Curve'!$B$141:$Q$141,0))/100</f>
        <v>4.2200000000000008E-2</v>
      </c>
      <c r="N103" s="178">
        <f>INDEX('Yield Curve'!$B$141:$Q$184,MATCH('Trailing average adjustment bnd'!$E103-'Trailing average adjustment bnd'!N$5,'Yield Curve'!$B$141:$B$184,0),MATCH('Trailing average adjustment bnd'!N$5,'Yield Curve'!$B$141:$Q$141,0))/100</f>
        <v>4.6600000000000003E-2</v>
      </c>
      <c r="O103" s="178">
        <f>INDEX('Yield Curve'!$B$141:$Q$184,MATCH('Trailing average adjustment bnd'!$E103-'Trailing average adjustment bnd'!O$5,'Yield Curve'!$B$141:$B$184,0),MATCH('Trailing average adjustment bnd'!O$5,'Yield Curve'!$B$141:$Q$141,0))/100</f>
        <v>3.0549999999999997E-2</v>
      </c>
      <c r="P103" s="178">
        <f>INDEX('Yield Curve'!$B$141:$Q$184,MATCH('Trailing average adjustment bnd'!$E103-'Trailing average adjustment bnd'!P$5,'Yield Curve'!$B$141:$B$184,0),MATCH('Trailing average adjustment bnd'!P$5,'Yield Curve'!$B$141:$Q$141,0))/100</f>
        <v>2.2949999999999998E-2</v>
      </c>
      <c r="Q103" s="178">
        <f>INDEX('Yield Curve'!$B$48:$Q$91,MATCH('Trailing average adjustment bnd'!$E103-'Trailing average adjustment bnd'!Q$5,'Yield Curve'!$B$48:$B$91,0),MATCH('Trailing average adjustment bnd'!Q$5,'Yield Curve'!$B$48:$Q$48,0))/100</f>
        <v>3.1200000000000002E-2</v>
      </c>
    </row>
    <row r="105" spans="2:17">
      <c r="B105" s="1" t="s">
        <v>6</v>
      </c>
    </row>
    <row r="106" spans="2:17">
      <c r="B106" t="s">
        <v>179</v>
      </c>
      <c r="D106" s="175">
        <f>'Trailing average adjustment'!J192</f>
        <v>4.9350000000000005</v>
      </c>
      <c r="E106">
        <v>2026</v>
      </c>
      <c r="L106" s="179">
        <f>$D106*((1-(1/((1+L98)^($E106-L$5))))/L98)+(100/((1+L98)^($E106-L$5)))</f>
        <v>100</v>
      </c>
      <c r="M106" s="179">
        <f t="shared" ref="M106:Q106" si="21">$D106*((1-(1/((1+M98)^($E106-M$5))))/M98)+(100/((1+M98)^($E106-M$5)))</f>
        <v>106.10351694201469</v>
      </c>
      <c r="N106" s="179">
        <f t="shared" si="21"/>
        <v>104.14609723470608</v>
      </c>
      <c r="O106" s="179">
        <f t="shared" si="21"/>
        <v>114.11766743472336</v>
      </c>
      <c r="P106" s="179">
        <f t="shared" si="21"/>
        <v>117.52380090496341</v>
      </c>
      <c r="Q106" s="179">
        <f t="shared" si="21"/>
        <v>114.21844872408585</v>
      </c>
    </row>
    <row r="107" spans="2:17">
      <c r="B107" t="s">
        <v>180</v>
      </c>
      <c r="D107" s="175">
        <f>'Trailing average adjustment'!K192</f>
        <v>4.2200000000000006</v>
      </c>
      <c r="E107">
        <v>2027</v>
      </c>
      <c r="L107" s="179"/>
      <c r="M107" s="179">
        <f t="shared" ref="M107:Q107" si="22">$D107*((1-(1/((1+M99)^($E107-M$5))))/M99)+(100/((1+M99)^($E107-M$5)))</f>
        <v>100</v>
      </c>
      <c r="N107" s="179">
        <f t="shared" si="22"/>
        <v>97.651359939855922</v>
      </c>
      <c r="O107" s="179">
        <f t="shared" si="22"/>
        <v>110.16524664620316</v>
      </c>
      <c r="P107" s="179">
        <f t="shared" si="22"/>
        <v>113.3895912250731</v>
      </c>
      <c r="Q107" s="179">
        <f t="shared" si="22"/>
        <v>110.77961008683982</v>
      </c>
    </row>
    <row r="108" spans="2:17">
      <c r="B108" t="s">
        <v>181</v>
      </c>
      <c r="D108" s="175">
        <f>'Trailing average adjustment'!L192</f>
        <v>4.66</v>
      </c>
      <c r="E108">
        <v>2028</v>
      </c>
      <c r="L108" s="179"/>
      <c r="M108" s="179"/>
      <c r="N108" s="179">
        <f t="shared" ref="N108:Q108" si="23">$D108*((1-(1/((1+N100)^($E108-N$5))))/N100)+(100/((1+N100)^($E108-N$5)))</f>
        <v>100</v>
      </c>
      <c r="O108" s="179">
        <f t="shared" si="23"/>
        <v>113.2190211381084</v>
      </c>
      <c r="P108" s="179">
        <f t="shared" si="23"/>
        <v>118.03712633123301</v>
      </c>
      <c r="Q108" s="179">
        <f t="shared" si="23"/>
        <v>112.82572617011567</v>
      </c>
    </row>
    <row r="109" spans="2:17">
      <c r="B109" t="s">
        <v>182</v>
      </c>
      <c r="D109" s="175">
        <f>'Trailing average adjustment'!M192</f>
        <v>3.0549999999999997</v>
      </c>
      <c r="E109">
        <v>2029</v>
      </c>
      <c r="L109" s="179"/>
      <c r="M109" s="179"/>
      <c r="N109" s="179"/>
      <c r="O109" s="179">
        <f t="shared" ref="O109:Q109" si="24">$D109*((1-(1/((1+O101)^($E109-O$5))))/O101)+(100/((1+O101)^($E109-O$5)))</f>
        <v>99.999999999999986</v>
      </c>
      <c r="P109" s="179">
        <f t="shared" si="24"/>
        <v>106.44057266333111</v>
      </c>
      <c r="Q109" s="179">
        <f t="shared" si="24"/>
        <v>102.14580259117591</v>
      </c>
    </row>
    <row r="110" spans="2:17">
      <c r="B110" t="s">
        <v>183</v>
      </c>
      <c r="D110" s="175">
        <f>'Trailing average adjustment'!N192</f>
        <v>2.2949999999999999</v>
      </c>
      <c r="E110">
        <v>2030</v>
      </c>
      <c r="L110" s="179"/>
      <c r="M110" s="179"/>
      <c r="N110" s="179"/>
      <c r="O110" s="179"/>
      <c r="P110" s="179">
        <f t="shared" ref="P110:Q110" si="25">$D110*((1-(1/((1+P102)^($E110-P$5))))/P102)+(100/((1+P102)^($E110-P$5)))</f>
        <v>100</v>
      </c>
      <c r="Q110" s="179">
        <f t="shared" si="25"/>
        <v>94.529620753646554</v>
      </c>
    </row>
    <row r="111" spans="2:17">
      <c r="B111" t="s">
        <v>192</v>
      </c>
      <c r="D111" s="175">
        <f>'Trailing average adjustment'!O192</f>
        <v>3.12</v>
      </c>
      <c r="E111">
        <v>2031</v>
      </c>
      <c r="L111" s="179"/>
      <c r="M111" s="179"/>
      <c r="N111" s="179"/>
      <c r="O111" s="179"/>
      <c r="P111" s="179"/>
      <c r="Q111" s="179">
        <f>$D111*((1-(1/((1+Q103)^($E111-Q$5))))/Q103)+(100/((1+Q103)^($E111-Q$5)))</f>
        <v>100</v>
      </c>
    </row>
    <row r="113" spans="2:17">
      <c r="B113" s="5" t="s">
        <v>43</v>
      </c>
      <c r="D113" t="s">
        <v>202</v>
      </c>
      <c r="E113" t="s">
        <v>203</v>
      </c>
    </row>
    <row r="115" spans="2:17">
      <c r="B115" s="1" t="s">
        <v>204</v>
      </c>
    </row>
    <row r="116" spans="2:17">
      <c r="B116" t="s">
        <v>179</v>
      </c>
      <c r="E116">
        <v>2025</v>
      </c>
      <c r="K116" s="178">
        <f>INDEX('Yield Curve'!$B$48:$Q$91,MATCH('Trailing average adjustment bnd'!$E116-'Trailing average adjustment bnd'!K$5,'Yield Curve'!$B$48:$B$91,0),MATCH('Trailing average adjustment bnd'!K$5,'Yield Curve'!$B$48:$Q$48,0))/100</f>
        <v>0.05</v>
      </c>
      <c r="L116" s="178">
        <f>INDEX('Yield Curve'!$B$48:$Q$91,MATCH('Trailing average adjustment bnd'!$E116-'Trailing average adjustment bnd'!L$5,'Yield Curve'!$B$48:$B$91,0),MATCH('Trailing average adjustment bnd'!L$5,'Yield Curve'!$B$48:$Q$48,0))/100</f>
        <v>4.6712500000000004E-2</v>
      </c>
      <c r="M116" s="178">
        <f>INDEX('Yield Curve'!$B$48:$Q$91,MATCH('Trailing average adjustment bnd'!$E116-'Trailing average adjustment bnd'!M$5,'Yield Curve'!$B$48:$B$91,0),MATCH('Trailing average adjustment bnd'!M$5,'Yield Curve'!$B$48:$Q$48,0))/100</f>
        <v>4.0525000000000005E-2</v>
      </c>
      <c r="N116" s="178">
        <f>INDEX('Yield Curve'!$B$48:$Q$91,MATCH('Trailing average adjustment bnd'!$E116-'Trailing average adjustment bnd'!N$5,'Yield Curve'!$B$48:$B$91,0),MATCH('Trailing average adjustment bnd'!N$5,'Yield Curve'!$B$48:$Q$48,0))/100</f>
        <v>4.0350000000000004E-2</v>
      </c>
      <c r="O116" s="178">
        <f>INDEX('Yield Curve'!$B$48:$Q$91,MATCH('Trailing average adjustment bnd'!$E116-'Trailing average adjustment bnd'!O$5,'Yield Curve'!$B$48:$B$91,0),MATCH('Trailing average adjustment bnd'!O$5,'Yield Curve'!$B$48:$Q$48,0))/100</f>
        <v>2.8375000000000004E-2</v>
      </c>
      <c r="P116" s="178">
        <f>INDEX('Yield Curve'!$B$48:$Q$91,MATCH('Trailing average adjustment bnd'!$E116-'Trailing average adjustment bnd'!P$5,'Yield Curve'!$B$48:$B$91,0),MATCH('Trailing average adjustment bnd'!P$5,'Yield Curve'!$B$48:$Q$48,0))/100</f>
        <v>2.495E-2</v>
      </c>
      <c r="Q116" s="178">
        <f>INDEX('Yield Curve'!$B$48:$Q$91,MATCH('Trailing average adjustment bnd'!$E116-'Trailing average adjustment bnd'!Q$5,'Yield Curve'!$B$48:$B$91,0),MATCH('Trailing average adjustment bnd'!Q$5,'Yield Curve'!$B$48:$Q$48,0))/100</f>
        <v>1.6124999999999997E-2</v>
      </c>
    </row>
    <row r="117" spans="2:17">
      <c r="B117" t="s">
        <v>180</v>
      </c>
      <c r="E117">
        <v>2026</v>
      </c>
      <c r="K117" s="178">
        <f>INDEX('Yield Curve'!$B$48:$Q$91,MATCH('Trailing average adjustment bnd'!$E117-'Trailing average adjustment bnd'!K$5,'Yield Curve'!$B$48:$B$91,0),MATCH('Trailing average adjustment bnd'!K$5,'Yield Curve'!$B$48:$Q$48,0))/100</f>
        <v>0.05</v>
      </c>
      <c r="L117" s="178">
        <f>INDEX('Yield Curve'!$B$48:$Q$91,MATCH('Trailing average adjustment bnd'!$E117-'Trailing average adjustment bnd'!L$5,'Yield Curve'!$B$48:$B$91,0),MATCH('Trailing average adjustment bnd'!L$5,'Yield Curve'!$B$48:$Q$48,0))/100</f>
        <v>4.7200000000000006E-2</v>
      </c>
      <c r="M117" s="178">
        <f>INDEX('Yield Curve'!$B$48:$Q$91,MATCH('Trailing average adjustment bnd'!$E117-'Trailing average adjustment bnd'!M$5,'Yield Curve'!$B$48:$B$91,0),MATCH('Trailing average adjustment bnd'!M$5,'Yield Curve'!$B$48:$Q$48,0))/100</f>
        <v>4.2374999999999996E-2</v>
      </c>
      <c r="N117" s="178">
        <f>INDEX('Yield Curve'!$B$48:$Q$91,MATCH('Trailing average adjustment bnd'!$E117-'Trailing average adjustment bnd'!N$5,'Yield Curve'!$B$48:$B$91,0),MATCH('Trailing average adjustment bnd'!N$5,'Yield Curve'!$B$48:$Q$48,0))/100</f>
        <v>4.1487499999999997E-2</v>
      </c>
      <c r="O117" s="178">
        <f>INDEX('Yield Curve'!$B$48:$Q$91,MATCH('Trailing average adjustment bnd'!$E117-'Trailing average adjustment bnd'!O$5,'Yield Curve'!$B$48:$B$91,0),MATCH('Trailing average adjustment bnd'!O$5,'Yield Curve'!$B$48:$Q$48,0))/100</f>
        <v>3.065E-2</v>
      </c>
      <c r="P117" s="178">
        <f>INDEX('Yield Curve'!$B$48:$Q$91,MATCH('Trailing average adjustment bnd'!$E117-'Trailing average adjustment bnd'!P$5,'Yield Curve'!$B$48:$B$91,0),MATCH('Trailing average adjustment bnd'!P$5,'Yield Curve'!$B$48:$Q$48,0))/100</f>
        <v>2.8224999999999997E-2</v>
      </c>
      <c r="Q117" s="178">
        <f>INDEX('Yield Curve'!$B$48:$Q$91,MATCH('Trailing average adjustment bnd'!$E117-'Trailing average adjustment bnd'!Q$5,'Yield Curve'!$B$48:$B$91,0),MATCH('Trailing average adjustment bnd'!Q$5,'Yield Curve'!$B$48:$Q$48,0))/100</f>
        <v>1.925E-2</v>
      </c>
    </row>
    <row r="118" spans="2:17">
      <c r="B118" t="s">
        <v>181</v>
      </c>
      <c r="E118">
        <v>2027</v>
      </c>
      <c r="K118" s="178">
        <f>INDEX('Yield Curve'!$B$48:$Q$91,MATCH('Trailing average adjustment bnd'!$E118-'Trailing average adjustment bnd'!K$5,'Yield Curve'!$B$48:$B$91,0),MATCH('Trailing average adjustment bnd'!K$5,'Yield Curve'!$B$48:$Q$48,0))/100</f>
        <v>0.05</v>
      </c>
      <c r="L118" s="178">
        <f>INDEX('Yield Curve'!$B$48:$Q$91,MATCH('Trailing average adjustment bnd'!$E118-'Trailing average adjustment bnd'!L$5,'Yield Curve'!$B$48:$B$91,0),MATCH('Trailing average adjustment bnd'!L$5,'Yield Curve'!$B$48:$Q$48,0))/100</f>
        <v>4.7200000000000006E-2</v>
      </c>
      <c r="M118" s="178">
        <f>INDEX('Yield Curve'!$B$48:$Q$91,MATCH('Trailing average adjustment bnd'!$E118-'Trailing average adjustment bnd'!M$5,'Yield Curve'!$B$48:$B$91,0),MATCH('Trailing average adjustment bnd'!M$5,'Yield Curve'!$B$48:$Q$48,0))/100</f>
        <v>4.3299999999999998E-2</v>
      </c>
      <c r="N118" s="178">
        <f>INDEX('Yield Curve'!$B$48:$Q$91,MATCH('Trailing average adjustment bnd'!$E118-'Trailing average adjustment bnd'!N$5,'Yield Curve'!$B$48:$B$91,0),MATCH('Trailing average adjustment bnd'!N$5,'Yield Curve'!$B$48:$Q$48,0))/100</f>
        <v>4.376250000000001E-2</v>
      </c>
      <c r="O118" s="178">
        <f>INDEX('Yield Curve'!$B$48:$Q$91,MATCH('Trailing average adjustment bnd'!$E118-'Trailing average adjustment bnd'!O$5,'Yield Curve'!$B$48:$B$91,0),MATCH('Trailing average adjustment bnd'!O$5,'Yield Curve'!$B$48:$Q$48,0))/100</f>
        <v>3.1862500000000002E-2</v>
      </c>
      <c r="P118" s="178">
        <f>INDEX('Yield Curve'!$B$48:$Q$91,MATCH('Trailing average adjustment bnd'!$E118-'Trailing average adjustment bnd'!P$5,'Yield Curve'!$B$48:$B$91,0),MATCH('Trailing average adjustment bnd'!P$5,'Yield Curve'!$B$48:$Q$48,0))/100</f>
        <v>3.15E-2</v>
      </c>
      <c r="Q118" s="178">
        <f>INDEX('Yield Curve'!$B$48:$Q$91,MATCH('Trailing average adjustment bnd'!$E118-'Trailing average adjustment bnd'!Q$5,'Yield Curve'!$B$48:$B$91,0),MATCH('Trailing average adjustment bnd'!Q$5,'Yield Curve'!$B$48:$Q$48,0))/100</f>
        <v>2.2775E-2</v>
      </c>
    </row>
    <row r="119" spans="2:17">
      <c r="B119" t="s">
        <v>182</v>
      </c>
      <c r="E119">
        <v>2028</v>
      </c>
      <c r="K119" s="178">
        <f>INDEX('Yield Curve'!$B$48:$Q$91,MATCH('Trailing average adjustment bnd'!$E119-'Trailing average adjustment bnd'!K$5,'Yield Curve'!$B$48:$B$91,0),MATCH('Trailing average adjustment bnd'!K$5,'Yield Curve'!$B$48:$Q$48,0))/100</f>
        <v>0.05</v>
      </c>
      <c r="L119" s="178">
        <f>INDEX('Yield Curve'!$B$48:$Q$91,MATCH('Trailing average adjustment bnd'!$E119-'Trailing average adjustment bnd'!L$5,'Yield Curve'!$B$48:$B$91,0),MATCH('Trailing average adjustment bnd'!L$5,'Yield Curve'!$B$48:$Q$48,0))/100</f>
        <v>4.7200000000000006E-2</v>
      </c>
      <c r="M119" s="178">
        <f>INDEX('Yield Curve'!$B$48:$Q$91,MATCH('Trailing average adjustment bnd'!$E119-'Trailing average adjustment bnd'!M$5,'Yield Curve'!$B$48:$B$91,0),MATCH('Trailing average adjustment bnd'!M$5,'Yield Curve'!$B$48:$Q$48,0))/100</f>
        <v>4.3299999999999998E-2</v>
      </c>
      <c r="N119" s="178">
        <f>INDEX('Yield Curve'!$B$48:$Q$91,MATCH('Trailing average adjustment bnd'!$E119-'Trailing average adjustment bnd'!N$5,'Yield Curve'!$B$48:$B$91,0),MATCH('Trailing average adjustment bnd'!N$5,'Yield Curve'!$B$48:$Q$48,0))/100</f>
        <v>4.4900000000000002E-2</v>
      </c>
      <c r="O119" s="178">
        <f>INDEX('Yield Curve'!$B$48:$Q$91,MATCH('Trailing average adjustment bnd'!$E119-'Trailing average adjustment bnd'!O$5,'Yield Curve'!$B$48:$B$91,0),MATCH('Trailing average adjustment bnd'!O$5,'Yield Curve'!$B$48:$Q$48,0))/100</f>
        <v>3.4287499999999999E-2</v>
      </c>
      <c r="P119" s="178">
        <f>INDEX('Yield Curve'!$B$48:$Q$91,MATCH('Trailing average adjustment bnd'!$E119-'Trailing average adjustment bnd'!P$5,'Yield Curve'!$B$48:$B$91,0),MATCH('Trailing average adjustment bnd'!P$5,'Yield Curve'!$B$48:$Q$48,0))/100</f>
        <v>3.2249999999999994E-2</v>
      </c>
      <c r="Q119" s="178">
        <f>INDEX('Yield Curve'!$B$48:$Q$91,MATCH('Trailing average adjustment bnd'!$E119-'Trailing average adjustment bnd'!Q$5,'Yield Curve'!$B$48:$B$91,0),MATCH('Trailing average adjustment bnd'!Q$5,'Yield Curve'!$B$48:$Q$48,0))/100</f>
        <v>2.63E-2</v>
      </c>
    </row>
    <row r="120" spans="2:17">
      <c r="B120" t="s">
        <v>183</v>
      </c>
      <c r="E120">
        <v>2029</v>
      </c>
      <c r="K120" s="178">
        <f>INDEX('Yield Curve'!$B$48:$Q$91,MATCH('Trailing average adjustment bnd'!$E120-'Trailing average adjustment bnd'!K$5,'Yield Curve'!$B$48:$B$91,0),MATCH('Trailing average adjustment bnd'!K$5,'Yield Curve'!$B$48:$Q$48,0))/100</f>
        <v>0.05</v>
      </c>
      <c r="L120" s="178">
        <f>INDEX('Yield Curve'!$B$48:$Q$91,MATCH('Trailing average adjustment bnd'!$E120-'Trailing average adjustment bnd'!L$5,'Yield Curve'!$B$48:$B$91,0),MATCH('Trailing average adjustment bnd'!L$5,'Yield Curve'!$B$48:$Q$48,0))/100</f>
        <v>4.7200000000000006E-2</v>
      </c>
      <c r="M120" s="178">
        <f>INDEX('Yield Curve'!$B$48:$Q$91,MATCH('Trailing average adjustment bnd'!$E120-'Trailing average adjustment bnd'!M$5,'Yield Curve'!$B$48:$B$91,0),MATCH('Trailing average adjustment bnd'!M$5,'Yield Curve'!$B$48:$Q$48,0))/100</f>
        <v>4.3299999999999998E-2</v>
      </c>
      <c r="N120" s="178">
        <f>INDEX('Yield Curve'!$B$48:$Q$91,MATCH('Trailing average adjustment bnd'!$E120-'Trailing average adjustment bnd'!N$5,'Yield Curve'!$B$48:$B$91,0),MATCH('Trailing average adjustment bnd'!N$5,'Yield Curve'!$B$48:$Q$48,0))/100</f>
        <v>4.4900000000000002E-2</v>
      </c>
      <c r="O120" s="178">
        <f>INDEX('Yield Curve'!$B$48:$Q$91,MATCH('Trailing average adjustment bnd'!$E120-'Trailing average adjustment bnd'!O$5,'Yield Curve'!$B$48:$B$91,0),MATCH('Trailing average adjustment bnd'!O$5,'Yield Curve'!$B$48:$Q$48,0))/100</f>
        <v>3.5499999999999997E-2</v>
      </c>
      <c r="P120" s="178">
        <f>INDEX('Yield Curve'!$B$48:$Q$91,MATCH('Trailing average adjustment bnd'!$E120-'Trailing average adjustment bnd'!P$5,'Yield Curve'!$B$48:$B$91,0),MATCH('Trailing average adjustment bnd'!P$5,'Yield Curve'!$B$48:$Q$48,0))/100</f>
        <v>3.3750000000000002E-2</v>
      </c>
      <c r="Q120" s="178">
        <f>INDEX('Yield Curve'!$B$48:$Q$91,MATCH('Trailing average adjustment bnd'!$E120-'Trailing average adjustment bnd'!Q$5,'Yield Curve'!$B$48:$B$91,0),MATCH('Trailing average adjustment bnd'!Q$5,'Yield Curve'!$B$48:$Q$48,0))/100</f>
        <v>2.7525000000000001E-2</v>
      </c>
    </row>
    <row r="121" spans="2:17">
      <c r="B121" t="s">
        <v>192</v>
      </c>
      <c r="E121">
        <v>2030</v>
      </c>
      <c r="K121" s="178">
        <f>INDEX('Yield Curve'!$B$48:$Q$91,MATCH('Trailing average adjustment bnd'!$E121-'Trailing average adjustment bnd'!K$5,'Yield Curve'!$B$48:$B$91,0),MATCH('Trailing average adjustment bnd'!K$5,'Yield Curve'!$B$48:$Q$48,0))/100</f>
        <v>0.05</v>
      </c>
      <c r="L121" s="178">
        <f>INDEX('Yield Curve'!$B$48:$Q$91,MATCH('Trailing average adjustment bnd'!$E121-'Trailing average adjustment bnd'!L$5,'Yield Curve'!$B$48:$B$91,0),MATCH('Trailing average adjustment bnd'!L$5,'Yield Curve'!$B$48:$Q$48,0))/100</f>
        <v>4.7200000000000006E-2</v>
      </c>
      <c r="M121" s="178">
        <f>INDEX('Yield Curve'!$B$48:$Q$91,MATCH('Trailing average adjustment bnd'!$E121-'Trailing average adjustment bnd'!M$5,'Yield Curve'!$B$48:$B$91,0),MATCH('Trailing average adjustment bnd'!M$5,'Yield Curve'!$B$48:$Q$48,0))/100</f>
        <v>4.3299999999999998E-2</v>
      </c>
      <c r="N121" s="178">
        <f>INDEX('Yield Curve'!$B$48:$Q$91,MATCH('Trailing average adjustment bnd'!$E121-'Trailing average adjustment bnd'!N$5,'Yield Curve'!$B$48:$B$91,0),MATCH('Trailing average adjustment bnd'!N$5,'Yield Curve'!$B$48:$Q$48,0))/100</f>
        <v>4.4900000000000002E-2</v>
      </c>
      <c r="O121" s="178">
        <f>INDEX('Yield Curve'!$B$48:$Q$91,MATCH('Trailing average adjustment bnd'!$E121-'Trailing average adjustment bnd'!O$5,'Yield Curve'!$B$48:$B$91,0),MATCH('Trailing average adjustment bnd'!O$5,'Yield Curve'!$B$48:$Q$48,0))/100</f>
        <v>3.5499999999999997E-2</v>
      </c>
      <c r="P121" s="178">
        <f>INDEX('Yield Curve'!$B$48:$Q$91,MATCH('Trailing average adjustment bnd'!$E121-'Trailing average adjustment bnd'!P$5,'Yield Curve'!$B$48:$B$91,0),MATCH('Trailing average adjustment bnd'!P$5,'Yield Curve'!$B$48:$Q$48,0))/100</f>
        <v>3.4500000000000003E-2</v>
      </c>
      <c r="Q121" s="178">
        <f>INDEX('Yield Curve'!$B$48:$Q$91,MATCH('Trailing average adjustment bnd'!$E121-'Trailing average adjustment bnd'!Q$5,'Yield Curve'!$B$48:$B$91,0),MATCH('Trailing average adjustment bnd'!Q$5,'Yield Curve'!$B$48:$Q$48,0))/100</f>
        <v>2.9974999999999995E-2</v>
      </c>
    </row>
    <row r="122" spans="2:17">
      <c r="B122" t="s">
        <v>193</v>
      </c>
      <c r="E122">
        <v>2031</v>
      </c>
      <c r="K122" s="178">
        <f>INDEX('Yield Curve'!$B$48:$Q$91,MATCH('Trailing average adjustment bnd'!$E122-'Trailing average adjustment bnd'!K$5,'Yield Curve'!$B$48:$B$91,0),MATCH('Trailing average adjustment bnd'!K$5,'Yield Curve'!$B$48:$Q$48,0))/100</f>
        <v>0.05</v>
      </c>
      <c r="L122" s="178">
        <f>INDEX('Yield Curve'!$B$48:$Q$91,MATCH('Trailing average adjustment bnd'!$E122-'Trailing average adjustment bnd'!L$5,'Yield Curve'!$B$48:$B$91,0),MATCH('Trailing average adjustment bnd'!L$5,'Yield Curve'!$B$48:$Q$48,0))/100</f>
        <v>4.7200000000000006E-2</v>
      </c>
      <c r="M122" s="178">
        <f>INDEX('Yield Curve'!$B$48:$Q$91,MATCH('Trailing average adjustment bnd'!$E122-'Trailing average adjustment bnd'!M$5,'Yield Curve'!$B$48:$B$91,0),MATCH('Trailing average adjustment bnd'!M$5,'Yield Curve'!$B$48:$Q$48,0))/100</f>
        <v>4.3299999999999998E-2</v>
      </c>
      <c r="N122" s="178">
        <f>INDEX('Yield Curve'!$B$48:$Q$91,MATCH('Trailing average adjustment bnd'!$E122-'Trailing average adjustment bnd'!N$5,'Yield Curve'!$B$48:$B$91,0),MATCH('Trailing average adjustment bnd'!N$5,'Yield Curve'!$B$48:$Q$48,0))/100</f>
        <v>4.4900000000000002E-2</v>
      </c>
      <c r="O122" s="178">
        <f>INDEX('Yield Curve'!$B$48:$Q$91,MATCH('Trailing average adjustment bnd'!$E122-'Trailing average adjustment bnd'!O$5,'Yield Curve'!$B$48:$B$91,0),MATCH('Trailing average adjustment bnd'!O$5,'Yield Curve'!$B$48:$Q$48,0))/100</f>
        <v>3.5499999999999997E-2</v>
      </c>
      <c r="P122" s="178">
        <f>INDEX('Yield Curve'!$B$48:$Q$91,MATCH('Trailing average adjustment bnd'!$E122-'Trailing average adjustment bnd'!P$5,'Yield Curve'!$B$48:$B$91,0),MATCH('Trailing average adjustment bnd'!P$5,'Yield Curve'!$B$48:$Q$48,0))/100</f>
        <v>3.4500000000000003E-2</v>
      </c>
      <c r="Q122" s="178">
        <f>INDEX('Yield Curve'!$B$48:$Q$91,MATCH('Trailing average adjustment bnd'!$E122-'Trailing average adjustment bnd'!Q$5,'Yield Curve'!$B$48:$B$91,0),MATCH('Trailing average adjustment bnd'!Q$5,'Yield Curve'!$B$48:$Q$48,0))/100</f>
        <v>3.1200000000000002E-2</v>
      </c>
    </row>
    <row r="124" spans="2:17">
      <c r="B124" s="1" t="s">
        <v>6</v>
      </c>
    </row>
    <row r="125" spans="2:17">
      <c r="B125" t="s">
        <v>179</v>
      </c>
      <c r="D125" s="175">
        <f>'Trailing average adjustment'!I229</f>
        <v>5</v>
      </c>
      <c r="E125">
        <v>2025</v>
      </c>
      <c r="K125" s="179">
        <f>$D125*((1-(1/((1+K116)^($E125-K$5))))/K116)+(100/((1+K116)^($E125-K$5)))</f>
        <v>100</v>
      </c>
      <c r="L125" s="179">
        <f t="shared" ref="L125:Q125" si="26">$D125*((1-(1/((1+L116)^($E125-L$5))))/L116)+(100/((1+L116)^($E125-L$5)))</f>
        <v>102.3712879096133</v>
      </c>
      <c r="M125" s="179">
        <f t="shared" si="26"/>
        <v>106.36546906809249</v>
      </c>
      <c r="N125" s="179">
        <f t="shared" si="26"/>
        <v>105.78449867152749</v>
      </c>
      <c r="O125" s="179">
        <f t="shared" si="26"/>
        <v>111.77803365699542</v>
      </c>
      <c r="P125" s="179">
        <f t="shared" si="26"/>
        <v>111.63947563488993</v>
      </c>
      <c r="Q125" s="179">
        <f t="shared" si="26"/>
        <v>113.02089710248143</v>
      </c>
    </row>
    <row r="126" spans="2:17">
      <c r="B126" t="s">
        <v>180</v>
      </c>
      <c r="D126" s="175">
        <f>'Trailing average adjustment'!J229</f>
        <v>4.7200000000000006</v>
      </c>
      <c r="E126">
        <v>2026</v>
      </c>
      <c r="K126" s="179"/>
      <c r="L126" s="179">
        <f t="shared" ref="L126:Q126" si="27">$D126*((1-(1/((1+L117)^($E126-L$5))))/L117)+(100/((1+L117)^($E126-L$5)))</f>
        <v>100</v>
      </c>
      <c r="M126" s="179">
        <f t="shared" si="27"/>
        <v>103.54903587037876</v>
      </c>
      <c r="N126" s="179">
        <f t="shared" si="27"/>
        <v>103.8225663826282</v>
      </c>
      <c r="O126" s="179">
        <f t="shared" si="27"/>
        <v>110.28590605455204</v>
      </c>
      <c r="P126" s="179">
        <f t="shared" si="27"/>
        <v>110.3398689654741</v>
      </c>
      <c r="Q126" s="179">
        <f t="shared" si="27"/>
        <v>113.202845243794</v>
      </c>
    </row>
    <row r="127" spans="2:17">
      <c r="B127" t="s">
        <v>181</v>
      </c>
      <c r="D127" s="175">
        <f>'Trailing average adjustment'!K229</f>
        <v>4.33</v>
      </c>
      <c r="E127">
        <v>2027</v>
      </c>
      <c r="K127" s="179"/>
      <c r="L127" s="179"/>
      <c r="M127" s="179">
        <f t="shared" ref="M127:Q127" si="28">$D127*((1-(1/((1+M118)^($E127-M$5))))/M118)+(100/((1+M118)^($E127-M$5)))</f>
        <v>100</v>
      </c>
      <c r="N127" s="179">
        <f t="shared" si="28"/>
        <v>99.661936486693577</v>
      </c>
      <c r="O127" s="179">
        <f t="shared" si="28"/>
        <v>107.96606428426277</v>
      </c>
      <c r="P127" s="179">
        <f t="shared" si="28"/>
        <v>107.31035141671347</v>
      </c>
      <c r="Q127" s="179">
        <f t="shared" si="28"/>
        <v>111.39003845726576</v>
      </c>
    </row>
    <row r="128" spans="2:17">
      <c r="B128" t="s">
        <v>182</v>
      </c>
      <c r="D128" s="175">
        <f>'Trailing average adjustment'!L229</f>
        <v>4.49</v>
      </c>
      <c r="E128">
        <v>2028</v>
      </c>
      <c r="K128" s="179"/>
      <c r="L128" s="179"/>
      <c r="M128" s="179"/>
      <c r="N128" s="179">
        <f t="shared" ref="N128:Q128" si="29">$D128*((1-(1/((1+N119)^($E128-N$5))))/N119)+(100/((1+N119)^($E128-N$5)))</f>
        <v>100</v>
      </c>
      <c r="O128" s="179">
        <f t="shared" si="29"/>
        <v>108.10023994952334</v>
      </c>
      <c r="P128" s="179">
        <f t="shared" si="29"/>
        <v>108.79622701389833</v>
      </c>
      <c r="Q128" s="179">
        <f t="shared" si="29"/>
        <v>111.75165057951486</v>
      </c>
    </row>
    <row r="129" spans="2:17">
      <c r="B129" t="s">
        <v>183</v>
      </c>
      <c r="D129" s="175">
        <f>'Trailing average adjustment'!M229</f>
        <v>3.55</v>
      </c>
      <c r="E129">
        <v>2029</v>
      </c>
      <c r="K129" s="179"/>
      <c r="L129" s="179"/>
      <c r="M129" s="179"/>
      <c r="N129" s="179"/>
      <c r="O129" s="179">
        <f t="shared" ref="O129:Q129" si="30">$D129*((1-(1/((1+O120)^($E129-O$5))))/O120)+(100/((1+O120)^($E129-O$5)))</f>
        <v>100</v>
      </c>
      <c r="P129" s="179">
        <f t="shared" si="30"/>
        <v>101.33904979115441</v>
      </c>
      <c r="Q129" s="179">
        <f t="shared" si="30"/>
        <v>105.65711592219104</v>
      </c>
    </row>
    <row r="130" spans="2:17">
      <c r="B130" t="s">
        <v>192</v>
      </c>
      <c r="D130" s="175">
        <f>'Trailing average adjustment'!N229</f>
        <v>3.45</v>
      </c>
      <c r="E130">
        <v>2030</v>
      </c>
      <c r="K130" s="179"/>
      <c r="L130" s="179"/>
      <c r="M130" s="179"/>
      <c r="N130" s="179"/>
      <c r="O130" s="179"/>
      <c r="P130" s="179">
        <f t="shared" ref="P130:Q130" si="31">$D130*((1-(1/((1+P121)^($E130-P$5))))/P121)+(100/((1+P121)^($E130-P$5)))</f>
        <v>100</v>
      </c>
      <c r="Q130" s="179">
        <f t="shared" si="31"/>
        <v>103.5236250661565</v>
      </c>
    </row>
    <row r="131" spans="2:17">
      <c r="B131" t="s">
        <v>193</v>
      </c>
      <c r="D131" s="175">
        <f>'Trailing average adjustment'!O229</f>
        <v>3.12</v>
      </c>
      <c r="E131">
        <v>2031</v>
      </c>
      <c r="K131" s="179"/>
      <c r="L131" s="179"/>
      <c r="M131" s="179"/>
      <c r="N131" s="179"/>
      <c r="O131" s="179"/>
      <c r="P131" s="179"/>
      <c r="Q131" s="179">
        <f t="shared" ref="Q131" si="32">$D131*((1-(1/((1+Q122)^($E131-Q$5))))/Q122)+(100/((1+Q122)^($E131-Q$5)))</f>
        <v>100</v>
      </c>
    </row>
  </sheetData>
  <phoneticPr fontId="17"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FBD8FD-3D42-4A4B-A11E-FD6785800AE8}">
  <sheetPr>
    <tabColor theme="2"/>
  </sheetPr>
  <dimension ref="A1:BB835"/>
  <sheetViews>
    <sheetView showGridLines="0" zoomScaleNormal="100" workbookViewId="0"/>
  </sheetViews>
  <sheetFormatPr defaultRowHeight="14.25"/>
  <cols>
    <col min="2" max="2" width="14.83203125" customWidth="1"/>
    <col min="3" max="3" width="31.75" customWidth="1"/>
    <col min="4" max="4" width="17.33203125" bestFit="1" customWidth="1"/>
    <col min="5" max="5" width="15.58203125" bestFit="1" customWidth="1"/>
    <col min="6" max="15" width="17.33203125" bestFit="1" customWidth="1"/>
    <col min="16" max="42" width="9.83203125" bestFit="1" customWidth="1"/>
  </cols>
  <sheetData>
    <row r="1" spans="1:33" ht="20" thickBot="1">
      <c r="A1" s="32" t="s">
        <v>207</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row>
    <row r="2" spans="1:33" ht="15" thickTop="1"/>
    <row r="3" spans="1:33" ht="17.5" thickBot="1">
      <c r="B3" s="136" t="s">
        <v>208</v>
      </c>
      <c r="C3" s="136"/>
    </row>
    <row r="4" spans="1:33" ht="15" thickTop="1"/>
    <row r="5" spans="1:33" ht="15" thickBot="1">
      <c r="B5" s="137" t="s">
        <v>43</v>
      </c>
      <c r="D5" s="27"/>
      <c r="E5" s="27"/>
      <c r="F5" s="27"/>
      <c r="G5" s="27"/>
      <c r="H5" s="27"/>
      <c r="I5" s="27"/>
      <c r="J5" s="27"/>
      <c r="K5" s="27"/>
      <c r="L5" s="27"/>
      <c r="M5" s="27"/>
      <c r="N5" s="27"/>
      <c r="O5" s="27"/>
      <c r="P5" s="27"/>
      <c r="Q5" s="27"/>
      <c r="R5" s="27"/>
      <c r="S5" s="27"/>
      <c r="T5" s="27"/>
      <c r="U5" s="27"/>
      <c r="V5" s="27"/>
      <c r="W5" s="27"/>
      <c r="X5" s="27"/>
      <c r="Y5" s="27"/>
    </row>
    <row r="7" spans="1:33">
      <c r="B7" s="5" t="str">
        <f>'Transgrid Bonds'!A50</f>
        <v>32010020012</v>
      </c>
    </row>
    <row r="8" spans="1:33">
      <c r="B8" t="s">
        <v>66</v>
      </c>
      <c r="D8" s="180">
        <f>VLOOKUP(B7,'Transgrid Bonds'!$A$49:$K$54,4,FALSE)</f>
        <v>42964</v>
      </c>
      <c r="E8" s="180">
        <f>VLOOKUP(B7,'Transgrid Bonds'!$A$49:$K$54,10,FALSE)</f>
        <v>43329</v>
      </c>
      <c r="F8" s="180">
        <f>IF(E8+VLOOKUP($B7,'Transgrid Bonds'!$A$49:$K$54,9,FALSE)*365 &lt; VLOOKUP($B7,'Transgrid Bonds'!$A$49:$K$54,5,FALSE), E8+VLOOKUP($B7,'Transgrid Bonds'!$A$49:$K$54,9,FALSE)*365, VLOOKUP($B7,'Transgrid Bonds'!$A$49:$K$54,5,FALSE))</f>
        <v>43694</v>
      </c>
      <c r="G8" s="180">
        <f>IF(F8+VLOOKUP($B7,'Transgrid Bonds'!$A$49:$K$54,9,FALSE)*365 &lt; VLOOKUP($B7,'Transgrid Bonds'!$A$49:$K$54,5,FALSE), F8+VLOOKUP($B7,'Transgrid Bonds'!$A$49:$K$54,9,FALSE)*365, VLOOKUP($B7,'Transgrid Bonds'!$A$49:$K$54,5,FALSE))</f>
        <v>44059</v>
      </c>
      <c r="H8" s="180">
        <f>IF(G8+VLOOKUP($B7,'Transgrid Bonds'!$A$49:$K$54,9,FALSE)*365 &lt; VLOOKUP($B7,'Transgrid Bonds'!$A$49:$K$54,5,FALSE), G8+VLOOKUP($B7,'Transgrid Bonds'!$A$49:$K$54,9,FALSE)*365, VLOOKUP($B7,'Transgrid Bonds'!$A$49:$K$54,5,FALSE))</f>
        <v>44424</v>
      </c>
      <c r="I8" s="180">
        <f>IF(H8+VLOOKUP($B7,'Transgrid Bonds'!$A$49:$K$54,9,FALSE)*365 &lt; VLOOKUP($B7,'Transgrid Bonds'!$A$49:$K$54,5,FALSE), H8+VLOOKUP($B7,'Transgrid Bonds'!$A$49:$K$54,9,FALSE)*365, VLOOKUP($B7,'Transgrid Bonds'!$A$49:$K$54,5,FALSE))</f>
        <v>44789</v>
      </c>
      <c r="J8" s="180">
        <f>IF(I8+VLOOKUP($B7,'Transgrid Bonds'!$A$49:$K$54,9,FALSE)*365 &lt; VLOOKUP($B7,'Transgrid Bonds'!$A$49:$K$54,5,FALSE), I8+VLOOKUP($B7,'Transgrid Bonds'!$A$49:$K$54,9,FALSE)*365, VLOOKUP($B7,'Transgrid Bonds'!$A$49:$K$54,5,FALSE))</f>
        <v>45154</v>
      </c>
      <c r="K8" s="180">
        <f>IF(J8+VLOOKUP($B7,'Transgrid Bonds'!$A$49:$K$54,9,FALSE)*365 &lt; VLOOKUP($B7,'Transgrid Bonds'!$A$49:$K$54,5,FALSE), J8+VLOOKUP($B7,'Transgrid Bonds'!$A$49:$K$54,9,FALSE)*365, VLOOKUP($B7,'Transgrid Bonds'!$A$49:$K$54,5,FALSE))</f>
        <v>45519</v>
      </c>
      <c r="L8" s="180">
        <f>IF(K8+VLOOKUP($B7,'Transgrid Bonds'!$A$49:$K$54,9,FALSE)*365 &lt; VLOOKUP($B7,'Transgrid Bonds'!$A$49:$K$54,5,FALSE), K8+VLOOKUP($B7,'Transgrid Bonds'!$A$49:$K$54,9,FALSE)*365, VLOOKUP($B7,'Transgrid Bonds'!$A$49:$K$54,5,FALSE))</f>
        <v>45884</v>
      </c>
      <c r="M8" s="180">
        <f>IF(L8+VLOOKUP($B7,'Transgrid Bonds'!$A$49:$K$54,9,FALSE)*365 &lt; VLOOKUP($B7,'Transgrid Bonds'!$A$49:$K$54,5,FALSE), L8+VLOOKUP($B7,'Transgrid Bonds'!$A$49:$K$54,9,FALSE)*365, VLOOKUP($B7,'Transgrid Bonds'!$A$49:$K$54,5,FALSE))</f>
        <v>46249</v>
      </c>
      <c r="N8" s="180">
        <f>IF(M8+VLOOKUP($B7,'Transgrid Bonds'!$A$49:$K$54,9,FALSE)*365 &lt; VLOOKUP($B7,'Transgrid Bonds'!$A$49:$K$54,5,FALSE), M8+VLOOKUP($B7,'Transgrid Bonds'!$A$49:$K$54,9,FALSE)*365, VLOOKUP($B7,'Transgrid Bonds'!$A$49:$K$54,5,FALSE))</f>
        <v>46614</v>
      </c>
      <c r="O8" s="180">
        <f>IF(N8+VLOOKUP($B7,'Transgrid Bonds'!$A$49:$K$54,9,FALSE)*365 &lt; VLOOKUP($B7,'Transgrid Bonds'!$A$49:$K$54,5,FALSE), N8+VLOOKUP($B7,'Transgrid Bonds'!$A$49:$K$54,9,FALSE)*365, VLOOKUP($B7,'Transgrid Bonds'!$A$49:$K$54,5,FALSE))</f>
        <v>46979</v>
      </c>
      <c r="P8" s="180">
        <f>IF(O8+VLOOKUP($B7,'Transgrid Bonds'!$A$49:$K$54,9,FALSE)*365 &lt; VLOOKUP($B7,'Transgrid Bonds'!$A$49:$K$54,5,FALSE), O8+VLOOKUP($B7,'Transgrid Bonds'!$A$49:$K$54,9,FALSE)*365, VLOOKUP($B7,'Transgrid Bonds'!$A$49:$K$54,5,FALSE))</f>
        <v>47344</v>
      </c>
      <c r="Q8" s="180">
        <f>IF(P8+VLOOKUP($B7,'Transgrid Bonds'!$A$49:$K$54,9,FALSE)*365 &lt; VLOOKUP($B7,'Transgrid Bonds'!$A$49:$K$54,5,FALSE), P8+VLOOKUP($B7,'Transgrid Bonds'!$A$49:$K$54,9,FALSE)*365, VLOOKUP($B7,'Transgrid Bonds'!$A$49:$K$54,5,FALSE))</f>
        <v>47709</v>
      </c>
      <c r="R8" s="180">
        <f>IF(Q8+VLOOKUP($B7,'Transgrid Bonds'!$A$49:$K$54,9,FALSE)*365 &lt; VLOOKUP($B7,'Transgrid Bonds'!$A$49:$K$54,5,FALSE), Q8+VLOOKUP($B7,'Transgrid Bonds'!$A$49:$K$54,9,FALSE)*365, VLOOKUP($B7,'Transgrid Bonds'!$A$49:$K$54,5,FALSE))</f>
        <v>48074</v>
      </c>
      <c r="S8" s="180">
        <f>IF(R8+VLOOKUP($B7,'Transgrid Bonds'!$A$49:$K$54,9,FALSE)*365 &lt; VLOOKUP($B7,'Transgrid Bonds'!$A$49:$K$54,5,FALSE), R8+VLOOKUP($B7,'Transgrid Bonds'!$A$49:$K$54,9,FALSE)*365, VLOOKUP($B7,'Transgrid Bonds'!$A$49:$K$54,5,FALSE))</f>
        <v>48439</v>
      </c>
      <c r="T8" s="180">
        <f>IF(S8+VLOOKUP($B7,'Transgrid Bonds'!$A$49:$K$54,9,FALSE)*365 &lt; VLOOKUP($B7,'Transgrid Bonds'!$A$49:$K$54,5,FALSE), S8+VLOOKUP($B7,'Transgrid Bonds'!$A$49:$K$54,9,FALSE)*365, VLOOKUP($B7,'Transgrid Bonds'!$A$49:$K$54,5,FALSE))</f>
        <v>48804</v>
      </c>
      <c r="U8" s="180">
        <f>IF(T8+VLOOKUP($B7,'Transgrid Bonds'!$A$49:$K$54,9,FALSE)*365 &lt; VLOOKUP($B7,'Transgrid Bonds'!$A$49:$K$54,5,FALSE), T8+VLOOKUP($B7,'Transgrid Bonds'!$A$49:$K$54,9,FALSE)*365, VLOOKUP($B7,'Transgrid Bonds'!$A$49:$K$54,5,FALSE))</f>
        <v>49169</v>
      </c>
      <c r="V8" s="180">
        <f>IF(U8+VLOOKUP($B7,'Transgrid Bonds'!$A$49:$K$54,9,FALSE)*365 &lt; VLOOKUP($B7,'Transgrid Bonds'!$A$49:$K$54,5,FALSE), U8+VLOOKUP($B7,'Transgrid Bonds'!$A$49:$K$54,9,FALSE)*365, VLOOKUP($B7,'Transgrid Bonds'!$A$49:$K$54,5,FALSE))</f>
        <v>49173</v>
      </c>
    </row>
    <row r="9" spans="1:33">
      <c r="B9" t="s">
        <v>209</v>
      </c>
      <c r="E9" s="181">
        <f>IF(E8&lt;VLOOKUP($B7,'Transgrid Bonds'!$A$49:$K$54,5,FALSE),(VLOOKUP($B7,'Transgrid Bonds'!$A$49:$K$54,8,FALSE)/100)*(VLOOKUP($B7,'Transgrid Bonds'!$A$49:$K$54,9,FALSE))*(VLOOKUP($B7,'Transgrid Bonds'!$A$49:$K$54,6,FALSE)),(VLOOKUP($B7,'Transgrid Bonds'!$A$49:$K$54,6,FALSE)))</f>
        <v>1.3</v>
      </c>
      <c r="F9" s="181">
        <f>IF(F8&lt;VLOOKUP($B7,'Transgrid Bonds'!$A$49:$K$54,5,FALSE),(VLOOKUP($B7,'Transgrid Bonds'!$A$49:$K$54,8,FALSE)/100)*(VLOOKUP($B7,'Transgrid Bonds'!$A$49:$K$54,9,FALSE))*(VLOOKUP($B7,'Transgrid Bonds'!$A$49:$K$54,6,FALSE)),(VLOOKUP($B7,'Transgrid Bonds'!$A$49:$K$54,6,FALSE)))</f>
        <v>1.3</v>
      </c>
      <c r="G9" s="181">
        <f>IF(G8&lt;VLOOKUP($B7,'Transgrid Bonds'!$A$49:$K$54,5,FALSE),(VLOOKUP($B7,'Transgrid Bonds'!$A$49:$K$54,8,FALSE)/100)*(VLOOKUP($B7,'Transgrid Bonds'!$A$49:$K$54,9,FALSE))*(VLOOKUP($B7,'Transgrid Bonds'!$A$49:$K$54,6,FALSE)),(VLOOKUP($B7,'Transgrid Bonds'!$A$49:$K$54,6,FALSE)))</f>
        <v>1.3</v>
      </c>
      <c r="H9" s="181">
        <f>IF(H8&lt;VLOOKUP($B7,'Transgrid Bonds'!$A$49:$K$54,5,FALSE),(VLOOKUP($B7,'Transgrid Bonds'!$A$49:$K$54,8,FALSE)/100)*(VLOOKUP($B7,'Transgrid Bonds'!$A$49:$K$54,9,FALSE))*(VLOOKUP($B7,'Transgrid Bonds'!$A$49:$K$54,6,FALSE)),(VLOOKUP($B7,'Transgrid Bonds'!$A$49:$K$54,6,FALSE)))</f>
        <v>1.3</v>
      </c>
      <c r="I9" s="181">
        <f>IF(I8&lt;VLOOKUP($B7,'Transgrid Bonds'!$A$49:$K$54,5,FALSE),(VLOOKUP($B7,'Transgrid Bonds'!$A$49:$K$54,8,FALSE)/100)*(VLOOKUP($B7,'Transgrid Bonds'!$A$49:$K$54,9,FALSE))*(VLOOKUP($B7,'Transgrid Bonds'!$A$49:$K$54,6,FALSE)),(VLOOKUP($B7,'Transgrid Bonds'!$A$49:$K$54,6,FALSE)))</f>
        <v>1.3</v>
      </c>
      <c r="J9" s="181">
        <f>IF(J8&lt;VLOOKUP($B7,'Transgrid Bonds'!$A$49:$K$54,5,FALSE),(VLOOKUP($B7,'Transgrid Bonds'!$A$49:$K$54,8,FALSE)/100)*(VLOOKUP($B7,'Transgrid Bonds'!$A$49:$K$54,9,FALSE))*(VLOOKUP($B7,'Transgrid Bonds'!$A$49:$K$54,6,FALSE)),(VLOOKUP($B7,'Transgrid Bonds'!$A$49:$K$54,6,FALSE)))</f>
        <v>1.3</v>
      </c>
      <c r="K9" s="181">
        <f>IF(K8&lt;VLOOKUP($B7,'Transgrid Bonds'!$A$49:$K$54,5,FALSE),(VLOOKUP($B7,'Transgrid Bonds'!$A$49:$K$54,8,FALSE)/100)*(VLOOKUP($B7,'Transgrid Bonds'!$A$49:$K$54,9,FALSE))*(VLOOKUP($B7,'Transgrid Bonds'!$A$49:$K$54,6,FALSE)),(VLOOKUP($B7,'Transgrid Bonds'!$A$49:$K$54,6,FALSE)))</f>
        <v>1.3</v>
      </c>
      <c r="L9" s="181">
        <f>IF(L8&lt;VLOOKUP($B7,'Transgrid Bonds'!$A$49:$K$54,5,FALSE),(VLOOKUP($B7,'Transgrid Bonds'!$A$49:$K$54,8,FALSE)/100)*(VLOOKUP($B7,'Transgrid Bonds'!$A$49:$K$54,9,FALSE))*(VLOOKUP($B7,'Transgrid Bonds'!$A$49:$K$54,6,FALSE)),(VLOOKUP($B7,'Transgrid Bonds'!$A$49:$K$54,6,FALSE)))</f>
        <v>1.3</v>
      </c>
      <c r="M9" s="181">
        <f>IF(M8&lt;VLOOKUP($B7,'Transgrid Bonds'!$A$49:$K$54,5,FALSE),(VLOOKUP($B7,'Transgrid Bonds'!$A$49:$K$54,8,FALSE)/100)*(VLOOKUP($B7,'Transgrid Bonds'!$A$49:$K$54,9,FALSE))*(VLOOKUP($B7,'Transgrid Bonds'!$A$49:$K$54,6,FALSE)),(VLOOKUP($B7,'Transgrid Bonds'!$A$49:$K$54,6,FALSE)))</f>
        <v>1.3</v>
      </c>
      <c r="N9" s="181">
        <f>IF(N8&lt;VLOOKUP($B7,'Transgrid Bonds'!$A$49:$K$54,5,FALSE),(VLOOKUP($B7,'Transgrid Bonds'!$A$49:$K$54,8,FALSE)/100)*(VLOOKUP($B7,'Transgrid Bonds'!$A$49:$K$54,9,FALSE))*(VLOOKUP($B7,'Transgrid Bonds'!$A$49:$K$54,6,FALSE)),(VLOOKUP($B7,'Transgrid Bonds'!$A$49:$K$54,6,FALSE)))</f>
        <v>1.3</v>
      </c>
      <c r="O9" s="181">
        <f>IF(O8&lt;VLOOKUP($B7,'Transgrid Bonds'!$A$49:$K$54,5,FALSE),(VLOOKUP($B7,'Transgrid Bonds'!$A$49:$K$54,8,FALSE)/100)*(VLOOKUP($B7,'Transgrid Bonds'!$A$49:$K$54,9,FALSE))*(VLOOKUP($B7,'Transgrid Bonds'!$A$49:$K$54,6,FALSE)),(VLOOKUP($B7,'Transgrid Bonds'!$A$49:$K$54,6,FALSE)))</f>
        <v>1.3</v>
      </c>
      <c r="P9" s="181">
        <f>IF(P8&lt;VLOOKUP($B7,'Transgrid Bonds'!$A$49:$K$54,5,FALSE),(VLOOKUP($B7,'Transgrid Bonds'!$A$49:$K$54,8,FALSE)/100)*(VLOOKUP($B7,'Transgrid Bonds'!$A$49:$K$54,9,FALSE))*(VLOOKUP($B7,'Transgrid Bonds'!$A$49:$K$54,6,FALSE)),(VLOOKUP($B7,'Transgrid Bonds'!$A$49:$K$54,6,FALSE)))</f>
        <v>1.3</v>
      </c>
      <c r="Q9" s="181">
        <f>IF(Q8&lt;VLOOKUP($B7,'Transgrid Bonds'!$A$49:$K$54,5,FALSE),(VLOOKUP($B7,'Transgrid Bonds'!$A$49:$K$54,8,FALSE)/100)*(VLOOKUP($B7,'Transgrid Bonds'!$A$49:$K$54,9,FALSE))*(VLOOKUP($B7,'Transgrid Bonds'!$A$49:$K$54,6,FALSE)),(VLOOKUP($B7,'Transgrid Bonds'!$A$49:$K$54,6,FALSE)))</f>
        <v>1.3</v>
      </c>
      <c r="R9" s="181">
        <f>IF(R8&lt;VLOOKUP($B7,'Transgrid Bonds'!$A$49:$K$54,5,FALSE),(VLOOKUP($B7,'Transgrid Bonds'!$A$49:$K$54,8,FALSE)/100)*(VLOOKUP($B7,'Transgrid Bonds'!$A$49:$K$54,9,FALSE))*(VLOOKUP($B7,'Transgrid Bonds'!$A$49:$K$54,6,FALSE)),(VLOOKUP($B7,'Transgrid Bonds'!$A$49:$K$54,6,FALSE)))</f>
        <v>1.3</v>
      </c>
      <c r="S9" s="181">
        <f>IF(S8&lt;VLOOKUP($B7,'Transgrid Bonds'!$A$49:$K$54,5,FALSE),(VLOOKUP($B7,'Transgrid Bonds'!$A$49:$K$54,8,FALSE)/100)*(VLOOKUP($B7,'Transgrid Bonds'!$A$49:$K$54,9,FALSE))*(VLOOKUP($B7,'Transgrid Bonds'!$A$49:$K$54,6,FALSE)),(VLOOKUP($B7,'Transgrid Bonds'!$A$49:$K$54,6,FALSE)))</f>
        <v>1.3</v>
      </c>
      <c r="T9" s="181">
        <f>IF(T8&lt;VLOOKUP($B7,'Transgrid Bonds'!$A$49:$K$54,5,FALSE),(VLOOKUP($B7,'Transgrid Bonds'!$A$49:$K$54,8,FALSE)/100)*(VLOOKUP($B7,'Transgrid Bonds'!$A$49:$K$54,9,FALSE))*(VLOOKUP($B7,'Transgrid Bonds'!$A$49:$K$54,6,FALSE)),(VLOOKUP($B7,'Transgrid Bonds'!$A$49:$K$54,6,FALSE)))</f>
        <v>1.3</v>
      </c>
      <c r="U9" s="181">
        <f>IF(U8&lt;VLOOKUP($B7,'Transgrid Bonds'!$A$49:$K$54,5,FALSE),(VLOOKUP($B7,'Transgrid Bonds'!$A$49:$K$54,8,FALSE)/100)*(VLOOKUP($B7,'Transgrid Bonds'!$A$49:$K$54,9,FALSE))*(VLOOKUP($B7,'Transgrid Bonds'!$A$49:$K$54,6,FALSE)),(VLOOKUP($B7,'Transgrid Bonds'!$A$49:$K$54,6,FALSE)))</f>
        <v>1.3</v>
      </c>
      <c r="V9" s="181">
        <f>IF(V8&lt;VLOOKUP($B7,'Transgrid Bonds'!$A$49:$K$54,5,FALSE),(VLOOKUP($B7,'Transgrid Bonds'!$A$49:$K$54,8,FALSE)/100)*(VLOOKUP($B7,'Transgrid Bonds'!$A$49:$K$54,9,FALSE))*(VLOOKUP($B7,'Transgrid Bonds'!$A$49:$K$54,6,FALSE)),(VLOOKUP($B7,'Transgrid Bonds'!$A$49:$K$54,6,FALSE)))</f>
        <v>25</v>
      </c>
    </row>
    <row r="10" spans="1:33">
      <c r="B10" s="135">
        <v>43281</v>
      </c>
    </row>
    <row r="11" spans="1:33">
      <c r="B11" t="s">
        <v>210</v>
      </c>
      <c r="E11" s="182">
        <f t="shared" ref="E11:V11" si="0">(E$8-$B10)/365</f>
        <v>0.13150684931506848</v>
      </c>
      <c r="F11" s="182">
        <f t="shared" si="0"/>
        <v>1.1315068493150684</v>
      </c>
      <c r="G11" s="182">
        <f t="shared" si="0"/>
        <v>2.1315068493150684</v>
      </c>
      <c r="H11" s="182">
        <f t="shared" si="0"/>
        <v>3.1315068493150684</v>
      </c>
      <c r="I11" s="182">
        <f t="shared" si="0"/>
        <v>4.1315068493150688</v>
      </c>
      <c r="J11" s="182">
        <f t="shared" si="0"/>
        <v>5.1315068493150688</v>
      </c>
      <c r="K11" s="182">
        <f t="shared" si="0"/>
        <v>6.1315068493150688</v>
      </c>
      <c r="L11" s="182">
        <f t="shared" si="0"/>
        <v>7.1315068493150688</v>
      </c>
      <c r="M11" s="182">
        <f t="shared" si="0"/>
        <v>8.131506849315068</v>
      </c>
      <c r="N11" s="182">
        <f t="shared" si="0"/>
        <v>9.131506849315068</v>
      </c>
      <c r="O11" s="182">
        <f t="shared" si="0"/>
        <v>10.131506849315068</v>
      </c>
      <c r="P11" s="182">
        <f t="shared" si="0"/>
        <v>11.131506849315068</v>
      </c>
      <c r="Q11" s="182">
        <f t="shared" si="0"/>
        <v>12.131506849315068</v>
      </c>
      <c r="R11" s="182">
        <f t="shared" si="0"/>
        <v>13.131506849315068</v>
      </c>
      <c r="S11" s="182">
        <f t="shared" si="0"/>
        <v>14.131506849315068</v>
      </c>
      <c r="T11" s="182">
        <f t="shared" si="0"/>
        <v>15.131506849315068</v>
      </c>
      <c r="U11" s="182">
        <f t="shared" si="0"/>
        <v>16.13150684931507</v>
      </c>
      <c r="V11" s="182">
        <f t="shared" si="0"/>
        <v>16.142465753424659</v>
      </c>
    </row>
    <row r="12" spans="1:33">
      <c r="B12" t="s">
        <v>211</v>
      </c>
      <c r="E12" s="183">
        <f>1+((INDEX('Yield Curve'!$B$48:$P$91,MATCH(ROUND(E11,0),'Yield Curve'!$B$48:$B$91,0),MATCH(YEAR($B10),'Yield Curve'!$B$48:$P$48,0)))/100)</f>
        <v>1.03315</v>
      </c>
      <c r="F12" s="183">
        <f>1+((INDEX('Yield Curve'!$B$48:$P$91,MATCH(ROUND(F11,0),'Yield Curve'!$B$48:$B$91,0),MATCH(YEAR($B10),'Yield Curve'!$B$48:$P$48,0)))/100)</f>
        <v>1.03315</v>
      </c>
      <c r="G12" s="183">
        <f>1+((INDEX('Yield Curve'!$B$48:$P$91,MATCH(ROUND(G11,0),'Yield Curve'!$B$48:$B$91,0),MATCH(YEAR($B10),'Yield Curve'!$B$48:$P$48,0)))/100)</f>
        <v>1.03315</v>
      </c>
      <c r="H12" s="183">
        <f>1+((INDEX('Yield Curve'!$B$48:$P$91,MATCH(ROUND(H11,0),'Yield Curve'!$B$48:$B$91,0),MATCH(YEAR($B10),'Yield Curve'!$B$48:$P$48,0)))/100)</f>
        <v>1.03315</v>
      </c>
      <c r="I12" s="183">
        <f>1+((INDEX('Yield Curve'!$B$48:$P$91,MATCH(ROUND(I11,0),'Yield Curve'!$B$48:$B$91,0),MATCH(YEAR($B10),'Yield Curve'!$B$48:$P$48,0)))/100)</f>
        <v>1.0349999999999999</v>
      </c>
      <c r="J12" s="183">
        <f>1+((INDEX('Yield Curve'!$B$48:$P$91,MATCH(ROUND(J11,0),'Yield Curve'!$B$48:$B$91,0),MATCH(YEAR($B10),'Yield Curve'!$B$48:$P$48,0)))/100)</f>
        <v>1.03685</v>
      </c>
      <c r="K12" s="183">
        <f>1+((INDEX('Yield Curve'!$B$48:$P$91,MATCH(ROUND(K11,0),'Yield Curve'!$B$48:$B$91,0),MATCH(YEAR($B10),'Yield Curve'!$B$48:$P$48,0)))/100)</f>
        <v>1.0386</v>
      </c>
      <c r="L12" s="183">
        <f>1+((INDEX('Yield Curve'!$B$48:$P$91,MATCH(ROUND(L11,0),'Yield Curve'!$B$48:$B$91,0),MATCH(YEAR($B10),'Yield Curve'!$B$48:$P$48,0)))/100)</f>
        <v>1.0403500000000001</v>
      </c>
      <c r="M12" s="183">
        <f>1+((INDEX('Yield Curve'!$B$48:$P$91,MATCH(ROUND(M11,0),'Yield Curve'!$B$48:$B$91,0),MATCH(YEAR($B10),'Yield Curve'!$B$48:$P$48,0)))/100)</f>
        <v>1.0414874999999999</v>
      </c>
      <c r="N12" s="183">
        <f>1+((INDEX('Yield Curve'!$B$48:$P$91,MATCH(ROUND(N11,0),'Yield Curve'!$B$48:$B$91,0),MATCH(YEAR($B10),'Yield Curve'!$B$48:$P$48,0)))/100)</f>
        <v>1.0437624999999999</v>
      </c>
      <c r="O12" s="183">
        <f>1+((INDEX('Yield Curve'!$B$48:$P$91,MATCH(ROUND(O11,0),'Yield Curve'!$B$48:$B$91,0),MATCH(YEAR($B10),'Yield Curve'!$B$48:$P$48,0)))/100)</f>
        <v>1.0448999999999999</v>
      </c>
      <c r="P12" s="183">
        <f>1+((INDEX('Yield Curve'!$B$48:$P$91,MATCH(ROUND(P11,0),'Yield Curve'!$B$48:$B$91,0),MATCH(YEAR($B10),'Yield Curve'!$B$48:$P$48,0)))/100)</f>
        <v>1.0448999999999999</v>
      </c>
      <c r="Q12" s="183">
        <f>1+((INDEX('Yield Curve'!$B$48:$P$91,MATCH(ROUND(Q11,0),'Yield Curve'!$B$48:$B$91,0),MATCH(YEAR($B10),'Yield Curve'!$B$48:$P$48,0)))/100)</f>
        <v>1.0448999999999999</v>
      </c>
      <c r="R12" s="183">
        <f>1+((INDEX('Yield Curve'!$B$48:$P$91,MATCH(ROUND(R11,0),'Yield Curve'!$B$48:$B$91,0),MATCH(YEAR($B10),'Yield Curve'!$B$48:$P$48,0)))/100)</f>
        <v>1.0448999999999999</v>
      </c>
      <c r="S12" s="183">
        <f>1+((INDEX('Yield Curve'!$B$48:$P$91,MATCH(ROUND(S11,0),'Yield Curve'!$B$48:$B$91,0),MATCH(YEAR($B10),'Yield Curve'!$B$48:$P$48,0)))/100)</f>
        <v>1.0448999999999999</v>
      </c>
      <c r="T12" s="183">
        <f>1+((INDEX('Yield Curve'!$B$48:$P$91,MATCH(ROUND(T11,0),'Yield Curve'!$B$48:$B$91,0),MATCH(YEAR($B10),'Yield Curve'!$B$48:$P$48,0)))/100)</f>
        <v>1.0448999999999999</v>
      </c>
      <c r="U12" s="183">
        <f>1+((INDEX('Yield Curve'!$B$48:$P$91,MATCH(ROUND(U11,0),'Yield Curve'!$B$48:$B$91,0),MATCH(YEAR($B10),'Yield Curve'!$B$48:$P$48,0)))/100)</f>
        <v>1.0448999999999999</v>
      </c>
      <c r="V12" s="183">
        <f>1+((INDEX('Yield Curve'!$B$48:$P$91,MATCH(ROUND(V11,0),'Yield Curve'!$B$48:$B$91,0),MATCH(YEAR($B10),'Yield Curve'!$B$48:$P$48,0)))/100)</f>
        <v>1.0448999999999999</v>
      </c>
    </row>
    <row r="13" spans="1:33">
      <c r="B13" t="s">
        <v>212</v>
      </c>
      <c r="C13" s="182">
        <f>SUM(D13:V13)</f>
        <v>28.400459080742138</v>
      </c>
      <c r="E13" s="182">
        <f t="shared" ref="E13:V13" si="1">E$9/(E12^E11)</f>
        <v>1.2944365605682495</v>
      </c>
      <c r="F13" s="182">
        <f t="shared" si="1"/>
        <v>1.252902831697478</v>
      </c>
      <c r="G13" s="182">
        <f t="shared" si="1"/>
        <v>1.2127017680854453</v>
      </c>
      <c r="H13" s="182">
        <f t="shared" si="1"/>
        <v>1.1737906093843542</v>
      </c>
      <c r="I13" s="182">
        <f t="shared" si="1"/>
        <v>1.1277613193424856</v>
      </c>
      <c r="J13" s="182">
        <f t="shared" si="1"/>
        <v>1.079684681243865</v>
      </c>
      <c r="K13" s="182">
        <f t="shared" si="1"/>
        <v>1.030600565061794</v>
      </c>
      <c r="L13" s="182">
        <f t="shared" si="1"/>
        <v>0.98045537918792924</v>
      </c>
      <c r="M13" s="182">
        <f t="shared" si="1"/>
        <v>0.9340910849919507</v>
      </c>
      <c r="N13" s="182">
        <f t="shared" si="1"/>
        <v>0.87918829272814514</v>
      </c>
      <c r="O13" s="182">
        <f t="shared" si="1"/>
        <v>0.83308171612271309</v>
      </c>
      <c r="P13" s="182">
        <f t="shared" si="1"/>
        <v>0.79728367893837992</v>
      </c>
      <c r="Q13" s="182">
        <f t="shared" si="1"/>
        <v>0.76302390557793087</v>
      </c>
      <c r="R13" s="182">
        <f t="shared" si="1"/>
        <v>0.73023629589236372</v>
      </c>
      <c r="S13" s="182">
        <f t="shared" si="1"/>
        <v>0.69885759009700821</v>
      </c>
      <c r="T13" s="182">
        <f t="shared" si="1"/>
        <v>0.66882724671931115</v>
      </c>
      <c r="U13" s="182">
        <f t="shared" si="1"/>
        <v>0.64008732579128258</v>
      </c>
      <c r="V13" s="182">
        <f t="shared" si="1"/>
        <v>12.303448229311455</v>
      </c>
    </row>
    <row r="14" spans="1:33">
      <c r="B14" s="135">
        <v>43646</v>
      </c>
    </row>
    <row r="15" spans="1:33">
      <c r="B15" t="s">
        <v>210</v>
      </c>
      <c r="F15" s="182">
        <f t="shared" ref="F15:V15" si="2">(F$8-$B14)/365</f>
        <v>0.13150684931506848</v>
      </c>
      <c r="G15" s="182">
        <f t="shared" si="2"/>
        <v>1.1315068493150684</v>
      </c>
      <c r="H15" s="182">
        <f t="shared" si="2"/>
        <v>2.1315068493150684</v>
      </c>
      <c r="I15" s="182">
        <f t="shared" si="2"/>
        <v>3.1315068493150684</v>
      </c>
      <c r="J15" s="182">
        <f t="shared" si="2"/>
        <v>4.1315068493150688</v>
      </c>
      <c r="K15" s="182">
        <f t="shared" si="2"/>
        <v>5.1315068493150688</v>
      </c>
      <c r="L15" s="182">
        <f t="shared" si="2"/>
        <v>6.1315068493150688</v>
      </c>
      <c r="M15" s="182">
        <f t="shared" si="2"/>
        <v>7.1315068493150688</v>
      </c>
      <c r="N15" s="182">
        <f t="shared" si="2"/>
        <v>8.131506849315068</v>
      </c>
      <c r="O15" s="182">
        <f t="shared" si="2"/>
        <v>9.131506849315068</v>
      </c>
      <c r="P15" s="182">
        <f t="shared" si="2"/>
        <v>10.131506849315068</v>
      </c>
      <c r="Q15" s="182">
        <f t="shared" si="2"/>
        <v>11.131506849315068</v>
      </c>
      <c r="R15" s="182">
        <f t="shared" si="2"/>
        <v>12.131506849315068</v>
      </c>
      <c r="S15" s="182">
        <f t="shared" si="2"/>
        <v>13.131506849315068</v>
      </c>
      <c r="T15" s="182">
        <f t="shared" si="2"/>
        <v>14.131506849315068</v>
      </c>
      <c r="U15" s="182">
        <f t="shared" si="2"/>
        <v>15.131506849315068</v>
      </c>
      <c r="V15" s="182">
        <f t="shared" si="2"/>
        <v>15.142465753424657</v>
      </c>
    </row>
    <row r="16" spans="1:33">
      <c r="B16" t="s">
        <v>211</v>
      </c>
      <c r="F16" s="183">
        <f>1+((INDEX('Yield Curve'!$B$48:$P$91,MATCH(ROUND(F15,0),'Yield Curve'!$B$48:$B$91,0),MATCH(YEAR($B14),'Yield Curve'!$B$48:$P$48,0)))/100)</f>
        <v>1.02305</v>
      </c>
      <c r="G16" s="183">
        <f>1+((INDEX('Yield Curve'!$B$48:$P$91,MATCH(ROUND(G15,0),'Yield Curve'!$B$48:$B$91,0),MATCH(YEAR($B14),'Yield Curve'!$B$48:$P$48,0)))/100)</f>
        <v>1.02305</v>
      </c>
      <c r="H16" s="183">
        <f>1+((INDEX('Yield Curve'!$B$48:$P$91,MATCH(ROUND(H15,0),'Yield Curve'!$B$48:$B$91,0),MATCH(YEAR($B14),'Yield Curve'!$B$48:$P$48,0)))/100)</f>
        <v>1.02305</v>
      </c>
      <c r="I16" s="183">
        <f>1+((INDEX('Yield Curve'!$B$48:$P$91,MATCH(ROUND(I15,0),'Yield Curve'!$B$48:$B$91,0),MATCH(YEAR($B14),'Yield Curve'!$B$48:$P$48,0)))/100)</f>
        <v>1.02305</v>
      </c>
      <c r="J16" s="183">
        <f>1+((INDEX('Yield Curve'!$B$48:$P$91,MATCH(ROUND(J15,0),'Yield Curve'!$B$48:$B$91,0),MATCH(YEAR($B14),'Yield Curve'!$B$48:$P$48,0)))/100)</f>
        <v>1.024575</v>
      </c>
      <c r="K16" s="183">
        <f>1+((INDEX('Yield Curve'!$B$48:$P$91,MATCH(ROUND(K15,0),'Yield Curve'!$B$48:$B$91,0),MATCH(YEAR($B14),'Yield Curve'!$B$48:$P$48,0)))/100)</f>
        <v>1.0261</v>
      </c>
      <c r="L16" s="183">
        <f>1+((INDEX('Yield Curve'!$B$48:$P$91,MATCH(ROUND(L15,0),'Yield Curve'!$B$48:$B$91,0),MATCH(YEAR($B14),'Yield Curve'!$B$48:$P$48,0)))/100)</f>
        <v>1.028375</v>
      </c>
      <c r="M16" s="183">
        <f>1+((INDEX('Yield Curve'!$B$48:$P$91,MATCH(ROUND(M15,0),'Yield Curve'!$B$48:$B$91,0),MATCH(YEAR($B14),'Yield Curve'!$B$48:$P$48,0)))/100)</f>
        <v>1.0306500000000001</v>
      </c>
      <c r="N16" s="183">
        <f>1+((INDEX('Yield Curve'!$B$48:$P$91,MATCH(ROUND(N15,0),'Yield Curve'!$B$48:$B$91,0),MATCH(YEAR($B14),'Yield Curve'!$B$48:$P$48,0)))/100)</f>
        <v>1.0318624999999999</v>
      </c>
      <c r="O16" s="183">
        <f>1+((INDEX('Yield Curve'!$B$48:$P$91,MATCH(ROUND(O15,0),'Yield Curve'!$B$48:$B$91,0),MATCH(YEAR($B14),'Yield Curve'!$B$48:$P$48,0)))/100)</f>
        <v>1.0342875</v>
      </c>
      <c r="P16" s="183">
        <f>1+((INDEX('Yield Curve'!$B$48:$P$91,MATCH(ROUND(P15,0),'Yield Curve'!$B$48:$B$91,0),MATCH(YEAR($B14),'Yield Curve'!$B$48:$P$48,0)))/100)</f>
        <v>1.0355000000000001</v>
      </c>
      <c r="Q16" s="183">
        <f>1+((INDEX('Yield Curve'!$B$48:$P$91,MATCH(ROUND(Q15,0),'Yield Curve'!$B$48:$B$91,0),MATCH(YEAR($B14),'Yield Curve'!$B$48:$P$48,0)))/100)</f>
        <v>1.0355000000000001</v>
      </c>
      <c r="R16" s="183">
        <f>1+((INDEX('Yield Curve'!$B$48:$P$91,MATCH(ROUND(R15,0),'Yield Curve'!$B$48:$B$91,0),MATCH(YEAR($B14),'Yield Curve'!$B$48:$P$48,0)))/100)</f>
        <v>1.0355000000000001</v>
      </c>
      <c r="S16" s="183">
        <f>1+((INDEX('Yield Curve'!$B$48:$P$91,MATCH(ROUND(S15,0),'Yield Curve'!$B$48:$B$91,0),MATCH(YEAR($B14),'Yield Curve'!$B$48:$P$48,0)))/100)</f>
        <v>1.0355000000000001</v>
      </c>
      <c r="T16" s="183">
        <f>1+((INDEX('Yield Curve'!$B$48:$P$91,MATCH(ROUND(T15,0),'Yield Curve'!$B$48:$B$91,0),MATCH(YEAR($B14),'Yield Curve'!$B$48:$P$48,0)))/100)</f>
        <v>1.0355000000000001</v>
      </c>
      <c r="U16" s="183">
        <f>1+((INDEX('Yield Curve'!$B$48:$P$91,MATCH(ROUND(U15,0),'Yield Curve'!$B$48:$B$91,0),MATCH(YEAR($B14),'Yield Curve'!$B$48:$P$48,0)))/100)</f>
        <v>1.0355000000000001</v>
      </c>
      <c r="V16" s="183">
        <f>1+((INDEX('Yield Curve'!$B$48:$P$91,MATCH(ROUND(V15,0),'Yield Curve'!$B$48:$B$91,0),MATCH(YEAR($B14),'Yield Curve'!$B$48:$P$48,0)))/100)</f>
        <v>1.0355000000000001</v>
      </c>
    </row>
    <row r="17" spans="2:39">
      <c r="B17" t="s">
        <v>212</v>
      </c>
      <c r="C17" s="182">
        <f>SUM(D17:V17)</f>
        <v>31.203176288745361</v>
      </c>
      <c r="F17" s="182">
        <f t="shared" ref="F17:V17" si="3">F$9/(F16^F15)</f>
        <v>1.2961099584686673</v>
      </c>
      <c r="G17" s="182">
        <f t="shared" si="3"/>
        <v>1.2669077351729314</v>
      </c>
      <c r="H17" s="182">
        <f t="shared" si="3"/>
        <v>1.2383634574780618</v>
      </c>
      <c r="I17" s="182">
        <f t="shared" si="3"/>
        <v>1.2104623014300981</v>
      </c>
      <c r="J17" s="182">
        <f t="shared" si="3"/>
        <v>1.1759307779822996</v>
      </c>
      <c r="K17" s="182">
        <f t="shared" si="3"/>
        <v>1.1389991335189216</v>
      </c>
      <c r="L17" s="182">
        <f t="shared" si="3"/>
        <v>1.0950558852312744</v>
      </c>
      <c r="M17" s="182">
        <f t="shared" si="3"/>
        <v>1.0481916253385579</v>
      </c>
      <c r="N17" s="182">
        <f t="shared" si="3"/>
        <v>1.0073429508997531</v>
      </c>
      <c r="O17" s="182">
        <f t="shared" si="3"/>
        <v>0.95553464996372417</v>
      </c>
      <c r="P17" s="182">
        <f t="shared" si="3"/>
        <v>0.91295627431961823</v>
      </c>
      <c r="Q17" s="182">
        <f t="shared" si="3"/>
        <v>0.8816574353641895</v>
      </c>
      <c r="R17" s="182">
        <f t="shared" si="3"/>
        <v>0.85143161309916893</v>
      </c>
      <c r="S17" s="182">
        <f t="shared" si="3"/>
        <v>0.82224202134154412</v>
      </c>
      <c r="T17" s="182">
        <f t="shared" si="3"/>
        <v>0.79405313504736252</v>
      </c>
      <c r="U17" s="182">
        <f t="shared" si="3"/>
        <v>0.76683064707615889</v>
      </c>
      <c r="V17" s="182">
        <f t="shared" si="3"/>
        <v>14.74110668701303</v>
      </c>
    </row>
    <row r="18" spans="2:39">
      <c r="B18" s="135">
        <v>44012</v>
      </c>
    </row>
    <row r="19" spans="2:39">
      <c r="B19" t="s">
        <v>210</v>
      </c>
      <c r="G19" s="182">
        <f t="shared" ref="G19:V19" si="4">(G$8-$B18)/365</f>
        <v>0.12876712328767123</v>
      </c>
      <c r="H19" s="182">
        <f t="shared" si="4"/>
        <v>1.1287671232876713</v>
      </c>
      <c r="I19" s="182">
        <f t="shared" si="4"/>
        <v>2.128767123287671</v>
      </c>
      <c r="J19" s="182">
        <f t="shared" si="4"/>
        <v>3.128767123287671</v>
      </c>
      <c r="K19" s="182">
        <f t="shared" si="4"/>
        <v>4.1287671232876715</v>
      </c>
      <c r="L19" s="182">
        <f t="shared" si="4"/>
        <v>5.1287671232876715</v>
      </c>
      <c r="M19" s="182">
        <f t="shared" si="4"/>
        <v>6.1287671232876715</v>
      </c>
      <c r="N19" s="182">
        <f t="shared" si="4"/>
        <v>7.1287671232876715</v>
      </c>
      <c r="O19" s="182">
        <f t="shared" si="4"/>
        <v>8.1287671232876715</v>
      </c>
      <c r="P19" s="182">
        <f t="shared" si="4"/>
        <v>9.1287671232876715</v>
      </c>
      <c r="Q19" s="182">
        <f t="shared" si="4"/>
        <v>10.128767123287671</v>
      </c>
      <c r="R19" s="182">
        <f t="shared" si="4"/>
        <v>11.128767123287671</v>
      </c>
      <c r="S19" s="182">
        <f t="shared" si="4"/>
        <v>12.128767123287671</v>
      </c>
      <c r="T19" s="182">
        <f t="shared" si="4"/>
        <v>13.128767123287671</v>
      </c>
      <c r="U19" s="182">
        <f t="shared" si="4"/>
        <v>14.128767123287671</v>
      </c>
      <c r="V19" s="182">
        <f t="shared" si="4"/>
        <v>14.139726027397261</v>
      </c>
    </row>
    <row r="20" spans="2:39">
      <c r="B20" t="s">
        <v>211</v>
      </c>
      <c r="G20" s="183">
        <f>1+((INDEX('Yield Curve'!$B$48:$P$91,MATCH(ROUND(G19,0),'Yield Curve'!$B$48:$B$91,0),MATCH(YEAR($B18),'Yield Curve'!$B$48:$P$48,0)))/100)</f>
        <v>1.02105</v>
      </c>
      <c r="H20" s="183">
        <f>1+((INDEX('Yield Curve'!$B$48:$P$91,MATCH(ROUND(H19,0),'Yield Curve'!$B$48:$B$91,0),MATCH(YEAR($B18),'Yield Curve'!$B$48:$P$48,0)))/100)</f>
        <v>1.02105</v>
      </c>
      <c r="I20" s="183">
        <f>1+((INDEX('Yield Curve'!$B$48:$P$91,MATCH(ROUND(I19,0),'Yield Curve'!$B$48:$B$91,0),MATCH(YEAR($B18),'Yield Curve'!$B$48:$P$48,0)))/100)</f>
        <v>1.02105</v>
      </c>
      <c r="J20" s="183">
        <f>1+((INDEX('Yield Curve'!$B$48:$P$91,MATCH(ROUND(J19,0),'Yield Curve'!$B$48:$B$91,0),MATCH(YEAR($B18),'Yield Curve'!$B$48:$P$48,0)))/100)</f>
        <v>1.02105</v>
      </c>
      <c r="K20" s="183">
        <f>1+((INDEX('Yield Curve'!$B$48:$P$91,MATCH(ROUND(K19,0),'Yield Curve'!$B$48:$B$91,0),MATCH(YEAR($B18),'Yield Curve'!$B$48:$P$48,0)))/100)</f>
        <v>1.0229999999999999</v>
      </c>
      <c r="L20" s="183">
        <f>1+((INDEX('Yield Curve'!$B$48:$P$91,MATCH(ROUND(L19,0),'Yield Curve'!$B$48:$B$91,0),MATCH(YEAR($B18),'Yield Curve'!$B$48:$P$48,0)))/100)</f>
        <v>1.02495</v>
      </c>
      <c r="M20" s="183">
        <f>1+((INDEX('Yield Curve'!$B$48:$P$91,MATCH(ROUND(M19,0),'Yield Curve'!$B$48:$B$91,0),MATCH(YEAR($B18),'Yield Curve'!$B$48:$P$48,0)))/100)</f>
        <v>1.0282249999999999</v>
      </c>
      <c r="N20" s="183">
        <f>1+((INDEX('Yield Curve'!$B$48:$P$91,MATCH(ROUND(N19,0),'Yield Curve'!$B$48:$B$91,0),MATCH(YEAR($B18),'Yield Curve'!$B$48:$P$48,0)))/100)</f>
        <v>1.0315000000000001</v>
      </c>
      <c r="O20" s="183">
        <f>1+((INDEX('Yield Curve'!$B$48:$P$91,MATCH(ROUND(O19,0),'Yield Curve'!$B$48:$B$91,0),MATCH(YEAR($B18),'Yield Curve'!$B$48:$P$48,0)))/100)</f>
        <v>1.0322499999999999</v>
      </c>
      <c r="P20" s="183">
        <f>1+((INDEX('Yield Curve'!$B$48:$P$91,MATCH(ROUND(P19,0),'Yield Curve'!$B$48:$B$91,0),MATCH(YEAR($B18),'Yield Curve'!$B$48:$P$48,0)))/100)</f>
        <v>1.0337499999999999</v>
      </c>
      <c r="Q20" s="183">
        <f>1+((INDEX('Yield Curve'!$B$48:$P$91,MATCH(ROUND(Q19,0),'Yield Curve'!$B$48:$B$91,0),MATCH(YEAR($B18),'Yield Curve'!$B$48:$P$48,0)))/100)</f>
        <v>1.0345</v>
      </c>
      <c r="R20" s="183">
        <f>1+((INDEX('Yield Curve'!$B$48:$P$91,MATCH(ROUND(R19,0),'Yield Curve'!$B$48:$B$91,0),MATCH(YEAR($B18),'Yield Curve'!$B$48:$P$48,0)))/100)</f>
        <v>1.0345</v>
      </c>
      <c r="S20" s="183">
        <f>1+((INDEX('Yield Curve'!$B$48:$P$91,MATCH(ROUND(S19,0),'Yield Curve'!$B$48:$B$91,0),MATCH(YEAR($B18),'Yield Curve'!$B$48:$P$48,0)))/100)</f>
        <v>1.0345</v>
      </c>
      <c r="T20" s="183">
        <f>1+((INDEX('Yield Curve'!$B$48:$P$91,MATCH(ROUND(T19,0),'Yield Curve'!$B$48:$B$91,0),MATCH(YEAR($B18),'Yield Curve'!$B$48:$P$48,0)))/100)</f>
        <v>1.0345</v>
      </c>
      <c r="U20" s="183">
        <f>1+((INDEX('Yield Curve'!$B$48:$P$91,MATCH(ROUND(U19,0),'Yield Curve'!$B$48:$B$91,0),MATCH(YEAR($B18),'Yield Curve'!$B$48:$P$48,0)))/100)</f>
        <v>1.0345</v>
      </c>
      <c r="V20" s="183">
        <f>1+((INDEX('Yield Curve'!$B$48:$P$91,MATCH(ROUND(V19,0),'Yield Curve'!$B$48:$B$91,0),MATCH(YEAR($B18),'Yield Curve'!$B$48:$P$48,0)))/100)</f>
        <v>1.0345</v>
      </c>
    </row>
    <row r="21" spans="2:39">
      <c r="B21" t="s">
        <v>212</v>
      </c>
      <c r="C21" s="182">
        <f>SUM(D21:V21)</f>
        <v>31.24839429121662</v>
      </c>
      <c r="G21" s="182">
        <f t="shared" ref="G21:V21" si="5">G$9/(G20^G19)</f>
        <v>1.2965175351625304</v>
      </c>
      <c r="H21" s="182">
        <f t="shared" si="5"/>
        <v>1.269788487500642</v>
      </c>
      <c r="I21" s="182">
        <f t="shared" si="5"/>
        <v>1.2436104867544604</v>
      </c>
      <c r="J21" s="182">
        <f t="shared" si="5"/>
        <v>1.2179721725228545</v>
      </c>
      <c r="K21" s="182">
        <f t="shared" si="5"/>
        <v>1.1835024478302956</v>
      </c>
      <c r="L21" s="182">
        <f t="shared" si="5"/>
        <v>1.1456495797379114</v>
      </c>
      <c r="M21" s="182">
        <f t="shared" si="5"/>
        <v>1.0961193410213834</v>
      </c>
      <c r="N21" s="182">
        <f t="shared" si="5"/>
        <v>1.0421358397823224</v>
      </c>
      <c r="O21" s="182">
        <f t="shared" si="5"/>
        <v>1.0043594706067211</v>
      </c>
      <c r="P21" s="182">
        <f t="shared" si="5"/>
        <v>0.96016838903787749</v>
      </c>
      <c r="Q21" s="182">
        <f t="shared" si="5"/>
        <v>0.92202266900707974</v>
      </c>
      <c r="R21" s="182">
        <f t="shared" si="5"/>
        <v>0.8912737254780857</v>
      </c>
      <c r="S21" s="182">
        <f t="shared" si="5"/>
        <v>0.86155024212478093</v>
      </c>
      <c r="T21" s="182">
        <f t="shared" si="5"/>
        <v>0.83281802042028119</v>
      </c>
      <c r="U21" s="182">
        <f t="shared" si="5"/>
        <v>0.80504400233956619</v>
      </c>
      <c r="V21" s="182">
        <f t="shared" si="5"/>
        <v>15.475861881889832</v>
      </c>
    </row>
    <row r="22" spans="2:39">
      <c r="B22" s="135">
        <v>44377</v>
      </c>
    </row>
    <row r="23" spans="2:39">
      <c r="B23" t="s">
        <v>210</v>
      </c>
      <c r="H23" s="182">
        <f t="shared" ref="H23:V23" si="6">(H$8-$B22)/365</f>
        <v>0.12876712328767123</v>
      </c>
      <c r="I23" s="182">
        <f t="shared" si="6"/>
        <v>1.1287671232876713</v>
      </c>
      <c r="J23" s="182">
        <f t="shared" si="6"/>
        <v>2.128767123287671</v>
      </c>
      <c r="K23" s="182">
        <f t="shared" si="6"/>
        <v>3.128767123287671</v>
      </c>
      <c r="L23" s="182">
        <f t="shared" si="6"/>
        <v>4.1287671232876715</v>
      </c>
      <c r="M23" s="182">
        <f t="shared" si="6"/>
        <v>5.1287671232876715</v>
      </c>
      <c r="N23" s="182">
        <f t="shared" si="6"/>
        <v>6.1287671232876715</v>
      </c>
      <c r="O23" s="182">
        <f t="shared" si="6"/>
        <v>7.1287671232876715</v>
      </c>
      <c r="P23" s="182">
        <f t="shared" si="6"/>
        <v>8.1287671232876715</v>
      </c>
      <c r="Q23" s="182">
        <f t="shared" si="6"/>
        <v>9.1287671232876715</v>
      </c>
      <c r="R23" s="182">
        <f t="shared" si="6"/>
        <v>10.128767123287671</v>
      </c>
      <c r="S23" s="182">
        <f t="shared" si="6"/>
        <v>11.128767123287671</v>
      </c>
      <c r="T23" s="182">
        <f t="shared" si="6"/>
        <v>12.128767123287671</v>
      </c>
      <c r="U23" s="182">
        <f t="shared" si="6"/>
        <v>13.128767123287671</v>
      </c>
      <c r="V23" s="182">
        <f t="shared" si="6"/>
        <v>13.139726027397261</v>
      </c>
    </row>
    <row r="24" spans="2:39">
      <c r="B24" t="s">
        <v>211</v>
      </c>
      <c r="H24" s="183">
        <f>1+((INDEX('Yield Curve'!$B$48:$P$91,MATCH(ROUND(H23,0),'Yield Curve'!$B$48:$B$91,0),MATCH(YEAR($B22),'Yield Curve'!$B$48:$P$48,0)))/100)</f>
        <v>1.0129999999999999</v>
      </c>
      <c r="I24" s="183">
        <f>1+((INDEX('Yield Curve'!$B$48:$P$91,MATCH(ROUND(I23,0),'Yield Curve'!$B$48:$B$91,0),MATCH(YEAR($B22),'Yield Curve'!$B$48:$P$48,0)))/100)</f>
        <v>1.0129999999999999</v>
      </c>
      <c r="J24" s="183">
        <f>1+((INDEX('Yield Curve'!$B$48:$P$91,MATCH(ROUND(J23,0),'Yield Curve'!$B$48:$B$91,0),MATCH(YEAR($B22),'Yield Curve'!$B$48:$P$48,0)))/100)</f>
        <v>1.0129999999999999</v>
      </c>
      <c r="K24" s="183">
        <f>1+((INDEX('Yield Curve'!$B$48:$P$91,MATCH(ROUND(K23,0),'Yield Curve'!$B$48:$B$91,0),MATCH(YEAR($B22),'Yield Curve'!$B$48:$P$48,0)))/100)</f>
        <v>1.0129999999999999</v>
      </c>
      <c r="L24" s="183">
        <f>1+((INDEX('Yield Curve'!$B$48:$P$91,MATCH(ROUND(L23,0),'Yield Curve'!$B$48:$B$91,0),MATCH(YEAR($B22),'Yield Curve'!$B$48:$P$48,0)))/100)</f>
        <v>1.0161249999999999</v>
      </c>
      <c r="M24" s="183">
        <f>1+((INDEX('Yield Curve'!$B$48:$P$91,MATCH(ROUND(M23,0),'Yield Curve'!$B$48:$B$91,0),MATCH(YEAR($B22),'Yield Curve'!$B$48:$P$48,0)))/100)</f>
        <v>1.01925</v>
      </c>
      <c r="N24" s="183">
        <f>1+((INDEX('Yield Curve'!$B$48:$P$91,MATCH(ROUND(N23,0),'Yield Curve'!$B$48:$B$91,0),MATCH(YEAR($B22),'Yield Curve'!$B$48:$P$48,0)))/100)</f>
        <v>1.022775</v>
      </c>
      <c r="O24" s="183">
        <f>1+((INDEX('Yield Curve'!$B$48:$P$91,MATCH(ROUND(O23,0),'Yield Curve'!$B$48:$B$91,0),MATCH(YEAR($B22),'Yield Curve'!$B$48:$P$48,0)))/100)</f>
        <v>1.0263</v>
      </c>
      <c r="P24" s="183">
        <f>1+((INDEX('Yield Curve'!$B$48:$P$91,MATCH(ROUND(P23,0),'Yield Curve'!$B$48:$B$91,0),MATCH(YEAR($B22),'Yield Curve'!$B$48:$P$48,0)))/100)</f>
        <v>1.027525</v>
      </c>
      <c r="Q24" s="183">
        <f>1+((INDEX('Yield Curve'!$B$48:$P$91,MATCH(ROUND(Q23,0),'Yield Curve'!$B$48:$B$91,0),MATCH(YEAR($B22),'Yield Curve'!$B$48:$P$48,0)))/100)</f>
        <v>1.0299750000000001</v>
      </c>
      <c r="R24" s="183">
        <f>1+((INDEX('Yield Curve'!$B$48:$P$91,MATCH(ROUND(R23,0),'Yield Curve'!$B$48:$B$91,0),MATCH(YEAR($B22),'Yield Curve'!$B$48:$P$48,0)))/100)</f>
        <v>1.0311999999999999</v>
      </c>
      <c r="S24" s="183">
        <f>1+((INDEX('Yield Curve'!$B$48:$P$91,MATCH(ROUND(S23,0),'Yield Curve'!$B$48:$B$91,0),MATCH(YEAR($B22),'Yield Curve'!$B$48:$P$48,0)))/100)</f>
        <v>1.0311999999999999</v>
      </c>
      <c r="T24" s="183">
        <f>1+((INDEX('Yield Curve'!$B$48:$P$91,MATCH(ROUND(T23,0),'Yield Curve'!$B$48:$B$91,0),MATCH(YEAR($B22),'Yield Curve'!$B$48:$P$48,0)))/100)</f>
        <v>1.0311999999999999</v>
      </c>
      <c r="U24" s="183">
        <f>1+((INDEX('Yield Curve'!$B$48:$P$91,MATCH(ROUND(U23,0),'Yield Curve'!$B$48:$B$91,0),MATCH(YEAR($B22),'Yield Curve'!$B$48:$P$48,0)))/100)</f>
        <v>1.0311999999999999</v>
      </c>
      <c r="V24" s="183">
        <f>1+((INDEX('Yield Curve'!$B$48:$P$91,MATCH(ROUND(V23,0),'Yield Curve'!$B$48:$B$91,0),MATCH(YEAR($B22),'Yield Curve'!$B$48:$P$48,0)))/100)</f>
        <v>1.0311999999999999</v>
      </c>
    </row>
    <row r="25" spans="2:39">
      <c r="B25" t="s">
        <v>212</v>
      </c>
      <c r="C25" s="182">
        <f>SUM(D25:V25)</f>
        <v>32.072341516394573</v>
      </c>
      <c r="H25" s="182">
        <f t="shared" ref="H25:V25" si="7">H$9/(H24^H23)</f>
        <v>1.2978396563010937</v>
      </c>
      <c r="I25" s="182">
        <f t="shared" si="7"/>
        <v>1.2811842609092732</v>
      </c>
      <c r="J25" s="182">
        <f t="shared" si="7"/>
        <v>1.2647426070180388</v>
      </c>
      <c r="K25" s="182">
        <f t="shared" si="7"/>
        <v>1.2485119516466328</v>
      </c>
      <c r="L25" s="182">
        <f t="shared" si="7"/>
        <v>1.2169149969530277</v>
      </c>
      <c r="M25" s="182">
        <f t="shared" si="7"/>
        <v>1.1788904978093049</v>
      </c>
      <c r="N25" s="182">
        <f t="shared" si="7"/>
        <v>1.1324091584809366</v>
      </c>
      <c r="O25" s="182">
        <f t="shared" si="7"/>
        <v>1.0803669426774172</v>
      </c>
      <c r="P25" s="182">
        <f t="shared" si="7"/>
        <v>1.0425231358300759</v>
      </c>
      <c r="Q25" s="182">
        <f t="shared" si="7"/>
        <v>0.99277663190690757</v>
      </c>
      <c r="R25" s="182">
        <f t="shared" si="7"/>
        <v>0.95234911257893717</v>
      </c>
      <c r="S25" s="182">
        <f t="shared" si="7"/>
        <v>0.92353482600750325</v>
      </c>
      <c r="T25" s="182">
        <f t="shared" si="7"/>
        <v>0.89559234484823824</v>
      </c>
      <c r="U25" s="182">
        <f t="shared" si="7"/>
        <v>0.86849529174577034</v>
      </c>
      <c r="V25" s="182">
        <f t="shared" si="7"/>
        <v>16.696210101681423</v>
      </c>
    </row>
    <row r="26" spans="2:39">
      <c r="B26" s="135">
        <v>44552</v>
      </c>
    </row>
    <row r="27" spans="2:39">
      <c r="B27" t="s">
        <v>210</v>
      </c>
      <c r="I27" s="182">
        <f t="shared" ref="I27:V27" si="8">(I$8-$B26)/365</f>
        <v>0.64931506849315068</v>
      </c>
      <c r="J27" s="182">
        <f t="shared" si="8"/>
        <v>1.6493150684931508</v>
      </c>
      <c r="K27" s="182">
        <f t="shared" si="8"/>
        <v>2.6493150684931508</v>
      </c>
      <c r="L27" s="182">
        <f t="shared" si="8"/>
        <v>3.6493150684931508</v>
      </c>
      <c r="M27" s="182">
        <f t="shared" si="8"/>
        <v>4.6493150684931503</v>
      </c>
      <c r="N27" s="182">
        <f t="shared" si="8"/>
        <v>5.6493150684931503</v>
      </c>
      <c r="O27" s="182">
        <f t="shared" si="8"/>
        <v>6.6493150684931503</v>
      </c>
      <c r="P27" s="182">
        <f t="shared" si="8"/>
        <v>7.6493150684931503</v>
      </c>
      <c r="Q27" s="182">
        <f t="shared" si="8"/>
        <v>8.6493150684931503</v>
      </c>
      <c r="R27" s="182">
        <f t="shared" si="8"/>
        <v>9.6493150684931503</v>
      </c>
      <c r="S27" s="182">
        <f t="shared" si="8"/>
        <v>10.64931506849315</v>
      </c>
      <c r="T27" s="182">
        <f t="shared" si="8"/>
        <v>11.64931506849315</v>
      </c>
      <c r="U27" s="182">
        <f t="shared" si="8"/>
        <v>12.64931506849315</v>
      </c>
      <c r="V27" s="182">
        <f t="shared" si="8"/>
        <v>12.66027397260274</v>
      </c>
    </row>
    <row r="28" spans="2:39">
      <c r="B28" t="s">
        <v>211</v>
      </c>
      <c r="I28" s="183">
        <f>1+((INDEX('Yield Curve'!$B$48:$P$91,MATCH(ROUND(I27,0),'Yield Curve'!$B$48:$B$91,0),MATCH(YEAR($B26)+1,'Yield Curve'!$B$48:$P$48,0)))/100)</f>
        <v>1.0212000000000001</v>
      </c>
      <c r="J28" s="183">
        <f>1+((INDEX('Yield Curve'!$B$48:$P$91,MATCH(ROUND(J27,0),'Yield Curve'!$B$48:$B$91,0),MATCH(YEAR($B26)+1,'Yield Curve'!$B$48:$P$48,0)))/100)</f>
        <v>1.0212000000000001</v>
      </c>
      <c r="K28" s="183">
        <f>1+((INDEX('Yield Curve'!$B$48:$P$91,MATCH(ROUND(K27,0),'Yield Curve'!$B$48:$B$91,0),MATCH(YEAR($B26)+1,'Yield Curve'!$B$48:$P$48,0)))/100)</f>
        <v>1.0212000000000001</v>
      </c>
      <c r="L28" s="183">
        <f>1+((INDEX('Yield Curve'!$B$48:$P$91,MATCH(ROUND(L27,0),'Yield Curve'!$B$48:$B$91,0),MATCH(YEAR($B26)+1,'Yield Curve'!$B$48:$P$48,0)))/100)</f>
        <v>1.0245</v>
      </c>
      <c r="M28" s="183">
        <f>1+((INDEX('Yield Curve'!$B$48:$P$91,MATCH(ROUND(M27,0),'Yield Curve'!$B$48:$B$91,0),MATCH(YEAR($B26)+1,'Yield Curve'!$B$48:$P$48,0)))/100)</f>
        <v>1.0278</v>
      </c>
      <c r="N28" s="183">
        <f>1+((INDEX('Yield Curve'!$B$48:$P$91,MATCH(ROUND(N27,0),'Yield Curve'!$B$48:$B$91,0),MATCH(YEAR($B26)+1,'Yield Curve'!$B$48:$P$48,0)))/100)</f>
        <v>1.030375</v>
      </c>
      <c r="O28" s="183">
        <f>1+((INDEX('Yield Curve'!$B$48:$P$91,MATCH(ROUND(O27,0),'Yield Curve'!$B$48:$B$91,0),MATCH(YEAR($B26)+1,'Yield Curve'!$B$48:$P$48,0)))/100)</f>
        <v>1.03295</v>
      </c>
      <c r="P28" s="183">
        <f>1+((INDEX('Yield Curve'!$B$48:$P$91,MATCH(ROUND(P27,0),'Yield Curve'!$B$48:$B$91,0),MATCH(YEAR($B26)+1,'Yield Curve'!$B$48:$P$48,0)))/100)</f>
        <v>1.0341499999999999</v>
      </c>
      <c r="Q28" s="183">
        <f>1+((INDEX('Yield Curve'!$B$48:$P$91,MATCH(ROUND(Q27,0),'Yield Curve'!$B$48:$B$91,0),MATCH(YEAR($B26)+1,'Yield Curve'!$B$48:$P$48,0)))/100)</f>
        <v>1.0365500000000001</v>
      </c>
      <c r="R28" s="183">
        <f>1+((INDEX('Yield Curve'!$B$48:$P$91,MATCH(ROUND(R27,0),'Yield Curve'!$B$48:$B$91,0),MATCH(YEAR($B26)+1,'Yield Curve'!$B$48:$P$48,0)))/100)</f>
        <v>1.03775</v>
      </c>
      <c r="S28" s="183">
        <f>1+((INDEX('Yield Curve'!$B$48:$P$91,MATCH(ROUND(S27,0),'Yield Curve'!$B$48:$B$91,0),MATCH(YEAR($B26)+1,'Yield Curve'!$B$48:$P$48,0)))/100)</f>
        <v>1.03775</v>
      </c>
      <c r="T28" s="183">
        <f>1+((INDEX('Yield Curve'!$B$48:$P$91,MATCH(ROUND(T27,0),'Yield Curve'!$B$48:$B$91,0),MATCH(YEAR($B26)+1,'Yield Curve'!$B$48:$P$48,0)))/100)</f>
        <v>1.03775</v>
      </c>
      <c r="U28" s="183">
        <f>1+((INDEX('Yield Curve'!$B$48:$P$91,MATCH(ROUND(U27,0),'Yield Curve'!$B$48:$B$91,0),MATCH(YEAR($B26)+1,'Yield Curve'!$B$48:$P$48,0)))/100)</f>
        <v>1.03775</v>
      </c>
      <c r="V28" s="183">
        <f>1+((INDEX('Yield Curve'!$B$48:$P$91,MATCH(ROUND(V27,0),'Yield Curve'!$B$48:$B$91,0),MATCH(YEAR($B26)+1,'Yield Curve'!$B$48:$P$48,0)))/100)</f>
        <v>1.03775</v>
      </c>
    </row>
    <row r="29" spans="2:39">
      <c r="B29" t="s">
        <v>212</v>
      </c>
      <c r="C29" s="182">
        <f>SUM(D29:V29)</f>
        <v>29.288525153984082</v>
      </c>
      <c r="I29" s="182">
        <f t="shared" ref="I29:V29" si="9">I$9/(I28^I27)</f>
        <v>1.2824119863607988</v>
      </c>
      <c r="J29" s="182">
        <f t="shared" si="9"/>
        <v>1.255789254172345</v>
      </c>
      <c r="K29" s="182">
        <f t="shared" si="9"/>
        <v>1.2297192069842779</v>
      </c>
      <c r="L29" s="182">
        <f t="shared" si="9"/>
        <v>1.1900957062123385</v>
      </c>
      <c r="M29" s="182">
        <f t="shared" si="9"/>
        <v>1.1443963311454892</v>
      </c>
      <c r="N29" s="182">
        <f t="shared" si="9"/>
        <v>1.0978139259910105</v>
      </c>
      <c r="O29" s="182">
        <f t="shared" si="9"/>
        <v>1.04791401996651</v>
      </c>
      <c r="P29" s="182">
        <f t="shared" si="9"/>
        <v>1.0055167011510986</v>
      </c>
      <c r="Q29" s="182">
        <f t="shared" si="9"/>
        <v>0.95301188423958361</v>
      </c>
      <c r="R29" s="182">
        <f t="shared" si="9"/>
        <v>0.90919997255845564</v>
      </c>
      <c r="S29" s="182">
        <f t="shared" si="9"/>
        <v>0.87612620819894549</v>
      </c>
      <c r="T29" s="182">
        <f t="shared" si="9"/>
        <v>0.84425556077951869</v>
      </c>
      <c r="U29" s="182">
        <f t="shared" si="9"/>
        <v>0.8135442647839255</v>
      </c>
      <c r="V29" s="182">
        <f t="shared" si="9"/>
        <v>15.638730131439786</v>
      </c>
    </row>
    <row r="31" spans="2:39">
      <c r="B31" s="5" t="str">
        <f>'Transgrid Bonds'!A51</f>
        <v>29880170111</v>
      </c>
    </row>
    <row r="32" spans="2:39">
      <c r="B32" t="s">
        <v>66</v>
      </c>
      <c r="D32" s="180">
        <f>VLOOKUP(B31,'Transgrid Bonds'!$A$49:$K$54,4,FALSE)</f>
        <v>42577</v>
      </c>
      <c r="E32" s="180">
        <f>VLOOKUP(B31,'Transgrid Bonds'!$A$49:$K$54,10,FALSE)</f>
        <v>42761</v>
      </c>
      <c r="F32" s="180">
        <f>IF(E32+VLOOKUP($B31,'Transgrid Bonds'!$A$49:$K$54,9,FALSE)*365 &lt; VLOOKUP($B31,'Transgrid Bonds'!$A$49:$K$54,5,FALSE), E32+VLOOKUP($B31,'Transgrid Bonds'!$A$49:$K$54,9,FALSE)*365, VLOOKUP($B31,'Transgrid Bonds'!$A$49:$K$54,5,FALSE))</f>
        <v>42943.5</v>
      </c>
      <c r="G32" s="180">
        <f>IF(F32+VLOOKUP($B31,'Transgrid Bonds'!$A$49:$K$54,9,FALSE)*365 &lt; VLOOKUP($B31,'Transgrid Bonds'!$A$49:$K$54,5,FALSE), F32+VLOOKUP($B31,'Transgrid Bonds'!$A$49:$K$54,9,FALSE)*365, VLOOKUP($B31,'Transgrid Bonds'!$A$49:$K$54,5,FALSE))</f>
        <v>43126</v>
      </c>
      <c r="H32" s="180">
        <f>IF(G32+VLOOKUP($B31,'Transgrid Bonds'!$A$49:$K$54,9,FALSE)*365 &lt; VLOOKUP($B31,'Transgrid Bonds'!$A$49:$K$54,5,FALSE), G32+VLOOKUP($B31,'Transgrid Bonds'!$A$49:$K$54,9,FALSE)*365, VLOOKUP($B31,'Transgrid Bonds'!$A$49:$K$54,5,FALSE))</f>
        <v>43308.5</v>
      </c>
      <c r="I32" s="180">
        <f>IF(H32+VLOOKUP($B31,'Transgrid Bonds'!$A$49:$K$54,9,FALSE)*365 &lt; VLOOKUP($B31,'Transgrid Bonds'!$A$49:$K$54,5,FALSE), H32+VLOOKUP($B31,'Transgrid Bonds'!$A$49:$K$54,9,FALSE)*365, VLOOKUP($B31,'Transgrid Bonds'!$A$49:$K$54,5,FALSE))</f>
        <v>43491</v>
      </c>
      <c r="J32" s="180">
        <f>IF(I32+VLOOKUP($B31,'Transgrid Bonds'!$A$49:$K$54,9,FALSE)*365 &lt; VLOOKUP($B31,'Transgrid Bonds'!$A$49:$K$54,5,FALSE), I32+VLOOKUP($B31,'Transgrid Bonds'!$A$49:$K$54,9,FALSE)*365, VLOOKUP($B31,'Transgrid Bonds'!$A$49:$K$54,5,FALSE))</f>
        <v>43673.5</v>
      </c>
      <c r="K32" s="180">
        <f>IF(J32+VLOOKUP($B31,'Transgrid Bonds'!$A$49:$K$54,9,FALSE)*365 &lt; VLOOKUP($B31,'Transgrid Bonds'!$A$49:$K$54,5,FALSE), J32+VLOOKUP($B31,'Transgrid Bonds'!$A$49:$K$54,9,FALSE)*365, VLOOKUP($B31,'Transgrid Bonds'!$A$49:$K$54,5,FALSE))</f>
        <v>43856</v>
      </c>
      <c r="L32" s="180">
        <f>IF(K32+VLOOKUP($B31,'Transgrid Bonds'!$A$49:$K$54,9,FALSE)*365 &lt; VLOOKUP($B31,'Transgrid Bonds'!$A$49:$K$54,5,FALSE), K32+VLOOKUP($B31,'Transgrid Bonds'!$A$49:$K$54,9,FALSE)*365, VLOOKUP($B31,'Transgrid Bonds'!$A$49:$K$54,5,FALSE))</f>
        <v>44038.5</v>
      </c>
      <c r="M32" s="180">
        <f>IF(L32+VLOOKUP($B31,'Transgrid Bonds'!$A$49:$K$54,9,FALSE)*365 &lt; VLOOKUP($B31,'Transgrid Bonds'!$A$49:$K$54,5,FALSE), L32+VLOOKUP($B31,'Transgrid Bonds'!$A$49:$K$54,9,FALSE)*365, VLOOKUP($B31,'Transgrid Bonds'!$A$49:$K$54,5,FALSE))</f>
        <v>44221</v>
      </c>
      <c r="N32" s="180">
        <f>IF(M32+VLOOKUP($B31,'Transgrid Bonds'!$A$49:$K$54,9,FALSE)*365 &lt; VLOOKUP($B31,'Transgrid Bonds'!$A$49:$K$54,5,FALSE), M32+VLOOKUP($B31,'Transgrid Bonds'!$A$49:$K$54,9,FALSE)*365, VLOOKUP($B31,'Transgrid Bonds'!$A$49:$K$54,5,FALSE))</f>
        <v>44403.5</v>
      </c>
      <c r="O32" s="180">
        <f>IF(N32+VLOOKUP($B31,'Transgrid Bonds'!$A$49:$K$54,9,FALSE)*365 &lt; VLOOKUP($B31,'Transgrid Bonds'!$A$49:$K$54,5,FALSE), N32+VLOOKUP($B31,'Transgrid Bonds'!$A$49:$K$54,9,FALSE)*365, VLOOKUP($B31,'Transgrid Bonds'!$A$49:$K$54,5,FALSE))</f>
        <v>44586</v>
      </c>
      <c r="P32" s="180">
        <f>IF(O32+VLOOKUP($B31,'Transgrid Bonds'!$A$49:$K$54,9,FALSE)*365 &lt; VLOOKUP($B31,'Transgrid Bonds'!$A$49:$K$54,5,FALSE), O32+VLOOKUP($B31,'Transgrid Bonds'!$A$49:$K$54,9,FALSE)*365, VLOOKUP($B31,'Transgrid Bonds'!$A$49:$K$54,5,FALSE))</f>
        <v>44768.5</v>
      </c>
      <c r="Q32" s="180">
        <f>IF(P32+VLOOKUP($B31,'Transgrid Bonds'!$A$49:$K$54,9,FALSE)*365 &lt; VLOOKUP($B31,'Transgrid Bonds'!$A$49:$K$54,5,FALSE), P32+VLOOKUP($B31,'Transgrid Bonds'!$A$49:$K$54,9,FALSE)*365, VLOOKUP($B31,'Transgrid Bonds'!$A$49:$K$54,5,FALSE))</f>
        <v>44951</v>
      </c>
      <c r="R32" s="180">
        <f>IF(Q32+VLOOKUP($B31,'Transgrid Bonds'!$A$49:$K$54,9,FALSE)*365 &lt; VLOOKUP($B31,'Transgrid Bonds'!$A$49:$K$54,5,FALSE), Q32+VLOOKUP($B31,'Transgrid Bonds'!$A$49:$K$54,9,FALSE)*365, VLOOKUP($B31,'Transgrid Bonds'!$A$49:$K$54,5,FALSE))</f>
        <v>45133.5</v>
      </c>
      <c r="S32" s="180">
        <f>IF(R32+VLOOKUP($B31,'Transgrid Bonds'!$A$49:$K$54,9,FALSE)*365 &lt; VLOOKUP($B31,'Transgrid Bonds'!$A$49:$K$54,5,FALSE), R32+VLOOKUP($B31,'Transgrid Bonds'!$A$49:$K$54,9,FALSE)*365, VLOOKUP($B31,'Transgrid Bonds'!$A$49:$K$54,5,FALSE))</f>
        <v>45316</v>
      </c>
      <c r="T32" s="180">
        <f>IF(S32+VLOOKUP($B31,'Transgrid Bonds'!$A$49:$K$54,9,FALSE)*365 &lt; VLOOKUP($B31,'Transgrid Bonds'!$A$49:$K$54,5,FALSE), S32+VLOOKUP($B31,'Transgrid Bonds'!$A$49:$K$54,9,FALSE)*365, VLOOKUP($B31,'Transgrid Bonds'!$A$49:$K$54,5,FALSE))</f>
        <v>45498.5</v>
      </c>
      <c r="U32" s="180">
        <f>IF(T32+VLOOKUP($B31,'Transgrid Bonds'!$A$49:$K$54,9,FALSE)*365 &lt; VLOOKUP($B31,'Transgrid Bonds'!$A$49:$K$54,5,FALSE), T32+VLOOKUP($B31,'Transgrid Bonds'!$A$49:$K$54,9,FALSE)*365, VLOOKUP($B31,'Transgrid Bonds'!$A$49:$K$54,5,FALSE))</f>
        <v>45681</v>
      </c>
      <c r="V32" s="180">
        <f>IF(U32+VLOOKUP($B31,'Transgrid Bonds'!$A$49:$K$54,9,FALSE)*365 &lt; VLOOKUP($B31,'Transgrid Bonds'!$A$49:$K$54,5,FALSE), U32+VLOOKUP($B31,'Transgrid Bonds'!$A$49:$K$54,9,FALSE)*365, VLOOKUP($B31,'Transgrid Bonds'!$A$49:$K$54,5,FALSE))</f>
        <v>45863.5</v>
      </c>
      <c r="W32" s="180">
        <f>IF(V32+VLOOKUP($B31,'Transgrid Bonds'!$A$49:$K$54,9,FALSE)*365 &lt; VLOOKUP($B31,'Transgrid Bonds'!$A$49:$K$54,5,FALSE), V32+VLOOKUP($B31,'Transgrid Bonds'!$A$49:$K$54,9,FALSE)*365, VLOOKUP($B31,'Transgrid Bonds'!$A$49:$K$54,5,FALSE))</f>
        <v>46046</v>
      </c>
      <c r="X32" s="180">
        <f>IF(W32+VLOOKUP($B31,'Transgrid Bonds'!$A$49:$K$54,9,FALSE)*365 &lt; VLOOKUP($B31,'Transgrid Bonds'!$A$49:$K$54,5,FALSE), W32+VLOOKUP($B31,'Transgrid Bonds'!$A$49:$K$54,9,FALSE)*365, VLOOKUP($B31,'Transgrid Bonds'!$A$49:$K$54,5,FALSE))</f>
        <v>46228.5</v>
      </c>
      <c r="Y32" s="180">
        <f>IF(X32+VLOOKUP($B31,'Transgrid Bonds'!$A$49:$K$54,9,FALSE)*365 &lt; VLOOKUP($B31,'Transgrid Bonds'!$A$49:$K$54,5,FALSE), X32+VLOOKUP($B31,'Transgrid Bonds'!$A$49:$K$54,9,FALSE)*365, VLOOKUP($B31,'Transgrid Bonds'!$A$49:$K$54,5,FALSE))</f>
        <v>46281</v>
      </c>
      <c r="Z32" s="27"/>
      <c r="AA32" s="27"/>
      <c r="AB32" s="27"/>
      <c r="AC32" s="27"/>
      <c r="AD32" s="27"/>
      <c r="AE32" s="27"/>
      <c r="AF32" s="27"/>
      <c r="AG32" s="27"/>
      <c r="AH32" s="27"/>
      <c r="AI32" s="27"/>
      <c r="AJ32" s="27"/>
      <c r="AK32" s="27"/>
      <c r="AL32" s="27"/>
      <c r="AM32" s="27"/>
    </row>
    <row r="33" spans="2:25">
      <c r="B33" t="s">
        <v>209</v>
      </c>
      <c r="E33" s="182">
        <f>IF(E32&lt;VLOOKUP($B31,'Transgrid Bonds'!$A$49:$K$54,5,FALSE),(VLOOKUP($B31,'Transgrid Bonds'!$A$49:$K$54,8,FALSE)/100)*(VLOOKUP($B31,'Transgrid Bonds'!$A$49:$K$54,9,FALSE))*(VLOOKUP($B31,'Transgrid Bonds'!$A$49:$K$54,6,FALSE)),(VLOOKUP($B31,'Transgrid Bonds'!$A$49:$K$54,6,FALSE)))</f>
        <v>4.1067180000000008</v>
      </c>
      <c r="F33" s="182">
        <f>IF(F32&lt;VLOOKUP($B31,'Transgrid Bonds'!$A$49:$K$54,5,FALSE),(VLOOKUP($B31,'Transgrid Bonds'!$A$49:$K$54,8,FALSE)/100)*(VLOOKUP($B31,'Transgrid Bonds'!$A$49:$K$54,9,FALSE))*(VLOOKUP($B31,'Transgrid Bonds'!$A$49:$K$54,6,FALSE)),(VLOOKUP($B31,'Transgrid Bonds'!$A$49:$K$54,6,FALSE)))</f>
        <v>4.1067180000000008</v>
      </c>
      <c r="G33" s="182">
        <f>IF(G32&lt;VLOOKUP($B31,'Transgrid Bonds'!$A$49:$K$54,5,FALSE),(VLOOKUP($B31,'Transgrid Bonds'!$A$49:$K$54,8,FALSE)/100)*(VLOOKUP($B31,'Transgrid Bonds'!$A$49:$K$54,9,FALSE))*(VLOOKUP($B31,'Transgrid Bonds'!$A$49:$K$54,6,FALSE)),(VLOOKUP($B31,'Transgrid Bonds'!$A$49:$K$54,6,FALSE)))</f>
        <v>4.1067180000000008</v>
      </c>
      <c r="H33" s="182">
        <f>IF(H32&lt;VLOOKUP($B31,'Transgrid Bonds'!$A$49:$K$54,5,FALSE),(VLOOKUP($B31,'Transgrid Bonds'!$A$49:$K$54,8,FALSE)/100)*(VLOOKUP($B31,'Transgrid Bonds'!$A$49:$K$54,9,FALSE))*(VLOOKUP($B31,'Transgrid Bonds'!$A$49:$K$54,6,FALSE)),(VLOOKUP($B31,'Transgrid Bonds'!$A$49:$K$54,6,FALSE)))</f>
        <v>4.1067180000000008</v>
      </c>
      <c r="I33" s="182">
        <f>IF(I32&lt;VLOOKUP($B31,'Transgrid Bonds'!$A$49:$K$54,5,FALSE),(VLOOKUP($B31,'Transgrid Bonds'!$A$49:$K$54,8,FALSE)/100)*(VLOOKUP($B31,'Transgrid Bonds'!$A$49:$K$54,9,FALSE))*(VLOOKUP($B31,'Transgrid Bonds'!$A$49:$K$54,6,FALSE)),(VLOOKUP($B31,'Transgrid Bonds'!$A$49:$K$54,6,FALSE)))</f>
        <v>4.1067180000000008</v>
      </c>
      <c r="J33" s="182">
        <f>IF(J32&lt;VLOOKUP($B31,'Transgrid Bonds'!$A$49:$K$54,5,FALSE),(VLOOKUP($B31,'Transgrid Bonds'!$A$49:$K$54,8,FALSE)/100)*(VLOOKUP($B31,'Transgrid Bonds'!$A$49:$K$54,9,FALSE))*(VLOOKUP($B31,'Transgrid Bonds'!$A$49:$K$54,6,FALSE)),(VLOOKUP($B31,'Transgrid Bonds'!$A$49:$K$54,6,FALSE)))</f>
        <v>4.1067180000000008</v>
      </c>
      <c r="K33" s="182">
        <f>IF(K32&lt;VLOOKUP($B31,'Transgrid Bonds'!$A$49:$K$54,5,FALSE),(VLOOKUP($B31,'Transgrid Bonds'!$A$49:$K$54,8,FALSE)/100)*(VLOOKUP($B31,'Transgrid Bonds'!$A$49:$K$54,9,FALSE))*(VLOOKUP($B31,'Transgrid Bonds'!$A$49:$K$54,6,FALSE)),(VLOOKUP($B31,'Transgrid Bonds'!$A$49:$K$54,6,FALSE)))</f>
        <v>4.1067180000000008</v>
      </c>
      <c r="L33" s="182">
        <f>IF(L32&lt;VLOOKUP($B31,'Transgrid Bonds'!$A$49:$K$54,5,FALSE),(VLOOKUP($B31,'Transgrid Bonds'!$A$49:$K$54,8,FALSE)/100)*(VLOOKUP($B31,'Transgrid Bonds'!$A$49:$K$54,9,FALSE))*(VLOOKUP($B31,'Transgrid Bonds'!$A$49:$K$54,6,FALSE)),(VLOOKUP($B31,'Transgrid Bonds'!$A$49:$K$54,6,FALSE)))</f>
        <v>4.1067180000000008</v>
      </c>
      <c r="M33" s="182">
        <f>IF(M32&lt;VLOOKUP($B31,'Transgrid Bonds'!$A$49:$K$54,5,FALSE),(VLOOKUP($B31,'Transgrid Bonds'!$A$49:$K$54,8,FALSE)/100)*(VLOOKUP($B31,'Transgrid Bonds'!$A$49:$K$54,9,FALSE))*(VLOOKUP($B31,'Transgrid Bonds'!$A$49:$K$54,6,FALSE)),(VLOOKUP($B31,'Transgrid Bonds'!$A$49:$K$54,6,FALSE)))</f>
        <v>4.1067180000000008</v>
      </c>
      <c r="N33" s="182">
        <f>IF(N32&lt;VLOOKUP($B31,'Transgrid Bonds'!$A$49:$K$54,5,FALSE),(VLOOKUP($B31,'Transgrid Bonds'!$A$49:$K$54,8,FALSE)/100)*(VLOOKUP($B31,'Transgrid Bonds'!$A$49:$K$54,9,FALSE))*(VLOOKUP($B31,'Transgrid Bonds'!$A$49:$K$54,6,FALSE)),(VLOOKUP($B31,'Transgrid Bonds'!$A$49:$K$54,6,FALSE)))</f>
        <v>4.1067180000000008</v>
      </c>
      <c r="O33" s="182">
        <f>IF(O32&lt;VLOOKUP($B31,'Transgrid Bonds'!$A$49:$K$54,5,FALSE),(VLOOKUP($B31,'Transgrid Bonds'!$A$49:$K$54,8,FALSE)/100)*(VLOOKUP($B31,'Transgrid Bonds'!$A$49:$K$54,9,FALSE))*(VLOOKUP($B31,'Transgrid Bonds'!$A$49:$K$54,6,FALSE)),(VLOOKUP($B31,'Transgrid Bonds'!$A$49:$K$54,6,FALSE)))</f>
        <v>4.1067180000000008</v>
      </c>
      <c r="P33" s="182">
        <f>IF(P32&lt;VLOOKUP($B31,'Transgrid Bonds'!$A$49:$K$54,5,FALSE),(VLOOKUP($B31,'Transgrid Bonds'!$A$49:$K$54,8,FALSE)/100)*(VLOOKUP($B31,'Transgrid Bonds'!$A$49:$K$54,9,FALSE))*(VLOOKUP($B31,'Transgrid Bonds'!$A$49:$K$54,6,FALSE)),(VLOOKUP($B31,'Transgrid Bonds'!$A$49:$K$54,6,FALSE)))</f>
        <v>4.1067180000000008</v>
      </c>
      <c r="Q33" s="182">
        <f>IF(Q32&lt;VLOOKUP($B31,'Transgrid Bonds'!$A$49:$K$54,5,FALSE),(VLOOKUP($B31,'Transgrid Bonds'!$A$49:$K$54,8,FALSE)/100)*(VLOOKUP($B31,'Transgrid Bonds'!$A$49:$K$54,9,FALSE))*(VLOOKUP($B31,'Transgrid Bonds'!$A$49:$K$54,6,FALSE)),(VLOOKUP($B31,'Transgrid Bonds'!$A$49:$K$54,6,FALSE)))</f>
        <v>4.1067180000000008</v>
      </c>
      <c r="R33" s="182">
        <f>IF(R32&lt;VLOOKUP($B31,'Transgrid Bonds'!$A$49:$K$54,5,FALSE),(VLOOKUP($B31,'Transgrid Bonds'!$A$49:$K$54,8,FALSE)/100)*(VLOOKUP($B31,'Transgrid Bonds'!$A$49:$K$54,9,FALSE))*(VLOOKUP($B31,'Transgrid Bonds'!$A$49:$K$54,6,FALSE)),(VLOOKUP($B31,'Transgrid Bonds'!$A$49:$K$54,6,FALSE)))</f>
        <v>4.1067180000000008</v>
      </c>
      <c r="S33" s="182">
        <f>IF(S32&lt;VLOOKUP($B31,'Transgrid Bonds'!$A$49:$K$54,5,FALSE),(VLOOKUP($B31,'Transgrid Bonds'!$A$49:$K$54,8,FALSE)/100)*(VLOOKUP($B31,'Transgrid Bonds'!$A$49:$K$54,9,FALSE))*(VLOOKUP($B31,'Transgrid Bonds'!$A$49:$K$54,6,FALSE)),(VLOOKUP($B31,'Transgrid Bonds'!$A$49:$K$54,6,FALSE)))</f>
        <v>4.1067180000000008</v>
      </c>
      <c r="T33" s="182">
        <f>IF(T32&lt;VLOOKUP($B31,'Transgrid Bonds'!$A$49:$K$54,5,FALSE),(VLOOKUP($B31,'Transgrid Bonds'!$A$49:$K$54,8,FALSE)/100)*(VLOOKUP($B31,'Transgrid Bonds'!$A$49:$K$54,9,FALSE))*(VLOOKUP($B31,'Transgrid Bonds'!$A$49:$K$54,6,FALSE)),(VLOOKUP($B31,'Transgrid Bonds'!$A$49:$K$54,6,FALSE)))</f>
        <v>4.1067180000000008</v>
      </c>
      <c r="U33" s="182">
        <f>IF(U32&lt;VLOOKUP($B31,'Transgrid Bonds'!$A$49:$K$54,5,FALSE),(VLOOKUP($B31,'Transgrid Bonds'!$A$49:$K$54,8,FALSE)/100)*(VLOOKUP($B31,'Transgrid Bonds'!$A$49:$K$54,9,FALSE))*(VLOOKUP($B31,'Transgrid Bonds'!$A$49:$K$54,6,FALSE)),(VLOOKUP($B31,'Transgrid Bonds'!$A$49:$K$54,6,FALSE)))</f>
        <v>4.1067180000000008</v>
      </c>
      <c r="V33" s="182">
        <f>IF(V32&lt;VLOOKUP($B31,'Transgrid Bonds'!$A$49:$K$54,5,FALSE),(VLOOKUP($B31,'Transgrid Bonds'!$A$49:$K$54,8,FALSE)/100)*(VLOOKUP($B31,'Transgrid Bonds'!$A$49:$K$54,9,FALSE))*(VLOOKUP($B31,'Transgrid Bonds'!$A$49:$K$54,6,FALSE)),(VLOOKUP($B31,'Transgrid Bonds'!$A$49:$K$54,6,FALSE)))</f>
        <v>4.1067180000000008</v>
      </c>
      <c r="W33" s="182">
        <f>IF(W32&lt;VLOOKUP($B31,'Transgrid Bonds'!$A$49:$K$54,5,FALSE),(VLOOKUP($B31,'Transgrid Bonds'!$A$49:$K$54,8,FALSE)/100)*(VLOOKUP($B31,'Transgrid Bonds'!$A$49:$K$54,9,FALSE))*(VLOOKUP($B31,'Transgrid Bonds'!$A$49:$K$54,6,FALSE)),(VLOOKUP($B31,'Transgrid Bonds'!$A$49:$K$54,6,FALSE)))</f>
        <v>4.1067180000000008</v>
      </c>
      <c r="X33" s="182">
        <f>IF(X32&lt;VLOOKUP($B31,'Transgrid Bonds'!$A$49:$K$54,5,FALSE),(VLOOKUP($B31,'Transgrid Bonds'!$A$49:$K$54,8,FALSE)/100)*(VLOOKUP($B31,'Transgrid Bonds'!$A$49:$K$54,9,FALSE))*(VLOOKUP($B31,'Transgrid Bonds'!$A$49:$K$54,6,FALSE)),(VLOOKUP($B31,'Transgrid Bonds'!$A$49:$K$54,6,FALSE)))</f>
        <v>4.1067180000000008</v>
      </c>
      <c r="Y33" s="182">
        <f>IF(Y32&lt;VLOOKUP($B31,'Transgrid Bonds'!$A$49:$K$54,5,FALSE),(VLOOKUP($B31,'Transgrid Bonds'!$A$49:$K$54,8,FALSE)/100)*(VLOOKUP($B31,'Transgrid Bonds'!$A$49:$K$54,9,FALSE))*(VLOOKUP($B31,'Transgrid Bonds'!$A$49:$K$54,6,FALSE)),(VLOOKUP($B31,'Transgrid Bonds'!$A$49:$K$54,6,FALSE)))</f>
        <v>266.67</v>
      </c>
    </row>
    <row r="34" spans="2:25">
      <c r="B34" s="135">
        <v>42916</v>
      </c>
    </row>
    <row r="35" spans="2:25">
      <c r="B35" t="s">
        <v>210</v>
      </c>
      <c r="F35" s="182">
        <f t="shared" ref="F35:Y35" si="10">(F$32-$B34)/365</f>
        <v>7.5342465753424653E-2</v>
      </c>
      <c r="G35" s="182">
        <f t="shared" si="10"/>
        <v>0.57534246575342463</v>
      </c>
      <c r="H35" s="182">
        <f t="shared" si="10"/>
        <v>1.0753424657534247</v>
      </c>
      <c r="I35" s="182">
        <f t="shared" si="10"/>
        <v>1.5753424657534247</v>
      </c>
      <c r="J35" s="182">
        <f t="shared" si="10"/>
        <v>2.0753424657534247</v>
      </c>
      <c r="K35" s="182">
        <f t="shared" si="10"/>
        <v>2.5753424657534247</v>
      </c>
      <c r="L35" s="182">
        <f t="shared" si="10"/>
        <v>3.0753424657534247</v>
      </c>
      <c r="M35" s="182">
        <f t="shared" si="10"/>
        <v>3.5753424657534247</v>
      </c>
      <c r="N35" s="182">
        <f t="shared" si="10"/>
        <v>4.0753424657534243</v>
      </c>
      <c r="O35" s="182">
        <f t="shared" si="10"/>
        <v>4.5753424657534243</v>
      </c>
      <c r="P35" s="182">
        <f t="shared" si="10"/>
        <v>5.0753424657534243</v>
      </c>
      <c r="Q35" s="182">
        <f t="shared" si="10"/>
        <v>5.5753424657534243</v>
      </c>
      <c r="R35" s="182">
        <f t="shared" si="10"/>
        <v>6.0753424657534243</v>
      </c>
      <c r="S35" s="182">
        <f t="shared" si="10"/>
        <v>6.5753424657534243</v>
      </c>
      <c r="T35" s="182">
        <f t="shared" si="10"/>
        <v>7.0753424657534243</v>
      </c>
      <c r="U35" s="182">
        <f t="shared" si="10"/>
        <v>7.5753424657534243</v>
      </c>
      <c r="V35" s="182">
        <f t="shared" si="10"/>
        <v>8.0753424657534243</v>
      </c>
      <c r="W35" s="182">
        <f t="shared" si="10"/>
        <v>8.5753424657534243</v>
      </c>
      <c r="X35" s="182">
        <f t="shared" si="10"/>
        <v>9.0753424657534243</v>
      </c>
      <c r="Y35" s="182">
        <f t="shared" si="10"/>
        <v>9.2191780821917817</v>
      </c>
    </row>
    <row r="36" spans="2:25">
      <c r="B36" t="s">
        <v>211</v>
      </c>
      <c r="F36" s="183">
        <f>1+((INDEX('Yield Curve'!$B$48:$P$91,MATCH(ROUND(F35,0),'Yield Curve'!$B$48:$B$91,0),MATCH(YEAR($B34),'Yield Curve'!$B$48:$P$48,0)))/100)</f>
        <v>1.0326500000000001</v>
      </c>
      <c r="G36" s="183">
        <f>1+((INDEX('Yield Curve'!$B$48:$P$91,MATCH(ROUND(G35,0),'Yield Curve'!$B$48:$B$91,0),MATCH(YEAR($B34),'Yield Curve'!$B$48:$P$48,0)))/100)</f>
        <v>1.0326500000000001</v>
      </c>
      <c r="H36" s="183">
        <f>1+((INDEX('Yield Curve'!$B$48:$P$91,MATCH(ROUND(H35,0),'Yield Curve'!$B$48:$B$91,0),MATCH(YEAR($B34),'Yield Curve'!$B$48:$P$48,0)))/100)</f>
        <v>1.0326500000000001</v>
      </c>
      <c r="I36" s="183">
        <f>1+((INDEX('Yield Curve'!$B$48:$P$91,MATCH(ROUND(I35,0),'Yield Curve'!$B$48:$B$91,0),MATCH(YEAR($B34),'Yield Curve'!$B$48:$P$48,0)))/100)</f>
        <v>1.0326500000000001</v>
      </c>
      <c r="J36" s="183">
        <f>1+((INDEX('Yield Curve'!$B$48:$P$91,MATCH(ROUND(J35,0),'Yield Curve'!$B$48:$B$91,0),MATCH(YEAR($B34),'Yield Curve'!$B$48:$P$48,0)))/100)</f>
        <v>1.0326500000000001</v>
      </c>
      <c r="K36" s="183">
        <f>1+((INDEX('Yield Curve'!$B$48:$P$91,MATCH(ROUND(K35,0),'Yield Curve'!$B$48:$B$91,0),MATCH(YEAR($B34),'Yield Curve'!$B$48:$P$48,0)))/100)</f>
        <v>1.0326500000000001</v>
      </c>
      <c r="L36" s="183">
        <f>1+((INDEX('Yield Curve'!$B$48:$P$91,MATCH(ROUND(L35,0),'Yield Curve'!$B$48:$B$91,0),MATCH(YEAR($B34),'Yield Curve'!$B$48:$P$48,0)))/100)</f>
        <v>1.0326500000000001</v>
      </c>
      <c r="M36" s="183">
        <f>1+((INDEX('Yield Curve'!$B$48:$P$91,MATCH(ROUND(M35,0),'Yield Curve'!$B$48:$B$91,0),MATCH(YEAR($B34),'Yield Curve'!$B$48:$P$48,0)))/100)</f>
        <v>1.034025</v>
      </c>
      <c r="N36" s="183">
        <f>1+((INDEX('Yield Curve'!$B$48:$P$91,MATCH(ROUND(N35,0),'Yield Curve'!$B$48:$B$91,0),MATCH(YEAR($B34),'Yield Curve'!$B$48:$P$48,0)))/100)</f>
        <v>1.034025</v>
      </c>
      <c r="O36" s="183">
        <f>1+((INDEX('Yield Curve'!$B$48:$P$91,MATCH(ROUND(O35,0),'Yield Curve'!$B$48:$B$91,0),MATCH(YEAR($B34),'Yield Curve'!$B$48:$P$48,0)))/100)</f>
        <v>1.0354000000000001</v>
      </c>
      <c r="P36" s="183">
        <f>1+((INDEX('Yield Curve'!$B$48:$P$91,MATCH(ROUND(P35,0),'Yield Curve'!$B$48:$B$91,0),MATCH(YEAR($B34),'Yield Curve'!$B$48:$P$48,0)))/100)</f>
        <v>1.0354000000000001</v>
      </c>
      <c r="Q36" s="183">
        <f>1+((INDEX('Yield Curve'!$B$48:$P$91,MATCH(ROUND(Q35,0),'Yield Curve'!$B$48:$B$91,0),MATCH(YEAR($B34),'Yield Curve'!$B$48:$P$48,0)))/100)</f>
        <v>1.0375000000000001</v>
      </c>
      <c r="R36" s="183">
        <f>1+((INDEX('Yield Curve'!$B$48:$P$91,MATCH(ROUND(R35,0),'Yield Curve'!$B$48:$B$91,0),MATCH(YEAR($B34),'Yield Curve'!$B$48:$P$48,0)))/100)</f>
        <v>1.0375000000000001</v>
      </c>
      <c r="S36" s="183">
        <f>1+((INDEX('Yield Curve'!$B$48:$P$91,MATCH(ROUND(S35,0),'Yield Curve'!$B$48:$B$91,0),MATCH(YEAR($B34),'Yield Curve'!$B$48:$P$48,0)))/100)</f>
        <v>1.0396000000000001</v>
      </c>
      <c r="T36" s="183">
        <f>1+((INDEX('Yield Curve'!$B$48:$P$91,MATCH(ROUND(T35,0),'Yield Curve'!$B$48:$B$91,0),MATCH(YEAR($B34),'Yield Curve'!$B$48:$P$48,0)))/100)</f>
        <v>1.0396000000000001</v>
      </c>
      <c r="U36" s="183">
        <f>1+((INDEX('Yield Curve'!$B$48:$P$91,MATCH(ROUND(U35,0),'Yield Curve'!$B$48:$B$91,0),MATCH(YEAR($B34),'Yield Curve'!$B$48:$P$48,0)))/100)</f>
        <v>1.0405249999999999</v>
      </c>
      <c r="V36" s="183">
        <f>1+((INDEX('Yield Curve'!$B$48:$P$91,MATCH(ROUND(V35,0),'Yield Curve'!$B$48:$B$91,0),MATCH(YEAR($B34),'Yield Curve'!$B$48:$P$48,0)))/100)</f>
        <v>1.0405249999999999</v>
      </c>
      <c r="W36" s="183">
        <f>1+((INDEX('Yield Curve'!$B$48:$P$91,MATCH(ROUND(W35,0),'Yield Curve'!$B$48:$B$91,0),MATCH(YEAR($B34),'Yield Curve'!$B$48:$P$48,0)))/100)</f>
        <v>1.0423750000000001</v>
      </c>
      <c r="X36" s="183">
        <f>1+((INDEX('Yield Curve'!$B$48:$P$91,MATCH(ROUND(X35,0),'Yield Curve'!$B$48:$B$91,0),MATCH(YEAR($B34),'Yield Curve'!$B$48:$P$48,0)))/100)</f>
        <v>1.0423750000000001</v>
      </c>
      <c r="Y36" s="183">
        <f>1+((INDEX('Yield Curve'!$B$48:$P$91,MATCH(ROUND(Y35,0),'Yield Curve'!$B$48:$B$91,0),MATCH(YEAR($B34),'Yield Curve'!$B$48:$P$48,0)))/100)</f>
        <v>1.0423750000000001</v>
      </c>
    </row>
    <row r="37" spans="2:25">
      <c r="B37" t="s">
        <v>212</v>
      </c>
      <c r="C37" s="182">
        <f>SUM(D37:Y37)</f>
        <v>248.04701227206368</v>
      </c>
      <c r="F37" s="182">
        <f t="shared" ref="F37:Y37" si="11">F$33/(F36^F35)</f>
        <v>4.0967891918954784</v>
      </c>
      <c r="G37" s="182">
        <f t="shared" si="11"/>
        <v>4.0315035112844289</v>
      </c>
      <c r="H37" s="182">
        <f t="shared" si="11"/>
        <v>3.967258211296643</v>
      </c>
      <c r="I37" s="182">
        <f t="shared" si="11"/>
        <v>3.9040367126174682</v>
      </c>
      <c r="J37" s="182">
        <f t="shared" si="11"/>
        <v>3.8418227001371639</v>
      </c>
      <c r="K37" s="182">
        <f t="shared" si="11"/>
        <v>3.7806001187405878</v>
      </c>
      <c r="L37" s="182">
        <f t="shared" si="11"/>
        <v>3.7203531691639604</v>
      </c>
      <c r="M37" s="182">
        <f t="shared" si="11"/>
        <v>3.6436901703460061</v>
      </c>
      <c r="N37" s="182">
        <f t="shared" si="11"/>
        <v>3.5832401979854218</v>
      </c>
      <c r="O37" s="182">
        <f t="shared" si="11"/>
        <v>3.5024332951526178</v>
      </c>
      <c r="P37" s="182">
        <f t="shared" si="11"/>
        <v>3.4420390448623039</v>
      </c>
      <c r="Q37" s="182">
        <f t="shared" si="11"/>
        <v>3.3446888227519103</v>
      </c>
      <c r="R37" s="182">
        <f t="shared" si="11"/>
        <v>3.2836863388710329</v>
      </c>
      <c r="S37" s="182">
        <f t="shared" si="11"/>
        <v>3.1812175884659206</v>
      </c>
      <c r="T37" s="182">
        <f t="shared" si="11"/>
        <v>3.1200405579215071</v>
      </c>
      <c r="U37" s="182">
        <f t="shared" si="11"/>
        <v>3.0394929514299887</v>
      </c>
      <c r="V37" s="182">
        <f t="shared" si="11"/>
        <v>2.9797160551697175</v>
      </c>
      <c r="W37" s="182">
        <f t="shared" si="11"/>
        <v>2.8769546890095463</v>
      </c>
      <c r="X37" s="182">
        <f t="shared" si="11"/>
        <v>2.8178704873242113</v>
      </c>
      <c r="Y37" s="182">
        <f t="shared" si="11"/>
        <v>181.88957845763775</v>
      </c>
    </row>
    <row r="38" spans="2:25">
      <c r="B38" s="135">
        <v>43281</v>
      </c>
    </row>
    <row r="39" spans="2:25">
      <c r="B39" t="s">
        <v>210</v>
      </c>
      <c r="H39" s="182">
        <f t="shared" ref="H39" si="12">(H$32-$B38)/365</f>
        <v>7.5342465753424653E-2</v>
      </c>
      <c r="I39" s="182">
        <f t="shared" ref="I39" si="13">(I$32-$B38)/365</f>
        <v>0.57534246575342463</v>
      </c>
      <c r="J39" s="182">
        <f t="shared" ref="J39" si="14">(J$32-$B38)/365</f>
        <v>1.0753424657534247</v>
      </c>
      <c r="K39" s="182">
        <f t="shared" ref="K39" si="15">(K$32-$B38)/365</f>
        <v>1.5753424657534247</v>
      </c>
      <c r="L39" s="182">
        <f t="shared" ref="L39" si="16">(L$32-$B38)/365</f>
        <v>2.0753424657534247</v>
      </c>
      <c r="M39" s="182">
        <f t="shared" ref="M39" si="17">(M$32-$B38)/365</f>
        <v>2.5753424657534247</v>
      </c>
      <c r="N39" s="182">
        <f t="shared" ref="N39" si="18">(N$32-$B38)/365</f>
        <v>3.0753424657534247</v>
      </c>
      <c r="O39" s="182">
        <f t="shared" ref="O39" si="19">(O$32-$B38)/365</f>
        <v>3.5753424657534247</v>
      </c>
      <c r="P39" s="182">
        <f t="shared" ref="P39" si="20">(P$32-$B38)/365</f>
        <v>4.0753424657534243</v>
      </c>
      <c r="Q39" s="182">
        <f t="shared" ref="Q39" si="21">(Q$32-$B38)/365</f>
        <v>4.5753424657534243</v>
      </c>
      <c r="R39" s="182">
        <f t="shared" ref="R39" si="22">(R$32-$B38)/365</f>
        <v>5.0753424657534243</v>
      </c>
      <c r="S39" s="182">
        <f t="shared" ref="S39" si="23">(S$32-$B38)/365</f>
        <v>5.5753424657534243</v>
      </c>
      <c r="T39" s="182">
        <f t="shared" ref="T39" si="24">(T$32-$B38)/365</f>
        <v>6.0753424657534243</v>
      </c>
      <c r="U39" s="182">
        <f t="shared" ref="U39" si="25">(U$32-$B38)/365</f>
        <v>6.5753424657534243</v>
      </c>
      <c r="V39" s="182">
        <f t="shared" ref="V39" si="26">(V$32-$B38)/365</f>
        <v>7.0753424657534243</v>
      </c>
      <c r="W39" s="182">
        <f t="shared" ref="W39" si="27">(W$32-$B38)/365</f>
        <v>7.5753424657534243</v>
      </c>
      <c r="X39" s="182">
        <f t="shared" ref="X39" si="28">(X$32-$B38)/365</f>
        <v>8.0753424657534243</v>
      </c>
      <c r="Y39" s="182">
        <f t="shared" ref="Y39" si="29">(Y$32-$B38)/365</f>
        <v>8.2191780821917817</v>
      </c>
    </row>
    <row r="40" spans="2:25">
      <c r="B40" t="s">
        <v>211</v>
      </c>
      <c r="H40" s="183">
        <f>1+((INDEX('Yield Curve'!$B$48:$P$91,MATCH(ROUND(H39,0),'Yield Curve'!$B$48:$B$91,0),MATCH(YEAR($B38),'Yield Curve'!$B$48:$P$48,0)))/100)</f>
        <v>1.03315</v>
      </c>
      <c r="I40" s="183">
        <f>1+((INDEX('Yield Curve'!$B$48:$P$91,MATCH(ROUND(I39,0),'Yield Curve'!$B$48:$B$91,0),MATCH(YEAR($B38),'Yield Curve'!$B$48:$P$48,0)))/100)</f>
        <v>1.03315</v>
      </c>
      <c r="J40" s="183">
        <f>1+((INDEX('Yield Curve'!$B$48:$P$91,MATCH(ROUND(J39,0),'Yield Curve'!$B$48:$B$91,0),MATCH(YEAR($B38),'Yield Curve'!$B$48:$P$48,0)))/100)</f>
        <v>1.03315</v>
      </c>
      <c r="K40" s="183">
        <f>1+((INDEX('Yield Curve'!$B$48:$P$91,MATCH(ROUND(K39,0),'Yield Curve'!$B$48:$B$91,0),MATCH(YEAR($B38),'Yield Curve'!$B$48:$P$48,0)))/100)</f>
        <v>1.03315</v>
      </c>
      <c r="L40" s="183">
        <f>1+((INDEX('Yield Curve'!$B$48:$P$91,MATCH(ROUND(L39,0),'Yield Curve'!$B$48:$B$91,0),MATCH(YEAR($B38),'Yield Curve'!$B$48:$P$48,0)))/100)</f>
        <v>1.03315</v>
      </c>
      <c r="M40" s="183">
        <f>1+((INDEX('Yield Curve'!$B$48:$P$91,MATCH(ROUND(M39,0),'Yield Curve'!$B$48:$B$91,0),MATCH(YEAR($B38),'Yield Curve'!$B$48:$P$48,0)))/100)</f>
        <v>1.03315</v>
      </c>
      <c r="N40" s="183">
        <f>1+((INDEX('Yield Curve'!$B$48:$P$91,MATCH(ROUND(N39,0),'Yield Curve'!$B$48:$B$91,0),MATCH(YEAR($B38),'Yield Curve'!$B$48:$P$48,0)))/100)</f>
        <v>1.03315</v>
      </c>
      <c r="O40" s="183">
        <f>1+((INDEX('Yield Curve'!$B$48:$P$91,MATCH(ROUND(O39,0),'Yield Curve'!$B$48:$B$91,0),MATCH(YEAR($B38),'Yield Curve'!$B$48:$P$48,0)))/100)</f>
        <v>1.0349999999999999</v>
      </c>
      <c r="P40" s="183">
        <f>1+((INDEX('Yield Curve'!$B$48:$P$91,MATCH(ROUND(P39,0),'Yield Curve'!$B$48:$B$91,0),MATCH(YEAR($B38),'Yield Curve'!$B$48:$P$48,0)))/100)</f>
        <v>1.0349999999999999</v>
      </c>
      <c r="Q40" s="183">
        <f>1+((INDEX('Yield Curve'!$B$48:$P$91,MATCH(ROUND(Q39,0),'Yield Curve'!$B$48:$B$91,0),MATCH(YEAR($B38),'Yield Curve'!$B$48:$P$48,0)))/100)</f>
        <v>1.03685</v>
      </c>
      <c r="R40" s="183">
        <f>1+((INDEX('Yield Curve'!$B$48:$P$91,MATCH(ROUND(R39,0),'Yield Curve'!$B$48:$B$91,0),MATCH(YEAR($B38),'Yield Curve'!$B$48:$P$48,0)))/100)</f>
        <v>1.03685</v>
      </c>
      <c r="S40" s="183">
        <f>1+((INDEX('Yield Curve'!$B$48:$P$91,MATCH(ROUND(S39,0),'Yield Curve'!$B$48:$B$91,0),MATCH(YEAR($B38),'Yield Curve'!$B$48:$P$48,0)))/100)</f>
        <v>1.0386</v>
      </c>
      <c r="T40" s="183">
        <f>1+((INDEX('Yield Curve'!$B$48:$P$91,MATCH(ROUND(T39,0),'Yield Curve'!$B$48:$B$91,0),MATCH(YEAR($B38),'Yield Curve'!$B$48:$P$48,0)))/100)</f>
        <v>1.0386</v>
      </c>
      <c r="U40" s="183">
        <f>1+((INDEX('Yield Curve'!$B$48:$P$91,MATCH(ROUND(U39,0),'Yield Curve'!$B$48:$B$91,0),MATCH(YEAR($B38),'Yield Curve'!$B$48:$P$48,0)))/100)</f>
        <v>1.0403500000000001</v>
      </c>
      <c r="V40" s="183">
        <f>1+((INDEX('Yield Curve'!$B$48:$P$91,MATCH(ROUND(V39,0),'Yield Curve'!$B$48:$B$91,0),MATCH(YEAR($B38),'Yield Curve'!$B$48:$P$48,0)))/100)</f>
        <v>1.0403500000000001</v>
      </c>
      <c r="W40" s="183">
        <f>1+((INDEX('Yield Curve'!$B$48:$P$91,MATCH(ROUND(W39,0),'Yield Curve'!$B$48:$B$91,0),MATCH(YEAR($B38),'Yield Curve'!$B$48:$P$48,0)))/100)</f>
        <v>1.0414874999999999</v>
      </c>
      <c r="X40" s="183">
        <f>1+((INDEX('Yield Curve'!$B$48:$P$91,MATCH(ROUND(X39,0),'Yield Curve'!$B$48:$B$91,0),MATCH(YEAR($B38),'Yield Curve'!$B$48:$P$48,0)))/100)</f>
        <v>1.0414874999999999</v>
      </c>
      <c r="Y40" s="183">
        <f>1+((INDEX('Yield Curve'!$B$48:$P$91,MATCH(ROUND(Y39,0),'Yield Curve'!$B$48:$B$91,0),MATCH(YEAR($B38),'Yield Curve'!$B$48:$P$48,0)))/100)</f>
        <v>1.0414874999999999</v>
      </c>
    </row>
    <row r="41" spans="2:25">
      <c r="B41" t="s">
        <v>212</v>
      </c>
      <c r="C41" s="182">
        <f>SUM(D41:Y41)</f>
        <v>251.18357098171393</v>
      </c>
      <c r="H41" s="182">
        <f t="shared" ref="H41" si="30">H$33/(H40^H39)</f>
        <v>4.0966397792820475</v>
      </c>
      <c r="I41" s="182">
        <f t="shared" ref="I41" si="31">I$33/(I40^I39)</f>
        <v>4.0303808603759181</v>
      </c>
      <c r="J41" s="182">
        <f t="shared" ref="J41" si="32">J$33/(J40^J39)</f>
        <v>3.9651936110749149</v>
      </c>
      <c r="K41" s="182">
        <f t="shared" ref="K41" si="33">K$33/(K40^K39)</f>
        <v>3.9010606982296063</v>
      </c>
      <c r="L41" s="182">
        <f t="shared" ref="L41" si="34">L$33/(L40^L39)</f>
        <v>3.8379650690363594</v>
      </c>
      <c r="M41" s="182">
        <f t="shared" ref="M41" si="35">M$33/(M40^M39)</f>
        <v>3.7758899465030313</v>
      </c>
      <c r="N41" s="182">
        <f t="shared" ref="N41" si="36">N$33/(N40^N39)</f>
        <v>3.714818824988007</v>
      </c>
      <c r="O41" s="182">
        <f t="shared" ref="O41" si="37">O$33/(O40^O39)</f>
        <v>3.6314328232099022</v>
      </c>
      <c r="P41" s="182">
        <f t="shared" ref="P41" si="38">P$33/(P40^P39)</f>
        <v>3.5695037273277919</v>
      </c>
      <c r="Q41" s="182">
        <f t="shared" ref="Q41" si="39">Q$33/(Q40^Q39)</f>
        <v>3.4800790627987874</v>
      </c>
      <c r="R41" s="182">
        <f t="shared" ref="R41" si="40">R$33/(R40^R39)</f>
        <v>3.4176780144415808</v>
      </c>
      <c r="S41" s="182">
        <f t="shared" ref="S41" si="41">S$33/(S40^S39)</f>
        <v>3.3249864092094916</v>
      </c>
      <c r="T41" s="182">
        <f t="shared" ref="T41" si="42">T$33/(T40^T39)</f>
        <v>3.2626141496318328</v>
      </c>
      <c r="U41" s="182">
        <f t="shared" ref="U41" si="43">U$33/(U40^U39)</f>
        <v>3.1661681310978</v>
      </c>
      <c r="V41" s="182">
        <f t="shared" ref="V41" si="44">V$33/(V40^V39)</f>
        <v>3.1041609944992534</v>
      </c>
      <c r="W41" s="182">
        <f t="shared" ref="W41" si="45">W$33/(W40^W39)</f>
        <v>3.0182785481746577</v>
      </c>
      <c r="X41" s="182">
        <f t="shared" ref="X41" si="46">X$33/(X40^X39)</f>
        <v>2.9575512981961416</v>
      </c>
      <c r="Y41" s="182">
        <f t="shared" ref="Y41" si="47">Y$33/(Y40^Y39)</f>
        <v>190.92916903363681</v>
      </c>
    </row>
    <row r="42" spans="2:25">
      <c r="B42" s="135">
        <v>43646</v>
      </c>
    </row>
    <row r="43" spans="2:25">
      <c r="B43" t="s">
        <v>210</v>
      </c>
      <c r="J43" s="182">
        <f t="shared" ref="J43" si="48">(J$32-$B42)/365</f>
        <v>7.5342465753424653E-2</v>
      </c>
      <c r="K43" s="182">
        <f t="shared" ref="K43" si="49">(K$32-$B42)/365</f>
        <v>0.57534246575342463</v>
      </c>
      <c r="L43" s="182">
        <f t="shared" ref="L43" si="50">(L$32-$B42)/365</f>
        <v>1.0753424657534247</v>
      </c>
      <c r="M43" s="182">
        <f t="shared" ref="M43" si="51">(M$32-$B42)/365</f>
        <v>1.5753424657534247</v>
      </c>
      <c r="N43" s="182">
        <f t="shared" ref="N43" si="52">(N$32-$B42)/365</f>
        <v>2.0753424657534247</v>
      </c>
      <c r="O43" s="182">
        <f t="shared" ref="O43" si="53">(O$32-$B42)/365</f>
        <v>2.5753424657534247</v>
      </c>
      <c r="P43" s="182">
        <f t="shared" ref="P43" si="54">(P$32-$B42)/365</f>
        <v>3.0753424657534247</v>
      </c>
      <c r="Q43" s="182">
        <f t="shared" ref="Q43" si="55">(Q$32-$B42)/365</f>
        <v>3.5753424657534247</v>
      </c>
      <c r="R43" s="182">
        <f t="shared" ref="R43" si="56">(R$32-$B42)/365</f>
        <v>4.0753424657534243</v>
      </c>
      <c r="S43" s="182">
        <f t="shared" ref="S43" si="57">(S$32-$B42)/365</f>
        <v>4.5753424657534243</v>
      </c>
      <c r="T43" s="182">
        <f t="shared" ref="T43" si="58">(T$32-$B42)/365</f>
        <v>5.0753424657534243</v>
      </c>
      <c r="U43" s="182">
        <f t="shared" ref="U43" si="59">(U$32-$B42)/365</f>
        <v>5.5753424657534243</v>
      </c>
      <c r="V43" s="182">
        <f t="shared" ref="V43" si="60">(V$32-$B42)/365</f>
        <v>6.0753424657534243</v>
      </c>
      <c r="W43" s="182">
        <f t="shared" ref="W43" si="61">(W$32-$B42)/365</f>
        <v>6.5753424657534243</v>
      </c>
      <c r="X43" s="182">
        <f t="shared" ref="X43" si="62">(X$32-$B42)/365</f>
        <v>7.0753424657534243</v>
      </c>
      <c r="Y43" s="182">
        <f t="shared" ref="Y43" si="63">(Y$32-$B42)/365</f>
        <v>7.2191780821917808</v>
      </c>
    </row>
    <row r="44" spans="2:25">
      <c r="B44" t="s">
        <v>211</v>
      </c>
      <c r="J44" s="183">
        <f>1+((INDEX('Yield Curve'!$B$48:$P$91,MATCH(ROUND(J43,0),'Yield Curve'!$B$48:$B$91,0),MATCH(YEAR($B42),'Yield Curve'!$B$48:$P$48,0)))/100)</f>
        <v>1.02305</v>
      </c>
      <c r="K44" s="183">
        <f>1+((INDEX('Yield Curve'!$B$48:$P$91,MATCH(ROUND(K43,0),'Yield Curve'!$B$48:$B$91,0),MATCH(YEAR($B42),'Yield Curve'!$B$48:$P$48,0)))/100)</f>
        <v>1.02305</v>
      </c>
      <c r="L44" s="183">
        <f>1+((INDEX('Yield Curve'!$B$48:$P$91,MATCH(ROUND(L43,0),'Yield Curve'!$B$48:$B$91,0),MATCH(YEAR($B42),'Yield Curve'!$B$48:$P$48,0)))/100)</f>
        <v>1.02305</v>
      </c>
      <c r="M44" s="183">
        <f>1+((INDEX('Yield Curve'!$B$48:$P$91,MATCH(ROUND(M43,0),'Yield Curve'!$B$48:$B$91,0),MATCH(YEAR($B42),'Yield Curve'!$B$48:$P$48,0)))/100)</f>
        <v>1.02305</v>
      </c>
      <c r="N44" s="183">
        <f>1+((INDEX('Yield Curve'!$B$48:$P$91,MATCH(ROUND(N43,0),'Yield Curve'!$B$48:$B$91,0),MATCH(YEAR($B42),'Yield Curve'!$B$48:$P$48,0)))/100)</f>
        <v>1.02305</v>
      </c>
      <c r="O44" s="183">
        <f>1+((INDEX('Yield Curve'!$B$48:$P$91,MATCH(ROUND(O43,0),'Yield Curve'!$B$48:$B$91,0),MATCH(YEAR($B42),'Yield Curve'!$B$48:$P$48,0)))/100)</f>
        <v>1.02305</v>
      </c>
      <c r="P44" s="183">
        <f>1+((INDEX('Yield Curve'!$B$48:$P$91,MATCH(ROUND(P43,0),'Yield Curve'!$B$48:$B$91,0),MATCH(YEAR($B42),'Yield Curve'!$B$48:$P$48,0)))/100)</f>
        <v>1.02305</v>
      </c>
      <c r="Q44" s="183">
        <f>1+((INDEX('Yield Curve'!$B$48:$P$91,MATCH(ROUND(Q43,0),'Yield Curve'!$B$48:$B$91,0),MATCH(YEAR($B42),'Yield Curve'!$B$48:$P$48,0)))/100)</f>
        <v>1.024575</v>
      </c>
      <c r="R44" s="183">
        <f>1+((INDEX('Yield Curve'!$B$48:$P$91,MATCH(ROUND(R43,0),'Yield Curve'!$B$48:$B$91,0),MATCH(YEAR($B42),'Yield Curve'!$B$48:$P$48,0)))/100)</f>
        <v>1.024575</v>
      </c>
      <c r="S44" s="183">
        <f>1+((INDEX('Yield Curve'!$B$48:$P$91,MATCH(ROUND(S43,0),'Yield Curve'!$B$48:$B$91,0),MATCH(YEAR($B42),'Yield Curve'!$B$48:$P$48,0)))/100)</f>
        <v>1.0261</v>
      </c>
      <c r="T44" s="183">
        <f>1+((INDEX('Yield Curve'!$B$48:$P$91,MATCH(ROUND(T43,0),'Yield Curve'!$B$48:$B$91,0),MATCH(YEAR($B42),'Yield Curve'!$B$48:$P$48,0)))/100)</f>
        <v>1.0261</v>
      </c>
      <c r="U44" s="183">
        <f>1+((INDEX('Yield Curve'!$B$48:$P$91,MATCH(ROUND(U43,0),'Yield Curve'!$B$48:$B$91,0),MATCH(YEAR($B42),'Yield Curve'!$B$48:$P$48,0)))/100)</f>
        <v>1.028375</v>
      </c>
      <c r="V44" s="183">
        <f>1+((INDEX('Yield Curve'!$B$48:$P$91,MATCH(ROUND(V43,0),'Yield Curve'!$B$48:$B$91,0),MATCH(YEAR($B42),'Yield Curve'!$B$48:$P$48,0)))/100)</f>
        <v>1.028375</v>
      </c>
      <c r="W44" s="183">
        <f>1+((INDEX('Yield Curve'!$B$48:$P$91,MATCH(ROUND(W43,0),'Yield Curve'!$B$48:$B$91,0),MATCH(YEAR($B42),'Yield Curve'!$B$48:$P$48,0)))/100)</f>
        <v>1.0306500000000001</v>
      </c>
      <c r="X44" s="183">
        <f>1+((INDEX('Yield Curve'!$B$48:$P$91,MATCH(ROUND(X43,0),'Yield Curve'!$B$48:$B$91,0),MATCH(YEAR($B42),'Yield Curve'!$B$48:$P$48,0)))/100)</f>
        <v>1.0306500000000001</v>
      </c>
      <c r="Y44" s="183">
        <f>1+((INDEX('Yield Curve'!$B$48:$P$91,MATCH(ROUND(Y43,0),'Yield Curve'!$B$48:$B$91,0),MATCH(YEAR($B42),'Yield Curve'!$B$48:$P$48,0)))/100)</f>
        <v>1.0306500000000001</v>
      </c>
    </row>
    <row r="45" spans="2:25">
      <c r="B45" t="s">
        <v>212</v>
      </c>
      <c r="C45" s="182">
        <f>SUM(D45:Y45)</f>
        <v>270.58951475816355</v>
      </c>
      <c r="J45" s="182">
        <f t="shared" ref="J45" si="64">J$33/(J44^J43)</f>
        <v>4.0996730966350654</v>
      </c>
      <c r="K45" s="182">
        <f t="shared" ref="K45" si="65">K$33/(K44^K43)</f>
        <v>4.0532257970633365</v>
      </c>
      <c r="L45" s="182">
        <f t="shared" ref="L45" si="66">L$33/(L44^L43)</f>
        <v>4.0073047227750997</v>
      </c>
      <c r="M45" s="182">
        <f t="shared" ref="M45" si="67">M$33/(M44^M43)</f>
        <v>3.9619039118941752</v>
      </c>
      <c r="N45" s="182">
        <f t="shared" ref="N45" si="68">N$33/(N44^N43)</f>
        <v>3.9170174700895362</v>
      </c>
      <c r="O45" s="182">
        <f t="shared" ref="O45" si="69">O$33/(O44^O43)</f>
        <v>3.8726395698100542</v>
      </c>
      <c r="P45" s="182">
        <f t="shared" ref="P45" si="70">P$33/(P44^P43)</f>
        <v>3.8287644495279172</v>
      </c>
      <c r="Q45" s="182">
        <f t="shared" ref="Q45" si="71">Q$33/(Q44^Q43)</f>
        <v>3.7652806091963646</v>
      </c>
      <c r="R45" s="182">
        <f t="shared" ref="R45" si="72">R$33/(R44^R43)</f>
        <v>3.7198503658413729</v>
      </c>
      <c r="S45" s="182">
        <f t="shared" ref="S45" si="73">S$33/(S44^S43)</f>
        <v>3.6500450850231028</v>
      </c>
      <c r="T45" s="182">
        <f t="shared" ref="T45" si="74">T$33/(T44^T43)</f>
        <v>3.6033245868043764</v>
      </c>
      <c r="U45" s="182">
        <f t="shared" ref="U45" si="75">U$33/(U44^U43)</f>
        <v>3.5135492887068787</v>
      </c>
      <c r="V45" s="182">
        <f t="shared" ref="V45" si="76">V$33/(V44^V43)</f>
        <v>3.4647371690486422</v>
      </c>
      <c r="W45" s="182">
        <f t="shared" ref="W45" si="77">W$33/(W44^W43)</f>
        <v>3.3673185411951341</v>
      </c>
      <c r="X45" s="182">
        <f t="shared" ref="X45" si="78">X$33/(X44^X43)</f>
        <v>3.3168711270598146</v>
      </c>
      <c r="Y45" s="182">
        <f t="shared" ref="Y45" si="79">Y$33/(Y44^Y43)</f>
        <v>214.44800896749271</v>
      </c>
    </row>
    <row r="46" spans="2:25">
      <c r="B46" s="135">
        <v>44012</v>
      </c>
    </row>
    <row r="47" spans="2:25">
      <c r="B47" t="s">
        <v>210</v>
      </c>
      <c r="L47" s="182">
        <f t="shared" ref="L47" si="80">(L$32-$B46)/365</f>
        <v>7.260273972602739E-2</v>
      </c>
      <c r="M47" s="182">
        <f t="shared" ref="M47" si="81">(M$32-$B46)/365</f>
        <v>0.57260273972602738</v>
      </c>
      <c r="N47" s="182">
        <f t="shared" ref="N47" si="82">(N$32-$B46)/365</f>
        <v>1.0726027397260274</v>
      </c>
      <c r="O47" s="182">
        <f t="shared" ref="O47" si="83">(O$32-$B46)/365</f>
        <v>1.5726027397260274</v>
      </c>
      <c r="P47" s="182">
        <f t="shared" ref="P47" si="84">(P$32-$B46)/365</f>
        <v>2.0726027397260274</v>
      </c>
      <c r="Q47" s="182">
        <f t="shared" ref="Q47" si="85">(Q$32-$B46)/365</f>
        <v>2.5726027397260274</v>
      </c>
      <c r="R47" s="182">
        <f t="shared" ref="R47" si="86">(R$32-$B46)/365</f>
        <v>3.0726027397260274</v>
      </c>
      <c r="S47" s="182">
        <f t="shared" ref="S47" si="87">(S$32-$B46)/365</f>
        <v>3.5726027397260274</v>
      </c>
      <c r="T47" s="182">
        <f t="shared" ref="T47" si="88">(T$32-$B46)/365</f>
        <v>4.0726027397260278</v>
      </c>
      <c r="U47" s="182">
        <f t="shared" ref="U47" si="89">(U$32-$B46)/365</f>
        <v>4.5726027397260278</v>
      </c>
      <c r="V47" s="182">
        <f t="shared" ref="V47" si="90">(V$32-$B46)/365</f>
        <v>5.0726027397260278</v>
      </c>
      <c r="W47" s="182">
        <f t="shared" ref="W47" si="91">(W$32-$B46)/365</f>
        <v>5.5726027397260278</v>
      </c>
      <c r="X47" s="182">
        <f t="shared" ref="X47" si="92">(X$32-$B46)/365</f>
        <v>6.0726027397260278</v>
      </c>
      <c r="Y47" s="182">
        <f t="shared" ref="Y47" si="93">(Y$32-$B46)/365</f>
        <v>6.2164383561643834</v>
      </c>
    </row>
    <row r="48" spans="2:25">
      <c r="B48" t="s">
        <v>211</v>
      </c>
      <c r="L48" s="183">
        <f>1+((INDEX('Yield Curve'!$B$48:$P$91,MATCH(ROUND(L47,0),'Yield Curve'!$B$48:$B$91,0),MATCH(YEAR($B46),'Yield Curve'!$B$48:$P$48,0)))/100)</f>
        <v>1.02105</v>
      </c>
      <c r="M48" s="183">
        <f>1+((INDEX('Yield Curve'!$B$48:$P$91,MATCH(ROUND(M47,0),'Yield Curve'!$B$48:$B$91,0),MATCH(YEAR($B46),'Yield Curve'!$B$48:$P$48,0)))/100)</f>
        <v>1.02105</v>
      </c>
      <c r="N48" s="183">
        <f>1+((INDEX('Yield Curve'!$B$48:$P$91,MATCH(ROUND(N47,0),'Yield Curve'!$B$48:$B$91,0),MATCH(YEAR($B46),'Yield Curve'!$B$48:$P$48,0)))/100)</f>
        <v>1.02105</v>
      </c>
      <c r="O48" s="183">
        <f>1+((INDEX('Yield Curve'!$B$48:$P$91,MATCH(ROUND(O47,0),'Yield Curve'!$B$48:$B$91,0),MATCH(YEAR($B46),'Yield Curve'!$B$48:$P$48,0)))/100)</f>
        <v>1.02105</v>
      </c>
      <c r="P48" s="183">
        <f>1+((INDEX('Yield Curve'!$B$48:$P$91,MATCH(ROUND(P47,0),'Yield Curve'!$B$48:$B$91,0),MATCH(YEAR($B46),'Yield Curve'!$B$48:$P$48,0)))/100)</f>
        <v>1.02105</v>
      </c>
      <c r="Q48" s="183">
        <f>1+((INDEX('Yield Curve'!$B$48:$P$91,MATCH(ROUND(Q47,0),'Yield Curve'!$B$48:$B$91,0),MATCH(YEAR($B46),'Yield Curve'!$B$48:$P$48,0)))/100)</f>
        <v>1.02105</v>
      </c>
      <c r="R48" s="183">
        <f>1+((INDEX('Yield Curve'!$B$48:$P$91,MATCH(ROUND(R47,0),'Yield Curve'!$B$48:$B$91,0),MATCH(YEAR($B46),'Yield Curve'!$B$48:$P$48,0)))/100)</f>
        <v>1.02105</v>
      </c>
      <c r="S48" s="183">
        <f>1+((INDEX('Yield Curve'!$B$48:$P$91,MATCH(ROUND(S47,0),'Yield Curve'!$B$48:$B$91,0),MATCH(YEAR($B46),'Yield Curve'!$B$48:$P$48,0)))/100)</f>
        <v>1.0229999999999999</v>
      </c>
      <c r="T48" s="183">
        <f>1+((INDEX('Yield Curve'!$B$48:$P$91,MATCH(ROUND(T47,0),'Yield Curve'!$B$48:$B$91,0),MATCH(YEAR($B46),'Yield Curve'!$B$48:$P$48,0)))/100)</f>
        <v>1.0229999999999999</v>
      </c>
      <c r="U48" s="183">
        <f>1+((INDEX('Yield Curve'!$B$48:$P$91,MATCH(ROUND(U47,0),'Yield Curve'!$B$48:$B$91,0),MATCH(YEAR($B46),'Yield Curve'!$B$48:$P$48,0)))/100)</f>
        <v>1.02495</v>
      </c>
      <c r="V48" s="183">
        <f>1+((INDEX('Yield Curve'!$B$48:$P$91,MATCH(ROUND(V47,0),'Yield Curve'!$B$48:$B$91,0),MATCH(YEAR($B46),'Yield Curve'!$B$48:$P$48,0)))/100)</f>
        <v>1.02495</v>
      </c>
      <c r="W48" s="183">
        <f>1+((INDEX('Yield Curve'!$B$48:$P$91,MATCH(ROUND(W47,0),'Yield Curve'!$B$48:$B$91,0),MATCH(YEAR($B46),'Yield Curve'!$B$48:$P$48,0)))/100)</f>
        <v>1.0282249999999999</v>
      </c>
      <c r="X48" s="183">
        <f>1+((INDEX('Yield Curve'!$B$48:$P$91,MATCH(ROUND(X47,0),'Yield Curve'!$B$48:$B$91,0),MATCH(YEAR($B46),'Yield Curve'!$B$48:$P$48,0)))/100)</f>
        <v>1.0282249999999999</v>
      </c>
      <c r="Y48" s="183">
        <f>1+((INDEX('Yield Curve'!$B$48:$P$91,MATCH(ROUND(Y47,0),'Yield Curve'!$B$48:$B$91,0),MATCH(YEAR($B46),'Yield Curve'!$B$48:$P$48,0)))/100)</f>
        <v>1.0282249999999999</v>
      </c>
    </row>
    <row r="49" spans="2:31">
      <c r="B49" t="s">
        <v>212</v>
      </c>
      <c r="C49" s="182">
        <f>SUM(D49:Y49)</f>
        <v>273.93408281085721</v>
      </c>
      <c r="L49" s="182">
        <f t="shared" ref="L49" si="94">L$33/(L48^L47)</f>
        <v>4.1005115929363702</v>
      </c>
      <c r="M49" s="182">
        <f t="shared" ref="M49" si="95">M$33/(M48^M47)</f>
        <v>4.0580233274695727</v>
      </c>
      <c r="N49" s="182">
        <f t="shared" ref="N49" si="96">N$33/(N48^N47)</f>
        <v>4.0159753126060123</v>
      </c>
      <c r="O49" s="182">
        <f t="shared" ref="O49" si="97">O$33/(O48^O47)</f>
        <v>3.9743629866016077</v>
      </c>
      <c r="P49" s="182">
        <f t="shared" ref="P49" si="98">P$33/(P48^P47)</f>
        <v>3.9331818349796905</v>
      </c>
      <c r="Q49" s="182">
        <f t="shared" ref="Q49" si="99">Q$33/(Q48^Q47)</f>
        <v>3.8924273900412398</v>
      </c>
      <c r="R49" s="182">
        <f t="shared" ref="R49" si="100">R$33/(R48^R47)</f>
        <v>3.8520952303801876</v>
      </c>
      <c r="S49" s="182">
        <f t="shared" ref="S49" si="101">S$33/(S48^S47)</f>
        <v>3.7862838210285927</v>
      </c>
      <c r="T49" s="182">
        <f t="shared" ref="T49" si="102">T$33/(T48^T47)</f>
        <v>3.7434785488280236</v>
      </c>
      <c r="U49" s="182">
        <f t="shared" ref="U49" si="103">U$33/(U48^U47)</f>
        <v>3.6690681531773985</v>
      </c>
      <c r="V49" s="182">
        <f t="shared" ref="V49" si="104">V$33/(V48^V47)</f>
        <v>3.6241356016470223</v>
      </c>
      <c r="W49" s="182">
        <f t="shared" ref="W49" si="105">W$33/(W48^W47)</f>
        <v>3.5166761322980591</v>
      </c>
      <c r="X49" s="182">
        <f t="shared" ref="X49" si="106">X$33/(X48^X47)</f>
        <v>3.4680735107303517</v>
      </c>
      <c r="Y49" s="182">
        <f t="shared" ref="Y49" si="107">Y$33/(Y48^Y47)</f>
        <v>224.29978936813308</v>
      </c>
    </row>
    <row r="50" spans="2:31">
      <c r="B50" s="135">
        <v>44377</v>
      </c>
    </row>
    <row r="51" spans="2:31">
      <c r="B51" t="s">
        <v>210</v>
      </c>
      <c r="N51" s="182">
        <f t="shared" ref="N51" si="108">(N$32-$B50)/365</f>
        <v>7.260273972602739E-2</v>
      </c>
      <c r="O51" s="182">
        <f t="shared" ref="O51" si="109">(O$32-$B50)/365</f>
        <v>0.57260273972602738</v>
      </c>
      <c r="P51" s="182">
        <f t="shared" ref="P51" si="110">(P$32-$B50)/365</f>
        <v>1.0726027397260274</v>
      </c>
      <c r="Q51" s="182">
        <f t="shared" ref="Q51" si="111">(Q$32-$B50)/365</f>
        <v>1.5726027397260274</v>
      </c>
      <c r="R51" s="182">
        <f t="shared" ref="R51" si="112">(R$32-$B50)/365</f>
        <v>2.0726027397260274</v>
      </c>
      <c r="S51" s="182">
        <f t="shared" ref="S51" si="113">(S$32-$B50)/365</f>
        <v>2.5726027397260274</v>
      </c>
      <c r="T51" s="182">
        <f t="shared" ref="T51" si="114">(T$32-$B50)/365</f>
        <v>3.0726027397260274</v>
      </c>
      <c r="U51" s="182">
        <f t="shared" ref="U51" si="115">(U$32-$B50)/365</f>
        <v>3.5726027397260274</v>
      </c>
      <c r="V51" s="182">
        <f t="shared" ref="V51" si="116">(V$32-$B50)/365</f>
        <v>4.0726027397260278</v>
      </c>
      <c r="W51" s="182">
        <f t="shared" ref="W51" si="117">(W$32-$B50)/365</f>
        <v>4.5726027397260278</v>
      </c>
      <c r="X51" s="182">
        <f t="shared" ref="X51" si="118">(X$32-$B50)/365</f>
        <v>5.0726027397260278</v>
      </c>
      <c r="Y51" s="182">
        <f t="shared" ref="Y51" si="119">(Y$32-$B50)/365</f>
        <v>5.2164383561643834</v>
      </c>
    </row>
    <row r="52" spans="2:31">
      <c r="B52" t="s">
        <v>211</v>
      </c>
      <c r="N52" s="183">
        <f>1+((INDEX('Yield Curve'!$B$48:$P$91,MATCH(ROUND(N51,0),'Yield Curve'!$B$48:$B$91,0),MATCH(YEAR($B50),'Yield Curve'!$B$48:$P$48,0)))/100)</f>
        <v>1.0129999999999999</v>
      </c>
      <c r="O52" s="183">
        <f>1+((INDEX('Yield Curve'!$B$48:$P$91,MATCH(ROUND(O51,0),'Yield Curve'!$B$48:$B$91,0),MATCH(YEAR($B50),'Yield Curve'!$B$48:$P$48,0)))/100)</f>
        <v>1.0129999999999999</v>
      </c>
      <c r="P52" s="183">
        <f>1+((INDEX('Yield Curve'!$B$48:$P$91,MATCH(ROUND(P51,0),'Yield Curve'!$B$48:$B$91,0),MATCH(YEAR($B50),'Yield Curve'!$B$48:$P$48,0)))/100)</f>
        <v>1.0129999999999999</v>
      </c>
      <c r="Q52" s="183">
        <f>1+((INDEX('Yield Curve'!$B$48:$P$91,MATCH(ROUND(Q51,0),'Yield Curve'!$B$48:$B$91,0),MATCH(YEAR($B50),'Yield Curve'!$B$48:$P$48,0)))/100)</f>
        <v>1.0129999999999999</v>
      </c>
      <c r="R52" s="183">
        <f>1+((INDEX('Yield Curve'!$B$48:$P$91,MATCH(ROUND(R51,0),'Yield Curve'!$B$48:$B$91,0),MATCH(YEAR($B50),'Yield Curve'!$B$48:$P$48,0)))/100)</f>
        <v>1.0129999999999999</v>
      </c>
      <c r="S52" s="183">
        <f>1+((INDEX('Yield Curve'!$B$48:$P$91,MATCH(ROUND(S51,0),'Yield Curve'!$B$48:$B$91,0),MATCH(YEAR($B50),'Yield Curve'!$B$48:$P$48,0)))/100)</f>
        <v>1.0129999999999999</v>
      </c>
      <c r="T52" s="183">
        <f>1+((INDEX('Yield Curve'!$B$48:$P$91,MATCH(ROUND(T51,0),'Yield Curve'!$B$48:$B$91,0),MATCH(YEAR($B50),'Yield Curve'!$B$48:$P$48,0)))/100)</f>
        <v>1.0129999999999999</v>
      </c>
      <c r="U52" s="183">
        <f>1+((INDEX('Yield Curve'!$B$48:$P$91,MATCH(ROUND(U51,0),'Yield Curve'!$B$48:$B$91,0),MATCH(YEAR($B50),'Yield Curve'!$B$48:$P$48,0)))/100)</f>
        <v>1.0161249999999999</v>
      </c>
      <c r="V52" s="183">
        <f>1+((INDEX('Yield Curve'!$B$48:$P$91,MATCH(ROUND(V51,0),'Yield Curve'!$B$48:$B$91,0),MATCH(YEAR($B50),'Yield Curve'!$B$48:$P$48,0)))/100)</f>
        <v>1.0161249999999999</v>
      </c>
      <c r="W52" s="183">
        <f>1+((INDEX('Yield Curve'!$B$48:$P$91,MATCH(ROUND(W51,0),'Yield Curve'!$B$48:$B$91,0),MATCH(YEAR($B50),'Yield Curve'!$B$48:$P$48,0)))/100)</f>
        <v>1.01925</v>
      </c>
      <c r="X52" s="183">
        <f>1+((INDEX('Yield Curve'!$B$48:$P$91,MATCH(ROUND(X51,0),'Yield Curve'!$B$48:$B$91,0),MATCH(YEAR($B50),'Yield Curve'!$B$48:$P$48,0)))/100)</f>
        <v>1.01925</v>
      </c>
      <c r="Y52" s="183">
        <f>1+((INDEX('Yield Curve'!$B$48:$P$91,MATCH(ROUND(Y51,0),'Yield Curve'!$B$48:$B$91,0),MATCH(YEAR($B50),'Yield Curve'!$B$48:$P$48,0)))/100)</f>
        <v>1.01925</v>
      </c>
    </row>
    <row r="53" spans="2:31">
      <c r="B53" t="s">
        <v>212</v>
      </c>
      <c r="C53" s="182">
        <f>SUM(D53:Y53)</f>
        <v>284.81242754544121</v>
      </c>
      <c r="N53" s="182">
        <f t="shared" ref="N53" si="120">N$33/(N52^N51)</f>
        <v>4.1028687165951174</v>
      </c>
      <c r="O53" s="182">
        <f t="shared" ref="O53" si="121">O$33/(O52^O51)</f>
        <v>4.076457304037846</v>
      </c>
      <c r="P53" s="182">
        <f t="shared" ref="P53" si="122">P$33/(P52^P51)</f>
        <v>4.0502159097681316</v>
      </c>
      <c r="Q53" s="182">
        <f t="shared" ref="Q53" si="123">Q$33/(Q52^Q51)</f>
        <v>4.0241434393266005</v>
      </c>
      <c r="R53" s="182">
        <f t="shared" ref="R53" si="124">R$33/(R52^R51)</f>
        <v>3.9982388052992426</v>
      </c>
      <c r="S53" s="182">
        <f t="shared" ref="S53" si="125">S$33/(S52^S51)</f>
        <v>3.9725009272720642</v>
      </c>
      <c r="T53" s="182">
        <f t="shared" ref="T53" si="126">T$33/(T52^T51)</f>
        <v>3.9469287317860244</v>
      </c>
      <c r="U53" s="182">
        <f t="shared" ref="U53" si="127">U$33/(U52^U51)</f>
        <v>3.8786047290690022</v>
      </c>
      <c r="V53" s="182">
        <f t="shared" ref="V53" si="128">V$33/(V52^V51)</f>
        <v>3.8477066539213349</v>
      </c>
      <c r="W53" s="182">
        <f t="shared" ref="W53" si="129">W$33/(W52^W51)</f>
        <v>3.7638338020537407</v>
      </c>
      <c r="X53" s="182">
        <f t="shared" ref="X53" si="130">X$33/(X52^X51)</f>
        <v>3.7281216762925538</v>
      </c>
      <c r="Y53" s="182">
        <f t="shared" ref="Y53" si="131">Y$33/(Y52^Y51)</f>
        <v>241.42280685001955</v>
      </c>
    </row>
    <row r="54" spans="2:31">
      <c r="B54" s="135">
        <v>44552</v>
      </c>
    </row>
    <row r="55" spans="2:31">
      <c r="B55" t="s">
        <v>210</v>
      </c>
      <c r="O55" s="182">
        <f t="shared" ref="O55" si="132">(O$32-$B54)/365</f>
        <v>9.3150684931506855E-2</v>
      </c>
      <c r="P55" s="182">
        <f t="shared" ref="P55" si="133">(P$32-$B54)/365</f>
        <v>0.5931506849315068</v>
      </c>
      <c r="Q55" s="182">
        <f t="shared" ref="Q55" si="134">(Q$32-$B54)/365</f>
        <v>1.0931506849315069</v>
      </c>
      <c r="R55" s="182">
        <f t="shared" ref="R55" si="135">(R$32-$B54)/365</f>
        <v>1.5931506849315069</v>
      </c>
      <c r="S55" s="182">
        <f t="shared" ref="S55" si="136">(S$32-$B54)/365</f>
        <v>2.0931506849315067</v>
      </c>
      <c r="T55" s="182">
        <f t="shared" ref="T55" si="137">(T$32-$B54)/365</f>
        <v>2.5931506849315067</v>
      </c>
      <c r="U55" s="182">
        <f t="shared" ref="U55" si="138">(U$32-$B54)/365</f>
        <v>3.0931506849315067</v>
      </c>
      <c r="V55" s="182">
        <f t="shared" ref="V55" si="139">(V$32-$B54)/365</f>
        <v>3.5931506849315067</v>
      </c>
      <c r="W55" s="182">
        <f t="shared" ref="W55" si="140">(W$32-$B54)/365</f>
        <v>4.0931506849315067</v>
      </c>
      <c r="X55" s="182">
        <f t="shared" ref="X55" si="141">(X$32-$B54)/365</f>
        <v>4.5931506849315067</v>
      </c>
      <c r="Y55" s="182">
        <f t="shared" ref="Y55" si="142">(Y$32-$B54)/365</f>
        <v>4.7369863013698632</v>
      </c>
    </row>
    <row r="56" spans="2:31">
      <c r="B56" t="s">
        <v>211</v>
      </c>
      <c r="O56" s="183">
        <f>1+((INDEX('Yield Curve'!$B$48:$P$91,MATCH(ROUND(O55,0),'Yield Curve'!$B$48:$B$91,0),MATCH(YEAR($B54)+1,'Yield Curve'!$B$48:$P$48,0)))/100)</f>
        <v>1.0212000000000001</v>
      </c>
      <c r="P56" s="183">
        <f>1+((INDEX('Yield Curve'!$B$48:$P$91,MATCH(ROUND(P55,0),'Yield Curve'!$B$48:$B$91,0),MATCH(YEAR($B54)+1,'Yield Curve'!$B$48:$P$48,0)))/100)</f>
        <v>1.0212000000000001</v>
      </c>
      <c r="Q56" s="183">
        <f>1+((INDEX('Yield Curve'!$B$48:$P$91,MATCH(ROUND(Q55,0),'Yield Curve'!$B$48:$B$91,0),MATCH(YEAR($B54)+1,'Yield Curve'!$B$48:$P$48,0)))/100)</f>
        <v>1.0212000000000001</v>
      </c>
      <c r="R56" s="183">
        <f>1+((INDEX('Yield Curve'!$B$48:$P$91,MATCH(ROUND(R55,0),'Yield Curve'!$B$48:$B$91,0),MATCH(YEAR($B54)+1,'Yield Curve'!$B$48:$P$48,0)))/100)</f>
        <v>1.0212000000000001</v>
      </c>
      <c r="S56" s="183">
        <f>1+((INDEX('Yield Curve'!$B$48:$P$91,MATCH(ROUND(S55,0),'Yield Curve'!$B$48:$B$91,0),MATCH(YEAR($B54)+1,'Yield Curve'!$B$48:$P$48,0)))/100)</f>
        <v>1.0212000000000001</v>
      </c>
      <c r="T56" s="183">
        <f>1+((INDEX('Yield Curve'!$B$48:$P$91,MATCH(ROUND(T55,0),'Yield Curve'!$B$48:$B$91,0),MATCH(YEAR($B54)+1,'Yield Curve'!$B$48:$P$48,0)))/100)</f>
        <v>1.0212000000000001</v>
      </c>
      <c r="U56" s="183">
        <f>1+((INDEX('Yield Curve'!$B$48:$P$91,MATCH(ROUND(U55,0),'Yield Curve'!$B$48:$B$91,0),MATCH(YEAR($B54)+1,'Yield Curve'!$B$48:$P$48,0)))/100)</f>
        <v>1.0212000000000001</v>
      </c>
      <c r="V56" s="183">
        <f>1+((INDEX('Yield Curve'!$B$48:$P$91,MATCH(ROUND(V55,0),'Yield Curve'!$B$48:$B$91,0),MATCH(YEAR($B54)+1,'Yield Curve'!$B$48:$P$48,0)))/100)</f>
        <v>1.0245</v>
      </c>
      <c r="W56" s="183">
        <f>1+((INDEX('Yield Curve'!$B$48:$P$91,MATCH(ROUND(W55,0),'Yield Curve'!$B$48:$B$91,0),MATCH(YEAR($B54)+1,'Yield Curve'!$B$48:$P$48,0)))/100)</f>
        <v>1.0245</v>
      </c>
      <c r="X56" s="183">
        <f>1+((INDEX('Yield Curve'!$B$48:$P$91,MATCH(ROUND(X55,0),'Yield Curve'!$B$48:$B$91,0),MATCH(YEAR($B54)+1,'Yield Curve'!$B$48:$P$48,0)))/100)</f>
        <v>1.0278</v>
      </c>
      <c r="Y56" s="183">
        <f>1+((INDEX('Yield Curve'!$B$48:$P$91,MATCH(ROUND(Y55,0),'Yield Curve'!$B$48:$B$91,0),MATCH(YEAR($B54)+1,'Yield Curve'!$B$48:$P$48,0)))/100)</f>
        <v>1.0278</v>
      </c>
    </row>
    <row r="57" spans="2:31">
      <c r="B57" t="s">
        <v>212</v>
      </c>
      <c r="C57" s="182">
        <f>SUM(D57:Y57)</f>
        <v>273.10021846621743</v>
      </c>
      <c r="O57" s="182">
        <f t="shared" ref="O57" si="143">O$33/(O56^O55)</f>
        <v>4.0987006810990021</v>
      </c>
      <c r="P57" s="182">
        <f t="shared" ref="P57" si="144">P$33/(P56^P55)</f>
        <v>4.0559332669948516</v>
      </c>
      <c r="Q57" s="182">
        <f t="shared" ref="Q57" si="145">Q$33/(Q56^Q55)</f>
        <v>4.0136121044839417</v>
      </c>
      <c r="R57" s="182">
        <f t="shared" ref="R57" si="146">R$33/(R56^R55)</f>
        <v>3.9717325372060825</v>
      </c>
      <c r="S57" s="182">
        <f t="shared" ref="S57" si="147">S$33/(S56^S55)</f>
        <v>3.93028995738733</v>
      </c>
      <c r="T57" s="182">
        <f t="shared" ref="T57" si="148">T$33/(T56^T55)</f>
        <v>3.8892798053330218</v>
      </c>
      <c r="U57" s="182">
        <f t="shared" ref="U57" si="149">U$33/(U56^U55)</f>
        <v>3.848697568926096</v>
      </c>
      <c r="V57" s="182">
        <f t="shared" ref="V57" si="150">V$33/(V56^V55)</f>
        <v>3.764643148894117</v>
      </c>
      <c r="W57" s="182">
        <f t="shared" ref="W57" si="151">W$33/(W56^W55)</f>
        <v>3.7193567298211132</v>
      </c>
      <c r="X57" s="182">
        <f t="shared" ref="X57" si="152">X$33/(X56^X55)</f>
        <v>3.6207357172890022</v>
      </c>
      <c r="Y57" s="182">
        <f t="shared" ref="Y57" si="153">Y$33/(Y56^Y55)</f>
        <v>234.18723694878287</v>
      </c>
    </row>
    <row r="59" spans="2:31">
      <c r="B59" s="5" t="str">
        <f>'Transgrid Bonds'!A52</f>
        <v>29880170112</v>
      </c>
    </row>
    <row r="60" spans="2:31">
      <c r="B60" t="s">
        <v>66</v>
      </c>
      <c r="D60" s="180">
        <f>VLOOKUP(B59,'Transgrid Bonds'!$A$49:$K$54,4,FALSE)</f>
        <v>42577</v>
      </c>
      <c r="E60" s="180">
        <f>VLOOKUP(B59,'Transgrid Bonds'!$A$49:$K$54,10,FALSE)</f>
        <v>42761</v>
      </c>
      <c r="F60" s="180">
        <f>IF(E60+VLOOKUP($B59,'Transgrid Bonds'!$A$49:$K$54,9,FALSE)*365 &lt; VLOOKUP($B59,'Transgrid Bonds'!$A$49:$K$54,5,FALSE), E60+VLOOKUP($B59,'Transgrid Bonds'!$A$49:$K$54,9,FALSE)*365, VLOOKUP($B59,'Transgrid Bonds'!$A$49:$K$54,5,FALSE))</f>
        <v>42943.5</v>
      </c>
      <c r="G60" s="180">
        <f>IF(F60+VLOOKUP($B59,'Transgrid Bonds'!$A$49:$K$54,9,FALSE)*365 &lt; VLOOKUP($B59,'Transgrid Bonds'!$A$49:$K$54,5,FALSE), F60+VLOOKUP($B59,'Transgrid Bonds'!$A$49:$K$54,9,FALSE)*365, VLOOKUP($B59,'Transgrid Bonds'!$A$49:$K$54,5,FALSE))</f>
        <v>43126</v>
      </c>
      <c r="H60" s="180">
        <f>IF(G60+VLOOKUP($B59,'Transgrid Bonds'!$A$49:$K$54,9,FALSE)*365 &lt; VLOOKUP($B59,'Transgrid Bonds'!$A$49:$K$54,5,FALSE), G60+VLOOKUP($B59,'Transgrid Bonds'!$A$49:$K$54,9,FALSE)*365, VLOOKUP($B59,'Transgrid Bonds'!$A$49:$K$54,5,FALSE))</f>
        <v>43308.5</v>
      </c>
      <c r="I60" s="180">
        <f>IF(H60+VLOOKUP($B59,'Transgrid Bonds'!$A$49:$K$54,9,FALSE)*365 &lt; VLOOKUP($B59,'Transgrid Bonds'!$A$49:$K$54,5,FALSE), H60+VLOOKUP($B59,'Transgrid Bonds'!$A$49:$K$54,9,FALSE)*365, VLOOKUP($B59,'Transgrid Bonds'!$A$49:$K$54,5,FALSE))</f>
        <v>43491</v>
      </c>
      <c r="J60" s="180">
        <f>IF(I60+VLOOKUP($B59,'Transgrid Bonds'!$A$49:$K$54,9,FALSE)*365 &lt; VLOOKUP($B59,'Transgrid Bonds'!$A$49:$K$54,5,FALSE), I60+VLOOKUP($B59,'Transgrid Bonds'!$A$49:$K$54,9,FALSE)*365, VLOOKUP($B59,'Transgrid Bonds'!$A$49:$K$54,5,FALSE))</f>
        <v>43673.5</v>
      </c>
      <c r="K60" s="180">
        <f>IF(J60+VLOOKUP($B59,'Transgrid Bonds'!$A$49:$K$54,9,FALSE)*365 &lt; VLOOKUP($B59,'Transgrid Bonds'!$A$49:$K$54,5,FALSE), J60+VLOOKUP($B59,'Transgrid Bonds'!$A$49:$K$54,9,FALSE)*365, VLOOKUP($B59,'Transgrid Bonds'!$A$49:$K$54,5,FALSE))</f>
        <v>43856</v>
      </c>
      <c r="L60" s="180">
        <f>IF(K60+VLOOKUP($B59,'Transgrid Bonds'!$A$49:$K$54,9,FALSE)*365 &lt; VLOOKUP($B59,'Transgrid Bonds'!$A$49:$K$54,5,FALSE), K60+VLOOKUP($B59,'Transgrid Bonds'!$A$49:$K$54,9,FALSE)*365, VLOOKUP($B59,'Transgrid Bonds'!$A$49:$K$54,5,FALSE))</f>
        <v>44038.5</v>
      </c>
      <c r="M60" s="180">
        <f>IF(L60+VLOOKUP($B59,'Transgrid Bonds'!$A$49:$K$54,9,FALSE)*365 &lt; VLOOKUP($B59,'Transgrid Bonds'!$A$49:$K$54,5,FALSE), L60+VLOOKUP($B59,'Transgrid Bonds'!$A$49:$K$54,9,FALSE)*365, VLOOKUP($B59,'Transgrid Bonds'!$A$49:$K$54,5,FALSE))</f>
        <v>44221</v>
      </c>
      <c r="N60" s="180">
        <f>IF(M60+VLOOKUP($B59,'Transgrid Bonds'!$A$49:$K$54,9,FALSE)*365 &lt; VLOOKUP($B59,'Transgrid Bonds'!$A$49:$K$54,5,FALSE), M60+VLOOKUP($B59,'Transgrid Bonds'!$A$49:$K$54,9,FALSE)*365, VLOOKUP($B59,'Transgrid Bonds'!$A$49:$K$54,5,FALSE))</f>
        <v>44403.5</v>
      </c>
      <c r="O60" s="180">
        <f>IF(N60+VLOOKUP($B59,'Transgrid Bonds'!$A$49:$K$54,9,FALSE)*365 &lt; VLOOKUP($B59,'Transgrid Bonds'!$A$49:$K$54,5,FALSE), N60+VLOOKUP($B59,'Transgrid Bonds'!$A$49:$K$54,9,FALSE)*365, VLOOKUP($B59,'Transgrid Bonds'!$A$49:$K$54,5,FALSE))</f>
        <v>44586</v>
      </c>
      <c r="P60" s="180">
        <f>IF(O60+VLOOKUP($B59,'Transgrid Bonds'!$A$49:$K$54,9,FALSE)*365 &lt; VLOOKUP($B59,'Transgrid Bonds'!$A$49:$K$54,5,FALSE), O60+VLOOKUP($B59,'Transgrid Bonds'!$A$49:$K$54,9,FALSE)*365, VLOOKUP($B59,'Transgrid Bonds'!$A$49:$K$54,5,FALSE))</f>
        <v>44768.5</v>
      </c>
      <c r="Q60" s="180">
        <f>IF(P60+VLOOKUP($B59,'Transgrid Bonds'!$A$49:$K$54,9,FALSE)*365 &lt; VLOOKUP($B59,'Transgrid Bonds'!$A$49:$K$54,5,FALSE), P60+VLOOKUP($B59,'Transgrid Bonds'!$A$49:$K$54,9,FALSE)*365, VLOOKUP($B59,'Transgrid Bonds'!$A$49:$K$54,5,FALSE))</f>
        <v>44951</v>
      </c>
      <c r="R60" s="180">
        <f>IF(Q60+VLOOKUP($B59,'Transgrid Bonds'!$A$49:$K$54,9,FALSE)*365 &lt; VLOOKUP($B59,'Transgrid Bonds'!$A$49:$K$54,5,FALSE), Q60+VLOOKUP($B59,'Transgrid Bonds'!$A$49:$K$54,9,FALSE)*365, VLOOKUP($B59,'Transgrid Bonds'!$A$49:$K$54,5,FALSE))</f>
        <v>45133.5</v>
      </c>
      <c r="S60" s="180">
        <f>IF(R60+VLOOKUP($B59,'Transgrid Bonds'!$A$49:$K$54,9,FALSE)*365 &lt; VLOOKUP($B59,'Transgrid Bonds'!$A$49:$K$54,5,FALSE), R60+VLOOKUP($B59,'Transgrid Bonds'!$A$49:$K$54,9,FALSE)*365, VLOOKUP($B59,'Transgrid Bonds'!$A$49:$K$54,5,FALSE))</f>
        <v>45316</v>
      </c>
      <c r="T60" s="180">
        <f>IF(S60+VLOOKUP($B59,'Transgrid Bonds'!$A$49:$K$54,9,FALSE)*365 &lt; VLOOKUP($B59,'Transgrid Bonds'!$A$49:$K$54,5,FALSE), S60+VLOOKUP($B59,'Transgrid Bonds'!$A$49:$K$54,9,FALSE)*365, VLOOKUP($B59,'Transgrid Bonds'!$A$49:$K$54,5,FALSE))</f>
        <v>45498.5</v>
      </c>
      <c r="U60" s="180">
        <f>IF(T60+VLOOKUP($B59,'Transgrid Bonds'!$A$49:$K$54,9,FALSE)*365 &lt; VLOOKUP($B59,'Transgrid Bonds'!$A$49:$K$54,5,FALSE), T60+VLOOKUP($B59,'Transgrid Bonds'!$A$49:$K$54,9,FALSE)*365, VLOOKUP($B59,'Transgrid Bonds'!$A$49:$K$54,5,FALSE))</f>
        <v>45681</v>
      </c>
      <c r="V60" s="180">
        <f>IF(U60+VLOOKUP($B59,'Transgrid Bonds'!$A$49:$K$54,9,FALSE)*365 &lt; VLOOKUP($B59,'Transgrid Bonds'!$A$49:$K$54,5,FALSE), U60+VLOOKUP($B59,'Transgrid Bonds'!$A$49:$K$54,9,FALSE)*365, VLOOKUP($B59,'Transgrid Bonds'!$A$49:$K$54,5,FALSE))</f>
        <v>45863.5</v>
      </c>
      <c r="W60" s="180">
        <f>IF(V60+VLOOKUP($B59,'Transgrid Bonds'!$A$49:$K$54,9,FALSE)*365 &lt; VLOOKUP($B59,'Transgrid Bonds'!$A$49:$K$54,5,FALSE), V60+VLOOKUP($B59,'Transgrid Bonds'!$A$49:$K$54,9,FALSE)*365, VLOOKUP($B59,'Transgrid Bonds'!$A$49:$K$54,5,FALSE))</f>
        <v>46046</v>
      </c>
      <c r="X60" s="180">
        <f>IF(W60+VLOOKUP($B59,'Transgrid Bonds'!$A$49:$K$54,9,FALSE)*365 &lt; VLOOKUP($B59,'Transgrid Bonds'!$A$49:$K$54,5,FALSE), W60+VLOOKUP($B59,'Transgrid Bonds'!$A$49:$K$54,9,FALSE)*365, VLOOKUP($B59,'Transgrid Bonds'!$A$49:$K$54,5,FALSE))</f>
        <v>46228.5</v>
      </c>
      <c r="Y60" s="180">
        <f>IF(X60+VLOOKUP($B59,'Transgrid Bonds'!$A$49:$K$54,9,FALSE)*365 &lt; VLOOKUP($B59,'Transgrid Bonds'!$A$49:$K$54,5,FALSE), X60+VLOOKUP($B59,'Transgrid Bonds'!$A$49:$K$54,9,FALSE)*365, VLOOKUP($B59,'Transgrid Bonds'!$A$49:$K$54,5,FALSE))</f>
        <v>46411</v>
      </c>
      <c r="Z60" s="180">
        <f>IF(Y60+VLOOKUP($B59,'Transgrid Bonds'!$A$49:$K$54,9,FALSE)*365 &lt; VLOOKUP($B59,'Transgrid Bonds'!$A$49:$K$54,5,FALSE), Y60+VLOOKUP($B59,'Transgrid Bonds'!$A$49:$K$54,9,FALSE)*365, VLOOKUP($B59,'Transgrid Bonds'!$A$49:$K$54,5,FALSE))</f>
        <v>46593.5</v>
      </c>
      <c r="AA60" s="180">
        <f>IF(Z60+VLOOKUP($B59,'Transgrid Bonds'!$A$49:$K$54,9,FALSE)*365 &lt; VLOOKUP($B59,'Transgrid Bonds'!$A$49:$K$54,5,FALSE), Z60+VLOOKUP($B59,'Transgrid Bonds'!$A$49:$K$54,9,FALSE)*365, VLOOKUP($B59,'Transgrid Bonds'!$A$49:$K$54,5,FALSE))</f>
        <v>46776</v>
      </c>
      <c r="AB60" s="180">
        <f>IF(AA60+VLOOKUP($B59,'Transgrid Bonds'!$A$49:$K$54,9,FALSE)*365 &lt; VLOOKUP($B59,'Transgrid Bonds'!$A$49:$K$54,5,FALSE), AA60+VLOOKUP($B59,'Transgrid Bonds'!$A$49:$K$54,9,FALSE)*365, VLOOKUP($B59,'Transgrid Bonds'!$A$49:$K$54,5,FALSE))</f>
        <v>46958.5</v>
      </c>
      <c r="AC60" s="180">
        <f>IF(AB60+VLOOKUP($B59,'Transgrid Bonds'!$A$49:$K$54,9,FALSE)*365 &lt; VLOOKUP($B59,'Transgrid Bonds'!$A$49:$K$54,5,FALSE), AB60+VLOOKUP($B59,'Transgrid Bonds'!$A$49:$K$54,9,FALSE)*365, VLOOKUP($B59,'Transgrid Bonds'!$A$49:$K$54,5,FALSE))</f>
        <v>47141</v>
      </c>
      <c r="AD60" s="180">
        <f>IF(AC60+VLOOKUP($B59,'Transgrid Bonds'!$A$49:$K$54,9,FALSE)*365 &lt; VLOOKUP($B59,'Transgrid Bonds'!$A$49:$K$54,5,FALSE), AC60+VLOOKUP($B59,'Transgrid Bonds'!$A$49:$K$54,9,FALSE)*365, VLOOKUP($B59,'Transgrid Bonds'!$A$49:$K$54,5,FALSE))</f>
        <v>47193</v>
      </c>
      <c r="AE60" s="27"/>
    </row>
    <row r="61" spans="2:31">
      <c r="B61" t="s">
        <v>209</v>
      </c>
      <c r="E61" s="182">
        <f>IF(E60&lt;VLOOKUP($B59,'Transgrid Bonds'!$A$49:$K$54,5,FALSE),(VLOOKUP($B59,'Transgrid Bonds'!$A$49:$K$54,8,FALSE)/100)*(VLOOKUP($B59,'Transgrid Bonds'!$A$49:$K$54,9,FALSE))*(VLOOKUP($B59,'Transgrid Bonds'!$A$49:$K$54,6,FALSE)),(VLOOKUP($B59,'Transgrid Bonds'!$A$49:$K$54,6,FALSE)))</f>
        <v>5.2999470000000004</v>
      </c>
      <c r="F61" s="182">
        <f>IF(F60&lt;VLOOKUP($B59,'Transgrid Bonds'!$A$49:$K$54,5,FALSE),(VLOOKUP($B59,'Transgrid Bonds'!$A$49:$K$54,8,FALSE)/100)*(VLOOKUP($B59,'Transgrid Bonds'!$A$49:$K$54,9,FALSE))*(VLOOKUP($B59,'Transgrid Bonds'!$A$49:$K$54,6,FALSE)),(VLOOKUP($B59,'Transgrid Bonds'!$A$49:$K$54,6,FALSE)))</f>
        <v>5.2999470000000004</v>
      </c>
      <c r="G61" s="182">
        <f>IF(G60&lt;VLOOKUP($B59,'Transgrid Bonds'!$A$49:$K$54,5,FALSE),(VLOOKUP($B59,'Transgrid Bonds'!$A$49:$K$54,8,FALSE)/100)*(VLOOKUP($B59,'Transgrid Bonds'!$A$49:$K$54,9,FALSE))*(VLOOKUP($B59,'Transgrid Bonds'!$A$49:$K$54,6,FALSE)),(VLOOKUP($B59,'Transgrid Bonds'!$A$49:$K$54,6,FALSE)))</f>
        <v>5.2999470000000004</v>
      </c>
      <c r="H61" s="182">
        <f>IF(H60&lt;VLOOKUP($B59,'Transgrid Bonds'!$A$49:$K$54,5,FALSE),(VLOOKUP($B59,'Transgrid Bonds'!$A$49:$K$54,8,FALSE)/100)*(VLOOKUP($B59,'Transgrid Bonds'!$A$49:$K$54,9,FALSE))*(VLOOKUP($B59,'Transgrid Bonds'!$A$49:$K$54,6,FALSE)),(VLOOKUP($B59,'Transgrid Bonds'!$A$49:$K$54,6,FALSE)))</f>
        <v>5.2999470000000004</v>
      </c>
      <c r="I61" s="182">
        <f>IF(I60&lt;VLOOKUP($B59,'Transgrid Bonds'!$A$49:$K$54,5,FALSE),(VLOOKUP($B59,'Transgrid Bonds'!$A$49:$K$54,8,FALSE)/100)*(VLOOKUP($B59,'Transgrid Bonds'!$A$49:$K$54,9,FALSE))*(VLOOKUP($B59,'Transgrid Bonds'!$A$49:$K$54,6,FALSE)),(VLOOKUP($B59,'Transgrid Bonds'!$A$49:$K$54,6,FALSE)))</f>
        <v>5.2999470000000004</v>
      </c>
      <c r="J61" s="182">
        <f>IF(J60&lt;VLOOKUP($B59,'Transgrid Bonds'!$A$49:$K$54,5,FALSE),(VLOOKUP($B59,'Transgrid Bonds'!$A$49:$K$54,8,FALSE)/100)*(VLOOKUP($B59,'Transgrid Bonds'!$A$49:$K$54,9,FALSE))*(VLOOKUP($B59,'Transgrid Bonds'!$A$49:$K$54,6,FALSE)),(VLOOKUP($B59,'Transgrid Bonds'!$A$49:$K$54,6,FALSE)))</f>
        <v>5.2999470000000004</v>
      </c>
      <c r="K61" s="182">
        <f>IF(K60&lt;VLOOKUP($B59,'Transgrid Bonds'!$A$49:$K$54,5,FALSE),(VLOOKUP($B59,'Transgrid Bonds'!$A$49:$K$54,8,FALSE)/100)*(VLOOKUP($B59,'Transgrid Bonds'!$A$49:$K$54,9,FALSE))*(VLOOKUP($B59,'Transgrid Bonds'!$A$49:$K$54,6,FALSE)),(VLOOKUP($B59,'Transgrid Bonds'!$A$49:$K$54,6,FALSE)))</f>
        <v>5.2999470000000004</v>
      </c>
      <c r="L61" s="182">
        <f>IF(L60&lt;VLOOKUP($B59,'Transgrid Bonds'!$A$49:$K$54,5,FALSE),(VLOOKUP($B59,'Transgrid Bonds'!$A$49:$K$54,8,FALSE)/100)*(VLOOKUP($B59,'Transgrid Bonds'!$A$49:$K$54,9,FALSE))*(VLOOKUP($B59,'Transgrid Bonds'!$A$49:$K$54,6,FALSE)),(VLOOKUP($B59,'Transgrid Bonds'!$A$49:$K$54,6,FALSE)))</f>
        <v>5.2999470000000004</v>
      </c>
      <c r="M61" s="182">
        <f>IF(M60&lt;VLOOKUP($B59,'Transgrid Bonds'!$A$49:$K$54,5,FALSE),(VLOOKUP($B59,'Transgrid Bonds'!$A$49:$K$54,8,FALSE)/100)*(VLOOKUP($B59,'Transgrid Bonds'!$A$49:$K$54,9,FALSE))*(VLOOKUP($B59,'Transgrid Bonds'!$A$49:$K$54,6,FALSE)),(VLOOKUP($B59,'Transgrid Bonds'!$A$49:$K$54,6,FALSE)))</f>
        <v>5.2999470000000004</v>
      </c>
      <c r="N61" s="182">
        <f>IF(N60&lt;VLOOKUP($B59,'Transgrid Bonds'!$A$49:$K$54,5,FALSE),(VLOOKUP($B59,'Transgrid Bonds'!$A$49:$K$54,8,FALSE)/100)*(VLOOKUP($B59,'Transgrid Bonds'!$A$49:$K$54,9,FALSE))*(VLOOKUP($B59,'Transgrid Bonds'!$A$49:$K$54,6,FALSE)),(VLOOKUP($B59,'Transgrid Bonds'!$A$49:$K$54,6,FALSE)))</f>
        <v>5.2999470000000004</v>
      </c>
      <c r="O61" s="182">
        <f>IF(O60&lt;VLOOKUP($B59,'Transgrid Bonds'!$A$49:$K$54,5,FALSE),(VLOOKUP($B59,'Transgrid Bonds'!$A$49:$K$54,8,FALSE)/100)*(VLOOKUP($B59,'Transgrid Bonds'!$A$49:$K$54,9,FALSE))*(VLOOKUP($B59,'Transgrid Bonds'!$A$49:$K$54,6,FALSE)),(VLOOKUP($B59,'Transgrid Bonds'!$A$49:$K$54,6,FALSE)))</f>
        <v>5.2999470000000004</v>
      </c>
      <c r="P61" s="182">
        <f>IF(P60&lt;VLOOKUP($B59,'Transgrid Bonds'!$A$49:$K$54,5,FALSE),(VLOOKUP($B59,'Transgrid Bonds'!$A$49:$K$54,8,FALSE)/100)*(VLOOKUP($B59,'Transgrid Bonds'!$A$49:$K$54,9,FALSE))*(VLOOKUP($B59,'Transgrid Bonds'!$A$49:$K$54,6,FALSE)),(VLOOKUP($B59,'Transgrid Bonds'!$A$49:$K$54,6,FALSE)))</f>
        <v>5.2999470000000004</v>
      </c>
      <c r="Q61" s="182">
        <f>IF(Q60&lt;VLOOKUP($B59,'Transgrid Bonds'!$A$49:$K$54,5,FALSE),(VLOOKUP($B59,'Transgrid Bonds'!$A$49:$K$54,8,FALSE)/100)*(VLOOKUP($B59,'Transgrid Bonds'!$A$49:$K$54,9,FALSE))*(VLOOKUP($B59,'Transgrid Bonds'!$A$49:$K$54,6,FALSE)),(VLOOKUP($B59,'Transgrid Bonds'!$A$49:$K$54,6,FALSE)))</f>
        <v>5.2999470000000004</v>
      </c>
      <c r="R61" s="182">
        <f>IF(R60&lt;VLOOKUP($B59,'Transgrid Bonds'!$A$49:$K$54,5,FALSE),(VLOOKUP($B59,'Transgrid Bonds'!$A$49:$K$54,8,FALSE)/100)*(VLOOKUP($B59,'Transgrid Bonds'!$A$49:$K$54,9,FALSE))*(VLOOKUP($B59,'Transgrid Bonds'!$A$49:$K$54,6,FALSE)),(VLOOKUP($B59,'Transgrid Bonds'!$A$49:$K$54,6,FALSE)))</f>
        <v>5.2999470000000004</v>
      </c>
      <c r="S61" s="182">
        <f>IF(S60&lt;VLOOKUP($B59,'Transgrid Bonds'!$A$49:$K$54,5,FALSE),(VLOOKUP($B59,'Transgrid Bonds'!$A$49:$K$54,8,FALSE)/100)*(VLOOKUP($B59,'Transgrid Bonds'!$A$49:$K$54,9,FALSE))*(VLOOKUP($B59,'Transgrid Bonds'!$A$49:$K$54,6,FALSE)),(VLOOKUP($B59,'Transgrid Bonds'!$A$49:$K$54,6,FALSE)))</f>
        <v>5.2999470000000004</v>
      </c>
      <c r="T61" s="182">
        <f>IF(T60&lt;VLOOKUP($B59,'Transgrid Bonds'!$A$49:$K$54,5,FALSE),(VLOOKUP($B59,'Transgrid Bonds'!$A$49:$K$54,8,FALSE)/100)*(VLOOKUP($B59,'Transgrid Bonds'!$A$49:$K$54,9,FALSE))*(VLOOKUP($B59,'Transgrid Bonds'!$A$49:$K$54,6,FALSE)),(VLOOKUP($B59,'Transgrid Bonds'!$A$49:$K$54,6,FALSE)))</f>
        <v>5.2999470000000004</v>
      </c>
      <c r="U61" s="182">
        <f>IF(U60&lt;VLOOKUP($B59,'Transgrid Bonds'!$A$49:$K$54,5,FALSE),(VLOOKUP($B59,'Transgrid Bonds'!$A$49:$K$54,8,FALSE)/100)*(VLOOKUP($B59,'Transgrid Bonds'!$A$49:$K$54,9,FALSE))*(VLOOKUP($B59,'Transgrid Bonds'!$A$49:$K$54,6,FALSE)),(VLOOKUP($B59,'Transgrid Bonds'!$A$49:$K$54,6,FALSE)))</f>
        <v>5.2999470000000004</v>
      </c>
      <c r="V61" s="182">
        <f>IF(V60&lt;VLOOKUP($B59,'Transgrid Bonds'!$A$49:$K$54,5,FALSE),(VLOOKUP($B59,'Transgrid Bonds'!$A$49:$K$54,8,FALSE)/100)*(VLOOKUP($B59,'Transgrid Bonds'!$A$49:$K$54,9,FALSE))*(VLOOKUP($B59,'Transgrid Bonds'!$A$49:$K$54,6,FALSE)),(VLOOKUP($B59,'Transgrid Bonds'!$A$49:$K$54,6,FALSE)))</f>
        <v>5.2999470000000004</v>
      </c>
      <c r="W61" s="182">
        <f>IF(W60&lt;VLOOKUP($B59,'Transgrid Bonds'!$A$49:$K$54,5,FALSE),(VLOOKUP($B59,'Transgrid Bonds'!$A$49:$K$54,8,FALSE)/100)*(VLOOKUP($B59,'Transgrid Bonds'!$A$49:$K$54,9,FALSE))*(VLOOKUP($B59,'Transgrid Bonds'!$A$49:$K$54,6,FALSE)),(VLOOKUP($B59,'Transgrid Bonds'!$A$49:$K$54,6,FALSE)))</f>
        <v>5.2999470000000004</v>
      </c>
      <c r="X61" s="182">
        <f>IF(X60&lt;VLOOKUP($B59,'Transgrid Bonds'!$A$49:$K$54,5,FALSE),(VLOOKUP($B59,'Transgrid Bonds'!$A$49:$K$54,8,FALSE)/100)*(VLOOKUP($B59,'Transgrid Bonds'!$A$49:$K$54,9,FALSE))*(VLOOKUP($B59,'Transgrid Bonds'!$A$49:$K$54,6,FALSE)),(VLOOKUP($B59,'Transgrid Bonds'!$A$49:$K$54,6,FALSE)))</f>
        <v>5.2999470000000004</v>
      </c>
      <c r="Y61" s="182">
        <f>IF(Y60&lt;VLOOKUP($B59,'Transgrid Bonds'!$A$49:$K$54,5,FALSE),(VLOOKUP($B59,'Transgrid Bonds'!$A$49:$K$54,8,FALSE)/100)*(VLOOKUP($B59,'Transgrid Bonds'!$A$49:$K$54,9,FALSE))*(VLOOKUP($B59,'Transgrid Bonds'!$A$49:$K$54,6,FALSE)),(VLOOKUP($B59,'Transgrid Bonds'!$A$49:$K$54,6,FALSE)))</f>
        <v>5.2999470000000004</v>
      </c>
      <c r="Z61" s="182">
        <f>IF(Z60&lt;VLOOKUP($B59,'Transgrid Bonds'!$A$49:$K$54,5,FALSE),(VLOOKUP($B59,'Transgrid Bonds'!$A$49:$K$54,8,FALSE)/100)*(VLOOKUP($B59,'Transgrid Bonds'!$A$49:$K$54,9,FALSE))*(VLOOKUP($B59,'Transgrid Bonds'!$A$49:$K$54,6,FALSE)),(VLOOKUP($B59,'Transgrid Bonds'!$A$49:$K$54,6,FALSE)))</f>
        <v>5.2999470000000004</v>
      </c>
      <c r="AA61" s="182">
        <f>IF(AA60&lt;VLOOKUP($B59,'Transgrid Bonds'!$A$49:$K$54,5,FALSE),(VLOOKUP($B59,'Transgrid Bonds'!$A$49:$K$54,8,FALSE)/100)*(VLOOKUP($B59,'Transgrid Bonds'!$A$49:$K$54,9,FALSE))*(VLOOKUP($B59,'Transgrid Bonds'!$A$49:$K$54,6,FALSE)),(VLOOKUP($B59,'Transgrid Bonds'!$A$49:$K$54,6,FALSE)))</f>
        <v>5.2999470000000004</v>
      </c>
      <c r="AB61" s="182">
        <f>IF(AB60&lt;VLOOKUP($B59,'Transgrid Bonds'!$A$49:$K$54,5,FALSE),(VLOOKUP($B59,'Transgrid Bonds'!$A$49:$K$54,8,FALSE)/100)*(VLOOKUP($B59,'Transgrid Bonds'!$A$49:$K$54,9,FALSE))*(VLOOKUP($B59,'Transgrid Bonds'!$A$49:$K$54,6,FALSE)),(VLOOKUP($B59,'Transgrid Bonds'!$A$49:$K$54,6,FALSE)))</f>
        <v>5.2999470000000004</v>
      </c>
      <c r="AC61" s="182">
        <f>IF(AC60&lt;VLOOKUP($B59,'Transgrid Bonds'!$A$49:$K$54,5,FALSE),(VLOOKUP($B59,'Transgrid Bonds'!$A$49:$K$54,8,FALSE)/100)*(VLOOKUP($B59,'Transgrid Bonds'!$A$49:$K$54,9,FALSE))*(VLOOKUP($B59,'Transgrid Bonds'!$A$49:$K$54,6,FALSE)),(VLOOKUP($B59,'Transgrid Bonds'!$A$49:$K$54,6,FALSE)))</f>
        <v>5.2999470000000004</v>
      </c>
      <c r="AD61" s="182">
        <f>IF(AD60&lt;VLOOKUP($B59,'Transgrid Bonds'!$A$49:$K$54,5,FALSE),(VLOOKUP($B59,'Transgrid Bonds'!$A$49:$K$54,8,FALSE)/100)*(VLOOKUP($B59,'Transgrid Bonds'!$A$49:$K$54,9,FALSE))*(VLOOKUP($B59,'Transgrid Bonds'!$A$49:$K$54,6,FALSE)),(VLOOKUP($B59,'Transgrid Bonds'!$A$49:$K$54,6,FALSE)))</f>
        <v>333.33</v>
      </c>
    </row>
    <row r="62" spans="2:31">
      <c r="B62" s="135">
        <v>42916</v>
      </c>
    </row>
    <row r="63" spans="2:31">
      <c r="B63" t="s">
        <v>210</v>
      </c>
      <c r="F63" s="182">
        <f t="shared" ref="F63:AD63" si="154">(F$60-$B62)/365</f>
        <v>7.5342465753424653E-2</v>
      </c>
      <c r="G63" s="182">
        <f t="shared" si="154"/>
        <v>0.57534246575342463</v>
      </c>
      <c r="H63" s="182">
        <f t="shared" si="154"/>
        <v>1.0753424657534247</v>
      </c>
      <c r="I63" s="182">
        <f t="shared" si="154"/>
        <v>1.5753424657534247</v>
      </c>
      <c r="J63" s="182">
        <f t="shared" si="154"/>
        <v>2.0753424657534247</v>
      </c>
      <c r="K63" s="182">
        <f t="shared" si="154"/>
        <v>2.5753424657534247</v>
      </c>
      <c r="L63" s="182">
        <f t="shared" si="154"/>
        <v>3.0753424657534247</v>
      </c>
      <c r="M63" s="182">
        <f t="shared" si="154"/>
        <v>3.5753424657534247</v>
      </c>
      <c r="N63" s="182">
        <f t="shared" si="154"/>
        <v>4.0753424657534243</v>
      </c>
      <c r="O63" s="182">
        <f t="shared" si="154"/>
        <v>4.5753424657534243</v>
      </c>
      <c r="P63" s="182">
        <f t="shared" si="154"/>
        <v>5.0753424657534243</v>
      </c>
      <c r="Q63" s="182">
        <f t="shared" si="154"/>
        <v>5.5753424657534243</v>
      </c>
      <c r="R63" s="182">
        <f t="shared" si="154"/>
        <v>6.0753424657534243</v>
      </c>
      <c r="S63" s="182">
        <f t="shared" si="154"/>
        <v>6.5753424657534243</v>
      </c>
      <c r="T63" s="182">
        <f t="shared" si="154"/>
        <v>7.0753424657534243</v>
      </c>
      <c r="U63" s="182">
        <f t="shared" si="154"/>
        <v>7.5753424657534243</v>
      </c>
      <c r="V63" s="182">
        <f t="shared" si="154"/>
        <v>8.0753424657534243</v>
      </c>
      <c r="W63" s="182">
        <f t="shared" si="154"/>
        <v>8.5753424657534243</v>
      </c>
      <c r="X63" s="182">
        <f t="shared" si="154"/>
        <v>9.0753424657534243</v>
      </c>
      <c r="Y63" s="182">
        <f t="shared" si="154"/>
        <v>9.5753424657534243</v>
      </c>
      <c r="Z63" s="182">
        <f t="shared" si="154"/>
        <v>10.075342465753424</v>
      </c>
      <c r="AA63" s="182">
        <f t="shared" si="154"/>
        <v>10.575342465753424</v>
      </c>
      <c r="AB63" s="182">
        <f t="shared" si="154"/>
        <v>11.075342465753424</v>
      </c>
      <c r="AC63" s="182">
        <f t="shared" si="154"/>
        <v>11.575342465753424</v>
      </c>
      <c r="AD63" s="182">
        <f t="shared" si="154"/>
        <v>11.717808219178082</v>
      </c>
    </row>
    <row r="64" spans="2:31">
      <c r="B64" t="s">
        <v>211</v>
      </c>
      <c r="F64" s="183">
        <f>1+((INDEX('Yield Curve'!$B$48:$P$91,MATCH(ROUND(F63,0),'Yield Curve'!$B$48:$B$91,0),MATCH(YEAR($B62),'Yield Curve'!$B$48:$P$48,0)))/100)</f>
        <v>1.0326500000000001</v>
      </c>
      <c r="G64" s="183">
        <f>1+((INDEX('Yield Curve'!$B$48:$P$91,MATCH(ROUND(G63,0),'Yield Curve'!$B$48:$B$91,0),MATCH(YEAR($B62),'Yield Curve'!$B$48:$P$48,0)))/100)</f>
        <v>1.0326500000000001</v>
      </c>
      <c r="H64" s="183">
        <f>1+((INDEX('Yield Curve'!$B$48:$P$91,MATCH(ROUND(H63,0),'Yield Curve'!$B$48:$B$91,0),MATCH(YEAR($B62),'Yield Curve'!$B$48:$P$48,0)))/100)</f>
        <v>1.0326500000000001</v>
      </c>
      <c r="I64" s="183">
        <f>1+((INDEX('Yield Curve'!$B$48:$P$91,MATCH(ROUND(I63,0),'Yield Curve'!$B$48:$B$91,0),MATCH(YEAR($B62),'Yield Curve'!$B$48:$P$48,0)))/100)</f>
        <v>1.0326500000000001</v>
      </c>
      <c r="J64" s="183">
        <f>1+((INDEX('Yield Curve'!$B$48:$P$91,MATCH(ROUND(J63,0),'Yield Curve'!$B$48:$B$91,0),MATCH(YEAR($B62),'Yield Curve'!$B$48:$P$48,0)))/100)</f>
        <v>1.0326500000000001</v>
      </c>
      <c r="K64" s="183">
        <f>1+((INDEX('Yield Curve'!$B$48:$P$91,MATCH(ROUND(K63,0),'Yield Curve'!$B$48:$B$91,0),MATCH(YEAR($B62),'Yield Curve'!$B$48:$P$48,0)))/100)</f>
        <v>1.0326500000000001</v>
      </c>
      <c r="L64" s="183">
        <f>1+((INDEX('Yield Curve'!$B$48:$P$91,MATCH(ROUND(L63,0),'Yield Curve'!$B$48:$B$91,0),MATCH(YEAR($B62),'Yield Curve'!$B$48:$P$48,0)))/100)</f>
        <v>1.0326500000000001</v>
      </c>
      <c r="M64" s="183">
        <f>1+((INDEX('Yield Curve'!$B$48:$P$91,MATCH(ROUND(M63,0),'Yield Curve'!$B$48:$B$91,0),MATCH(YEAR($B62),'Yield Curve'!$B$48:$P$48,0)))/100)</f>
        <v>1.034025</v>
      </c>
      <c r="N64" s="183">
        <f>1+((INDEX('Yield Curve'!$B$48:$P$91,MATCH(ROUND(N63,0),'Yield Curve'!$B$48:$B$91,0),MATCH(YEAR($B62),'Yield Curve'!$B$48:$P$48,0)))/100)</f>
        <v>1.034025</v>
      </c>
      <c r="O64" s="183">
        <f>1+((INDEX('Yield Curve'!$B$48:$P$91,MATCH(ROUND(O63,0),'Yield Curve'!$B$48:$B$91,0),MATCH(YEAR($B62),'Yield Curve'!$B$48:$P$48,0)))/100)</f>
        <v>1.0354000000000001</v>
      </c>
      <c r="P64" s="183">
        <f>1+((INDEX('Yield Curve'!$B$48:$P$91,MATCH(ROUND(P63,0),'Yield Curve'!$B$48:$B$91,0),MATCH(YEAR($B62),'Yield Curve'!$B$48:$P$48,0)))/100)</f>
        <v>1.0354000000000001</v>
      </c>
      <c r="Q64" s="183">
        <f>1+((INDEX('Yield Curve'!$B$48:$P$91,MATCH(ROUND(Q63,0),'Yield Curve'!$B$48:$B$91,0),MATCH(YEAR($B62),'Yield Curve'!$B$48:$P$48,0)))/100)</f>
        <v>1.0375000000000001</v>
      </c>
      <c r="R64" s="183">
        <f>1+((INDEX('Yield Curve'!$B$48:$P$91,MATCH(ROUND(R63,0),'Yield Curve'!$B$48:$B$91,0),MATCH(YEAR($B62),'Yield Curve'!$B$48:$P$48,0)))/100)</f>
        <v>1.0375000000000001</v>
      </c>
      <c r="S64" s="183">
        <f>1+((INDEX('Yield Curve'!$B$48:$P$91,MATCH(ROUND(S63,0),'Yield Curve'!$B$48:$B$91,0),MATCH(YEAR($B62),'Yield Curve'!$B$48:$P$48,0)))/100)</f>
        <v>1.0396000000000001</v>
      </c>
      <c r="T64" s="183">
        <f>1+((INDEX('Yield Curve'!$B$48:$P$91,MATCH(ROUND(T63,0),'Yield Curve'!$B$48:$B$91,0),MATCH(YEAR($B62),'Yield Curve'!$B$48:$P$48,0)))/100)</f>
        <v>1.0396000000000001</v>
      </c>
      <c r="U64" s="183">
        <f>1+((INDEX('Yield Curve'!$B$48:$P$91,MATCH(ROUND(U63,0),'Yield Curve'!$B$48:$B$91,0),MATCH(YEAR($B62),'Yield Curve'!$B$48:$P$48,0)))/100)</f>
        <v>1.0405249999999999</v>
      </c>
      <c r="V64" s="183">
        <f>1+((INDEX('Yield Curve'!$B$48:$P$91,MATCH(ROUND(V63,0),'Yield Curve'!$B$48:$B$91,0),MATCH(YEAR($B62),'Yield Curve'!$B$48:$P$48,0)))/100)</f>
        <v>1.0405249999999999</v>
      </c>
      <c r="W64" s="183">
        <f>1+((INDEX('Yield Curve'!$B$48:$P$91,MATCH(ROUND(W63,0),'Yield Curve'!$B$48:$B$91,0),MATCH(YEAR($B62),'Yield Curve'!$B$48:$P$48,0)))/100)</f>
        <v>1.0423750000000001</v>
      </c>
      <c r="X64" s="183">
        <f>1+((INDEX('Yield Curve'!$B$48:$P$91,MATCH(ROUND(X63,0),'Yield Curve'!$B$48:$B$91,0),MATCH(YEAR($B62),'Yield Curve'!$B$48:$P$48,0)))/100)</f>
        <v>1.0423750000000001</v>
      </c>
      <c r="Y64" s="183">
        <f>1+((INDEX('Yield Curve'!$B$48:$P$91,MATCH(ROUND(Y63,0),'Yield Curve'!$B$48:$B$91,0),MATCH(YEAR($B62),'Yield Curve'!$B$48:$P$48,0)))/100)</f>
        <v>1.0432999999999999</v>
      </c>
      <c r="Z64" s="183">
        <f>1+((INDEX('Yield Curve'!$B$48:$P$91,MATCH(ROUND(Z63,0),'Yield Curve'!$B$48:$B$91,0),MATCH(YEAR($B62),'Yield Curve'!$B$48:$P$48,0)))/100)</f>
        <v>1.0432999999999999</v>
      </c>
      <c r="AA64" s="183">
        <f>1+((INDEX('Yield Curve'!$B$48:$P$91,MATCH(ROUND(AA63,0),'Yield Curve'!$B$48:$B$91,0),MATCH(YEAR($B62),'Yield Curve'!$B$48:$P$48,0)))/100)</f>
        <v>1.0432999999999999</v>
      </c>
      <c r="AB64" s="183">
        <f>1+((INDEX('Yield Curve'!$B$48:$P$91,MATCH(ROUND(AB63,0),'Yield Curve'!$B$48:$B$91,0),MATCH(YEAR($B62),'Yield Curve'!$B$48:$P$48,0)))/100)</f>
        <v>1.0432999999999999</v>
      </c>
      <c r="AC64" s="183">
        <f>1+((INDEX('Yield Curve'!$B$48:$P$91,MATCH(ROUND(AC63,0),'Yield Curve'!$B$48:$B$91,0),MATCH(YEAR($B62),'Yield Curve'!$B$48:$P$48,0)))/100)</f>
        <v>1.0432999999999999</v>
      </c>
      <c r="AD64" s="183">
        <f>1+((INDEX('Yield Curve'!$B$48:$P$91,MATCH(ROUND(AD63,0),'Yield Curve'!$B$48:$B$91,0),MATCH(YEAR($B62),'Yield Curve'!$B$48:$P$48,0)))/100)</f>
        <v>1.0432999999999999</v>
      </c>
    </row>
    <row r="65" spans="2:30">
      <c r="B65" t="s">
        <v>212</v>
      </c>
      <c r="C65" s="182">
        <f>SUM(D65:AD65)</f>
        <v>305.15602033155704</v>
      </c>
      <c r="F65" s="182">
        <f t="shared" ref="F65:AD65" si="155">F$61/(F64^F63)</f>
        <v>5.2871333233055848</v>
      </c>
      <c r="G65" s="182">
        <f t="shared" si="155"/>
        <v>5.2028785370997888</v>
      </c>
      <c r="H65" s="182">
        <f t="shared" si="155"/>
        <v>5.1199664197023038</v>
      </c>
      <c r="I65" s="182">
        <f t="shared" si="155"/>
        <v>5.038375574589443</v>
      </c>
      <c r="J65" s="182">
        <f t="shared" si="155"/>
        <v>4.9580849462085927</v>
      </c>
      <c r="K65" s="182">
        <f t="shared" si="155"/>
        <v>4.8790738145445633</v>
      </c>
      <c r="L65" s="182">
        <f t="shared" si="155"/>
        <v>4.80132178977252</v>
      </c>
      <c r="M65" s="182">
        <f t="shared" si="155"/>
        <v>4.7023839443698838</v>
      </c>
      <c r="N65" s="182">
        <f t="shared" si="155"/>
        <v>4.6243699074521896</v>
      </c>
      <c r="O65" s="182">
        <f t="shared" si="155"/>
        <v>4.5200841244381111</v>
      </c>
      <c r="P65" s="182">
        <f t="shared" si="155"/>
        <v>4.4421419999378653</v>
      </c>
      <c r="Q65" s="182">
        <f t="shared" si="155"/>
        <v>4.3165061472634632</v>
      </c>
      <c r="R65" s="182">
        <f t="shared" si="155"/>
        <v>4.237779063631959</v>
      </c>
      <c r="S65" s="182">
        <f t="shared" si="155"/>
        <v>4.1055374667403965</v>
      </c>
      <c r="T65" s="182">
        <f t="shared" si="155"/>
        <v>4.0265851209735892</v>
      </c>
      <c r="U65" s="182">
        <f t="shared" si="155"/>
        <v>3.9226339742471996</v>
      </c>
      <c r="V65" s="182">
        <f t="shared" si="155"/>
        <v>3.8454885793104316</v>
      </c>
      <c r="W65" s="182">
        <f t="shared" si="155"/>
        <v>3.7128693455825497</v>
      </c>
      <c r="X65" s="182">
        <f t="shared" si="155"/>
        <v>3.6366179113546364</v>
      </c>
      <c r="Y65" s="182">
        <f t="shared" si="155"/>
        <v>3.5318078005239104</v>
      </c>
      <c r="Z65" s="182">
        <f t="shared" si="155"/>
        <v>3.4577409852418559</v>
      </c>
      <c r="AA65" s="182">
        <f t="shared" si="155"/>
        <v>3.3852274518584404</v>
      </c>
      <c r="AB65" s="182">
        <f t="shared" si="155"/>
        <v>3.3142346259387101</v>
      </c>
      <c r="AC65" s="182">
        <f t="shared" si="155"/>
        <v>3.2447306161779359</v>
      </c>
      <c r="AD65" s="182">
        <f t="shared" si="155"/>
        <v>202.84244686129114</v>
      </c>
    </row>
    <row r="66" spans="2:30">
      <c r="B66" s="135">
        <v>43281</v>
      </c>
    </row>
    <row r="67" spans="2:30">
      <c r="B67" t="s">
        <v>210</v>
      </c>
      <c r="H67" s="182">
        <f t="shared" ref="H67:AD67" si="156">(H$60-$B66)/365</f>
        <v>7.5342465753424653E-2</v>
      </c>
      <c r="I67" s="182">
        <f t="shared" si="156"/>
        <v>0.57534246575342463</v>
      </c>
      <c r="J67" s="182">
        <f t="shared" si="156"/>
        <v>1.0753424657534247</v>
      </c>
      <c r="K67" s="182">
        <f t="shared" si="156"/>
        <v>1.5753424657534247</v>
      </c>
      <c r="L67" s="182">
        <f t="shared" si="156"/>
        <v>2.0753424657534247</v>
      </c>
      <c r="M67" s="182">
        <f t="shared" si="156"/>
        <v>2.5753424657534247</v>
      </c>
      <c r="N67" s="182">
        <f t="shared" si="156"/>
        <v>3.0753424657534247</v>
      </c>
      <c r="O67" s="182">
        <f t="shared" si="156"/>
        <v>3.5753424657534247</v>
      </c>
      <c r="P67" s="182">
        <f t="shared" si="156"/>
        <v>4.0753424657534243</v>
      </c>
      <c r="Q67" s="182">
        <f t="shared" si="156"/>
        <v>4.5753424657534243</v>
      </c>
      <c r="R67" s="182">
        <f t="shared" si="156"/>
        <v>5.0753424657534243</v>
      </c>
      <c r="S67" s="182">
        <f t="shared" si="156"/>
        <v>5.5753424657534243</v>
      </c>
      <c r="T67" s="182">
        <f t="shared" si="156"/>
        <v>6.0753424657534243</v>
      </c>
      <c r="U67" s="182">
        <f t="shared" si="156"/>
        <v>6.5753424657534243</v>
      </c>
      <c r="V67" s="182">
        <f t="shared" si="156"/>
        <v>7.0753424657534243</v>
      </c>
      <c r="W67" s="182">
        <f t="shared" si="156"/>
        <v>7.5753424657534243</v>
      </c>
      <c r="X67" s="182">
        <f t="shared" si="156"/>
        <v>8.0753424657534243</v>
      </c>
      <c r="Y67" s="182">
        <f t="shared" si="156"/>
        <v>8.5753424657534243</v>
      </c>
      <c r="Z67" s="182">
        <f t="shared" si="156"/>
        <v>9.0753424657534243</v>
      </c>
      <c r="AA67" s="182">
        <f t="shared" si="156"/>
        <v>9.5753424657534243</v>
      </c>
      <c r="AB67" s="182">
        <f t="shared" si="156"/>
        <v>10.075342465753424</v>
      </c>
      <c r="AC67" s="182">
        <f t="shared" si="156"/>
        <v>10.575342465753424</v>
      </c>
      <c r="AD67" s="182">
        <f t="shared" si="156"/>
        <v>10.717808219178082</v>
      </c>
    </row>
    <row r="68" spans="2:30">
      <c r="B68" t="s">
        <v>211</v>
      </c>
      <c r="H68" s="183">
        <f>1+((INDEX('Yield Curve'!$B$48:$P$91,MATCH(ROUND(H67,0),'Yield Curve'!$B$48:$B$91,0),MATCH(YEAR($B66),'Yield Curve'!$B$48:$P$48,0)))/100)</f>
        <v>1.03315</v>
      </c>
      <c r="I68" s="183">
        <f>1+((INDEX('Yield Curve'!$B$48:$P$91,MATCH(ROUND(I67,0),'Yield Curve'!$B$48:$B$91,0),MATCH(YEAR($B66),'Yield Curve'!$B$48:$P$48,0)))/100)</f>
        <v>1.03315</v>
      </c>
      <c r="J68" s="183">
        <f>1+((INDEX('Yield Curve'!$B$48:$P$91,MATCH(ROUND(J67,0),'Yield Curve'!$B$48:$B$91,0),MATCH(YEAR($B66),'Yield Curve'!$B$48:$P$48,0)))/100)</f>
        <v>1.03315</v>
      </c>
      <c r="K68" s="183">
        <f>1+((INDEX('Yield Curve'!$B$48:$P$91,MATCH(ROUND(K67,0),'Yield Curve'!$B$48:$B$91,0),MATCH(YEAR($B66),'Yield Curve'!$B$48:$P$48,0)))/100)</f>
        <v>1.03315</v>
      </c>
      <c r="L68" s="183">
        <f>1+((INDEX('Yield Curve'!$B$48:$P$91,MATCH(ROUND(L67,0),'Yield Curve'!$B$48:$B$91,0),MATCH(YEAR($B66),'Yield Curve'!$B$48:$P$48,0)))/100)</f>
        <v>1.03315</v>
      </c>
      <c r="M68" s="183">
        <f>1+((INDEX('Yield Curve'!$B$48:$P$91,MATCH(ROUND(M67,0),'Yield Curve'!$B$48:$B$91,0),MATCH(YEAR($B66),'Yield Curve'!$B$48:$P$48,0)))/100)</f>
        <v>1.03315</v>
      </c>
      <c r="N68" s="183">
        <f>1+((INDEX('Yield Curve'!$B$48:$P$91,MATCH(ROUND(N67,0),'Yield Curve'!$B$48:$B$91,0),MATCH(YEAR($B66),'Yield Curve'!$B$48:$P$48,0)))/100)</f>
        <v>1.03315</v>
      </c>
      <c r="O68" s="183">
        <f>1+((INDEX('Yield Curve'!$B$48:$P$91,MATCH(ROUND(O67,0),'Yield Curve'!$B$48:$B$91,0),MATCH(YEAR($B66),'Yield Curve'!$B$48:$P$48,0)))/100)</f>
        <v>1.0349999999999999</v>
      </c>
      <c r="P68" s="183">
        <f>1+((INDEX('Yield Curve'!$B$48:$P$91,MATCH(ROUND(P67,0),'Yield Curve'!$B$48:$B$91,0),MATCH(YEAR($B66),'Yield Curve'!$B$48:$P$48,0)))/100)</f>
        <v>1.0349999999999999</v>
      </c>
      <c r="Q68" s="183">
        <f>1+((INDEX('Yield Curve'!$B$48:$P$91,MATCH(ROUND(Q67,0),'Yield Curve'!$B$48:$B$91,0),MATCH(YEAR($B66),'Yield Curve'!$B$48:$P$48,0)))/100)</f>
        <v>1.03685</v>
      </c>
      <c r="R68" s="183">
        <f>1+((INDEX('Yield Curve'!$B$48:$P$91,MATCH(ROUND(R67,0),'Yield Curve'!$B$48:$B$91,0),MATCH(YEAR($B66),'Yield Curve'!$B$48:$P$48,0)))/100)</f>
        <v>1.03685</v>
      </c>
      <c r="S68" s="183">
        <f>1+((INDEX('Yield Curve'!$B$48:$P$91,MATCH(ROUND(S67,0),'Yield Curve'!$B$48:$B$91,0),MATCH(YEAR($B66),'Yield Curve'!$B$48:$P$48,0)))/100)</f>
        <v>1.0386</v>
      </c>
      <c r="T68" s="183">
        <f>1+((INDEX('Yield Curve'!$B$48:$P$91,MATCH(ROUND(T67,0),'Yield Curve'!$B$48:$B$91,0),MATCH(YEAR($B66),'Yield Curve'!$B$48:$P$48,0)))/100)</f>
        <v>1.0386</v>
      </c>
      <c r="U68" s="183">
        <f>1+((INDEX('Yield Curve'!$B$48:$P$91,MATCH(ROUND(U67,0),'Yield Curve'!$B$48:$B$91,0),MATCH(YEAR($B66),'Yield Curve'!$B$48:$P$48,0)))/100)</f>
        <v>1.0403500000000001</v>
      </c>
      <c r="V68" s="183">
        <f>1+((INDEX('Yield Curve'!$B$48:$P$91,MATCH(ROUND(V67,0),'Yield Curve'!$B$48:$B$91,0),MATCH(YEAR($B66),'Yield Curve'!$B$48:$P$48,0)))/100)</f>
        <v>1.0403500000000001</v>
      </c>
      <c r="W68" s="183">
        <f>1+((INDEX('Yield Curve'!$B$48:$P$91,MATCH(ROUND(W67,0),'Yield Curve'!$B$48:$B$91,0),MATCH(YEAR($B66),'Yield Curve'!$B$48:$P$48,0)))/100)</f>
        <v>1.0414874999999999</v>
      </c>
      <c r="X68" s="183">
        <f>1+((INDEX('Yield Curve'!$B$48:$P$91,MATCH(ROUND(X67,0),'Yield Curve'!$B$48:$B$91,0),MATCH(YEAR($B66),'Yield Curve'!$B$48:$P$48,0)))/100)</f>
        <v>1.0414874999999999</v>
      </c>
      <c r="Y68" s="183">
        <f>1+((INDEX('Yield Curve'!$B$48:$P$91,MATCH(ROUND(Y67,0),'Yield Curve'!$B$48:$B$91,0),MATCH(YEAR($B66),'Yield Curve'!$B$48:$P$48,0)))/100)</f>
        <v>1.0437624999999999</v>
      </c>
      <c r="Z68" s="183">
        <f>1+((INDEX('Yield Curve'!$B$48:$P$91,MATCH(ROUND(Z67,0),'Yield Curve'!$B$48:$B$91,0),MATCH(YEAR($B66),'Yield Curve'!$B$48:$P$48,0)))/100)</f>
        <v>1.0437624999999999</v>
      </c>
      <c r="AA68" s="183">
        <f>1+((INDEX('Yield Curve'!$B$48:$P$91,MATCH(ROUND(AA67,0),'Yield Curve'!$B$48:$B$91,0),MATCH(YEAR($B66),'Yield Curve'!$B$48:$P$48,0)))/100)</f>
        <v>1.0448999999999999</v>
      </c>
      <c r="AB68" s="183">
        <f>1+((INDEX('Yield Curve'!$B$48:$P$91,MATCH(ROUND(AB67,0),'Yield Curve'!$B$48:$B$91,0),MATCH(YEAR($B66),'Yield Curve'!$B$48:$P$48,0)))/100)</f>
        <v>1.0448999999999999</v>
      </c>
      <c r="AC68" s="183">
        <f>1+((INDEX('Yield Curve'!$B$48:$P$91,MATCH(ROUND(AC67,0),'Yield Curve'!$B$48:$B$91,0),MATCH(YEAR($B66),'Yield Curve'!$B$48:$P$48,0)))/100)</f>
        <v>1.0448999999999999</v>
      </c>
      <c r="AD68" s="183">
        <f>1+((INDEX('Yield Curve'!$B$48:$P$91,MATCH(ROUND(AD67,0),'Yield Curve'!$B$48:$B$91,0),MATCH(YEAR($B66),'Yield Curve'!$B$48:$P$48,0)))/100)</f>
        <v>1.0448999999999999</v>
      </c>
    </row>
    <row r="69" spans="2:30">
      <c r="B69" t="s">
        <v>212</v>
      </c>
      <c r="C69" s="182">
        <f>SUM(D69:AD69)</f>
        <v>303.41945079814661</v>
      </c>
      <c r="H69" s="182">
        <f t="shared" ref="H69:AD69" si="157">H$61/(H68^H67)</f>
        <v>5.2869404980538102</v>
      </c>
      <c r="I69" s="182">
        <f t="shared" si="157"/>
        <v>5.2014296939324209</v>
      </c>
      <c r="J69" s="182">
        <f t="shared" si="157"/>
        <v>5.1173019387831493</v>
      </c>
      <c r="K69" s="182">
        <f t="shared" si="157"/>
        <v>5.0345348632167841</v>
      </c>
      <c r="L69" s="182">
        <f t="shared" si="157"/>
        <v>4.9531064596458885</v>
      </c>
      <c r="M69" s="182">
        <f t="shared" si="157"/>
        <v>4.8729950764330301</v>
      </c>
      <c r="N69" s="182">
        <f t="shared" si="157"/>
        <v>4.7941794121336576</v>
      </c>
      <c r="O69" s="182">
        <f t="shared" si="157"/>
        <v>4.6865651591058475</v>
      </c>
      <c r="P69" s="182">
        <f t="shared" si="157"/>
        <v>4.6066422313730202</v>
      </c>
      <c r="Q69" s="182">
        <f t="shared" si="157"/>
        <v>4.4912347496573277</v>
      </c>
      <c r="R69" s="182">
        <f t="shared" si="157"/>
        <v>4.4107027411196995</v>
      </c>
      <c r="S69" s="182">
        <f t="shared" si="157"/>
        <v>4.2910790915106949</v>
      </c>
      <c r="T69" s="182">
        <f t="shared" si="157"/>
        <v>4.2105842364873318</v>
      </c>
      <c r="U69" s="182">
        <f t="shared" si="157"/>
        <v>4.086115308601026</v>
      </c>
      <c r="V69" s="182">
        <f t="shared" si="157"/>
        <v>4.0060916650019145</v>
      </c>
      <c r="W69" s="182">
        <f t="shared" si="157"/>
        <v>3.8952556120392567</v>
      </c>
      <c r="X69" s="182">
        <f t="shared" si="157"/>
        <v>3.8168837330005965</v>
      </c>
      <c r="Y69" s="182">
        <f t="shared" si="157"/>
        <v>3.6707572729513722</v>
      </c>
      <c r="Z69" s="182">
        <f t="shared" si="157"/>
        <v>3.5929801935476728</v>
      </c>
      <c r="AA69" s="182">
        <f t="shared" si="157"/>
        <v>3.4803623534694967</v>
      </c>
      <c r="AB69" s="182">
        <f t="shared" si="157"/>
        <v>3.4047646538375549</v>
      </c>
      <c r="AC69" s="182">
        <f t="shared" si="157"/>
        <v>3.3308090281074714</v>
      </c>
      <c r="AD69" s="182">
        <f t="shared" si="157"/>
        <v>208.17813482613761</v>
      </c>
    </row>
    <row r="70" spans="2:30">
      <c r="B70" s="135">
        <v>43646</v>
      </c>
    </row>
    <row r="71" spans="2:30">
      <c r="B71" t="s">
        <v>210</v>
      </c>
      <c r="J71" s="182">
        <f t="shared" ref="J71:AD71" si="158">(J$60-$B70)/365</f>
        <v>7.5342465753424653E-2</v>
      </c>
      <c r="K71" s="182">
        <f t="shared" si="158"/>
        <v>0.57534246575342463</v>
      </c>
      <c r="L71" s="182">
        <f t="shared" si="158"/>
        <v>1.0753424657534247</v>
      </c>
      <c r="M71" s="182">
        <f t="shared" si="158"/>
        <v>1.5753424657534247</v>
      </c>
      <c r="N71" s="182">
        <f t="shared" si="158"/>
        <v>2.0753424657534247</v>
      </c>
      <c r="O71" s="182">
        <f t="shared" si="158"/>
        <v>2.5753424657534247</v>
      </c>
      <c r="P71" s="182">
        <f t="shared" si="158"/>
        <v>3.0753424657534247</v>
      </c>
      <c r="Q71" s="182">
        <f t="shared" si="158"/>
        <v>3.5753424657534247</v>
      </c>
      <c r="R71" s="182">
        <f t="shared" si="158"/>
        <v>4.0753424657534243</v>
      </c>
      <c r="S71" s="182">
        <f t="shared" si="158"/>
        <v>4.5753424657534243</v>
      </c>
      <c r="T71" s="182">
        <f t="shared" si="158"/>
        <v>5.0753424657534243</v>
      </c>
      <c r="U71" s="182">
        <f t="shared" si="158"/>
        <v>5.5753424657534243</v>
      </c>
      <c r="V71" s="182">
        <f t="shared" si="158"/>
        <v>6.0753424657534243</v>
      </c>
      <c r="W71" s="182">
        <f t="shared" si="158"/>
        <v>6.5753424657534243</v>
      </c>
      <c r="X71" s="182">
        <f t="shared" si="158"/>
        <v>7.0753424657534243</v>
      </c>
      <c r="Y71" s="182">
        <f t="shared" si="158"/>
        <v>7.5753424657534243</v>
      </c>
      <c r="Z71" s="182">
        <f t="shared" si="158"/>
        <v>8.0753424657534243</v>
      </c>
      <c r="AA71" s="182">
        <f t="shared" si="158"/>
        <v>8.5753424657534243</v>
      </c>
      <c r="AB71" s="182">
        <f t="shared" si="158"/>
        <v>9.0753424657534243</v>
      </c>
      <c r="AC71" s="182">
        <f t="shared" si="158"/>
        <v>9.5753424657534243</v>
      </c>
      <c r="AD71" s="182">
        <f t="shared" si="158"/>
        <v>9.7178082191780817</v>
      </c>
    </row>
    <row r="72" spans="2:30">
      <c r="B72" t="s">
        <v>211</v>
      </c>
      <c r="J72" s="183">
        <f>1+((INDEX('Yield Curve'!$B$48:$P$91,MATCH(ROUND(J71,0),'Yield Curve'!$B$48:$B$91,0),MATCH(YEAR($B70),'Yield Curve'!$B$48:$P$48,0)))/100)</f>
        <v>1.02305</v>
      </c>
      <c r="K72" s="183">
        <f>1+((INDEX('Yield Curve'!$B$48:$P$91,MATCH(ROUND(K71,0),'Yield Curve'!$B$48:$B$91,0),MATCH(YEAR($B70),'Yield Curve'!$B$48:$P$48,0)))/100)</f>
        <v>1.02305</v>
      </c>
      <c r="L72" s="183">
        <f>1+((INDEX('Yield Curve'!$B$48:$P$91,MATCH(ROUND(L71,0),'Yield Curve'!$B$48:$B$91,0),MATCH(YEAR($B70),'Yield Curve'!$B$48:$P$48,0)))/100)</f>
        <v>1.02305</v>
      </c>
      <c r="M72" s="183">
        <f>1+((INDEX('Yield Curve'!$B$48:$P$91,MATCH(ROUND(M71,0),'Yield Curve'!$B$48:$B$91,0),MATCH(YEAR($B70),'Yield Curve'!$B$48:$P$48,0)))/100)</f>
        <v>1.02305</v>
      </c>
      <c r="N72" s="183">
        <f>1+((INDEX('Yield Curve'!$B$48:$P$91,MATCH(ROUND(N71,0),'Yield Curve'!$B$48:$B$91,0),MATCH(YEAR($B70),'Yield Curve'!$B$48:$P$48,0)))/100)</f>
        <v>1.02305</v>
      </c>
      <c r="O72" s="183">
        <f>1+((INDEX('Yield Curve'!$B$48:$P$91,MATCH(ROUND(O71,0),'Yield Curve'!$B$48:$B$91,0),MATCH(YEAR($B70),'Yield Curve'!$B$48:$P$48,0)))/100)</f>
        <v>1.02305</v>
      </c>
      <c r="P72" s="183">
        <f>1+((INDEX('Yield Curve'!$B$48:$P$91,MATCH(ROUND(P71,0),'Yield Curve'!$B$48:$B$91,0),MATCH(YEAR($B70),'Yield Curve'!$B$48:$P$48,0)))/100)</f>
        <v>1.02305</v>
      </c>
      <c r="Q72" s="183">
        <f>1+((INDEX('Yield Curve'!$B$48:$P$91,MATCH(ROUND(Q71,0),'Yield Curve'!$B$48:$B$91,0),MATCH(YEAR($B70),'Yield Curve'!$B$48:$P$48,0)))/100)</f>
        <v>1.024575</v>
      </c>
      <c r="R72" s="183">
        <f>1+((INDEX('Yield Curve'!$B$48:$P$91,MATCH(ROUND(R71,0),'Yield Curve'!$B$48:$B$91,0),MATCH(YEAR($B70),'Yield Curve'!$B$48:$P$48,0)))/100)</f>
        <v>1.024575</v>
      </c>
      <c r="S72" s="183">
        <f>1+((INDEX('Yield Curve'!$B$48:$P$91,MATCH(ROUND(S71,0),'Yield Curve'!$B$48:$B$91,0),MATCH(YEAR($B70),'Yield Curve'!$B$48:$P$48,0)))/100)</f>
        <v>1.0261</v>
      </c>
      <c r="T72" s="183">
        <f>1+((INDEX('Yield Curve'!$B$48:$P$91,MATCH(ROUND(T71,0),'Yield Curve'!$B$48:$B$91,0),MATCH(YEAR($B70),'Yield Curve'!$B$48:$P$48,0)))/100)</f>
        <v>1.0261</v>
      </c>
      <c r="U72" s="183">
        <f>1+((INDEX('Yield Curve'!$B$48:$P$91,MATCH(ROUND(U71,0),'Yield Curve'!$B$48:$B$91,0),MATCH(YEAR($B70),'Yield Curve'!$B$48:$P$48,0)))/100)</f>
        <v>1.028375</v>
      </c>
      <c r="V72" s="183">
        <f>1+((INDEX('Yield Curve'!$B$48:$P$91,MATCH(ROUND(V71,0),'Yield Curve'!$B$48:$B$91,0),MATCH(YEAR($B70),'Yield Curve'!$B$48:$P$48,0)))/100)</f>
        <v>1.028375</v>
      </c>
      <c r="W72" s="183">
        <f>1+((INDEX('Yield Curve'!$B$48:$P$91,MATCH(ROUND(W71,0),'Yield Curve'!$B$48:$B$91,0),MATCH(YEAR($B70),'Yield Curve'!$B$48:$P$48,0)))/100)</f>
        <v>1.0306500000000001</v>
      </c>
      <c r="X72" s="183">
        <f>1+((INDEX('Yield Curve'!$B$48:$P$91,MATCH(ROUND(X71,0),'Yield Curve'!$B$48:$B$91,0),MATCH(YEAR($B70),'Yield Curve'!$B$48:$P$48,0)))/100)</f>
        <v>1.0306500000000001</v>
      </c>
      <c r="Y72" s="183">
        <f>1+((INDEX('Yield Curve'!$B$48:$P$91,MATCH(ROUND(Y71,0),'Yield Curve'!$B$48:$B$91,0),MATCH(YEAR($B70),'Yield Curve'!$B$48:$P$48,0)))/100)</f>
        <v>1.0318624999999999</v>
      </c>
      <c r="Z72" s="183">
        <f>1+((INDEX('Yield Curve'!$B$48:$P$91,MATCH(ROUND(Z71,0),'Yield Curve'!$B$48:$B$91,0),MATCH(YEAR($B70),'Yield Curve'!$B$48:$P$48,0)))/100)</f>
        <v>1.0318624999999999</v>
      </c>
      <c r="AA72" s="183">
        <f>1+((INDEX('Yield Curve'!$B$48:$P$91,MATCH(ROUND(AA71,0),'Yield Curve'!$B$48:$B$91,0),MATCH(YEAR($B70),'Yield Curve'!$B$48:$P$48,0)))/100)</f>
        <v>1.0342875</v>
      </c>
      <c r="AB72" s="183">
        <f>1+((INDEX('Yield Curve'!$B$48:$P$91,MATCH(ROUND(AB71,0),'Yield Curve'!$B$48:$B$91,0),MATCH(YEAR($B70),'Yield Curve'!$B$48:$P$48,0)))/100)</f>
        <v>1.0342875</v>
      </c>
      <c r="AC72" s="183">
        <f>1+((INDEX('Yield Curve'!$B$48:$P$91,MATCH(ROUND(AC71,0),'Yield Curve'!$B$48:$B$91,0),MATCH(YEAR($B70),'Yield Curve'!$B$48:$P$48,0)))/100)</f>
        <v>1.0355000000000001</v>
      </c>
      <c r="AD72" s="183">
        <f>1+((INDEX('Yield Curve'!$B$48:$P$91,MATCH(ROUND(AD71,0),'Yield Curve'!$B$48:$B$91,0),MATCH(YEAR($B70),'Yield Curve'!$B$48:$P$48,0)))/100)</f>
        <v>1.0355000000000001</v>
      </c>
    </row>
    <row r="73" spans="2:30">
      <c r="B73" t="s">
        <v>212</v>
      </c>
      <c r="C73" s="182">
        <f>SUM(D73:AD73)</f>
        <v>329.90591351562335</v>
      </c>
      <c r="J73" s="182">
        <f t="shared" ref="J73:AD73" si="159">J$61/(J72^J71)</f>
        <v>5.2908551620763165</v>
      </c>
      <c r="K73" s="182">
        <f t="shared" si="159"/>
        <v>5.2309123498298238</v>
      </c>
      <c r="L73" s="182">
        <f t="shared" si="159"/>
        <v>5.1716486604528775</v>
      </c>
      <c r="M73" s="182">
        <f t="shared" si="159"/>
        <v>5.1130563998141083</v>
      </c>
      <c r="N73" s="182">
        <f t="shared" si="159"/>
        <v>5.0551279609529125</v>
      </c>
      <c r="O73" s="182">
        <f t="shared" si="159"/>
        <v>4.9978558230918422</v>
      </c>
      <c r="P73" s="182">
        <f t="shared" si="159"/>
        <v>4.9412325506601951</v>
      </c>
      <c r="Q73" s="182">
        <f t="shared" si="159"/>
        <v>4.8593031391170376</v>
      </c>
      <c r="R73" s="182">
        <f t="shared" si="159"/>
        <v>4.8006728942405799</v>
      </c>
      <c r="S73" s="182">
        <f t="shared" si="159"/>
        <v>4.7105853136818592</v>
      </c>
      <c r="T73" s="182">
        <f t="shared" si="159"/>
        <v>4.6502899234522781</v>
      </c>
      <c r="U73" s="182">
        <f t="shared" si="159"/>
        <v>4.5344299296991304</v>
      </c>
      <c r="V73" s="182">
        <f t="shared" si="159"/>
        <v>4.4714351861724717</v>
      </c>
      <c r="W73" s="182">
        <f t="shared" si="159"/>
        <v>4.3457110520984212</v>
      </c>
      <c r="X73" s="182">
        <f t="shared" si="159"/>
        <v>4.2806058704900805</v>
      </c>
      <c r="Y73" s="182">
        <f t="shared" si="159"/>
        <v>4.1790878673851219</v>
      </c>
      <c r="Z73" s="182">
        <f t="shared" si="159"/>
        <v>4.1140596825410247</v>
      </c>
      <c r="AA73" s="182">
        <f t="shared" si="159"/>
        <v>3.969333329157092</v>
      </c>
      <c r="AB73" s="182">
        <f t="shared" si="159"/>
        <v>3.9029854547354903</v>
      </c>
      <c r="AC73" s="182">
        <f t="shared" si="159"/>
        <v>3.7949328867783492</v>
      </c>
      <c r="AD73" s="182">
        <f t="shared" si="159"/>
        <v>237.49179207919636</v>
      </c>
    </row>
    <row r="74" spans="2:30">
      <c r="B74" s="135">
        <v>44012</v>
      </c>
    </row>
    <row r="75" spans="2:30">
      <c r="B75" t="s">
        <v>210</v>
      </c>
      <c r="L75" s="182">
        <f t="shared" ref="L75:AD75" si="160">(L$60-$B74)/365</f>
        <v>7.260273972602739E-2</v>
      </c>
      <c r="M75" s="182">
        <f t="shared" si="160"/>
        <v>0.57260273972602738</v>
      </c>
      <c r="N75" s="182">
        <f t="shared" si="160"/>
        <v>1.0726027397260274</v>
      </c>
      <c r="O75" s="182">
        <f t="shared" si="160"/>
        <v>1.5726027397260274</v>
      </c>
      <c r="P75" s="182">
        <f t="shared" si="160"/>
        <v>2.0726027397260274</v>
      </c>
      <c r="Q75" s="182">
        <f t="shared" si="160"/>
        <v>2.5726027397260274</v>
      </c>
      <c r="R75" s="182">
        <f t="shared" si="160"/>
        <v>3.0726027397260274</v>
      </c>
      <c r="S75" s="182">
        <f t="shared" si="160"/>
        <v>3.5726027397260274</v>
      </c>
      <c r="T75" s="182">
        <f t="shared" si="160"/>
        <v>4.0726027397260278</v>
      </c>
      <c r="U75" s="182">
        <f t="shared" si="160"/>
        <v>4.5726027397260278</v>
      </c>
      <c r="V75" s="182">
        <f t="shared" si="160"/>
        <v>5.0726027397260278</v>
      </c>
      <c r="W75" s="182">
        <f t="shared" si="160"/>
        <v>5.5726027397260278</v>
      </c>
      <c r="X75" s="182">
        <f t="shared" si="160"/>
        <v>6.0726027397260278</v>
      </c>
      <c r="Y75" s="182">
        <f t="shared" si="160"/>
        <v>6.5726027397260278</v>
      </c>
      <c r="Z75" s="182">
        <f t="shared" si="160"/>
        <v>7.0726027397260278</v>
      </c>
      <c r="AA75" s="182">
        <f t="shared" si="160"/>
        <v>7.5726027397260278</v>
      </c>
      <c r="AB75" s="182">
        <f t="shared" si="160"/>
        <v>8.0726027397260278</v>
      </c>
      <c r="AC75" s="182">
        <f t="shared" si="160"/>
        <v>8.5726027397260278</v>
      </c>
      <c r="AD75" s="182">
        <f t="shared" si="160"/>
        <v>8.7150684931506852</v>
      </c>
    </row>
    <row r="76" spans="2:30">
      <c r="B76" t="s">
        <v>211</v>
      </c>
      <c r="L76" s="183">
        <f>1+((INDEX('Yield Curve'!$B$48:$P$91,MATCH(ROUND(L75,0),'Yield Curve'!$B$48:$B$91,0),MATCH(YEAR($B74),'Yield Curve'!$B$48:$P$48,0)))/100)</f>
        <v>1.02105</v>
      </c>
      <c r="M76" s="183">
        <f>1+((INDEX('Yield Curve'!$B$48:$P$91,MATCH(ROUND(M75,0),'Yield Curve'!$B$48:$B$91,0),MATCH(YEAR($B74),'Yield Curve'!$B$48:$P$48,0)))/100)</f>
        <v>1.02105</v>
      </c>
      <c r="N76" s="183">
        <f>1+((INDEX('Yield Curve'!$B$48:$P$91,MATCH(ROUND(N75,0),'Yield Curve'!$B$48:$B$91,0),MATCH(YEAR($B74),'Yield Curve'!$B$48:$P$48,0)))/100)</f>
        <v>1.02105</v>
      </c>
      <c r="O76" s="183">
        <f>1+((INDEX('Yield Curve'!$B$48:$P$91,MATCH(ROUND(O75,0),'Yield Curve'!$B$48:$B$91,0),MATCH(YEAR($B74),'Yield Curve'!$B$48:$P$48,0)))/100)</f>
        <v>1.02105</v>
      </c>
      <c r="P76" s="183">
        <f>1+((INDEX('Yield Curve'!$B$48:$P$91,MATCH(ROUND(P75,0),'Yield Curve'!$B$48:$B$91,0),MATCH(YEAR($B74),'Yield Curve'!$B$48:$P$48,0)))/100)</f>
        <v>1.02105</v>
      </c>
      <c r="Q76" s="183">
        <f>1+((INDEX('Yield Curve'!$B$48:$P$91,MATCH(ROUND(Q75,0),'Yield Curve'!$B$48:$B$91,0),MATCH(YEAR($B74),'Yield Curve'!$B$48:$P$48,0)))/100)</f>
        <v>1.02105</v>
      </c>
      <c r="R76" s="183">
        <f>1+((INDEX('Yield Curve'!$B$48:$P$91,MATCH(ROUND(R75,0),'Yield Curve'!$B$48:$B$91,0),MATCH(YEAR($B74),'Yield Curve'!$B$48:$P$48,0)))/100)</f>
        <v>1.02105</v>
      </c>
      <c r="S76" s="183">
        <f>1+((INDEX('Yield Curve'!$B$48:$P$91,MATCH(ROUND(S75,0),'Yield Curve'!$B$48:$B$91,0),MATCH(YEAR($B74),'Yield Curve'!$B$48:$P$48,0)))/100)</f>
        <v>1.0229999999999999</v>
      </c>
      <c r="T76" s="183">
        <f>1+((INDEX('Yield Curve'!$B$48:$P$91,MATCH(ROUND(T75,0),'Yield Curve'!$B$48:$B$91,0),MATCH(YEAR($B74),'Yield Curve'!$B$48:$P$48,0)))/100)</f>
        <v>1.0229999999999999</v>
      </c>
      <c r="U76" s="183">
        <f>1+((INDEX('Yield Curve'!$B$48:$P$91,MATCH(ROUND(U75,0),'Yield Curve'!$B$48:$B$91,0),MATCH(YEAR($B74),'Yield Curve'!$B$48:$P$48,0)))/100)</f>
        <v>1.02495</v>
      </c>
      <c r="V76" s="183">
        <f>1+((INDEX('Yield Curve'!$B$48:$P$91,MATCH(ROUND(V75,0),'Yield Curve'!$B$48:$B$91,0),MATCH(YEAR($B74),'Yield Curve'!$B$48:$P$48,0)))/100)</f>
        <v>1.02495</v>
      </c>
      <c r="W76" s="183">
        <f>1+((INDEX('Yield Curve'!$B$48:$P$91,MATCH(ROUND(W75,0),'Yield Curve'!$B$48:$B$91,0),MATCH(YEAR($B74),'Yield Curve'!$B$48:$P$48,0)))/100)</f>
        <v>1.0282249999999999</v>
      </c>
      <c r="X76" s="183">
        <f>1+((INDEX('Yield Curve'!$B$48:$P$91,MATCH(ROUND(X75,0),'Yield Curve'!$B$48:$B$91,0),MATCH(YEAR($B74),'Yield Curve'!$B$48:$P$48,0)))/100)</f>
        <v>1.0282249999999999</v>
      </c>
      <c r="Y76" s="183">
        <f>1+((INDEX('Yield Curve'!$B$48:$P$91,MATCH(ROUND(Y75,0),'Yield Curve'!$B$48:$B$91,0),MATCH(YEAR($B74),'Yield Curve'!$B$48:$P$48,0)))/100)</f>
        <v>1.0315000000000001</v>
      </c>
      <c r="Z76" s="183">
        <f>1+((INDEX('Yield Curve'!$B$48:$P$91,MATCH(ROUND(Z75,0),'Yield Curve'!$B$48:$B$91,0),MATCH(YEAR($B74),'Yield Curve'!$B$48:$P$48,0)))/100)</f>
        <v>1.0315000000000001</v>
      </c>
      <c r="AA76" s="183">
        <f>1+((INDEX('Yield Curve'!$B$48:$P$91,MATCH(ROUND(AA75,0),'Yield Curve'!$B$48:$B$91,0),MATCH(YEAR($B74),'Yield Curve'!$B$48:$P$48,0)))/100)</f>
        <v>1.0322499999999999</v>
      </c>
      <c r="AB76" s="183">
        <f>1+((INDEX('Yield Curve'!$B$48:$P$91,MATCH(ROUND(AB75,0),'Yield Curve'!$B$48:$B$91,0),MATCH(YEAR($B74),'Yield Curve'!$B$48:$P$48,0)))/100)</f>
        <v>1.0322499999999999</v>
      </c>
      <c r="AC76" s="183">
        <f>1+((INDEX('Yield Curve'!$B$48:$P$91,MATCH(ROUND(AC75,0),'Yield Curve'!$B$48:$B$91,0),MATCH(YEAR($B74),'Yield Curve'!$B$48:$P$48,0)))/100)</f>
        <v>1.0337499999999999</v>
      </c>
      <c r="AD76" s="183">
        <f>1+((INDEX('Yield Curve'!$B$48:$P$91,MATCH(ROUND(AD75,0),'Yield Curve'!$B$48:$B$91,0),MATCH(YEAR($B74),'Yield Curve'!$B$48:$P$48,0)))/100)</f>
        <v>1.0337499999999999</v>
      </c>
    </row>
    <row r="77" spans="2:30">
      <c r="B77" t="s">
        <v>212</v>
      </c>
      <c r="C77" s="182">
        <f>SUM(D77:AD77)</f>
        <v>334.490028327956</v>
      </c>
      <c r="L77" s="182">
        <f t="shared" ref="L77:AD77" si="161">L$61/(L76^L75)</f>
        <v>5.2919372879872277</v>
      </c>
      <c r="M77" s="182">
        <f t="shared" si="161"/>
        <v>5.2371038284957416</v>
      </c>
      <c r="N77" s="182">
        <f t="shared" si="161"/>
        <v>5.1828385367878429</v>
      </c>
      <c r="O77" s="182">
        <f t="shared" si="161"/>
        <v>5.1291355256801729</v>
      </c>
      <c r="P77" s="182">
        <f t="shared" si="161"/>
        <v>5.0759889689905915</v>
      </c>
      <c r="Q77" s="182">
        <f t="shared" si="161"/>
        <v>5.0233931009060999</v>
      </c>
      <c r="R77" s="182">
        <f t="shared" si="161"/>
        <v>4.9713422153573203</v>
      </c>
      <c r="S77" s="182">
        <f t="shared" si="161"/>
        <v>4.8864089470981513</v>
      </c>
      <c r="T77" s="182">
        <f t="shared" si="161"/>
        <v>4.8311663728615981</v>
      </c>
      <c r="U77" s="182">
        <f t="shared" si="161"/>
        <v>4.7351356365906039</v>
      </c>
      <c r="V77" s="182">
        <f t="shared" si="161"/>
        <v>4.6771476905748894</v>
      </c>
      <c r="W77" s="182">
        <f t="shared" si="161"/>
        <v>4.5384652945112611</v>
      </c>
      <c r="X77" s="182">
        <f t="shared" si="161"/>
        <v>4.4757409198719742</v>
      </c>
      <c r="Y77" s="182">
        <f t="shared" si="161"/>
        <v>4.3225857105651775</v>
      </c>
      <c r="Z77" s="182">
        <f t="shared" si="161"/>
        <v>4.2560723037055679</v>
      </c>
      <c r="AA77" s="182">
        <f t="shared" si="161"/>
        <v>4.1675807094847857</v>
      </c>
      <c r="AB77" s="182">
        <f t="shared" si="161"/>
        <v>4.1019614385760317</v>
      </c>
      <c r="AC77" s="182">
        <f t="shared" si="161"/>
        <v>3.9874291407746272</v>
      </c>
      <c r="AD77" s="182">
        <f t="shared" si="161"/>
        <v>249.59859469913633</v>
      </c>
    </row>
    <row r="78" spans="2:30">
      <c r="B78" s="135">
        <v>44377</v>
      </c>
    </row>
    <row r="79" spans="2:30">
      <c r="B79" t="s">
        <v>210</v>
      </c>
      <c r="N79" s="182">
        <f t="shared" ref="N79:AD79" si="162">(N$60-$B78)/365</f>
        <v>7.260273972602739E-2</v>
      </c>
      <c r="O79" s="182">
        <f t="shared" si="162"/>
        <v>0.57260273972602738</v>
      </c>
      <c r="P79" s="182">
        <f t="shared" si="162"/>
        <v>1.0726027397260274</v>
      </c>
      <c r="Q79" s="182">
        <f t="shared" si="162"/>
        <v>1.5726027397260274</v>
      </c>
      <c r="R79" s="182">
        <f t="shared" si="162"/>
        <v>2.0726027397260274</v>
      </c>
      <c r="S79" s="182">
        <f t="shared" si="162"/>
        <v>2.5726027397260274</v>
      </c>
      <c r="T79" s="182">
        <f t="shared" si="162"/>
        <v>3.0726027397260274</v>
      </c>
      <c r="U79" s="182">
        <f t="shared" si="162"/>
        <v>3.5726027397260274</v>
      </c>
      <c r="V79" s="182">
        <f t="shared" si="162"/>
        <v>4.0726027397260278</v>
      </c>
      <c r="W79" s="182">
        <f t="shared" si="162"/>
        <v>4.5726027397260278</v>
      </c>
      <c r="X79" s="182">
        <f t="shared" si="162"/>
        <v>5.0726027397260278</v>
      </c>
      <c r="Y79" s="182">
        <f t="shared" si="162"/>
        <v>5.5726027397260278</v>
      </c>
      <c r="Z79" s="182">
        <f t="shared" si="162"/>
        <v>6.0726027397260278</v>
      </c>
      <c r="AA79" s="182">
        <f t="shared" si="162"/>
        <v>6.5726027397260278</v>
      </c>
      <c r="AB79" s="182">
        <f t="shared" si="162"/>
        <v>7.0726027397260278</v>
      </c>
      <c r="AC79" s="182">
        <f t="shared" si="162"/>
        <v>7.5726027397260278</v>
      </c>
      <c r="AD79" s="182">
        <f t="shared" si="162"/>
        <v>7.7150684931506852</v>
      </c>
    </row>
    <row r="80" spans="2:30">
      <c r="B80" t="s">
        <v>211</v>
      </c>
      <c r="N80" s="183">
        <f>1+((INDEX('Yield Curve'!$B$48:$P$91,MATCH(ROUND(N79,0),'Yield Curve'!$B$48:$B$91,0),MATCH(YEAR($B78),'Yield Curve'!$B$48:$P$48,0)))/100)</f>
        <v>1.0129999999999999</v>
      </c>
      <c r="O80" s="183">
        <f>1+((INDEX('Yield Curve'!$B$48:$P$91,MATCH(ROUND(O79,0),'Yield Curve'!$B$48:$B$91,0),MATCH(YEAR($B78),'Yield Curve'!$B$48:$P$48,0)))/100)</f>
        <v>1.0129999999999999</v>
      </c>
      <c r="P80" s="183">
        <f>1+((INDEX('Yield Curve'!$B$48:$P$91,MATCH(ROUND(P79,0),'Yield Curve'!$B$48:$B$91,0),MATCH(YEAR($B78),'Yield Curve'!$B$48:$P$48,0)))/100)</f>
        <v>1.0129999999999999</v>
      </c>
      <c r="Q80" s="183">
        <f>1+((INDEX('Yield Curve'!$B$48:$P$91,MATCH(ROUND(Q79,0),'Yield Curve'!$B$48:$B$91,0),MATCH(YEAR($B78),'Yield Curve'!$B$48:$P$48,0)))/100)</f>
        <v>1.0129999999999999</v>
      </c>
      <c r="R80" s="183">
        <f>1+((INDEX('Yield Curve'!$B$48:$P$91,MATCH(ROUND(R79,0),'Yield Curve'!$B$48:$B$91,0),MATCH(YEAR($B78),'Yield Curve'!$B$48:$P$48,0)))/100)</f>
        <v>1.0129999999999999</v>
      </c>
      <c r="S80" s="183">
        <f>1+((INDEX('Yield Curve'!$B$48:$P$91,MATCH(ROUND(S79,0),'Yield Curve'!$B$48:$B$91,0),MATCH(YEAR($B78),'Yield Curve'!$B$48:$P$48,0)))/100)</f>
        <v>1.0129999999999999</v>
      </c>
      <c r="T80" s="183">
        <f>1+((INDEX('Yield Curve'!$B$48:$P$91,MATCH(ROUND(T79,0),'Yield Curve'!$B$48:$B$91,0),MATCH(YEAR($B78),'Yield Curve'!$B$48:$P$48,0)))/100)</f>
        <v>1.0129999999999999</v>
      </c>
      <c r="U80" s="183">
        <f>1+((INDEX('Yield Curve'!$B$48:$P$91,MATCH(ROUND(U79,0),'Yield Curve'!$B$48:$B$91,0),MATCH(YEAR($B78),'Yield Curve'!$B$48:$P$48,0)))/100)</f>
        <v>1.0161249999999999</v>
      </c>
      <c r="V80" s="183">
        <f>1+((INDEX('Yield Curve'!$B$48:$P$91,MATCH(ROUND(V79,0),'Yield Curve'!$B$48:$B$91,0),MATCH(YEAR($B78),'Yield Curve'!$B$48:$P$48,0)))/100)</f>
        <v>1.0161249999999999</v>
      </c>
      <c r="W80" s="183">
        <f>1+((INDEX('Yield Curve'!$B$48:$P$91,MATCH(ROUND(W79,0),'Yield Curve'!$B$48:$B$91,0),MATCH(YEAR($B78),'Yield Curve'!$B$48:$P$48,0)))/100)</f>
        <v>1.01925</v>
      </c>
      <c r="X80" s="183">
        <f>1+((INDEX('Yield Curve'!$B$48:$P$91,MATCH(ROUND(X79,0),'Yield Curve'!$B$48:$B$91,0),MATCH(YEAR($B78),'Yield Curve'!$B$48:$P$48,0)))/100)</f>
        <v>1.01925</v>
      </c>
      <c r="Y80" s="183">
        <f>1+((INDEX('Yield Curve'!$B$48:$P$91,MATCH(ROUND(Y79,0),'Yield Curve'!$B$48:$B$91,0),MATCH(YEAR($B78),'Yield Curve'!$B$48:$P$48,0)))/100)</f>
        <v>1.022775</v>
      </c>
      <c r="Z80" s="183">
        <f>1+((INDEX('Yield Curve'!$B$48:$P$91,MATCH(ROUND(Z79,0),'Yield Curve'!$B$48:$B$91,0),MATCH(YEAR($B78),'Yield Curve'!$B$48:$P$48,0)))/100)</f>
        <v>1.022775</v>
      </c>
      <c r="AA80" s="183">
        <f>1+((INDEX('Yield Curve'!$B$48:$P$91,MATCH(ROUND(AA79,0),'Yield Curve'!$B$48:$B$91,0),MATCH(YEAR($B78),'Yield Curve'!$B$48:$P$48,0)))/100)</f>
        <v>1.0263</v>
      </c>
      <c r="AB80" s="183">
        <f>1+((INDEX('Yield Curve'!$B$48:$P$91,MATCH(ROUND(AB79,0),'Yield Curve'!$B$48:$B$91,0),MATCH(YEAR($B78),'Yield Curve'!$B$48:$P$48,0)))/100)</f>
        <v>1.0263</v>
      </c>
      <c r="AC80" s="183">
        <f>1+((INDEX('Yield Curve'!$B$48:$P$91,MATCH(ROUND(AC79,0),'Yield Curve'!$B$48:$B$91,0),MATCH(YEAR($B78),'Yield Curve'!$B$48:$P$48,0)))/100)</f>
        <v>1.027525</v>
      </c>
      <c r="AD80" s="183">
        <f>1+((INDEX('Yield Curve'!$B$48:$P$91,MATCH(ROUND(AD79,0),'Yield Curve'!$B$48:$B$91,0),MATCH(YEAR($B78),'Yield Curve'!$B$48:$P$48,0)))/100)</f>
        <v>1.027525</v>
      </c>
    </row>
    <row r="81" spans="2:36">
      <c r="B81" t="s">
        <v>212</v>
      </c>
      <c r="C81" s="182">
        <f>SUM(D81:AD81)</f>
        <v>348.81921579288536</v>
      </c>
      <c r="N81" s="182">
        <f t="shared" ref="N81:AD81" si="163">N$61/(N80^N79)</f>
        <v>5.2949792866011594</v>
      </c>
      <c r="O81" s="182">
        <f t="shared" si="163"/>
        <v>5.2608938960901304</v>
      </c>
      <c r="P81" s="182">
        <f t="shared" si="163"/>
        <v>5.2270279235944326</v>
      </c>
      <c r="Q81" s="182">
        <f t="shared" si="163"/>
        <v>5.1933799566536329</v>
      </c>
      <c r="R81" s="182">
        <f t="shared" si="163"/>
        <v>5.1599485918997363</v>
      </c>
      <c r="S81" s="182">
        <f t="shared" si="163"/>
        <v>5.1267324349986518</v>
      </c>
      <c r="T81" s="182">
        <f t="shared" si="163"/>
        <v>5.0937301005920403</v>
      </c>
      <c r="U81" s="182">
        <f t="shared" si="163"/>
        <v>5.0055541914528998</v>
      </c>
      <c r="V81" s="182">
        <f t="shared" si="163"/>
        <v>4.96567851440747</v>
      </c>
      <c r="W81" s="182">
        <f t="shared" si="163"/>
        <v>4.857435954378488</v>
      </c>
      <c r="X81" s="182">
        <f t="shared" si="163"/>
        <v>4.8113474784247883</v>
      </c>
      <c r="Y81" s="182">
        <f t="shared" si="163"/>
        <v>4.6748845801161147</v>
      </c>
      <c r="Z81" s="182">
        <f t="shared" si="163"/>
        <v>4.622541735338368</v>
      </c>
      <c r="AA81" s="182">
        <f t="shared" si="163"/>
        <v>4.4685831296730756</v>
      </c>
      <c r="AB81" s="182">
        <f t="shared" si="163"/>
        <v>4.4109555073221483</v>
      </c>
      <c r="AC81" s="182">
        <f t="shared" si="163"/>
        <v>4.3149164148706536</v>
      </c>
      <c r="AD81" s="182">
        <f t="shared" si="163"/>
        <v>270.33062609647158</v>
      </c>
    </row>
    <row r="82" spans="2:36">
      <c r="B82" s="135">
        <v>44552</v>
      </c>
    </row>
    <row r="83" spans="2:36">
      <c r="B83" t="s">
        <v>210</v>
      </c>
      <c r="O83" s="182">
        <f t="shared" ref="O83:AD83" si="164">(O$60-$B82)/365</f>
        <v>9.3150684931506855E-2</v>
      </c>
      <c r="P83" s="182">
        <f t="shared" si="164"/>
        <v>0.5931506849315068</v>
      </c>
      <c r="Q83" s="182">
        <f t="shared" si="164"/>
        <v>1.0931506849315069</v>
      </c>
      <c r="R83" s="182">
        <f t="shared" si="164"/>
        <v>1.5931506849315069</v>
      </c>
      <c r="S83" s="182">
        <f t="shared" si="164"/>
        <v>2.0931506849315067</v>
      </c>
      <c r="T83" s="182">
        <f t="shared" si="164"/>
        <v>2.5931506849315067</v>
      </c>
      <c r="U83" s="182">
        <f t="shared" si="164"/>
        <v>3.0931506849315067</v>
      </c>
      <c r="V83" s="182">
        <f t="shared" si="164"/>
        <v>3.5931506849315067</v>
      </c>
      <c r="W83" s="182">
        <f t="shared" si="164"/>
        <v>4.0931506849315067</v>
      </c>
      <c r="X83" s="182">
        <f t="shared" si="164"/>
        <v>4.5931506849315067</v>
      </c>
      <c r="Y83" s="182">
        <f t="shared" si="164"/>
        <v>5.0931506849315067</v>
      </c>
      <c r="Z83" s="182">
        <f t="shared" si="164"/>
        <v>5.5931506849315067</v>
      </c>
      <c r="AA83" s="182">
        <f t="shared" si="164"/>
        <v>6.0931506849315067</v>
      </c>
      <c r="AB83" s="182">
        <f t="shared" si="164"/>
        <v>6.5931506849315067</v>
      </c>
      <c r="AC83" s="182">
        <f t="shared" si="164"/>
        <v>7.0931506849315067</v>
      </c>
      <c r="AD83" s="182">
        <f t="shared" si="164"/>
        <v>7.2356164383561641</v>
      </c>
    </row>
    <row r="84" spans="2:36">
      <c r="B84" t="s">
        <v>211</v>
      </c>
      <c r="O84" s="183">
        <f>1+((INDEX('Yield Curve'!$B$48:$P$91,MATCH(ROUND(O83,0),'Yield Curve'!$B$48:$B$91,0),MATCH(YEAR($B82)+1,'Yield Curve'!$B$48:$P$48,0)))/100)</f>
        <v>1.0212000000000001</v>
      </c>
      <c r="P84" s="183">
        <f>1+((INDEX('Yield Curve'!$B$48:$P$91,MATCH(ROUND(P83,0),'Yield Curve'!$B$48:$B$91,0),MATCH(YEAR($B82)+1,'Yield Curve'!$B$48:$P$48,0)))/100)</f>
        <v>1.0212000000000001</v>
      </c>
      <c r="Q84" s="183">
        <f>1+((INDEX('Yield Curve'!$B$48:$P$91,MATCH(ROUND(Q83,0),'Yield Curve'!$B$48:$B$91,0),MATCH(YEAR($B82)+1,'Yield Curve'!$B$48:$P$48,0)))/100)</f>
        <v>1.0212000000000001</v>
      </c>
      <c r="R84" s="183">
        <f>1+((INDEX('Yield Curve'!$B$48:$P$91,MATCH(ROUND(R83,0),'Yield Curve'!$B$48:$B$91,0),MATCH(YEAR($B82)+1,'Yield Curve'!$B$48:$P$48,0)))/100)</f>
        <v>1.0212000000000001</v>
      </c>
      <c r="S84" s="183">
        <f>1+((INDEX('Yield Curve'!$B$48:$P$91,MATCH(ROUND(S83,0),'Yield Curve'!$B$48:$B$91,0),MATCH(YEAR($B82)+1,'Yield Curve'!$B$48:$P$48,0)))/100)</f>
        <v>1.0212000000000001</v>
      </c>
      <c r="T84" s="183">
        <f>1+((INDEX('Yield Curve'!$B$48:$P$91,MATCH(ROUND(T83,0),'Yield Curve'!$B$48:$B$91,0),MATCH(YEAR($B82)+1,'Yield Curve'!$B$48:$P$48,0)))/100)</f>
        <v>1.0212000000000001</v>
      </c>
      <c r="U84" s="183">
        <f>1+((INDEX('Yield Curve'!$B$48:$P$91,MATCH(ROUND(U83,0),'Yield Curve'!$B$48:$B$91,0),MATCH(YEAR($B82)+1,'Yield Curve'!$B$48:$P$48,0)))/100)</f>
        <v>1.0212000000000001</v>
      </c>
      <c r="V84" s="183">
        <f>1+((INDEX('Yield Curve'!$B$48:$P$91,MATCH(ROUND(V83,0),'Yield Curve'!$B$48:$B$91,0),MATCH(YEAR($B82)+1,'Yield Curve'!$B$48:$P$48,0)))/100)</f>
        <v>1.0245</v>
      </c>
      <c r="W84" s="183">
        <f>1+((INDEX('Yield Curve'!$B$48:$P$91,MATCH(ROUND(W83,0),'Yield Curve'!$B$48:$B$91,0),MATCH(YEAR($B82)+1,'Yield Curve'!$B$48:$P$48,0)))/100)</f>
        <v>1.0245</v>
      </c>
      <c r="X84" s="183">
        <f>1+((INDEX('Yield Curve'!$B$48:$P$91,MATCH(ROUND(X83,0),'Yield Curve'!$B$48:$B$91,0),MATCH(YEAR($B82)+1,'Yield Curve'!$B$48:$P$48,0)))/100)</f>
        <v>1.0278</v>
      </c>
      <c r="Y84" s="183">
        <f>1+((INDEX('Yield Curve'!$B$48:$P$91,MATCH(ROUND(Y83,0),'Yield Curve'!$B$48:$B$91,0),MATCH(YEAR($B82)+1,'Yield Curve'!$B$48:$P$48,0)))/100)</f>
        <v>1.0278</v>
      </c>
      <c r="Z84" s="183">
        <f>1+((INDEX('Yield Curve'!$B$48:$P$91,MATCH(ROUND(Z83,0),'Yield Curve'!$B$48:$B$91,0),MATCH(YEAR($B82)+1,'Yield Curve'!$B$48:$P$48,0)))/100)</f>
        <v>1.030375</v>
      </c>
      <c r="AA84" s="183">
        <f>1+((INDEX('Yield Curve'!$B$48:$P$91,MATCH(ROUND(AA83,0),'Yield Curve'!$B$48:$B$91,0),MATCH(YEAR($B82)+1,'Yield Curve'!$B$48:$P$48,0)))/100)</f>
        <v>1.030375</v>
      </c>
      <c r="AB84" s="183">
        <f>1+((INDEX('Yield Curve'!$B$48:$P$91,MATCH(ROUND(AB83,0),'Yield Curve'!$B$48:$B$91,0),MATCH(YEAR($B82)+1,'Yield Curve'!$B$48:$P$48,0)))/100)</f>
        <v>1.03295</v>
      </c>
      <c r="AC84" s="183">
        <f>1+((INDEX('Yield Curve'!$B$48:$P$91,MATCH(ROUND(AC83,0),'Yield Curve'!$B$48:$B$91,0),MATCH(YEAR($B82)+1,'Yield Curve'!$B$48:$P$48,0)))/100)</f>
        <v>1.03295</v>
      </c>
      <c r="AD84" s="183">
        <f>1+((INDEX('Yield Curve'!$B$48:$P$91,MATCH(ROUND(AD83,0),'Yield Curve'!$B$48:$B$91,0),MATCH(YEAR($B82)+1,'Yield Curve'!$B$48:$P$48,0)))/100)</f>
        <v>1.03295</v>
      </c>
    </row>
    <row r="85" spans="2:36">
      <c r="B85" t="s">
        <v>212</v>
      </c>
      <c r="C85" s="182">
        <f>SUM(D85:AD85)</f>
        <v>335.85383104331936</v>
      </c>
      <c r="O85" s="182">
        <f t="shared" ref="O85:AD85" si="165">O$61/(O84^O83)</f>
        <v>5.2896002059767939</v>
      </c>
      <c r="P85" s="182">
        <f t="shared" si="165"/>
        <v>5.2344064897101674</v>
      </c>
      <c r="Q85" s="182">
        <f t="shared" si="165"/>
        <v>5.1797886858370479</v>
      </c>
      <c r="R85" s="182">
        <f t="shared" si="165"/>
        <v>5.1257407850667525</v>
      </c>
      <c r="S85" s="182">
        <f t="shared" si="165"/>
        <v>5.0722568408118365</v>
      </c>
      <c r="T85" s="182">
        <f t="shared" si="165"/>
        <v>5.0193309685338345</v>
      </c>
      <c r="U85" s="182">
        <f t="shared" si="165"/>
        <v>4.9669573450958051</v>
      </c>
      <c r="V85" s="182">
        <f t="shared" si="165"/>
        <v>4.858480461295839</v>
      </c>
      <c r="W85" s="182">
        <f t="shared" si="165"/>
        <v>4.8000358296199588</v>
      </c>
      <c r="X85" s="182">
        <f t="shared" si="165"/>
        <v>4.6727599515327549</v>
      </c>
      <c r="Y85" s="182">
        <f t="shared" si="165"/>
        <v>4.6091321955312647</v>
      </c>
      <c r="Z85" s="182">
        <f t="shared" si="165"/>
        <v>4.4831862710232118</v>
      </c>
      <c r="AA85" s="182">
        <f t="shared" si="165"/>
        <v>4.4166107707900313</v>
      </c>
      <c r="AB85" s="182">
        <f t="shared" si="165"/>
        <v>4.2800079955151338</v>
      </c>
      <c r="AC85" s="182">
        <f t="shared" si="165"/>
        <v>4.2111909116776589</v>
      </c>
      <c r="AD85" s="182">
        <f t="shared" si="165"/>
        <v>263.63434533530125</v>
      </c>
    </row>
    <row r="87" spans="2:36">
      <c r="B87" s="5" t="str">
        <f>'Transgrid Bonds'!A53</f>
        <v>29880170113</v>
      </c>
    </row>
    <row r="88" spans="2:36">
      <c r="B88" t="s">
        <v>66</v>
      </c>
      <c r="D88" s="180">
        <f>VLOOKUP(B87,'Transgrid Bonds'!$A$49:$K$54,4,FALSE)</f>
        <v>42577</v>
      </c>
      <c r="E88" s="180">
        <f>VLOOKUP(B87,'Transgrid Bonds'!$A$49:$K$54,10,FALSE)</f>
        <v>42761</v>
      </c>
      <c r="F88" s="180">
        <f>IF(E88+VLOOKUP($B87,'Transgrid Bonds'!$A$49:$K$54,9,FALSE)*365 &lt; VLOOKUP($B87,'Transgrid Bonds'!$A$49:$K$54,5,FALSE), E88+VLOOKUP($B87,'Transgrid Bonds'!$A$49:$K$54,9,FALSE)*365, VLOOKUP($B87,'Transgrid Bonds'!$A$49:$K$54,5,FALSE))</f>
        <v>42943.5</v>
      </c>
      <c r="G88" s="180">
        <f>IF(F88+VLOOKUP($B87,'Transgrid Bonds'!$A$49:$K$54,9,FALSE)*365 &lt; VLOOKUP($B87,'Transgrid Bonds'!$A$49:$K$54,5,FALSE), F88+VLOOKUP($B87,'Transgrid Bonds'!$A$49:$K$54,9,FALSE)*365, VLOOKUP($B87,'Transgrid Bonds'!$A$49:$K$54,5,FALSE))</f>
        <v>43126</v>
      </c>
      <c r="H88" s="180">
        <f>IF(G88+VLOOKUP($B87,'Transgrid Bonds'!$A$49:$K$54,9,FALSE)*365 &lt; VLOOKUP($B87,'Transgrid Bonds'!$A$49:$K$54,5,FALSE), G88+VLOOKUP($B87,'Transgrid Bonds'!$A$49:$K$54,9,FALSE)*365, VLOOKUP($B87,'Transgrid Bonds'!$A$49:$K$54,5,FALSE))</f>
        <v>43308.5</v>
      </c>
      <c r="I88" s="180">
        <f>IF(H88+VLOOKUP($B87,'Transgrid Bonds'!$A$49:$K$54,9,FALSE)*365 &lt; VLOOKUP($B87,'Transgrid Bonds'!$A$49:$K$54,5,FALSE), H88+VLOOKUP($B87,'Transgrid Bonds'!$A$49:$K$54,9,FALSE)*365, VLOOKUP($B87,'Transgrid Bonds'!$A$49:$K$54,5,FALSE))</f>
        <v>43491</v>
      </c>
      <c r="J88" s="180">
        <f>IF(I88+VLOOKUP($B87,'Transgrid Bonds'!$A$49:$K$54,9,FALSE)*365 &lt; VLOOKUP($B87,'Transgrid Bonds'!$A$49:$K$54,5,FALSE), I88+VLOOKUP($B87,'Transgrid Bonds'!$A$49:$K$54,9,FALSE)*365, VLOOKUP($B87,'Transgrid Bonds'!$A$49:$K$54,5,FALSE))</f>
        <v>43673.5</v>
      </c>
      <c r="K88" s="180">
        <f>IF(J88+VLOOKUP($B87,'Transgrid Bonds'!$A$49:$K$54,9,FALSE)*365 &lt; VLOOKUP($B87,'Transgrid Bonds'!$A$49:$K$54,5,FALSE), J88+VLOOKUP($B87,'Transgrid Bonds'!$A$49:$K$54,9,FALSE)*365, VLOOKUP($B87,'Transgrid Bonds'!$A$49:$K$54,5,FALSE))</f>
        <v>43856</v>
      </c>
      <c r="L88" s="180">
        <f>IF(K88+VLOOKUP($B87,'Transgrid Bonds'!$A$49:$K$54,9,FALSE)*365 &lt; VLOOKUP($B87,'Transgrid Bonds'!$A$49:$K$54,5,FALSE), K88+VLOOKUP($B87,'Transgrid Bonds'!$A$49:$K$54,9,FALSE)*365, VLOOKUP($B87,'Transgrid Bonds'!$A$49:$K$54,5,FALSE))</f>
        <v>44038.5</v>
      </c>
      <c r="M88" s="180">
        <f>IF(L88+VLOOKUP($B87,'Transgrid Bonds'!$A$49:$K$54,9,FALSE)*365 &lt; VLOOKUP($B87,'Transgrid Bonds'!$A$49:$K$54,5,FALSE), L88+VLOOKUP($B87,'Transgrid Bonds'!$A$49:$K$54,9,FALSE)*365, VLOOKUP($B87,'Transgrid Bonds'!$A$49:$K$54,5,FALSE))</f>
        <v>44221</v>
      </c>
      <c r="N88" s="180">
        <f>IF(M88+VLOOKUP($B87,'Transgrid Bonds'!$A$49:$K$54,9,FALSE)*365 &lt; VLOOKUP($B87,'Transgrid Bonds'!$A$49:$K$54,5,FALSE), M88+VLOOKUP($B87,'Transgrid Bonds'!$A$49:$K$54,9,FALSE)*365, VLOOKUP($B87,'Transgrid Bonds'!$A$49:$K$54,5,FALSE))</f>
        <v>44403.5</v>
      </c>
      <c r="O88" s="180">
        <f>IF(N88+VLOOKUP($B87,'Transgrid Bonds'!$A$49:$K$54,9,FALSE)*365 &lt; VLOOKUP($B87,'Transgrid Bonds'!$A$49:$K$54,5,FALSE), N88+VLOOKUP($B87,'Transgrid Bonds'!$A$49:$K$54,9,FALSE)*365, VLOOKUP($B87,'Transgrid Bonds'!$A$49:$K$54,5,FALSE))</f>
        <v>44586</v>
      </c>
      <c r="P88" s="180">
        <f>IF(O88+VLOOKUP($B87,'Transgrid Bonds'!$A$49:$K$54,9,FALSE)*365 &lt; VLOOKUP($B87,'Transgrid Bonds'!$A$49:$K$54,5,FALSE), O88+VLOOKUP($B87,'Transgrid Bonds'!$A$49:$K$54,9,FALSE)*365, VLOOKUP($B87,'Transgrid Bonds'!$A$49:$K$54,5,FALSE))</f>
        <v>44768.5</v>
      </c>
      <c r="Q88" s="180">
        <f>IF(P88+VLOOKUP($B87,'Transgrid Bonds'!$A$49:$K$54,9,FALSE)*365 &lt; VLOOKUP($B87,'Transgrid Bonds'!$A$49:$K$54,5,FALSE), P88+VLOOKUP($B87,'Transgrid Bonds'!$A$49:$K$54,9,FALSE)*365, VLOOKUP($B87,'Transgrid Bonds'!$A$49:$K$54,5,FALSE))</f>
        <v>44951</v>
      </c>
      <c r="R88" s="180">
        <f>IF(Q88+VLOOKUP($B87,'Transgrid Bonds'!$A$49:$K$54,9,FALSE)*365 &lt; VLOOKUP($B87,'Transgrid Bonds'!$A$49:$K$54,5,FALSE), Q88+VLOOKUP($B87,'Transgrid Bonds'!$A$49:$K$54,9,FALSE)*365, VLOOKUP($B87,'Transgrid Bonds'!$A$49:$K$54,5,FALSE))</f>
        <v>45133.5</v>
      </c>
      <c r="S88" s="180">
        <f>IF(R88+VLOOKUP($B87,'Transgrid Bonds'!$A$49:$K$54,9,FALSE)*365 &lt; VLOOKUP($B87,'Transgrid Bonds'!$A$49:$K$54,5,FALSE), R88+VLOOKUP($B87,'Transgrid Bonds'!$A$49:$K$54,9,FALSE)*365, VLOOKUP($B87,'Transgrid Bonds'!$A$49:$K$54,5,FALSE))</f>
        <v>45316</v>
      </c>
      <c r="T88" s="180">
        <f>IF(S88+VLOOKUP($B87,'Transgrid Bonds'!$A$49:$K$54,9,FALSE)*365 &lt; VLOOKUP($B87,'Transgrid Bonds'!$A$49:$K$54,5,FALSE), S88+VLOOKUP($B87,'Transgrid Bonds'!$A$49:$K$54,9,FALSE)*365, VLOOKUP($B87,'Transgrid Bonds'!$A$49:$K$54,5,FALSE))</f>
        <v>45498.5</v>
      </c>
      <c r="U88" s="180">
        <f>IF(T88+VLOOKUP($B87,'Transgrid Bonds'!$A$49:$K$54,9,FALSE)*365 &lt; VLOOKUP($B87,'Transgrid Bonds'!$A$49:$K$54,5,FALSE), T88+VLOOKUP($B87,'Transgrid Bonds'!$A$49:$K$54,9,FALSE)*365, VLOOKUP($B87,'Transgrid Bonds'!$A$49:$K$54,5,FALSE))</f>
        <v>45681</v>
      </c>
      <c r="V88" s="180">
        <f>IF(U88+VLOOKUP($B87,'Transgrid Bonds'!$A$49:$K$54,9,FALSE)*365 &lt; VLOOKUP($B87,'Transgrid Bonds'!$A$49:$K$54,5,FALSE), U88+VLOOKUP($B87,'Transgrid Bonds'!$A$49:$K$54,9,FALSE)*365, VLOOKUP($B87,'Transgrid Bonds'!$A$49:$K$54,5,FALSE))</f>
        <v>45863.5</v>
      </c>
      <c r="W88" s="180">
        <f>IF(V88+VLOOKUP($B87,'Transgrid Bonds'!$A$49:$K$54,9,FALSE)*365 &lt; VLOOKUP($B87,'Transgrid Bonds'!$A$49:$K$54,5,FALSE), V88+VLOOKUP($B87,'Transgrid Bonds'!$A$49:$K$54,9,FALSE)*365, VLOOKUP($B87,'Transgrid Bonds'!$A$49:$K$54,5,FALSE))</f>
        <v>46046</v>
      </c>
      <c r="X88" s="180">
        <f>IF(W88+VLOOKUP($B87,'Transgrid Bonds'!$A$49:$K$54,9,FALSE)*365 &lt; VLOOKUP($B87,'Transgrid Bonds'!$A$49:$K$54,5,FALSE), W88+VLOOKUP($B87,'Transgrid Bonds'!$A$49:$K$54,9,FALSE)*365, VLOOKUP($B87,'Transgrid Bonds'!$A$49:$K$54,5,FALSE))</f>
        <v>46228.5</v>
      </c>
      <c r="Y88" s="180">
        <f>IF(X88+VLOOKUP($B87,'Transgrid Bonds'!$A$49:$K$54,9,FALSE)*365 &lt; VLOOKUP($B87,'Transgrid Bonds'!$A$49:$K$54,5,FALSE), X88+VLOOKUP($B87,'Transgrid Bonds'!$A$49:$K$54,9,FALSE)*365, VLOOKUP($B87,'Transgrid Bonds'!$A$49:$K$54,5,FALSE))</f>
        <v>46411</v>
      </c>
      <c r="Z88" s="180">
        <f>IF(Y88+VLOOKUP($B87,'Transgrid Bonds'!$A$49:$K$54,9,FALSE)*365 &lt; VLOOKUP($B87,'Transgrid Bonds'!$A$49:$K$54,5,FALSE), Y88+VLOOKUP($B87,'Transgrid Bonds'!$A$49:$K$54,9,FALSE)*365, VLOOKUP($B87,'Transgrid Bonds'!$A$49:$K$54,5,FALSE))</f>
        <v>46593.5</v>
      </c>
      <c r="AA88" s="180">
        <f>IF(Z88+VLOOKUP($B87,'Transgrid Bonds'!$A$49:$K$54,9,FALSE)*365 &lt; VLOOKUP($B87,'Transgrid Bonds'!$A$49:$K$54,5,FALSE), Z88+VLOOKUP($B87,'Transgrid Bonds'!$A$49:$K$54,9,FALSE)*365, VLOOKUP($B87,'Transgrid Bonds'!$A$49:$K$54,5,FALSE))</f>
        <v>46776</v>
      </c>
      <c r="AB88" s="180">
        <f>IF(AA88+VLOOKUP($B87,'Transgrid Bonds'!$A$49:$K$54,9,FALSE)*365 &lt; VLOOKUP($B87,'Transgrid Bonds'!$A$49:$K$54,5,FALSE), AA88+VLOOKUP($B87,'Transgrid Bonds'!$A$49:$K$54,9,FALSE)*365, VLOOKUP($B87,'Transgrid Bonds'!$A$49:$K$54,5,FALSE))</f>
        <v>46958.5</v>
      </c>
      <c r="AC88" s="180">
        <f>IF(AB88+VLOOKUP($B87,'Transgrid Bonds'!$A$49:$K$54,9,FALSE)*365 &lt; VLOOKUP($B87,'Transgrid Bonds'!$A$49:$K$54,5,FALSE), AB88+VLOOKUP($B87,'Transgrid Bonds'!$A$49:$K$54,9,FALSE)*365, VLOOKUP($B87,'Transgrid Bonds'!$A$49:$K$54,5,FALSE))</f>
        <v>47141</v>
      </c>
      <c r="AD88" s="180">
        <f>IF(AC88+VLOOKUP($B87,'Transgrid Bonds'!$A$49:$K$54,9,FALSE)*365 &lt; VLOOKUP($B87,'Transgrid Bonds'!$A$49:$K$54,5,FALSE), AC88+VLOOKUP($B87,'Transgrid Bonds'!$A$49:$K$54,9,FALSE)*365, VLOOKUP($B87,'Transgrid Bonds'!$A$49:$K$54,5,FALSE))</f>
        <v>47323.5</v>
      </c>
      <c r="AE88" s="180">
        <f>IF(AD88+VLOOKUP($B87,'Transgrid Bonds'!$A$49:$K$54,9,FALSE)*365 &lt; VLOOKUP($B87,'Transgrid Bonds'!$A$49:$K$54,5,FALSE), AD88+VLOOKUP($B87,'Transgrid Bonds'!$A$49:$K$54,9,FALSE)*365, VLOOKUP($B87,'Transgrid Bonds'!$A$49:$K$54,5,FALSE))</f>
        <v>47506</v>
      </c>
      <c r="AF88" s="180">
        <f>IF(AE88+VLOOKUP($B87,'Transgrid Bonds'!$A$49:$K$54,9,FALSE)*365 &lt; VLOOKUP($B87,'Transgrid Bonds'!$A$49:$K$54,5,FALSE), AE88+VLOOKUP($B87,'Transgrid Bonds'!$A$49:$K$54,9,FALSE)*365, VLOOKUP($B87,'Transgrid Bonds'!$A$49:$K$54,5,FALSE))</f>
        <v>47688.5</v>
      </c>
      <c r="AG88" s="180">
        <f>IF(AF88+VLOOKUP($B87,'Transgrid Bonds'!$A$49:$K$54,9,FALSE)*365 &lt; VLOOKUP($B87,'Transgrid Bonds'!$A$49:$K$54,5,FALSE), AF88+VLOOKUP($B87,'Transgrid Bonds'!$A$49:$K$54,9,FALSE)*365, VLOOKUP($B87,'Transgrid Bonds'!$A$49:$K$54,5,FALSE))</f>
        <v>47871</v>
      </c>
      <c r="AH88" s="180">
        <f>IF(AG88+VLOOKUP($B87,'Transgrid Bonds'!$A$49:$K$54,9,FALSE)*365 &lt; VLOOKUP($B87,'Transgrid Bonds'!$A$49:$K$54,5,FALSE), AG88+VLOOKUP($B87,'Transgrid Bonds'!$A$49:$K$54,9,FALSE)*365, VLOOKUP($B87,'Transgrid Bonds'!$A$49:$K$54,5,FALSE))</f>
        <v>48015</v>
      </c>
      <c r="AI88" s="27"/>
      <c r="AJ88" s="27"/>
    </row>
    <row r="89" spans="2:36">
      <c r="B89" t="s">
        <v>209</v>
      </c>
      <c r="E89" s="182">
        <f>IF(E88&lt;VLOOKUP($B87,'Transgrid Bonds'!$A$49:$K$54,5,FALSE),(VLOOKUP($B87,'Transgrid Bonds'!$A$49:$K$54,8,FALSE)/100)*(VLOOKUP($B87,'Transgrid Bonds'!$A$49:$K$54,9,FALSE))*(VLOOKUP($B87,'Transgrid Bonds'!$A$49:$K$54,6,FALSE)),(VLOOKUP($B87,'Transgrid Bonds'!$A$49:$K$54,6,FALSE)))</f>
        <v>5.5499445000000005</v>
      </c>
      <c r="F89" s="182">
        <f>IF(F88&lt;VLOOKUP($B87,'Transgrid Bonds'!$A$49:$K$54,5,FALSE),(VLOOKUP($B87,'Transgrid Bonds'!$A$49:$K$54,8,FALSE)/100)*(VLOOKUP($B87,'Transgrid Bonds'!$A$49:$K$54,9,FALSE))*(VLOOKUP($B87,'Transgrid Bonds'!$A$49:$K$54,6,FALSE)),(VLOOKUP($B87,'Transgrid Bonds'!$A$49:$K$54,6,FALSE)))</f>
        <v>5.5499445000000005</v>
      </c>
      <c r="G89" s="182">
        <f>IF(G88&lt;VLOOKUP($B87,'Transgrid Bonds'!$A$49:$K$54,5,FALSE),(VLOOKUP($B87,'Transgrid Bonds'!$A$49:$K$54,8,FALSE)/100)*(VLOOKUP($B87,'Transgrid Bonds'!$A$49:$K$54,9,FALSE))*(VLOOKUP($B87,'Transgrid Bonds'!$A$49:$K$54,6,FALSE)),(VLOOKUP($B87,'Transgrid Bonds'!$A$49:$K$54,6,FALSE)))</f>
        <v>5.5499445000000005</v>
      </c>
      <c r="H89" s="182">
        <f>IF(H88&lt;VLOOKUP($B87,'Transgrid Bonds'!$A$49:$K$54,5,FALSE),(VLOOKUP($B87,'Transgrid Bonds'!$A$49:$K$54,8,FALSE)/100)*(VLOOKUP($B87,'Transgrid Bonds'!$A$49:$K$54,9,FALSE))*(VLOOKUP($B87,'Transgrid Bonds'!$A$49:$K$54,6,FALSE)),(VLOOKUP($B87,'Transgrid Bonds'!$A$49:$K$54,6,FALSE)))</f>
        <v>5.5499445000000005</v>
      </c>
      <c r="I89" s="182">
        <f>IF(I88&lt;VLOOKUP($B87,'Transgrid Bonds'!$A$49:$K$54,5,FALSE),(VLOOKUP($B87,'Transgrid Bonds'!$A$49:$K$54,8,FALSE)/100)*(VLOOKUP($B87,'Transgrid Bonds'!$A$49:$K$54,9,FALSE))*(VLOOKUP($B87,'Transgrid Bonds'!$A$49:$K$54,6,FALSE)),(VLOOKUP($B87,'Transgrid Bonds'!$A$49:$K$54,6,FALSE)))</f>
        <v>5.5499445000000005</v>
      </c>
      <c r="J89" s="182">
        <f>IF(J88&lt;VLOOKUP($B87,'Transgrid Bonds'!$A$49:$K$54,5,FALSE),(VLOOKUP($B87,'Transgrid Bonds'!$A$49:$K$54,8,FALSE)/100)*(VLOOKUP($B87,'Transgrid Bonds'!$A$49:$K$54,9,FALSE))*(VLOOKUP($B87,'Transgrid Bonds'!$A$49:$K$54,6,FALSE)),(VLOOKUP($B87,'Transgrid Bonds'!$A$49:$K$54,6,FALSE)))</f>
        <v>5.5499445000000005</v>
      </c>
      <c r="K89" s="182">
        <f>IF(K88&lt;VLOOKUP($B87,'Transgrid Bonds'!$A$49:$K$54,5,FALSE),(VLOOKUP($B87,'Transgrid Bonds'!$A$49:$K$54,8,FALSE)/100)*(VLOOKUP($B87,'Transgrid Bonds'!$A$49:$K$54,9,FALSE))*(VLOOKUP($B87,'Transgrid Bonds'!$A$49:$K$54,6,FALSE)),(VLOOKUP($B87,'Transgrid Bonds'!$A$49:$K$54,6,FALSE)))</f>
        <v>5.5499445000000005</v>
      </c>
      <c r="L89" s="182">
        <f>IF(L88&lt;VLOOKUP($B87,'Transgrid Bonds'!$A$49:$K$54,5,FALSE),(VLOOKUP($B87,'Transgrid Bonds'!$A$49:$K$54,8,FALSE)/100)*(VLOOKUP($B87,'Transgrid Bonds'!$A$49:$K$54,9,FALSE))*(VLOOKUP($B87,'Transgrid Bonds'!$A$49:$K$54,6,FALSE)),(VLOOKUP($B87,'Transgrid Bonds'!$A$49:$K$54,6,FALSE)))</f>
        <v>5.5499445000000005</v>
      </c>
      <c r="M89" s="182">
        <f>IF(M88&lt;VLOOKUP($B87,'Transgrid Bonds'!$A$49:$K$54,5,FALSE),(VLOOKUP($B87,'Transgrid Bonds'!$A$49:$K$54,8,FALSE)/100)*(VLOOKUP($B87,'Transgrid Bonds'!$A$49:$K$54,9,FALSE))*(VLOOKUP($B87,'Transgrid Bonds'!$A$49:$K$54,6,FALSE)),(VLOOKUP($B87,'Transgrid Bonds'!$A$49:$K$54,6,FALSE)))</f>
        <v>5.5499445000000005</v>
      </c>
      <c r="N89" s="182">
        <f>IF(N88&lt;VLOOKUP($B87,'Transgrid Bonds'!$A$49:$K$54,5,FALSE),(VLOOKUP($B87,'Transgrid Bonds'!$A$49:$K$54,8,FALSE)/100)*(VLOOKUP($B87,'Transgrid Bonds'!$A$49:$K$54,9,FALSE))*(VLOOKUP($B87,'Transgrid Bonds'!$A$49:$K$54,6,FALSE)),(VLOOKUP($B87,'Transgrid Bonds'!$A$49:$K$54,6,FALSE)))</f>
        <v>5.5499445000000005</v>
      </c>
      <c r="O89" s="182">
        <f>IF(O88&lt;VLOOKUP($B87,'Transgrid Bonds'!$A$49:$K$54,5,FALSE),(VLOOKUP($B87,'Transgrid Bonds'!$A$49:$K$54,8,FALSE)/100)*(VLOOKUP($B87,'Transgrid Bonds'!$A$49:$K$54,9,FALSE))*(VLOOKUP($B87,'Transgrid Bonds'!$A$49:$K$54,6,FALSE)),(VLOOKUP($B87,'Transgrid Bonds'!$A$49:$K$54,6,FALSE)))</f>
        <v>5.5499445000000005</v>
      </c>
      <c r="P89" s="182">
        <f>IF(P88&lt;VLOOKUP($B87,'Transgrid Bonds'!$A$49:$K$54,5,FALSE),(VLOOKUP($B87,'Transgrid Bonds'!$A$49:$K$54,8,FALSE)/100)*(VLOOKUP($B87,'Transgrid Bonds'!$A$49:$K$54,9,FALSE))*(VLOOKUP($B87,'Transgrid Bonds'!$A$49:$K$54,6,FALSE)),(VLOOKUP($B87,'Transgrid Bonds'!$A$49:$K$54,6,FALSE)))</f>
        <v>5.5499445000000005</v>
      </c>
      <c r="Q89" s="182">
        <f>IF(Q88&lt;VLOOKUP($B87,'Transgrid Bonds'!$A$49:$K$54,5,FALSE),(VLOOKUP($B87,'Transgrid Bonds'!$A$49:$K$54,8,FALSE)/100)*(VLOOKUP($B87,'Transgrid Bonds'!$A$49:$K$54,9,FALSE))*(VLOOKUP($B87,'Transgrid Bonds'!$A$49:$K$54,6,FALSE)),(VLOOKUP($B87,'Transgrid Bonds'!$A$49:$K$54,6,FALSE)))</f>
        <v>5.5499445000000005</v>
      </c>
      <c r="R89" s="182">
        <f>IF(R88&lt;VLOOKUP($B87,'Transgrid Bonds'!$A$49:$K$54,5,FALSE),(VLOOKUP($B87,'Transgrid Bonds'!$A$49:$K$54,8,FALSE)/100)*(VLOOKUP($B87,'Transgrid Bonds'!$A$49:$K$54,9,FALSE))*(VLOOKUP($B87,'Transgrid Bonds'!$A$49:$K$54,6,FALSE)),(VLOOKUP($B87,'Transgrid Bonds'!$A$49:$K$54,6,FALSE)))</f>
        <v>5.5499445000000005</v>
      </c>
      <c r="S89" s="182">
        <f>IF(S88&lt;VLOOKUP($B87,'Transgrid Bonds'!$A$49:$K$54,5,FALSE),(VLOOKUP($B87,'Transgrid Bonds'!$A$49:$K$54,8,FALSE)/100)*(VLOOKUP($B87,'Transgrid Bonds'!$A$49:$K$54,9,FALSE))*(VLOOKUP($B87,'Transgrid Bonds'!$A$49:$K$54,6,FALSE)),(VLOOKUP($B87,'Transgrid Bonds'!$A$49:$K$54,6,FALSE)))</f>
        <v>5.5499445000000005</v>
      </c>
      <c r="T89" s="182">
        <f>IF(T88&lt;VLOOKUP($B87,'Transgrid Bonds'!$A$49:$K$54,5,FALSE),(VLOOKUP($B87,'Transgrid Bonds'!$A$49:$K$54,8,FALSE)/100)*(VLOOKUP($B87,'Transgrid Bonds'!$A$49:$K$54,9,FALSE))*(VLOOKUP($B87,'Transgrid Bonds'!$A$49:$K$54,6,FALSE)),(VLOOKUP($B87,'Transgrid Bonds'!$A$49:$K$54,6,FALSE)))</f>
        <v>5.5499445000000005</v>
      </c>
      <c r="U89" s="182">
        <f>IF(U88&lt;VLOOKUP($B87,'Transgrid Bonds'!$A$49:$K$54,5,FALSE),(VLOOKUP($B87,'Transgrid Bonds'!$A$49:$K$54,8,FALSE)/100)*(VLOOKUP($B87,'Transgrid Bonds'!$A$49:$K$54,9,FALSE))*(VLOOKUP($B87,'Transgrid Bonds'!$A$49:$K$54,6,FALSE)),(VLOOKUP($B87,'Transgrid Bonds'!$A$49:$K$54,6,FALSE)))</f>
        <v>5.5499445000000005</v>
      </c>
      <c r="V89" s="182">
        <f>IF(V88&lt;VLOOKUP($B87,'Transgrid Bonds'!$A$49:$K$54,5,FALSE),(VLOOKUP($B87,'Transgrid Bonds'!$A$49:$K$54,8,FALSE)/100)*(VLOOKUP($B87,'Transgrid Bonds'!$A$49:$K$54,9,FALSE))*(VLOOKUP($B87,'Transgrid Bonds'!$A$49:$K$54,6,FALSE)),(VLOOKUP($B87,'Transgrid Bonds'!$A$49:$K$54,6,FALSE)))</f>
        <v>5.5499445000000005</v>
      </c>
      <c r="W89" s="182">
        <f>IF(W88&lt;VLOOKUP($B87,'Transgrid Bonds'!$A$49:$K$54,5,FALSE),(VLOOKUP($B87,'Transgrid Bonds'!$A$49:$K$54,8,FALSE)/100)*(VLOOKUP($B87,'Transgrid Bonds'!$A$49:$K$54,9,FALSE))*(VLOOKUP($B87,'Transgrid Bonds'!$A$49:$K$54,6,FALSE)),(VLOOKUP($B87,'Transgrid Bonds'!$A$49:$K$54,6,FALSE)))</f>
        <v>5.5499445000000005</v>
      </c>
      <c r="X89" s="182">
        <f>IF(X88&lt;VLOOKUP($B87,'Transgrid Bonds'!$A$49:$K$54,5,FALSE),(VLOOKUP($B87,'Transgrid Bonds'!$A$49:$K$54,8,FALSE)/100)*(VLOOKUP($B87,'Transgrid Bonds'!$A$49:$K$54,9,FALSE))*(VLOOKUP($B87,'Transgrid Bonds'!$A$49:$K$54,6,FALSE)),(VLOOKUP($B87,'Transgrid Bonds'!$A$49:$K$54,6,FALSE)))</f>
        <v>5.5499445000000005</v>
      </c>
      <c r="Y89" s="182">
        <f>IF(Y88&lt;VLOOKUP($B87,'Transgrid Bonds'!$A$49:$K$54,5,FALSE),(VLOOKUP($B87,'Transgrid Bonds'!$A$49:$K$54,8,FALSE)/100)*(VLOOKUP($B87,'Transgrid Bonds'!$A$49:$K$54,9,FALSE))*(VLOOKUP($B87,'Transgrid Bonds'!$A$49:$K$54,6,FALSE)),(VLOOKUP($B87,'Transgrid Bonds'!$A$49:$K$54,6,FALSE)))</f>
        <v>5.5499445000000005</v>
      </c>
      <c r="Z89" s="182">
        <f>IF(Z88&lt;VLOOKUP($B87,'Transgrid Bonds'!$A$49:$K$54,5,FALSE),(VLOOKUP($B87,'Transgrid Bonds'!$A$49:$K$54,8,FALSE)/100)*(VLOOKUP($B87,'Transgrid Bonds'!$A$49:$K$54,9,FALSE))*(VLOOKUP($B87,'Transgrid Bonds'!$A$49:$K$54,6,FALSE)),(VLOOKUP($B87,'Transgrid Bonds'!$A$49:$K$54,6,FALSE)))</f>
        <v>5.5499445000000005</v>
      </c>
      <c r="AA89" s="182">
        <f>IF(AA88&lt;VLOOKUP($B87,'Transgrid Bonds'!$A$49:$K$54,5,FALSE),(VLOOKUP($B87,'Transgrid Bonds'!$A$49:$K$54,8,FALSE)/100)*(VLOOKUP($B87,'Transgrid Bonds'!$A$49:$K$54,9,FALSE))*(VLOOKUP($B87,'Transgrid Bonds'!$A$49:$K$54,6,FALSE)),(VLOOKUP($B87,'Transgrid Bonds'!$A$49:$K$54,6,FALSE)))</f>
        <v>5.5499445000000005</v>
      </c>
      <c r="AB89" s="182">
        <f>IF(AB88&lt;VLOOKUP($B87,'Transgrid Bonds'!$A$49:$K$54,5,FALSE),(VLOOKUP($B87,'Transgrid Bonds'!$A$49:$K$54,8,FALSE)/100)*(VLOOKUP($B87,'Transgrid Bonds'!$A$49:$K$54,9,FALSE))*(VLOOKUP($B87,'Transgrid Bonds'!$A$49:$K$54,6,FALSE)),(VLOOKUP($B87,'Transgrid Bonds'!$A$49:$K$54,6,FALSE)))</f>
        <v>5.5499445000000005</v>
      </c>
      <c r="AC89" s="182">
        <f>IF(AC88&lt;VLOOKUP($B87,'Transgrid Bonds'!$A$49:$K$54,5,FALSE),(VLOOKUP($B87,'Transgrid Bonds'!$A$49:$K$54,8,FALSE)/100)*(VLOOKUP($B87,'Transgrid Bonds'!$A$49:$K$54,9,FALSE))*(VLOOKUP($B87,'Transgrid Bonds'!$A$49:$K$54,6,FALSE)),(VLOOKUP($B87,'Transgrid Bonds'!$A$49:$K$54,6,FALSE)))</f>
        <v>5.5499445000000005</v>
      </c>
      <c r="AD89" s="182">
        <f>IF(AD88&lt;VLOOKUP($B87,'Transgrid Bonds'!$A$49:$K$54,5,FALSE),(VLOOKUP($B87,'Transgrid Bonds'!$A$49:$K$54,8,FALSE)/100)*(VLOOKUP($B87,'Transgrid Bonds'!$A$49:$K$54,9,FALSE))*(VLOOKUP($B87,'Transgrid Bonds'!$A$49:$K$54,6,FALSE)),(VLOOKUP($B87,'Transgrid Bonds'!$A$49:$K$54,6,FALSE)))</f>
        <v>5.5499445000000005</v>
      </c>
      <c r="AE89" s="182">
        <f>IF(AE88&lt;VLOOKUP($B87,'Transgrid Bonds'!$A$49:$K$54,5,FALSE),(VLOOKUP($B87,'Transgrid Bonds'!$A$49:$K$54,8,FALSE)/100)*(VLOOKUP($B87,'Transgrid Bonds'!$A$49:$K$54,9,FALSE))*(VLOOKUP($B87,'Transgrid Bonds'!$A$49:$K$54,6,FALSE)),(VLOOKUP($B87,'Transgrid Bonds'!$A$49:$K$54,6,FALSE)))</f>
        <v>5.5499445000000005</v>
      </c>
      <c r="AF89" s="182">
        <f>IF(AF88&lt;VLOOKUP($B87,'Transgrid Bonds'!$A$49:$K$54,5,FALSE),(VLOOKUP($B87,'Transgrid Bonds'!$A$49:$K$54,8,FALSE)/100)*(VLOOKUP($B87,'Transgrid Bonds'!$A$49:$K$54,9,FALSE))*(VLOOKUP($B87,'Transgrid Bonds'!$A$49:$K$54,6,FALSE)),(VLOOKUP($B87,'Transgrid Bonds'!$A$49:$K$54,6,FALSE)))</f>
        <v>5.5499445000000005</v>
      </c>
      <c r="AG89" s="182">
        <f>IF(AG88&lt;VLOOKUP($B87,'Transgrid Bonds'!$A$49:$K$54,5,FALSE),(VLOOKUP($B87,'Transgrid Bonds'!$A$49:$K$54,8,FALSE)/100)*(VLOOKUP($B87,'Transgrid Bonds'!$A$49:$K$54,9,FALSE))*(VLOOKUP($B87,'Transgrid Bonds'!$A$49:$K$54,6,FALSE)),(VLOOKUP($B87,'Transgrid Bonds'!$A$49:$K$54,6,FALSE)))</f>
        <v>5.5499445000000005</v>
      </c>
      <c r="AH89" s="182">
        <f>IF(AH88&lt;VLOOKUP($B87,'Transgrid Bonds'!$A$49:$K$54,5,FALSE),(VLOOKUP($B87,'Transgrid Bonds'!$A$49:$K$54,8,FALSE)/100)*(VLOOKUP($B87,'Transgrid Bonds'!$A$49:$K$54,9,FALSE))*(VLOOKUP($B87,'Transgrid Bonds'!$A$49:$K$54,6,FALSE)),(VLOOKUP($B87,'Transgrid Bonds'!$A$49:$K$54,6,FALSE)))</f>
        <v>333.33</v>
      </c>
    </row>
    <row r="90" spans="2:36">
      <c r="B90" s="135">
        <v>42916</v>
      </c>
    </row>
    <row r="91" spans="2:36">
      <c r="B91" t="s">
        <v>210</v>
      </c>
      <c r="F91" s="182">
        <f>(F$88-$B90)/365</f>
        <v>7.5342465753424653E-2</v>
      </c>
      <c r="G91" s="182">
        <f t="shared" ref="G91:AH91" si="166">(G$88-$B90)/365</f>
        <v>0.57534246575342463</v>
      </c>
      <c r="H91" s="182">
        <f t="shared" si="166"/>
        <v>1.0753424657534247</v>
      </c>
      <c r="I91" s="182">
        <f t="shared" si="166"/>
        <v>1.5753424657534247</v>
      </c>
      <c r="J91" s="182">
        <f t="shared" si="166"/>
        <v>2.0753424657534247</v>
      </c>
      <c r="K91" s="182">
        <f t="shared" si="166"/>
        <v>2.5753424657534247</v>
      </c>
      <c r="L91" s="182">
        <f t="shared" si="166"/>
        <v>3.0753424657534247</v>
      </c>
      <c r="M91" s="182">
        <f t="shared" si="166"/>
        <v>3.5753424657534247</v>
      </c>
      <c r="N91" s="182">
        <f t="shared" si="166"/>
        <v>4.0753424657534243</v>
      </c>
      <c r="O91" s="182">
        <f t="shared" si="166"/>
        <v>4.5753424657534243</v>
      </c>
      <c r="P91" s="182">
        <f t="shared" si="166"/>
        <v>5.0753424657534243</v>
      </c>
      <c r="Q91" s="182">
        <f t="shared" si="166"/>
        <v>5.5753424657534243</v>
      </c>
      <c r="R91" s="182">
        <f t="shared" si="166"/>
        <v>6.0753424657534243</v>
      </c>
      <c r="S91" s="182">
        <f t="shared" si="166"/>
        <v>6.5753424657534243</v>
      </c>
      <c r="T91" s="182">
        <f t="shared" si="166"/>
        <v>7.0753424657534243</v>
      </c>
      <c r="U91" s="182">
        <f t="shared" si="166"/>
        <v>7.5753424657534243</v>
      </c>
      <c r="V91" s="182">
        <f t="shared" si="166"/>
        <v>8.0753424657534243</v>
      </c>
      <c r="W91" s="182">
        <f t="shared" si="166"/>
        <v>8.5753424657534243</v>
      </c>
      <c r="X91" s="182">
        <f t="shared" si="166"/>
        <v>9.0753424657534243</v>
      </c>
      <c r="Y91" s="182">
        <f t="shared" si="166"/>
        <v>9.5753424657534243</v>
      </c>
      <c r="Z91" s="182">
        <f t="shared" si="166"/>
        <v>10.075342465753424</v>
      </c>
      <c r="AA91" s="182">
        <f t="shared" si="166"/>
        <v>10.575342465753424</v>
      </c>
      <c r="AB91" s="182">
        <f t="shared" si="166"/>
        <v>11.075342465753424</v>
      </c>
      <c r="AC91" s="182">
        <f t="shared" si="166"/>
        <v>11.575342465753424</v>
      </c>
      <c r="AD91" s="182">
        <f t="shared" si="166"/>
        <v>12.075342465753424</v>
      </c>
      <c r="AE91" s="182">
        <f t="shared" si="166"/>
        <v>12.575342465753424</v>
      </c>
      <c r="AF91" s="182">
        <f t="shared" si="166"/>
        <v>13.075342465753424</v>
      </c>
      <c r="AG91" s="182">
        <f t="shared" si="166"/>
        <v>13.575342465753424</v>
      </c>
      <c r="AH91" s="182">
        <f t="shared" si="166"/>
        <v>13.96986301369863</v>
      </c>
    </row>
    <row r="92" spans="2:36">
      <c r="B92" t="s">
        <v>211</v>
      </c>
      <c r="F92" s="183">
        <f>1+((INDEX('Yield Curve'!$B$48:$P$91,MATCH(ROUND(F91,0),'Yield Curve'!$B$48:$B$91,0),MATCH(YEAR($B90),'Yield Curve'!$B$48:$P$48,0)))/100)</f>
        <v>1.0326500000000001</v>
      </c>
      <c r="G92" s="183">
        <f>1+((INDEX('Yield Curve'!$B$48:$P$91,MATCH(ROUND(G91,0),'Yield Curve'!$B$48:$B$91,0),MATCH(YEAR($B90),'Yield Curve'!$B$48:$P$48,0)))/100)</f>
        <v>1.0326500000000001</v>
      </c>
      <c r="H92" s="183">
        <f>1+((INDEX('Yield Curve'!$B$48:$P$91,MATCH(ROUND(H91,0),'Yield Curve'!$B$48:$B$91,0),MATCH(YEAR($B90),'Yield Curve'!$B$48:$P$48,0)))/100)</f>
        <v>1.0326500000000001</v>
      </c>
      <c r="I92" s="183">
        <f>1+((INDEX('Yield Curve'!$B$48:$P$91,MATCH(ROUND(I91,0),'Yield Curve'!$B$48:$B$91,0),MATCH(YEAR($B90),'Yield Curve'!$B$48:$P$48,0)))/100)</f>
        <v>1.0326500000000001</v>
      </c>
      <c r="J92" s="183">
        <f>1+((INDEX('Yield Curve'!$B$48:$P$91,MATCH(ROUND(J91,0),'Yield Curve'!$B$48:$B$91,0),MATCH(YEAR($B90),'Yield Curve'!$B$48:$P$48,0)))/100)</f>
        <v>1.0326500000000001</v>
      </c>
      <c r="K92" s="183">
        <f>1+((INDEX('Yield Curve'!$B$48:$P$91,MATCH(ROUND(K91,0),'Yield Curve'!$B$48:$B$91,0),MATCH(YEAR($B90),'Yield Curve'!$B$48:$P$48,0)))/100)</f>
        <v>1.0326500000000001</v>
      </c>
      <c r="L92" s="183">
        <f>1+((INDEX('Yield Curve'!$B$48:$P$91,MATCH(ROUND(L91,0),'Yield Curve'!$B$48:$B$91,0),MATCH(YEAR($B90),'Yield Curve'!$B$48:$P$48,0)))/100)</f>
        <v>1.0326500000000001</v>
      </c>
      <c r="M92" s="183">
        <f>1+((INDEX('Yield Curve'!$B$48:$P$91,MATCH(ROUND(M91,0),'Yield Curve'!$B$48:$B$91,0),MATCH(YEAR($B90),'Yield Curve'!$B$48:$P$48,0)))/100)</f>
        <v>1.034025</v>
      </c>
      <c r="N92" s="183">
        <f>1+((INDEX('Yield Curve'!$B$48:$P$91,MATCH(ROUND(N91,0),'Yield Curve'!$B$48:$B$91,0),MATCH(YEAR($B90),'Yield Curve'!$B$48:$P$48,0)))/100)</f>
        <v>1.034025</v>
      </c>
      <c r="O92" s="183">
        <f>1+((INDEX('Yield Curve'!$B$48:$P$91,MATCH(ROUND(O91,0),'Yield Curve'!$B$48:$B$91,0),MATCH(YEAR($B90),'Yield Curve'!$B$48:$P$48,0)))/100)</f>
        <v>1.0354000000000001</v>
      </c>
      <c r="P92" s="183">
        <f>1+((INDEX('Yield Curve'!$B$48:$P$91,MATCH(ROUND(P91,0),'Yield Curve'!$B$48:$B$91,0),MATCH(YEAR($B90),'Yield Curve'!$B$48:$P$48,0)))/100)</f>
        <v>1.0354000000000001</v>
      </c>
      <c r="Q92" s="183">
        <f>1+((INDEX('Yield Curve'!$B$48:$P$91,MATCH(ROUND(Q91,0),'Yield Curve'!$B$48:$B$91,0),MATCH(YEAR($B90),'Yield Curve'!$B$48:$P$48,0)))/100)</f>
        <v>1.0375000000000001</v>
      </c>
      <c r="R92" s="183">
        <f>1+((INDEX('Yield Curve'!$B$48:$P$91,MATCH(ROUND(R91,0),'Yield Curve'!$B$48:$B$91,0),MATCH(YEAR($B90),'Yield Curve'!$B$48:$P$48,0)))/100)</f>
        <v>1.0375000000000001</v>
      </c>
      <c r="S92" s="183">
        <f>1+((INDEX('Yield Curve'!$B$48:$P$91,MATCH(ROUND(S91,0),'Yield Curve'!$B$48:$B$91,0),MATCH(YEAR($B90),'Yield Curve'!$B$48:$P$48,0)))/100)</f>
        <v>1.0396000000000001</v>
      </c>
      <c r="T92" s="183">
        <f>1+((INDEX('Yield Curve'!$B$48:$P$91,MATCH(ROUND(T91,0),'Yield Curve'!$B$48:$B$91,0),MATCH(YEAR($B90),'Yield Curve'!$B$48:$P$48,0)))/100)</f>
        <v>1.0396000000000001</v>
      </c>
      <c r="U92" s="183">
        <f>1+((INDEX('Yield Curve'!$B$48:$P$91,MATCH(ROUND(U91,0),'Yield Curve'!$B$48:$B$91,0),MATCH(YEAR($B90),'Yield Curve'!$B$48:$P$48,0)))/100)</f>
        <v>1.0405249999999999</v>
      </c>
      <c r="V92" s="183">
        <f>1+((INDEX('Yield Curve'!$B$48:$P$91,MATCH(ROUND(V91,0),'Yield Curve'!$B$48:$B$91,0),MATCH(YEAR($B90),'Yield Curve'!$B$48:$P$48,0)))/100)</f>
        <v>1.0405249999999999</v>
      </c>
      <c r="W92" s="183">
        <f>1+((INDEX('Yield Curve'!$B$48:$P$91,MATCH(ROUND(W91,0),'Yield Curve'!$B$48:$B$91,0),MATCH(YEAR($B90),'Yield Curve'!$B$48:$P$48,0)))/100)</f>
        <v>1.0423750000000001</v>
      </c>
      <c r="X92" s="183">
        <f>1+((INDEX('Yield Curve'!$B$48:$P$91,MATCH(ROUND(X91,0),'Yield Curve'!$B$48:$B$91,0),MATCH(YEAR($B90),'Yield Curve'!$B$48:$P$48,0)))/100)</f>
        <v>1.0423750000000001</v>
      </c>
      <c r="Y92" s="183">
        <f>1+((INDEX('Yield Curve'!$B$48:$P$91,MATCH(ROUND(Y91,0),'Yield Curve'!$B$48:$B$91,0),MATCH(YEAR($B90),'Yield Curve'!$B$48:$P$48,0)))/100)</f>
        <v>1.0432999999999999</v>
      </c>
      <c r="Z92" s="183">
        <f>1+((INDEX('Yield Curve'!$B$48:$P$91,MATCH(ROUND(Z91,0),'Yield Curve'!$B$48:$B$91,0),MATCH(YEAR($B90),'Yield Curve'!$B$48:$P$48,0)))/100)</f>
        <v>1.0432999999999999</v>
      </c>
      <c r="AA92" s="183">
        <f>1+((INDEX('Yield Curve'!$B$48:$P$91,MATCH(ROUND(AA91,0),'Yield Curve'!$B$48:$B$91,0),MATCH(YEAR($B90),'Yield Curve'!$B$48:$P$48,0)))/100)</f>
        <v>1.0432999999999999</v>
      </c>
      <c r="AB92" s="183">
        <f>1+((INDEX('Yield Curve'!$B$48:$P$91,MATCH(ROUND(AB91,0),'Yield Curve'!$B$48:$B$91,0),MATCH(YEAR($B90),'Yield Curve'!$B$48:$P$48,0)))/100)</f>
        <v>1.0432999999999999</v>
      </c>
      <c r="AC92" s="183">
        <f>1+((INDEX('Yield Curve'!$B$48:$P$91,MATCH(ROUND(AC91,0),'Yield Curve'!$B$48:$B$91,0),MATCH(YEAR($B90),'Yield Curve'!$B$48:$P$48,0)))/100)</f>
        <v>1.0432999999999999</v>
      </c>
      <c r="AD92" s="183">
        <f>1+((INDEX('Yield Curve'!$B$48:$P$91,MATCH(ROUND(AD91,0),'Yield Curve'!$B$48:$B$91,0),MATCH(YEAR($B90),'Yield Curve'!$B$48:$P$48,0)))/100)</f>
        <v>1.0432999999999999</v>
      </c>
      <c r="AE92" s="183">
        <f>1+((INDEX('Yield Curve'!$B$48:$P$91,MATCH(ROUND(AE91,0),'Yield Curve'!$B$48:$B$91,0),MATCH(YEAR($B90),'Yield Curve'!$B$48:$P$48,0)))/100)</f>
        <v>1.0432999999999999</v>
      </c>
      <c r="AF92" s="183">
        <f>1+((INDEX('Yield Curve'!$B$48:$P$91,MATCH(ROUND(AF91,0),'Yield Curve'!$B$48:$B$91,0),MATCH(YEAR($B90),'Yield Curve'!$B$48:$P$48,0)))/100)</f>
        <v>1.0432999999999999</v>
      </c>
      <c r="AG92" s="183">
        <f>1+((INDEX('Yield Curve'!$B$48:$P$91,MATCH(ROUND(AG91,0),'Yield Curve'!$B$48:$B$91,0),MATCH(YEAR($B90),'Yield Curve'!$B$48:$P$48,0)))/100)</f>
        <v>1.0432999999999999</v>
      </c>
      <c r="AH92" s="183">
        <f>1+((INDEX('Yield Curve'!$B$48:$P$91,MATCH(ROUND(AH91,0),'Yield Curve'!$B$48:$B$91,0),MATCH(YEAR($B90),'Yield Curve'!$B$48:$P$48,0)))/100)</f>
        <v>1.0432999999999999</v>
      </c>
    </row>
    <row r="93" spans="2:36">
      <c r="B93" t="s">
        <v>212</v>
      </c>
      <c r="C93" s="182">
        <f>SUM(D93:AH93)</f>
        <v>304.40730990112331</v>
      </c>
      <c r="F93" s="182">
        <f>F$89/(F92^F91)</f>
        <v>5.5365264045935838</v>
      </c>
      <c r="G93" s="182">
        <f t="shared" ref="G93:AH93" si="167">G$89/(G92^G91)</f>
        <v>5.4482973360195901</v>
      </c>
      <c r="H93" s="182">
        <f t="shared" si="167"/>
        <v>5.3614742696882622</v>
      </c>
      <c r="I93" s="182">
        <f t="shared" si="167"/>
        <v>5.2760347998059265</v>
      </c>
      <c r="J93" s="182">
        <f t="shared" si="167"/>
        <v>5.1919568776335261</v>
      </c>
      <c r="K93" s="182">
        <f t="shared" si="167"/>
        <v>5.1092188057966652</v>
      </c>
      <c r="L93" s="182">
        <f t="shared" si="167"/>
        <v>5.0277992326863181</v>
      </c>
      <c r="M93" s="182">
        <f t="shared" si="167"/>
        <v>4.9241945077835583</v>
      </c>
      <c r="N93" s="182">
        <f t="shared" si="167"/>
        <v>4.8425005634640854</v>
      </c>
      <c r="O93" s="182">
        <f t="shared" si="167"/>
        <v>4.7332956397417956</v>
      </c>
      <c r="P93" s="182">
        <f t="shared" si="167"/>
        <v>4.6516769999349341</v>
      </c>
      <c r="Q93" s="182">
        <f t="shared" si="167"/>
        <v>4.5201149277947588</v>
      </c>
      <c r="R93" s="182">
        <f t="shared" si="167"/>
        <v>4.4376743024825229</v>
      </c>
      <c r="S93" s="182">
        <f t="shared" si="167"/>
        <v>4.2991948944168303</v>
      </c>
      <c r="T93" s="182">
        <f t="shared" si="167"/>
        <v>4.2165183813968721</v>
      </c>
      <c r="U93" s="182">
        <f t="shared" si="167"/>
        <v>4.1076638786928221</v>
      </c>
      <c r="V93" s="182">
        <f t="shared" si="167"/>
        <v>4.0268795500326213</v>
      </c>
      <c r="W93" s="182">
        <f t="shared" si="167"/>
        <v>3.8880046920722928</v>
      </c>
      <c r="X93" s="182">
        <f t="shared" si="167"/>
        <v>3.8081564920789117</v>
      </c>
      <c r="Y93" s="182">
        <f t="shared" si="167"/>
        <v>3.6984025080957932</v>
      </c>
      <c r="Z93" s="182">
        <f t="shared" si="167"/>
        <v>3.6208419751117549</v>
      </c>
      <c r="AA93" s="182">
        <f t="shared" si="167"/>
        <v>3.544907992040442</v>
      </c>
      <c r="AB93" s="182">
        <f t="shared" si="167"/>
        <v>3.4705664479169513</v>
      </c>
      <c r="AC93" s="182">
        <f t="shared" si="167"/>
        <v>3.3977839471297253</v>
      </c>
      <c r="AD93" s="182">
        <f t="shared" si="167"/>
        <v>3.3265277944186251</v>
      </c>
      <c r="AE93" s="182">
        <f t="shared" si="167"/>
        <v>3.2567659801876028</v>
      </c>
      <c r="AF93" s="182">
        <f t="shared" si="167"/>
        <v>3.1884671661253958</v>
      </c>
      <c r="AG93" s="182">
        <f t="shared" si="167"/>
        <v>3.1216006711277706</v>
      </c>
      <c r="AH93" s="182">
        <f t="shared" si="167"/>
        <v>184.37426286285341</v>
      </c>
    </row>
    <row r="94" spans="2:36">
      <c r="B94" s="135">
        <v>43281</v>
      </c>
    </row>
    <row r="95" spans="2:36">
      <c r="B95" t="s">
        <v>210</v>
      </c>
      <c r="H95" s="182">
        <f t="shared" ref="H95" si="168">(H$88-$B94)/365</f>
        <v>7.5342465753424653E-2</v>
      </c>
      <c r="I95" s="182">
        <f t="shared" ref="I95" si="169">(I$88-$B94)/365</f>
        <v>0.57534246575342463</v>
      </c>
      <c r="J95" s="182">
        <f t="shared" ref="J95" si="170">(J$88-$B94)/365</f>
        <v>1.0753424657534247</v>
      </c>
      <c r="K95" s="182">
        <f t="shared" ref="K95" si="171">(K$88-$B94)/365</f>
        <v>1.5753424657534247</v>
      </c>
      <c r="L95" s="182">
        <f t="shared" ref="L95" si="172">(L$88-$B94)/365</f>
        <v>2.0753424657534247</v>
      </c>
      <c r="M95" s="182">
        <f t="shared" ref="M95" si="173">(M$88-$B94)/365</f>
        <v>2.5753424657534247</v>
      </c>
      <c r="N95" s="182">
        <f t="shared" ref="N95" si="174">(N$88-$B94)/365</f>
        <v>3.0753424657534247</v>
      </c>
      <c r="O95" s="182">
        <f t="shared" ref="O95" si="175">(O$88-$B94)/365</f>
        <v>3.5753424657534247</v>
      </c>
      <c r="P95" s="182">
        <f t="shared" ref="P95" si="176">(P$88-$B94)/365</f>
        <v>4.0753424657534243</v>
      </c>
      <c r="Q95" s="182">
        <f t="shared" ref="Q95" si="177">(Q$88-$B94)/365</f>
        <v>4.5753424657534243</v>
      </c>
      <c r="R95" s="182">
        <f t="shared" ref="R95" si="178">(R$88-$B94)/365</f>
        <v>5.0753424657534243</v>
      </c>
      <c r="S95" s="182">
        <f t="shared" ref="S95" si="179">(S$88-$B94)/365</f>
        <v>5.5753424657534243</v>
      </c>
      <c r="T95" s="182">
        <f t="shared" ref="T95" si="180">(T$88-$B94)/365</f>
        <v>6.0753424657534243</v>
      </c>
      <c r="U95" s="182">
        <f t="shared" ref="U95" si="181">(U$88-$B94)/365</f>
        <v>6.5753424657534243</v>
      </c>
      <c r="V95" s="182">
        <f t="shared" ref="V95" si="182">(V$88-$B94)/365</f>
        <v>7.0753424657534243</v>
      </c>
      <c r="W95" s="182">
        <f t="shared" ref="W95" si="183">(W$88-$B94)/365</f>
        <v>7.5753424657534243</v>
      </c>
      <c r="X95" s="182">
        <f t="shared" ref="X95" si="184">(X$88-$B94)/365</f>
        <v>8.0753424657534243</v>
      </c>
      <c r="Y95" s="182">
        <f t="shared" ref="Y95" si="185">(Y$88-$B94)/365</f>
        <v>8.5753424657534243</v>
      </c>
      <c r="Z95" s="182">
        <f t="shared" ref="Z95" si="186">(Z$88-$B94)/365</f>
        <v>9.0753424657534243</v>
      </c>
      <c r="AA95" s="182">
        <f t="shared" ref="AA95" si="187">(AA$88-$B94)/365</f>
        <v>9.5753424657534243</v>
      </c>
      <c r="AB95" s="182">
        <f t="shared" ref="AB95" si="188">(AB$88-$B94)/365</f>
        <v>10.075342465753424</v>
      </c>
      <c r="AC95" s="182">
        <f t="shared" ref="AC95" si="189">(AC$88-$B94)/365</f>
        <v>10.575342465753424</v>
      </c>
      <c r="AD95" s="182">
        <f t="shared" ref="AD95" si="190">(AD$88-$B94)/365</f>
        <v>11.075342465753424</v>
      </c>
      <c r="AE95" s="182">
        <f t="shared" ref="AE95" si="191">(AE$88-$B94)/365</f>
        <v>11.575342465753424</v>
      </c>
      <c r="AF95" s="182">
        <f t="shared" ref="AF95" si="192">(AF$88-$B94)/365</f>
        <v>12.075342465753424</v>
      </c>
      <c r="AG95" s="182">
        <f t="shared" ref="AG95" si="193">(AG$88-$B94)/365</f>
        <v>12.575342465753424</v>
      </c>
      <c r="AH95" s="182">
        <f t="shared" ref="AH95" si="194">(AH$88-$B94)/365</f>
        <v>12.96986301369863</v>
      </c>
    </row>
    <row r="96" spans="2:36">
      <c r="B96" t="s">
        <v>211</v>
      </c>
      <c r="H96" s="183">
        <f>1+((INDEX('Yield Curve'!$B$48:$P$91,MATCH(ROUND(H95,0),'Yield Curve'!$B$48:$B$91,0),MATCH(YEAR($B94),'Yield Curve'!$B$48:$P$48,0)))/100)</f>
        <v>1.03315</v>
      </c>
      <c r="I96" s="183">
        <f>1+((INDEX('Yield Curve'!$B$48:$P$91,MATCH(ROUND(I95,0),'Yield Curve'!$B$48:$B$91,0),MATCH(YEAR($B94),'Yield Curve'!$B$48:$P$48,0)))/100)</f>
        <v>1.03315</v>
      </c>
      <c r="J96" s="183">
        <f>1+((INDEX('Yield Curve'!$B$48:$P$91,MATCH(ROUND(J95,0),'Yield Curve'!$B$48:$B$91,0),MATCH(YEAR($B94),'Yield Curve'!$B$48:$P$48,0)))/100)</f>
        <v>1.03315</v>
      </c>
      <c r="K96" s="183">
        <f>1+((INDEX('Yield Curve'!$B$48:$P$91,MATCH(ROUND(K95,0),'Yield Curve'!$B$48:$B$91,0),MATCH(YEAR($B94),'Yield Curve'!$B$48:$P$48,0)))/100)</f>
        <v>1.03315</v>
      </c>
      <c r="L96" s="183">
        <f>1+((INDEX('Yield Curve'!$B$48:$P$91,MATCH(ROUND(L95,0),'Yield Curve'!$B$48:$B$91,0),MATCH(YEAR($B94),'Yield Curve'!$B$48:$P$48,0)))/100)</f>
        <v>1.03315</v>
      </c>
      <c r="M96" s="183">
        <f>1+((INDEX('Yield Curve'!$B$48:$P$91,MATCH(ROUND(M95,0),'Yield Curve'!$B$48:$B$91,0),MATCH(YEAR($B94),'Yield Curve'!$B$48:$P$48,0)))/100)</f>
        <v>1.03315</v>
      </c>
      <c r="N96" s="183">
        <f>1+((INDEX('Yield Curve'!$B$48:$P$91,MATCH(ROUND(N95,0),'Yield Curve'!$B$48:$B$91,0),MATCH(YEAR($B94),'Yield Curve'!$B$48:$P$48,0)))/100)</f>
        <v>1.03315</v>
      </c>
      <c r="O96" s="183">
        <f>1+((INDEX('Yield Curve'!$B$48:$P$91,MATCH(ROUND(O95,0),'Yield Curve'!$B$48:$B$91,0),MATCH(YEAR($B94),'Yield Curve'!$B$48:$P$48,0)))/100)</f>
        <v>1.0349999999999999</v>
      </c>
      <c r="P96" s="183">
        <f>1+((INDEX('Yield Curve'!$B$48:$P$91,MATCH(ROUND(P95,0),'Yield Curve'!$B$48:$B$91,0),MATCH(YEAR($B94),'Yield Curve'!$B$48:$P$48,0)))/100)</f>
        <v>1.0349999999999999</v>
      </c>
      <c r="Q96" s="183">
        <f>1+((INDEX('Yield Curve'!$B$48:$P$91,MATCH(ROUND(Q95,0),'Yield Curve'!$B$48:$B$91,0),MATCH(YEAR($B94),'Yield Curve'!$B$48:$P$48,0)))/100)</f>
        <v>1.03685</v>
      </c>
      <c r="R96" s="183">
        <f>1+((INDEX('Yield Curve'!$B$48:$P$91,MATCH(ROUND(R95,0),'Yield Curve'!$B$48:$B$91,0),MATCH(YEAR($B94),'Yield Curve'!$B$48:$P$48,0)))/100)</f>
        <v>1.03685</v>
      </c>
      <c r="S96" s="183">
        <f>1+((INDEX('Yield Curve'!$B$48:$P$91,MATCH(ROUND(S95,0),'Yield Curve'!$B$48:$B$91,0),MATCH(YEAR($B94),'Yield Curve'!$B$48:$P$48,0)))/100)</f>
        <v>1.0386</v>
      </c>
      <c r="T96" s="183">
        <f>1+((INDEX('Yield Curve'!$B$48:$P$91,MATCH(ROUND(T95,0),'Yield Curve'!$B$48:$B$91,0),MATCH(YEAR($B94),'Yield Curve'!$B$48:$P$48,0)))/100)</f>
        <v>1.0386</v>
      </c>
      <c r="U96" s="183">
        <f>1+((INDEX('Yield Curve'!$B$48:$P$91,MATCH(ROUND(U95,0),'Yield Curve'!$B$48:$B$91,0),MATCH(YEAR($B94),'Yield Curve'!$B$48:$P$48,0)))/100)</f>
        <v>1.0403500000000001</v>
      </c>
      <c r="V96" s="183">
        <f>1+((INDEX('Yield Curve'!$B$48:$P$91,MATCH(ROUND(V95,0),'Yield Curve'!$B$48:$B$91,0),MATCH(YEAR($B94),'Yield Curve'!$B$48:$P$48,0)))/100)</f>
        <v>1.0403500000000001</v>
      </c>
      <c r="W96" s="183">
        <f>1+((INDEX('Yield Curve'!$B$48:$P$91,MATCH(ROUND(W95,0),'Yield Curve'!$B$48:$B$91,0),MATCH(YEAR($B94),'Yield Curve'!$B$48:$P$48,0)))/100)</f>
        <v>1.0414874999999999</v>
      </c>
      <c r="X96" s="183">
        <f>1+((INDEX('Yield Curve'!$B$48:$P$91,MATCH(ROUND(X95,0),'Yield Curve'!$B$48:$B$91,0),MATCH(YEAR($B94),'Yield Curve'!$B$48:$P$48,0)))/100)</f>
        <v>1.0414874999999999</v>
      </c>
      <c r="Y96" s="183">
        <f>1+((INDEX('Yield Curve'!$B$48:$P$91,MATCH(ROUND(Y95,0),'Yield Curve'!$B$48:$B$91,0),MATCH(YEAR($B94),'Yield Curve'!$B$48:$P$48,0)))/100)</f>
        <v>1.0437624999999999</v>
      </c>
      <c r="Z96" s="183">
        <f>1+((INDEX('Yield Curve'!$B$48:$P$91,MATCH(ROUND(Z95,0),'Yield Curve'!$B$48:$B$91,0),MATCH(YEAR($B94),'Yield Curve'!$B$48:$P$48,0)))/100)</f>
        <v>1.0437624999999999</v>
      </c>
      <c r="AA96" s="183">
        <f>1+((INDEX('Yield Curve'!$B$48:$P$91,MATCH(ROUND(AA95,0),'Yield Curve'!$B$48:$B$91,0),MATCH(YEAR($B94),'Yield Curve'!$B$48:$P$48,0)))/100)</f>
        <v>1.0448999999999999</v>
      </c>
      <c r="AB96" s="183">
        <f>1+((INDEX('Yield Curve'!$B$48:$P$91,MATCH(ROUND(AB95,0),'Yield Curve'!$B$48:$B$91,0),MATCH(YEAR($B94),'Yield Curve'!$B$48:$P$48,0)))/100)</f>
        <v>1.0448999999999999</v>
      </c>
      <c r="AC96" s="183">
        <f>1+((INDEX('Yield Curve'!$B$48:$P$91,MATCH(ROUND(AC95,0),'Yield Curve'!$B$48:$B$91,0),MATCH(YEAR($B94),'Yield Curve'!$B$48:$P$48,0)))/100)</f>
        <v>1.0448999999999999</v>
      </c>
      <c r="AD96" s="183">
        <f>1+((INDEX('Yield Curve'!$B$48:$P$91,MATCH(ROUND(AD95,0),'Yield Curve'!$B$48:$B$91,0),MATCH(YEAR($B94),'Yield Curve'!$B$48:$P$48,0)))/100)</f>
        <v>1.0448999999999999</v>
      </c>
      <c r="AE96" s="183">
        <f>1+((INDEX('Yield Curve'!$B$48:$P$91,MATCH(ROUND(AE95,0),'Yield Curve'!$B$48:$B$91,0),MATCH(YEAR($B94),'Yield Curve'!$B$48:$P$48,0)))/100)</f>
        <v>1.0448999999999999</v>
      </c>
      <c r="AF96" s="183">
        <f>1+((INDEX('Yield Curve'!$B$48:$P$91,MATCH(ROUND(AF95,0),'Yield Curve'!$B$48:$B$91,0),MATCH(YEAR($B94),'Yield Curve'!$B$48:$P$48,0)))/100)</f>
        <v>1.0448999999999999</v>
      </c>
      <c r="AG96" s="183">
        <f>1+((INDEX('Yield Curve'!$B$48:$P$91,MATCH(ROUND(AG95,0),'Yield Curve'!$B$48:$B$91,0),MATCH(YEAR($B94),'Yield Curve'!$B$48:$P$48,0)))/100)</f>
        <v>1.0448999999999999</v>
      </c>
      <c r="AH96" s="183">
        <f>1+((INDEX('Yield Curve'!$B$48:$P$91,MATCH(ROUND(AH95,0),'Yield Curve'!$B$48:$B$91,0),MATCH(YEAR($B94),'Yield Curve'!$B$48:$P$48,0)))/100)</f>
        <v>1.0448999999999999</v>
      </c>
    </row>
    <row r="97" spans="2:34">
      <c r="B97" t="s">
        <v>212</v>
      </c>
      <c r="C97" s="182">
        <f>SUM(D97:AH97)</f>
        <v>301.516428559448</v>
      </c>
      <c r="H97" s="182">
        <f t="shared" ref="H97" si="195">H$89/(H96^H95)</f>
        <v>5.5363244838110655</v>
      </c>
      <c r="I97" s="182">
        <f t="shared" ref="I97" si="196">I$89/(I96^I95)</f>
        <v>5.4467801511933844</v>
      </c>
      <c r="J97" s="182">
        <f t="shared" ref="J97" si="197">J$89/(J96^J95)</f>
        <v>5.3586841057068835</v>
      </c>
      <c r="K97" s="182">
        <f t="shared" ref="K97" si="198">K$89/(K96^K95)</f>
        <v>5.2720129228024817</v>
      </c>
      <c r="L97" s="182">
        <f t="shared" ref="L97" si="199">L$89/(L96^L95)</f>
        <v>5.186743556798997</v>
      </c>
      <c r="M97" s="182">
        <f t="shared" ref="M97" si="200">M$89/(M96^M95)</f>
        <v>5.1028533347553422</v>
      </c>
      <c r="N97" s="182">
        <f t="shared" ref="N97" si="201">N$89/(N96^N95)</f>
        <v>5.0203199504418494</v>
      </c>
      <c r="O97" s="182">
        <f t="shared" ref="O97" si="202">O$89/(O96^O95)</f>
        <v>4.907629553403293</v>
      </c>
      <c r="P97" s="182">
        <f t="shared" ref="P97" si="203">P$89/(P96^P95)</f>
        <v>4.8239366762491054</v>
      </c>
      <c r="Q97" s="182">
        <f t="shared" ref="Q97" si="204">Q$89/(Q96^Q95)</f>
        <v>4.7030854453958808</v>
      </c>
      <c r="R97" s="182">
        <f t="shared" ref="R97" si="205">R$89/(R96^R95)</f>
        <v>4.6187547572102519</v>
      </c>
      <c r="S97" s="182">
        <f t="shared" ref="S97" si="206">S$89/(S96^S95)</f>
        <v>4.4934884826196893</v>
      </c>
      <c r="T97" s="182">
        <f t="shared" ref="T97" si="207">T$89/(T96^T95)</f>
        <v>4.4091967004725827</v>
      </c>
      <c r="U97" s="182">
        <f t="shared" ref="U97" si="208">U$89/(U96^U95)</f>
        <v>4.2788565967425845</v>
      </c>
      <c r="V97" s="182">
        <f t="shared" ref="V97" si="209">V$89/(V96^V95)</f>
        <v>4.1950582529737028</v>
      </c>
      <c r="W97" s="182">
        <f t="shared" ref="W97" si="210">W$89/(W96^W95)</f>
        <v>4.0789940843052594</v>
      </c>
      <c r="X97" s="182">
        <f t="shared" ref="X97" si="211">X$89/(X96^X95)</f>
        <v>3.9969254185194925</v>
      </c>
      <c r="Y97" s="182">
        <f t="shared" ref="Y97" si="212">Y$89/(Y96^Y95)</f>
        <v>3.8439062009207765</v>
      </c>
      <c r="Z97" s="182">
        <f t="shared" ref="Z97" si="213">Z$89/(Z96^Z95)</f>
        <v>3.7624603913565253</v>
      </c>
      <c r="AA97" s="182">
        <f t="shared" ref="AA97" si="214">AA$89/(AA96^AA95)</f>
        <v>3.644530389010511</v>
      </c>
      <c r="AB97" s="182">
        <f t="shared" ref="AB97" si="215">AB$89/(AB96^AB95)</f>
        <v>3.5653667601506469</v>
      </c>
      <c r="AC97" s="182">
        <f t="shared" ref="AC97" si="216">AC$89/(AC96^AC95)</f>
        <v>3.4879226615087675</v>
      </c>
      <c r="AD97" s="182">
        <f t="shared" ref="AD97" si="217">AD$89/(AD96^AD95)</f>
        <v>3.412160742798974</v>
      </c>
      <c r="AE97" s="182">
        <f t="shared" ref="AE97" si="218">AE$89/(AE96^AE95)</f>
        <v>3.3380444650289665</v>
      </c>
      <c r="AF97" s="182">
        <f t="shared" ref="AF97" si="219">AF$89/(AF96^AF95)</f>
        <v>3.2655380828777623</v>
      </c>
      <c r="AG97" s="182">
        <f t="shared" ref="AG97" si="220">AG$89/(AG96^AG95)</f>
        <v>3.1946066274561846</v>
      </c>
      <c r="AH97" s="182">
        <f t="shared" ref="AH97" si="221">AH$89/(AH96^AH95)</f>
        <v>188.57224776493703</v>
      </c>
    </row>
    <row r="98" spans="2:34">
      <c r="B98" s="135">
        <v>43646</v>
      </c>
    </row>
    <row r="99" spans="2:34">
      <c r="B99" t="s">
        <v>210</v>
      </c>
      <c r="J99" s="182">
        <f t="shared" ref="J99" si="222">(J$88-$B98)/365</f>
        <v>7.5342465753424653E-2</v>
      </c>
      <c r="K99" s="182">
        <f t="shared" ref="K99" si="223">(K$88-$B98)/365</f>
        <v>0.57534246575342463</v>
      </c>
      <c r="L99" s="182">
        <f t="shared" ref="L99" si="224">(L$88-$B98)/365</f>
        <v>1.0753424657534247</v>
      </c>
      <c r="M99" s="182">
        <f t="shared" ref="M99" si="225">(M$88-$B98)/365</f>
        <v>1.5753424657534247</v>
      </c>
      <c r="N99" s="182">
        <f t="shared" ref="N99" si="226">(N$88-$B98)/365</f>
        <v>2.0753424657534247</v>
      </c>
      <c r="O99" s="182">
        <f t="shared" ref="O99" si="227">(O$88-$B98)/365</f>
        <v>2.5753424657534247</v>
      </c>
      <c r="P99" s="182">
        <f t="shared" ref="P99" si="228">(P$88-$B98)/365</f>
        <v>3.0753424657534247</v>
      </c>
      <c r="Q99" s="182">
        <f t="shared" ref="Q99" si="229">(Q$88-$B98)/365</f>
        <v>3.5753424657534247</v>
      </c>
      <c r="R99" s="182">
        <f t="shared" ref="R99" si="230">(R$88-$B98)/365</f>
        <v>4.0753424657534243</v>
      </c>
      <c r="S99" s="182">
        <f t="shared" ref="S99" si="231">(S$88-$B98)/365</f>
        <v>4.5753424657534243</v>
      </c>
      <c r="T99" s="182">
        <f t="shared" ref="T99" si="232">(T$88-$B98)/365</f>
        <v>5.0753424657534243</v>
      </c>
      <c r="U99" s="182">
        <f t="shared" ref="U99" si="233">(U$88-$B98)/365</f>
        <v>5.5753424657534243</v>
      </c>
      <c r="V99" s="182">
        <f t="shared" ref="V99" si="234">(V$88-$B98)/365</f>
        <v>6.0753424657534243</v>
      </c>
      <c r="W99" s="182">
        <f t="shared" ref="W99" si="235">(W$88-$B98)/365</f>
        <v>6.5753424657534243</v>
      </c>
      <c r="X99" s="182">
        <f t="shared" ref="X99" si="236">(X$88-$B98)/365</f>
        <v>7.0753424657534243</v>
      </c>
      <c r="Y99" s="182">
        <f t="shared" ref="Y99" si="237">(Y$88-$B98)/365</f>
        <v>7.5753424657534243</v>
      </c>
      <c r="Z99" s="182">
        <f t="shared" ref="Z99" si="238">(Z$88-$B98)/365</f>
        <v>8.0753424657534243</v>
      </c>
      <c r="AA99" s="182">
        <f t="shared" ref="AA99" si="239">(AA$88-$B98)/365</f>
        <v>8.5753424657534243</v>
      </c>
      <c r="AB99" s="182">
        <f t="shared" ref="AB99" si="240">(AB$88-$B98)/365</f>
        <v>9.0753424657534243</v>
      </c>
      <c r="AC99" s="182">
        <f t="shared" ref="AC99" si="241">(AC$88-$B98)/365</f>
        <v>9.5753424657534243</v>
      </c>
      <c r="AD99" s="182">
        <f t="shared" ref="AD99" si="242">(AD$88-$B98)/365</f>
        <v>10.075342465753424</v>
      </c>
      <c r="AE99" s="182">
        <f t="shared" ref="AE99" si="243">(AE$88-$B98)/365</f>
        <v>10.575342465753424</v>
      </c>
      <c r="AF99" s="182">
        <f t="shared" ref="AF99" si="244">(AF$88-$B98)/365</f>
        <v>11.075342465753424</v>
      </c>
      <c r="AG99" s="182">
        <f t="shared" ref="AG99" si="245">(AG$88-$B98)/365</f>
        <v>11.575342465753424</v>
      </c>
      <c r="AH99" s="182">
        <f t="shared" ref="AH99" si="246">(AH$88-$B98)/365</f>
        <v>11.96986301369863</v>
      </c>
    </row>
    <row r="100" spans="2:34">
      <c r="B100" t="s">
        <v>211</v>
      </c>
      <c r="J100" s="183">
        <f>1+((INDEX('Yield Curve'!$B$48:$P$91,MATCH(ROUND(J99,0),'Yield Curve'!$B$48:$B$91,0),MATCH(YEAR($B98),'Yield Curve'!$B$48:$P$48,0)))/100)</f>
        <v>1.02305</v>
      </c>
      <c r="K100" s="183">
        <f>1+((INDEX('Yield Curve'!$B$48:$P$91,MATCH(ROUND(K99,0),'Yield Curve'!$B$48:$B$91,0),MATCH(YEAR($B98),'Yield Curve'!$B$48:$P$48,0)))/100)</f>
        <v>1.02305</v>
      </c>
      <c r="L100" s="183">
        <f>1+((INDEX('Yield Curve'!$B$48:$P$91,MATCH(ROUND(L99,0),'Yield Curve'!$B$48:$B$91,0),MATCH(YEAR($B98),'Yield Curve'!$B$48:$P$48,0)))/100)</f>
        <v>1.02305</v>
      </c>
      <c r="M100" s="183">
        <f>1+((INDEX('Yield Curve'!$B$48:$P$91,MATCH(ROUND(M99,0),'Yield Curve'!$B$48:$B$91,0),MATCH(YEAR($B98),'Yield Curve'!$B$48:$P$48,0)))/100)</f>
        <v>1.02305</v>
      </c>
      <c r="N100" s="183">
        <f>1+((INDEX('Yield Curve'!$B$48:$P$91,MATCH(ROUND(N99,0),'Yield Curve'!$B$48:$B$91,0),MATCH(YEAR($B98),'Yield Curve'!$B$48:$P$48,0)))/100)</f>
        <v>1.02305</v>
      </c>
      <c r="O100" s="183">
        <f>1+((INDEX('Yield Curve'!$B$48:$P$91,MATCH(ROUND(O99,0),'Yield Curve'!$B$48:$B$91,0),MATCH(YEAR($B98),'Yield Curve'!$B$48:$P$48,0)))/100)</f>
        <v>1.02305</v>
      </c>
      <c r="P100" s="183">
        <f>1+((INDEX('Yield Curve'!$B$48:$P$91,MATCH(ROUND(P99,0),'Yield Curve'!$B$48:$B$91,0),MATCH(YEAR($B98),'Yield Curve'!$B$48:$P$48,0)))/100)</f>
        <v>1.02305</v>
      </c>
      <c r="Q100" s="183">
        <f>1+((INDEX('Yield Curve'!$B$48:$P$91,MATCH(ROUND(Q99,0),'Yield Curve'!$B$48:$B$91,0),MATCH(YEAR($B98),'Yield Curve'!$B$48:$P$48,0)))/100)</f>
        <v>1.024575</v>
      </c>
      <c r="R100" s="183">
        <f>1+((INDEX('Yield Curve'!$B$48:$P$91,MATCH(ROUND(R99,0),'Yield Curve'!$B$48:$B$91,0),MATCH(YEAR($B98),'Yield Curve'!$B$48:$P$48,0)))/100)</f>
        <v>1.024575</v>
      </c>
      <c r="S100" s="183">
        <f>1+((INDEX('Yield Curve'!$B$48:$P$91,MATCH(ROUND(S99,0),'Yield Curve'!$B$48:$B$91,0),MATCH(YEAR($B98),'Yield Curve'!$B$48:$P$48,0)))/100)</f>
        <v>1.0261</v>
      </c>
      <c r="T100" s="183">
        <f>1+((INDEX('Yield Curve'!$B$48:$P$91,MATCH(ROUND(T99,0),'Yield Curve'!$B$48:$B$91,0),MATCH(YEAR($B98),'Yield Curve'!$B$48:$P$48,0)))/100)</f>
        <v>1.0261</v>
      </c>
      <c r="U100" s="183">
        <f>1+((INDEX('Yield Curve'!$B$48:$P$91,MATCH(ROUND(U99,0),'Yield Curve'!$B$48:$B$91,0),MATCH(YEAR($B98),'Yield Curve'!$B$48:$P$48,0)))/100)</f>
        <v>1.028375</v>
      </c>
      <c r="V100" s="183">
        <f>1+((INDEX('Yield Curve'!$B$48:$P$91,MATCH(ROUND(V99,0),'Yield Curve'!$B$48:$B$91,0),MATCH(YEAR($B98),'Yield Curve'!$B$48:$P$48,0)))/100)</f>
        <v>1.028375</v>
      </c>
      <c r="W100" s="183">
        <f>1+((INDEX('Yield Curve'!$B$48:$P$91,MATCH(ROUND(W99,0),'Yield Curve'!$B$48:$B$91,0),MATCH(YEAR($B98),'Yield Curve'!$B$48:$P$48,0)))/100)</f>
        <v>1.0306500000000001</v>
      </c>
      <c r="X100" s="183">
        <f>1+((INDEX('Yield Curve'!$B$48:$P$91,MATCH(ROUND(X99,0),'Yield Curve'!$B$48:$B$91,0),MATCH(YEAR($B98),'Yield Curve'!$B$48:$P$48,0)))/100)</f>
        <v>1.0306500000000001</v>
      </c>
      <c r="Y100" s="183">
        <f>1+((INDEX('Yield Curve'!$B$48:$P$91,MATCH(ROUND(Y99,0),'Yield Curve'!$B$48:$B$91,0),MATCH(YEAR($B98),'Yield Curve'!$B$48:$P$48,0)))/100)</f>
        <v>1.0318624999999999</v>
      </c>
      <c r="Z100" s="183">
        <f>1+((INDEX('Yield Curve'!$B$48:$P$91,MATCH(ROUND(Z99,0),'Yield Curve'!$B$48:$B$91,0),MATCH(YEAR($B98),'Yield Curve'!$B$48:$P$48,0)))/100)</f>
        <v>1.0318624999999999</v>
      </c>
      <c r="AA100" s="183">
        <f>1+((INDEX('Yield Curve'!$B$48:$P$91,MATCH(ROUND(AA99,0),'Yield Curve'!$B$48:$B$91,0),MATCH(YEAR($B98),'Yield Curve'!$B$48:$P$48,0)))/100)</f>
        <v>1.0342875</v>
      </c>
      <c r="AB100" s="183">
        <f>1+((INDEX('Yield Curve'!$B$48:$P$91,MATCH(ROUND(AB99,0),'Yield Curve'!$B$48:$B$91,0),MATCH(YEAR($B98),'Yield Curve'!$B$48:$P$48,0)))/100)</f>
        <v>1.0342875</v>
      </c>
      <c r="AC100" s="183">
        <f>1+((INDEX('Yield Curve'!$B$48:$P$91,MATCH(ROUND(AC99,0),'Yield Curve'!$B$48:$B$91,0),MATCH(YEAR($B98),'Yield Curve'!$B$48:$P$48,0)))/100)</f>
        <v>1.0355000000000001</v>
      </c>
      <c r="AD100" s="183">
        <f>1+((INDEX('Yield Curve'!$B$48:$P$91,MATCH(ROUND(AD99,0),'Yield Curve'!$B$48:$B$91,0),MATCH(YEAR($B98),'Yield Curve'!$B$48:$P$48,0)))/100)</f>
        <v>1.0355000000000001</v>
      </c>
      <c r="AE100" s="183">
        <f>1+((INDEX('Yield Curve'!$B$48:$P$91,MATCH(ROUND(AE99,0),'Yield Curve'!$B$48:$B$91,0),MATCH(YEAR($B98),'Yield Curve'!$B$48:$P$48,0)))/100)</f>
        <v>1.0355000000000001</v>
      </c>
      <c r="AF100" s="183">
        <f>1+((INDEX('Yield Curve'!$B$48:$P$91,MATCH(ROUND(AF99,0),'Yield Curve'!$B$48:$B$91,0),MATCH(YEAR($B98),'Yield Curve'!$B$48:$P$48,0)))/100)</f>
        <v>1.0355000000000001</v>
      </c>
      <c r="AG100" s="183">
        <f>1+((INDEX('Yield Curve'!$B$48:$P$91,MATCH(ROUND(AG99,0),'Yield Curve'!$B$48:$B$91,0),MATCH(YEAR($B98),'Yield Curve'!$B$48:$P$48,0)))/100)</f>
        <v>1.0355000000000001</v>
      </c>
      <c r="AH100" s="183">
        <f>1+((INDEX('Yield Curve'!$B$48:$P$91,MATCH(ROUND(AH99,0),'Yield Curve'!$B$48:$B$91,0),MATCH(YEAR($B98),'Yield Curve'!$B$48:$P$48,0)))/100)</f>
        <v>1.0355000000000001</v>
      </c>
    </row>
    <row r="101" spans="2:34">
      <c r="B101" t="s">
        <v>212</v>
      </c>
      <c r="C101" s="182">
        <f>SUM(D101:AH101)</f>
        <v>331.54181089626627</v>
      </c>
      <c r="J101" s="182">
        <f t="shared" ref="J101" si="247">J$89/(J100^J99)</f>
        <v>5.540423801796897</v>
      </c>
      <c r="K101" s="182">
        <f t="shared" ref="K101" si="248">K$89/(K100^K99)</f>
        <v>5.4776534984067027</v>
      </c>
      <c r="L101" s="182">
        <f t="shared" ref="L101" si="249">L$89/(L100^L99)</f>
        <v>5.4155943519836738</v>
      </c>
      <c r="M101" s="182">
        <f t="shared" ref="M101" si="250">M$89/(M100^M99)</f>
        <v>5.3542383054657181</v>
      </c>
      <c r="N101" s="182">
        <f t="shared" ref="N101" si="251">N$89/(N100^N99)</f>
        <v>5.293577393073333</v>
      </c>
      <c r="O101" s="182">
        <f t="shared" ref="O101" si="252">O$89/(O100^O99)</f>
        <v>5.23360373927542</v>
      </c>
      <c r="P101" s="182">
        <f t="shared" ref="P101" si="253">P$89/(P100^P99)</f>
        <v>5.1743095577668079</v>
      </c>
      <c r="Q101" s="182">
        <f t="shared" ref="Q101" si="254">Q$89/(Q100^Q99)</f>
        <v>5.0885155513395395</v>
      </c>
      <c r="R101" s="182">
        <f t="shared" ref="R101" si="255">R$89/(R100^R99)</f>
        <v>5.0271197288745695</v>
      </c>
      <c r="S101" s="182">
        <f t="shared" ref="S101" si="256">S$89/(S100^S99)</f>
        <v>4.9327827341385504</v>
      </c>
      <c r="T101" s="182">
        <f t="shared" ref="T101" si="257">T$89/(T100^T99)</f>
        <v>4.869643221728329</v>
      </c>
      <c r="U101" s="182">
        <f t="shared" ref="U101" si="258">U$89/(U100^U99)</f>
        <v>4.7483181339302218</v>
      </c>
      <c r="V101" s="182">
        <f t="shared" ref="V101" si="259">V$89/(V100^V99)</f>
        <v>4.6823519402372114</v>
      </c>
      <c r="W101" s="182">
        <f t="shared" ref="W101" si="260">W$89/(W100^W99)</f>
        <v>4.5506974224804226</v>
      </c>
      <c r="X101" s="182">
        <f t="shared" ref="X101" si="261">X$89/(X100^X99)</f>
        <v>4.4825212417396125</v>
      </c>
      <c r="Y101" s="182">
        <f t="shared" ref="Y101" si="262">Y$89/(Y100^Y99)</f>
        <v>4.3762146535825339</v>
      </c>
      <c r="Z101" s="182">
        <f t="shared" ref="Z101" si="263">Z$89/(Z100^Z99)</f>
        <v>4.3081191015288089</v>
      </c>
      <c r="AA101" s="182">
        <f t="shared" ref="AA101" si="264">AA$89/(AA100^AA99)</f>
        <v>4.1565660333626155</v>
      </c>
      <c r="AB101" s="182">
        <f t="shared" ref="AB101" si="265">AB$89/(AB100^AB99)</f>
        <v>4.0870885422230137</v>
      </c>
      <c r="AC101" s="182">
        <f t="shared" ref="AC101" si="266">AC$89/(AC100^AC99)</f>
        <v>3.9739391550226109</v>
      </c>
      <c r="AD101" s="182">
        <f t="shared" ref="AD101" si="267">AD$89/(AD100^AD99)</f>
        <v>3.9052259069951605</v>
      </c>
      <c r="AE101" s="182">
        <f t="shared" ref="AE101" si="268">AE$89/(AE100^AE99)</f>
        <v>3.837700777424057</v>
      </c>
      <c r="AF101" s="182">
        <f t="shared" ref="AF101" si="269">AF$89/(AF100^AF99)</f>
        <v>3.7713432225931047</v>
      </c>
      <c r="AG101" s="182">
        <f t="shared" ref="AG101" si="270">AG$89/(AG100^AG99)</f>
        <v>3.7061330540068145</v>
      </c>
      <c r="AH101" s="182">
        <f t="shared" ref="AH101" si="271">AH$89/(AH100^AH99)</f>
        <v>219.54812982729058</v>
      </c>
    </row>
    <row r="102" spans="2:34">
      <c r="B102" s="135">
        <v>44012</v>
      </c>
    </row>
    <row r="103" spans="2:34">
      <c r="B103" t="s">
        <v>210</v>
      </c>
      <c r="L103" s="182">
        <f t="shared" ref="L103" si="272">(L$88-$B102)/365</f>
        <v>7.260273972602739E-2</v>
      </c>
      <c r="M103" s="182">
        <f t="shared" ref="M103" si="273">(M$88-$B102)/365</f>
        <v>0.57260273972602738</v>
      </c>
      <c r="N103" s="182">
        <f t="shared" ref="N103" si="274">(N$88-$B102)/365</f>
        <v>1.0726027397260274</v>
      </c>
      <c r="O103" s="182">
        <f t="shared" ref="O103" si="275">(O$88-$B102)/365</f>
        <v>1.5726027397260274</v>
      </c>
      <c r="P103" s="182">
        <f t="shared" ref="P103" si="276">(P$88-$B102)/365</f>
        <v>2.0726027397260274</v>
      </c>
      <c r="Q103" s="182">
        <f t="shared" ref="Q103" si="277">(Q$88-$B102)/365</f>
        <v>2.5726027397260274</v>
      </c>
      <c r="R103" s="182">
        <f t="shared" ref="R103" si="278">(R$88-$B102)/365</f>
        <v>3.0726027397260274</v>
      </c>
      <c r="S103" s="182">
        <f t="shared" ref="S103" si="279">(S$88-$B102)/365</f>
        <v>3.5726027397260274</v>
      </c>
      <c r="T103" s="182">
        <f t="shared" ref="T103" si="280">(T$88-$B102)/365</f>
        <v>4.0726027397260278</v>
      </c>
      <c r="U103" s="182">
        <f t="shared" ref="U103" si="281">(U$88-$B102)/365</f>
        <v>4.5726027397260278</v>
      </c>
      <c r="V103" s="182">
        <f t="shared" ref="V103" si="282">(V$88-$B102)/365</f>
        <v>5.0726027397260278</v>
      </c>
      <c r="W103" s="182">
        <f t="shared" ref="W103" si="283">(W$88-$B102)/365</f>
        <v>5.5726027397260278</v>
      </c>
      <c r="X103" s="182">
        <f t="shared" ref="X103" si="284">(X$88-$B102)/365</f>
        <v>6.0726027397260278</v>
      </c>
      <c r="Y103" s="182">
        <f t="shared" ref="Y103" si="285">(Y$88-$B102)/365</f>
        <v>6.5726027397260278</v>
      </c>
      <c r="Z103" s="182">
        <f t="shared" ref="Z103" si="286">(Z$88-$B102)/365</f>
        <v>7.0726027397260278</v>
      </c>
      <c r="AA103" s="182">
        <f t="shared" ref="AA103" si="287">(AA$88-$B102)/365</f>
        <v>7.5726027397260278</v>
      </c>
      <c r="AB103" s="182">
        <f t="shared" ref="AB103" si="288">(AB$88-$B102)/365</f>
        <v>8.0726027397260278</v>
      </c>
      <c r="AC103" s="182">
        <f t="shared" ref="AC103" si="289">(AC$88-$B102)/365</f>
        <v>8.5726027397260278</v>
      </c>
      <c r="AD103" s="182">
        <f t="shared" ref="AD103" si="290">(AD$88-$B102)/365</f>
        <v>9.0726027397260278</v>
      </c>
      <c r="AE103" s="182">
        <f t="shared" ref="AE103" si="291">(AE$88-$B102)/365</f>
        <v>9.5726027397260278</v>
      </c>
      <c r="AF103" s="182">
        <f t="shared" ref="AF103" si="292">(AF$88-$B102)/365</f>
        <v>10.072602739726028</v>
      </c>
      <c r="AG103" s="182">
        <f t="shared" ref="AG103" si="293">(AG$88-$B102)/365</f>
        <v>10.572602739726028</v>
      </c>
      <c r="AH103" s="182">
        <f t="shared" ref="AH103" si="294">(AH$88-$B102)/365</f>
        <v>10.967123287671233</v>
      </c>
    </row>
    <row r="104" spans="2:34">
      <c r="B104" t="s">
        <v>211</v>
      </c>
      <c r="L104" s="183">
        <f>1+((INDEX('Yield Curve'!$B$48:$P$91,MATCH(ROUND(L103,0),'Yield Curve'!$B$48:$B$91,0),MATCH(YEAR($B102),'Yield Curve'!$B$48:$P$48,0)))/100)</f>
        <v>1.02105</v>
      </c>
      <c r="M104" s="183">
        <f>1+((INDEX('Yield Curve'!$B$48:$P$91,MATCH(ROUND(M103,0),'Yield Curve'!$B$48:$B$91,0),MATCH(YEAR($B102),'Yield Curve'!$B$48:$P$48,0)))/100)</f>
        <v>1.02105</v>
      </c>
      <c r="N104" s="183">
        <f>1+((INDEX('Yield Curve'!$B$48:$P$91,MATCH(ROUND(N103,0),'Yield Curve'!$B$48:$B$91,0),MATCH(YEAR($B102),'Yield Curve'!$B$48:$P$48,0)))/100)</f>
        <v>1.02105</v>
      </c>
      <c r="O104" s="183">
        <f>1+((INDEX('Yield Curve'!$B$48:$P$91,MATCH(ROUND(O103,0),'Yield Curve'!$B$48:$B$91,0),MATCH(YEAR($B102),'Yield Curve'!$B$48:$P$48,0)))/100)</f>
        <v>1.02105</v>
      </c>
      <c r="P104" s="183">
        <f>1+((INDEX('Yield Curve'!$B$48:$P$91,MATCH(ROUND(P103,0),'Yield Curve'!$B$48:$B$91,0),MATCH(YEAR($B102),'Yield Curve'!$B$48:$P$48,0)))/100)</f>
        <v>1.02105</v>
      </c>
      <c r="Q104" s="183">
        <f>1+((INDEX('Yield Curve'!$B$48:$P$91,MATCH(ROUND(Q103,0),'Yield Curve'!$B$48:$B$91,0),MATCH(YEAR($B102),'Yield Curve'!$B$48:$P$48,0)))/100)</f>
        <v>1.02105</v>
      </c>
      <c r="R104" s="183">
        <f>1+((INDEX('Yield Curve'!$B$48:$P$91,MATCH(ROUND(R103,0),'Yield Curve'!$B$48:$B$91,0),MATCH(YEAR($B102),'Yield Curve'!$B$48:$P$48,0)))/100)</f>
        <v>1.02105</v>
      </c>
      <c r="S104" s="183">
        <f>1+((INDEX('Yield Curve'!$B$48:$P$91,MATCH(ROUND(S103,0),'Yield Curve'!$B$48:$B$91,0),MATCH(YEAR($B102),'Yield Curve'!$B$48:$P$48,0)))/100)</f>
        <v>1.0229999999999999</v>
      </c>
      <c r="T104" s="183">
        <f>1+((INDEX('Yield Curve'!$B$48:$P$91,MATCH(ROUND(T103,0),'Yield Curve'!$B$48:$B$91,0),MATCH(YEAR($B102),'Yield Curve'!$B$48:$P$48,0)))/100)</f>
        <v>1.0229999999999999</v>
      </c>
      <c r="U104" s="183">
        <f>1+((INDEX('Yield Curve'!$B$48:$P$91,MATCH(ROUND(U103,0),'Yield Curve'!$B$48:$B$91,0),MATCH(YEAR($B102),'Yield Curve'!$B$48:$P$48,0)))/100)</f>
        <v>1.02495</v>
      </c>
      <c r="V104" s="183">
        <f>1+((INDEX('Yield Curve'!$B$48:$P$91,MATCH(ROUND(V103,0),'Yield Curve'!$B$48:$B$91,0),MATCH(YEAR($B102),'Yield Curve'!$B$48:$P$48,0)))/100)</f>
        <v>1.02495</v>
      </c>
      <c r="W104" s="183">
        <f>1+((INDEX('Yield Curve'!$B$48:$P$91,MATCH(ROUND(W103,0),'Yield Curve'!$B$48:$B$91,0),MATCH(YEAR($B102),'Yield Curve'!$B$48:$P$48,0)))/100)</f>
        <v>1.0282249999999999</v>
      </c>
      <c r="X104" s="183">
        <f>1+((INDEX('Yield Curve'!$B$48:$P$91,MATCH(ROUND(X103,0),'Yield Curve'!$B$48:$B$91,0),MATCH(YEAR($B102),'Yield Curve'!$B$48:$P$48,0)))/100)</f>
        <v>1.0282249999999999</v>
      </c>
      <c r="Y104" s="183">
        <f>1+((INDEX('Yield Curve'!$B$48:$P$91,MATCH(ROUND(Y103,0),'Yield Curve'!$B$48:$B$91,0),MATCH(YEAR($B102),'Yield Curve'!$B$48:$P$48,0)))/100)</f>
        <v>1.0315000000000001</v>
      </c>
      <c r="Z104" s="183">
        <f>1+((INDEX('Yield Curve'!$B$48:$P$91,MATCH(ROUND(Z103,0),'Yield Curve'!$B$48:$B$91,0),MATCH(YEAR($B102),'Yield Curve'!$B$48:$P$48,0)))/100)</f>
        <v>1.0315000000000001</v>
      </c>
      <c r="AA104" s="183">
        <f>1+((INDEX('Yield Curve'!$B$48:$P$91,MATCH(ROUND(AA103,0),'Yield Curve'!$B$48:$B$91,0),MATCH(YEAR($B102),'Yield Curve'!$B$48:$P$48,0)))/100)</f>
        <v>1.0322499999999999</v>
      </c>
      <c r="AB104" s="183">
        <f>1+((INDEX('Yield Curve'!$B$48:$P$91,MATCH(ROUND(AB103,0),'Yield Curve'!$B$48:$B$91,0),MATCH(YEAR($B102),'Yield Curve'!$B$48:$P$48,0)))/100)</f>
        <v>1.0322499999999999</v>
      </c>
      <c r="AC104" s="183">
        <f>1+((INDEX('Yield Curve'!$B$48:$P$91,MATCH(ROUND(AC103,0),'Yield Curve'!$B$48:$B$91,0),MATCH(YEAR($B102),'Yield Curve'!$B$48:$P$48,0)))/100)</f>
        <v>1.0337499999999999</v>
      </c>
      <c r="AD104" s="183">
        <f>1+((INDEX('Yield Curve'!$B$48:$P$91,MATCH(ROUND(AD103,0),'Yield Curve'!$B$48:$B$91,0),MATCH(YEAR($B102),'Yield Curve'!$B$48:$P$48,0)))/100)</f>
        <v>1.0337499999999999</v>
      </c>
      <c r="AE104" s="183">
        <f>1+((INDEX('Yield Curve'!$B$48:$P$91,MATCH(ROUND(AE103,0),'Yield Curve'!$B$48:$B$91,0),MATCH(YEAR($B102),'Yield Curve'!$B$48:$P$48,0)))/100)</f>
        <v>1.0345</v>
      </c>
      <c r="AF104" s="183">
        <f>1+((INDEX('Yield Curve'!$B$48:$P$91,MATCH(ROUND(AF103,0),'Yield Curve'!$B$48:$B$91,0),MATCH(YEAR($B102),'Yield Curve'!$B$48:$P$48,0)))/100)</f>
        <v>1.0345</v>
      </c>
      <c r="AG104" s="183">
        <f>1+((INDEX('Yield Curve'!$B$48:$P$91,MATCH(ROUND(AG103,0),'Yield Curve'!$B$48:$B$91,0),MATCH(YEAR($B102),'Yield Curve'!$B$48:$P$48,0)))/100)</f>
        <v>1.0345</v>
      </c>
      <c r="AH104" s="183">
        <f>1+((INDEX('Yield Curve'!$B$48:$P$91,MATCH(ROUND(AH103,0),'Yield Curve'!$B$48:$B$91,0),MATCH(YEAR($B102),'Yield Curve'!$B$48:$P$48,0)))/100)</f>
        <v>1.0345</v>
      </c>
    </row>
    <row r="105" spans="2:34">
      <c r="B105" t="s">
        <v>212</v>
      </c>
      <c r="C105" s="182">
        <f>SUM(D105:AH105)</f>
        <v>334.62088302928186</v>
      </c>
      <c r="L105" s="182">
        <f t="shared" ref="L105" si="295">L$89/(L104^L103)</f>
        <v>5.5415569713828523</v>
      </c>
      <c r="M105" s="182">
        <f t="shared" ref="M105" si="296">M$89/(M104^M103)</f>
        <v>5.4841370279530883</v>
      </c>
      <c r="N105" s="182">
        <f t="shared" ref="N105" si="297">N$89/(N104^N103)</f>
        <v>5.4273120526740621</v>
      </c>
      <c r="O105" s="182">
        <f t="shared" ref="O105" si="298">O$89/(O104^O103)</f>
        <v>5.3710758806650869</v>
      </c>
      <c r="P105" s="182">
        <f t="shared" ref="P105" si="299">P$89/(P104^P103)</f>
        <v>5.3154224109241097</v>
      </c>
      <c r="Q105" s="182">
        <f t="shared" ref="Q105" si="300">Q$89/(Q104^Q103)</f>
        <v>5.2603456056658215</v>
      </c>
      <c r="R105" s="182">
        <f t="shared" ref="R105" si="301">R$89/(R104^R103)</f>
        <v>5.2058394896666274</v>
      </c>
      <c r="S105" s="182">
        <f t="shared" ref="S105" si="302">S$89/(S104^S103)</f>
        <v>5.1168999351688189</v>
      </c>
      <c r="T105" s="182">
        <f t="shared" ref="T105" si="303">T$89/(T104^T103)</f>
        <v>5.0590515791286546</v>
      </c>
      <c r="U105" s="182">
        <f t="shared" ref="U105" si="304">U$89/(U104^U103)</f>
        <v>4.9584910911467643</v>
      </c>
      <c r="V105" s="182">
        <f t="shared" ref="V105" si="305">V$89/(V104^V103)</f>
        <v>4.8977678646586105</v>
      </c>
      <c r="W105" s="182">
        <f t="shared" ref="W105" si="306">W$89/(W104^W103)</f>
        <v>4.7525438461391509</v>
      </c>
      <c r="X105" s="182">
        <f t="shared" ref="X105" si="307">X$89/(X104^X103)</f>
        <v>4.6868607745829163</v>
      </c>
      <c r="Y105" s="182">
        <f t="shared" ref="Y105" si="308">Y$89/(Y104^Y103)</f>
        <v>4.5264812629503277</v>
      </c>
      <c r="Z105" s="182">
        <f t="shared" ref="Z105" si="309">Z$89/(Z104^Z103)</f>
        <v>4.45683043123885</v>
      </c>
      <c r="AA105" s="182">
        <f t="shared" ref="AA105" si="310">AA$89/(AA104^AA103)</f>
        <v>4.3641647052151997</v>
      </c>
      <c r="AB105" s="182">
        <f t="shared" ref="AB105" si="311">AB$89/(AB104^AB103)</f>
        <v>4.2954501856786749</v>
      </c>
      <c r="AC105" s="182">
        <f t="shared" ref="AC105" si="312">AC$89/(AC104^AC103)</f>
        <v>4.1755154209998455</v>
      </c>
      <c r="AD105" s="182">
        <f t="shared" ref="AD105" si="313">AD$89/(AD104^AD103)</f>
        <v>4.1067884381181265</v>
      </c>
      <c r="AE105" s="182">
        <f t="shared" ref="AE105" si="314">AE$89/(AE104^AE103)</f>
        <v>4.0112475361519797</v>
      </c>
      <c r="AF105" s="182">
        <f t="shared" ref="AF105" si="315">AF$89/(AF104^AF103)</f>
        <v>3.9437939446550518</v>
      </c>
      <c r="AG105" s="182">
        <f t="shared" ref="AG105" si="316">AG$89/(AG104^AG103)</f>
        <v>3.8774746603692414</v>
      </c>
      <c r="AH105" s="182">
        <f t="shared" ref="AH105" si="317">AH$89/(AH104^AH103)</f>
        <v>229.78583191414799</v>
      </c>
    </row>
    <row r="106" spans="2:34">
      <c r="B106" s="135">
        <v>44377</v>
      </c>
    </row>
    <row r="107" spans="2:34">
      <c r="B107" t="s">
        <v>210</v>
      </c>
      <c r="M107" s="182">
        <f t="shared" ref="M107" si="318">(M$88-$B106)/365</f>
        <v>-0.42739726027397262</v>
      </c>
      <c r="N107" s="182">
        <f t="shared" ref="N107" si="319">(N$88-$B106)/365</f>
        <v>7.260273972602739E-2</v>
      </c>
      <c r="O107" s="182">
        <f t="shared" ref="O107" si="320">(O$88-$B106)/365</f>
        <v>0.57260273972602738</v>
      </c>
      <c r="P107" s="182">
        <f t="shared" ref="P107" si="321">(P$88-$B106)/365</f>
        <v>1.0726027397260274</v>
      </c>
      <c r="Q107" s="182">
        <f t="shared" ref="Q107" si="322">(Q$88-$B106)/365</f>
        <v>1.5726027397260274</v>
      </c>
      <c r="R107" s="182">
        <f t="shared" ref="R107" si="323">(R$88-$B106)/365</f>
        <v>2.0726027397260274</v>
      </c>
      <c r="S107" s="182">
        <f t="shared" ref="S107" si="324">(S$88-$B106)/365</f>
        <v>2.5726027397260274</v>
      </c>
      <c r="T107" s="182">
        <f t="shared" ref="T107" si="325">(T$88-$B106)/365</f>
        <v>3.0726027397260274</v>
      </c>
      <c r="U107" s="182">
        <f t="shared" ref="U107" si="326">(U$88-$B106)/365</f>
        <v>3.5726027397260274</v>
      </c>
      <c r="V107" s="182">
        <f t="shared" ref="V107" si="327">(V$88-$B106)/365</f>
        <v>4.0726027397260278</v>
      </c>
      <c r="W107" s="182">
        <f t="shared" ref="W107" si="328">(W$88-$B106)/365</f>
        <v>4.5726027397260278</v>
      </c>
      <c r="X107" s="182">
        <f t="shared" ref="X107" si="329">(X$88-$B106)/365</f>
        <v>5.0726027397260278</v>
      </c>
      <c r="Y107" s="182">
        <f t="shared" ref="Y107" si="330">(Y$88-$B106)/365</f>
        <v>5.5726027397260278</v>
      </c>
      <c r="Z107" s="182">
        <f t="shared" ref="Z107" si="331">(Z$88-$B106)/365</f>
        <v>6.0726027397260278</v>
      </c>
      <c r="AA107" s="182">
        <f t="shared" ref="AA107" si="332">(AA$88-$B106)/365</f>
        <v>6.5726027397260278</v>
      </c>
      <c r="AB107" s="182">
        <f t="shared" ref="AB107" si="333">(AB$88-$B106)/365</f>
        <v>7.0726027397260278</v>
      </c>
      <c r="AC107" s="182">
        <f t="shared" ref="AC107" si="334">(AC$88-$B106)/365</f>
        <v>7.5726027397260278</v>
      </c>
      <c r="AD107" s="182">
        <f t="shared" ref="AD107" si="335">(AD$88-$B106)/365</f>
        <v>8.0726027397260278</v>
      </c>
      <c r="AE107" s="182">
        <f t="shared" ref="AE107" si="336">(AE$88-$B106)/365</f>
        <v>8.5726027397260278</v>
      </c>
      <c r="AF107" s="182">
        <f t="shared" ref="AF107" si="337">(AF$88-$B106)/365</f>
        <v>9.0726027397260278</v>
      </c>
      <c r="AG107" s="182">
        <f t="shared" ref="AG107" si="338">(AG$88-$B106)/365</f>
        <v>9.5726027397260278</v>
      </c>
      <c r="AH107" s="182">
        <f t="shared" ref="AH107" si="339">(AH$88-$B106)/365</f>
        <v>9.9671232876712335</v>
      </c>
    </row>
    <row r="108" spans="2:34">
      <c r="B108" t="s">
        <v>211</v>
      </c>
      <c r="M108" s="183">
        <f>1+((INDEX('Yield Curve'!$B$48:$P$91,MATCH(ROUND(M107,0),'Yield Curve'!$B$48:$B$91,0),MATCH(YEAR($B106),'Yield Curve'!$B$48:$P$48,0)))/100)</f>
        <v>1.0129999999999999</v>
      </c>
      <c r="N108" s="183">
        <f>1+((INDEX('Yield Curve'!$B$48:$P$91,MATCH(ROUND(N107,0),'Yield Curve'!$B$48:$B$91,0),MATCH(YEAR($B106),'Yield Curve'!$B$48:$P$48,0)))/100)</f>
        <v>1.0129999999999999</v>
      </c>
      <c r="O108" s="183">
        <f>1+((INDEX('Yield Curve'!$B$48:$P$91,MATCH(ROUND(O107,0),'Yield Curve'!$B$48:$B$91,0),MATCH(YEAR($B106),'Yield Curve'!$B$48:$P$48,0)))/100)</f>
        <v>1.0129999999999999</v>
      </c>
      <c r="P108" s="183">
        <f>1+((INDEX('Yield Curve'!$B$48:$P$91,MATCH(ROUND(P107,0),'Yield Curve'!$B$48:$B$91,0),MATCH(YEAR($B106),'Yield Curve'!$B$48:$P$48,0)))/100)</f>
        <v>1.0129999999999999</v>
      </c>
      <c r="Q108" s="183">
        <f>1+((INDEX('Yield Curve'!$B$48:$P$91,MATCH(ROUND(Q107,0),'Yield Curve'!$B$48:$B$91,0),MATCH(YEAR($B106),'Yield Curve'!$B$48:$P$48,0)))/100)</f>
        <v>1.0129999999999999</v>
      </c>
      <c r="R108" s="183">
        <f>1+((INDEX('Yield Curve'!$B$48:$P$91,MATCH(ROUND(R107,0),'Yield Curve'!$B$48:$B$91,0),MATCH(YEAR($B106),'Yield Curve'!$B$48:$P$48,0)))/100)</f>
        <v>1.0129999999999999</v>
      </c>
      <c r="S108" s="183">
        <f>1+((INDEX('Yield Curve'!$B$48:$P$91,MATCH(ROUND(S107,0),'Yield Curve'!$B$48:$B$91,0),MATCH(YEAR($B106),'Yield Curve'!$B$48:$P$48,0)))/100)</f>
        <v>1.0129999999999999</v>
      </c>
      <c r="T108" s="183">
        <f>1+((INDEX('Yield Curve'!$B$48:$P$91,MATCH(ROUND(T107,0),'Yield Curve'!$B$48:$B$91,0),MATCH(YEAR($B106),'Yield Curve'!$B$48:$P$48,0)))/100)</f>
        <v>1.0129999999999999</v>
      </c>
      <c r="U108" s="183">
        <f>1+((INDEX('Yield Curve'!$B$48:$P$91,MATCH(ROUND(U107,0),'Yield Curve'!$B$48:$B$91,0),MATCH(YEAR($B106),'Yield Curve'!$B$48:$P$48,0)))/100)</f>
        <v>1.0161249999999999</v>
      </c>
      <c r="V108" s="183">
        <f>1+((INDEX('Yield Curve'!$B$48:$P$91,MATCH(ROUND(V107,0),'Yield Curve'!$B$48:$B$91,0),MATCH(YEAR($B106),'Yield Curve'!$B$48:$P$48,0)))/100)</f>
        <v>1.0161249999999999</v>
      </c>
      <c r="W108" s="183">
        <f>1+((INDEX('Yield Curve'!$B$48:$P$91,MATCH(ROUND(W107,0),'Yield Curve'!$B$48:$B$91,0),MATCH(YEAR($B106),'Yield Curve'!$B$48:$P$48,0)))/100)</f>
        <v>1.01925</v>
      </c>
      <c r="X108" s="183">
        <f>1+((INDEX('Yield Curve'!$B$48:$P$91,MATCH(ROUND(X107,0),'Yield Curve'!$B$48:$B$91,0),MATCH(YEAR($B106),'Yield Curve'!$B$48:$P$48,0)))/100)</f>
        <v>1.01925</v>
      </c>
      <c r="Y108" s="183">
        <f>1+((INDEX('Yield Curve'!$B$48:$P$91,MATCH(ROUND(Y107,0),'Yield Curve'!$B$48:$B$91,0),MATCH(YEAR($B106),'Yield Curve'!$B$48:$P$48,0)))/100)</f>
        <v>1.022775</v>
      </c>
      <c r="Z108" s="183">
        <f>1+((INDEX('Yield Curve'!$B$48:$P$91,MATCH(ROUND(Z107,0),'Yield Curve'!$B$48:$B$91,0),MATCH(YEAR($B106),'Yield Curve'!$B$48:$P$48,0)))/100)</f>
        <v>1.022775</v>
      </c>
      <c r="AA108" s="183">
        <f>1+((INDEX('Yield Curve'!$B$48:$P$91,MATCH(ROUND(AA107,0),'Yield Curve'!$B$48:$B$91,0),MATCH(YEAR($B106),'Yield Curve'!$B$48:$P$48,0)))/100)</f>
        <v>1.0263</v>
      </c>
      <c r="AB108" s="183">
        <f>1+((INDEX('Yield Curve'!$B$48:$P$91,MATCH(ROUND(AB107,0),'Yield Curve'!$B$48:$B$91,0),MATCH(YEAR($B106),'Yield Curve'!$B$48:$P$48,0)))/100)</f>
        <v>1.0263</v>
      </c>
      <c r="AC108" s="183">
        <f>1+((INDEX('Yield Curve'!$B$48:$P$91,MATCH(ROUND(AC107,0),'Yield Curve'!$B$48:$B$91,0),MATCH(YEAR($B106),'Yield Curve'!$B$48:$P$48,0)))/100)</f>
        <v>1.027525</v>
      </c>
      <c r="AD108" s="183">
        <f>1+((INDEX('Yield Curve'!$B$48:$P$91,MATCH(ROUND(AD107,0),'Yield Curve'!$B$48:$B$91,0),MATCH(YEAR($B106),'Yield Curve'!$B$48:$P$48,0)))/100)</f>
        <v>1.027525</v>
      </c>
      <c r="AE108" s="183">
        <f>1+((INDEX('Yield Curve'!$B$48:$P$91,MATCH(ROUND(AE107,0),'Yield Curve'!$B$48:$B$91,0),MATCH(YEAR($B106),'Yield Curve'!$B$48:$P$48,0)))/100)</f>
        <v>1.0299750000000001</v>
      </c>
      <c r="AF108" s="183">
        <f>1+((INDEX('Yield Curve'!$B$48:$P$91,MATCH(ROUND(AF107,0),'Yield Curve'!$B$48:$B$91,0),MATCH(YEAR($B106),'Yield Curve'!$B$48:$P$48,0)))/100)</f>
        <v>1.0299750000000001</v>
      </c>
      <c r="AG108" s="183">
        <f>1+((INDEX('Yield Curve'!$B$48:$P$91,MATCH(ROUND(AG107,0),'Yield Curve'!$B$48:$B$91,0),MATCH(YEAR($B106),'Yield Curve'!$B$48:$P$48,0)))/100)</f>
        <v>1.0311999999999999</v>
      </c>
      <c r="AH108" s="183">
        <f>1+((INDEX('Yield Curve'!$B$48:$P$91,MATCH(ROUND(AH107,0),'Yield Curve'!$B$48:$B$91,0),MATCH(YEAR($B106),'Yield Curve'!$B$48:$P$48,0)))/100)</f>
        <v>1.0311999999999999</v>
      </c>
    </row>
    <row r="109" spans="2:34">
      <c r="B109" t="s">
        <v>212</v>
      </c>
      <c r="C109" s="182">
        <f>SUM(D109:AH109)</f>
        <v>350.32417798132184</v>
      </c>
      <c r="M109" s="182">
        <f t="shared" ref="M109" si="340">M$89/(M108^M107)</f>
        <v>5.5806669090383245</v>
      </c>
      <c r="N109" s="182">
        <f t="shared" ref="N109" si="341">N$89/(N108^N107)</f>
        <v>5.5447424604974405</v>
      </c>
      <c r="O109" s="182">
        <f t="shared" ref="O109" si="342">O$89/(O108^O107)</f>
        <v>5.5090492685472121</v>
      </c>
      <c r="P109" s="182">
        <f t="shared" ref="P109" si="343">P$89/(P108^P107)</f>
        <v>5.4735858445186985</v>
      </c>
      <c r="Q109" s="182">
        <f t="shared" ref="Q109" si="344">Q$89/(Q108^Q107)</f>
        <v>5.4383507093259746</v>
      </c>
      <c r="R109" s="182">
        <f t="shared" ref="R109" si="345">R$89/(R108^R107)</f>
        <v>5.4033423934044418</v>
      </c>
      <c r="S109" s="182">
        <f t="shared" ref="S109" si="346">S$89/(S108^S107)</f>
        <v>5.3685594366495319</v>
      </c>
      <c r="T109" s="182">
        <f t="shared" ref="T109" si="347">T$89/(T108^T107)</f>
        <v>5.3340003883558156</v>
      </c>
      <c r="U109" s="182">
        <f t="shared" ref="U109" si="348">U$89/(U108^U107)</f>
        <v>5.2416652382195457</v>
      </c>
      <c r="V109" s="182">
        <f t="shared" ref="V109" si="349">V$89/(V108^V107)</f>
        <v>5.1999086330115958</v>
      </c>
      <c r="W109" s="182">
        <f t="shared" ref="W109" si="350">W$89/(W108^W107)</f>
        <v>5.086560291849171</v>
      </c>
      <c r="X109" s="182">
        <f t="shared" ref="X109" si="351">X$89/(X108^X107)</f>
        <v>5.0382978311806745</v>
      </c>
      <c r="Y109" s="182">
        <f t="shared" ref="Y109" si="352">Y$89/(Y108^Y107)</f>
        <v>4.8953980037064975</v>
      </c>
      <c r="Z109" s="182">
        <f t="shared" ref="Z109" si="353">Z$89/(Z108^Z107)</f>
        <v>4.8405861568165927</v>
      </c>
      <c r="AA109" s="182">
        <f t="shared" ref="AA109" si="354">AA$89/(AA108^AA107)</f>
        <v>4.679365352770863</v>
      </c>
      <c r="AB109" s="182">
        <f t="shared" ref="AB109" si="355">AB$89/(AB108^AB107)</f>
        <v>4.619019446346778</v>
      </c>
      <c r="AC109" s="182">
        <f t="shared" ref="AC109" si="356">AC$89/(AC108^AC107)</f>
        <v>4.5184502080249294</v>
      </c>
      <c r="AD109" s="182">
        <f t="shared" ref="AD109" si="357">AD$89/(AD108^AD107)</f>
        <v>4.4575200185308805</v>
      </c>
      <c r="AE109" s="182">
        <f t="shared" ref="AE109" si="358">AE$89/(AE108^AE107)</f>
        <v>4.3085444567929576</v>
      </c>
      <c r="AF109" s="182">
        <f t="shared" ref="AF109" si="359">AF$89/(AF108^AF107)</f>
        <v>4.245386521544293</v>
      </c>
      <c r="AG109" s="182">
        <f t="shared" ref="AG109" si="360">AG$89/(AG108^AG107)</f>
        <v>4.1358265558787561</v>
      </c>
      <c r="AH109" s="182">
        <f t="shared" ref="AH109" si="361">AH$89/(AH108^AH107)</f>
        <v>245.40535185631086</v>
      </c>
    </row>
    <row r="110" spans="2:34">
      <c r="B110" s="135">
        <v>44552</v>
      </c>
    </row>
    <row r="111" spans="2:34">
      <c r="B111" t="s">
        <v>210</v>
      </c>
      <c r="O111" s="182">
        <f t="shared" ref="O111" si="362">(O$88-$B110)/365</f>
        <v>9.3150684931506855E-2</v>
      </c>
      <c r="P111" s="182">
        <f t="shared" ref="P111" si="363">(P$88-$B110)/365</f>
        <v>0.5931506849315068</v>
      </c>
      <c r="Q111" s="182">
        <f t="shared" ref="Q111" si="364">(Q$88-$B110)/365</f>
        <v>1.0931506849315069</v>
      </c>
      <c r="R111" s="182">
        <f t="shared" ref="R111" si="365">(R$88-$B110)/365</f>
        <v>1.5931506849315069</v>
      </c>
      <c r="S111" s="182">
        <f t="shared" ref="S111" si="366">(S$88-$B110)/365</f>
        <v>2.0931506849315067</v>
      </c>
      <c r="T111" s="182">
        <f t="shared" ref="T111" si="367">(T$88-$B110)/365</f>
        <v>2.5931506849315067</v>
      </c>
      <c r="U111" s="182">
        <f t="shared" ref="U111" si="368">(U$88-$B110)/365</f>
        <v>3.0931506849315067</v>
      </c>
      <c r="V111" s="182">
        <f t="shared" ref="V111" si="369">(V$88-$B110)/365</f>
        <v>3.5931506849315067</v>
      </c>
      <c r="W111" s="182">
        <f t="shared" ref="W111" si="370">(W$88-$B110)/365</f>
        <v>4.0931506849315067</v>
      </c>
      <c r="X111" s="182">
        <f t="shared" ref="X111" si="371">(X$88-$B110)/365</f>
        <v>4.5931506849315067</v>
      </c>
      <c r="Y111" s="182">
        <f t="shared" ref="Y111" si="372">(Y$88-$B110)/365</f>
        <v>5.0931506849315067</v>
      </c>
      <c r="Z111" s="182">
        <f t="shared" ref="Z111" si="373">(Z$88-$B110)/365</f>
        <v>5.5931506849315067</v>
      </c>
      <c r="AA111" s="182">
        <f t="shared" ref="AA111" si="374">(AA$88-$B110)/365</f>
        <v>6.0931506849315067</v>
      </c>
      <c r="AB111" s="182">
        <f t="shared" ref="AB111" si="375">(AB$88-$B110)/365</f>
        <v>6.5931506849315067</v>
      </c>
      <c r="AC111" s="182">
        <f t="shared" ref="AC111" si="376">(AC$88-$B110)/365</f>
        <v>7.0931506849315067</v>
      </c>
      <c r="AD111" s="182">
        <f t="shared" ref="AD111" si="377">(AD$88-$B110)/365</f>
        <v>7.5931506849315067</v>
      </c>
      <c r="AE111" s="182">
        <f t="shared" ref="AE111" si="378">(AE$88-$B110)/365</f>
        <v>8.0931506849315067</v>
      </c>
      <c r="AF111" s="182">
        <f t="shared" ref="AF111" si="379">(AF$88-$B110)/365</f>
        <v>8.5931506849315067</v>
      </c>
      <c r="AG111" s="182">
        <f t="shared" ref="AG111" si="380">(AG$88-$B110)/365</f>
        <v>9.0931506849315067</v>
      </c>
      <c r="AH111" s="182">
        <f t="shared" ref="AH111" si="381">(AH$88-$B110)/365</f>
        <v>9.4876712328767123</v>
      </c>
    </row>
    <row r="112" spans="2:34">
      <c r="B112" t="s">
        <v>211</v>
      </c>
      <c r="O112" s="183">
        <f>1+((INDEX('Yield Curve'!$B$48:$P$91,MATCH(ROUND(O111,0),'Yield Curve'!$B$48:$B$91,0),MATCH(YEAR($B110)+1,'Yield Curve'!$B$48:$P$48,0)))/100)</f>
        <v>1.0212000000000001</v>
      </c>
      <c r="P112" s="183">
        <f>1+((INDEX('Yield Curve'!$B$48:$P$91,MATCH(ROUND(P111,0),'Yield Curve'!$B$48:$B$91,0),MATCH(YEAR($B110)+1,'Yield Curve'!$B$48:$P$48,0)))/100)</f>
        <v>1.0212000000000001</v>
      </c>
      <c r="Q112" s="183">
        <f>1+((INDEX('Yield Curve'!$B$48:$P$91,MATCH(ROUND(Q111,0),'Yield Curve'!$B$48:$B$91,0),MATCH(YEAR($B110)+1,'Yield Curve'!$B$48:$P$48,0)))/100)</f>
        <v>1.0212000000000001</v>
      </c>
      <c r="R112" s="183">
        <f>1+((INDEX('Yield Curve'!$B$48:$P$91,MATCH(ROUND(R111,0),'Yield Curve'!$B$48:$B$91,0),MATCH(YEAR($B110)+1,'Yield Curve'!$B$48:$P$48,0)))/100)</f>
        <v>1.0212000000000001</v>
      </c>
      <c r="S112" s="183">
        <f>1+((INDEX('Yield Curve'!$B$48:$P$91,MATCH(ROUND(S111,0),'Yield Curve'!$B$48:$B$91,0),MATCH(YEAR($B110)+1,'Yield Curve'!$B$48:$P$48,0)))/100)</f>
        <v>1.0212000000000001</v>
      </c>
      <c r="T112" s="183">
        <f>1+((INDEX('Yield Curve'!$B$48:$P$91,MATCH(ROUND(T111,0),'Yield Curve'!$B$48:$B$91,0),MATCH(YEAR($B110)+1,'Yield Curve'!$B$48:$P$48,0)))/100)</f>
        <v>1.0212000000000001</v>
      </c>
      <c r="U112" s="183">
        <f>1+((INDEX('Yield Curve'!$B$48:$P$91,MATCH(ROUND(U111,0),'Yield Curve'!$B$48:$B$91,0),MATCH(YEAR($B110)+1,'Yield Curve'!$B$48:$P$48,0)))/100)</f>
        <v>1.0212000000000001</v>
      </c>
      <c r="V112" s="183">
        <f>1+((INDEX('Yield Curve'!$B$48:$P$91,MATCH(ROUND(V111,0),'Yield Curve'!$B$48:$B$91,0),MATCH(YEAR($B110)+1,'Yield Curve'!$B$48:$P$48,0)))/100)</f>
        <v>1.0245</v>
      </c>
      <c r="W112" s="183">
        <f>1+((INDEX('Yield Curve'!$B$48:$P$91,MATCH(ROUND(W111,0),'Yield Curve'!$B$48:$B$91,0),MATCH(YEAR($B110)+1,'Yield Curve'!$B$48:$P$48,0)))/100)</f>
        <v>1.0245</v>
      </c>
      <c r="X112" s="183">
        <f>1+((INDEX('Yield Curve'!$B$48:$P$91,MATCH(ROUND(X111,0),'Yield Curve'!$B$48:$B$91,0),MATCH(YEAR($B110)+1,'Yield Curve'!$B$48:$P$48,0)))/100)</f>
        <v>1.0278</v>
      </c>
      <c r="Y112" s="183">
        <f>1+((INDEX('Yield Curve'!$B$48:$P$91,MATCH(ROUND(Y111,0),'Yield Curve'!$B$48:$B$91,0),MATCH(YEAR($B110)+1,'Yield Curve'!$B$48:$P$48,0)))/100)</f>
        <v>1.0278</v>
      </c>
      <c r="Z112" s="183">
        <f>1+((INDEX('Yield Curve'!$B$48:$P$91,MATCH(ROUND(Z111,0),'Yield Curve'!$B$48:$B$91,0),MATCH(YEAR($B110)+1,'Yield Curve'!$B$48:$P$48,0)))/100)</f>
        <v>1.030375</v>
      </c>
      <c r="AA112" s="183">
        <f>1+((INDEX('Yield Curve'!$B$48:$P$91,MATCH(ROUND(AA111,0),'Yield Curve'!$B$48:$B$91,0),MATCH(YEAR($B110)+1,'Yield Curve'!$B$48:$P$48,0)))/100)</f>
        <v>1.030375</v>
      </c>
      <c r="AB112" s="183">
        <f>1+((INDEX('Yield Curve'!$B$48:$P$91,MATCH(ROUND(AB111,0),'Yield Curve'!$B$48:$B$91,0),MATCH(YEAR($B110)+1,'Yield Curve'!$B$48:$P$48,0)))/100)</f>
        <v>1.03295</v>
      </c>
      <c r="AC112" s="183">
        <f>1+((INDEX('Yield Curve'!$B$48:$P$91,MATCH(ROUND(AC111,0),'Yield Curve'!$B$48:$B$91,0),MATCH(YEAR($B110)+1,'Yield Curve'!$B$48:$P$48,0)))/100)</f>
        <v>1.03295</v>
      </c>
      <c r="AD112" s="183">
        <f>1+((INDEX('Yield Curve'!$B$48:$P$91,MATCH(ROUND(AD111,0),'Yield Curve'!$B$48:$B$91,0),MATCH(YEAR($B110)+1,'Yield Curve'!$B$48:$P$48,0)))/100)</f>
        <v>1.0341499999999999</v>
      </c>
      <c r="AE112" s="183">
        <f>1+((INDEX('Yield Curve'!$B$48:$P$91,MATCH(ROUND(AE111,0),'Yield Curve'!$B$48:$B$91,0),MATCH(YEAR($B110)+1,'Yield Curve'!$B$48:$P$48,0)))/100)</f>
        <v>1.0341499999999999</v>
      </c>
      <c r="AF112" s="183">
        <f>1+((INDEX('Yield Curve'!$B$48:$P$91,MATCH(ROUND(AF111,0),'Yield Curve'!$B$48:$B$91,0),MATCH(YEAR($B110)+1,'Yield Curve'!$B$48:$P$48,0)))/100)</f>
        <v>1.0365500000000001</v>
      </c>
      <c r="AG112" s="183">
        <f>1+((INDEX('Yield Curve'!$B$48:$P$91,MATCH(ROUND(AG111,0),'Yield Curve'!$B$48:$B$91,0),MATCH(YEAR($B110)+1,'Yield Curve'!$B$48:$P$48,0)))/100)</f>
        <v>1.0365500000000001</v>
      </c>
      <c r="AH112" s="183">
        <f>1+((INDEX('Yield Curve'!$B$48:$P$91,MATCH(ROUND(AH111,0),'Yield Curve'!$B$48:$B$91,0),MATCH(YEAR($B110)+1,'Yield Curve'!$B$48:$P$48,0)))/100)</f>
        <v>1.0365500000000001</v>
      </c>
    </row>
    <row r="113" spans="2:42">
      <c r="B113" t="s">
        <v>212</v>
      </c>
      <c r="C113" s="182">
        <f>SUM(D113:AH113)</f>
        <v>329.35230185072157</v>
      </c>
      <c r="O113" s="182">
        <f t="shared" ref="O113" si="382">O$89/(O112^O111)</f>
        <v>5.5391096496549448</v>
      </c>
      <c r="P113" s="182">
        <f t="shared" ref="P113" si="383">P$89/(P112^P111)</f>
        <v>5.4813124562059299</v>
      </c>
      <c r="Q113" s="182">
        <f t="shared" ref="Q113" si="384">Q$89/(Q112^Q111)</f>
        <v>5.4241183408293621</v>
      </c>
      <c r="R113" s="182">
        <f t="shared" ref="R113" si="385">R$89/(R112^R111)</f>
        <v>5.3675210107774483</v>
      </c>
      <c r="S113" s="182">
        <f t="shared" ref="S113" si="386">S$89/(S112^S111)</f>
        <v>5.3115142389633387</v>
      </c>
      <c r="T113" s="182">
        <f t="shared" ref="T113" si="387">T$89/(T112^T111)</f>
        <v>5.2560918632759961</v>
      </c>
      <c r="U113" s="182">
        <f t="shared" ref="U113" si="388">U$89/(U112^U111)</f>
        <v>5.2012477859022104</v>
      </c>
      <c r="V113" s="182">
        <f t="shared" ref="V113" si="389">V$89/(V112^V111)</f>
        <v>5.0876540679607372</v>
      </c>
      <c r="W113" s="182">
        <f t="shared" ref="W113" si="390">W$89/(W112^W111)</f>
        <v>5.0264526140359944</v>
      </c>
      <c r="X113" s="182">
        <f t="shared" ref="X113" si="391">X$89/(X112^X111)</f>
        <v>4.8931731567937344</v>
      </c>
      <c r="Y113" s="182">
        <f t="shared" ref="Y113" si="392">Y$89/(Y112^Y111)</f>
        <v>4.8265440915468902</v>
      </c>
      <c r="Z113" s="182">
        <f t="shared" ref="Z113" si="393">Z$89/(Z112^Z111)</f>
        <v>4.6946573215431746</v>
      </c>
      <c r="AA113" s="182">
        <f t="shared" ref="AA113" si="394">AA$89/(AA112^AA111)</f>
        <v>4.6249414675254101</v>
      </c>
      <c r="AB113" s="182">
        <f t="shared" ref="AB113" si="395">AB$89/(AB112^AB111)</f>
        <v>4.4818951651149037</v>
      </c>
      <c r="AC113" s="182">
        <f t="shared" ref="AC113" si="396">AC$89/(AC112^AC111)</f>
        <v>4.4098319924171712</v>
      </c>
      <c r="AD113" s="182">
        <f t="shared" ref="AD113" si="397">AD$89/(AD112^AD111)</f>
        <v>4.300843618330032</v>
      </c>
      <c r="AE113" s="182">
        <f t="shared" ref="AE113" si="398">AE$89/(AE112^AE111)</f>
        <v>4.2292356407105229</v>
      </c>
      <c r="AF113" s="182">
        <f t="shared" ref="AF113" si="399">AF$89/(AF112^AF111)</f>
        <v>4.0767982638720843</v>
      </c>
      <c r="AG113" s="182">
        <f t="shared" ref="AG113" si="400">AG$89/(AG112^AG111)</f>
        <v>4.0042768226996071</v>
      </c>
      <c r="AH113" s="182">
        <f t="shared" ref="AH113" si="401">AH$89/(AH112^AH111)</f>
        <v>237.11508228256204</v>
      </c>
    </row>
    <row r="115" spans="2:42">
      <c r="B115" s="5" t="str">
        <f>'Transgrid Bonds'!A54</f>
        <v>29880170114</v>
      </c>
    </row>
    <row r="116" spans="2:42">
      <c r="B116" t="s">
        <v>66</v>
      </c>
      <c r="D116" s="180">
        <f>VLOOKUP(B115,'Transgrid Bonds'!$A$49:$K$54,4,FALSE)</f>
        <v>42577</v>
      </c>
      <c r="E116" s="180">
        <f>VLOOKUP(B115,'Transgrid Bonds'!$A$49:$K$54,10,FALSE)</f>
        <v>42761</v>
      </c>
      <c r="F116" s="180">
        <f>IF(E116+VLOOKUP($B115,'Transgrid Bonds'!$A$49:$K$54,9,FALSE)*365 &lt; VLOOKUP($B115,'Transgrid Bonds'!$A$49:$K$54,5,FALSE), E116+VLOOKUP($B115,'Transgrid Bonds'!$A$49:$K$54,9,FALSE)*365, VLOOKUP($B115,'Transgrid Bonds'!$A$49:$K$54,5,FALSE))</f>
        <v>42943.5</v>
      </c>
      <c r="G116" s="180">
        <f>IF(F116+VLOOKUP($B115,'Transgrid Bonds'!$A$49:$K$54,9,FALSE)*365 &lt; VLOOKUP($B115,'Transgrid Bonds'!$A$49:$K$54,5,FALSE), F116+VLOOKUP($B115,'Transgrid Bonds'!$A$49:$K$54,9,FALSE)*365, VLOOKUP($B115,'Transgrid Bonds'!$A$49:$K$54,5,FALSE))</f>
        <v>43126</v>
      </c>
      <c r="H116" s="180">
        <f>IF(G116+VLOOKUP($B115,'Transgrid Bonds'!$A$49:$K$54,9,FALSE)*365 &lt; VLOOKUP($B115,'Transgrid Bonds'!$A$49:$K$54,5,FALSE), G116+VLOOKUP($B115,'Transgrid Bonds'!$A$49:$K$54,9,FALSE)*365, VLOOKUP($B115,'Transgrid Bonds'!$A$49:$K$54,5,FALSE))</f>
        <v>43308.5</v>
      </c>
      <c r="I116" s="180">
        <f>IF(H116+VLOOKUP($B115,'Transgrid Bonds'!$A$49:$K$54,9,FALSE)*365 &lt; VLOOKUP($B115,'Transgrid Bonds'!$A$49:$K$54,5,FALSE), H116+VLOOKUP($B115,'Transgrid Bonds'!$A$49:$K$54,9,FALSE)*365, VLOOKUP($B115,'Transgrid Bonds'!$A$49:$K$54,5,FALSE))</f>
        <v>43491</v>
      </c>
      <c r="J116" s="180">
        <f>IF(I116+VLOOKUP($B115,'Transgrid Bonds'!$A$49:$K$54,9,FALSE)*365 &lt; VLOOKUP($B115,'Transgrid Bonds'!$A$49:$K$54,5,FALSE), I116+VLOOKUP($B115,'Transgrid Bonds'!$A$49:$K$54,9,FALSE)*365, VLOOKUP($B115,'Transgrid Bonds'!$A$49:$K$54,5,FALSE))</f>
        <v>43673.5</v>
      </c>
      <c r="K116" s="180">
        <f>IF(J116+VLOOKUP($B115,'Transgrid Bonds'!$A$49:$K$54,9,FALSE)*365 &lt; VLOOKUP($B115,'Transgrid Bonds'!$A$49:$K$54,5,FALSE), J116+VLOOKUP($B115,'Transgrid Bonds'!$A$49:$K$54,9,FALSE)*365, VLOOKUP($B115,'Transgrid Bonds'!$A$49:$K$54,5,FALSE))</f>
        <v>43856</v>
      </c>
      <c r="L116" s="180">
        <f>IF(K116+VLOOKUP($B115,'Transgrid Bonds'!$A$49:$K$54,9,FALSE)*365 &lt; VLOOKUP($B115,'Transgrid Bonds'!$A$49:$K$54,5,FALSE), K116+VLOOKUP($B115,'Transgrid Bonds'!$A$49:$K$54,9,FALSE)*365, VLOOKUP($B115,'Transgrid Bonds'!$A$49:$K$54,5,FALSE))</f>
        <v>44038.5</v>
      </c>
      <c r="M116" s="180">
        <f>IF(L116+VLOOKUP($B115,'Transgrid Bonds'!$A$49:$K$54,9,FALSE)*365 &lt; VLOOKUP($B115,'Transgrid Bonds'!$A$49:$K$54,5,FALSE), L116+VLOOKUP($B115,'Transgrid Bonds'!$A$49:$K$54,9,FALSE)*365, VLOOKUP($B115,'Transgrid Bonds'!$A$49:$K$54,5,FALSE))</f>
        <v>44221</v>
      </c>
      <c r="N116" s="180">
        <f>IF(M116+VLOOKUP($B115,'Transgrid Bonds'!$A$49:$K$54,9,FALSE)*365 &lt; VLOOKUP($B115,'Transgrid Bonds'!$A$49:$K$54,5,FALSE), M116+VLOOKUP($B115,'Transgrid Bonds'!$A$49:$K$54,9,FALSE)*365, VLOOKUP($B115,'Transgrid Bonds'!$A$49:$K$54,5,FALSE))</f>
        <v>44403.5</v>
      </c>
      <c r="O116" s="180">
        <f>IF(N116+VLOOKUP($B115,'Transgrid Bonds'!$A$49:$K$54,9,FALSE)*365 &lt; VLOOKUP($B115,'Transgrid Bonds'!$A$49:$K$54,5,FALSE), N116+VLOOKUP($B115,'Transgrid Bonds'!$A$49:$K$54,9,FALSE)*365, VLOOKUP($B115,'Transgrid Bonds'!$A$49:$K$54,5,FALSE))</f>
        <v>44586</v>
      </c>
      <c r="P116" s="180">
        <f>IF(O116+VLOOKUP($B115,'Transgrid Bonds'!$A$49:$K$54,9,FALSE)*365 &lt; VLOOKUP($B115,'Transgrid Bonds'!$A$49:$K$54,5,FALSE), O116+VLOOKUP($B115,'Transgrid Bonds'!$A$49:$K$54,9,FALSE)*365, VLOOKUP($B115,'Transgrid Bonds'!$A$49:$K$54,5,FALSE))</f>
        <v>44768.5</v>
      </c>
      <c r="Q116" s="180">
        <f>IF(P116+VLOOKUP($B115,'Transgrid Bonds'!$A$49:$K$54,9,FALSE)*365 &lt; VLOOKUP($B115,'Transgrid Bonds'!$A$49:$K$54,5,FALSE), P116+VLOOKUP($B115,'Transgrid Bonds'!$A$49:$K$54,9,FALSE)*365, VLOOKUP($B115,'Transgrid Bonds'!$A$49:$K$54,5,FALSE))</f>
        <v>44951</v>
      </c>
      <c r="R116" s="180">
        <f>IF(Q116+VLOOKUP($B115,'Transgrid Bonds'!$A$49:$K$54,9,FALSE)*365 &lt; VLOOKUP($B115,'Transgrid Bonds'!$A$49:$K$54,5,FALSE), Q116+VLOOKUP($B115,'Transgrid Bonds'!$A$49:$K$54,9,FALSE)*365, VLOOKUP($B115,'Transgrid Bonds'!$A$49:$K$54,5,FALSE))</f>
        <v>45133.5</v>
      </c>
      <c r="S116" s="180">
        <f>IF(R116+VLOOKUP($B115,'Transgrid Bonds'!$A$49:$K$54,9,FALSE)*365 &lt; VLOOKUP($B115,'Transgrid Bonds'!$A$49:$K$54,5,FALSE), R116+VLOOKUP($B115,'Transgrid Bonds'!$A$49:$K$54,9,FALSE)*365, VLOOKUP($B115,'Transgrid Bonds'!$A$49:$K$54,5,FALSE))</f>
        <v>45316</v>
      </c>
      <c r="T116" s="180">
        <f>IF(S116+VLOOKUP($B115,'Transgrid Bonds'!$A$49:$K$54,9,FALSE)*365 &lt; VLOOKUP($B115,'Transgrid Bonds'!$A$49:$K$54,5,FALSE), S116+VLOOKUP($B115,'Transgrid Bonds'!$A$49:$K$54,9,FALSE)*365, VLOOKUP($B115,'Transgrid Bonds'!$A$49:$K$54,5,FALSE))</f>
        <v>45498.5</v>
      </c>
      <c r="U116" s="180">
        <f>IF(T116+VLOOKUP($B115,'Transgrid Bonds'!$A$49:$K$54,9,FALSE)*365 &lt; VLOOKUP($B115,'Transgrid Bonds'!$A$49:$K$54,5,FALSE), T116+VLOOKUP($B115,'Transgrid Bonds'!$A$49:$K$54,9,FALSE)*365, VLOOKUP($B115,'Transgrid Bonds'!$A$49:$K$54,5,FALSE))</f>
        <v>45681</v>
      </c>
      <c r="V116" s="180">
        <f>IF(U116+VLOOKUP($B115,'Transgrid Bonds'!$A$49:$K$54,9,FALSE)*365 &lt; VLOOKUP($B115,'Transgrid Bonds'!$A$49:$K$54,5,FALSE), U116+VLOOKUP($B115,'Transgrid Bonds'!$A$49:$K$54,9,FALSE)*365, VLOOKUP($B115,'Transgrid Bonds'!$A$49:$K$54,5,FALSE))</f>
        <v>45863.5</v>
      </c>
      <c r="W116" s="180">
        <f>IF(V116+VLOOKUP($B115,'Transgrid Bonds'!$A$49:$K$54,9,FALSE)*365 &lt; VLOOKUP($B115,'Transgrid Bonds'!$A$49:$K$54,5,FALSE), V116+VLOOKUP($B115,'Transgrid Bonds'!$A$49:$K$54,9,FALSE)*365, VLOOKUP($B115,'Transgrid Bonds'!$A$49:$K$54,5,FALSE))</f>
        <v>46046</v>
      </c>
      <c r="X116" s="180">
        <f>IF(W116+VLOOKUP($B115,'Transgrid Bonds'!$A$49:$K$54,9,FALSE)*365 &lt; VLOOKUP($B115,'Transgrid Bonds'!$A$49:$K$54,5,FALSE), W116+VLOOKUP($B115,'Transgrid Bonds'!$A$49:$K$54,9,FALSE)*365, VLOOKUP($B115,'Transgrid Bonds'!$A$49:$K$54,5,FALSE))</f>
        <v>46228.5</v>
      </c>
      <c r="Y116" s="180">
        <f>IF(X116+VLOOKUP($B115,'Transgrid Bonds'!$A$49:$K$54,9,FALSE)*365 &lt; VLOOKUP($B115,'Transgrid Bonds'!$A$49:$K$54,5,FALSE), X116+VLOOKUP($B115,'Transgrid Bonds'!$A$49:$K$54,9,FALSE)*365, VLOOKUP($B115,'Transgrid Bonds'!$A$49:$K$54,5,FALSE))</f>
        <v>46411</v>
      </c>
      <c r="Z116" s="180">
        <f>IF(Y116+VLOOKUP($B115,'Transgrid Bonds'!$A$49:$K$54,9,FALSE)*365 &lt; VLOOKUP($B115,'Transgrid Bonds'!$A$49:$K$54,5,FALSE), Y116+VLOOKUP($B115,'Transgrid Bonds'!$A$49:$K$54,9,FALSE)*365, VLOOKUP($B115,'Transgrid Bonds'!$A$49:$K$54,5,FALSE))</f>
        <v>46593.5</v>
      </c>
      <c r="AA116" s="180">
        <f>IF(Z116+VLOOKUP($B115,'Transgrid Bonds'!$A$49:$K$54,9,FALSE)*365 &lt; VLOOKUP($B115,'Transgrid Bonds'!$A$49:$K$54,5,FALSE), Z116+VLOOKUP($B115,'Transgrid Bonds'!$A$49:$K$54,9,FALSE)*365, VLOOKUP($B115,'Transgrid Bonds'!$A$49:$K$54,5,FALSE))</f>
        <v>46776</v>
      </c>
      <c r="AB116" s="180">
        <f>IF(AA116+VLOOKUP($B115,'Transgrid Bonds'!$A$49:$K$54,9,FALSE)*365 &lt; VLOOKUP($B115,'Transgrid Bonds'!$A$49:$K$54,5,FALSE), AA116+VLOOKUP($B115,'Transgrid Bonds'!$A$49:$K$54,9,FALSE)*365, VLOOKUP($B115,'Transgrid Bonds'!$A$49:$K$54,5,FALSE))</f>
        <v>46958.5</v>
      </c>
      <c r="AC116" s="180">
        <f>IF(AB116+VLOOKUP($B115,'Transgrid Bonds'!$A$49:$K$54,9,FALSE)*365 &lt; VLOOKUP($B115,'Transgrid Bonds'!$A$49:$K$54,5,FALSE), AB116+VLOOKUP($B115,'Transgrid Bonds'!$A$49:$K$54,9,FALSE)*365, VLOOKUP($B115,'Transgrid Bonds'!$A$49:$K$54,5,FALSE))</f>
        <v>47141</v>
      </c>
      <c r="AD116" s="180">
        <f>IF(AC116+VLOOKUP($B115,'Transgrid Bonds'!$A$49:$K$54,9,FALSE)*365 &lt; VLOOKUP($B115,'Transgrid Bonds'!$A$49:$K$54,5,FALSE), AC116+VLOOKUP($B115,'Transgrid Bonds'!$A$49:$K$54,9,FALSE)*365, VLOOKUP($B115,'Transgrid Bonds'!$A$49:$K$54,5,FALSE))</f>
        <v>47323.5</v>
      </c>
      <c r="AE116" s="180">
        <f>IF(AD116+VLOOKUP($B115,'Transgrid Bonds'!$A$49:$K$54,9,FALSE)*365 &lt; VLOOKUP($B115,'Transgrid Bonds'!$A$49:$K$54,5,FALSE), AD116+VLOOKUP($B115,'Transgrid Bonds'!$A$49:$K$54,9,FALSE)*365, VLOOKUP($B115,'Transgrid Bonds'!$A$49:$K$54,5,FALSE))</f>
        <v>47506</v>
      </c>
      <c r="AF116" s="180">
        <f>IF(AE116+VLOOKUP($B115,'Transgrid Bonds'!$A$49:$K$54,9,FALSE)*365 &lt; VLOOKUP($B115,'Transgrid Bonds'!$A$49:$K$54,5,FALSE), AE116+VLOOKUP($B115,'Transgrid Bonds'!$A$49:$K$54,9,FALSE)*365, VLOOKUP($B115,'Transgrid Bonds'!$A$49:$K$54,5,FALSE))</f>
        <v>47688.5</v>
      </c>
      <c r="AG116" s="180">
        <f>IF(AF116+VLOOKUP($B115,'Transgrid Bonds'!$A$49:$K$54,9,FALSE)*365 &lt; VLOOKUP($B115,'Transgrid Bonds'!$A$49:$K$54,5,FALSE), AF116+VLOOKUP($B115,'Transgrid Bonds'!$A$49:$K$54,9,FALSE)*365, VLOOKUP($B115,'Transgrid Bonds'!$A$49:$K$54,5,FALSE))</f>
        <v>47871</v>
      </c>
      <c r="AH116" s="180">
        <f>IF(AG116+VLOOKUP($B115,'Transgrid Bonds'!$A$49:$K$54,9,FALSE)*365 &lt; VLOOKUP($B115,'Transgrid Bonds'!$A$49:$K$54,5,FALSE), AG116+VLOOKUP($B115,'Transgrid Bonds'!$A$49:$K$54,9,FALSE)*365, VLOOKUP($B115,'Transgrid Bonds'!$A$49:$K$54,5,FALSE))</f>
        <v>48053.5</v>
      </c>
      <c r="AI116" s="180">
        <f>IF(AH116+VLOOKUP($B115,'Transgrid Bonds'!$A$49:$K$54,9,FALSE)*365 &lt; VLOOKUP($B115,'Transgrid Bonds'!$A$49:$K$54,5,FALSE), AH116+VLOOKUP($B115,'Transgrid Bonds'!$A$49:$K$54,9,FALSE)*365, VLOOKUP($B115,'Transgrid Bonds'!$A$49:$K$54,5,FALSE))</f>
        <v>48236</v>
      </c>
      <c r="AJ116" s="180">
        <f>IF(AI116+VLOOKUP($B115,'Transgrid Bonds'!$A$49:$K$54,9,FALSE)*365 &lt; VLOOKUP($B115,'Transgrid Bonds'!$A$49:$K$54,5,FALSE), AI116+VLOOKUP($B115,'Transgrid Bonds'!$A$49:$K$54,9,FALSE)*365, VLOOKUP($B115,'Transgrid Bonds'!$A$49:$K$54,5,FALSE))</f>
        <v>48418.5</v>
      </c>
      <c r="AK116" s="180">
        <f>IF(AJ116+VLOOKUP($B115,'Transgrid Bonds'!$A$49:$K$54,9,FALSE)*365 &lt; VLOOKUP($B115,'Transgrid Bonds'!$A$49:$K$54,5,FALSE), AJ116+VLOOKUP($B115,'Transgrid Bonds'!$A$49:$K$54,9,FALSE)*365, VLOOKUP($B115,'Transgrid Bonds'!$A$49:$K$54,5,FALSE))</f>
        <v>48601</v>
      </c>
      <c r="AL116" s="180">
        <f>IF(AK116+VLOOKUP($B115,'Transgrid Bonds'!$A$49:$K$54,9,FALSE)*365 &lt; VLOOKUP($B115,'Transgrid Bonds'!$A$49:$K$54,5,FALSE), AK116+VLOOKUP($B115,'Transgrid Bonds'!$A$49:$K$54,9,FALSE)*365, VLOOKUP($B115,'Transgrid Bonds'!$A$49:$K$54,5,FALSE))</f>
        <v>48783.5</v>
      </c>
      <c r="AM116" s="180">
        <f>IF(AL116+VLOOKUP($B115,'Transgrid Bonds'!$A$49:$K$54,9,FALSE)*365 &lt; VLOOKUP($B115,'Transgrid Bonds'!$A$49:$K$54,5,FALSE), AL116+VLOOKUP($B115,'Transgrid Bonds'!$A$49:$K$54,9,FALSE)*365, VLOOKUP($B115,'Transgrid Bonds'!$A$49:$K$54,5,FALSE))</f>
        <v>48838</v>
      </c>
      <c r="AN116" s="27"/>
      <c r="AO116" s="27"/>
      <c r="AP116" s="27"/>
    </row>
    <row r="117" spans="2:42">
      <c r="B117" t="s">
        <v>209</v>
      </c>
      <c r="E117" s="182">
        <f>IF(E116&lt;VLOOKUP($B115,'Transgrid Bonds'!$A$49:$K$54,5,FALSE),(VLOOKUP($B115,'Transgrid Bonds'!$A$49:$K$54,8,FALSE)/100)*(VLOOKUP($B115,'Transgrid Bonds'!$A$49:$K$54,9,FALSE))*(VLOOKUP($B115,'Transgrid Bonds'!$A$49:$K$54,6,FALSE)),(VLOOKUP($B115,'Transgrid Bonds'!$A$49:$K$54,6,FALSE)))</f>
        <v>1.6312499999999999</v>
      </c>
      <c r="F117" s="182">
        <f>IF(F116&lt;VLOOKUP($B115,'Transgrid Bonds'!$A$49:$K$54,5,FALSE),(VLOOKUP($B115,'Transgrid Bonds'!$A$49:$K$54,8,FALSE)/100)*(VLOOKUP($B115,'Transgrid Bonds'!$A$49:$K$54,9,FALSE))*(VLOOKUP($B115,'Transgrid Bonds'!$A$49:$K$54,6,FALSE)),(VLOOKUP($B115,'Transgrid Bonds'!$A$49:$K$54,6,FALSE)))</f>
        <v>1.6312499999999999</v>
      </c>
      <c r="G117" s="182">
        <f>IF(G116&lt;VLOOKUP($B115,'Transgrid Bonds'!$A$49:$K$54,5,FALSE),(VLOOKUP($B115,'Transgrid Bonds'!$A$49:$K$54,8,FALSE)/100)*(VLOOKUP($B115,'Transgrid Bonds'!$A$49:$K$54,9,FALSE))*(VLOOKUP($B115,'Transgrid Bonds'!$A$49:$K$54,6,FALSE)),(VLOOKUP($B115,'Transgrid Bonds'!$A$49:$K$54,6,FALSE)))</f>
        <v>1.6312499999999999</v>
      </c>
      <c r="H117" s="182">
        <f>IF(H116&lt;VLOOKUP($B115,'Transgrid Bonds'!$A$49:$K$54,5,FALSE),(VLOOKUP($B115,'Transgrid Bonds'!$A$49:$K$54,8,FALSE)/100)*(VLOOKUP($B115,'Transgrid Bonds'!$A$49:$K$54,9,FALSE))*(VLOOKUP($B115,'Transgrid Bonds'!$A$49:$K$54,6,FALSE)),(VLOOKUP($B115,'Transgrid Bonds'!$A$49:$K$54,6,FALSE)))</f>
        <v>1.6312499999999999</v>
      </c>
      <c r="I117" s="182">
        <f>IF(I116&lt;VLOOKUP($B115,'Transgrid Bonds'!$A$49:$K$54,5,FALSE),(VLOOKUP($B115,'Transgrid Bonds'!$A$49:$K$54,8,FALSE)/100)*(VLOOKUP($B115,'Transgrid Bonds'!$A$49:$K$54,9,FALSE))*(VLOOKUP($B115,'Transgrid Bonds'!$A$49:$K$54,6,FALSE)),(VLOOKUP($B115,'Transgrid Bonds'!$A$49:$K$54,6,FALSE)))</f>
        <v>1.6312499999999999</v>
      </c>
      <c r="J117" s="182">
        <f>IF(J116&lt;VLOOKUP($B115,'Transgrid Bonds'!$A$49:$K$54,5,FALSE),(VLOOKUP($B115,'Transgrid Bonds'!$A$49:$K$54,8,FALSE)/100)*(VLOOKUP($B115,'Transgrid Bonds'!$A$49:$K$54,9,FALSE))*(VLOOKUP($B115,'Transgrid Bonds'!$A$49:$K$54,6,FALSE)),(VLOOKUP($B115,'Transgrid Bonds'!$A$49:$K$54,6,FALSE)))</f>
        <v>1.6312499999999999</v>
      </c>
      <c r="K117" s="182">
        <f>IF(K116&lt;VLOOKUP($B115,'Transgrid Bonds'!$A$49:$K$54,5,FALSE),(VLOOKUP($B115,'Transgrid Bonds'!$A$49:$K$54,8,FALSE)/100)*(VLOOKUP($B115,'Transgrid Bonds'!$A$49:$K$54,9,FALSE))*(VLOOKUP($B115,'Transgrid Bonds'!$A$49:$K$54,6,FALSE)),(VLOOKUP($B115,'Transgrid Bonds'!$A$49:$K$54,6,FALSE)))</f>
        <v>1.6312499999999999</v>
      </c>
      <c r="L117" s="182">
        <f>IF(L116&lt;VLOOKUP($B115,'Transgrid Bonds'!$A$49:$K$54,5,FALSE),(VLOOKUP($B115,'Transgrid Bonds'!$A$49:$K$54,8,FALSE)/100)*(VLOOKUP($B115,'Transgrid Bonds'!$A$49:$K$54,9,FALSE))*(VLOOKUP($B115,'Transgrid Bonds'!$A$49:$K$54,6,FALSE)),(VLOOKUP($B115,'Transgrid Bonds'!$A$49:$K$54,6,FALSE)))</f>
        <v>1.6312499999999999</v>
      </c>
      <c r="M117" s="182">
        <f>IF(M116&lt;VLOOKUP($B115,'Transgrid Bonds'!$A$49:$K$54,5,FALSE),(VLOOKUP($B115,'Transgrid Bonds'!$A$49:$K$54,8,FALSE)/100)*(VLOOKUP($B115,'Transgrid Bonds'!$A$49:$K$54,9,FALSE))*(VLOOKUP($B115,'Transgrid Bonds'!$A$49:$K$54,6,FALSE)),(VLOOKUP($B115,'Transgrid Bonds'!$A$49:$K$54,6,FALSE)))</f>
        <v>1.6312499999999999</v>
      </c>
      <c r="N117" s="182">
        <f>IF(N116&lt;VLOOKUP($B115,'Transgrid Bonds'!$A$49:$K$54,5,FALSE),(VLOOKUP($B115,'Transgrid Bonds'!$A$49:$K$54,8,FALSE)/100)*(VLOOKUP($B115,'Transgrid Bonds'!$A$49:$K$54,9,FALSE))*(VLOOKUP($B115,'Transgrid Bonds'!$A$49:$K$54,6,FALSE)),(VLOOKUP($B115,'Transgrid Bonds'!$A$49:$K$54,6,FALSE)))</f>
        <v>1.6312499999999999</v>
      </c>
      <c r="O117" s="182">
        <f>IF(O116&lt;VLOOKUP($B115,'Transgrid Bonds'!$A$49:$K$54,5,FALSE),(VLOOKUP($B115,'Transgrid Bonds'!$A$49:$K$54,8,FALSE)/100)*(VLOOKUP($B115,'Transgrid Bonds'!$A$49:$K$54,9,FALSE))*(VLOOKUP($B115,'Transgrid Bonds'!$A$49:$K$54,6,FALSE)),(VLOOKUP($B115,'Transgrid Bonds'!$A$49:$K$54,6,FALSE)))</f>
        <v>1.6312499999999999</v>
      </c>
      <c r="P117" s="182">
        <f>IF(P116&lt;VLOOKUP($B115,'Transgrid Bonds'!$A$49:$K$54,5,FALSE),(VLOOKUP($B115,'Transgrid Bonds'!$A$49:$K$54,8,FALSE)/100)*(VLOOKUP($B115,'Transgrid Bonds'!$A$49:$K$54,9,FALSE))*(VLOOKUP($B115,'Transgrid Bonds'!$A$49:$K$54,6,FALSE)),(VLOOKUP($B115,'Transgrid Bonds'!$A$49:$K$54,6,FALSE)))</f>
        <v>1.6312499999999999</v>
      </c>
      <c r="Q117" s="182">
        <f>IF(Q116&lt;VLOOKUP($B115,'Transgrid Bonds'!$A$49:$K$54,5,FALSE),(VLOOKUP($B115,'Transgrid Bonds'!$A$49:$K$54,8,FALSE)/100)*(VLOOKUP($B115,'Transgrid Bonds'!$A$49:$K$54,9,FALSE))*(VLOOKUP($B115,'Transgrid Bonds'!$A$49:$K$54,6,FALSE)),(VLOOKUP($B115,'Transgrid Bonds'!$A$49:$K$54,6,FALSE)))</f>
        <v>1.6312499999999999</v>
      </c>
      <c r="R117" s="182">
        <f>IF(R116&lt;VLOOKUP($B115,'Transgrid Bonds'!$A$49:$K$54,5,FALSE),(VLOOKUP($B115,'Transgrid Bonds'!$A$49:$K$54,8,FALSE)/100)*(VLOOKUP($B115,'Transgrid Bonds'!$A$49:$K$54,9,FALSE))*(VLOOKUP($B115,'Transgrid Bonds'!$A$49:$K$54,6,FALSE)),(VLOOKUP($B115,'Transgrid Bonds'!$A$49:$K$54,6,FALSE)))</f>
        <v>1.6312499999999999</v>
      </c>
      <c r="S117" s="182">
        <f>IF(S116&lt;VLOOKUP($B115,'Transgrid Bonds'!$A$49:$K$54,5,FALSE),(VLOOKUP($B115,'Transgrid Bonds'!$A$49:$K$54,8,FALSE)/100)*(VLOOKUP($B115,'Transgrid Bonds'!$A$49:$K$54,9,FALSE))*(VLOOKUP($B115,'Transgrid Bonds'!$A$49:$K$54,6,FALSE)),(VLOOKUP($B115,'Transgrid Bonds'!$A$49:$K$54,6,FALSE)))</f>
        <v>1.6312499999999999</v>
      </c>
      <c r="T117" s="182">
        <f>IF(T116&lt;VLOOKUP($B115,'Transgrid Bonds'!$A$49:$K$54,5,FALSE),(VLOOKUP($B115,'Transgrid Bonds'!$A$49:$K$54,8,FALSE)/100)*(VLOOKUP($B115,'Transgrid Bonds'!$A$49:$K$54,9,FALSE))*(VLOOKUP($B115,'Transgrid Bonds'!$A$49:$K$54,6,FALSE)),(VLOOKUP($B115,'Transgrid Bonds'!$A$49:$K$54,6,FALSE)))</f>
        <v>1.6312499999999999</v>
      </c>
      <c r="U117" s="182">
        <f>IF(U116&lt;VLOOKUP($B115,'Transgrid Bonds'!$A$49:$K$54,5,FALSE),(VLOOKUP($B115,'Transgrid Bonds'!$A$49:$K$54,8,FALSE)/100)*(VLOOKUP($B115,'Transgrid Bonds'!$A$49:$K$54,9,FALSE))*(VLOOKUP($B115,'Transgrid Bonds'!$A$49:$K$54,6,FALSE)),(VLOOKUP($B115,'Transgrid Bonds'!$A$49:$K$54,6,FALSE)))</f>
        <v>1.6312499999999999</v>
      </c>
      <c r="V117" s="182">
        <f>IF(V116&lt;VLOOKUP($B115,'Transgrid Bonds'!$A$49:$K$54,5,FALSE),(VLOOKUP($B115,'Transgrid Bonds'!$A$49:$K$54,8,FALSE)/100)*(VLOOKUP($B115,'Transgrid Bonds'!$A$49:$K$54,9,FALSE))*(VLOOKUP($B115,'Transgrid Bonds'!$A$49:$K$54,6,FALSE)),(VLOOKUP($B115,'Transgrid Bonds'!$A$49:$K$54,6,FALSE)))</f>
        <v>1.6312499999999999</v>
      </c>
      <c r="W117" s="182">
        <f>IF(W116&lt;VLOOKUP($B115,'Transgrid Bonds'!$A$49:$K$54,5,FALSE),(VLOOKUP($B115,'Transgrid Bonds'!$A$49:$K$54,8,FALSE)/100)*(VLOOKUP($B115,'Transgrid Bonds'!$A$49:$K$54,9,FALSE))*(VLOOKUP($B115,'Transgrid Bonds'!$A$49:$K$54,6,FALSE)),(VLOOKUP($B115,'Transgrid Bonds'!$A$49:$K$54,6,FALSE)))</f>
        <v>1.6312499999999999</v>
      </c>
      <c r="X117" s="182">
        <f>IF(X116&lt;VLOOKUP($B115,'Transgrid Bonds'!$A$49:$K$54,5,FALSE),(VLOOKUP($B115,'Transgrid Bonds'!$A$49:$K$54,8,FALSE)/100)*(VLOOKUP($B115,'Transgrid Bonds'!$A$49:$K$54,9,FALSE))*(VLOOKUP($B115,'Transgrid Bonds'!$A$49:$K$54,6,FALSE)),(VLOOKUP($B115,'Transgrid Bonds'!$A$49:$K$54,6,FALSE)))</f>
        <v>1.6312499999999999</v>
      </c>
      <c r="Y117" s="182">
        <f>IF(Y116&lt;VLOOKUP($B115,'Transgrid Bonds'!$A$49:$K$54,5,FALSE),(VLOOKUP($B115,'Transgrid Bonds'!$A$49:$K$54,8,FALSE)/100)*(VLOOKUP($B115,'Transgrid Bonds'!$A$49:$K$54,9,FALSE))*(VLOOKUP($B115,'Transgrid Bonds'!$A$49:$K$54,6,FALSE)),(VLOOKUP($B115,'Transgrid Bonds'!$A$49:$K$54,6,FALSE)))</f>
        <v>1.6312499999999999</v>
      </c>
      <c r="Z117" s="182">
        <f>IF(Z116&lt;VLOOKUP($B115,'Transgrid Bonds'!$A$49:$K$54,5,FALSE),(VLOOKUP($B115,'Transgrid Bonds'!$A$49:$K$54,8,FALSE)/100)*(VLOOKUP($B115,'Transgrid Bonds'!$A$49:$K$54,9,FALSE))*(VLOOKUP($B115,'Transgrid Bonds'!$A$49:$K$54,6,FALSE)),(VLOOKUP($B115,'Transgrid Bonds'!$A$49:$K$54,6,FALSE)))</f>
        <v>1.6312499999999999</v>
      </c>
      <c r="AA117" s="182">
        <f>IF(AA116&lt;VLOOKUP($B115,'Transgrid Bonds'!$A$49:$K$54,5,FALSE),(VLOOKUP($B115,'Transgrid Bonds'!$A$49:$K$54,8,FALSE)/100)*(VLOOKUP($B115,'Transgrid Bonds'!$A$49:$K$54,9,FALSE))*(VLOOKUP($B115,'Transgrid Bonds'!$A$49:$K$54,6,FALSE)),(VLOOKUP($B115,'Transgrid Bonds'!$A$49:$K$54,6,FALSE)))</f>
        <v>1.6312499999999999</v>
      </c>
      <c r="AB117" s="182">
        <f>IF(AB116&lt;VLOOKUP($B115,'Transgrid Bonds'!$A$49:$K$54,5,FALSE),(VLOOKUP($B115,'Transgrid Bonds'!$A$49:$K$54,8,FALSE)/100)*(VLOOKUP($B115,'Transgrid Bonds'!$A$49:$K$54,9,FALSE))*(VLOOKUP($B115,'Transgrid Bonds'!$A$49:$K$54,6,FALSE)),(VLOOKUP($B115,'Transgrid Bonds'!$A$49:$K$54,6,FALSE)))</f>
        <v>1.6312499999999999</v>
      </c>
      <c r="AC117" s="182">
        <f>IF(AC116&lt;VLOOKUP($B115,'Transgrid Bonds'!$A$49:$K$54,5,FALSE),(VLOOKUP($B115,'Transgrid Bonds'!$A$49:$K$54,8,FALSE)/100)*(VLOOKUP($B115,'Transgrid Bonds'!$A$49:$K$54,9,FALSE))*(VLOOKUP($B115,'Transgrid Bonds'!$A$49:$K$54,6,FALSE)),(VLOOKUP($B115,'Transgrid Bonds'!$A$49:$K$54,6,FALSE)))</f>
        <v>1.6312499999999999</v>
      </c>
      <c r="AD117" s="182">
        <f>IF(AD116&lt;VLOOKUP($B115,'Transgrid Bonds'!$A$49:$K$54,5,FALSE),(VLOOKUP($B115,'Transgrid Bonds'!$A$49:$K$54,8,FALSE)/100)*(VLOOKUP($B115,'Transgrid Bonds'!$A$49:$K$54,9,FALSE))*(VLOOKUP($B115,'Transgrid Bonds'!$A$49:$K$54,6,FALSE)),(VLOOKUP($B115,'Transgrid Bonds'!$A$49:$K$54,6,FALSE)))</f>
        <v>1.6312499999999999</v>
      </c>
      <c r="AE117" s="182">
        <f>IF(AE116&lt;VLOOKUP($B115,'Transgrid Bonds'!$A$49:$K$54,5,FALSE),(VLOOKUP($B115,'Transgrid Bonds'!$A$49:$K$54,8,FALSE)/100)*(VLOOKUP($B115,'Transgrid Bonds'!$A$49:$K$54,9,FALSE))*(VLOOKUP($B115,'Transgrid Bonds'!$A$49:$K$54,6,FALSE)),(VLOOKUP($B115,'Transgrid Bonds'!$A$49:$K$54,6,FALSE)))</f>
        <v>1.6312499999999999</v>
      </c>
      <c r="AF117" s="182">
        <f>IF(AF116&lt;VLOOKUP($B115,'Transgrid Bonds'!$A$49:$K$54,5,FALSE),(VLOOKUP($B115,'Transgrid Bonds'!$A$49:$K$54,8,FALSE)/100)*(VLOOKUP($B115,'Transgrid Bonds'!$A$49:$K$54,9,FALSE))*(VLOOKUP($B115,'Transgrid Bonds'!$A$49:$K$54,6,FALSE)),(VLOOKUP($B115,'Transgrid Bonds'!$A$49:$K$54,6,FALSE)))</f>
        <v>1.6312499999999999</v>
      </c>
      <c r="AG117" s="182">
        <f>IF(AG116&lt;VLOOKUP($B115,'Transgrid Bonds'!$A$49:$K$54,5,FALSE),(VLOOKUP($B115,'Transgrid Bonds'!$A$49:$K$54,8,FALSE)/100)*(VLOOKUP($B115,'Transgrid Bonds'!$A$49:$K$54,9,FALSE))*(VLOOKUP($B115,'Transgrid Bonds'!$A$49:$K$54,6,FALSE)),(VLOOKUP($B115,'Transgrid Bonds'!$A$49:$K$54,6,FALSE)))</f>
        <v>1.6312499999999999</v>
      </c>
      <c r="AH117" s="182">
        <f>IF(AH116&lt;VLOOKUP($B115,'Transgrid Bonds'!$A$49:$K$54,5,FALSE),(VLOOKUP($B115,'Transgrid Bonds'!$A$49:$K$54,8,FALSE)/100)*(VLOOKUP($B115,'Transgrid Bonds'!$A$49:$K$54,9,FALSE))*(VLOOKUP($B115,'Transgrid Bonds'!$A$49:$K$54,6,FALSE)),(VLOOKUP($B115,'Transgrid Bonds'!$A$49:$K$54,6,FALSE)))</f>
        <v>1.6312499999999999</v>
      </c>
      <c r="AI117" s="182">
        <f>IF(AI116&lt;VLOOKUP($B115,'Transgrid Bonds'!$A$49:$K$54,5,FALSE),(VLOOKUP($B115,'Transgrid Bonds'!$A$49:$K$54,8,FALSE)/100)*(VLOOKUP($B115,'Transgrid Bonds'!$A$49:$K$54,9,FALSE))*(VLOOKUP($B115,'Transgrid Bonds'!$A$49:$K$54,6,FALSE)),(VLOOKUP($B115,'Transgrid Bonds'!$A$49:$K$54,6,FALSE)))</f>
        <v>1.6312499999999999</v>
      </c>
      <c r="AJ117" s="182">
        <f>IF(AJ116&lt;VLOOKUP($B115,'Transgrid Bonds'!$A$49:$K$54,5,FALSE),(VLOOKUP($B115,'Transgrid Bonds'!$A$49:$K$54,8,FALSE)/100)*(VLOOKUP($B115,'Transgrid Bonds'!$A$49:$K$54,9,FALSE))*(VLOOKUP($B115,'Transgrid Bonds'!$A$49:$K$54,6,FALSE)),(VLOOKUP($B115,'Transgrid Bonds'!$A$49:$K$54,6,FALSE)))</f>
        <v>1.6312499999999999</v>
      </c>
      <c r="AK117" s="182">
        <f>IF(AK116&lt;VLOOKUP($B115,'Transgrid Bonds'!$A$49:$K$54,5,FALSE),(VLOOKUP($B115,'Transgrid Bonds'!$A$49:$K$54,8,FALSE)/100)*(VLOOKUP($B115,'Transgrid Bonds'!$A$49:$K$54,9,FALSE))*(VLOOKUP($B115,'Transgrid Bonds'!$A$49:$K$54,6,FALSE)),(VLOOKUP($B115,'Transgrid Bonds'!$A$49:$K$54,6,FALSE)))</f>
        <v>1.6312499999999999</v>
      </c>
      <c r="AL117" s="182">
        <f>IF(AL116&lt;VLOOKUP($B115,'Transgrid Bonds'!$A$49:$K$54,5,FALSE),(VLOOKUP($B115,'Transgrid Bonds'!$A$49:$K$54,8,FALSE)/100)*(VLOOKUP($B115,'Transgrid Bonds'!$A$49:$K$54,9,FALSE))*(VLOOKUP($B115,'Transgrid Bonds'!$A$49:$K$54,6,FALSE)),(VLOOKUP($B115,'Transgrid Bonds'!$A$49:$K$54,6,FALSE)))</f>
        <v>1.6312499999999999</v>
      </c>
      <c r="AM117" s="182">
        <f>IF(AM116&lt;VLOOKUP($B115,'Transgrid Bonds'!$A$49:$K$54,5,FALSE),(VLOOKUP($B115,'Transgrid Bonds'!$A$49:$K$54,8,FALSE)/100)*(VLOOKUP($B115,'Transgrid Bonds'!$A$49:$K$54,9,FALSE))*(VLOOKUP($B115,'Transgrid Bonds'!$A$49:$K$54,6,FALSE)),(VLOOKUP($B115,'Transgrid Bonds'!$A$49:$K$54,6,FALSE)))</f>
        <v>75</v>
      </c>
    </row>
    <row r="118" spans="2:42">
      <c r="B118" s="135">
        <v>42916</v>
      </c>
    </row>
    <row r="119" spans="2:42">
      <c r="B119" t="s">
        <v>210</v>
      </c>
      <c r="F119" s="182">
        <f>(F$116-$B118)/365</f>
        <v>7.5342465753424653E-2</v>
      </c>
      <c r="G119" s="182">
        <f t="shared" ref="G119:AH119" si="402">(G$116-$B118)/365</f>
        <v>0.57534246575342463</v>
      </c>
      <c r="H119" s="182">
        <f t="shared" si="402"/>
        <v>1.0753424657534247</v>
      </c>
      <c r="I119" s="182">
        <f t="shared" si="402"/>
        <v>1.5753424657534247</v>
      </c>
      <c r="J119" s="182">
        <f t="shared" si="402"/>
        <v>2.0753424657534247</v>
      </c>
      <c r="K119" s="182">
        <f t="shared" si="402"/>
        <v>2.5753424657534247</v>
      </c>
      <c r="L119" s="182">
        <f t="shared" si="402"/>
        <v>3.0753424657534247</v>
      </c>
      <c r="M119" s="182">
        <f t="shared" si="402"/>
        <v>3.5753424657534247</v>
      </c>
      <c r="N119" s="182">
        <f t="shared" si="402"/>
        <v>4.0753424657534243</v>
      </c>
      <c r="O119" s="182">
        <f t="shared" si="402"/>
        <v>4.5753424657534243</v>
      </c>
      <c r="P119" s="182">
        <f t="shared" si="402"/>
        <v>5.0753424657534243</v>
      </c>
      <c r="Q119" s="182">
        <f t="shared" si="402"/>
        <v>5.5753424657534243</v>
      </c>
      <c r="R119" s="182">
        <f t="shared" si="402"/>
        <v>6.0753424657534243</v>
      </c>
      <c r="S119" s="182">
        <f t="shared" si="402"/>
        <v>6.5753424657534243</v>
      </c>
      <c r="T119" s="182">
        <f t="shared" si="402"/>
        <v>7.0753424657534243</v>
      </c>
      <c r="U119" s="182">
        <f t="shared" si="402"/>
        <v>7.5753424657534243</v>
      </c>
      <c r="V119" s="182">
        <f t="shared" si="402"/>
        <v>8.0753424657534243</v>
      </c>
      <c r="W119" s="182">
        <f t="shared" si="402"/>
        <v>8.5753424657534243</v>
      </c>
      <c r="X119" s="182">
        <f t="shared" si="402"/>
        <v>9.0753424657534243</v>
      </c>
      <c r="Y119" s="182">
        <f t="shared" si="402"/>
        <v>9.5753424657534243</v>
      </c>
      <c r="Z119" s="182">
        <f t="shared" si="402"/>
        <v>10.075342465753424</v>
      </c>
      <c r="AA119" s="182">
        <f t="shared" si="402"/>
        <v>10.575342465753424</v>
      </c>
      <c r="AB119" s="182">
        <f t="shared" si="402"/>
        <v>11.075342465753424</v>
      </c>
      <c r="AC119" s="182">
        <f t="shared" si="402"/>
        <v>11.575342465753424</v>
      </c>
      <c r="AD119" s="182">
        <f t="shared" si="402"/>
        <v>12.075342465753424</v>
      </c>
      <c r="AE119" s="182">
        <f t="shared" si="402"/>
        <v>12.575342465753424</v>
      </c>
      <c r="AF119" s="182">
        <f t="shared" si="402"/>
        <v>13.075342465753424</v>
      </c>
      <c r="AG119" s="182">
        <f t="shared" si="402"/>
        <v>13.575342465753424</v>
      </c>
      <c r="AH119" s="182">
        <f t="shared" si="402"/>
        <v>14.075342465753424</v>
      </c>
      <c r="AI119" s="182">
        <f t="shared" ref="AI119" si="403">(AI$116-$B118)/365</f>
        <v>14.575342465753424</v>
      </c>
      <c r="AJ119" s="182">
        <f t="shared" ref="AJ119" si="404">(AJ$116-$B118)/365</f>
        <v>15.075342465753424</v>
      </c>
      <c r="AK119" s="182">
        <f t="shared" ref="AK119" si="405">(AK$116-$B118)/365</f>
        <v>15.575342465753424</v>
      </c>
      <c r="AL119" s="182">
        <f t="shared" ref="AL119" si="406">(AL$116-$B118)/365</f>
        <v>16.075342465753426</v>
      </c>
      <c r="AM119" s="182">
        <f t="shared" ref="AM119" si="407">(AM$116-$B118)/365</f>
        <v>16.224657534246575</v>
      </c>
    </row>
    <row r="120" spans="2:42">
      <c r="B120" t="s">
        <v>211</v>
      </c>
      <c r="F120" s="183">
        <f>1+((INDEX('Yield Curve'!$B$48:$P$91,MATCH(ROUND(F119,0),'Yield Curve'!$B$48:$B$91,0),MATCH(YEAR($B118),'Yield Curve'!$B$48:$P$48,0)))/100)</f>
        <v>1.0326500000000001</v>
      </c>
      <c r="G120" s="183">
        <f>1+((INDEX('Yield Curve'!$B$48:$P$91,MATCH(ROUND(G119,0),'Yield Curve'!$B$48:$B$91,0),MATCH(YEAR($B118),'Yield Curve'!$B$48:$P$48,0)))/100)</f>
        <v>1.0326500000000001</v>
      </c>
      <c r="H120" s="183">
        <f>1+((INDEX('Yield Curve'!$B$48:$P$91,MATCH(ROUND(H119,0),'Yield Curve'!$B$48:$B$91,0),MATCH(YEAR($B118),'Yield Curve'!$B$48:$P$48,0)))/100)</f>
        <v>1.0326500000000001</v>
      </c>
      <c r="I120" s="183">
        <f>1+((INDEX('Yield Curve'!$B$48:$P$91,MATCH(ROUND(I119,0),'Yield Curve'!$B$48:$B$91,0),MATCH(YEAR($B118),'Yield Curve'!$B$48:$P$48,0)))/100)</f>
        <v>1.0326500000000001</v>
      </c>
      <c r="J120" s="183">
        <f>1+((INDEX('Yield Curve'!$B$48:$P$91,MATCH(ROUND(J119,0),'Yield Curve'!$B$48:$B$91,0),MATCH(YEAR($B118),'Yield Curve'!$B$48:$P$48,0)))/100)</f>
        <v>1.0326500000000001</v>
      </c>
      <c r="K120" s="183">
        <f>1+((INDEX('Yield Curve'!$B$48:$P$91,MATCH(ROUND(K119,0),'Yield Curve'!$B$48:$B$91,0),MATCH(YEAR($B118),'Yield Curve'!$B$48:$P$48,0)))/100)</f>
        <v>1.0326500000000001</v>
      </c>
      <c r="L120" s="183">
        <f>1+((INDEX('Yield Curve'!$B$48:$P$91,MATCH(ROUND(L119,0),'Yield Curve'!$B$48:$B$91,0),MATCH(YEAR($B118),'Yield Curve'!$B$48:$P$48,0)))/100)</f>
        <v>1.0326500000000001</v>
      </c>
      <c r="M120" s="183">
        <f>1+((INDEX('Yield Curve'!$B$48:$P$91,MATCH(ROUND(M119,0),'Yield Curve'!$B$48:$B$91,0),MATCH(YEAR($B118),'Yield Curve'!$B$48:$P$48,0)))/100)</f>
        <v>1.034025</v>
      </c>
      <c r="N120" s="183">
        <f>1+((INDEX('Yield Curve'!$B$48:$P$91,MATCH(ROUND(N119,0),'Yield Curve'!$B$48:$B$91,0),MATCH(YEAR($B118),'Yield Curve'!$B$48:$P$48,0)))/100)</f>
        <v>1.034025</v>
      </c>
      <c r="O120" s="183">
        <f>1+((INDEX('Yield Curve'!$B$48:$P$91,MATCH(ROUND(O119,0),'Yield Curve'!$B$48:$B$91,0),MATCH(YEAR($B118),'Yield Curve'!$B$48:$P$48,0)))/100)</f>
        <v>1.0354000000000001</v>
      </c>
      <c r="P120" s="183">
        <f>1+((INDEX('Yield Curve'!$B$48:$P$91,MATCH(ROUND(P119,0),'Yield Curve'!$B$48:$B$91,0),MATCH(YEAR($B118),'Yield Curve'!$B$48:$P$48,0)))/100)</f>
        <v>1.0354000000000001</v>
      </c>
      <c r="Q120" s="183">
        <f>1+((INDEX('Yield Curve'!$B$48:$P$91,MATCH(ROUND(Q119,0),'Yield Curve'!$B$48:$B$91,0),MATCH(YEAR($B118),'Yield Curve'!$B$48:$P$48,0)))/100)</f>
        <v>1.0375000000000001</v>
      </c>
      <c r="R120" s="183">
        <f>1+((INDEX('Yield Curve'!$B$48:$P$91,MATCH(ROUND(R119,0),'Yield Curve'!$B$48:$B$91,0),MATCH(YEAR($B118),'Yield Curve'!$B$48:$P$48,0)))/100)</f>
        <v>1.0375000000000001</v>
      </c>
      <c r="S120" s="183">
        <f>1+((INDEX('Yield Curve'!$B$48:$P$91,MATCH(ROUND(S119,0),'Yield Curve'!$B$48:$B$91,0),MATCH(YEAR($B118),'Yield Curve'!$B$48:$P$48,0)))/100)</f>
        <v>1.0396000000000001</v>
      </c>
      <c r="T120" s="183">
        <f>1+((INDEX('Yield Curve'!$B$48:$P$91,MATCH(ROUND(T119,0),'Yield Curve'!$B$48:$B$91,0),MATCH(YEAR($B118),'Yield Curve'!$B$48:$P$48,0)))/100)</f>
        <v>1.0396000000000001</v>
      </c>
      <c r="U120" s="183">
        <f>1+((INDEX('Yield Curve'!$B$48:$P$91,MATCH(ROUND(U119,0),'Yield Curve'!$B$48:$B$91,0),MATCH(YEAR($B118),'Yield Curve'!$B$48:$P$48,0)))/100)</f>
        <v>1.0405249999999999</v>
      </c>
      <c r="V120" s="183">
        <f>1+((INDEX('Yield Curve'!$B$48:$P$91,MATCH(ROUND(V119,0),'Yield Curve'!$B$48:$B$91,0),MATCH(YEAR($B118),'Yield Curve'!$B$48:$P$48,0)))/100)</f>
        <v>1.0405249999999999</v>
      </c>
      <c r="W120" s="183">
        <f>1+((INDEX('Yield Curve'!$B$48:$P$91,MATCH(ROUND(W119,0),'Yield Curve'!$B$48:$B$91,0),MATCH(YEAR($B118),'Yield Curve'!$B$48:$P$48,0)))/100)</f>
        <v>1.0423750000000001</v>
      </c>
      <c r="X120" s="183">
        <f>1+((INDEX('Yield Curve'!$B$48:$P$91,MATCH(ROUND(X119,0),'Yield Curve'!$B$48:$B$91,0),MATCH(YEAR($B118),'Yield Curve'!$B$48:$P$48,0)))/100)</f>
        <v>1.0423750000000001</v>
      </c>
      <c r="Y120" s="183">
        <f>1+((INDEX('Yield Curve'!$B$48:$P$91,MATCH(ROUND(Y119,0),'Yield Curve'!$B$48:$B$91,0),MATCH(YEAR($B118),'Yield Curve'!$B$48:$P$48,0)))/100)</f>
        <v>1.0432999999999999</v>
      </c>
      <c r="Z120" s="183">
        <f>1+((INDEX('Yield Curve'!$B$48:$P$91,MATCH(ROUND(Z119,0),'Yield Curve'!$B$48:$B$91,0),MATCH(YEAR($B118),'Yield Curve'!$B$48:$P$48,0)))/100)</f>
        <v>1.0432999999999999</v>
      </c>
      <c r="AA120" s="183">
        <f>1+((INDEX('Yield Curve'!$B$48:$P$91,MATCH(ROUND(AA119,0),'Yield Curve'!$B$48:$B$91,0),MATCH(YEAR($B118),'Yield Curve'!$B$48:$P$48,0)))/100)</f>
        <v>1.0432999999999999</v>
      </c>
      <c r="AB120" s="183">
        <f>1+((INDEX('Yield Curve'!$B$48:$P$91,MATCH(ROUND(AB119,0),'Yield Curve'!$B$48:$B$91,0),MATCH(YEAR($B118),'Yield Curve'!$B$48:$P$48,0)))/100)</f>
        <v>1.0432999999999999</v>
      </c>
      <c r="AC120" s="183">
        <f>1+((INDEX('Yield Curve'!$B$48:$P$91,MATCH(ROUND(AC119,0),'Yield Curve'!$B$48:$B$91,0),MATCH(YEAR($B118),'Yield Curve'!$B$48:$P$48,0)))/100)</f>
        <v>1.0432999999999999</v>
      </c>
      <c r="AD120" s="183">
        <f>1+((INDEX('Yield Curve'!$B$48:$P$91,MATCH(ROUND(AD119,0),'Yield Curve'!$B$48:$B$91,0),MATCH(YEAR($B118),'Yield Curve'!$B$48:$P$48,0)))/100)</f>
        <v>1.0432999999999999</v>
      </c>
      <c r="AE120" s="183">
        <f>1+((INDEX('Yield Curve'!$B$48:$P$91,MATCH(ROUND(AE119,0),'Yield Curve'!$B$48:$B$91,0),MATCH(YEAR($B118),'Yield Curve'!$B$48:$P$48,0)))/100)</f>
        <v>1.0432999999999999</v>
      </c>
      <c r="AF120" s="183">
        <f>1+((INDEX('Yield Curve'!$B$48:$P$91,MATCH(ROUND(AF119,0),'Yield Curve'!$B$48:$B$91,0),MATCH(YEAR($B118),'Yield Curve'!$B$48:$P$48,0)))/100)</f>
        <v>1.0432999999999999</v>
      </c>
      <c r="AG120" s="183">
        <f>1+((INDEX('Yield Curve'!$B$48:$P$91,MATCH(ROUND(AG119,0),'Yield Curve'!$B$48:$B$91,0),MATCH(YEAR($B118),'Yield Curve'!$B$48:$P$48,0)))/100)</f>
        <v>1.0432999999999999</v>
      </c>
      <c r="AH120" s="183">
        <f>1+((INDEX('Yield Curve'!$B$48:$P$91,MATCH(ROUND(AH119,0),'Yield Curve'!$B$48:$B$91,0),MATCH(YEAR($B118),'Yield Curve'!$B$48:$P$48,0)))/100)</f>
        <v>1.0432999999999999</v>
      </c>
      <c r="AI120" s="183">
        <f>1+((INDEX('Yield Curve'!$B$48:$P$91,MATCH(ROUND(AI119,0),'Yield Curve'!$B$48:$B$91,0),MATCH(YEAR($B118),'Yield Curve'!$B$48:$P$48,0)))/100)</f>
        <v>1.0432999999999999</v>
      </c>
      <c r="AJ120" s="183">
        <f>1+((INDEX('Yield Curve'!$B$48:$P$91,MATCH(ROUND(AJ119,0),'Yield Curve'!$B$48:$B$91,0),MATCH(YEAR($B118),'Yield Curve'!$B$48:$P$48,0)))/100)</f>
        <v>1.0432999999999999</v>
      </c>
      <c r="AK120" s="183">
        <f>1+((INDEX('Yield Curve'!$B$48:$P$91,MATCH(ROUND(AK119,0),'Yield Curve'!$B$48:$B$91,0),MATCH(YEAR($B118),'Yield Curve'!$B$48:$P$48,0)))/100)</f>
        <v>1.0432999999999999</v>
      </c>
      <c r="AL120" s="183">
        <f>1+((INDEX('Yield Curve'!$B$48:$P$91,MATCH(ROUND(AL119,0),'Yield Curve'!$B$48:$B$91,0),MATCH(YEAR($B118),'Yield Curve'!$B$48:$P$48,0)))/100)</f>
        <v>1.0432999999999999</v>
      </c>
      <c r="AM120" s="183">
        <f>1+((INDEX('Yield Curve'!$B$48:$P$91,MATCH(ROUND(AM119,0),'Yield Curve'!$B$48:$B$91,0),MATCH(YEAR($B118),'Yield Curve'!$B$48:$P$48,0)))/100)</f>
        <v>1.0432999999999999</v>
      </c>
    </row>
    <row r="121" spans="2:42">
      <c r="B121" t="s">
        <v>212</v>
      </c>
      <c r="C121" s="182">
        <f>SUM(D121:AM121)</f>
        <v>77.29039067465925</v>
      </c>
      <c r="F121" s="182">
        <f>F$117/(F120^F119)</f>
        <v>1.6273061284654795</v>
      </c>
      <c r="G121" s="182">
        <f t="shared" ref="G121:AH121" si="408">G$117/(G120^G119)</f>
        <v>1.6013736766884705</v>
      </c>
      <c r="H121" s="182">
        <f t="shared" si="408"/>
        <v>1.5758544797031711</v>
      </c>
      <c r="I121" s="182">
        <f t="shared" si="408"/>
        <v>1.550741951957072</v>
      </c>
      <c r="J121" s="182">
        <f t="shared" si="408"/>
        <v>1.52602961284382</v>
      </c>
      <c r="K121" s="182">
        <f t="shared" si="408"/>
        <v>1.5017110850308157</v>
      </c>
      <c r="L121" s="182">
        <f t="shared" si="408"/>
        <v>1.4777800928134606</v>
      </c>
      <c r="M121" s="182">
        <f t="shared" si="408"/>
        <v>1.4473283995582167</v>
      </c>
      <c r="N121" s="182">
        <f t="shared" si="408"/>
        <v>1.4233167636452557</v>
      </c>
      <c r="O121" s="182">
        <f t="shared" si="408"/>
        <v>1.3912190495470365</v>
      </c>
      <c r="P121" s="182">
        <f t="shared" si="408"/>
        <v>1.3672295472763485</v>
      </c>
      <c r="Q121" s="182">
        <f t="shared" si="408"/>
        <v>1.3285605785724883</v>
      </c>
      <c r="R121" s="182">
        <f t="shared" si="408"/>
        <v>1.3043294767946985</v>
      </c>
      <c r="S121" s="182">
        <f t="shared" si="408"/>
        <v>1.2636273518622489</v>
      </c>
      <c r="T121" s="182">
        <f t="shared" si="408"/>
        <v>1.2393269175310935</v>
      </c>
      <c r="U121" s="182">
        <f t="shared" si="408"/>
        <v>1.2073321998296858</v>
      </c>
      <c r="V121" s="182">
        <f t="shared" si="408"/>
        <v>1.1835879198414891</v>
      </c>
      <c r="W121" s="182">
        <f t="shared" si="408"/>
        <v>1.1427695635412076</v>
      </c>
      <c r="X121" s="182">
        <f t="shared" si="408"/>
        <v>1.1193004322302185</v>
      </c>
      <c r="Y121" s="182">
        <f t="shared" si="408"/>
        <v>1.0870413373199068</v>
      </c>
      <c r="Z121" s="182">
        <f t="shared" si="408"/>
        <v>1.0642446013471034</v>
      </c>
      <c r="AA121" s="182">
        <f t="shared" si="408"/>
        <v>1.0419259439470017</v>
      </c>
      <c r="AB121" s="182">
        <f t="shared" si="408"/>
        <v>1.0200753391614144</v>
      </c>
      <c r="AC121" s="182">
        <f t="shared" si="408"/>
        <v>0.99868297129013883</v>
      </c>
      <c r="AD121" s="182">
        <f t="shared" si="408"/>
        <v>0.97773923048156275</v>
      </c>
      <c r="AE121" s="182">
        <f t="shared" si="408"/>
        <v>0.95723470841573743</v>
      </c>
      <c r="AF121" s="182">
        <f t="shared" si="408"/>
        <v>0.93716019407798601</v>
      </c>
      <c r="AG121" s="182">
        <f t="shared" si="408"/>
        <v>0.91750666962114213</v>
      </c>
      <c r="AH121" s="182">
        <f t="shared" si="408"/>
        <v>0.89826530631456536</v>
      </c>
      <c r="AI121" s="182">
        <f t="shared" ref="AI121" si="409">AI$117/(AI120^AI119)</f>
        <v>0.87942746057811005</v>
      </c>
      <c r="AJ121" s="182">
        <f t="shared" ref="AJ121" si="410">AJ$117/(AJ120^AJ119)</f>
        <v>0.86098467009926716</v>
      </c>
      <c r="AK121" s="182">
        <f t="shared" ref="AK121" si="411">AK$117/(AK120^AK119)</f>
        <v>0.842928650031736</v>
      </c>
      <c r="AL121" s="182">
        <f t="shared" ref="AL121" si="412">AL$117/(AL120^AL119)</f>
        <v>0.82525128927371538</v>
      </c>
      <c r="AM121" s="182">
        <f t="shared" ref="AM121" si="413">AM$117/(AM120^AM119)</f>
        <v>37.703197074967576</v>
      </c>
    </row>
    <row r="122" spans="2:42">
      <c r="B122" s="135">
        <v>43281</v>
      </c>
    </row>
    <row r="123" spans="2:42">
      <c r="B123" t="s">
        <v>210</v>
      </c>
      <c r="H123" s="182">
        <f t="shared" ref="H123" si="414">(H$116-$B122)/365</f>
        <v>7.5342465753424653E-2</v>
      </c>
      <c r="I123" s="182">
        <f t="shared" ref="I123" si="415">(I$116-$B122)/365</f>
        <v>0.57534246575342463</v>
      </c>
      <c r="J123" s="182">
        <f t="shared" ref="J123" si="416">(J$116-$B122)/365</f>
        <v>1.0753424657534247</v>
      </c>
      <c r="K123" s="182">
        <f t="shared" ref="K123" si="417">(K$116-$B122)/365</f>
        <v>1.5753424657534247</v>
      </c>
      <c r="L123" s="182">
        <f t="shared" ref="L123" si="418">(L$116-$B122)/365</f>
        <v>2.0753424657534247</v>
      </c>
      <c r="M123" s="182">
        <f t="shared" ref="M123" si="419">(M$116-$B122)/365</f>
        <v>2.5753424657534247</v>
      </c>
      <c r="N123" s="182">
        <f t="shared" ref="N123" si="420">(N$116-$B122)/365</f>
        <v>3.0753424657534247</v>
      </c>
      <c r="O123" s="182">
        <f t="shared" ref="O123" si="421">(O$116-$B122)/365</f>
        <v>3.5753424657534247</v>
      </c>
      <c r="P123" s="182">
        <f t="shared" ref="P123" si="422">(P$116-$B122)/365</f>
        <v>4.0753424657534243</v>
      </c>
      <c r="Q123" s="182">
        <f t="shared" ref="Q123" si="423">(Q$116-$B122)/365</f>
        <v>4.5753424657534243</v>
      </c>
      <c r="R123" s="182">
        <f t="shared" ref="R123" si="424">(R$116-$B122)/365</f>
        <v>5.0753424657534243</v>
      </c>
      <c r="S123" s="182">
        <f t="shared" ref="S123" si="425">(S$116-$B122)/365</f>
        <v>5.5753424657534243</v>
      </c>
      <c r="T123" s="182">
        <f t="shared" ref="T123" si="426">(T$116-$B122)/365</f>
        <v>6.0753424657534243</v>
      </c>
      <c r="U123" s="182">
        <f t="shared" ref="U123" si="427">(U$116-$B122)/365</f>
        <v>6.5753424657534243</v>
      </c>
      <c r="V123" s="182">
        <f t="shared" ref="V123" si="428">(V$116-$B122)/365</f>
        <v>7.0753424657534243</v>
      </c>
      <c r="W123" s="182">
        <f t="shared" ref="W123" si="429">(W$116-$B122)/365</f>
        <v>7.5753424657534243</v>
      </c>
      <c r="X123" s="182">
        <f t="shared" ref="X123" si="430">(X$116-$B122)/365</f>
        <v>8.0753424657534243</v>
      </c>
      <c r="Y123" s="182">
        <f t="shared" ref="Y123" si="431">(Y$116-$B122)/365</f>
        <v>8.5753424657534243</v>
      </c>
      <c r="Z123" s="182">
        <f t="shared" ref="Z123" si="432">(Z$116-$B122)/365</f>
        <v>9.0753424657534243</v>
      </c>
      <c r="AA123" s="182">
        <f t="shared" ref="AA123" si="433">(AA$116-$B122)/365</f>
        <v>9.5753424657534243</v>
      </c>
      <c r="AB123" s="182">
        <f t="shared" ref="AB123" si="434">(AB$116-$B122)/365</f>
        <v>10.075342465753424</v>
      </c>
      <c r="AC123" s="182">
        <f t="shared" ref="AC123" si="435">(AC$116-$B122)/365</f>
        <v>10.575342465753424</v>
      </c>
      <c r="AD123" s="182">
        <f t="shared" ref="AD123" si="436">(AD$116-$B122)/365</f>
        <v>11.075342465753424</v>
      </c>
      <c r="AE123" s="182">
        <f t="shared" ref="AE123" si="437">(AE$116-$B122)/365</f>
        <v>11.575342465753424</v>
      </c>
      <c r="AF123" s="182">
        <f t="shared" ref="AF123" si="438">(AF$116-$B122)/365</f>
        <v>12.075342465753424</v>
      </c>
      <c r="AG123" s="182">
        <f t="shared" ref="AG123" si="439">(AG$116-$B122)/365</f>
        <v>12.575342465753424</v>
      </c>
      <c r="AH123" s="182">
        <f t="shared" ref="AH123" si="440">(AH$116-$B122)/365</f>
        <v>13.075342465753424</v>
      </c>
      <c r="AI123" s="182">
        <f t="shared" ref="AI123" si="441">(AI$116-$B122)/365</f>
        <v>13.575342465753424</v>
      </c>
      <c r="AJ123" s="182">
        <f t="shared" ref="AJ123" si="442">(AJ$116-$B122)/365</f>
        <v>14.075342465753424</v>
      </c>
      <c r="AK123" s="182">
        <f t="shared" ref="AK123" si="443">(AK$116-$B122)/365</f>
        <v>14.575342465753424</v>
      </c>
      <c r="AL123" s="182">
        <f t="shared" ref="AL123" si="444">(AL$116-$B122)/365</f>
        <v>15.075342465753424</v>
      </c>
      <c r="AM123" s="182">
        <f t="shared" ref="AM123" si="445">(AM$116-$B122)/365</f>
        <v>15.224657534246575</v>
      </c>
    </row>
    <row r="124" spans="2:42">
      <c r="B124" t="s">
        <v>211</v>
      </c>
      <c r="H124" s="183">
        <f>1+((INDEX('Yield Curve'!$B$48:$P$91,MATCH(ROUND(H123,0),'Yield Curve'!$B$48:$B$91,0),MATCH(YEAR($B122),'Yield Curve'!$B$48:$P$48,0)))/100)</f>
        <v>1.03315</v>
      </c>
      <c r="I124" s="183">
        <f>1+((INDEX('Yield Curve'!$B$48:$P$91,MATCH(ROUND(I123,0),'Yield Curve'!$B$48:$B$91,0),MATCH(YEAR($B122),'Yield Curve'!$B$48:$P$48,0)))/100)</f>
        <v>1.03315</v>
      </c>
      <c r="J124" s="183">
        <f>1+((INDEX('Yield Curve'!$B$48:$P$91,MATCH(ROUND(J123,0),'Yield Curve'!$B$48:$B$91,0),MATCH(YEAR($B122),'Yield Curve'!$B$48:$P$48,0)))/100)</f>
        <v>1.03315</v>
      </c>
      <c r="K124" s="183">
        <f>1+((INDEX('Yield Curve'!$B$48:$P$91,MATCH(ROUND(K123,0),'Yield Curve'!$B$48:$B$91,0),MATCH(YEAR($B122),'Yield Curve'!$B$48:$P$48,0)))/100)</f>
        <v>1.03315</v>
      </c>
      <c r="L124" s="183">
        <f>1+((INDEX('Yield Curve'!$B$48:$P$91,MATCH(ROUND(L123,0),'Yield Curve'!$B$48:$B$91,0),MATCH(YEAR($B122),'Yield Curve'!$B$48:$P$48,0)))/100)</f>
        <v>1.03315</v>
      </c>
      <c r="M124" s="183">
        <f>1+((INDEX('Yield Curve'!$B$48:$P$91,MATCH(ROUND(M123,0),'Yield Curve'!$B$48:$B$91,0),MATCH(YEAR($B122),'Yield Curve'!$B$48:$P$48,0)))/100)</f>
        <v>1.03315</v>
      </c>
      <c r="N124" s="183">
        <f>1+((INDEX('Yield Curve'!$B$48:$P$91,MATCH(ROUND(N123,0),'Yield Curve'!$B$48:$B$91,0),MATCH(YEAR($B122),'Yield Curve'!$B$48:$P$48,0)))/100)</f>
        <v>1.03315</v>
      </c>
      <c r="O124" s="183">
        <f>1+((INDEX('Yield Curve'!$B$48:$P$91,MATCH(ROUND(O123,0),'Yield Curve'!$B$48:$B$91,0),MATCH(YEAR($B122),'Yield Curve'!$B$48:$P$48,0)))/100)</f>
        <v>1.0349999999999999</v>
      </c>
      <c r="P124" s="183">
        <f>1+((INDEX('Yield Curve'!$B$48:$P$91,MATCH(ROUND(P123,0),'Yield Curve'!$B$48:$B$91,0),MATCH(YEAR($B122),'Yield Curve'!$B$48:$P$48,0)))/100)</f>
        <v>1.0349999999999999</v>
      </c>
      <c r="Q124" s="183">
        <f>1+((INDEX('Yield Curve'!$B$48:$P$91,MATCH(ROUND(Q123,0),'Yield Curve'!$B$48:$B$91,0),MATCH(YEAR($B122),'Yield Curve'!$B$48:$P$48,0)))/100)</f>
        <v>1.03685</v>
      </c>
      <c r="R124" s="183">
        <f>1+((INDEX('Yield Curve'!$B$48:$P$91,MATCH(ROUND(R123,0),'Yield Curve'!$B$48:$B$91,0),MATCH(YEAR($B122),'Yield Curve'!$B$48:$P$48,0)))/100)</f>
        <v>1.03685</v>
      </c>
      <c r="S124" s="183">
        <f>1+((INDEX('Yield Curve'!$B$48:$P$91,MATCH(ROUND(S123,0),'Yield Curve'!$B$48:$B$91,0),MATCH(YEAR($B122),'Yield Curve'!$B$48:$P$48,0)))/100)</f>
        <v>1.0386</v>
      </c>
      <c r="T124" s="183">
        <f>1+((INDEX('Yield Curve'!$B$48:$P$91,MATCH(ROUND(T123,0),'Yield Curve'!$B$48:$B$91,0),MATCH(YEAR($B122),'Yield Curve'!$B$48:$P$48,0)))/100)</f>
        <v>1.0386</v>
      </c>
      <c r="U124" s="183">
        <f>1+((INDEX('Yield Curve'!$B$48:$P$91,MATCH(ROUND(U123,0),'Yield Curve'!$B$48:$B$91,0),MATCH(YEAR($B122),'Yield Curve'!$B$48:$P$48,0)))/100)</f>
        <v>1.0403500000000001</v>
      </c>
      <c r="V124" s="183">
        <f>1+((INDEX('Yield Curve'!$B$48:$P$91,MATCH(ROUND(V123,0),'Yield Curve'!$B$48:$B$91,0),MATCH(YEAR($B122),'Yield Curve'!$B$48:$P$48,0)))/100)</f>
        <v>1.0403500000000001</v>
      </c>
      <c r="W124" s="183">
        <f>1+((INDEX('Yield Curve'!$B$48:$P$91,MATCH(ROUND(W123,0),'Yield Curve'!$B$48:$B$91,0),MATCH(YEAR($B122),'Yield Curve'!$B$48:$P$48,0)))/100)</f>
        <v>1.0414874999999999</v>
      </c>
      <c r="X124" s="183">
        <f>1+((INDEX('Yield Curve'!$B$48:$P$91,MATCH(ROUND(X123,0),'Yield Curve'!$B$48:$B$91,0),MATCH(YEAR($B122),'Yield Curve'!$B$48:$P$48,0)))/100)</f>
        <v>1.0414874999999999</v>
      </c>
      <c r="Y124" s="183">
        <f>1+((INDEX('Yield Curve'!$B$48:$P$91,MATCH(ROUND(Y123,0),'Yield Curve'!$B$48:$B$91,0),MATCH(YEAR($B122),'Yield Curve'!$B$48:$P$48,0)))/100)</f>
        <v>1.0437624999999999</v>
      </c>
      <c r="Z124" s="183">
        <f>1+((INDEX('Yield Curve'!$B$48:$P$91,MATCH(ROUND(Z123,0),'Yield Curve'!$B$48:$B$91,0),MATCH(YEAR($B122),'Yield Curve'!$B$48:$P$48,0)))/100)</f>
        <v>1.0437624999999999</v>
      </c>
      <c r="AA124" s="183">
        <f>1+((INDEX('Yield Curve'!$B$48:$P$91,MATCH(ROUND(AA123,0),'Yield Curve'!$B$48:$B$91,0),MATCH(YEAR($B122),'Yield Curve'!$B$48:$P$48,0)))/100)</f>
        <v>1.0448999999999999</v>
      </c>
      <c r="AB124" s="183">
        <f>1+((INDEX('Yield Curve'!$B$48:$P$91,MATCH(ROUND(AB123,0),'Yield Curve'!$B$48:$B$91,0),MATCH(YEAR($B122),'Yield Curve'!$B$48:$P$48,0)))/100)</f>
        <v>1.0448999999999999</v>
      </c>
      <c r="AC124" s="183">
        <f>1+((INDEX('Yield Curve'!$B$48:$P$91,MATCH(ROUND(AC123,0),'Yield Curve'!$B$48:$B$91,0),MATCH(YEAR($B122),'Yield Curve'!$B$48:$P$48,0)))/100)</f>
        <v>1.0448999999999999</v>
      </c>
      <c r="AD124" s="183">
        <f>1+((INDEX('Yield Curve'!$B$48:$P$91,MATCH(ROUND(AD123,0),'Yield Curve'!$B$48:$B$91,0),MATCH(YEAR($B122),'Yield Curve'!$B$48:$P$48,0)))/100)</f>
        <v>1.0448999999999999</v>
      </c>
      <c r="AE124" s="183">
        <f>1+((INDEX('Yield Curve'!$B$48:$P$91,MATCH(ROUND(AE123,0),'Yield Curve'!$B$48:$B$91,0),MATCH(YEAR($B122),'Yield Curve'!$B$48:$P$48,0)))/100)</f>
        <v>1.0448999999999999</v>
      </c>
      <c r="AF124" s="183">
        <f>1+((INDEX('Yield Curve'!$B$48:$P$91,MATCH(ROUND(AF123,0),'Yield Curve'!$B$48:$B$91,0),MATCH(YEAR($B122),'Yield Curve'!$B$48:$P$48,0)))/100)</f>
        <v>1.0448999999999999</v>
      </c>
      <c r="AG124" s="183">
        <f>1+((INDEX('Yield Curve'!$B$48:$P$91,MATCH(ROUND(AG123,0),'Yield Curve'!$B$48:$B$91,0),MATCH(YEAR($B122),'Yield Curve'!$B$48:$P$48,0)))/100)</f>
        <v>1.0448999999999999</v>
      </c>
      <c r="AH124" s="183">
        <f>1+((INDEX('Yield Curve'!$B$48:$P$91,MATCH(ROUND(AH123,0),'Yield Curve'!$B$48:$B$91,0),MATCH(YEAR($B122),'Yield Curve'!$B$48:$P$48,0)))/100)</f>
        <v>1.0448999999999999</v>
      </c>
      <c r="AI124" s="183">
        <f>1+((INDEX('Yield Curve'!$B$48:$P$91,MATCH(ROUND(AI123,0),'Yield Curve'!$B$48:$B$91,0),MATCH(YEAR($B122),'Yield Curve'!$B$48:$P$48,0)))/100)</f>
        <v>1.0448999999999999</v>
      </c>
      <c r="AJ124" s="183">
        <f>1+((INDEX('Yield Curve'!$B$48:$P$91,MATCH(ROUND(AJ123,0),'Yield Curve'!$B$48:$B$91,0),MATCH(YEAR($B122),'Yield Curve'!$B$48:$P$48,0)))/100)</f>
        <v>1.0448999999999999</v>
      </c>
      <c r="AK124" s="183">
        <f>1+((INDEX('Yield Curve'!$B$48:$P$91,MATCH(ROUND(AK123,0),'Yield Curve'!$B$48:$B$91,0),MATCH(YEAR($B122),'Yield Curve'!$B$48:$P$48,0)))/100)</f>
        <v>1.0448999999999999</v>
      </c>
      <c r="AL124" s="183">
        <f>1+((INDEX('Yield Curve'!$B$48:$P$91,MATCH(ROUND(AL123,0),'Yield Curve'!$B$48:$B$91,0),MATCH(YEAR($B122),'Yield Curve'!$B$48:$P$48,0)))/100)</f>
        <v>1.0448999999999999</v>
      </c>
      <c r="AM124" s="183">
        <f>1+((INDEX('Yield Curve'!$B$48:$P$91,MATCH(ROUND(AM123,0),'Yield Curve'!$B$48:$B$91,0),MATCH(YEAR($B122),'Yield Curve'!$B$48:$P$48,0)))/100)</f>
        <v>1.0448999999999999</v>
      </c>
    </row>
    <row r="125" spans="2:42">
      <c r="B125" t="s">
        <v>212</v>
      </c>
      <c r="C125" s="182">
        <f>SUM(D125:AM125)</f>
        <v>76.023015014121555</v>
      </c>
      <c r="H125" s="182">
        <f t="shared" ref="H125" si="446">H$117/(H124^H123)</f>
        <v>1.6272467795338854</v>
      </c>
      <c r="I125" s="182">
        <f t="shared" ref="I125" si="447">I$117/(I124^I123)</f>
        <v>1.600927742905214</v>
      </c>
      <c r="J125" s="182">
        <f t="shared" ref="J125" si="448">J$117/(J124^J123)</f>
        <v>1.575034389521256</v>
      </c>
      <c r="K125" s="182">
        <f t="shared" ref="K125" si="449">K$117/(K124^K123)</f>
        <v>1.549559834395019</v>
      </c>
      <c r="L125" s="182">
        <f t="shared" ref="L125" si="450">L$117/(L124^L123)</f>
        <v>1.5244973038970682</v>
      </c>
      <c r="M125" s="182">
        <f t="shared" ref="M125" si="451">M$117/(M124^M123)</f>
        <v>1.4998401339544298</v>
      </c>
      <c r="N125" s="182">
        <f t="shared" ref="N125" si="452">N$117/(N124^N123)</f>
        <v>1.4755817682786314</v>
      </c>
      <c r="O125" s="182">
        <f t="shared" ref="O125" si="453">O$117/(O124^O123)</f>
        <v>1.4424595973868064</v>
      </c>
      <c r="P125" s="182">
        <f t="shared" ref="P125" si="454">P$117/(P124^P123)</f>
        <v>1.4178604314207741</v>
      </c>
      <c r="Q125" s="182">
        <f t="shared" ref="Q125" si="455">Q$117/(Q124^Q123)</f>
        <v>1.3823396130901904</v>
      </c>
      <c r="R125" s="182">
        <f t="shared" ref="R125" si="456">R$117/(R124^R123)</f>
        <v>1.3575529805206559</v>
      </c>
      <c r="S125" s="182">
        <f t="shared" ref="S125" si="457">S$117/(S124^S123)</f>
        <v>1.3207344843310356</v>
      </c>
      <c r="T125" s="182">
        <f t="shared" ref="T125" si="458">T$117/(T124^T123)</f>
        <v>1.2959592870966368</v>
      </c>
      <c r="U125" s="182">
        <f t="shared" ref="U125" si="459">U$117/(U124^U123)</f>
        <v>1.2576494816184809</v>
      </c>
      <c r="V125" s="182">
        <f t="shared" ref="V125" si="460">V$117/(V124^V123)</f>
        <v>1.2330193167090864</v>
      </c>
      <c r="W125" s="182">
        <f t="shared" ref="W125" si="461">W$117/(W124^W123)</f>
        <v>1.1989055205908732</v>
      </c>
      <c r="X125" s="182">
        <f t="shared" ref="X125" si="462">X$117/(X124^X123)</f>
        <v>1.1747837458482551</v>
      </c>
      <c r="Y125" s="182">
        <f t="shared" ref="Y125" si="463">Y$117/(Y124^Y123)</f>
        <v>1.129808053080894</v>
      </c>
      <c r="Z125" s="182">
        <f t="shared" ref="Z125" si="464">Z$117/(Z124^Z123)</f>
        <v>1.1058693493962564</v>
      </c>
      <c r="AA125" s="182">
        <f t="shared" ref="AA125" si="465">AA$117/(AA124^AA123)</f>
        <v>1.071207143976556</v>
      </c>
      <c r="AB125" s="182">
        <f t="shared" ref="AB125" si="466">AB$117/(AB124^AB123)</f>
        <v>1.0479392230851574</v>
      </c>
      <c r="AC125" s="182">
        <f t="shared" ref="AC125" si="467">AC$117/(AC124^AC123)</f>
        <v>1.0251767097105522</v>
      </c>
      <c r="AD125" s="182">
        <f t="shared" ref="AD125" si="468">AD$117/(AD124^AD123)</f>
        <v>1.0029086257873074</v>
      </c>
      <c r="AE125" s="182">
        <f t="shared" ref="AE125" si="469">AE$117/(AE124^AE123)</f>
        <v>0.98112423170691176</v>
      </c>
      <c r="AF125" s="182">
        <f t="shared" ref="AF125" si="470">AF$117/(AF124^AF123)</f>
        <v>0.95981302113820222</v>
      </c>
      <c r="AG125" s="182">
        <f t="shared" ref="AG125" si="471">AG$117/(AG124^AG123)</f>
        <v>0.93896471596029474</v>
      </c>
      <c r="AH125" s="182">
        <f t="shared" ref="AH125" si="472">AH$117/(AH124^AH123)</f>
        <v>0.91856926130558159</v>
      </c>
      <c r="AI125" s="182">
        <f t="shared" ref="AI125" si="473">AI$117/(AI124^AI123)</f>
        <v>0.89861682071039783</v>
      </c>
      <c r="AJ125" s="182">
        <f t="shared" ref="AJ125" si="474">AJ$117/(AJ124^AJ123)</f>
        <v>0.87909777137102274</v>
      </c>
      <c r="AK125" s="182">
        <f t="shared" ref="AK125" si="475">AK$117/(AK124^AK123)</f>
        <v>0.86000269950272556</v>
      </c>
      <c r="AL125" s="182">
        <f t="shared" ref="AL125" si="476">AL$117/(AL124^AL123)</f>
        <v>0.84132239579961976</v>
      </c>
      <c r="AM125" s="182">
        <f t="shared" ref="AM125" si="477">AM$117/(AM124^AM123)</f>
        <v>38.428642580491776</v>
      </c>
    </row>
    <row r="126" spans="2:42">
      <c r="B126" s="135">
        <v>43646</v>
      </c>
    </row>
    <row r="127" spans="2:42">
      <c r="B127" t="s">
        <v>210</v>
      </c>
      <c r="J127" s="182">
        <f t="shared" ref="J127" si="478">(J$116-$B126)/365</f>
        <v>7.5342465753424653E-2</v>
      </c>
      <c r="K127" s="182">
        <f t="shared" ref="K127" si="479">(K$116-$B126)/365</f>
        <v>0.57534246575342463</v>
      </c>
      <c r="L127" s="182">
        <f t="shared" ref="L127" si="480">(L$116-$B126)/365</f>
        <v>1.0753424657534247</v>
      </c>
      <c r="M127" s="182">
        <f t="shared" ref="M127" si="481">(M$116-$B126)/365</f>
        <v>1.5753424657534247</v>
      </c>
      <c r="N127" s="182">
        <f t="shared" ref="N127" si="482">(N$116-$B126)/365</f>
        <v>2.0753424657534247</v>
      </c>
      <c r="O127" s="182">
        <f t="shared" ref="O127" si="483">(O$116-$B126)/365</f>
        <v>2.5753424657534247</v>
      </c>
      <c r="P127" s="182">
        <f t="shared" ref="P127" si="484">(P$116-$B126)/365</f>
        <v>3.0753424657534247</v>
      </c>
      <c r="Q127" s="182">
        <f t="shared" ref="Q127" si="485">(Q$116-$B126)/365</f>
        <v>3.5753424657534247</v>
      </c>
      <c r="R127" s="182">
        <f t="shared" ref="R127" si="486">(R$116-$B126)/365</f>
        <v>4.0753424657534243</v>
      </c>
      <c r="S127" s="182">
        <f t="shared" ref="S127" si="487">(S$116-$B126)/365</f>
        <v>4.5753424657534243</v>
      </c>
      <c r="T127" s="182">
        <f t="shared" ref="T127" si="488">(T$116-$B126)/365</f>
        <v>5.0753424657534243</v>
      </c>
      <c r="U127" s="182">
        <f t="shared" ref="U127" si="489">(U$116-$B126)/365</f>
        <v>5.5753424657534243</v>
      </c>
      <c r="V127" s="182">
        <f t="shared" ref="V127" si="490">(V$116-$B126)/365</f>
        <v>6.0753424657534243</v>
      </c>
      <c r="W127" s="182">
        <f t="shared" ref="W127" si="491">(W$116-$B126)/365</f>
        <v>6.5753424657534243</v>
      </c>
      <c r="X127" s="182">
        <f t="shared" ref="X127" si="492">(X$116-$B126)/365</f>
        <v>7.0753424657534243</v>
      </c>
      <c r="Y127" s="182">
        <f t="shared" ref="Y127" si="493">(Y$116-$B126)/365</f>
        <v>7.5753424657534243</v>
      </c>
      <c r="Z127" s="182">
        <f t="shared" ref="Z127" si="494">(Z$116-$B126)/365</f>
        <v>8.0753424657534243</v>
      </c>
      <c r="AA127" s="182">
        <f t="shared" ref="AA127" si="495">(AA$116-$B126)/365</f>
        <v>8.5753424657534243</v>
      </c>
      <c r="AB127" s="182">
        <f t="shared" ref="AB127" si="496">(AB$116-$B126)/365</f>
        <v>9.0753424657534243</v>
      </c>
      <c r="AC127" s="182">
        <f t="shared" ref="AC127" si="497">(AC$116-$B126)/365</f>
        <v>9.5753424657534243</v>
      </c>
      <c r="AD127" s="182">
        <f t="shared" ref="AD127" si="498">(AD$116-$B126)/365</f>
        <v>10.075342465753424</v>
      </c>
      <c r="AE127" s="182">
        <f t="shared" ref="AE127" si="499">(AE$116-$B126)/365</f>
        <v>10.575342465753424</v>
      </c>
      <c r="AF127" s="182">
        <f t="shared" ref="AF127" si="500">(AF$116-$B126)/365</f>
        <v>11.075342465753424</v>
      </c>
      <c r="AG127" s="182">
        <f t="shared" ref="AG127" si="501">(AG$116-$B126)/365</f>
        <v>11.575342465753424</v>
      </c>
      <c r="AH127" s="182">
        <f t="shared" ref="AH127" si="502">(AH$116-$B126)/365</f>
        <v>12.075342465753424</v>
      </c>
      <c r="AI127" s="182">
        <f t="shared" ref="AI127" si="503">(AI$116-$B126)/365</f>
        <v>12.575342465753424</v>
      </c>
      <c r="AJ127" s="182">
        <f t="shared" ref="AJ127" si="504">(AJ$116-$B126)/365</f>
        <v>13.075342465753424</v>
      </c>
      <c r="AK127" s="182">
        <f t="shared" ref="AK127" si="505">(AK$116-$B126)/365</f>
        <v>13.575342465753424</v>
      </c>
      <c r="AL127" s="182">
        <f t="shared" ref="AL127" si="506">(AL$116-$B126)/365</f>
        <v>14.075342465753424</v>
      </c>
      <c r="AM127" s="182">
        <f t="shared" ref="AM127" si="507">(AM$116-$B126)/365</f>
        <v>14.224657534246575</v>
      </c>
    </row>
    <row r="128" spans="2:42">
      <c r="B128" t="s">
        <v>211</v>
      </c>
      <c r="J128" s="183">
        <f>1+((INDEX('Yield Curve'!$B$48:$P$91,MATCH(ROUND(J127,0),'Yield Curve'!$B$48:$B$91,0),MATCH(YEAR($B126),'Yield Curve'!$B$48:$P$48,0)))/100)</f>
        <v>1.02305</v>
      </c>
      <c r="K128" s="183">
        <f>1+((INDEX('Yield Curve'!$B$48:$P$91,MATCH(ROUND(K127,0),'Yield Curve'!$B$48:$B$91,0),MATCH(YEAR($B126),'Yield Curve'!$B$48:$P$48,0)))/100)</f>
        <v>1.02305</v>
      </c>
      <c r="L128" s="183">
        <f>1+((INDEX('Yield Curve'!$B$48:$P$91,MATCH(ROUND(L127,0),'Yield Curve'!$B$48:$B$91,0),MATCH(YEAR($B126),'Yield Curve'!$B$48:$P$48,0)))/100)</f>
        <v>1.02305</v>
      </c>
      <c r="M128" s="183">
        <f>1+((INDEX('Yield Curve'!$B$48:$P$91,MATCH(ROUND(M127,0),'Yield Curve'!$B$48:$B$91,0),MATCH(YEAR($B126),'Yield Curve'!$B$48:$P$48,0)))/100)</f>
        <v>1.02305</v>
      </c>
      <c r="N128" s="183">
        <f>1+((INDEX('Yield Curve'!$B$48:$P$91,MATCH(ROUND(N127,0),'Yield Curve'!$B$48:$B$91,0),MATCH(YEAR($B126),'Yield Curve'!$B$48:$P$48,0)))/100)</f>
        <v>1.02305</v>
      </c>
      <c r="O128" s="183">
        <f>1+((INDEX('Yield Curve'!$B$48:$P$91,MATCH(ROUND(O127,0),'Yield Curve'!$B$48:$B$91,0),MATCH(YEAR($B126),'Yield Curve'!$B$48:$P$48,0)))/100)</f>
        <v>1.02305</v>
      </c>
      <c r="P128" s="183">
        <f>1+((INDEX('Yield Curve'!$B$48:$P$91,MATCH(ROUND(P127,0),'Yield Curve'!$B$48:$B$91,0),MATCH(YEAR($B126),'Yield Curve'!$B$48:$P$48,0)))/100)</f>
        <v>1.02305</v>
      </c>
      <c r="Q128" s="183">
        <f>1+((INDEX('Yield Curve'!$B$48:$P$91,MATCH(ROUND(Q127,0),'Yield Curve'!$B$48:$B$91,0),MATCH(YEAR($B126),'Yield Curve'!$B$48:$P$48,0)))/100)</f>
        <v>1.024575</v>
      </c>
      <c r="R128" s="183">
        <f>1+((INDEX('Yield Curve'!$B$48:$P$91,MATCH(ROUND(R127,0),'Yield Curve'!$B$48:$B$91,0),MATCH(YEAR($B126),'Yield Curve'!$B$48:$P$48,0)))/100)</f>
        <v>1.024575</v>
      </c>
      <c r="S128" s="183">
        <f>1+((INDEX('Yield Curve'!$B$48:$P$91,MATCH(ROUND(S127,0),'Yield Curve'!$B$48:$B$91,0),MATCH(YEAR($B126),'Yield Curve'!$B$48:$P$48,0)))/100)</f>
        <v>1.0261</v>
      </c>
      <c r="T128" s="183">
        <f>1+((INDEX('Yield Curve'!$B$48:$P$91,MATCH(ROUND(T127,0),'Yield Curve'!$B$48:$B$91,0),MATCH(YEAR($B126),'Yield Curve'!$B$48:$P$48,0)))/100)</f>
        <v>1.0261</v>
      </c>
      <c r="U128" s="183">
        <f>1+((INDEX('Yield Curve'!$B$48:$P$91,MATCH(ROUND(U127,0),'Yield Curve'!$B$48:$B$91,0),MATCH(YEAR($B126),'Yield Curve'!$B$48:$P$48,0)))/100)</f>
        <v>1.028375</v>
      </c>
      <c r="V128" s="183">
        <f>1+((INDEX('Yield Curve'!$B$48:$P$91,MATCH(ROUND(V127,0),'Yield Curve'!$B$48:$B$91,0),MATCH(YEAR($B126),'Yield Curve'!$B$48:$P$48,0)))/100)</f>
        <v>1.028375</v>
      </c>
      <c r="W128" s="183">
        <f>1+((INDEX('Yield Curve'!$B$48:$P$91,MATCH(ROUND(W127,0),'Yield Curve'!$B$48:$B$91,0),MATCH(YEAR($B126),'Yield Curve'!$B$48:$P$48,0)))/100)</f>
        <v>1.0306500000000001</v>
      </c>
      <c r="X128" s="183">
        <f>1+((INDEX('Yield Curve'!$B$48:$P$91,MATCH(ROUND(X127,0),'Yield Curve'!$B$48:$B$91,0),MATCH(YEAR($B126),'Yield Curve'!$B$48:$P$48,0)))/100)</f>
        <v>1.0306500000000001</v>
      </c>
      <c r="Y128" s="183">
        <f>1+((INDEX('Yield Curve'!$B$48:$P$91,MATCH(ROUND(Y127,0),'Yield Curve'!$B$48:$B$91,0),MATCH(YEAR($B126),'Yield Curve'!$B$48:$P$48,0)))/100)</f>
        <v>1.0318624999999999</v>
      </c>
      <c r="Z128" s="183">
        <f>1+((INDEX('Yield Curve'!$B$48:$P$91,MATCH(ROUND(Z127,0),'Yield Curve'!$B$48:$B$91,0),MATCH(YEAR($B126),'Yield Curve'!$B$48:$P$48,0)))/100)</f>
        <v>1.0318624999999999</v>
      </c>
      <c r="AA128" s="183">
        <f>1+((INDEX('Yield Curve'!$B$48:$P$91,MATCH(ROUND(AA127,0),'Yield Curve'!$B$48:$B$91,0),MATCH(YEAR($B126),'Yield Curve'!$B$48:$P$48,0)))/100)</f>
        <v>1.0342875</v>
      </c>
      <c r="AB128" s="183">
        <f>1+((INDEX('Yield Curve'!$B$48:$P$91,MATCH(ROUND(AB127,0),'Yield Curve'!$B$48:$B$91,0),MATCH(YEAR($B126),'Yield Curve'!$B$48:$P$48,0)))/100)</f>
        <v>1.0342875</v>
      </c>
      <c r="AC128" s="183">
        <f>1+((INDEX('Yield Curve'!$B$48:$P$91,MATCH(ROUND(AC127,0),'Yield Curve'!$B$48:$B$91,0),MATCH(YEAR($B126),'Yield Curve'!$B$48:$P$48,0)))/100)</f>
        <v>1.0355000000000001</v>
      </c>
      <c r="AD128" s="183">
        <f>1+((INDEX('Yield Curve'!$B$48:$P$91,MATCH(ROUND(AD127,0),'Yield Curve'!$B$48:$B$91,0),MATCH(YEAR($B126),'Yield Curve'!$B$48:$P$48,0)))/100)</f>
        <v>1.0355000000000001</v>
      </c>
      <c r="AE128" s="183">
        <f>1+((INDEX('Yield Curve'!$B$48:$P$91,MATCH(ROUND(AE127,0),'Yield Curve'!$B$48:$B$91,0),MATCH(YEAR($B126),'Yield Curve'!$B$48:$P$48,0)))/100)</f>
        <v>1.0355000000000001</v>
      </c>
      <c r="AF128" s="183">
        <f>1+((INDEX('Yield Curve'!$B$48:$P$91,MATCH(ROUND(AF127,0),'Yield Curve'!$B$48:$B$91,0),MATCH(YEAR($B126),'Yield Curve'!$B$48:$P$48,0)))/100)</f>
        <v>1.0355000000000001</v>
      </c>
      <c r="AG128" s="183">
        <f>1+((INDEX('Yield Curve'!$B$48:$P$91,MATCH(ROUND(AG127,0),'Yield Curve'!$B$48:$B$91,0),MATCH(YEAR($B126),'Yield Curve'!$B$48:$P$48,0)))/100)</f>
        <v>1.0355000000000001</v>
      </c>
      <c r="AH128" s="183">
        <f>1+((INDEX('Yield Curve'!$B$48:$P$91,MATCH(ROUND(AH127,0),'Yield Curve'!$B$48:$B$91,0),MATCH(YEAR($B126),'Yield Curve'!$B$48:$P$48,0)))/100)</f>
        <v>1.0355000000000001</v>
      </c>
      <c r="AI128" s="183">
        <f>1+((INDEX('Yield Curve'!$B$48:$P$91,MATCH(ROUND(AI127,0),'Yield Curve'!$B$48:$B$91,0),MATCH(YEAR($B126),'Yield Curve'!$B$48:$P$48,0)))/100)</f>
        <v>1.0355000000000001</v>
      </c>
      <c r="AJ128" s="183">
        <f>1+((INDEX('Yield Curve'!$B$48:$P$91,MATCH(ROUND(AJ127,0),'Yield Curve'!$B$48:$B$91,0),MATCH(YEAR($B126),'Yield Curve'!$B$48:$P$48,0)))/100)</f>
        <v>1.0355000000000001</v>
      </c>
      <c r="AK128" s="183">
        <f>1+((INDEX('Yield Curve'!$B$48:$P$91,MATCH(ROUND(AK127,0),'Yield Curve'!$B$48:$B$91,0),MATCH(YEAR($B126),'Yield Curve'!$B$48:$P$48,0)))/100)</f>
        <v>1.0355000000000001</v>
      </c>
      <c r="AL128" s="183">
        <f>1+((INDEX('Yield Curve'!$B$48:$P$91,MATCH(ROUND(AL127,0),'Yield Curve'!$B$48:$B$91,0),MATCH(YEAR($B126),'Yield Curve'!$B$48:$P$48,0)))/100)</f>
        <v>1.0355000000000001</v>
      </c>
      <c r="AM128" s="183">
        <f>1+((INDEX('Yield Curve'!$B$48:$P$91,MATCH(ROUND(AM127,0),'Yield Curve'!$B$48:$B$91,0),MATCH(YEAR($B126),'Yield Curve'!$B$48:$P$48,0)))/100)</f>
        <v>1.0355000000000001</v>
      </c>
    </row>
    <row r="129" spans="2:39">
      <c r="B129" t="s">
        <v>212</v>
      </c>
      <c r="C129" s="182">
        <f>SUM(D129:AM129)</f>
        <v>83.749995941850727</v>
      </c>
      <c r="J129" s="182">
        <f t="shared" ref="J129" si="508">J$117/(J128^J127)</f>
        <v>1.6284516586933775</v>
      </c>
      <c r="K129" s="182">
        <f t="shared" ref="K129" si="509">K$117/(K128^K127)</f>
        <v>1.6100020944850768</v>
      </c>
      <c r="L129" s="182">
        <f t="shared" ref="L129" si="510">L$117/(L128^L127)</f>
        <v>1.591761554853993</v>
      </c>
      <c r="M129" s="182">
        <f t="shared" ref="M129" si="511">M$117/(M128^M127)</f>
        <v>1.5737276716534643</v>
      </c>
      <c r="N129" s="182">
        <f t="shared" ref="N129" si="512">N$117/(N128^N127)</f>
        <v>1.5558981035667787</v>
      </c>
      <c r="O129" s="182">
        <f t="shared" ref="O129" si="513">O$117/(O128^O127)</f>
        <v>1.5382705358032007</v>
      </c>
      <c r="P129" s="182">
        <f t="shared" ref="P129" si="514">P$117/(P128^P127)</f>
        <v>1.5208426797974475</v>
      </c>
      <c r="Q129" s="182">
        <f t="shared" ref="Q129" si="515">Q$117/(Q128^Q127)</f>
        <v>1.495625946011284</v>
      </c>
      <c r="R129" s="182">
        <f t="shared" ref="R129" si="516">R$117/(R128^R127)</f>
        <v>1.4775803717904998</v>
      </c>
      <c r="S129" s="182">
        <f t="shared" ref="S129" si="517">S$117/(S128^S127)</f>
        <v>1.4498526670065817</v>
      </c>
      <c r="T129" s="182">
        <f t="shared" ref="T129" si="518">T$117/(T128^T127)</f>
        <v>1.4312945841970734</v>
      </c>
      <c r="U129" s="182">
        <f t="shared" ref="U129" si="519">U$117/(U128^U127)</f>
        <v>1.3956344889527583</v>
      </c>
      <c r="V129" s="182">
        <f t="shared" ref="V129" si="520">V$117/(V128^V127)</f>
        <v>1.3762455827282507</v>
      </c>
      <c r="W129" s="182">
        <f t="shared" ref="W129" si="521">W$117/(W128^W127)</f>
        <v>1.3375494422369787</v>
      </c>
      <c r="X129" s="182">
        <f t="shared" ref="X129" si="522">X$117/(X128^X127)</f>
        <v>1.3175109725129217</v>
      </c>
      <c r="Y129" s="182">
        <f t="shared" ref="Y129" si="523">Y$117/(Y128^Y127)</f>
        <v>1.2862651425895353</v>
      </c>
      <c r="Z129" s="182">
        <f t="shared" ref="Z129" si="524">Z$117/(Z128^Z127)</f>
        <v>1.2662503713990056</v>
      </c>
      <c r="AA129" s="182">
        <f t="shared" ref="AA129" si="525">AA$117/(AA128^AA127)</f>
        <v>1.2217056119971588</v>
      </c>
      <c r="AB129" s="182">
        <f t="shared" ref="AB129" si="526">AB$117/(AB128^AB127)</f>
        <v>1.2012846587026753</v>
      </c>
      <c r="AC129" s="182">
        <f t="shared" ref="AC129" si="527">AC$117/(AC128^AC127)</f>
        <v>1.1680275805696134</v>
      </c>
      <c r="AD129" s="182">
        <f t="shared" ref="AD129" si="528">AD$117/(AD128^AD127)</f>
        <v>1.1478312550307224</v>
      </c>
      <c r="AE129" s="182">
        <f t="shared" ref="AE129" si="529">AE$117/(AE128^AE127)</f>
        <v>1.1279841434762081</v>
      </c>
      <c r="AF129" s="182">
        <f t="shared" ref="AF129" si="530">AF$117/(AF128^AF127)</f>
        <v>1.1084802076588336</v>
      </c>
      <c r="AG129" s="182">
        <f t="shared" ref="AG129" si="531">AG$117/(AG128^AG127)</f>
        <v>1.0893135137384915</v>
      </c>
      <c r="AH129" s="182">
        <f t="shared" ref="AH129" si="532">AH$117/(AH128^AH127)</f>
        <v>1.0704782304769034</v>
      </c>
      <c r="AI129" s="182">
        <f t="shared" ref="AI129" si="533">AI$117/(AI128^AI127)</f>
        <v>1.0519686274635358</v>
      </c>
      <c r="AJ129" s="182">
        <f t="shared" ref="AJ129" si="534">AJ$117/(AJ128^AJ127)</f>
        <v>1.0337790733721905</v>
      </c>
      <c r="AK129" s="182">
        <f t="shared" ref="AK129" si="535">AK$117/(AK128^AK127)</f>
        <v>1.015904034247741</v>
      </c>
      <c r="AL129" s="182">
        <f t="shared" ref="AL129" si="536">AL$117/(AL128^AL127)</f>
        <v>0.9983380718224919</v>
      </c>
      <c r="AM129" s="182">
        <f t="shared" ref="AM129" si="537">AM$117/(AM128^AM127)</f>
        <v>45.662137065015941</v>
      </c>
    </row>
    <row r="130" spans="2:39">
      <c r="B130" s="135">
        <v>44012</v>
      </c>
    </row>
    <row r="131" spans="2:39">
      <c r="B131" t="s">
        <v>210</v>
      </c>
      <c r="L131" s="182">
        <f t="shared" ref="L131" si="538">(L$116-$B130)/365</f>
        <v>7.260273972602739E-2</v>
      </c>
      <c r="M131" s="182">
        <f t="shared" ref="M131" si="539">(M$116-$B130)/365</f>
        <v>0.57260273972602738</v>
      </c>
      <c r="N131" s="182">
        <f t="shared" ref="N131" si="540">(N$116-$B130)/365</f>
        <v>1.0726027397260274</v>
      </c>
      <c r="O131" s="182">
        <f t="shared" ref="O131" si="541">(O$116-$B130)/365</f>
        <v>1.5726027397260274</v>
      </c>
      <c r="P131" s="182">
        <f t="shared" ref="P131" si="542">(P$116-$B130)/365</f>
        <v>2.0726027397260274</v>
      </c>
      <c r="Q131" s="182">
        <f t="shared" ref="Q131" si="543">(Q$116-$B130)/365</f>
        <v>2.5726027397260274</v>
      </c>
      <c r="R131" s="182">
        <f t="shared" ref="R131" si="544">(R$116-$B130)/365</f>
        <v>3.0726027397260274</v>
      </c>
      <c r="S131" s="182">
        <f t="shared" ref="S131" si="545">(S$116-$B130)/365</f>
        <v>3.5726027397260274</v>
      </c>
      <c r="T131" s="182">
        <f t="shared" ref="T131" si="546">(T$116-$B130)/365</f>
        <v>4.0726027397260278</v>
      </c>
      <c r="U131" s="182">
        <f t="shared" ref="U131" si="547">(U$116-$B130)/365</f>
        <v>4.5726027397260278</v>
      </c>
      <c r="V131" s="182">
        <f t="shared" ref="V131" si="548">(V$116-$B130)/365</f>
        <v>5.0726027397260278</v>
      </c>
      <c r="W131" s="182">
        <f t="shared" ref="W131" si="549">(W$116-$B130)/365</f>
        <v>5.5726027397260278</v>
      </c>
      <c r="X131" s="182">
        <f t="shared" ref="X131" si="550">(X$116-$B130)/365</f>
        <v>6.0726027397260278</v>
      </c>
      <c r="Y131" s="182">
        <f t="shared" ref="Y131" si="551">(Y$116-$B130)/365</f>
        <v>6.5726027397260278</v>
      </c>
      <c r="Z131" s="182">
        <f t="shared" ref="Z131" si="552">(Z$116-$B130)/365</f>
        <v>7.0726027397260278</v>
      </c>
      <c r="AA131" s="182">
        <f t="shared" ref="AA131" si="553">(AA$116-$B130)/365</f>
        <v>7.5726027397260278</v>
      </c>
      <c r="AB131" s="182">
        <f t="shared" ref="AB131" si="554">(AB$116-$B130)/365</f>
        <v>8.0726027397260278</v>
      </c>
      <c r="AC131" s="182">
        <f t="shared" ref="AC131" si="555">(AC$116-$B130)/365</f>
        <v>8.5726027397260278</v>
      </c>
      <c r="AD131" s="182">
        <f t="shared" ref="AD131" si="556">(AD$116-$B130)/365</f>
        <v>9.0726027397260278</v>
      </c>
      <c r="AE131" s="182">
        <f t="shared" ref="AE131" si="557">(AE$116-$B130)/365</f>
        <v>9.5726027397260278</v>
      </c>
      <c r="AF131" s="182">
        <f t="shared" ref="AF131" si="558">(AF$116-$B130)/365</f>
        <v>10.072602739726028</v>
      </c>
      <c r="AG131" s="182">
        <f t="shared" ref="AG131" si="559">(AG$116-$B130)/365</f>
        <v>10.572602739726028</v>
      </c>
      <c r="AH131" s="182">
        <f t="shared" ref="AH131" si="560">(AH$116-$B130)/365</f>
        <v>11.072602739726028</v>
      </c>
      <c r="AI131" s="182">
        <f t="shared" ref="AI131" si="561">(AI$116-$B130)/365</f>
        <v>11.572602739726028</v>
      </c>
      <c r="AJ131" s="182">
        <f t="shared" ref="AJ131" si="562">(AJ$116-$B130)/365</f>
        <v>12.072602739726028</v>
      </c>
      <c r="AK131" s="182">
        <f t="shared" ref="AK131" si="563">(AK$116-$B130)/365</f>
        <v>12.572602739726028</v>
      </c>
      <c r="AL131" s="182">
        <f t="shared" ref="AL131" si="564">(AL$116-$B130)/365</f>
        <v>13.072602739726028</v>
      </c>
      <c r="AM131" s="182">
        <f t="shared" ref="AM131" si="565">(AM$116-$B130)/365</f>
        <v>13.221917808219178</v>
      </c>
    </row>
    <row r="132" spans="2:39">
      <c r="B132" t="s">
        <v>211</v>
      </c>
      <c r="L132" s="183">
        <f>1+((INDEX('Yield Curve'!$B$48:$P$91,MATCH(ROUND(L131,0),'Yield Curve'!$B$48:$B$91,0),MATCH(YEAR($B130),'Yield Curve'!$B$48:$P$48,0)))/100)</f>
        <v>1.02105</v>
      </c>
      <c r="M132" s="183">
        <f>1+((INDEX('Yield Curve'!$B$48:$P$91,MATCH(ROUND(M131,0),'Yield Curve'!$B$48:$B$91,0),MATCH(YEAR($B130),'Yield Curve'!$B$48:$P$48,0)))/100)</f>
        <v>1.02105</v>
      </c>
      <c r="N132" s="183">
        <f>1+((INDEX('Yield Curve'!$B$48:$P$91,MATCH(ROUND(N131,0),'Yield Curve'!$B$48:$B$91,0),MATCH(YEAR($B130),'Yield Curve'!$B$48:$P$48,0)))/100)</f>
        <v>1.02105</v>
      </c>
      <c r="O132" s="183">
        <f>1+((INDEX('Yield Curve'!$B$48:$P$91,MATCH(ROUND(O131,0),'Yield Curve'!$B$48:$B$91,0),MATCH(YEAR($B130),'Yield Curve'!$B$48:$P$48,0)))/100)</f>
        <v>1.02105</v>
      </c>
      <c r="P132" s="183">
        <f>1+((INDEX('Yield Curve'!$B$48:$P$91,MATCH(ROUND(P131,0),'Yield Curve'!$B$48:$B$91,0),MATCH(YEAR($B130),'Yield Curve'!$B$48:$P$48,0)))/100)</f>
        <v>1.02105</v>
      </c>
      <c r="Q132" s="183">
        <f>1+((INDEX('Yield Curve'!$B$48:$P$91,MATCH(ROUND(Q131,0),'Yield Curve'!$B$48:$B$91,0),MATCH(YEAR($B130),'Yield Curve'!$B$48:$P$48,0)))/100)</f>
        <v>1.02105</v>
      </c>
      <c r="R132" s="183">
        <f>1+((INDEX('Yield Curve'!$B$48:$P$91,MATCH(ROUND(R131,0),'Yield Curve'!$B$48:$B$91,0),MATCH(YEAR($B130),'Yield Curve'!$B$48:$P$48,0)))/100)</f>
        <v>1.02105</v>
      </c>
      <c r="S132" s="183">
        <f>1+((INDEX('Yield Curve'!$B$48:$P$91,MATCH(ROUND(S131,0),'Yield Curve'!$B$48:$B$91,0),MATCH(YEAR($B130),'Yield Curve'!$B$48:$P$48,0)))/100)</f>
        <v>1.0229999999999999</v>
      </c>
      <c r="T132" s="183">
        <f>1+((INDEX('Yield Curve'!$B$48:$P$91,MATCH(ROUND(T131,0),'Yield Curve'!$B$48:$B$91,0),MATCH(YEAR($B130),'Yield Curve'!$B$48:$P$48,0)))/100)</f>
        <v>1.0229999999999999</v>
      </c>
      <c r="U132" s="183">
        <f>1+((INDEX('Yield Curve'!$B$48:$P$91,MATCH(ROUND(U131,0),'Yield Curve'!$B$48:$B$91,0),MATCH(YEAR($B130),'Yield Curve'!$B$48:$P$48,0)))/100)</f>
        <v>1.02495</v>
      </c>
      <c r="V132" s="183">
        <f>1+((INDEX('Yield Curve'!$B$48:$P$91,MATCH(ROUND(V131,0),'Yield Curve'!$B$48:$B$91,0),MATCH(YEAR($B130),'Yield Curve'!$B$48:$P$48,0)))/100)</f>
        <v>1.02495</v>
      </c>
      <c r="W132" s="183">
        <f>1+((INDEX('Yield Curve'!$B$48:$P$91,MATCH(ROUND(W131,0),'Yield Curve'!$B$48:$B$91,0),MATCH(YEAR($B130),'Yield Curve'!$B$48:$P$48,0)))/100)</f>
        <v>1.0282249999999999</v>
      </c>
      <c r="X132" s="183">
        <f>1+((INDEX('Yield Curve'!$B$48:$P$91,MATCH(ROUND(X131,0),'Yield Curve'!$B$48:$B$91,0),MATCH(YEAR($B130),'Yield Curve'!$B$48:$P$48,0)))/100)</f>
        <v>1.0282249999999999</v>
      </c>
      <c r="Y132" s="183">
        <f>1+((INDEX('Yield Curve'!$B$48:$P$91,MATCH(ROUND(Y131,0),'Yield Curve'!$B$48:$B$91,0),MATCH(YEAR($B130),'Yield Curve'!$B$48:$P$48,0)))/100)</f>
        <v>1.0315000000000001</v>
      </c>
      <c r="Z132" s="183">
        <f>1+((INDEX('Yield Curve'!$B$48:$P$91,MATCH(ROUND(Z131,0),'Yield Curve'!$B$48:$B$91,0),MATCH(YEAR($B130),'Yield Curve'!$B$48:$P$48,0)))/100)</f>
        <v>1.0315000000000001</v>
      </c>
      <c r="AA132" s="183">
        <f>1+((INDEX('Yield Curve'!$B$48:$P$91,MATCH(ROUND(AA131,0),'Yield Curve'!$B$48:$B$91,0),MATCH(YEAR($B130),'Yield Curve'!$B$48:$P$48,0)))/100)</f>
        <v>1.0322499999999999</v>
      </c>
      <c r="AB132" s="183">
        <f>1+((INDEX('Yield Curve'!$B$48:$P$91,MATCH(ROUND(AB131,0),'Yield Curve'!$B$48:$B$91,0),MATCH(YEAR($B130),'Yield Curve'!$B$48:$P$48,0)))/100)</f>
        <v>1.0322499999999999</v>
      </c>
      <c r="AC132" s="183">
        <f>1+((INDEX('Yield Curve'!$B$48:$P$91,MATCH(ROUND(AC131,0),'Yield Curve'!$B$48:$B$91,0),MATCH(YEAR($B130),'Yield Curve'!$B$48:$P$48,0)))/100)</f>
        <v>1.0337499999999999</v>
      </c>
      <c r="AD132" s="183">
        <f>1+((INDEX('Yield Curve'!$B$48:$P$91,MATCH(ROUND(AD131,0),'Yield Curve'!$B$48:$B$91,0),MATCH(YEAR($B130),'Yield Curve'!$B$48:$P$48,0)))/100)</f>
        <v>1.0337499999999999</v>
      </c>
      <c r="AE132" s="183">
        <f>1+((INDEX('Yield Curve'!$B$48:$P$91,MATCH(ROUND(AE131,0),'Yield Curve'!$B$48:$B$91,0),MATCH(YEAR($B130),'Yield Curve'!$B$48:$P$48,0)))/100)</f>
        <v>1.0345</v>
      </c>
      <c r="AF132" s="183">
        <f>1+((INDEX('Yield Curve'!$B$48:$P$91,MATCH(ROUND(AF131,0),'Yield Curve'!$B$48:$B$91,0),MATCH(YEAR($B130),'Yield Curve'!$B$48:$P$48,0)))/100)</f>
        <v>1.0345</v>
      </c>
      <c r="AG132" s="183">
        <f>1+((INDEX('Yield Curve'!$B$48:$P$91,MATCH(ROUND(AG131,0),'Yield Curve'!$B$48:$B$91,0),MATCH(YEAR($B130),'Yield Curve'!$B$48:$P$48,0)))/100)</f>
        <v>1.0345</v>
      </c>
      <c r="AH132" s="183">
        <f>1+((INDEX('Yield Curve'!$B$48:$P$91,MATCH(ROUND(AH131,0),'Yield Curve'!$B$48:$B$91,0),MATCH(YEAR($B130),'Yield Curve'!$B$48:$P$48,0)))/100)</f>
        <v>1.0345</v>
      </c>
      <c r="AI132" s="183">
        <f>1+((INDEX('Yield Curve'!$B$48:$P$91,MATCH(ROUND(AI131,0),'Yield Curve'!$B$48:$B$91,0),MATCH(YEAR($B130),'Yield Curve'!$B$48:$P$48,0)))/100)</f>
        <v>1.0345</v>
      </c>
      <c r="AJ132" s="183">
        <f>1+((INDEX('Yield Curve'!$B$48:$P$91,MATCH(ROUND(AJ131,0),'Yield Curve'!$B$48:$B$91,0),MATCH(YEAR($B130),'Yield Curve'!$B$48:$P$48,0)))/100)</f>
        <v>1.0345</v>
      </c>
      <c r="AK132" s="183">
        <f>1+((INDEX('Yield Curve'!$B$48:$P$91,MATCH(ROUND(AK131,0),'Yield Curve'!$B$48:$B$91,0),MATCH(YEAR($B130),'Yield Curve'!$B$48:$P$48,0)))/100)</f>
        <v>1.0345</v>
      </c>
      <c r="AL132" s="183">
        <f>1+((INDEX('Yield Curve'!$B$48:$P$91,MATCH(ROUND(AL131,0),'Yield Curve'!$B$48:$B$91,0),MATCH(YEAR($B130),'Yield Curve'!$B$48:$P$48,0)))/100)</f>
        <v>1.0345</v>
      </c>
      <c r="AM132" s="183">
        <f>1+((INDEX('Yield Curve'!$B$48:$P$91,MATCH(ROUND(AM131,0),'Yield Curve'!$B$48:$B$91,0),MATCH(YEAR($B130),'Yield Curve'!$B$48:$P$48,0)))/100)</f>
        <v>1.0345</v>
      </c>
    </row>
    <row r="133" spans="2:39">
      <c r="B133" t="s">
        <v>212</v>
      </c>
      <c r="C133" s="182">
        <f>SUM(D133:AM133)</f>
        <v>84.126204888515772</v>
      </c>
      <c r="L133" s="182">
        <f t="shared" ref="L133" si="566">L$117/(L132^L131)</f>
        <v>1.6287847220036662</v>
      </c>
      <c r="M133" s="182">
        <f t="shared" ref="M133" si="567">M$117/(M132^M131)</f>
        <v>1.6119077455366397</v>
      </c>
      <c r="N133" s="182">
        <f t="shared" ref="N133" si="568">N$117/(N132^N131)</f>
        <v>1.5952056432140109</v>
      </c>
      <c r="O133" s="182">
        <f t="shared" ref="O133" si="569">O$117/(O132^O131)</f>
        <v>1.5786766030425929</v>
      </c>
      <c r="P133" s="182">
        <f t="shared" ref="P133" si="570">P$117/(P132^P131)</f>
        <v>1.5623188318045258</v>
      </c>
      <c r="Q133" s="182">
        <f t="shared" ref="Q133" si="571">Q$117/(Q132^Q131)</f>
        <v>1.5461305548627324</v>
      </c>
      <c r="R133" s="182">
        <f t="shared" ref="R133" si="572">R$117/(R132^R131)</f>
        <v>1.5301100159683911</v>
      </c>
      <c r="S133" s="182">
        <f t="shared" ref="S133" si="573">S$117/(S132^S131)</f>
        <v>1.5039687368484738</v>
      </c>
      <c r="T133" s="182">
        <f t="shared" ref="T133" si="574">T$117/(T132^T131)</f>
        <v>1.4869658405509489</v>
      </c>
      <c r="U133" s="182">
        <f t="shared" ref="U133" si="575">U$117/(U132^U131)</f>
        <v>1.4574089150680982</v>
      </c>
      <c r="V133" s="182">
        <f t="shared" ref="V133" si="576">V$117/(V132^V131)</f>
        <v>1.4395610315065956</v>
      </c>
      <c r="W133" s="182">
        <f t="shared" ref="W133" si="577">W$117/(W132^W131)</f>
        <v>1.3968765181371614</v>
      </c>
      <c r="X133" s="182">
        <f t="shared" ref="X133" si="578">X$117/(X132^X131)</f>
        <v>1.3775708276971743</v>
      </c>
      <c r="Y133" s="182">
        <f t="shared" ref="Y133" si="579">Y$117/(Y132^Y131)</f>
        <v>1.3304317836309392</v>
      </c>
      <c r="Z133" s="182">
        <f t="shared" ref="Z133" si="580">Z$117/(Z132^Z131)</f>
        <v>1.3099598817534792</v>
      </c>
      <c r="AA133" s="182">
        <f t="shared" ref="AA133" si="581">AA$117/(AA132^AA131)</f>
        <v>1.2827233993749476</v>
      </c>
      <c r="AB133" s="182">
        <f t="shared" ref="AB133" si="582">AB$117/(AB132^AB131)</f>
        <v>1.2625267001117466</v>
      </c>
      <c r="AC133" s="182">
        <f t="shared" ref="AC133" si="583">AC$117/(AC132^AC131)</f>
        <v>1.2272752512220613</v>
      </c>
      <c r="AD133" s="182">
        <f t="shared" ref="AD133" si="584">AD$117/(AD132^AD131)</f>
        <v>1.2070748887092821</v>
      </c>
      <c r="AE133" s="182">
        <f t="shared" ref="AE133" si="585">AE$117/(AE132^AE131)</f>
        <v>1.1789933292752597</v>
      </c>
      <c r="AF133" s="182">
        <f t="shared" ref="AF133" si="586">AF$117/(AF132^AF131)</f>
        <v>1.1591672443244347</v>
      </c>
      <c r="AG133" s="182">
        <f t="shared" ref="AG133" si="587">AG$117/(AG132^AG131)</f>
        <v>1.1396745570568001</v>
      </c>
      <c r="AH133" s="182">
        <f t="shared" ref="AH133" si="588">AH$117/(AH132^AH131)</f>
        <v>1.1205096610192697</v>
      </c>
      <c r="AI133" s="182">
        <f t="shared" ref="AI133" si="589">AI$117/(AI132^AI131)</f>
        <v>1.101667044037506</v>
      </c>
      <c r="AJ133" s="182">
        <f t="shared" ref="AJ133" si="590">AJ$117/(AJ132^AJ131)</f>
        <v>1.083141286630517</v>
      </c>
      <c r="AK133" s="182">
        <f t="shared" ref="AK133" si="591">AK$117/(AK132^AK131)</f>
        <v>1.064927060451915</v>
      </c>
      <c r="AL133" s="182">
        <f t="shared" ref="AL133" si="592">AL$117/(AL132^AL131)</f>
        <v>1.0470191267573872</v>
      </c>
      <c r="AM133" s="182">
        <f t="shared" ref="AM133" si="593">AM$117/(AM132^AM131)</f>
        <v>47.895627687919223</v>
      </c>
    </row>
    <row r="134" spans="2:39">
      <c r="B134" s="135">
        <v>44377</v>
      </c>
    </row>
    <row r="135" spans="2:39">
      <c r="B135" t="s">
        <v>210</v>
      </c>
      <c r="N135" s="182">
        <f t="shared" ref="N135" si="594">(N$116-$B134)/365</f>
        <v>7.260273972602739E-2</v>
      </c>
      <c r="O135" s="182">
        <f t="shared" ref="O135" si="595">(O$116-$B134)/365</f>
        <v>0.57260273972602738</v>
      </c>
      <c r="P135" s="182">
        <f t="shared" ref="P135" si="596">(P$116-$B134)/365</f>
        <v>1.0726027397260274</v>
      </c>
      <c r="Q135" s="182">
        <f t="shared" ref="Q135" si="597">(Q$116-$B134)/365</f>
        <v>1.5726027397260274</v>
      </c>
      <c r="R135" s="182">
        <f t="shared" ref="R135" si="598">(R$116-$B134)/365</f>
        <v>2.0726027397260274</v>
      </c>
      <c r="S135" s="182">
        <f t="shared" ref="S135" si="599">(S$116-$B134)/365</f>
        <v>2.5726027397260274</v>
      </c>
      <c r="T135" s="182">
        <f t="shared" ref="T135" si="600">(T$116-$B134)/365</f>
        <v>3.0726027397260274</v>
      </c>
      <c r="U135" s="182">
        <f t="shared" ref="U135" si="601">(U$116-$B134)/365</f>
        <v>3.5726027397260274</v>
      </c>
      <c r="V135" s="182">
        <f t="shared" ref="V135" si="602">(V$116-$B134)/365</f>
        <v>4.0726027397260278</v>
      </c>
      <c r="W135" s="182">
        <f t="shared" ref="W135" si="603">(W$116-$B134)/365</f>
        <v>4.5726027397260278</v>
      </c>
      <c r="X135" s="182">
        <f t="shared" ref="X135" si="604">(X$116-$B134)/365</f>
        <v>5.0726027397260278</v>
      </c>
      <c r="Y135" s="182">
        <f t="shared" ref="Y135" si="605">(Y$116-$B134)/365</f>
        <v>5.5726027397260278</v>
      </c>
      <c r="Z135" s="182">
        <f t="shared" ref="Z135" si="606">(Z$116-$B134)/365</f>
        <v>6.0726027397260278</v>
      </c>
      <c r="AA135" s="182">
        <f t="shared" ref="AA135" si="607">(AA$116-$B134)/365</f>
        <v>6.5726027397260278</v>
      </c>
      <c r="AB135" s="182">
        <f t="shared" ref="AB135" si="608">(AB$116-$B134)/365</f>
        <v>7.0726027397260278</v>
      </c>
      <c r="AC135" s="182">
        <f t="shared" ref="AC135" si="609">(AC$116-$B134)/365</f>
        <v>7.5726027397260278</v>
      </c>
      <c r="AD135" s="182">
        <f t="shared" ref="AD135" si="610">(AD$116-$B134)/365</f>
        <v>8.0726027397260278</v>
      </c>
      <c r="AE135" s="182">
        <f t="shared" ref="AE135" si="611">(AE$116-$B134)/365</f>
        <v>8.5726027397260278</v>
      </c>
      <c r="AF135" s="182">
        <f t="shared" ref="AF135" si="612">(AF$116-$B134)/365</f>
        <v>9.0726027397260278</v>
      </c>
      <c r="AG135" s="182">
        <f t="shared" ref="AG135" si="613">(AG$116-$B134)/365</f>
        <v>9.5726027397260278</v>
      </c>
      <c r="AH135" s="182">
        <f t="shared" ref="AH135" si="614">(AH$116-$B134)/365</f>
        <v>10.072602739726028</v>
      </c>
      <c r="AI135" s="182">
        <f t="shared" ref="AI135" si="615">(AI$116-$B134)/365</f>
        <v>10.572602739726028</v>
      </c>
      <c r="AJ135" s="182">
        <f t="shared" ref="AJ135" si="616">(AJ$116-$B134)/365</f>
        <v>11.072602739726028</v>
      </c>
      <c r="AK135" s="182">
        <f t="shared" ref="AK135" si="617">(AK$116-$B134)/365</f>
        <v>11.572602739726028</v>
      </c>
      <c r="AL135" s="182">
        <f t="shared" ref="AL135" si="618">(AL$116-$B134)/365</f>
        <v>12.072602739726028</v>
      </c>
      <c r="AM135" s="182">
        <f t="shared" ref="AM135" si="619">(AM$116-$B134)/365</f>
        <v>12.221917808219178</v>
      </c>
    </row>
    <row r="136" spans="2:39">
      <c r="B136" t="s">
        <v>211</v>
      </c>
      <c r="N136" s="183">
        <f>1+((INDEX('Yield Curve'!$B$48:$P$91,MATCH(ROUND(N135,0),'Yield Curve'!$B$48:$B$91,0),MATCH(YEAR($B134),'Yield Curve'!$B$48:$P$48,0)))/100)</f>
        <v>1.0129999999999999</v>
      </c>
      <c r="O136" s="183">
        <f>1+((INDEX('Yield Curve'!$B$48:$P$91,MATCH(ROUND(O135,0),'Yield Curve'!$B$48:$B$91,0),MATCH(YEAR($B134),'Yield Curve'!$B$48:$P$48,0)))/100)</f>
        <v>1.0129999999999999</v>
      </c>
      <c r="P136" s="183">
        <f>1+((INDEX('Yield Curve'!$B$48:$P$91,MATCH(ROUND(P135,0),'Yield Curve'!$B$48:$B$91,0),MATCH(YEAR($B134),'Yield Curve'!$B$48:$P$48,0)))/100)</f>
        <v>1.0129999999999999</v>
      </c>
      <c r="Q136" s="183">
        <f>1+((INDEX('Yield Curve'!$B$48:$P$91,MATCH(ROUND(Q135,0),'Yield Curve'!$B$48:$B$91,0),MATCH(YEAR($B134),'Yield Curve'!$B$48:$P$48,0)))/100)</f>
        <v>1.0129999999999999</v>
      </c>
      <c r="R136" s="183">
        <f>1+((INDEX('Yield Curve'!$B$48:$P$91,MATCH(ROUND(R135,0),'Yield Curve'!$B$48:$B$91,0),MATCH(YEAR($B134),'Yield Curve'!$B$48:$P$48,0)))/100)</f>
        <v>1.0129999999999999</v>
      </c>
      <c r="S136" s="183">
        <f>1+((INDEX('Yield Curve'!$B$48:$P$91,MATCH(ROUND(S135,0),'Yield Curve'!$B$48:$B$91,0),MATCH(YEAR($B134),'Yield Curve'!$B$48:$P$48,0)))/100)</f>
        <v>1.0129999999999999</v>
      </c>
      <c r="T136" s="183">
        <f>1+((INDEX('Yield Curve'!$B$48:$P$91,MATCH(ROUND(T135,0),'Yield Curve'!$B$48:$B$91,0),MATCH(YEAR($B134),'Yield Curve'!$B$48:$P$48,0)))/100)</f>
        <v>1.0129999999999999</v>
      </c>
      <c r="U136" s="183">
        <f>1+((INDEX('Yield Curve'!$B$48:$P$91,MATCH(ROUND(U135,0),'Yield Curve'!$B$48:$B$91,0),MATCH(YEAR($B134),'Yield Curve'!$B$48:$P$48,0)))/100)</f>
        <v>1.0161249999999999</v>
      </c>
      <c r="V136" s="183">
        <f>1+((INDEX('Yield Curve'!$B$48:$P$91,MATCH(ROUND(V135,0),'Yield Curve'!$B$48:$B$91,0),MATCH(YEAR($B134),'Yield Curve'!$B$48:$P$48,0)))/100)</f>
        <v>1.0161249999999999</v>
      </c>
      <c r="W136" s="183">
        <f>1+((INDEX('Yield Curve'!$B$48:$P$91,MATCH(ROUND(W135,0),'Yield Curve'!$B$48:$B$91,0),MATCH(YEAR($B134),'Yield Curve'!$B$48:$P$48,0)))/100)</f>
        <v>1.01925</v>
      </c>
      <c r="X136" s="183">
        <f>1+((INDEX('Yield Curve'!$B$48:$P$91,MATCH(ROUND(X135,0),'Yield Curve'!$B$48:$B$91,0),MATCH(YEAR($B134),'Yield Curve'!$B$48:$P$48,0)))/100)</f>
        <v>1.01925</v>
      </c>
      <c r="Y136" s="183">
        <f>1+((INDEX('Yield Curve'!$B$48:$P$91,MATCH(ROUND(Y135,0),'Yield Curve'!$B$48:$B$91,0),MATCH(YEAR($B134),'Yield Curve'!$B$48:$P$48,0)))/100)</f>
        <v>1.022775</v>
      </c>
      <c r="Z136" s="183">
        <f>1+((INDEX('Yield Curve'!$B$48:$P$91,MATCH(ROUND(Z135,0),'Yield Curve'!$B$48:$B$91,0),MATCH(YEAR($B134),'Yield Curve'!$B$48:$P$48,0)))/100)</f>
        <v>1.022775</v>
      </c>
      <c r="AA136" s="183">
        <f>1+((INDEX('Yield Curve'!$B$48:$P$91,MATCH(ROUND(AA135,0),'Yield Curve'!$B$48:$B$91,0),MATCH(YEAR($B134),'Yield Curve'!$B$48:$P$48,0)))/100)</f>
        <v>1.0263</v>
      </c>
      <c r="AB136" s="183">
        <f>1+((INDEX('Yield Curve'!$B$48:$P$91,MATCH(ROUND(AB135,0),'Yield Curve'!$B$48:$B$91,0),MATCH(YEAR($B134),'Yield Curve'!$B$48:$P$48,0)))/100)</f>
        <v>1.0263</v>
      </c>
      <c r="AC136" s="183">
        <f>1+((INDEX('Yield Curve'!$B$48:$P$91,MATCH(ROUND(AC135,0),'Yield Curve'!$B$48:$B$91,0),MATCH(YEAR($B134),'Yield Curve'!$B$48:$P$48,0)))/100)</f>
        <v>1.027525</v>
      </c>
      <c r="AD136" s="183">
        <f>1+((INDEX('Yield Curve'!$B$48:$P$91,MATCH(ROUND(AD135,0),'Yield Curve'!$B$48:$B$91,0),MATCH(YEAR($B134),'Yield Curve'!$B$48:$P$48,0)))/100)</f>
        <v>1.027525</v>
      </c>
      <c r="AE136" s="183">
        <f>1+((INDEX('Yield Curve'!$B$48:$P$91,MATCH(ROUND(AE135,0),'Yield Curve'!$B$48:$B$91,0),MATCH(YEAR($B134),'Yield Curve'!$B$48:$P$48,0)))/100)</f>
        <v>1.0299750000000001</v>
      </c>
      <c r="AF136" s="183">
        <f>1+((INDEX('Yield Curve'!$B$48:$P$91,MATCH(ROUND(AF135,0),'Yield Curve'!$B$48:$B$91,0),MATCH(YEAR($B134),'Yield Curve'!$B$48:$P$48,0)))/100)</f>
        <v>1.0299750000000001</v>
      </c>
      <c r="AG136" s="183">
        <f>1+((INDEX('Yield Curve'!$B$48:$P$91,MATCH(ROUND(AG135,0),'Yield Curve'!$B$48:$B$91,0),MATCH(YEAR($B134),'Yield Curve'!$B$48:$P$48,0)))/100)</f>
        <v>1.0311999999999999</v>
      </c>
      <c r="AH136" s="183">
        <f>1+((INDEX('Yield Curve'!$B$48:$P$91,MATCH(ROUND(AH135,0),'Yield Curve'!$B$48:$B$91,0),MATCH(YEAR($B134),'Yield Curve'!$B$48:$P$48,0)))/100)</f>
        <v>1.0311999999999999</v>
      </c>
      <c r="AI136" s="183">
        <f>1+((INDEX('Yield Curve'!$B$48:$P$91,MATCH(ROUND(AI135,0),'Yield Curve'!$B$48:$B$91,0),MATCH(YEAR($B134),'Yield Curve'!$B$48:$P$48,0)))/100)</f>
        <v>1.0311999999999999</v>
      </c>
      <c r="AJ136" s="183">
        <f>1+((INDEX('Yield Curve'!$B$48:$P$91,MATCH(ROUND(AJ135,0),'Yield Curve'!$B$48:$B$91,0),MATCH(YEAR($B134),'Yield Curve'!$B$48:$P$48,0)))/100)</f>
        <v>1.0311999999999999</v>
      </c>
      <c r="AK136" s="183">
        <f>1+((INDEX('Yield Curve'!$B$48:$P$91,MATCH(ROUND(AK135,0),'Yield Curve'!$B$48:$B$91,0),MATCH(YEAR($B134),'Yield Curve'!$B$48:$P$48,0)))/100)</f>
        <v>1.0311999999999999</v>
      </c>
      <c r="AL136" s="183">
        <f>1+((INDEX('Yield Curve'!$B$48:$P$91,MATCH(ROUND(AL135,0),'Yield Curve'!$B$48:$B$91,0),MATCH(YEAR($B134),'Yield Curve'!$B$48:$P$48,0)))/100)</f>
        <v>1.0311999999999999</v>
      </c>
      <c r="AM136" s="183">
        <f>1+((INDEX('Yield Curve'!$B$48:$P$91,MATCH(ROUND(AM135,0),'Yield Curve'!$B$48:$B$91,0),MATCH(YEAR($B134),'Yield Curve'!$B$48:$P$48,0)))/100)</f>
        <v>1.0311999999999999</v>
      </c>
    </row>
    <row r="137" spans="2:39">
      <c r="B137" t="s">
        <v>212</v>
      </c>
      <c r="C137" s="182">
        <f>SUM(D137:AM137)</f>
        <v>86.524456509720778</v>
      </c>
      <c r="N137" s="182">
        <f t="shared" ref="N137" si="620">N$117/(N136^N135)</f>
        <v>1.6297210068833028</v>
      </c>
      <c r="O137" s="182">
        <f t="shared" ref="O137" si="621">O$117/(O136^O135)</f>
        <v>1.6192299975824331</v>
      </c>
      <c r="P137" s="182">
        <f t="shared" ref="P137" si="622">P$117/(P136^P135)</f>
        <v>1.6088065220960541</v>
      </c>
      <c r="Q137" s="182">
        <f t="shared" ref="Q137" si="623">Q$117/(Q136^Q135)</f>
        <v>1.598450145688483</v>
      </c>
      <c r="R137" s="182">
        <f t="shared" ref="R137" si="624">R$117/(R136^R135)</f>
        <v>1.5881604364225612</v>
      </c>
      <c r="S137" s="182">
        <f t="shared" ref="S137" si="625">S$117/(S136^S135)</f>
        <v>1.5779369651416419</v>
      </c>
      <c r="T137" s="182">
        <f t="shared" ref="T137" si="626">T$117/(T136^T135)</f>
        <v>1.5677793054516893</v>
      </c>
      <c r="U137" s="182">
        <f t="shared" ref="U137" si="627">U$117/(U136^U135)</f>
        <v>1.5406399865522318</v>
      </c>
      <c r="V137" s="182">
        <f t="shared" ref="V137" si="628">V$117/(V136^V135)</f>
        <v>1.528366807559997</v>
      </c>
      <c r="W137" s="182">
        <f t="shared" ref="W137" si="629">W$117/(W136^W135)</f>
        <v>1.4950512525087341</v>
      </c>
      <c r="X137" s="182">
        <f t="shared" ref="X137" si="630">X$117/(X136^X135)</f>
        <v>1.4808658603907614</v>
      </c>
      <c r="Y137" s="182">
        <f t="shared" ref="Y137" si="631">Y$117/(Y136^Y135)</f>
        <v>1.438864477572023</v>
      </c>
      <c r="Z137" s="182">
        <f t="shared" ref="Z137" si="632">Z$117/(Z136^Z135)</f>
        <v>1.422754077686194</v>
      </c>
      <c r="AA137" s="182">
        <f t="shared" ref="AA137" si="633">AA$117/(AA136^AA135)</f>
        <v>1.3753677593906513</v>
      </c>
      <c r="AB137" s="182">
        <f t="shared" ref="AB137" si="634">AB$117/(AB136^AB135)</f>
        <v>1.3576307784434927</v>
      </c>
      <c r="AC137" s="182">
        <f t="shared" ref="AC137" si="635">AC$117/(AC136^AC135)</f>
        <v>1.3280712810444619</v>
      </c>
      <c r="AD137" s="182">
        <f t="shared" ref="AD137" si="636">AD$117/(AD136^AD135)</f>
        <v>1.3101625665317009</v>
      </c>
      <c r="AE137" s="182">
        <f t="shared" ref="AE137" si="637">AE$117/(AE136^AE135)</f>
        <v>1.2663753926086128</v>
      </c>
      <c r="AF137" s="182">
        <f t="shared" ref="AF137" si="638">AF$117/(AF136^AF135)</f>
        <v>1.2478118949241974</v>
      </c>
      <c r="AG137" s="182">
        <f t="shared" ref="AG137" si="639">AG$117/(AG136^AG135)</f>
        <v>1.2156098262383019</v>
      </c>
      <c r="AH137" s="182">
        <f t="shared" ref="AH137" si="640">AH$117/(AH136^AH135)</f>
        <v>1.1970788281309719</v>
      </c>
      <c r="AI137" s="182">
        <f t="shared" ref="AI137" si="641">AI$117/(AI136^AI135)</f>
        <v>1.1788303202466077</v>
      </c>
      <c r="AJ137" s="182">
        <f t="shared" ref="AJ137" si="642">AJ$117/(AJ136^AJ135)</f>
        <v>1.1608599962480333</v>
      </c>
      <c r="AK137" s="182">
        <f t="shared" ref="AK137" si="643">AK$117/(AK136^AK135)</f>
        <v>1.1431636154447322</v>
      </c>
      <c r="AL137" s="182">
        <f t="shared" ref="AL137" si="644">AL$117/(AL136^AL135)</f>
        <v>1.1257370017921191</v>
      </c>
      <c r="AM137" s="182">
        <f t="shared" ref="AM137" si="645">AM$117/(AM136^AM135)</f>
        <v>51.521130407140788</v>
      </c>
    </row>
    <row r="138" spans="2:39">
      <c r="B138" s="135">
        <v>44552</v>
      </c>
    </row>
    <row r="139" spans="2:39">
      <c r="B139" t="s">
        <v>210</v>
      </c>
      <c r="O139" s="182">
        <f t="shared" ref="O139" si="646">(O$116-$B138)/365</f>
        <v>9.3150684931506855E-2</v>
      </c>
      <c r="P139" s="182">
        <f t="shared" ref="P139" si="647">(P$116-$B138)/365</f>
        <v>0.5931506849315068</v>
      </c>
      <c r="Q139" s="182">
        <f t="shared" ref="Q139" si="648">(Q$116-$B138)/365</f>
        <v>1.0931506849315069</v>
      </c>
      <c r="R139" s="182">
        <f t="shared" ref="R139" si="649">(R$116-$B138)/365</f>
        <v>1.5931506849315069</v>
      </c>
      <c r="S139" s="182">
        <f t="shared" ref="S139" si="650">(S$116-$B138)/365</f>
        <v>2.0931506849315067</v>
      </c>
      <c r="T139" s="182">
        <f t="shared" ref="T139" si="651">(T$116-$B138)/365</f>
        <v>2.5931506849315067</v>
      </c>
      <c r="U139" s="182">
        <f t="shared" ref="U139" si="652">(U$116-$B138)/365</f>
        <v>3.0931506849315067</v>
      </c>
      <c r="V139" s="182">
        <f t="shared" ref="V139" si="653">(V$116-$B138)/365</f>
        <v>3.5931506849315067</v>
      </c>
      <c r="W139" s="182">
        <f t="shared" ref="W139" si="654">(W$116-$B138)/365</f>
        <v>4.0931506849315067</v>
      </c>
      <c r="X139" s="182">
        <f t="shared" ref="X139" si="655">(X$116-$B138)/365</f>
        <v>4.5931506849315067</v>
      </c>
      <c r="Y139" s="182">
        <f t="shared" ref="Y139" si="656">(Y$116-$B138)/365</f>
        <v>5.0931506849315067</v>
      </c>
      <c r="Z139" s="182">
        <f t="shared" ref="Z139" si="657">(Z$116-$B138)/365</f>
        <v>5.5931506849315067</v>
      </c>
      <c r="AA139" s="182">
        <f t="shared" ref="AA139" si="658">(AA$116-$B138)/365</f>
        <v>6.0931506849315067</v>
      </c>
      <c r="AB139" s="182">
        <f t="shared" ref="AB139" si="659">(AB$116-$B138)/365</f>
        <v>6.5931506849315067</v>
      </c>
      <c r="AC139" s="182">
        <f t="shared" ref="AC139" si="660">(AC$116-$B138)/365</f>
        <v>7.0931506849315067</v>
      </c>
      <c r="AD139" s="182">
        <f t="shared" ref="AD139" si="661">(AD$116-$B138)/365</f>
        <v>7.5931506849315067</v>
      </c>
      <c r="AE139" s="182">
        <f t="shared" ref="AE139" si="662">(AE$116-$B138)/365</f>
        <v>8.0931506849315067</v>
      </c>
      <c r="AF139" s="182">
        <f t="shared" ref="AF139" si="663">(AF$116-$B138)/365</f>
        <v>8.5931506849315067</v>
      </c>
      <c r="AG139" s="182">
        <f t="shared" ref="AG139" si="664">(AG$116-$B138)/365</f>
        <v>9.0931506849315067</v>
      </c>
      <c r="AH139" s="182">
        <f t="shared" ref="AH139" si="665">(AH$116-$B138)/365</f>
        <v>9.5931506849315067</v>
      </c>
      <c r="AI139" s="182">
        <f t="shared" ref="AI139" si="666">(AI$116-$B138)/365</f>
        <v>10.093150684931507</v>
      </c>
      <c r="AJ139" s="182">
        <f t="shared" ref="AJ139" si="667">(AJ$116-$B138)/365</f>
        <v>10.593150684931507</v>
      </c>
      <c r="AK139" s="182">
        <f t="shared" ref="AK139" si="668">(AK$116-$B138)/365</f>
        <v>11.093150684931507</v>
      </c>
      <c r="AL139" s="182">
        <f t="shared" ref="AL139" si="669">(AL$116-$B138)/365</f>
        <v>11.593150684931507</v>
      </c>
      <c r="AM139" s="182">
        <f t="shared" ref="AM139" si="670">(AM$116-$B138)/365</f>
        <v>11.742465753424657</v>
      </c>
    </row>
    <row r="140" spans="2:39">
      <c r="B140" t="s">
        <v>211</v>
      </c>
      <c r="O140" s="183">
        <f>1+((INDEX('Yield Curve'!$B$48:$P$91,MATCH(ROUND(O139,0),'Yield Curve'!$B$48:$B$91,0),MATCH(YEAR($B138)+1,'Yield Curve'!$B$48:$P$48,0)))/100)</f>
        <v>1.0212000000000001</v>
      </c>
      <c r="P140" s="183">
        <f>1+((INDEX('Yield Curve'!$B$48:$P$91,MATCH(ROUND(P139,0),'Yield Curve'!$B$48:$B$91,0),MATCH(YEAR($B138)+1,'Yield Curve'!$B$48:$P$48,0)))/100)</f>
        <v>1.0212000000000001</v>
      </c>
      <c r="Q140" s="183">
        <f>1+((INDEX('Yield Curve'!$B$48:$P$91,MATCH(ROUND(Q139,0),'Yield Curve'!$B$48:$B$91,0),MATCH(YEAR($B138)+1,'Yield Curve'!$B$48:$P$48,0)))/100)</f>
        <v>1.0212000000000001</v>
      </c>
      <c r="R140" s="183">
        <f>1+((INDEX('Yield Curve'!$B$48:$P$91,MATCH(ROUND(R139,0),'Yield Curve'!$B$48:$B$91,0),MATCH(YEAR($B138)+1,'Yield Curve'!$B$48:$P$48,0)))/100)</f>
        <v>1.0212000000000001</v>
      </c>
      <c r="S140" s="183">
        <f>1+((INDEX('Yield Curve'!$B$48:$P$91,MATCH(ROUND(S139,0),'Yield Curve'!$B$48:$B$91,0),MATCH(YEAR($B138)+1,'Yield Curve'!$B$48:$P$48,0)))/100)</f>
        <v>1.0212000000000001</v>
      </c>
      <c r="T140" s="183">
        <f>1+((INDEX('Yield Curve'!$B$48:$P$91,MATCH(ROUND(T139,0),'Yield Curve'!$B$48:$B$91,0),MATCH(YEAR($B138)+1,'Yield Curve'!$B$48:$P$48,0)))/100)</f>
        <v>1.0212000000000001</v>
      </c>
      <c r="U140" s="183">
        <f>1+((INDEX('Yield Curve'!$B$48:$P$91,MATCH(ROUND(U139,0),'Yield Curve'!$B$48:$B$91,0),MATCH(YEAR($B138)+1,'Yield Curve'!$B$48:$P$48,0)))/100)</f>
        <v>1.0212000000000001</v>
      </c>
      <c r="V140" s="183">
        <f>1+((INDEX('Yield Curve'!$B$48:$P$91,MATCH(ROUND(V139,0),'Yield Curve'!$B$48:$B$91,0),MATCH(YEAR($B138)+1,'Yield Curve'!$B$48:$P$48,0)))/100)</f>
        <v>1.0245</v>
      </c>
      <c r="W140" s="183">
        <f>1+((INDEX('Yield Curve'!$B$48:$P$91,MATCH(ROUND(W139,0),'Yield Curve'!$B$48:$B$91,0),MATCH(YEAR($B138)+1,'Yield Curve'!$B$48:$P$48,0)))/100)</f>
        <v>1.0245</v>
      </c>
      <c r="X140" s="183">
        <f>1+((INDEX('Yield Curve'!$B$48:$P$91,MATCH(ROUND(X139,0),'Yield Curve'!$B$48:$B$91,0),MATCH(YEAR($B138)+1,'Yield Curve'!$B$48:$P$48,0)))/100)</f>
        <v>1.0278</v>
      </c>
      <c r="Y140" s="183">
        <f>1+((INDEX('Yield Curve'!$B$48:$P$91,MATCH(ROUND(Y139,0),'Yield Curve'!$B$48:$B$91,0),MATCH(YEAR($B138)+1,'Yield Curve'!$B$48:$P$48,0)))/100)</f>
        <v>1.0278</v>
      </c>
      <c r="Z140" s="183">
        <f>1+((INDEX('Yield Curve'!$B$48:$P$91,MATCH(ROUND(Z139,0),'Yield Curve'!$B$48:$B$91,0),MATCH(YEAR($B138)+1,'Yield Curve'!$B$48:$P$48,0)))/100)</f>
        <v>1.030375</v>
      </c>
      <c r="AA140" s="183">
        <f>1+((INDEX('Yield Curve'!$B$48:$P$91,MATCH(ROUND(AA139,0),'Yield Curve'!$B$48:$B$91,0),MATCH(YEAR($B138)+1,'Yield Curve'!$B$48:$P$48,0)))/100)</f>
        <v>1.030375</v>
      </c>
      <c r="AB140" s="183">
        <f>1+((INDEX('Yield Curve'!$B$48:$P$91,MATCH(ROUND(AB139,0),'Yield Curve'!$B$48:$B$91,0),MATCH(YEAR($B138)+1,'Yield Curve'!$B$48:$P$48,0)))/100)</f>
        <v>1.03295</v>
      </c>
      <c r="AC140" s="183">
        <f>1+((INDEX('Yield Curve'!$B$48:$P$91,MATCH(ROUND(AC139,0),'Yield Curve'!$B$48:$B$91,0),MATCH(YEAR($B138)+1,'Yield Curve'!$B$48:$P$48,0)))/100)</f>
        <v>1.03295</v>
      </c>
      <c r="AD140" s="183">
        <f>1+((INDEX('Yield Curve'!$B$48:$P$91,MATCH(ROUND(AD139,0),'Yield Curve'!$B$48:$B$91,0),MATCH(YEAR($B138)+1,'Yield Curve'!$B$48:$P$48,0)))/100)</f>
        <v>1.0341499999999999</v>
      </c>
      <c r="AE140" s="183">
        <f>1+((INDEX('Yield Curve'!$B$48:$P$91,MATCH(ROUND(AE139,0),'Yield Curve'!$B$48:$B$91,0),MATCH(YEAR($B138)+1,'Yield Curve'!$B$48:$P$48,0)))/100)</f>
        <v>1.0341499999999999</v>
      </c>
      <c r="AF140" s="183">
        <f>1+((INDEX('Yield Curve'!$B$48:$P$91,MATCH(ROUND(AF139,0),'Yield Curve'!$B$48:$B$91,0),MATCH(YEAR($B138)+1,'Yield Curve'!$B$48:$P$48,0)))/100)</f>
        <v>1.0365500000000001</v>
      </c>
      <c r="AG140" s="183">
        <f>1+((INDEX('Yield Curve'!$B$48:$P$91,MATCH(ROUND(AG139,0),'Yield Curve'!$B$48:$B$91,0),MATCH(YEAR($B138)+1,'Yield Curve'!$B$48:$P$48,0)))/100)</f>
        <v>1.0365500000000001</v>
      </c>
      <c r="AH140" s="183">
        <f>1+((INDEX('Yield Curve'!$B$48:$P$91,MATCH(ROUND(AH139,0),'Yield Curve'!$B$48:$B$91,0),MATCH(YEAR($B138)+1,'Yield Curve'!$B$48:$P$48,0)))/100)</f>
        <v>1.03775</v>
      </c>
      <c r="AI140" s="183">
        <f>1+((INDEX('Yield Curve'!$B$48:$P$91,MATCH(ROUND(AI139,0),'Yield Curve'!$B$48:$B$91,0),MATCH(YEAR($B138)+1,'Yield Curve'!$B$48:$P$48,0)))/100)</f>
        <v>1.03775</v>
      </c>
      <c r="AJ140" s="183">
        <f>1+((INDEX('Yield Curve'!$B$48:$P$91,MATCH(ROUND(AJ139,0),'Yield Curve'!$B$48:$B$91,0),MATCH(YEAR($B138)+1,'Yield Curve'!$B$48:$P$48,0)))/100)</f>
        <v>1.03775</v>
      </c>
      <c r="AK140" s="183">
        <f>1+((INDEX('Yield Curve'!$B$48:$P$91,MATCH(ROUND(AK139,0),'Yield Curve'!$B$48:$B$91,0),MATCH(YEAR($B138)+1,'Yield Curve'!$B$48:$P$48,0)))/100)</f>
        <v>1.03775</v>
      </c>
      <c r="AL140" s="183">
        <f>1+((INDEX('Yield Curve'!$B$48:$P$91,MATCH(ROUND(AL139,0),'Yield Curve'!$B$48:$B$91,0),MATCH(YEAR($B138)+1,'Yield Curve'!$B$48:$P$48,0)))/100)</f>
        <v>1.03775</v>
      </c>
      <c r="AM140" s="183">
        <f>1+((INDEX('Yield Curve'!$B$48:$P$91,MATCH(ROUND(AM139,0),'Yield Curve'!$B$48:$B$91,0),MATCH(YEAR($B138)+1,'Yield Curve'!$B$48:$P$48,0)))/100)</f>
        <v>1.03775</v>
      </c>
    </row>
    <row r="141" spans="2:39">
      <c r="B141" t="s">
        <v>212</v>
      </c>
      <c r="C141" s="182">
        <f>SUM(D141:AM141)</f>
        <v>81.159947017074728</v>
      </c>
      <c r="O141" s="182">
        <f t="shared" ref="O141" si="671">O$117/(O140^O139)</f>
        <v>1.6280654006539395</v>
      </c>
      <c r="P141" s="182">
        <f t="shared" ref="P141" si="672">P$117/(P140^P139)</f>
        <v>1.6110775421602723</v>
      </c>
      <c r="Q141" s="182">
        <f t="shared" ref="Q141" si="673">Q$117/(Q140^Q139)</f>
        <v>1.594266941494261</v>
      </c>
      <c r="R141" s="182">
        <f t="shared" ref="R141" si="674">R$117/(R140^R139)</f>
        <v>1.5776317490797811</v>
      </c>
      <c r="S141" s="182">
        <f t="shared" ref="S141" si="675">S$117/(S140^S139)</f>
        <v>1.561170134639895</v>
      </c>
      <c r="T141" s="182">
        <f t="shared" ref="T141" si="676">T$117/(T140^T139)</f>
        <v>1.5448802869954767</v>
      </c>
      <c r="U141" s="182">
        <f t="shared" ref="U141" si="677">U$117/(U140^U139)</f>
        <v>1.5287604138659368</v>
      </c>
      <c r="V141" s="182">
        <f t="shared" ref="V141" si="678">V$117/(V140^V139)</f>
        <v>1.4953727372158319</v>
      </c>
      <c r="W141" s="182">
        <f t="shared" ref="W141" si="679">W$117/(W140^W139)</f>
        <v>1.4773842921575548</v>
      </c>
      <c r="X141" s="182">
        <f t="shared" ref="X141" si="680">X$117/(X140^X139)</f>
        <v>1.4382105464333521</v>
      </c>
      <c r="Y141" s="182">
        <f t="shared" ref="Y141" si="681">Y$117/(Y140^Y139)</f>
        <v>1.418626807770035</v>
      </c>
      <c r="Z141" s="182">
        <f t="shared" ref="Z141" si="682">Z$117/(Z140^Z139)</f>
        <v>1.3798624032667899</v>
      </c>
      <c r="AA141" s="182">
        <f t="shared" ref="AA141" si="683">AA$117/(AA140^AA139)</f>
        <v>1.3593713899122457</v>
      </c>
      <c r="AB141" s="182">
        <f t="shared" ref="AB141" si="684">AB$117/(AB140^AB139)</f>
        <v>1.3173269549080511</v>
      </c>
      <c r="AC141" s="182">
        <f t="shared" ref="AC141" si="685">AC$117/(AC140^AC139)</f>
        <v>1.2961460132854499</v>
      </c>
      <c r="AD141" s="182">
        <f t="shared" ref="AD141" si="686">AD$117/(AD140^AD139)</f>
        <v>1.2641119478583729</v>
      </c>
      <c r="AE141" s="182">
        <f t="shared" ref="AE141" si="687">AE$117/(AE140^AE139)</f>
        <v>1.2430647980189784</v>
      </c>
      <c r="AF141" s="182">
        <f t="shared" ref="AF141" si="688">AF$117/(AF140^AF139)</f>
        <v>1.198260120969018</v>
      </c>
      <c r="AG141" s="182">
        <f t="shared" ref="AG141" si="689">AG$117/(AG140^AG139)</f>
        <v>1.176944484224794</v>
      </c>
      <c r="AH141" s="182">
        <f t="shared" ref="AH141" si="690">AH$117/(AH140^AH139)</f>
        <v>1.1432479340834065</v>
      </c>
      <c r="AI141" s="182">
        <f t="shared" ref="AI141" si="691">AI$117/(AI140^AI139)</f>
        <v>1.1222614737666177</v>
      </c>
      <c r="AJ141" s="182">
        <f t="shared" ref="AJ141" si="692">AJ$117/(AJ140^AJ139)</f>
        <v>1.1016602592950195</v>
      </c>
      <c r="AK141" s="182">
        <f t="shared" ref="AK141" si="693">AK$117/(AK140^AK139)</f>
        <v>1.0814372187584851</v>
      </c>
      <c r="AL141" s="182">
        <f t="shared" ref="AL141" si="694">AL$117/(AL140^AL139)</f>
        <v>1.0615854100650635</v>
      </c>
      <c r="AM141" s="182">
        <f t="shared" ref="AM141" si="695">AM$117/(AM140^AM139)</f>
        <v>48.539219756196097</v>
      </c>
    </row>
    <row r="143" spans="2:39" ht="15" thickBot="1">
      <c r="B143" s="137" t="s">
        <v>160</v>
      </c>
    </row>
    <row r="145" spans="2:54">
      <c r="B145" s="5" t="str">
        <f>'SA Power Bonds'!A57</f>
        <v>31398910962</v>
      </c>
    </row>
    <row r="146" spans="2:54">
      <c r="B146" t="s">
        <v>66</v>
      </c>
      <c r="D146" s="180">
        <f>VLOOKUP(B145,'SA Power Bonds'!$A$54:$K$64,4,FALSE)</f>
        <v>42976</v>
      </c>
      <c r="E146" s="180">
        <f>VLOOKUP(B145,'SA Power Bonds'!$A$54:$K$64,10,FALSE)</f>
        <v>43159</v>
      </c>
      <c r="F146" s="180">
        <f>IF(E146+VLOOKUP($B145,'SA Power Bonds'!$A$54:$K$64,9,FALSE)*365 &lt; VLOOKUP($B145,'SA Power Bonds'!$A$54:$K$64,5,FALSE), E146+VLOOKUP($B145,'SA Power Bonds'!$A$54:$K$64,9,FALSE)*365, VLOOKUP($B145,'SA Power Bonds'!$A$54:$K$64,5,FALSE))</f>
        <v>43341.5</v>
      </c>
      <c r="G146" s="180">
        <f>IF(F146+VLOOKUP($B145,'SA Power Bonds'!$A$54:$K$64,9,FALSE)*365 &lt; VLOOKUP($B145,'SA Power Bonds'!$A$54:$K$64,5,FALSE), F146+VLOOKUP($B145,'SA Power Bonds'!$A$54:$K$64,9,FALSE)*365, VLOOKUP($B145,'SA Power Bonds'!$A$54:$K$64,5,FALSE))</f>
        <v>43524</v>
      </c>
      <c r="H146" s="180">
        <f>IF(G146+VLOOKUP($B145,'SA Power Bonds'!$A$54:$K$64,9,FALSE)*365 &lt; VLOOKUP($B145,'SA Power Bonds'!$A$54:$K$64,5,FALSE), G146+VLOOKUP($B145,'SA Power Bonds'!$A$54:$K$64,9,FALSE)*365, VLOOKUP($B145,'SA Power Bonds'!$A$54:$K$64,5,FALSE))</f>
        <v>43706.5</v>
      </c>
      <c r="I146" s="180">
        <f>IF(H146+VLOOKUP($B145,'SA Power Bonds'!$A$54:$K$64,9,FALSE)*365 &lt; VLOOKUP($B145,'SA Power Bonds'!$A$54:$K$64,5,FALSE), H146+VLOOKUP($B145,'SA Power Bonds'!$A$54:$K$64,9,FALSE)*365, VLOOKUP($B145,'SA Power Bonds'!$A$54:$K$64,5,FALSE))</f>
        <v>43889</v>
      </c>
      <c r="J146" s="180">
        <f>IF(I146+VLOOKUP($B145,'SA Power Bonds'!$A$54:$K$64,9,FALSE)*365 &lt; VLOOKUP($B145,'SA Power Bonds'!$A$54:$K$64,5,FALSE), I146+VLOOKUP($B145,'SA Power Bonds'!$A$54:$K$64,9,FALSE)*365, VLOOKUP($B145,'SA Power Bonds'!$A$54:$K$64,5,FALSE))</f>
        <v>44071.5</v>
      </c>
      <c r="K146" s="180">
        <f>IF(J146+VLOOKUP($B145,'SA Power Bonds'!$A$54:$K$64,9,FALSE)*365 &lt; VLOOKUP($B145,'SA Power Bonds'!$A$54:$K$64,5,FALSE), J146+VLOOKUP($B145,'SA Power Bonds'!$A$54:$K$64,9,FALSE)*365, VLOOKUP($B145,'SA Power Bonds'!$A$54:$K$64,5,FALSE))</f>
        <v>44254</v>
      </c>
      <c r="L146" s="180">
        <f>IF(K146+VLOOKUP($B145,'SA Power Bonds'!$A$54:$K$64,9,FALSE)*365 &lt; VLOOKUP($B145,'SA Power Bonds'!$A$54:$K$64,5,FALSE), K146+VLOOKUP($B145,'SA Power Bonds'!$A$54:$K$64,9,FALSE)*365, VLOOKUP($B145,'SA Power Bonds'!$A$54:$K$64,5,FALSE))</f>
        <v>44436.5</v>
      </c>
      <c r="M146" s="180">
        <f>IF(L146+VLOOKUP($B145,'SA Power Bonds'!$A$54:$K$64,9,FALSE)*365 &lt; VLOOKUP($B145,'SA Power Bonds'!$A$54:$K$64,5,FALSE), L146+VLOOKUP($B145,'SA Power Bonds'!$A$54:$K$64,9,FALSE)*365, VLOOKUP($B145,'SA Power Bonds'!$A$54:$K$64,5,FALSE))</f>
        <v>44619</v>
      </c>
      <c r="N146" s="180">
        <f>IF(M146+VLOOKUP($B145,'SA Power Bonds'!$A$54:$K$64,9,FALSE)*365 &lt; VLOOKUP($B145,'SA Power Bonds'!$A$54:$K$64,5,FALSE), M146+VLOOKUP($B145,'SA Power Bonds'!$A$54:$K$64,9,FALSE)*365, VLOOKUP($B145,'SA Power Bonds'!$A$54:$K$64,5,FALSE))</f>
        <v>44801.5</v>
      </c>
      <c r="O146" s="180">
        <f>IF(N146+VLOOKUP($B145,'SA Power Bonds'!$A$54:$K$64,9,FALSE)*365 &lt; VLOOKUP($B145,'SA Power Bonds'!$A$54:$K$64,5,FALSE), N146+VLOOKUP($B145,'SA Power Bonds'!$A$54:$K$64,9,FALSE)*365, VLOOKUP($B145,'SA Power Bonds'!$A$54:$K$64,5,FALSE))</f>
        <v>44984</v>
      </c>
      <c r="P146" s="180">
        <f>IF(O146+VLOOKUP($B145,'SA Power Bonds'!$A$54:$K$64,9,FALSE)*365 &lt; VLOOKUP($B145,'SA Power Bonds'!$A$54:$K$64,5,FALSE), O146+VLOOKUP($B145,'SA Power Bonds'!$A$54:$K$64,9,FALSE)*365, VLOOKUP($B145,'SA Power Bonds'!$A$54:$K$64,5,FALSE))</f>
        <v>45166.5</v>
      </c>
      <c r="Q146" s="180">
        <f>IF(P146+VLOOKUP($B145,'SA Power Bonds'!$A$54:$K$64,9,FALSE)*365 &lt; VLOOKUP($B145,'SA Power Bonds'!$A$54:$K$64,5,FALSE), P146+VLOOKUP($B145,'SA Power Bonds'!$A$54:$K$64,9,FALSE)*365, VLOOKUP($B145,'SA Power Bonds'!$A$54:$K$64,5,FALSE))</f>
        <v>45349</v>
      </c>
      <c r="R146" s="180">
        <f>IF(Q146+VLOOKUP($B145,'SA Power Bonds'!$A$54:$K$64,9,FALSE)*365 &lt; VLOOKUP($B145,'SA Power Bonds'!$A$54:$K$64,5,FALSE), Q146+VLOOKUP($B145,'SA Power Bonds'!$A$54:$K$64,9,FALSE)*365, VLOOKUP($B145,'SA Power Bonds'!$A$54:$K$64,5,FALSE))</f>
        <v>45531.5</v>
      </c>
      <c r="S146" s="180">
        <f>IF(R146+VLOOKUP($B145,'SA Power Bonds'!$A$54:$K$64,9,FALSE)*365 &lt; VLOOKUP($B145,'SA Power Bonds'!$A$54:$K$64,5,FALSE), R146+VLOOKUP($B145,'SA Power Bonds'!$A$54:$K$64,9,FALSE)*365, VLOOKUP($B145,'SA Power Bonds'!$A$54:$K$64,5,FALSE))</f>
        <v>45533</v>
      </c>
      <c r="T146" s="27"/>
      <c r="U146" s="27"/>
      <c r="V146" s="27"/>
      <c r="W146" s="27"/>
      <c r="X146" s="27"/>
      <c r="Y146" s="27"/>
      <c r="Z146" s="27"/>
      <c r="AA146" s="27"/>
      <c r="AB146" s="27"/>
      <c r="AC146" s="27"/>
      <c r="AD146" s="27"/>
      <c r="AE146" s="27"/>
      <c r="AF146" s="27"/>
      <c r="AG146" s="27"/>
      <c r="AH146" s="27"/>
      <c r="AI146" s="27"/>
      <c r="AJ146" s="27"/>
      <c r="AK146" s="27"/>
      <c r="AL146" s="27"/>
      <c r="AM146" s="27"/>
      <c r="AN146" s="27"/>
      <c r="AO146" s="27"/>
      <c r="AP146" s="27"/>
      <c r="AQ146" s="27"/>
      <c r="AR146" s="27"/>
      <c r="AS146" s="27"/>
      <c r="AT146" s="27"/>
      <c r="AU146" s="27"/>
      <c r="AV146" s="27"/>
      <c r="AW146" s="27"/>
      <c r="AX146" s="27"/>
      <c r="AY146" s="27"/>
      <c r="AZ146" s="27"/>
      <c r="BA146" s="27"/>
      <c r="BB146" s="27"/>
    </row>
    <row r="147" spans="2:54">
      <c r="B147" t="s">
        <v>209</v>
      </c>
      <c r="E147" s="182">
        <f>IF(E146&lt;VLOOKUP($B145,'SA Power Bonds'!$A$54:$K$64,5,FALSE),(VLOOKUP($B145,'SA Power Bonds'!$A$54:$K$64,8,FALSE)/100)*(VLOOKUP($B145,'SA Power Bonds'!$A$54:$K$64,9,FALSE))*(VLOOKUP($B145,'SA Power Bonds'!$A$54:$K$64,6,FALSE)),(VLOOKUP($B145,'SA Power Bonds'!$A$54:$K$64,6,FALSE)))</f>
        <v>6.5625000000000009</v>
      </c>
      <c r="F147" s="182">
        <f>IF(F146&lt;VLOOKUP($B145,'SA Power Bonds'!$A$54:$K$64,5,FALSE),(VLOOKUP($B145,'SA Power Bonds'!$A$54:$K$64,8,FALSE)/100)*(VLOOKUP($B145,'SA Power Bonds'!$A$54:$K$64,9,FALSE))*(VLOOKUP($B145,'SA Power Bonds'!$A$54:$K$64,6,FALSE)),(VLOOKUP($B145,'SA Power Bonds'!$A$54:$K$64,6,FALSE)))</f>
        <v>6.5625000000000009</v>
      </c>
      <c r="G147" s="182">
        <f>IF(G146&lt;VLOOKUP($B145,'SA Power Bonds'!$A$54:$K$64,5,FALSE),(VLOOKUP($B145,'SA Power Bonds'!$A$54:$K$64,8,FALSE)/100)*(VLOOKUP($B145,'SA Power Bonds'!$A$54:$K$64,9,FALSE))*(VLOOKUP($B145,'SA Power Bonds'!$A$54:$K$64,6,FALSE)),(VLOOKUP($B145,'SA Power Bonds'!$A$54:$K$64,6,FALSE)))</f>
        <v>6.5625000000000009</v>
      </c>
      <c r="H147" s="182">
        <f>IF(H146&lt;VLOOKUP($B145,'SA Power Bonds'!$A$54:$K$64,5,FALSE),(VLOOKUP($B145,'SA Power Bonds'!$A$54:$K$64,8,FALSE)/100)*(VLOOKUP($B145,'SA Power Bonds'!$A$54:$K$64,9,FALSE))*(VLOOKUP($B145,'SA Power Bonds'!$A$54:$K$64,6,FALSE)),(VLOOKUP($B145,'SA Power Bonds'!$A$54:$K$64,6,FALSE)))</f>
        <v>6.5625000000000009</v>
      </c>
      <c r="I147" s="182">
        <f>IF(I146&lt;VLOOKUP($B145,'SA Power Bonds'!$A$54:$K$64,5,FALSE),(VLOOKUP($B145,'SA Power Bonds'!$A$54:$K$64,8,FALSE)/100)*(VLOOKUP($B145,'SA Power Bonds'!$A$54:$K$64,9,FALSE))*(VLOOKUP($B145,'SA Power Bonds'!$A$54:$K$64,6,FALSE)),(VLOOKUP($B145,'SA Power Bonds'!$A$54:$K$64,6,FALSE)))</f>
        <v>6.5625000000000009</v>
      </c>
      <c r="J147" s="182">
        <f>IF(J146&lt;VLOOKUP($B145,'SA Power Bonds'!$A$54:$K$64,5,FALSE),(VLOOKUP($B145,'SA Power Bonds'!$A$54:$K$64,8,FALSE)/100)*(VLOOKUP($B145,'SA Power Bonds'!$A$54:$K$64,9,FALSE))*(VLOOKUP($B145,'SA Power Bonds'!$A$54:$K$64,6,FALSE)),(VLOOKUP($B145,'SA Power Bonds'!$A$54:$K$64,6,FALSE)))</f>
        <v>6.5625000000000009</v>
      </c>
      <c r="K147" s="182">
        <f>IF(K146&lt;VLOOKUP($B145,'SA Power Bonds'!$A$54:$K$64,5,FALSE),(VLOOKUP($B145,'SA Power Bonds'!$A$54:$K$64,8,FALSE)/100)*(VLOOKUP($B145,'SA Power Bonds'!$A$54:$K$64,9,FALSE))*(VLOOKUP($B145,'SA Power Bonds'!$A$54:$K$64,6,FALSE)),(VLOOKUP($B145,'SA Power Bonds'!$A$54:$K$64,6,FALSE)))</f>
        <v>6.5625000000000009</v>
      </c>
      <c r="L147" s="182">
        <f>IF(L146&lt;VLOOKUP($B145,'SA Power Bonds'!$A$54:$K$64,5,FALSE),(VLOOKUP($B145,'SA Power Bonds'!$A$54:$K$64,8,FALSE)/100)*(VLOOKUP($B145,'SA Power Bonds'!$A$54:$K$64,9,FALSE))*(VLOOKUP($B145,'SA Power Bonds'!$A$54:$K$64,6,FALSE)),(VLOOKUP($B145,'SA Power Bonds'!$A$54:$K$64,6,FALSE)))</f>
        <v>6.5625000000000009</v>
      </c>
      <c r="M147" s="182">
        <f>IF(M146&lt;VLOOKUP($B145,'SA Power Bonds'!$A$54:$K$64,5,FALSE),(VLOOKUP($B145,'SA Power Bonds'!$A$54:$K$64,8,FALSE)/100)*(VLOOKUP($B145,'SA Power Bonds'!$A$54:$K$64,9,FALSE))*(VLOOKUP($B145,'SA Power Bonds'!$A$54:$K$64,6,FALSE)),(VLOOKUP($B145,'SA Power Bonds'!$A$54:$K$64,6,FALSE)))</f>
        <v>6.5625000000000009</v>
      </c>
      <c r="N147" s="182">
        <f>IF(N146&lt;VLOOKUP($B145,'SA Power Bonds'!$A$54:$K$64,5,FALSE),(VLOOKUP($B145,'SA Power Bonds'!$A$54:$K$64,8,FALSE)/100)*(VLOOKUP($B145,'SA Power Bonds'!$A$54:$K$64,9,FALSE))*(VLOOKUP($B145,'SA Power Bonds'!$A$54:$K$64,6,FALSE)),(VLOOKUP($B145,'SA Power Bonds'!$A$54:$K$64,6,FALSE)))</f>
        <v>6.5625000000000009</v>
      </c>
      <c r="O147" s="182">
        <f>IF(O146&lt;VLOOKUP($B145,'SA Power Bonds'!$A$54:$K$64,5,FALSE),(VLOOKUP($B145,'SA Power Bonds'!$A$54:$K$64,8,FALSE)/100)*(VLOOKUP($B145,'SA Power Bonds'!$A$54:$K$64,9,FALSE))*(VLOOKUP($B145,'SA Power Bonds'!$A$54:$K$64,6,FALSE)),(VLOOKUP($B145,'SA Power Bonds'!$A$54:$K$64,6,FALSE)))</f>
        <v>6.5625000000000009</v>
      </c>
      <c r="P147" s="182">
        <f>IF(P146&lt;VLOOKUP($B145,'SA Power Bonds'!$A$54:$K$64,5,FALSE),(VLOOKUP($B145,'SA Power Bonds'!$A$54:$K$64,8,FALSE)/100)*(VLOOKUP($B145,'SA Power Bonds'!$A$54:$K$64,9,FALSE))*(VLOOKUP($B145,'SA Power Bonds'!$A$54:$K$64,6,FALSE)),(VLOOKUP($B145,'SA Power Bonds'!$A$54:$K$64,6,FALSE)))</f>
        <v>6.5625000000000009</v>
      </c>
      <c r="Q147" s="182">
        <f>IF(Q146&lt;VLOOKUP($B145,'SA Power Bonds'!$A$54:$K$64,5,FALSE),(VLOOKUP($B145,'SA Power Bonds'!$A$54:$K$64,8,FALSE)/100)*(VLOOKUP($B145,'SA Power Bonds'!$A$54:$K$64,9,FALSE))*(VLOOKUP($B145,'SA Power Bonds'!$A$54:$K$64,6,FALSE)),(VLOOKUP($B145,'SA Power Bonds'!$A$54:$K$64,6,FALSE)))</f>
        <v>6.5625000000000009</v>
      </c>
      <c r="R147" s="182">
        <f>IF(R146&lt;VLOOKUP($B145,'SA Power Bonds'!$A$54:$K$64,5,FALSE),(VLOOKUP($B145,'SA Power Bonds'!$A$54:$K$64,8,FALSE)/100)*(VLOOKUP($B145,'SA Power Bonds'!$A$54:$K$64,9,FALSE))*(VLOOKUP($B145,'SA Power Bonds'!$A$54:$K$64,6,FALSE)),(VLOOKUP($B145,'SA Power Bonds'!$A$54:$K$64,6,FALSE)))</f>
        <v>6.5625000000000009</v>
      </c>
      <c r="S147" s="182">
        <f>IF(S146&lt;VLOOKUP($B145,'SA Power Bonds'!$A$54:$K$64,5,FALSE),(VLOOKUP($B145,'SA Power Bonds'!$A$54:$K$64,8,FALSE)/100)*(VLOOKUP($B145,'SA Power Bonds'!$A$54:$K$64,9,FALSE))*(VLOOKUP($B145,'SA Power Bonds'!$A$54:$K$64,6,FALSE)),(VLOOKUP($B145,'SA Power Bonds'!$A$54:$K$64,6,FALSE)))</f>
        <v>375</v>
      </c>
    </row>
    <row r="148" spans="2:54">
      <c r="B148" s="135">
        <v>43281</v>
      </c>
    </row>
    <row r="149" spans="2:54">
      <c r="B149" t="s">
        <v>210</v>
      </c>
      <c r="F149" s="182">
        <f t="shared" ref="F149:S149" si="696">(F$146-$B148)/365</f>
        <v>0.16575342465753426</v>
      </c>
      <c r="G149" s="182">
        <f t="shared" si="696"/>
        <v>0.66575342465753429</v>
      </c>
      <c r="H149" s="182">
        <f t="shared" si="696"/>
        <v>1.1657534246575343</v>
      </c>
      <c r="I149" s="182">
        <f t="shared" si="696"/>
        <v>1.6657534246575343</v>
      </c>
      <c r="J149" s="182">
        <f t="shared" si="696"/>
        <v>2.1657534246575341</v>
      </c>
      <c r="K149" s="182">
        <f t="shared" si="696"/>
        <v>2.6657534246575341</v>
      </c>
      <c r="L149" s="182">
        <f t="shared" si="696"/>
        <v>3.1657534246575341</v>
      </c>
      <c r="M149" s="182">
        <f t="shared" si="696"/>
        <v>3.6657534246575341</v>
      </c>
      <c r="N149" s="182">
        <f t="shared" si="696"/>
        <v>4.1657534246575345</v>
      </c>
      <c r="O149" s="182">
        <f t="shared" si="696"/>
        <v>4.6657534246575345</v>
      </c>
      <c r="P149" s="182">
        <f t="shared" si="696"/>
        <v>5.1657534246575345</v>
      </c>
      <c r="Q149" s="182">
        <f t="shared" si="696"/>
        <v>5.6657534246575345</v>
      </c>
      <c r="R149" s="182">
        <f t="shared" si="696"/>
        <v>6.1657534246575345</v>
      </c>
      <c r="S149" s="182">
        <f t="shared" si="696"/>
        <v>6.1698630136986301</v>
      </c>
    </row>
    <row r="150" spans="2:54">
      <c r="B150" t="s">
        <v>211</v>
      </c>
      <c r="F150" s="183">
        <f>1+((INDEX('Yield Curve'!$B$48:$P$91,MATCH(ROUND(F149,0),'Yield Curve'!$B$48:$B$91,0),MATCH(YEAR($B148),'Yield Curve'!$B$48:$P$48,0)))/100)</f>
        <v>1.03315</v>
      </c>
      <c r="G150" s="183">
        <f>1+((INDEX('Yield Curve'!$B$48:$P$91,MATCH(ROUND(G149,0),'Yield Curve'!$B$48:$B$91,0),MATCH(YEAR($B148),'Yield Curve'!$B$48:$P$48,0)))/100)</f>
        <v>1.03315</v>
      </c>
      <c r="H150" s="183">
        <f>1+((INDEX('Yield Curve'!$B$48:$P$91,MATCH(ROUND(H149,0),'Yield Curve'!$B$48:$B$91,0),MATCH(YEAR($B148),'Yield Curve'!$B$48:$P$48,0)))/100)</f>
        <v>1.03315</v>
      </c>
      <c r="I150" s="183">
        <f>1+((INDEX('Yield Curve'!$B$48:$P$91,MATCH(ROUND(I149,0),'Yield Curve'!$B$48:$B$91,0),MATCH(YEAR($B148),'Yield Curve'!$B$48:$P$48,0)))/100)</f>
        <v>1.03315</v>
      </c>
      <c r="J150" s="183">
        <f>1+((INDEX('Yield Curve'!$B$48:$P$91,MATCH(ROUND(J149,0),'Yield Curve'!$B$48:$B$91,0),MATCH(YEAR($B148),'Yield Curve'!$B$48:$P$48,0)))/100)</f>
        <v>1.03315</v>
      </c>
      <c r="K150" s="183">
        <f>1+((INDEX('Yield Curve'!$B$48:$P$91,MATCH(ROUND(K149,0),'Yield Curve'!$B$48:$B$91,0),MATCH(YEAR($B148),'Yield Curve'!$B$48:$P$48,0)))/100)</f>
        <v>1.03315</v>
      </c>
      <c r="L150" s="183">
        <f>1+((INDEX('Yield Curve'!$B$48:$P$91,MATCH(ROUND(L149,0),'Yield Curve'!$B$48:$B$91,0),MATCH(YEAR($B148),'Yield Curve'!$B$48:$P$48,0)))/100)</f>
        <v>1.03315</v>
      </c>
      <c r="M150" s="183">
        <f>1+((INDEX('Yield Curve'!$B$48:$P$91,MATCH(ROUND(M149,0),'Yield Curve'!$B$48:$B$91,0),MATCH(YEAR($B148),'Yield Curve'!$B$48:$P$48,0)))/100)</f>
        <v>1.0349999999999999</v>
      </c>
      <c r="N150" s="183">
        <f>1+((INDEX('Yield Curve'!$B$48:$P$91,MATCH(ROUND(N149,0),'Yield Curve'!$B$48:$B$91,0),MATCH(YEAR($B148),'Yield Curve'!$B$48:$P$48,0)))/100)</f>
        <v>1.0349999999999999</v>
      </c>
      <c r="O150" s="183">
        <f>1+((INDEX('Yield Curve'!$B$48:$P$91,MATCH(ROUND(O149,0),'Yield Curve'!$B$48:$B$91,0),MATCH(YEAR($B148),'Yield Curve'!$B$48:$P$48,0)))/100)</f>
        <v>1.03685</v>
      </c>
      <c r="P150" s="183">
        <f>1+((INDEX('Yield Curve'!$B$48:$P$91,MATCH(ROUND(P149,0),'Yield Curve'!$B$48:$B$91,0),MATCH(YEAR($B148),'Yield Curve'!$B$48:$P$48,0)))/100)</f>
        <v>1.03685</v>
      </c>
      <c r="Q150" s="183">
        <f>1+((INDEX('Yield Curve'!$B$48:$P$91,MATCH(ROUND(Q149,0),'Yield Curve'!$B$48:$B$91,0),MATCH(YEAR($B148),'Yield Curve'!$B$48:$P$48,0)))/100)</f>
        <v>1.0386</v>
      </c>
      <c r="R150" s="183">
        <f>1+((INDEX('Yield Curve'!$B$48:$P$91,MATCH(ROUND(R149,0),'Yield Curve'!$B$48:$B$91,0),MATCH(YEAR($B148),'Yield Curve'!$B$48:$P$48,0)))/100)</f>
        <v>1.0386</v>
      </c>
      <c r="S150" s="183">
        <f>1+((INDEX('Yield Curve'!$B$48:$P$91,MATCH(ROUND(S149,0),'Yield Curve'!$B$48:$B$91,0),MATCH(YEAR($B148),'Yield Curve'!$B$48:$P$48,0)))/100)</f>
        <v>1.0386</v>
      </c>
    </row>
    <row r="151" spans="2:54">
      <c r="B151" t="s">
        <v>212</v>
      </c>
      <c r="C151" s="182">
        <f>SUM(D151:AM151)</f>
        <v>373.33756315170086</v>
      </c>
      <c r="F151" s="182">
        <f t="shared" ref="F151:S151" si="697">F$147/(F150^F149)</f>
        <v>6.527121359679402</v>
      </c>
      <c r="G151" s="182">
        <f t="shared" si="697"/>
        <v>6.4215519105302112</v>
      </c>
      <c r="H151" s="182">
        <f t="shared" si="697"/>
        <v>6.3176899382271703</v>
      </c>
      <c r="I151" s="182">
        <f t="shared" si="697"/>
        <v>6.2155078260951564</v>
      </c>
      <c r="J151" s="182">
        <f t="shared" si="697"/>
        <v>6.1149784041302535</v>
      </c>
      <c r="K151" s="182">
        <f t="shared" si="697"/>
        <v>6.0160749417753054</v>
      </c>
      <c r="L151" s="182">
        <f t="shared" si="697"/>
        <v>5.9187711408123249</v>
      </c>
      <c r="M151" s="182">
        <f t="shared" si="697"/>
        <v>5.7849775511771373</v>
      </c>
      <c r="N151" s="182">
        <f t="shared" si="697"/>
        <v>5.6863227097181595</v>
      </c>
      <c r="O151" s="182">
        <f t="shared" si="697"/>
        <v>5.5429715921678939</v>
      </c>
      <c r="P151" s="182">
        <f t="shared" si="697"/>
        <v>5.4435809656551379</v>
      </c>
      <c r="Q151" s="182">
        <f t="shared" si="697"/>
        <v>5.2951369988608015</v>
      </c>
      <c r="R151" s="182">
        <f t="shared" si="697"/>
        <v>5.195807371985504</v>
      </c>
      <c r="S151" s="182">
        <f t="shared" si="697"/>
        <v>296.85707044088639</v>
      </c>
    </row>
    <row r="152" spans="2:54">
      <c r="B152" s="135">
        <v>43646</v>
      </c>
    </row>
    <row r="153" spans="2:54">
      <c r="B153" t="s">
        <v>210</v>
      </c>
      <c r="H153" s="182">
        <f t="shared" ref="H153" si="698">(H$146-$B152)/365</f>
        <v>0.16575342465753426</v>
      </c>
      <c r="I153" s="182">
        <f t="shared" ref="I153" si="699">(I$146-$B152)/365</f>
        <v>0.66575342465753429</v>
      </c>
      <c r="J153" s="182">
        <f t="shared" ref="J153" si="700">(J$146-$B152)/365</f>
        <v>1.1657534246575343</v>
      </c>
      <c r="K153" s="182">
        <f t="shared" ref="K153" si="701">(K$146-$B152)/365</f>
        <v>1.6657534246575343</v>
      </c>
      <c r="L153" s="182">
        <f t="shared" ref="L153" si="702">(L$146-$B152)/365</f>
        <v>2.1657534246575341</v>
      </c>
      <c r="M153" s="182">
        <f t="shared" ref="M153" si="703">(M$146-$B152)/365</f>
        <v>2.6657534246575341</v>
      </c>
      <c r="N153" s="182">
        <f t="shared" ref="N153" si="704">(N$146-$B152)/365</f>
        <v>3.1657534246575341</v>
      </c>
      <c r="O153" s="182">
        <f t="shared" ref="O153" si="705">(O$146-$B152)/365</f>
        <v>3.6657534246575341</v>
      </c>
      <c r="P153" s="182">
        <f t="shared" ref="P153" si="706">(P$146-$B152)/365</f>
        <v>4.1657534246575345</v>
      </c>
      <c r="Q153" s="182">
        <f t="shared" ref="Q153" si="707">(Q$146-$B152)/365</f>
        <v>4.6657534246575345</v>
      </c>
      <c r="R153" s="182">
        <f t="shared" ref="R153" si="708">(R$146-$B152)/365</f>
        <v>5.1657534246575345</v>
      </c>
      <c r="S153" s="182">
        <f t="shared" ref="S153" si="709">(S$146-$B152)/365</f>
        <v>5.1698630136986301</v>
      </c>
    </row>
    <row r="154" spans="2:54">
      <c r="B154" t="s">
        <v>211</v>
      </c>
      <c r="H154" s="183">
        <f>1+((INDEX('Yield Curve'!$B$48:$P$91,MATCH(ROUND(H153,0),'Yield Curve'!$B$48:$B$91,0),MATCH(YEAR($B152),'Yield Curve'!$B$48:$P$48,0)))/100)</f>
        <v>1.02305</v>
      </c>
      <c r="I154" s="183">
        <f>1+((INDEX('Yield Curve'!$B$48:$P$91,MATCH(ROUND(I153,0),'Yield Curve'!$B$48:$B$91,0),MATCH(YEAR($B152),'Yield Curve'!$B$48:$P$48,0)))/100)</f>
        <v>1.02305</v>
      </c>
      <c r="J154" s="183">
        <f>1+((INDEX('Yield Curve'!$B$48:$P$91,MATCH(ROUND(J153,0),'Yield Curve'!$B$48:$B$91,0),MATCH(YEAR($B152),'Yield Curve'!$B$48:$P$48,0)))/100)</f>
        <v>1.02305</v>
      </c>
      <c r="K154" s="183">
        <f>1+((INDEX('Yield Curve'!$B$48:$P$91,MATCH(ROUND(K153,0),'Yield Curve'!$B$48:$B$91,0),MATCH(YEAR($B152),'Yield Curve'!$B$48:$P$48,0)))/100)</f>
        <v>1.02305</v>
      </c>
      <c r="L154" s="183">
        <f>1+((INDEX('Yield Curve'!$B$48:$P$91,MATCH(ROUND(L153,0),'Yield Curve'!$B$48:$B$91,0),MATCH(YEAR($B152),'Yield Curve'!$B$48:$P$48,0)))/100)</f>
        <v>1.02305</v>
      </c>
      <c r="M154" s="183">
        <f>1+((INDEX('Yield Curve'!$B$48:$P$91,MATCH(ROUND(M153,0),'Yield Curve'!$B$48:$B$91,0),MATCH(YEAR($B152),'Yield Curve'!$B$48:$P$48,0)))/100)</f>
        <v>1.02305</v>
      </c>
      <c r="N154" s="183">
        <f>1+((INDEX('Yield Curve'!$B$48:$P$91,MATCH(ROUND(N153,0),'Yield Curve'!$B$48:$B$91,0),MATCH(YEAR($B152),'Yield Curve'!$B$48:$P$48,0)))/100)</f>
        <v>1.02305</v>
      </c>
      <c r="O154" s="183">
        <f>1+((INDEX('Yield Curve'!$B$48:$P$91,MATCH(ROUND(O153,0),'Yield Curve'!$B$48:$B$91,0),MATCH(YEAR($B152),'Yield Curve'!$B$48:$P$48,0)))/100)</f>
        <v>1.024575</v>
      </c>
      <c r="P154" s="183">
        <f>1+((INDEX('Yield Curve'!$B$48:$P$91,MATCH(ROUND(P153,0),'Yield Curve'!$B$48:$B$91,0),MATCH(YEAR($B152),'Yield Curve'!$B$48:$P$48,0)))/100)</f>
        <v>1.024575</v>
      </c>
      <c r="Q154" s="183">
        <f>1+((INDEX('Yield Curve'!$B$48:$P$91,MATCH(ROUND(Q153,0),'Yield Curve'!$B$48:$B$91,0),MATCH(YEAR($B152),'Yield Curve'!$B$48:$P$48,0)))/100)</f>
        <v>1.0261</v>
      </c>
      <c r="R154" s="183">
        <f>1+((INDEX('Yield Curve'!$B$48:$P$91,MATCH(ROUND(R153,0),'Yield Curve'!$B$48:$B$91,0),MATCH(YEAR($B152),'Yield Curve'!$B$48:$P$48,0)))/100)</f>
        <v>1.0261</v>
      </c>
      <c r="S154" s="183">
        <f>1+((INDEX('Yield Curve'!$B$48:$P$91,MATCH(ROUND(S153,0),'Yield Curve'!$B$48:$B$91,0),MATCH(YEAR($B152),'Yield Curve'!$B$48:$P$48,0)))/100)</f>
        <v>1.0261</v>
      </c>
    </row>
    <row r="155" spans="2:54">
      <c r="B155" t="s">
        <v>212</v>
      </c>
      <c r="C155" s="182">
        <f>SUM(D155:AM155)</f>
        <v>395.9695951745984</v>
      </c>
      <c r="H155" s="182">
        <f t="shared" ref="H155" si="710">H$147/(H154^H153)</f>
        <v>6.5377585602576378</v>
      </c>
      <c r="I155" s="182">
        <f t="shared" ref="I155" si="711">I$147/(I154^I153)</f>
        <v>6.4636889397737107</v>
      </c>
      <c r="J155" s="182">
        <f t="shared" ref="J155" si="712">J$147/(J154^J153)</f>
        <v>6.3904584920166538</v>
      </c>
      <c r="K155" s="182">
        <f t="shared" ref="K155" si="713">K$147/(K154^K153)</f>
        <v>6.3180577095681647</v>
      </c>
      <c r="L155" s="182">
        <f t="shared" ref="L155" si="714">L$147/(L154^L153)</f>
        <v>6.2464771927243579</v>
      </c>
      <c r="M155" s="182">
        <f t="shared" ref="M155" si="715">M$147/(M154^M153)</f>
        <v>6.1757076482754165</v>
      </c>
      <c r="N155" s="182">
        <f t="shared" ref="N155" si="716">N$147/(N154^N153)</f>
        <v>6.1057398882990634</v>
      </c>
      <c r="O155" s="182">
        <f t="shared" ref="O155" si="717">O$147/(O154^O153)</f>
        <v>6.0036934839286369</v>
      </c>
      <c r="P155" s="182">
        <f t="shared" ref="P155" si="718">P$147/(P154^P153)</f>
        <v>5.9312555213137159</v>
      </c>
      <c r="Q155" s="182">
        <f t="shared" ref="Q155" si="719">Q$147/(Q154^Q153)</f>
        <v>5.8191693080833682</v>
      </c>
      <c r="R155" s="182">
        <f t="shared" ref="R155" si="720">R$147/(R154^R153)</f>
        <v>5.7446840666795458</v>
      </c>
      <c r="S155" s="182">
        <f t="shared" ref="S155" si="721">S$147/(S154^S153)</f>
        <v>328.23290436367813</v>
      </c>
    </row>
    <row r="156" spans="2:54">
      <c r="B156" s="135">
        <v>44012</v>
      </c>
    </row>
    <row r="157" spans="2:54">
      <c r="B157" t="s">
        <v>210</v>
      </c>
      <c r="J157" s="182">
        <f t="shared" ref="J157" si="722">(J$146-$B156)/365</f>
        <v>0.16301369863013698</v>
      </c>
      <c r="K157" s="182">
        <f t="shared" ref="K157" si="723">(K$146-$B156)/365</f>
        <v>0.66301369863013704</v>
      </c>
      <c r="L157" s="182">
        <f t="shared" ref="L157" si="724">(L$146-$B156)/365</f>
        <v>1.1630136986301369</v>
      </c>
      <c r="M157" s="182">
        <f t="shared" ref="M157" si="725">(M$146-$B156)/365</f>
        <v>1.6630136986301369</v>
      </c>
      <c r="N157" s="182">
        <f t="shared" ref="N157" si="726">(N$146-$B156)/365</f>
        <v>2.1630136986301371</v>
      </c>
      <c r="O157" s="182">
        <f t="shared" ref="O157" si="727">(O$146-$B156)/365</f>
        <v>2.6630136986301371</v>
      </c>
      <c r="P157" s="182">
        <f t="shared" ref="P157" si="728">(P$146-$B156)/365</f>
        <v>3.1630136986301371</v>
      </c>
      <c r="Q157" s="182">
        <f t="shared" ref="Q157" si="729">(Q$146-$B156)/365</f>
        <v>3.6630136986301371</v>
      </c>
      <c r="R157" s="182">
        <f t="shared" ref="R157" si="730">(R$146-$B156)/365</f>
        <v>4.1630136986301371</v>
      </c>
      <c r="S157" s="182">
        <f t="shared" ref="S157" si="731">(S$146-$B156)/365</f>
        <v>4.1671232876712327</v>
      </c>
    </row>
    <row r="158" spans="2:54">
      <c r="B158" t="s">
        <v>211</v>
      </c>
      <c r="J158" s="183">
        <f>1+((INDEX('Yield Curve'!$B$48:$P$91,MATCH(ROUND(J157,0),'Yield Curve'!$B$48:$B$91,0),MATCH(YEAR($B156),'Yield Curve'!$B$48:$P$48,0)))/100)</f>
        <v>1.02105</v>
      </c>
      <c r="K158" s="183">
        <f>1+((INDEX('Yield Curve'!$B$48:$P$91,MATCH(ROUND(K157,0),'Yield Curve'!$B$48:$B$91,0),MATCH(YEAR($B156),'Yield Curve'!$B$48:$P$48,0)))/100)</f>
        <v>1.02105</v>
      </c>
      <c r="L158" s="183">
        <f>1+((INDEX('Yield Curve'!$B$48:$P$91,MATCH(ROUND(L157,0),'Yield Curve'!$B$48:$B$91,0),MATCH(YEAR($B156),'Yield Curve'!$B$48:$P$48,0)))/100)</f>
        <v>1.02105</v>
      </c>
      <c r="M158" s="183">
        <f>1+((INDEX('Yield Curve'!$B$48:$P$91,MATCH(ROUND(M157,0),'Yield Curve'!$B$48:$B$91,0),MATCH(YEAR($B156),'Yield Curve'!$B$48:$P$48,0)))/100)</f>
        <v>1.02105</v>
      </c>
      <c r="N158" s="183">
        <f>1+((INDEX('Yield Curve'!$B$48:$P$91,MATCH(ROUND(N157,0),'Yield Curve'!$B$48:$B$91,0),MATCH(YEAR($B156),'Yield Curve'!$B$48:$P$48,0)))/100)</f>
        <v>1.02105</v>
      </c>
      <c r="O158" s="183">
        <f>1+((INDEX('Yield Curve'!$B$48:$P$91,MATCH(ROUND(O157,0),'Yield Curve'!$B$48:$B$91,0),MATCH(YEAR($B156),'Yield Curve'!$B$48:$P$48,0)))/100)</f>
        <v>1.02105</v>
      </c>
      <c r="P158" s="183">
        <f>1+((INDEX('Yield Curve'!$B$48:$P$91,MATCH(ROUND(P157,0),'Yield Curve'!$B$48:$B$91,0),MATCH(YEAR($B156),'Yield Curve'!$B$48:$P$48,0)))/100)</f>
        <v>1.02105</v>
      </c>
      <c r="Q158" s="183">
        <f>1+((INDEX('Yield Curve'!$B$48:$P$91,MATCH(ROUND(Q157,0),'Yield Curve'!$B$48:$B$91,0),MATCH(YEAR($B156),'Yield Curve'!$B$48:$P$48,0)))/100)</f>
        <v>1.0229999999999999</v>
      </c>
      <c r="R158" s="183">
        <f>1+((INDEX('Yield Curve'!$B$48:$P$91,MATCH(ROUND(R157,0),'Yield Curve'!$B$48:$B$91,0),MATCH(YEAR($B156),'Yield Curve'!$B$48:$P$48,0)))/100)</f>
        <v>1.0229999999999999</v>
      </c>
      <c r="S158" s="183">
        <f>1+((INDEX('Yield Curve'!$B$48:$P$91,MATCH(ROUND(S157,0),'Yield Curve'!$B$48:$B$91,0),MATCH(YEAR($B156),'Yield Curve'!$B$48:$P$48,0)))/100)</f>
        <v>1.0229999999999999</v>
      </c>
    </row>
    <row r="159" spans="2:54">
      <c r="B159" t="s">
        <v>212</v>
      </c>
      <c r="C159" s="182">
        <f>SUM(D159:AM159)</f>
        <v>397.48804745231394</v>
      </c>
      <c r="J159" s="182">
        <f t="shared" ref="J159" si="732">J$147/(J158^J157)</f>
        <v>6.5402527171792979</v>
      </c>
      <c r="K159" s="182">
        <f t="shared" ref="K159" si="733">K$147/(K158^K157)</f>
        <v>6.4724845893812581</v>
      </c>
      <c r="L159" s="182">
        <f t="shared" ref="L159" si="734">L$147/(L158^L157)</f>
        <v>6.4054186545020313</v>
      </c>
      <c r="M159" s="182">
        <f t="shared" ref="M159" si="735">M$147/(M158^M157)</f>
        <v>6.3390476366301929</v>
      </c>
      <c r="N159" s="182">
        <f t="shared" ref="N159" si="736">N$147/(N158^N157)</f>
        <v>6.2733643352451205</v>
      </c>
      <c r="O159" s="182">
        <f t="shared" ref="O159" si="737">O$147/(O158^O157)</f>
        <v>6.2083616244358177</v>
      </c>
      <c r="P159" s="182">
        <f t="shared" ref="P159" si="738">P$147/(P158^P157)</f>
        <v>6.1440324521278287</v>
      </c>
      <c r="Q159" s="182">
        <f t="shared" ref="Q159" si="739">Q$147/(Q158^Q157)</f>
        <v>6.0380226085123665</v>
      </c>
      <c r="R159" s="182">
        <f t="shared" ref="R159" si="740">R$147/(R158^R157)</f>
        <v>5.9697606362124782</v>
      </c>
      <c r="S159" s="182">
        <f t="shared" ref="S159" si="741">S$147/(S158^S157)</f>
        <v>341.09730219808756</v>
      </c>
    </row>
    <row r="160" spans="2:54">
      <c r="B160" s="135">
        <v>44377</v>
      </c>
    </row>
    <row r="161" spans="2:27">
      <c r="B161" t="s">
        <v>210</v>
      </c>
      <c r="L161" s="182">
        <f t="shared" ref="L161" si="742">(L$146-$B160)/365</f>
        <v>0.16301369863013698</v>
      </c>
      <c r="M161" s="182">
        <f t="shared" ref="M161" si="743">(M$146-$B160)/365</f>
        <v>0.66301369863013704</v>
      </c>
      <c r="N161" s="182">
        <f t="shared" ref="N161" si="744">(N$146-$B160)/365</f>
        <v>1.1630136986301369</v>
      </c>
      <c r="O161" s="182">
        <f t="shared" ref="O161" si="745">(O$146-$B160)/365</f>
        <v>1.6630136986301369</v>
      </c>
      <c r="P161" s="182">
        <f t="shared" ref="P161" si="746">(P$146-$B160)/365</f>
        <v>2.1630136986301371</v>
      </c>
      <c r="Q161" s="182">
        <f t="shared" ref="Q161" si="747">(Q$146-$B160)/365</f>
        <v>2.6630136986301371</v>
      </c>
      <c r="R161" s="182">
        <f t="shared" ref="R161" si="748">(R$146-$B160)/365</f>
        <v>3.1630136986301371</v>
      </c>
      <c r="S161" s="182">
        <f t="shared" ref="S161" si="749">(S$146-$B160)/365</f>
        <v>3.1671232876712327</v>
      </c>
    </row>
    <row r="162" spans="2:27">
      <c r="B162" t="s">
        <v>211</v>
      </c>
      <c r="L162" s="183">
        <f>1+((INDEX('Yield Curve'!$B$48:$P$91,MATCH(ROUND(L161,0),'Yield Curve'!$B$48:$B$91,0),MATCH(YEAR($B160),'Yield Curve'!$B$48:$P$48,0)))/100)</f>
        <v>1.0129999999999999</v>
      </c>
      <c r="M162" s="183">
        <f>1+((INDEX('Yield Curve'!$B$48:$P$91,MATCH(ROUND(M161,0),'Yield Curve'!$B$48:$B$91,0),MATCH(YEAR($B160),'Yield Curve'!$B$48:$P$48,0)))/100)</f>
        <v>1.0129999999999999</v>
      </c>
      <c r="N162" s="183">
        <f>1+((INDEX('Yield Curve'!$B$48:$P$91,MATCH(ROUND(N161,0),'Yield Curve'!$B$48:$B$91,0),MATCH(YEAR($B160),'Yield Curve'!$B$48:$P$48,0)))/100)</f>
        <v>1.0129999999999999</v>
      </c>
      <c r="O162" s="183">
        <f>1+((INDEX('Yield Curve'!$B$48:$P$91,MATCH(ROUND(O161,0),'Yield Curve'!$B$48:$B$91,0),MATCH(YEAR($B160),'Yield Curve'!$B$48:$P$48,0)))/100)</f>
        <v>1.0129999999999999</v>
      </c>
      <c r="P162" s="183">
        <f>1+((INDEX('Yield Curve'!$B$48:$P$91,MATCH(ROUND(P161,0),'Yield Curve'!$B$48:$B$91,0),MATCH(YEAR($B160),'Yield Curve'!$B$48:$P$48,0)))/100)</f>
        <v>1.0129999999999999</v>
      </c>
      <c r="Q162" s="183">
        <f>1+((INDEX('Yield Curve'!$B$48:$P$91,MATCH(ROUND(Q161,0),'Yield Curve'!$B$48:$B$91,0),MATCH(YEAR($B160),'Yield Curve'!$B$48:$P$48,0)))/100)</f>
        <v>1.0129999999999999</v>
      </c>
      <c r="R162" s="183">
        <f>1+((INDEX('Yield Curve'!$B$48:$P$91,MATCH(ROUND(R161,0),'Yield Curve'!$B$48:$B$91,0),MATCH(YEAR($B160),'Yield Curve'!$B$48:$P$48,0)))/100)</f>
        <v>1.0129999999999999</v>
      </c>
      <c r="S162" s="183">
        <f>1+((INDEX('Yield Curve'!$B$48:$P$91,MATCH(ROUND(S161,0),'Yield Curve'!$B$48:$B$91,0),MATCH(YEAR($B160),'Yield Curve'!$B$48:$P$48,0)))/100)</f>
        <v>1.0129999999999999</v>
      </c>
    </row>
    <row r="163" spans="2:27">
      <c r="B163" t="s">
        <v>212</v>
      </c>
      <c r="C163" s="182">
        <f>SUM(D163:AM163)</f>
        <v>404.93434073212501</v>
      </c>
      <c r="L163" s="182">
        <f t="shared" ref="L163" si="750">L$147/(L162^L161)</f>
        <v>6.5486970504557922</v>
      </c>
      <c r="M163" s="182">
        <f t="shared" ref="M163" si="751">M$147/(M162^M161)</f>
        <v>6.5065410977652771</v>
      </c>
      <c r="N163" s="182">
        <f t="shared" ref="N163" si="752">N$147/(N162^N161)</f>
        <v>6.4646565157510292</v>
      </c>
      <c r="O163" s="182">
        <f t="shared" ref="O163" si="753">O$147/(O162^O161)</f>
        <v>6.4230415575175508</v>
      </c>
      <c r="P163" s="182">
        <f t="shared" ref="P163" si="754">P$147/(P162^P161)</f>
        <v>6.3816944874146388</v>
      </c>
      <c r="Q163" s="182">
        <f t="shared" ref="Q163" si="755">Q$147/(Q162^Q161)</f>
        <v>6.3406135809650062</v>
      </c>
      <c r="R163" s="182">
        <f t="shared" ref="R163" si="756">R$147/(R162^R161)</f>
        <v>6.2997971247923408</v>
      </c>
      <c r="S163" s="182">
        <f t="shared" ref="S163" si="757">S$147/(S162^S161)</f>
        <v>359.96929931746337</v>
      </c>
    </row>
    <row r="164" spans="2:27">
      <c r="B164" s="135">
        <v>44552</v>
      </c>
    </row>
    <row r="165" spans="2:27">
      <c r="B165" t="s">
        <v>210</v>
      </c>
      <c r="M165" s="182">
        <f t="shared" ref="M165" si="758">(M$146-$B164)/365</f>
        <v>0.18356164383561643</v>
      </c>
      <c r="N165" s="182">
        <f t="shared" ref="N165" si="759">(N$146-$B164)/365</f>
        <v>0.68356164383561646</v>
      </c>
      <c r="O165" s="182">
        <f t="shared" ref="O165" si="760">(O$146-$B164)/365</f>
        <v>1.1835616438356165</v>
      </c>
      <c r="P165" s="182">
        <f t="shared" ref="P165" si="761">(P$146-$B164)/365</f>
        <v>1.6835616438356165</v>
      </c>
      <c r="Q165" s="182">
        <f t="shared" ref="Q165" si="762">(Q$146-$B164)/365</f>
        <v>2.1835616438356165</v>
      </c>
      <c r="R165" s="182">
        <f t="shared" ref="R165" si="763">(R$146-$B164)/365</f>
        <v>2.6835616438356165</v>
      </c>
      <c r="S165" s="182">
        <f t="shared" ref="S165" si="764">(S$146-$B164)/365</f>
        <v>2.6876712328767125</v>
      </c>
    </row>
    <row r="166" spans="2:27">
      <c r="B166" t="s">
        <v>211</v>
      </c>
      <c r="M166" s="183">
        <f>1+((INDEX('Yield Curve'!$B$48:$P$91,MATCH(ROUND(M165,0),'Yield Curve'!$B$48:$B$91,0),MATCH(YEAR($B164)+1,'Yield Curve'!$B$48:$P$48,0)))/100)</f>
        <v>1.0212000000000001</v>
      </c>
      <c r="N166" s="183">
        <f>1+((INDEX('Yield Curve'!$B$48:$P$91,MATCH(ROUND(N165,0),'Yield Curve'!$B$48:$B$91,0),MATCH(YEAR($B164)+1,'Yield Curve'!$B$48:$P$48,0)))/100)</f>
        <v>1.0212000000000001</v>
      </c>
      <c r="O166" s="183">
        <f>1+((INDEX('Yield Curve'!$B$48:$P$91,MATCH(ROUND(O165,0),'Yield Curve'!$B$48:$B$91,0),MATCH(YEAR($B164)+1,'Yield Curve'!$B$48:$P$48,0)))/100)</f>
        <v>1.0212000000000001</v>
      </c>
      <c r="P166" s="183">
        <f>1+((INDEX('Yield Curve'!$B$48:$P$91,MATCH(ROUND(P165,0),'Yield Curve'!$B$48:$B$91,0),MATCH(YEAR($B164)+1,'Yield Curve'!$B$48:$P$48,0)))/100)</f>
        <v>1.0212000000000001</v>
      </c>
      <c r="Q166" s="183">
        <f>1+((INDEX('Yield Curve'!$B$48:$P$91,MATCH(ROUND(Q165,0),'Yield Curve'!$B$48:$B$91,0),MATCH(YEAR($B164)+1,'Yield Curve'!$B$48:$P$48,0)))/100)</f>
        <v>1.0212000000000001</v>
      </c>
      <c r="R166" s="183">
        <f>1+((INDEX('Yield Curve'!$B$48:$P$91,MATCH(ROUND(R165,0),'Yield Curve'!$B$48:$B$91,0),MATCH(YEAR($B164)+1,'Yield Curve'!$B$48:$P$48,0)))/100)</f>
        <v>1.0212000000000001</v>
      </c>
      <c r="S166" s="183">
        <f>1+((INDEX('Yield Curve'!$B$48:$P$91,MATCH(ROUND(S165,0),'Yield Curve'!$B$48:$B$91,0),MATCH(YEAR($B164)+1,'Yield Curve'!$B$48:$P$48,0)))/100)</f>
        <v>1.0212000000000001</v>
      </c>
    </row>
    <row r="167" spans="2:27">
      <c r="B167" t="s">
        <v>212</v>
      </c>
      <c r="C167" s="182">
        <f>SUM(D167:AM167)</f>
        <v>392.65598024255314</v>
      </c>
      <c r="M167" s="182">
        <f t="shared" ref="M167" si="765">M$147/(M166^M165)</f>
        <v>6.5372775180533029</v>
      </c>
      <c r="N167" s="182">
        <f t="shared" ref="N167" si="766">N$147/(N166^N165)</f>
        <v>6.4690650584273497</v>
      </c>
      <c r="O167" s="182">
        <f t="shared" ref="O167" si="767">O$147/(O166^O165)</f>
        <v>6.4015643537537228</v>
      </c>
      <c r="P167" s="182">
        <f t="shared" ref="P167" si="768">P$147/(P166^P165)</f>
        <v>6.3347679773084105</v>
      </c>
      <c r="Q167" s="182">
        <f t="shared" ref="Q167" si="769">Q$147/(Q166^Q165)</f>
        <v>6.2686685798606767</v>
      </c>
      <c r="R167" s="182">
        <f t="shared" ref="R167" si="770">R$147/(R166^R165)</f>
        <v>6.2032588888644824</v>
      </c>
      <c r="S167" s="182">
        <f t="shared" ref="S167" si="771">S$147/(S166^S165)</f>
        <v>354.44137786628517</v>
      </c>
    </row>
    <row r="169" spans="2:27">
      <c r="B169" s="5" t="str">
        <f>'SA Power Bonds'!A58</f>
        <v>29878480111</v>
      </c>
    </row>
    <row r="170" spans="2:27">
      <c r="B170" t="s">
        <v>66</v>
      </c>
      <c r="D170" s="180">
        <f>VLOOKUP(B169,'SA Power Bonds'!$A$54:$K$64,4,FALSE)</f>
        <v>42543</v>
      </c>
      <c r="E170" s="180">
        <f>VLOOKUP(B169,'SA Power Bonds'!$A$54:$K$64,10,FALSE)</f>
        <v>42776</v>
      </c>
      <c r="F170" s="180">
        <f>IF(E170+VLOOKUP($B169,'SA Power Bonds'!$A$54:$K$64,9,FALSE)*365 &lt; VLOOKUP($B169,'SA Power Bonds'!$A$54:$K$64,5,FALSE), E170+VLOOKUP($B169,'SA Power Bonds'!$A$54:$K$64,9,FALSE)*365, VLOOKUP($B169,'SA Power Bonds'!$A$54:$K$64,5,FALSE))</f>
        <v>42958.5</v>
      </c>
      <c r="G170" s="180">
        <f>IF(F170+VLOOKUP($B169,'SA Power Bonds'!$A$54:$K$64,9,FALSE)*365 &lt; VLOOKUP($B169,'SA Power Bonds'!$A$54:$K$64,5,FALSE), F170+VLOOKUP($B169,'SA Power Bonds'!$A$54:$K$64,9,FALSE)*365, VLOOKUP($B169,'SA Power Bonds'!$A$54:$K$64,5,FALSE))</f>
        <v>43141</v>
      </c>
      <c r="H170" s="180">
        <f>IF(G170+VLOOKUP($B169,'SA Power Bonds'!$A$54:$K$64,9,FALSE)*365 &lt; VLOOKUP($B169,'SA Power Bonds'!$A$54:$K$64,5,FALSE), G170+VLOOKUP($B169,'SA Power Bonds'!$A$54:$K$64,9,FALSE)*365, VLOOKUP($B169,'SA Power Bonds'!$A$54:$K$64,5,FALSE))</f>
        <v>43323.5</v>
      </c>
      <c r="I170" s="180">
        <f>IF(H170+VLOOKUP($B169,'SA Power Bonds'!$A$54:$K$64,9,FALSE)*365 &lt; VLOOKUP($B169,'SA Power Bonds'!$A$54:$K$64,5,FALSE), H170+VLOOKUP($B169,'SA Power Bonds'!$A$54:$K$64,9,FALSE)*365, VLOOKUP($B169,'SA Power Bonds'!$A$54:$K$64,5,FALSE))</f>
        <v>43506</v>
      </c>
      <c r="J170" s="180">
        <f>IF(I170+VLOOKUP($B169,'SA Power Bonds'!$A$54:$K$64,9,FALSE)*365 &lt; VLOOKUP($B169,'SA Power Bonds'!$A$54:$K$64,5,FALSE), I170+VLOOKUP($B169,'SA Power Bonds'!$A$54:$K$64,9,FALSE)*365, VLOOKUP($B169,'SA Power Bonds'!$A$54:$K$64,5,FALSE))</f>
        <v>43688.5</v>
      </c>
      <c r="K170" s="180">
        <f>IF(J170+VLOOKUP($B169,'SA Power Bonds'!$A$54:$K$64,9,FALSE)*365 &lt; VLOOKUP($B169,'SA Power Bonds'!$A$54:$K$64,5,FALSE), J170+VLOOKUP($B169,'SA Power Bonds'!$A$54:$K$64,9,FALSE)*365, VLOOKUP($B169,'SA Power Bonds'!$A$54:$K$64,5,FALSE))</f>
        <v>43871</v>
      </c>
      <c r="L170" s="180">
        <f>IF(K170+VLOOKUP($B169,'SA Power Bonds'!$A$54:$K$64,9,FALSE)*365 &lt; VLOOKUP($B169,'SA Power Bonds'!$A$54:$K$64,5,FALSE), K170+VLOOKUP($B169,'SA Power Bonds'!$A$54:$K$64,9,FALSE)*365, VLOOKUP($B169,'SA Power Bonds'!$A$54:$K$64,5,FALSE))</f>
        <v>44053.5</v>
      </c>
      <c r="M170" s="180">
        <f>IF(L170+VLOOKUP($B169,'SA Power Bonds'!$A$54:$K$64,9,FALSE)*365 &lt; VLOOKUP($B169,'SA Power Bonds'!$A$54:$K$64,5,FALSE), L170+VLOOKUP($B169,'SA Power Bonds'!$A$54:$K$64,9,FALSE)*365, VLOOKUP($B169,'SA Power Bonds'!$A$54:$K$64,5,FALSE))</f>
        <v>44236</v>
      </c>
      <c r="N170" s="180">
        <f>IF(M170+VLOOKUP($B169,'SA Power Bonds'!$A$54:$K$64,9,FALSE)*365 &lt; VLOOKUP($B169,'SA Power Bonds'!$A$54:$K$64,5,FALSE), M170+VLOOKUP($B169,'SA Power Bonds'!$A$54:$K$64,9,FALSE)*365, VLOOKUP($B169,'SA Power Bonds'!$A$54:$K$64,5,FALSE))</f>
        <v>44418.5</v>
      </c>
      <c r="O170" s="180">
        <f>IF(N170+VLOOKUP($B169,'SA Power Bonds'!$A$54:$K$64,9,FALSE)*365 &lt; VLOOKUP($B169,'SA Power Bonds'!$A$54:$K$64,5,FALSE), N170+VLOOKUP($B169,'SA Power Bonds'!$A$54:$K$64,9,FALSE)*365, VLOOKUP($B169,'SA Power Bonds'!$A$54:$K$64,5,FALSE))</f>
        <v>44601</v>
      </c>
      <c r="P170" s="180">
        <f>IF(O170+VLOOKUP($B169,'SA Power Bonds'!$A$54:$K$64,9,FALSE)*365 &lt; VLOOKUP($B169,'SA Power Bonds'!$A$54:$K$64,5,FALSE), O170+VLOOKUP($B169,'SA Power Bonds'!$A$54:$K$64,9,FALSE)*365, VLOOKUP($B169,'SA Power Bonds'!$A$54:$K$64,5,FALSE))</f>
        <v>44783.5</v>
      </c>
      <c r="Q170" s="180">
        <f>IF(P170+VLOOKUP($B169,'SA Power Bonds'!$A$54:$K$64,9,FALSE)*365 &lt; VLOOKUP($B169,'SA Power Bonds'!$A$54:$K$64,5,FALSE), P170+VLOOKUP($B169,'SA Power Bonds'!$A$54:$K$64,9,FALSE)*365, VLOOKUP($B169,'SA Power Bonds'!$A$54:$K$64,5,FALSE))</f>
        <v>44966</v>
      </c>
      <c r="R170" s="180">
        <f>IF(Q170+VLOOKUP($B169,'SA Power Bonds'!$A$54:$K$64,9,FALSE)*365 &lt; VLOOKUP($B169,'SA Power Bonds'!$A$54:$K$64,5,FALSE), Q170+VLOOKUP($B169,'SA Power Bonds'!$A$54:$K$64,9,FALSE)*365, VLOOKUP($B169,'SA Power Bonds'!$A$54:$K$64,5,FALSE))</f>
        <v>45148.5</v>
      </c>
      <c r="S170" s="180">
        <f>IF(R170+VLOOKUP($B169,'SA Power Bonds'!$A$54:$K$64,9,FALSE)*365 &lt; VLOOKUP($B169,'SA Power Bonds'!$A$54:$K$64,5,FALSE), R170+VLOOKUP($B169,'SA Power Bonds'!$A$54:$K$64,9,FALSE)*365, VLOOKUP($B169,'SA Power Bonds'!$A$54:$K$64,5,FALSE))</f>
        <v>45331</v>
      </c>
      <c r="T170" s="180">
        <f>IF(S170+VLOOKUP($B169,'SA Power Bonds'!$A$54:$K$64,9,FALSE)*365 &lt; VLOOKUP($B169,'SA Power Bonds'!$A$54:$K$64,5,FALSE), S170+VLOOKUP($B169,'SA Power Bonds'!$A$54:$K$64,9,FALSE)*365, VLOOKUP($B169,'SA Power Bonds'!$A$54:$K$64,5,FALSE))</f>
        <v>45513.5</v>
      </c>
      <c r="U170" s="180">
        <f>IF(T170+VLOOKUP($B169,'SA Power Bonds'!$A$54:$K$64,9,FALSE)*365 &lt; VLOOKUP($B169,'SA Power Bonds'!$A$54:$K$64,5,FALSE), T170+VLOOKUP($B169,'SA Power Bonds'!$A$54:$K$64,9,FALSE)*365, VLOOKUP($B169,'SA Power Bonds'!$A$54:$K$64,5,FALSE))</f>
        <v>45696</v>
      </c>
      <c r="V170" s="180">
        <f>IF(U170+VLOOKUP($B169,'SA Power Bonds'!$A$54:$K$64,9,FALSE)*365 &lt; VLOOKUP($B169,'SA Power Bonds'!$A$54:$K$64,5,FALSE), U170+VLOOKUP($B169,'SA Power Bonds'!$A$54:$K$64,9,FALSE)*365, VLOOKUP($B169,'SA Power Bonds'!$A$54:$K$64,5,FALSE))</f>
        <v>45878.5</v>
      </c>
      <c r="W170" s="180">
        <f>IF(V170+VLOOKUP($B169,'SA Power Bonds'!$A$54:$K$64,9,FALSE)*365 &lt; VLOOKUP($B169,'SA Power Bonds'!$A$54:$K$64,5,FALSE), V170+VLOOKUP($B169,'SA Power Bonds'!$A$54:$K$64,9,FALSE)*365, VLOOKUP($B169,'SA Power Bonds'!$A$54:$K$64,5,FALSE))</f>
        <v>46061</v>
      </c>
      <c r="X170" s="180">
        <f>IF(W170+VLOOKUP($B169,'SA Power Bonds'!$A$54:$K$64,9,FALSE)*365 &lt; VLOOKUP($B169,'SA Power Bonds'!$A$54:$K$64,5,FALSE), W170+VLOOKUP($B169,'SA Power Bonds'!$A$54:$K$64,9,FALSE)*365, VLOOKUP($B169,'SA Power Bonds'!$A$54:$K$64,5,FALSE))</f>
        <v>46243.5</v>
      </c>
      <c r="Y170" s="180">
        <f>IF(X170+VLOOKUP($B169,'SA Power Bonds'!$A$54:$K$64,9,FALSE)*365 &lt; VLOOKUP($B169,'SA Power Bonds'!$A$54:$K$64,5,FALSE), X170+VLOOKUP($B169,'SA Power Bonds'!$A$54:$K$64,9,FALSE)*365, VLOOKUP($B169,'SA Power Bonds'!$A$54:$K$64,5,FALSE))</f>
        <v>46244</v>
      </c>
      <c r="Z170" s="27"/>
      <c r="AA170" s="27"/>
    </row>
    <row r="171" spans="2:27">
      <c r="B171" t="s">
        <v>209</v>
      </c>
      <c r="E171" s="182">
        <f>IF(E170&lt;VLOOKUP($B169,'SA Power Bonds'!$A$54:$K$64,5,FALSE),(VLOOKUP($B169,'SA Power Bonds'!$A$54:$K$64,8,FALSE)/100)*(VLOOKUP($B169,'SA Power Bonds'!$A$54:$K$64,9,FALSE))*(VLOOKUP($B169,'SA Power Bonds'!$A$54:$K$64,6,FALSE)),(VLOOKUP($B169,'SA Power Bonds'!$A$54:$K$64,6,FALSE)))</f>
        <v>1.7339490000000002</v>
      </c>
      <c r="F171" s="182">
        <f>IF(F170&lt;VLOOKUP($B169,'SA Power Bonds'!$A$54:$K$64,5,FALSE),(VLOOKUP($B169,'SA Power Bonds'!$A$54:$K$64,8,FALSE)/100)*(VLOOKUP($B169,'SA Power Bonds'!$A$54:$K$64,9,FALSE))*(VLOOKUP($B169,'SA Power Bonds'!$A$54:$K$64,6,FALSE)),(VLOOKUP($B169,'SA Power Bonds'!$A$54:$K$64,6,FALSE)))</f>
        <v>1.7339490000000002</v>
      </c>
      <c r="G171" s="182">
        <f>IF(G170&lt;VLOOKUP($B169,'SA Power Bonds'!$A$54:$K$64,5,FALSE),(VLOOKUP($B169,'SA Power Bonds'!$A$54:$K$64,8,FALSE)/100)*(VLOOKUP($B169,'SA Power Bonds'!$A$54:$K$64,9,FALSE))*(VLOOKUP($B169,'SA Power Bonds'!$A$54:$K$64,6,FALSE)),(VLOOKUP($B169,'SA Power Bonds'!$A$54:$K$64,6,FALSE)))</f>
        <v>1.7339490000000002</v>
      </c>
      <c r="H171" s="182">
        <f>IF(H170&lt;VLOOKUP($B169,'SA Power Bonds'!$A$54:$K$64,5,FALSE),(VLOOKUP($B169,'SA Power Bonds'!$A$54:$K$64,8,FALSE)/100)*(VLOOKUP($B169,'SA Power Bonds'!$A$54:$K$64,9,FALSE))*(VLOOKUP($B169,'SA Power Bonds'!$A$54:$K$64,6,FALSE)),(VLOOKUP($B169,'SA Power Bonds'!$A$54:$K$64,6,FALSE)))</f>
        <v>1.7339490000000002</v>
      </c>
      <c r="I171" s="182">
        <f>IF(I170&lt;VLOOKUP($B169,'SA Power Bonds'!$A$54:$K$64,5,FALSE),(VLOOKUP($B169,'SA Power Bonds'!$A$54:$K$64,8,FALSE)/100)*(VLOOKUP($B169,'SA Power Bonds'!$A$54:$K$64,9,FALSE))*(VLOOKUP($B169,'SA Power Bonds'!$A$54:$K$64,6,FALSE)),(VLOOKUP($B169,'SA Power Bonds'!$A$54:$K$64,6,FALSE)))</f>
        <v>1.7339490000000002</v>
      </c>
      <c r="J171" s="182">
        <f>IF(J170&lt;VLOOKUP($B169,'SA Power Bonds'!$A$54:$K$64,5,FALSE),(VLOOKUP($B169,'SA Power Bonds'!$A$54:$K$64,8,FALSE)/100)*(VLOOKUP($B169,'SA Power Bonds'!$A$54:$K$64,9,FALSE))*(VLOOKUP($B169,'SA Power Bonds'!$A$54:$K$64,6,FALSE)),(VLOOKUP($B169,'SA Power Bonds'!$A$54:$K$64,6,FALSE)))</f>
        <v>1.7339490000000002</v>
      </c>
      <c r="K171" s="182">
        <f>IF(K170&lt;VLOOKUP($B169,'SA Power Bonds'!$A$54:$K$64,5,FALSE),(VLOOKUP($B169,'SA Power Bonds'!$A$54:$K$64,8,FALSE)/100)*(VLOOKUP($B169,'SA Power Bonds'!$A$54:$K$64,9,FALSE))*(VLOOKUP($B169,'SA Power Bonds'!$A$54:$K$64,6,FALSE)),(VLOOKUP($B169,'SA Power Bonds'!$A$54:$K$64,6,FALSE)))</f>
        <v>1.7339490000000002</v>
      </c>
      <c r="L171" s="182">
        <f>IF(L170&lt;VLOOKUP($B169,'SA Power Bonds'!$A$54:$K$64,5,FALSE),(VLOOKUP($B169,'SA Power Bonds'!$A$54:$K$64,8,FALSE)/100)*(VLOOKUP($B169,'SA Power Bonds'!$A$54:$K$64,9,FALSE))*(VLOOKUP($B169,'SA Power Bonds'!$A$54:$K$64,6,FALSE)),(VLOOKUP($B169,'SA Power Bonds'!$A$54:$K$64,6,FALSE)))</f>
        <v>1.7339490000000002</v>
      </c>
      <c r="M171" s="182">
        <f>IF(M170&lt;VLOOKUP($B169,'SA Power Bonds'!$A$54:$K$64,5,FALSE),(VLOOKUP($B169,'SA Power Bonds'!$A$54:$K$64,8,FALSE)/100)*(VLOOKUP($B169,'SA Power Bonds'!$A$54:$K$64,9,FALSE))*(VLOOKUP($B169,'SA Power Bonds'!$A$54:$K$64,6,FALSE)),(VLOOKUP($B169,'SA Power Bonds'!$A$54:$K$64,6,FALSE)))</f>
        <v>1.7339490000000002</v>
      </c>
      <c r="N171" s="182">
        <f>IF(N170&lt;VLOOKUP($B169,'SA Power Bonds'!$A$54:$K$64,5,FALSE),(VLOOKUP($B169,'SA Power Bonds'!$A$54:$K$64,8,FALSE)/100)*(VLOOKUP($B169,'SA Power Bonds'!$A$54:$K$64,9,FALSE))*(VLOOKUP($B169,'SA Power Bonds'!$A$54:$K$64,6,FALSE)),(VLOOKUP($B169,'SA Power Bonds'!$A$54:$K$64,6,FALSE)))</f>
        <v>1.7339490000000002</v>
      </c>
      <c r="O171" s="182">
        <f>IF(O170&lt;VLOOKUP($B169,'SA Power Bonds'!$A$54:$K$64,5,FALSE),(VLOOKUP($B169,'SA Power Bonds'!$A$54:$K$64,8,FALSE)/100)*(VLOOKUP($B169,'SA Power Bonds'!$A$54:$K$64,9,FALSE))*(VLOOKUP($B169,'SA Power Bonds'!$A$54:$K$64,6,FALSE)),(VLOOKUP($B169,'SA Power Bonds'!$A$54:$K$64,6,FALSE)))</f>
        <v>1.7339490000000002</v>
      </c>
      <c r="P171" s="182">
        <f>IF(P170&lt;VLOOKUP($B169,'SA Power Bonds'!$A$54:$K$64,5,FALSE),(VLOOKUP($B169,'SA Power Bonds'!$A$54:$K$64,8,FALSE)/100)*(VLOOKUP($B169,'SA Power Bonds'!$A$54:$K$64,9,FALSE))*(VLOOKUP($B169,'SA Power Bonds'!$A$54:$K$64,6,FALSE)),(VLOOKUP($B169,'SA Power Bonds'!$A$54:$K$64,6,FALSE)))</f>
        <v>1.7339490000000002</v>
      </c>
      <c r="Q171" s="182">
        <f>IF(Q170&lt;VLOOKUP($B169,'SA Power Bonds'!$A$54:$K$64,5,FALSE),(VLOOKUP($B169,'SA Power Bonds'!$A$54:$K$64,8,FALSE)/100)*(VLOOKUP($B169,'SA Power Bonds'!$A$54:$K$64,9,FALSE))*(VLOOKUP($B169,'SA Power Bonds'!$A$54:$K$64,6,FALSE)),(VLOOKUP($B169,'SA Power Bonds'!$A$54:$K$64,6,FALSE)))</f>
        <v>1.7339490000000002</v>
      </c>
      <c r="R171" s="182">
        <f>IF(R170&lt;VLOOKUP($B169,'SA Power Bonds'!$A$54:$K$64,5,FALSE),(VLOOKUP($B169,'SA Power Bonds'!$A$54:$K$64,8,FALSE)/100)*(VLOOKUP($B169,'SA Power Bonds'!$A$54:$K$64,9,FALSE))*(VLOOKUP($B169,'SA Power Bonds'!$A$54:$K$64,6,FALSE)),(VLOOKUP($B169,'SA Power Bonds'!$A$54:$K$64,6,FALSE)))</f>
        <v>1.7339490000000002</v>
      </c>
      <c r="S171" s="182">
        <f>IF(S170&lt;VLOOKUP($B169,'SA Power Bonds'!$A$54:$K$64,5,FALSE),(VLOOKUP($B169,'SA Power Bonds'!$A$54:$K$64,8,FALSE)/100)*(VLOOKUP($B169,'SA Power Bonds'!$A$54:$K$64,9,FALSE))*(VLOOKUP($B169,'SA Power Bonds'!$A$54:$K$64,6,FALSE)),(VLOOKUP($B169,'SA Power Bonds'!$A$54:$K$64,6,FALSE)))</f>
        <v>1.7339490000000002</v>
      </c>
      <c r="T171" s="182">
        <f>IF(T170&lt;VLOOKUP($B169,'SA Power Bonds'!$A$54:$K$64,5,FALSE),(VLOOKUP($B169,'SA Power Bonds'!$A$54:$K$64,8,FALSE)/100)*(VLOOKUP($B169,'SA Power Bonds'!$A$54:$K$64,9,FALSE))*(VLOOKUP($B169,'SA Power Bonds'!$A$54:$K$64,6,FALSE)),(VLOOKUP($B169,'SA Power Bonds'!$A$54:$K$64,6,FALSE)))</f>
        <v>1.7339490000000002</v>
      </c>
      <c r="U171" s="182">
        <f>IF(U170&lt;VLOOKUP($B169,'SA Power Bonds'!$A$54:$K$64,5,FALSE),(VLOOKUP($B169,'SA Power Bonds'!$A$54:$K$64,8,FALSE)/100)*(VLOOKUP($B169,'SA Power Bonds'!$A$54:$K$64,9,FALSE))*(VLOOKUP($B169,'SA Power Bonds'!$A$54:$K$64,6,FALSE)),(VLOOKUP($B169,'SA Power Bonds'!$A$54:$K$64,6,FALSE)))</f>
        <v>1.7339490000000002</v>
      </c>
      <c r="V171" s="182">
        <f>IF(V170&lt;VLOOKUP($B169,'SA Power Bonds'!$A$54:$K$64,5,FALSE),(VLOOKUP($B169,'SA Power Bonds'!$A$54:$K$64,8,FALSE)/100)*(VLOOKUP($B169,'SA Power Bonds'!$A$54:$K$64,9,FALSE))*(VLOOKUP($B169,'SA Power Bonds'!$A$54:$K$64,6,FALSE)),(VLOOKUP($B169,'SA Power Bonds'!$A$54:$K$64,6,FALSE)))</f>
        <v>1.7339490000000002</v>
      </c>
      <c r="W171" s="182">
        <f>IF(W170&lt;VLOOKUP($B169,'SA Power Bonds'!$A$54:$K$64,5,FALSE),(VLOOKUP($B169,'SA Power Bonds'!$A$54:$K$64,8,FALSE)/100)*(VLOOKUP($B169,'SA Power Bonds'!$A$54:$K$64,9,FALSE))*(VLOOKUP($B169,'SA Power Bonds'!$A$54:$K$64,6,FALSE)),(VLOOKUP($B169,'SA Power Bonds'!$A$54:$K$64,6,FALSE)))</f>
        <v>1.7339490000000002</v>
      </c>
      <c r="X171" s="182">
        <f>IF(X170&lt;VLOOKUP($B169,'SA Power Bonds'!$A$54:$K$64,5,FALSE),(VLOOKUP($B169,'SA Power Bonds'!$A$54:$K$64,8,FALSE)/100)*(VLOOKUP($B169,'SA Power Bonds'!$A$54:$K$64,9,FALSE))*(VLOOKUP($B169,'SA Power Bonds'!$A$54:$K$64,6,FALSE)),(VLOOKUP($B169,'SA Power Bonds'!$A$54:$K$64,6,FALSE)))</f>
        <v>1.7339490000000002</v>
      </c>
      <c r="Y171" s="182">
        <f>IF(Y170&lt;VLOOKUP($B169,'SA Power Bonds'!$A$54:$K$64,5,FALSE),(VLOOKUP($B169,'SA Power Bonds'!$A$54:$K$64,8,FALSE)/100)*(VLOOKUP($B169,'SA Power Bonds'!$A$54:$K$64,9,FALSE))*(VLOOKUP($B169,'SA Power Bonds'!$A$54:$K$64,6,FALSE)),(VLOOKUP($B169,'SA Power Bonds'!$A$54:$K$64,6,FALSE)))</f>
        <v>113.33</v>
      </c>
    </row>
    <row r="172" spans="2:27">
      <c r="B172" s="135">
        <v>42551</v>
      </c>
    </row>
    <row r="173" spans="2:27">
      <c r="B173" t="s">
        <v>210</v>
      </c>
      <c r="E173" s="182">
        <f>(E$170-$B172)/365</f>
        <v>0.61643835616438358</v>
      </c>
      <c r="F173" s="182">
        <f>(F$170-$B172)/365</f>
        <v>1.1164383561643836</v>
      </c>
      <c r="G173" s="182">
        <f t="shared" ref="G173:Y173" si="772">(G$170-$B172)/365</f>
        <v>1.6164383561643836</v>
      </c>
      <c r="H173" s="182">
        <f t="shared" si="772"/>
        <v>2.1164383561643834</v>
      </c>
      <c r="I173" s="182">
        <f t="shared" si="772"/>
        <v>2.6164383561643834</v>
      </c>
      <c r="J173" s="182">
        <f t="shared" si="772"/>
        <v>3.1164383561643834</v>
      </c>
      <c r="K173" s="182">
        <f t="shared" si="772"/>
        <v>3.6164383561643834</v>
      </c>
      <c r="L173" s="182">
        <f t="shared" si="772"/>
        <v>4.1164383561643838</v>
      </c>
      <c r="M173" s="182">
        <f t="shared" si="772"/>
        <v>4.6164383561643838</v>
      </c>
      <c r="N173" s="182">
        <f t="shared" si="772"/>
        <v>5.1164383561643838</v>
      </c>
      <c r="O173" s="182">
        <f t="shared" si="772"/>
        <v>5.6164383561643838</v>
      </c>
      <c r="P173" s="182">
        <f t="shared" si="772"/>
        <v>6.1164383561643838</v>
      </c>
      <c r="Q173" s="182">
        <f t="shared" si="772"/>
        <v>6.6164383561643838</v>
      </c>
      <c r="R173" s="182">
        <f t="shared" si="772"/>
        <v>7.1164383561643838</v>
      </c>
      <c r="S173" s="182">
        <f t="shared" si="772"/>
        <v>7.6164383561643838</v>
      </c>
      <c r="T173" s="182">
        <f t="shared" si="772"/>
        <v>8.1164383561643838</v>
      </c>
      <c r="U173" s="182">
        <f t="shared" si="772"/>
        <v>8.6164383561643838</v>
      </c>
      <c r="V173" s="182">
        <f t="shared" si="772"/>
        <v>9.1164383561643838</v>
      </c>
      <c r="W173" s="182">
        <f t="shared" si="772"/>
        <v>9.6164383561643838</v>
      </c>
      <c r="X173" s="182">
        <f t="shared" si="772"/>
        <v>10.116438356164384</v>
      </c>
      <c r="Y173" s="182">
        <f t="shared" si="772"/>
        <v>10.117808219178082</v>
      </c>
    </row>
    <row r="174" spans="2:27">
      <c r="B174" t="s">
        <v>211</v>
      </c>
      <c r="E174" s="183">
        <f>1+((INDEX('Yield Curve'!$B$48:$P$91,MATCH(ROUND(E173,0),'Yield Curve'!$B$48:$B$91,0),MATCH(YEAR($B172),'Yield Curve'!$B$48:$P$48,0)))/100)</f>
        <v>1.0406</v>
      </c>
      <c r="F174" s="183">
        <f>1+((INDEX('Yield Curve'!$B$48:$P$91,MATCH(ROUND(F173,0),'Yield Curve'!$B$48:$B$91,0),MATCH(YEAR($B172),'Yield Curve'!$B$48:$P$48,0)))/100)</f>
        <v>1.0406</v>
      </c>
      <c r="G174" s="183">
        <f>1+((INDEX('Yield Curve'!$B$48:$P$91,MATCH(ROUND(G173,0),'Yield Curve'!$B$48:$B$91,0),MATCH(YEAR($B172),'Yield Curve'!$B$48:$P$48,0)))/100)</f>
        <v>1.0406</v>
      </c>
      <c r="H174" s="183">
        <f>1+((INDEX('Yield Curve'!$B$48:$P$91,MATCH(ROUND(H173,0),'Yield Curve'!$B$48:$B$91,0),MATCH(YEAR($B172),'Yield Curve'!$B$48:$P$48,0)))/100)</f>
        <v>1.0406</v>
      </c>
      <c r="I174" s="183">
        <f>1+((INDEX('Yield Curve'!$B$48:$P$91,MATCH(ROUND(I173,0),'Yield Curve'!$B$48:$B$91,0),MATCH(YEAR($B172),'Yield Curve'!$B$48:$P$48,0)))/100)</f>
        <v>1.0406</v>
      </c>
      <c r="J174" s="183">
        <f>1+((INDEX('Yield Curve'!$B$48:$P$91,MATCH(ROUND(J173,0),'Yield Curve'!$B$48:$B$91,0),MATCH(YEAR($B172),'Yield Curve'!$B$48:$P$48,0)))/100)</f>
        <v>1.0406</v>
      </c>
      <c r="K174" s="183">
        <f>1+((INDEX('Yield Curve'!$B$48:$P$91,MATCH(ROUND(K173,0),'Yield Curve'!$B$48:$B$91,0),MATCH(YEAR($B172),'Yield Curve'!$B$48:$P$48,0)))/100)</f>
        <v>1.042025</v>
      </c>
      <c r="L174" s="183">
        <f>1+((INDEX('Yield Curve'!$B$48:$P$91,MATCH(ROUND(L173,0),'Yield Curve'!$B$48:$B$91,0),MATCH(YEAR($B172),'Yield Curve'!$B$48:$P$48,0)))/100)</f>
        <v>1.042025</v>
      </c>
      <c r="M174" s="183">
        <f>1+((INDEX('Yield Curve'!$B$48:$P$91,MATCH(ROUND(M173,0),'Yield Curve'!$B$48:$B$91,0),MATCH(YEAR($B172),'Yield Curve'!$B$48:$P$48,0)))/100)</f>
        <v>1.04345</v>
      </c>
      <c r="N174" s="183">
        <f>1+((INDEX('Yield Curve'!$B$48:$P$91,MATCH(ROUND(N173,0),'Yield Curve'!$B$48:$B$91,0),MATCH(YEAR($B172),'Yield Curve'!$B$48:$P$48,0)))/100)</f>
        <v>1.04345</v>
      </c>
      <c r="O174" s="183">
        <f>1+((INDEX('Yield Curve'!$B$48:$P$91,MATCH(ROUND(O173,0),'Yield Curve'!$B$48:$B$91,0),MATCH(YEAR($B172),'Yield Curve'!$B$48:$P$48,0)))/100)</f>
        <v>1.0443500000000001</v>
      </c>
      <c r="P174" s="183">
        <f>1+((INDEX('Yield Curve'!$B$48:$P$91,MATCH(ROUND(P173,0),'Yield Curve'!$B$48:$B$91,0),MATCH(YEAR($B172),'Yield Curve'!$B$48:$P$48,0)))/100)</f>
        <v>1.0443500000000001</v>
      </c>
      <c r="Q174" s="183">
        <f>1+((INDEX('Yield Curve'!$B$48:$P$91,MATCH(ROUND(Q173,0),'Yield Curve'!$B$48:$B$91,0),MATCH(YEAR($B172),'Yield Curve'!$B$48:$P$48,0)))/100)</f>
        <v>1.04525</v>
      </c>
      <c r="R174" s="183">
        <f>1+((INDEX('Yield Curve'!$B$48:$P$91,MATCH(ROUND(R173,0),'Yield Curve'!$B$48:$B$91,0),MATCH(YEAR($B172),'Yield Curve'!$B$48:$P$48,0)))/100)</f>
        <v>1.04525</v>
      </c>
      <c r="S174" s="183">
        <f>1+((INDEX('Yield Curve'!$B$48:$P$91,MATCH(ROUND(S173,0),'Yield Curve'!$B$48:$B$91,0),MATCH(YEAR($B172),'Yield Curve'!$B$48:$P$48,0)))/100)</f>
        <v>1.0457375</v>
      </c>
      <c r="T174" s="183">
        <f>1+((INDEX('Yield Curve'!$B$48:$P$91,MATCH(ROUND(T173,0),'Yield Curve'!$B$48:$B$91,0),MATCH(YEAR($B172),'Yield Curve'!$B$48:$P$48,0)))/100)</f>
        <v>1.0457375</v>
      </c>
      <c r="U174" s="183">
        <f>1+((INDEX('Yield Curve'!$B$48:$P$91,MATCH(ROUND(U173,0),'Yield Curve'!$B$48:$B$91,0),MATCH(YEAR($B172),'Yield Curve'!$B$48:$P$48,0)))/100)</f>
        <v>1.0467124999999999</v>
      </c>
      <c r="V174" s="183">
        <f>1+((INDEX('Yield Curve'!$B$48:$P$91,MATCH(ROUND(V173,0),'Yield Curve'!$B$48:$B$91,0),MATCH(YEAR($B172),'Yield Curve'!$B$48:$P$48,0)))/100)</f>
        <v>1.0467124999999999</v>
      </c>
      <c r="W174" s="183">
        <f>1+((INDEX('Yield Curve'!$B$48:$P$91,MATCH(ROUND(W173,0),'Yield Curve'!$B$48:$B$91,0),MATCH(YEAR($B172),'Yield Curve'!$B$48:$P$48,0)))/100)</f>
        <v>1.0471999999999999</v>
      </c>
      <c r="X174" s="183">
        <f>1+((INDEX('Yield Curve'!$B$48:$P$91,MATCH(ROUND(X173,0),'Yield Curve'!$B$48:$B$91,0),MATCH(YEAR($B172),'Yield Curve'!$B$48:$P$48,0)))/100)</f>
        <v>1.0471999999999999</v>
      </c>
      <c r="Y174" s="183">
        <f>1+((INDEX('Yield Curve'!$B$48:$P$91,MATCH(ROUND(Y173,0),'Yield Curve'!$B$48:$B$91,0),MATCH(YEAR($B172),'Yield Curve'!$B$48:$P$48,0)))/100)</f>
        <v>1.0471999999999999</v>
      </c>
    </row>
    <row r="175" spans="2:27">
      <c r="B175" t="s">
        <v>212</v>
      </c>
      <c r="C175" s="182">
        <f>SUM(D175:AM175)</f>
        <v>98.713724212694132</v>
      </c>
      <c r="E175" s="182">
        <f>E$171/(E174^E173)</f>
        <v>1.6919281220985123</v>
      </c>
      <c r="F175" s="182">
        <f>F$171/(F174^F173)</f>
        <v>1.6585936496978941</v>
      </c>
      <c r="G175" s="182">
        <f t="shared" ref="G175:Y175" si="773">G$171/(G174^G173)</f>
        <v>1.625915935132147</v>
      </c>
      <c r="H175" s="182">
        <f t="shared" si="773"/>
        <v>1.5938820389178301</v>
      </c>
      <c r="I175" s="182">
        <f t="shared" si="773"/>
        <v>1.5624792765060034</v>
      </c>
      <c r="J175" s="182">
        <f t="shared" si="773"/>
        <v>1.5316952132594948</v>
      </c>
      <c r="K175" s="182">
        <f t="shared" si="773"/>
        <v>1.4941050495613322</v>
      </c>
      <c r="L175" s="182">
        <f t="shared" si="773"/>
        <v>1.4636662684650665</v>
      </c>
      <c r="M175" s="182">
        <f t="shared" si="773"/>
        <v>1.4248302160158621</v>
      </c>
      <c r="N175" s="182">
        <f t="shared" si="773"/>
        <v>1.3948493193092117</v>
      </c>
      <c r="O175" s="182">
        <f t="shared" si="773"/>
        <v>1.3589032056294934</v>
      </c>
      <c r="P175" s="182">
        <f t="shared" si="773"/>
        <v>1.3297361868018294</v>
      </c>
      <c r="Q175" s="182">
        <f t="shared" si="773"/>
        <v>1.2938001835422717</v>
      </c>
      <c r="R175" s="182">
        <f t="shared" si="773"/>
        <v>1.2654853454181461</v>
      </c>
      <c r="S175" s="182">
        <f t="shared" si="773"/>
        <v>1.2334020307396412</v>
      </c>
      <c r="T175" s="182">
        <f t="shared" si="773"/>
        <v>1.2061277736198412</v>
      </c>
      <c r="U175" s="182">
        <f t="shared" si="773"/>
        <v>1.1700236983873644</v>
      </c>
      <c r="V175" s="182">
        <f t="shared" si="773"/>
        <v>1.1436179227761185</v>
      </c>
      <c r="W175" s="182">
        <f t="shared" si="773"/>
        <v>1.112814006585725</v>
      </c>
      <c r="X175" s="182">
        <f t="shared" si="773"/>
        <v>1.0874461663367323</v>
      </c>
      <c r="Y175" s="182">
        <f t="shared" si="773"/>
        <v>71.070422603893618</v>
      </c>
    </row>
    <row r="176" spans="2:27">
      <c r="B176" s="135">
        <v>42916</v>
      </c>
    </row>
    <row r="177" spans="2:25">
      <c r="B177" t="s">
        <v>210</v>
      </c>
      <c r="G177" s="182">
        <f t="shared" ref="G177" si="774">(G$170-$B176)/365</f>
        <v>0.61643835616438358</v>
      </c>
      <c r="H177" s="182">
        <f t="shared" ref="H177" si="775">(H$170-$B176)/365</f>
        <v>1.1164383561643836</v>
      </c>
      <c r="I177" s="182">
        <f t="shared" ref="I177" si="776">(I$170-$B176)/365</f>
        <v>1.6164383561643836</v>
      </c>
      <c r="J177" s="182">
        <f t="shared" ref="J177" si="777">(J$170-$B176)/365</f>
        <v>2.1164383561643834</v>
      </c>
      <c r="K177" s="182">
        <f t="shared" ref="K177" si="778">(K$170-$B176)/365</f>
        <v>2.6164383561643834</v>
      </c>
      <c r="L177" s="182">
        <f t="shared" ref="L177" si="779">(L$170-$B176)/365</f>
        <v>3.1164383561643834</v>
      </c>
      <c r="M177" s="182">
        <f t="shared" ref="M177" si="780">(M$170-$B176)/365</f>
        <v>3.6164383561643834</v>
      </c>
      <c r="N177" s="182">
        <f t="shared" ref="N177" si="781">(N$170-$B176)/365</f>
        <v>4.1164383561643838</v>
      </c>
      <c r="O177" s="182">
        <f t="shared" ref="O177" si="782">(O$170-$B176)/365</f>
        <v>4.6164383561643838</v>
      </c>
      <c r="P177" s="182">
        <f t="shared" ref="P177" si="783">(P$170-$B176)/365</f>
        <v>5.1164383561643838</v>
      </c>
      <c r="Q177" s="182">
        <f t="shared" ref="Q177" si="784">(Q$170-$B176)/365</f>
        <v>5.6164383561643838</v>
      </c>
      <c r="R177" s="182">
        <f t="shared" ref="R177" si="785">(R$170-$B176)/365</f>
        <v>6.1164383561643838</v>
      </c>
      <c r="S177" s="182">
        <f t="shared" ref="S177" si="786">(S$170-$B176)/365</f>
        <v>6.6164383561643838</v>
      </c>
      <c r="T177" s="182">
        <f t="shared" ref="T177" si="787">(T$170-$B176)/365</f>
        <v>7.1164383561643838</v>
      </c>
      <c r="U177" s="182">
        <f t="shared" ref="U177" si="788">(U$170-$B176)/365</f>
        <v>7.6164383561643838</v>
      </c>
      <c r="V177" s="182">
        <f t="shared" ref="V177" si="789">(V$170-$B176)/365</f>
        <v>8.1164383561643838</v>
      </c>
      <c r="W177" s="182">
        <f t="shared" ref="W177" si="790">(W$170-$B176)/365</f>
        <v>8.6164383561643838</v>
      </c>
      <c r="X177" s="182">
        <f t="shared" ref="X177" si="791">(X$170-$B176)/365</f>
        <v>9.1164383561643838</v>
      </c>
      <c r="Y177" s="182">
        <f t="shared" ref="Y177" si="792">(Y$170-$B176)/365</f>
        <v>9.117808219178082</v>
      </c>
    </row>
    <row r="178" spans="2:25">
      <c r="B178" t="s">
        <v>211</v>
      </c>
      <c r="G178" s="183">
        <f>1+((INDEX('Yield Curve'!$B$48:$P$91,MATCH(ROUND(G177,0),'Yield Curve'!$B$48:$B$91,0),MATCH(YEAR($B176),'Yield Curve'!$B$48:$P$48,0)))/100)</f>
        <v>1.0326500000000001</v>
      </c>
      <c r="H178" s="183">
        <f>1+((INDEX('Yield Curve'!$B$48:$P$91,MATCH(ROUND(H177,0),'Yield Curve'!$B$48:$B$91,0),MATCH(YEAR($B176),'Yield Curve'!$B$48:$P$48,0)))/100)</f>
        <v>1.0326500000000001</v>
      </c>
      <c r="I178" s="183">
        <f>1+((INDEX('Yield Curve'!$B$48:$P$91,MATCH(ROUND(I177,0),'Yield Curve'!$B$48:$B$91,0),MATCH(YEAR($B176),'Yield Curve'!$B$48:$P$48,0)))/100)</f>
        <v>1.0326500000000001</v>
      </c>
      <c r="J178" s="183">
        <f>1+((INDEX('Yield Curve'!$B$48:$P$91,MATCH(ROUND(J177,0),'Yield Curve'!$B$48:$B$91,0),MATCH(YEAR($B176),'Yield Curve'!$B$48:$P$48,0)))/100)</f>
        <v>1.0326500000000001</v>
      </c>
      <c r="K178" s="183">
        <f>1+((INDEX('Yield Curve'!$B$48:$P$91,MATCH(ROUND(K177,0),'Yield Curve'!$B$48:$B$91,0),MATCH(YEAR($B176),'Yield Curve'!$B$48:$P$48,0)))/100)</f>
        <v>1.0326500000000001</v>
      </c>
      <c r="L178" s="183">
        <f>1+((INDEX('Yield Curve'!$B$48:$P$91,MATCH(ROUND(L177,0),'Yield Curve'!$B$48:$B$91,0),MATCH(YEAR($B176),'Yield Curve'!$B$48:$P$48,0)))/100)</f>
        <v>1.0326500000000001</v>
      </c>
      <c r="M178" s="183">
        <f>1+((INDEX('Yield Curve'!$B$48:$P$91,MATCH(ROUND(M177,0),'Yield Curve'!$B$48:$B$91,0),MATCH(YEAR($B176),'Yield Curve'!$B$48:$P$48,0)))/100)</f>
        <v>1.034025</v>
      </c>
      <c r="N178" s="183">
        <f>1+((INDEX('Yield Curve'!$B$48:$P$91,MATCH(ROUND(N177,0),'Yield Curve'!$B$48:$B$91,0),MATCH(YEAR($B176),'Yield Curve'!$B$48:$P$48,0)))/100)</f>
        <v>1.034025</v>
      </c>
      <c r="O178" s="183">
        <f>1+((INDEX('Yield Curve'!$B$48:$P$91,MATCH(ROUND(O177,0),'Yield Curve'!$B$48:$B$91,0),MATCH(YEAR($B176),'Yield Curve'!$B$48:$P$48,0)))/100)</f>
        <v>1.0354000000000001</v>
      </c>
      <c r="P178" s="183">
        <f>1+((INDEX('Yield Curve'!$B$48:$P$91,MATCH(ROUND(P177,0),'Yield Curve'!$B$48:$B$91,0),MATCH(YEAR($B176),'Yield Curve'!$B$48:$P$48,0)))/100)</f>
        <v>1.0354000000000001</v>
      </c>
      <c r="Q178" s="183">
        <f>1+((INDEX('Yield Curve'!$B$48:$P$91,MATCH(ROUND(Q177,0),'Yield Curve'!$B$48:$B$91,0),MATCH(YEAR($B176),'Yield Curve'!$B$48:$P$48,0)))/100)</f>
        <v>1.0375000000000001</v>
      </c>
      <c r="R178" s="183">
        <f>1+((INDEX('Yield Curve'!$B$48:$P$91,MATCH(ROUND(R177,0),'Yield Curve'!$B$48:$B$91,0),MATCH(YEAR($B176),'Yield Curve'!$B$48:$P$48,0)))/100)</f>
        <v>1.0375000000000001</v>
      </c>
      <c r="S178" s="183">
        <f>1+((INDEX('Yield Curve'!$B$48:$P$91,MATCH(ROUND(S177,0),'Yield Curve'!$B$48:$B$91,0),MATCH(YEAR($B176),'Yield Curve'!$B$48:$P$48,0)))/100)</f>
        <v>1.0396000000000001</v>
      </c>
      <c r="T178" s="183">
        <f>1+((INDEX('Yield Curve'!$B$48:$P$91,MATCH(ROUND(T177,0),'Yield Curve'!$B$48:$B$91,0),MATCH(YEAR($B176),'Yield Curve'!$B$48:$P$48,0)))/100)</f>
        <v>1.0396000000000001</v>
      </c>
      <c r="U178" s="183">
        <f>1+((INDEX('Yield Curve'!$B$48:$P$91,MATCH(ROUND(U177,0),'Yield Curve'!$B$48:$B$91,0),MATCH(YEAR($B176),'Yield Curve'!$B$48:$P$48,0)))/100)</f>
        <v>1.0405249999999999</v>
      </c>
      <c r="V178" s="183">
        <f>1+((INDEX('Yield Curve'!$B$48:$P$91,MATCH(ROUND(V177,0),'Yield Curve'!$B$48:$B$91,0),MATCH(YEAR($B176),'Yield Curve'!$B$48:$P$48,0)))/100)</f>
        <v>1.0405249999999999</v>
      </c>
      <c r="W178" s="183">
        <f>1+((INDEX('Yield Curve'!$B$48:$P$91,MATCH(ROUND(W177,0),'Yield Curve'!$B$48:$B$91,0),MATCH(YEAR($B176),'Yield Curve'!$B$48:$P$48,0)))/100)</f>
        <v>1.0423750000000001</v>
      </c>
      <c r="X178" s="183">
        <f>1+((INDEX('Yield Curve'!$B$48:$P$91,MATCH(ROUND(X177,0),'Yield Curve'!$B$48:$B$91,0),MATCH(YEAR($B176),'Yield Curve'!$B$48:$P$48,0)))/100)</f>
        <v>1.0423750000000001</v>
      </c>
      <c r="Y178" s="183">
        <f>1+((INDEX('Yield Curve'!$B$48:$P$91,MATCH(ROUND(Y177,0),'Yield Curve'!$B$48:$B$91,0),MATCH(YEAR($B176),'Yield Curve'!$B$48:$P$48,0)))/100)</f>
        <v>1.0423750000000001</v>
      </c>
    </row>
    <row r="179" spans="2:25">
      <c r="B179" t="s">
        <v>212</v>
      </c>
      <c r="C179" s="182">
        <f>SUM(D179:AM179)</f>
        <v>103.79107412525147</v>
      </c>
      <c r="G179" s="182">
        <f t="shared" ref="G179" si="793">G$171/(G178^G177)</f>
        <v>1.6999457541776419</v>
      </c>
      <c r="H179" s="182">
        <f t="shared" ref="H179" si="794">H$171/(H178^H177)</f>
        <v>1.6728557306580272</v>
      </c>
      <c r="I179" s="182">
        <f t="shared" ref="I179" si="795">I$171/(I178^I177)</f>
        <v>1.6461974087809439</v>
      </c>
      <c r="J179" s="182">
        <f t="shared" ref="J179" si="796">J$171/(J178^J177)</f>
        <v>1.6199639090282545</v>
      </c>
      <c r="K179" s="182">
        <f t="shared" ref="K179" si="797">K$171/(K178^K177)</f>
        <v>1.5941484615125587</v>
      </c>
      <c r="L179" s="182">
        <f t="shared" ref="L179" si="798">L$171/(L178^L177)</f>
        <v>1.5687444042301402</v>
      </c>
      <c r="M179" s="182">
        <f t="shared" ref="M179" si="799">M$171/(M178^M177)</f>
        <v>1.5363342511623812</v>
      </c>
      <c r="N179" s="182">
        <f t="shared" ref="N179" si="800">N$171/(N178^N177)</f>
        <v>1.5108459800203358</v>
      </c>
      <c r="O179" s="182">
        <f t="shared" ref="O179" si="801">O$171/(O178^O177)</f>
        <v>1.4766937177829826</v>
      </c>
      <c r="P179" s="182">
        <f t="shared" ref="P179" si="802">P$171/(P178^P177)</f>
        <v>1.4512303320513114</v>
      </c>
      <c r="Q179" s="182">
        <f t="shared" ref="Q179" si="803">Q$171/(Q178^Q177)</f>
        <v>1.4100681766735381</v>
      </c>
      <c r="R179" s="182">
        <f t="shared" ref="R179" si="804">R$171/(R178^R177)</f>
        <v>1.3843504893857586</v>
      </c>
      <c r="S179" s="182">
        <f t="shared" ref="S179" si="805">S$171/(S178^S177)</f>
        <v>1.3410398343103969</v>
      </c>
      <c r="T179" s="182">
        <f t="shared" ref="T179" si="806">T$171/(T178^T177)</f>
        <v>1.3152507040093648</v>
      </c>
      <c r="U179" s="182">
        <f t="shared" ref="U179" si="807">U$171/(U178^U177)</f>
        <v>1.2812490924841176</v>
      </c>
      <c r="V179" s="182">
        <f t="shared" ref="V179" si="808">V$171/(V178^V177)</f>
        <v>1.2560511087056201</v>
      </c>
      <c r="W179" s="182">
        <f t="shared" ref="W179" si="809">W$171/(W178^W177)</f>
        <v>1.2126451887227869</v>
      </c>
      <c r="X179" s="182">
        <f t="shared" ref="X179" si="810">X$171/(X178^X177)</f>
        <v>1.1877410172469705</v>
      </c>
      <c r="Y179" s="182">
        <f t="shared" ref="Y179" si="811">Y$171/(Y178^Y177)</f>
        <v>77.625718564308343</v>
      </c>
    </row>
    <row r="180" spans="2:25">
      <c r="B180" s="135">
        <v>43281</v>
      </c>
    </row>
    <row r="181" spans="2:25">
      <c r="B181" t="s">
        <v>210</v>
      </c>
      <c r="I181" s="182">
        <f t="shared" ref="I181" si="812">(I$170-$B180)/365</f>
        <v>0.61643835616438358</v>
      </c>
      <c r="J181" s="182">
        <f t="shared" ref="J181" si="813">(J$170-$B180)/365</f>
        <v>1.1164383561643836</v>
      </c>
      <c r="K181" s="182">
        <f t="shared" ref="K181" si="814">(K$170-$B180)/365</f>
        <v>1.6164383561643836</v>
      </c>
      <c r="L181" s="182">
        <f t="shared" ref="L181" si="815">(L$170-$B180)/365</f>
        <v>2.1164383561643834</v>
      </c>
      <c r="M181" s="182">
        <f t="shared" ref="M181" si="816">(M$170-$B180)/365</f>
        <v>2.6164383561643834</v>
      </c>
      <c r="N181" s="182">
        <f t="shared" ref="N181" si="817">(N$170-$B180)/365</f>
        <v>3.1164383561643834</v>
      </c>
      <c r="O181" s="182">
        <f t="shared" ref="O181" si="818">(O$170-$B180)/365</f>
        <v>3.6164383561643834</v>
      </c>
      <c r="P181" s="182">
        <f t="shared" ref="P181" si="819">(P$170-$B180)/365</f>
        <v>4.1164383561643838</v>
      </c>
      <c r="Q181" s="182">
        <f t="shared" ref="Q181" si="820">(Q$170-$B180)/365</f>
        <v>4.6164383561643838</v>
      </c>
      <c r="R181" s="182">
        <f t="shared" ref="R181" si="821">(R$170-$B180)/365</f>
        <v>5.1164383561643838</v>
      </c>
      <c r="S181" s="182">
        <f t="shared" ref="S181" si="822">(S$170-$B180)/365</f>
        <v>5.6164383561643838</v>
      </c>
      <c r="T181" s="182">
        <f t="shared" ref="T181" si="823">(T$170-$B180)/365</f>
        <v>6.1164383561643838</v>
      </c>
      <c r="U181" s="182">
        <f t="shared" ref="U181" si="824">(U$170-$B180)/365</f>
        <v>6.6164383561643838</v>
      </c>
      <c r="V181" s="182">
        <f t="shared" ref="V181" si="825">(V$170-$B180)/365</f>
        <v>7.1164383561643838</v>
      </c>
      <c r="W181" s="182">
        <f t="shared" ref="W181" si="826">(W$170-$B180)/365</f>
        <v>7.6164383561643838</v>
      </c>
      <c r="X181" s="182">
        <f t="shared" ref="X181" si="827">(X$170-$B180)/365</f>
        <v>8.1164383561643838</v>
      </c>
      <c r="Y181" s="182">
        <f t="shared" ref="Y181" si="828">(Y$170-$B180)/365</f>
        <v>8.117808219178082</v>
      </c>
    </row>
    <row r="182" spans="2:25">
      <c r="B182" t="s">
        <v>211</v>
      </c>
      <c r="I182" s="183">
        <f>1+((INDEX('Yield Curve'!$B$48:$P$91,MATCH(ROUND(I181,0),'Yield Curve'!$B$48:$B$91,0),MATCH(YEAR($B180),'Yield Curve'!$B$48:$P$48,0)))/100)</f>
        <v>1.03315</v>
      </c>
      <c r="J182" s="183">
        <f>1+((INDEX('Yield Curve'!$B$48:$P$91,MATCH(ROUND(J181,0),'Yield Curve'!$B$48:$B$91,0),MATCH(YEAR($B180),'Yield Curve'!$B$48:$P$48,0)))/100)</f>
        <v>1.03315</v>
      </c>
      <c r="K182" s="183">
        <f>1+((INDEX('Yield Curve'!$B$48:$P$91,MATCH(ROUND(K181,0),'Yield Curve'!$B$48:$B$91,0),MATCH(YEAR($B180),'Yield Curve'!$B$48:$P$48,0)))/100)</f>
        <v>1.03315</v>
      </c>
      <c r="L182" s="183">
        <f>1+((INDEX('Yield Curve'!$B$48:$P$91,MATCH(ROUND(L181,0),'Yield Curve'!$B$48:$B$91,0),MATCH(YEAR($B180),'Yield Curve'!$B$48:$P$48,0)))/100)</f>
        <v>1.03315</v>
      </c>
      <c r="M182" s="183">
        <f>1+((INDEX('Yield Curve'!$B$48:$P$91,MATCH(ROUND(M181,0),'Yield Curve'!$B$48:$B$91,0),MATCH(YEAR($B180),'Yield Curve'!$B$48:$P$48,0)))/100)</f>
        <v>1.03315</v>
      </c>
      <c r="N182" s="183">
        <f>1+((INDEX('Yield Curve'!$B$48:$P$91,MATCH(ROUND(N181,0),'Yield Curve'!$B$48:$B$91,0),MATCH(YEAR($B180),'Yield Curve'!$B$48:$P$48,0)))/100)</f>
        <v>1.03315</v>
      </c>
      <c r="O182" s="183">
        <f>1+((INDEX('Yield Curve'!$B$48:$P$91,MATCH(ROUND(O181,0),'Yield Curve'!$B$48:$B$91,0),MATCH(YEAR($B180),'Yield Curve'!$B$48:$P$48,0)))/100)</f>
        <v>1.0349999999999999</v>
      </c>
      <c r="P182" s="183">
        <f>1+((INDEX('Yield Curve'!$B$48:$P$91,MATCH(ROUND(P181,0),'Yield Curve'!$B$48:$B$91,0),MATCH(YEAR($B180),'Yield Curve'!$B$48:$P$48,0)))/100)</f>
        <v>1.0349999999999999</v>
      </c>
      <c r="Q182" s="183">
        <f>1+((INDEX('Yield Curve'!$B$48:$P$91,MATCH(ROUND(Q181,0),'Yield Curve'!$B$48:$B$91,0),MATCH(YEAR($B180),'Yield Curve'!$B$48:$P$48,0)))/100)</f>
        <v>1.03685</v>
      </c>
      <c r="R182" s="183">
        <f>1+((INDEX('Yield Curve'!$B$48:$P$91,MATCH(ROUND(R181,0),'Yield Curve'!$B$48:$B$91,0),MATCH(YEAR($B180),'Yield Curve'!$B$48:$P$48,0)))/100)</f>
        <v>1.03685</v>
      </c>
      <c r="S182" s="183">
        <f>1+((INDEX('Yield Curve'!$B$48:$P$91,MATCH(ROUND(S181,0),'Yield Curve'!$B$48:$B$91,0),MATCH(YEAR($B180),'Yield Curve'!$B$48:$P$48,0)))/100)</f>
        <v>1.0386</v>
      </c>
      <c r="T182" s="183">
        <f>1+((INDEX('Yield Curve'!$B$48:$P$91,MATCH(ROUND(T181,0),'Yield Curve'!$B$48:$B$91,0),MATCH(YEAR($B180),'Yield Curve'!$B$48:$P$48,0)))/100)</f>
        <v>1.0386</v>
      </c>
      <c r="U182" s="183">
        <f>1+((INDEX('Yield Curve'!$B$48:$P$91,MATCH(ROUND(U181,0),'Yield Curve'!$B$48:$B$91,0),MATCH(YEAR($B180),'Yield Curve'!$B$48:$P$48,0)))/100)</f>
        <v>1.0403500000000001</v>
      </c>
      <c r="V182" s="183">
        <f>1+((INDEX('Yield Curve'!$B$48:$P$91,MATCH(ROUND(V181,0),'Yield Curve'!$B$48:$B$91,0),MATCH(YEAR($B180),'Yield Curve'!$B$48:$P$48,0)))/100)</f>
        <v>1.0403500000000001</v>
      </c>
      <c r="W182" s="183">
        <f>1+((INDEX('Yield Curve'!$B$48:$P$91,MATCH(ROUND(W181,0),'Yield Curve'!$B$48:$B$91,0),MATCH(YEAR($B180),'Yield Curve'!$B$48:$P$48,0)))/100)</f>
        <v>1.0414874999999999</v>
      </c>
      <c r="X182" s="183">
        <f>1+((INDEX('Yield Curve'!$B$48:$P$91,MATCH(ROUND(X181,0),'Yield Curve'!$B$48:$B$91,0),MATCH(YEAR($B180),'Yield Curve'!$B$48:$P$48,0)))/100)</f>
        <v>1.0414874999999999</v>
      </c>
      <c r="Y182" s="183">
        <f>1+((INDEX('Yield Curve'!$B$48:$P$91,MATCH(ROUND(Y181,0),'Yield Curve'!$B$48:$B$91,0),MATCH(YEAR($B180),'Yield Curve'!$B$48:$P$48,0)))/100)</f>
        <v>1.0414874999999999</v>
      </c>
    </row>
    <row r="183" spans="2:25">
      <c r="B183" t="s">
        <v>212</v>
      </c>
      <c r="C183" s="182">
        <f>SUM(D183:AM183)</f>
        <v>105.15302366496547</v>
      </c>
      <c r="I183" s="182">
        <f t="shared" ref="I183" si="829">I$171/(I182^I181)</f>
        <v>1.6994385630396214</v>
      </c>
      <c r="J183" s="182">
        <f t="shared" ref="J183" si="830">J$171/(J182^J181)</f>
        <v>1.6719518988462352</v>
      </c>
      <c r="K183" s="182">
        <f t="shared" ref="K183" si="831">K$171/(K182^K181)</f>
        <v>1.6449098030679199</v>
      </c>
      <c r="L183" s="182">
        <f t="shared" ref="L183" si="832">L$171/(L182^L181)</f>
        <v>1.6183050852695495</v>
      </c>
      <c r="M183" s="182">
        <f t="shared" ref="M183" si="833">M$171/(M182^M181)</f>
        <v>1.592130671313865</v>
      </c>
      <c r="N183" s="182">
        <f t="shared" ref="N183" si="834">N$171/(N182^N181)</f>
        <v>1.5663796014804721</v>
      </c>
      <c r="O183" s="182">
        <f t="shared" ref="O183" si="835">O$171/(O182^O181)</f>
        <v>1.5311067303397456</v>
      </c>
      <c r="P183" s="182">
        <f t="shared" ref="P183" si="836">P$171/(P182^P181)</f>
        <v>1.5049958093548046</v>
      </c>
      <c r="Q183" s="182">
        <f t="shared" ref="Q183" si="837">Q$171/(Q182^Q181)</f>
        <v>1.4671843581053872</v>
      </c>
      <c r="R183" s="182">
        <f t="shared" ref="R183" si="838">R$171/(R182^R181)</f>
        <v>1.4408763804913838</v>
      </c>
      <c r="S183" s="182">
        <f t="shared" ref="S183" si="839">S$171/(S182^S181)</f>
        <v>1.4017009059037517</v>
      </c>
      <c r="T183" s="182">
        <f t="shared" ref="T183" si="840">T$171/(T182^T181)</f>
        <v>1.3754068878256283</v>
      </c>
      <c r="U183" s="182">
        <f t="shared" ref="U183" si="841">U$171/(U182^U181)</f>
        <v>1.3346561910775476</v>
      </c>
      <c r="V183" s="182">
        <f t="shared" ref="V183" si="842">V$171/(V182^V181)</f>
        <v>1.30851790488251</v>
      </c>
      <c r="W183" s="182">
        <f t="shared" ref="W183" si="843">W$171/(W182^W181)</f>
        <v>1.2722581613924209</v>
      </c>
      <c r="X183" s="182">
        <f t="shared" ref="X183" si="844">X$171/(X182^X181)</f>
        <v>1.2466605440185008</v>
      </c>
      <c r="Y183" s="182">
        <f t="shared" ref="Y183" si="845">Y$171/(Y182^Y181)</f>
        <v>81.476544168556131</v>
      </c>
    </row>
    <row r="184" spans="2:25">
      <c r="B184" s="135">
        <v>43646</v>
      </c>
    </row>
    <row r="185" spans="2:25">
      <c r="B185" t="s">
        <v>210</v>
      </c>
      <c r="K185" s="182">
        <f t="shared" ref="K185" si="846">(K$170-$B184)/365</f>
        <v>0.61643835616438358</v>
      </c>
      <c r="L185" s="182">
        <f t="shared" ref="L185" si="847">(L$170-$B184)/365</f>
        <v>1.1164383561643836</v>
      </c>
      <c r="M185" s="182">
        <f t="shared" ref="M185" si="848">(M$170-$B184)/365</f>
        <v>1.6164383561643836</v>
      </c>
      <c r="N185" s="182">
        <f t="shared" ref="N185" si="849">(N$170-$B184)/365</f>
        <v>2.1164383561643834</v>
      </c>
      <c r="O185" s="182">
        <f t="shared" ref="O185" si="850">(O$170-$B184)/365</f>
        <v>2.6164383561643834</v>
      </c>
      <c r="P185" s="182">
        <f t="shared" ref="P185" si="851">(P$170-$B184)/365</f>
        <v>3.1164383561643834</v>
      </c>
      <c r="Q185" s="182">
        <f t="shared" ref="Q185" si="852">(Q$170-$B184)/365</f>
        <v>3.6164383561643834</v>
      </c>
      <c r="R185" s="182">
        <f t="shared" ref="R185" si="853">(R$170-$B184)/365</f>
        <v>4.1164383561643838</v>
      </c>
      <c r="S185" s="182">
        <f t="shared" ref="S185" si="854">(S$170-$B184)/365</f>
        <v>4.6164383561643838</v>
      </c>
      <c r="T185" s="182">
        <f t="shared" ref="T185" si="855">(T$170-$B184)/365</f>
        <v>5.1164383561643838</v>
      </c>
      <c r="U185" s="182">
        <f t="shared" ref="U185" si="856">(U$170-$B184)/365</f>
        <v>5.6164383561643838</v>
      </c>
      <c r="V185" s="182">
        <f t="shared" ref="V185" si="857">(V$170-$B184)/365</f>
        <v>6.1164383561643838</v>
      </c>
      <c r="W185" s="182">
        <f t="shared" ref="W185" si="858">(W$170-$B184)/365</f>
        <v>6.6164383561643838</v>
      </c>
      <c r="X185" s="182">
        <f t="shared" ref="X185" si="859">(X$170-$B184)/365</f>
        <v>7.1164383561643838</v>
      </c>
      <c r="Y185" s="182">
        <f t="shared" ref="Y185" si="860">(Y$170-$B184)/365</f>
        <v>7.117808219178082</v>
      </c>
    </row>
    <row r="186" spans="2:25">
      <c r="B186" t="s">
        <v>211</v>
      </c>
      <c r="K186" s="183">
        <f>1+((INDEX('Yield Curve'!$B$48:$P$91,MATCH(ROUND(K185,0),'Yield Curve'!$B$48:$B$91,0),MATCH(YEAR($B184),'Yield Curve'!$B$48:$P$48,0)))/100)</f>
        <v>1.02305</v>
      </c>
      <c r="L186" s="183">
        <f>1+((INDEX('Yield Curve'!$B$48:$P$91,MATCH(ROUND(L185,0),'Yield Curve'!$B$48:$B$91,0),MATCH(YEAR($B184),'Yield Curve'!$B$48:$P$48,0)))/100)</f>
        <v>1.02305</v>
      </c>
      <c r="M186" s="183">
        <f>1+((INDEX('Yield Curve'!$B$48:$P$91,MATCH(ROUND(M185,0),'Yield Curve'!$B$48:$B$91,0),MATCH(YEAR($B184),'Yield Curve'!$B$48:$P$48,0)))/100)</f>
        <v>1.02305</v>
      </c>
      <c r="N186" s="183">
        <f>1+((INDEX('Yield Curve'!$B$48:$P$91,MATCH(ROUND(N185,0),'Yield Curve'!$B$48:$B$91,0),MATCH(YEAR($B184),'Yield Curve'!$B$48:$P$48,0)))/100)</f>
        <v>1.02305</v>
      </c>
      <c r="O186" s="183">
        <f>1+((INDEX('Yield Curve'!$B$48:$P$91,MATCH(ROUND(O185,0),'Yield Curve'!$B$48:$B$91,0),MATCH(YEAR($B184),'Yield Curve'!$B$48:$P$48,0)))/100)</f>
        <v>1.02305</v>
      </c>
      <c r="P186" s="183">
        <f>1+((INDEX('Yield Curve'!$B$48:$P$91,MATCH(ROUND(P185,0),'Yield Curve'!$B$48:$B$91,0),MATCH(YEAR($B184),'Yield Curve'!$B$48:$P$48,0)))/100)</f>
        <v>1.02305</v>
      </c>
      <c r="Q186" s="183">
        <f>1+((INDEX('Yield Curve'!$B$48:$P$91,MATCH(ROUND(Q185,0),'Yield Curve'!$B$48:$B$91,0),MATCH(YEAR($B184),'Yield Curve'!$B$48:$P$48,0)))/100)</f>
        <v>1.024575</v>
      </c>
      <c r="R186" s="183">
        <f>1+((INDEX('Yield Curve'!$B$48:$P$91,MATCH(ROUND(R185,0),'Yield Curve'!$B$48:$B$91,0),MATCH(YEAR($B184),'Yield Curve'!$B$48:$P$48,0)))/100)</f>
        <v>1.024575</v>
      </c>
      <c r="S186" s="183">
        <f>1+((INDEX('Yield Curve'!$B$48:$P$91,MATCH(ROUND(S185,0),'Yield Curve'!$B$48:$B$91,0),MATCH(YEAR($B184),'Yield Curve'!$B$48:$P$48,0)))/100)</f>
        <v>1.0261</v>
      </c>
      <c r="T186" s="183">
        <f>1+((INDEX('Yield Curve'!$B$48:$P$91,MATCH(ROUND(T185,0),'Yield Curve'!$B$48:$B$91,0),MATCH(YEAR($B184),'Yield Curve'!$B$48:$P$48,0)))/100)</f>
        <v>1.0261</v>
      </c>
      <c r="U186" s="183">
        <f>1+((INDEX('Yield Curve'!$B$48:$P$91,MATCH(ROUND(U185,0),'Yield Curve'!$B$48:$B$91,0),MATCH(YEAR($B184),'Yield Curve'!$B$48:$P$48,0)))/100)</f>
        <v>1.028375</v>
      </c>
      <c r="V186" s="183">
        <f>1+((INDEX('Yield Curve'!$B$48:$P$91,MATCH(ROUND(V185,0),'Yield Curve'!$B$48:$B$91,0),MATCH(YEAR($B184),'Yield Curve'!$B$48:$P$48,0)))/100)</f>
        <v>1.028375</v>
      </c>
      <c r="W186" s="183">
        <f>1+((INDEX('Yield Curve'!$B$48:$P$91,MATCH(ROUND(W185,0),'Yield Curve'!$B$48:$B$91,0),MATCH(YEAR($B184),'Yield Curve'!$B$48:$P$48,0)))/100)</f>
        <v>1.0306500000000001</v>
      </c>
      <c r="X186" s="183">
        <f>1+((INDEX('Yield Curve'!$B$48:$P$91,MATCH(ROUND(X185,0),'Yield Curve'!$B$48:$B$91,0),MATCH(YEAR($B184),'Yield Curve'!$B$48:$P$48,0)))/100)</f>
        <v>1.0306500000000001</v>
      </c>
      <c r="Y186" s="183">
        <f>1+((INDEX('Yield Curve'!$B$48:$P$91,MATCH(ROUND(Y185,0),'Yield Curve'!$B$48:$B$91,0),MATCH(YEAR($B184),'Yield Curve'!$B$48:$P$48,0)))/100)</f>
        <v>1.0306500000000001</v>
      </c>
    </row>
    <row r="187" spans="2:25">
      <c r="B187" t="s">
        <v>212</v>
      </c>
      <c r="C187" s="182">
        <f>SUM(D187:AM187)</f>
        <v>113.36653309670473</v>
      </c>
      <c r="K187" s="182">
        <f t="shared" ref="K187" si="861">K$171/(K186^K185)</f>
        <v>1.7097614296860055</v>
      </c>
      <c r="L187" s="182">
        <f t="shared" ref="L187" si="862">L$171/(L186^L185)</f>
        <v>1.6903906653716514</v>
      </c>
      <c r="M187" s="182">
        <f t="shared" ref="M187" si="863">M$171/(M186^M185)</f>
        <v>1.6712393623830755</v>
      </c>
      <c r="N187" s="182">
        <f t="shared" ref="N187" si="864">N$171/(N186^N185)</f>
        <v>1.6523050343303374</v>
      </c>
      <c r="O187" s="182">
        <f t="shared" ref="O187" si="865">O$171/(O186^O185)</f>
        <v>1.633585222993085</v>
      </c>
      <c r="P187" s="182">
        <f t="shared" ref="P187" si="866">P$171/(P186^P185)</f>
        <v>1.6150774980014049</v>
      </c>
      <c r="Q187" s="182">
        <f t="shared" ref="Q187" si="867">Q$171/(Q186^Q185)</f>
        <v>1.5882010564466627</v>
      </c>
      <c r="R187" s="182">
        <f t="shared" ref="R187" si="868">R$171/(R186^R185)</f>
        <v>1.5690385110802427</v>
      </c>
      <c r="S187" s="182">
        <f t="shared" ref="S187" si="869">S$171/(S186^S185)</f>
        <v>1.5395004369703416</v>
      </c>
      <c r="T187" s="182">
        <f t="shared" ref="T187" si="870">T$171/(T186^T185)</f>
        <v>1.5197948646423918</v>
      </c>
      <c r="U187" s="182">
        <f t="shared" ref="U187" si="871">U$171/(U186^U185)</f>
        <v>1.4817949520818809</v>
      </c>
      <c r="V187" s="182">
        <f t="shared" ref="V187" si="872">V$171/(V186^V185)</f>
        <v>1.4612090582842701</v>
      </c>
      <c r="W187" s="182">
        <f t="shared" ref="W187" si="873">W$171/(W186^W185)</f>
        <v>1.4199950247613842</v>
      </c>
      <c r="X187" s="182">
        <f t="shared" ref="X187" si="874">X$171/(X186^X185)</f>
        <v>1.3987213982220885</v>
      </c>
      <c r="Y187" s="182">
        <f t="shared" ref="Y187" si="875">Y$171/(Y186^Y185)</f>
        <v>91.415918581449901</v>
      </c>
    </row>
    <row r="188" spans="2:25">
      <c r="B188" s="135">
        <v>44012</v>
      </c>
    </row>
    <row r="189" spans="2:25">
      <c r="B189" t="s">
        <v>210</v>
      </c>
      <c r="M189" s="182">
        <f t="shared" ref="M189" si="876">(M$170-$B188)/365</f>
        <v>0.61369863013698633</v>
      </c>
      <c r="N189" s="182">
        <f t="shared" ref="N189" si="877">(N$170-$B188)/365</f>
        <v>1.1136986301369862</v>
      </c>
      <c r="O189" s="182">
        <f t="shared" ref="O189" si="878">(O$170-$B188)/365</f>
        <v>1.6136986301369862</v>
      </c>
      <c r="P189" s="182">
        <f t="shared" ref="P189" si="879">(P$170-$B188)/365</f>
        <v>2.1136986301369864</v>
      </c>
      <c r="Q189" s="182">
        <f t="shared" ref="Q189" si="880">(Q$170-$B188)/365</f>
        <v>2.6136986301369864</v>
      </c>
      <c r="R189" s="182">
        <f t="shared" ref="R189" si="881">(R$170-$B188)/365</f>
        <v>3.1136986301369864</v>
      </c>
      <c r="S189" s="182">
        <f t="shared" ref="S189" si="882">(S$170-$B188)/365</f>
        <v>3.6136986301369864</v>
      </c>
      <c r="T189" s="182">
        <f t="shared" ref="T189" si="883">(T$170-$B188)/365</f>
        <v>4.1136986301369864</v>
      </c>
      <c r="U189" s="182">
        <f t="shared" ref="U189" si="884">(U$170-$B188)/365</f>
        <v>4.6136986301369864</v>
      </c>
      <c r="V189" s="182">
        <f t="shared" ref="V189" si="885">(V$170-$B188)/365</f>
        <v>5.1136986301369864</v>
      </c>
      <c r="W189" s="182">
        <f t="shared" ref="W189" si="886">(W$170-$B188)/365</f>
        <v>5.6136986301369864</v>
      </c>
      <c r="X189" s="182">
        <f t="shared" ref="X189" si="887">(X$170-$B188)/365</f>
        <v>6.1136986301369864</v>
      </c>
      <c r="Y189" s="182">
        <f t="shared" ref="Y189" si="888">(Y$170-$B188)/365</f>
        <v>6.1150684931506847</v>
      </c>
    </row>
    <row r="190" spans="2:25">
      <c r="B190" t="s">
        <v>211</v>
      </c>
      <c r="M190" s="183">
        <f>1+((INDEX('Yield Curve'!$B$48:$P$91,MATCH(ROUND(M189,0),'Yield Curve'!$B$48:$B$91,0),MATCH(YEAR($B188),'Yield Curve'!$B$48:$P$48,0)))/100)</f>
        <v>1.02105</v>
      </c>
      <c r="N190" s="183">
        <f>1+((INDEX('Yield Curve'!$B$48:$P$91,MATCH(ROUND(N189,0),'Yield Curve'!$B$48:$B$91,0),MATCH(YEAR($B188),'Yield Curve'!$B$48:$P$48,0)))/100)</f>
        <v>1.02105</v>
      </c>
      <c r="O190" s="183">
        <f>1+((INDEX('Yield Curve'!$B$48:$P$91,MATCH(ROUND(O189,0),'Yield Curve'!$B$48:$B$91,0),MATCH(YEAR($B188),'Yield Curve'!$B$48:$P$48,0)))/100)</f>
        <v>1.02105</v>
      </c>
      <c r="P190" s="183">
        <f>1+((INDEX('Yield Curve'!$B$48:$P$91,MATCH(ROUND(P189,0),'Yield Curve'!$B$48:$B$91,0),MATCH(YEAR($B188),'Yield Curve'!$B$48:$P$48,0)))/100)</f>
        <v>1.02105</v>
      </c>
      <c r="Q190" s="183">
        <f>1+((INDEX('Yield Curve'!$B$48:$P$91,MATCH(ROUND(Q189,0),'Yield Curve'!$B$48:$B$91,0),MATCH(YEAR($B188),'Yield Curve'!$B$48:$P$48,0)))/100)</f>
        <v>1.02105</v>
      </c>
      <c r="R190" s="183">
        <f>1+((INDEX('Yield Curve'!$B$48:$P$91,MATCH(ROUND(R189,0),'Yield Curve'!$B$48:$B$91,0),MATCH(YEAR($B188),'Yield Curve'!$B$48:$P$48,0)))/100)</f>
        <v>1.02105</v>
      </c>
      <c r="S190" s="183">
        <f>1+((INDEX('Yield Curve'!$B$48:$P$91,MATCH(ROUND(S189,0),'Yield Curve'!$B$48:$B$91,0),MATCH(YEAR($B188),'Yield Curve'!$B$48:$P$48,0)))/100)</f>
        <v>1.0229999999999999</v>
      </c>
      <c r="T190" s="183">
        <f>1+((INDEX('Yield Curve'!$B$48:$P$91,MATCH(ROUND(T189,0),'Yield Curve'!$B$48:$B$91,0),MATCH(YEAR($B188),'Yield Curve'!$B$48:$P$48,0)))/100)</f>
        <v>1.0229999999999999</v>
      </c>
      <c r="U190" s="183">
        <f>1+((INDEX('Yield Curve'!$B$48:$P$91,MATCH(ROUND(U189,0),'Yield Curve'!$B$48:$B$91,0),MATCH(YEAR($B188),'Yield Curve'!$B$48:$P$48,0)))/100)</f>
        <v>1.02495</v>
      </c>
      <c r="V190" s="183">
        <f>1+((INDEX('Yield Curve'!$B$48:$P$91,MATCH(ROUND(V189,0),'Yield Curve'!$B$48:$B$91,0),MATCH(YEAR($B188),'Yield Curve'!$B$48:$P$48,0)))/100)</f>
        <v>1.02495</v>
      </c>
      <c r="W190" s="183">
        <f>1+((INDEX('Yield Curve'!$B$48:$P$91,MATCH(ROUND(W189,0),'Yield Curve'!$B$48:$B$91,0),MATCH(YEAR($B188),'Yield Curve'!$B$48:$P$48,0)))/100)</f>
        <v>1.0282249999999999</v>
      </c>
      <c r="X190" s="183">
        <f>1+((INDEX('Yield Curve'!$B$48:$P$91,MATCH(ROUND(X189,0),'Yield Curve'!$B$48:$B$91,0),MATCH(YEAR($B188),'Yield Curve'!$B$48:$P$48,0)))/100)</f>
        <v>1.0282249999999999</v>
      </c>
      <c r="Y190" s="183">
        <f>1+((INDEX('Yield Curve'!$B$48:$P$91,MATCH(ROUND(Y189,0),'Yield Curve'!$B$48:$B$91,0),MATCH(YEAR($B188),'Yield Curve'!$B$48:$P$48,0)))/100)</f>
        <v>1.0282249999999999</v>
      </c>
    </row>
    <row r="191" spans="2:25">
      <c r="B191" t="s">
        <v>212</v>
      </c>
      <c r="C191" s="182">
        <f>SUM(D191:AM191)</f>
        <v>114.80011246894173</v>
      </c>
      <c r="M191" s="182">
        <f t="shared" ref="M191" si="889">M$171/(M190^M189)</f>
        <v>1.7119228240068989</v>
      </c>
      <c r="N191" s="182">
        <f t="shared" ref="N191" si="890">N$171/(N190^N189)</f>
        <v>1.6941843955799745</v>
      </c>
      <c r="O191" s="182">
        <f t="shared" ref="O191" si="891">O$171/(O190^O189)</f>
        <v>1.6766297674030644</v>
      </c>
      <c r="P191" s="182">
        <f t="shared" ref="P191" si="892">P$171/(P190^P189)</f>
        <v>1.6592570349933642</v>
      </c>
      <c r="Q191" s="182">
        <f t="shared" ref="Q191" si="893">Q$171/(Q190^Q189)</f>
        <v>1.6420643136017476</v>
      </c>
      <c r="R191" s="182">
        <f t="shared" ref="R191" si="894">R$171/(R190^R189)</f>
        <v>1.6250497380082898</v>
      </c>
      <c r="S191" s="182">
        <f t="shared" ref="S191" si="895">S$171/(S190^S189)</f>
        <v>1.5971612157312121</v>
      </c>
      <c r="T191" s="182">
        <f t="shared" ref="T191" si="896">T$171/(T190^T189)</f>
        <v>1.5791047456356888</v>
      </c>
      <c r="U191" s="182">
        <f t="shared" ref="U191" si="897">U$171/(U190^U189)</f>
        <v>1.5475952231749375</v>
      </c>
      <c r="V191" s="182">
        <f t="shared" ref="V191" si="898">V$171/(V190^V189)</f>
        <v>1.5286428899910329</v>
      </c>
      <c r="W191" s="182">
        <f t="shared" ref="W191" si="899">W$171/(W190^W189)</f>
        <v>1.4831225496959095</v>
      </c>
      <c r="X191" s="182">
        <f t="shared" ref="X191" si="900">X$171/(X190^X189)</f>
        <v>1.4626248861893474</v>
      </c>
      <c r="Y191" s="182">
        <f t="shared" ref="Y191" si="901">Y$171/(Y190^Y189)</f>
        <v>95.592752884930263</v>
      </c>
    </row>
    <row r="192" spans="2:25">
      <c r="B192" s="135">
        <v>44377</v>
      </c>
    </row>
    <row r="193" spans="2:36">
      <c r="B193" t="s">
        <v>210</v>
      </c>
      <c r="O193" s="182">
        <f t="shared" ref="O193" si="902">(O$170-$B192)/365</f>
        <v>0.61369863013698633</v>
      </c>
      <c r="P193" s="182">
        <f t="shared" ref="P193" si="903">(P$170-$B192)/365</f>
        <v>1.1136986301369862</v>
      </c>
      <c r="Q193" s="182">
        <f t="shared" ref="Q193" si="904">(Q$170-$B192)/365</f>
        <v>1.6136986301369862</v>
      </c>
      <c r="R193" s="182">
        <f t="shared" ref="R193" si="905">(R$170-$B192)/365</f>
        <v>2.1136986301369864</v>
      </c>
      <c r="S193" s="182">
        <f t="shared" ref="S193" si="906">(S$170-$B192)/365</f>
        <v>2.6136986301369864</v>
      </c>
      <c r="T193" s="182">
        <f t="shared" ref="T193" si="907">(T$170-$B192)/365</f>
        <v>3.1136986301369864</v>
      </c>
      <c r="U193" s="182">
        <f t="shared" ref="U193" si="908">(U$170-$B192)/365</f>
        <v>3.6136986301369864</v>
      </c>
      <c r="V193" s="182">
        <f t="shared" ref="V193" si="909">(V$170-$B192)/365</f>
        <v>4.1136986301369864</v>
      </c>
      <c r="W193" s="182">
        <f t="shared" ref="W193" si="910">(W$170-$B192)/365</f>
        <v>4.6136986301369864</v>
      </c>
      <c r="X193" s="182">
        <f t="shared" ref="X193" si="911">(X$170-$B192)/365</f>
        <v>5.1136986301369864</v>
      </c>
      <c r="Y193" s="182">
        <f t="shared" ref="Y193" si="912">(Y$170-$B192)/365</f>
        <v>5.1150684931506847</v>
      </c>
    </row>
    <row r="194" spans="2:36">
      <c r="B194" t="s">
        <v>211</v>
      </c>
      <c r="O194" s="183">
        <f>1+((INDEX('Yield Curve'!$B$48:$P$91,MATCH(ROUND(O193,0),'Yield Curve'!$B$48:$B$91,0),MATCH(YEAR($B192),'Yield Curve'!$B$48:$P$48,0)))/100)</f>
        <v>1.0129999999999999</v>
      </c>
      <c r="P194" s="183">
        <f>1+((INDEX('Yield Curve'!$B$48:$P$91,MATCH(ROUND(P193,0),'Yield Curve'!$B$48:$B$91,0),MATCH(YEAR($B192),'Yield Curve'!$B$48:$P$48,0)))/100)</f>
        <v>1.0129999999999999</v>
      </c>
      <c r="Q194" s="183">
        <f>1+((INDEX('Yield Curve'!$B$48:$P$91,MATCH(ROUND(Q193,0),'Yield Curve'!$B$48:$B$91,0),MATCH(YEAR($B192),'Yield Curve'!$B$48:$P$48,0)))/100)</f>
        <v>1.0129999999999999</v>
      </c>
      <c r="R194" s="183">
        <f>1+((INDEX('Yield Curve'!$B$48:$P$91,MATCH(ROUND(R193,0),'Yield Curve'!$B$48:$B$91,0),MATCH(YEAR($B192),'Yield Curve'!$B$48:$P$48,0)))/100)</f>
        <v>1.0129999999999999</v>
      </c>
      <c r="S194" s="183">
        <f>1+((INDEX('Yield Curve'!$B$48:$P$91,MATCH(ROUND(S193,0),'Yield Curve'!$B$48:$B$91,0),MATCH(YEAR($B192),'Yield Curve'!$B$48:$P$48,0)))/100)</f>
        <v>1.0129999999999999</v>
      </c>
      <c r="T194" s="183">
        <f>1+((INDEX('Yield Curve'!$B$48:$P$91,MATCH(ROUND(T193,0),'Yield Curve'!$B$48:$B$91,0),MATCH(YEAR($B192),'Yield Curve'!$B$48:$P$48,0)))/100)</f>
        <v>1.0129999999999999</v>
      </c>
      <c r="U194" s="183">
        <f>1+((INDEX('Yield Curve'!$B$48:$P$91,MATCH(ROUND(U193,0),'Yield Curve'!$B$48:$B$91,0),MATCH(YEAR($B192),'Yield Curve'!$B$48:$P$48,0)))/100)</f>
        <v>1.0161249999999999</v>
      </c>
      <c r="V194" s="183">
        <f>1+((INDEX('Yield Curve'!$B$48:$P$91,MATCH(ROUND(V193,0),'Yield Curve'!$B$48:$B$91,0),MATCH(YEAR($B192),'Yield Curve'!$B$48:$P$48,0)))/100)</f>
        <v>1.0161249999999999</v>
      </c>
      <c r="W194" s="183">
        <f>1+((INDEX('Yield Curve'!$B$48:$P$91,MATCH(ROUND(W193,0),'Yield Curve'!$B$48:$B$91,0),MATCH(YEAR($B192),'Yield Curve'!$B$48:$P$48,0)))/100)</f>
        <v>1.01925</v>
      </c>
      <c r="X194" s="183">
        <f>1+((INDEX('Yield Curve'!$B$48:$P$91,MATCH(ROUND(X193,0),'Yield Curve'!$B$48:$B$91,0),MATCH(YEAR($B192),'Yield Curve'!$B$48:$P$48,0)))/100)</f>
        <v>1.01925</v>
      </c>
      <c r="Y194" s="183">
        <f>1+((INDEX('Yield Curve'!$B$48:$P$91,MATCH(ROUND(Y193,0),'Yield Curve'!$B$48:$B$91,0),MATCH(YEAR($B192),'Yield Curve'!$B$48:$P$48,0)))/100)</f>
        <v>1.01925</v>
      </c>
    </row>
    <row r="195" spans="2:36">
      <c r="B195" t="s">
        <v>212</v>
      </c>
      <c r="C195" s="182">
        <f>SUM(D195:AM195)</f>
        <v>119.37663190369543</v>
      </c>
      <c r="O195" s="182">
        <f t="shared" ref="O195" si="913">O$171/(O194^O193)</f>
        <v>1.7202588890846178</v>
      </c>
      <c r="P195" s="182">
        <f t="shared" ref="P195" si="914">P$171/(P194^P193)</f>
        <v>1.7091850599267029</v>
      </c>
      <c r="Q195" s="182">
        <f t="shared" ref="Q195" si="915">Q$171/(Q194^Q193)</f>
        <v>1.6981825163717847</v>
      </c>
      <c r="R195" s="182">
        <f t="shared" ref="R195" si="916">R$171/(R194^R193)</f>
        <v>1.6872507995327772</v>
      </c>
      <c r="S195" s="182">
        <f t="shared" ref="S195" si="917">S$171/(S194^S193)</f>
        <v>1.6763894534765895</v>
      </c>
      <c r="T195" s="182">
        <f t="shared" ref="T195" si="918">T$171/(T194^T193)</f>
        <v>1.6655980252051108</v>
      </c>
      <c r="U195" s="182">
        <f t="shared" ref="U195" si="919">U$171/(U194^U193)</f>
        <v>1.6365582272133181</v>
      </c>
      <c r="V195" s="182">
        <f t="shared" ref="V195" si="920">V$171/(V194^V193)</f>
        <v>1.6235209360686471</v>
      </c>
      <c r="W195" s="182">
        <f t="shared" ref="W195" si="921">W$171/(W194^W193)</f>
        <v>1.5879307999565853</v>
      </c>
      <c r="X195" s="182">
        <f t="shared" ref="X195" si="922">X$171/(X194^X193)</f>
        <v>1.572864145207598</v>
      </c>
      <c r="Y195" s="182">
        <f t="shared" ref="Y195" si="923">Y$171/(Y194^Y193)</f>
        <v>102.79889305165169</v>
      </c>
    </row>
    <row r="196" spans="2:36">
      <c r="B196" s="135">
        <v>44552</v>
      </c>
    </row>
    <row r="197" spans="2:36">
      <c r="B197" t="s">
        <v>210</v>
      </c>
      <c r="P197" s="182">
        <f t="shared" ref="P197" si="924">(P$170-$B196)/365</f>
        <v>0.63424657534246576</v>
      </c>
      <c r="Q197" s="182">
        <f t="shared" ref="Q197" si="925">(Q$170-$B196)/365</f>
        <v>1.1342465753424658</v>
      </c>
      <c r="R197" s="182">
        <f t="shared" ref="R197" si="926">(R$170-$B196)/365</f>
        <v>1.6342465753424658</v>
      </c>
      <c r="S197" s="182">
        <f t="shared" ref="S197" si="927">(S$170-$B196)/365</f>
        <v>2.1342465753424658</v>
      </c>
      <c r="T197" s="182">
        <f t="shared" ref="T197" si="928">(T$170-$B196)/365</f>
        <v>2.6342465753424658</v>
      </c>
      <c r="U197" s="182">
        <f t="shared" ref="U197" si="929">(U$170-$B196)/365</f>
        <v>3.1342465753424658</v>
      </c>
      <c r="V197" s="182">
        <f t="shared" ref="V197" si="930">(V$170-$B196)/365</f>
        <v>3.6342465753424658</v>
      </c>
      <c r="W197" s="182">
        <f t="shared" ref="W197" si="931">(W$170-$B196)/365</f>
        <v>4.1342465753424653</v>
      </c>
      <c r="X197" s="182">
        <f t="shared" ref="X197" si="932">(X$170-$B196)/365</f>
        <v>4.6342465753424653</v>
      </c>
      <c r="Y197" s="182">
        <f t="shared" ref="Y197" si="933">(Y$170-$B196)/365</f>
        <v>4.6356164383561644</v>
      </c>
    </row>
    <row r="198" spans="2:36">
      <c r="B198" t="s">
        <v>211</v>
      </c>
      <c r="P198" s="183">
        <f>1+((INDEX('Yield Curve'!$B$48:$P$91,MATCH(ROUND(P197,0),'Yield Curve'!$B$48:$B$91,0),MATCH(YEAR($B196)+1,'Yield Curve'!$B$48:$P$48,0)))/100)</f>
        <v>1.0212000000000001</v>
      </c>
      <c r="Q198" s="183">
        <f>1+((INDEX('Yield Curve'!$B$48:$P$91,MATCH(ROUND(Q197,0),'Yield Curve'!$B$48:$B$91,0),MATCH(YEAR($B196)+1,'Yield Curve'!$B$48:$P$48,0)))/100)</f>
        <v>1.0212000000000001</v>
      </c>
      <c r="R198" s="183">
        <f>1+((INDEX('Yield Curve'!$B$48:$P$91,MATCH(ROUND(R197,0),'Yield Curve'!$B$48:$B$91,0),MATCH(YEAR($B196)+1,'Yield Curve'!$B$48:$P$48,0)))/100)</f>
        <v>1.0212000000000001</v>
      </c>
      <c r="S198" s="183">
        <f>1+((INDEX('Yield Curve'!$B$48:$P$91,MATCH(ROUND(S197,0),'Yield Curve'!$B$48:$B$91,0),MATCH(YEAR($B196)+1,'Yield Curve'!$B$48:$P$48,0)))/100)</f>
        <v>1.0212000000000001</v>
      </c>
      <c r="T198" s="183">
        <f>1+((INDEX('Yield Curve'!$B$48:$P$91,MATCH(ROUND(T197,0),'Yield Curve'!$B$48:$B$91,0),MATCH(YEAR($B196)+1,'Yield Curve'!$B$48:$P$48,0)))/100)</f>
        <v>1.0212000000000001</v>
      </c>
      <c r="U198" s="183">
        <f>1+((INDEX('Yield Curve'!$B$48:$P$91,MATCH(ROUND(U197,0),'Yield Curve'!$B$48:$B$91,0),MATCH(YEAR($B196)+1,'Yield Curve'!$B$48:$P$48,0)))/100)</f>
        <v>1.0212000000000001</v>
      </c>
      <c r="V198" s="183">
        <f>1+((INDEX('Yield Curve'!$B$48:$P$91,MATCH(ROUND(V197,0),'Yield Curve'!$B$48:$B$91,0),MATCH(YEAR($B196)+1,'Yield Curve'!$B$48:$P$48,0)))/100)</f>
        <v>1.0245</v>
      </c>
      <c r="W198" s="183">
        <f>1+((INDEX('Yield Curve'!$B$48:$P$91,MATCH(ROUND(W197,0),'Yield Curve'!$B$48:$B$91,0),MATCH(YEAR($B196)+1,'Yield Curve'!$B$48:$P$48,0)))/100)</f>
        <v>1.0245</v>
      </c>
      <c r="X198" s="183">
        <f>1+((INDEX('Yield Curve'!$B$48:$P$91,MATCH(ROUND(X197,0),'Yield Curve'!$B$48:$B$91,0),MATCH(YEAR($B196)+1,'Yield Curve'!$B$48:$P$48,0)))/100)</f>
        <v>1.0278</v>
      </c>
      <c r="Y198" s="183">
        <f>1+((INDEX('Yield Curve'!$B$48:$P$91,MATCH(ROUND(Y197,0),'Yield Curve'!$B$48:$B$91,0),MATCH(YEAR($B196)+1,'Yield Curve'!$B$48:$P$48,0)))/100)</f>
        <v>1.0278</v>
      </c>
    </row>
    <row r="199" spans="2:36">
      <c r="B199" t="s">
        <v>212</v>
      </c>
      <c r="C199" s="182">
        <f>SUM(D199:AM199)</f>
        <v>114.48831686343129</v>
      </c>
      <c r="P199" s="182">
        <f t="shared" ref="P199" si="934">P$171/(P198^P197)</f>
        <v>1.7110307791908113</v>
      </c>
      <c r="Q199" s="182">
        <f t="shared" ref="Q199" si="935">Q$171/(Q198^Q197)</f>
        <v>1.6931772281335093</v>
      </c>
      <c r="R199" s="182">
        <f t="shared" ref="R199" si="936">R$171/(R198^R197)</f>
        <v>1.6755099678719263</v>
      </c>
      <c r="S199" s="182">
        <f t="shared" ref="S199" si="937">S$171/(S198^S197)</f>
        <v>1.6580270545764877</v>
      </c>
      <c r="T199" s="182">
        <f t="shared" ref="T199" si="938">T$171/(T198^T197)</f>
        <v>1.6407265647002804</v>
      </c>
      <c r="U199" s="182">
        <f t="shared" ref="U199" si="939">U$171/(U198^U197)</f>
        <v>1.6236065947674181</v>
      </c>
      <c r="V199" s="182">
        <f t="shared" ref="V199" si="940">V$171/(V198^V197)</f>
        <v>1.5879369518276829</v>
      </c>
      <c r="W199" s="182">
        <f t="shared" ref="W199" si="941">W$171/(W198^W197)</f>
        <v>1.5688350142952765</v>
      </c>
      <c r="X199" s="182">
        <f t="shared" ref="X199" si="942">X$171/(X198^X197)</f>
        <v>1.5270345698125238</v>
      </c>
      <c r="Y199" s="182">
        <f t="shared" ref="Y199" si="943">Y$171/(Y198^Y197)</f>
        <v>99.802432138255384</v>
      </c>
    </row>
    <row r="201" spans="2:36">
      <c r="B201" s="5" t="str">
        <f>'SA Power Bonds'!A59</f>
        <v>29878480112</v>
      </c>
    </row>
    <row r="202" spans="2:36">
      <c r="B202" t="s">
        <v>66</v>
      </c>
      <c r="D202" s="180">
        <f>VLOOKUP(B201,'SA Power Bonds'!$A$54:$K$64,4,FALSE)</f>
        <v>42543</v>
      </c>
      <c r="E202" s="180">
        <f>VLOOKUP(B201,'SA Power Bonds'!$A$54:$K$64,10,FALSE)</f>
        <v>42776</v>
      </c>
      <c r="F202" s="180">
        <f>IF(E202+VLOOKUP($B201,'SA Power Bonds'!$A$54:$K$64,9,FALSE)*365 &lt; VLOOKUP($B201,'SA Power Bonds'!$A$54:$K$64,5,FALSE), E202+VLOOKUP($B201,'SA Power Bonds'!$A$54:$K$64,9,FALSE)*365, VLOOKUP($B201,'SA Power Bonds'!$A$54:$K$64,5,FALSE))</f>
        <v>42958.5</v>
      </c>
      <c r="G202" s="180">
        <f>IF(F202+VLOOKUP($B201,'SA Power Bonds'!$A$54:$K$64,9,FALSE)*365 &lt; VLOOKUP($B201,'SA Power Bonds'!$A$54:$K$64,5,FALSE), F202+VLOOKUP($B201,'SA Power Bonds'!$A$54:$K$64,9,FALSE)*365, VLOOKUP($B201,'SA Power Bonds'!$A$54:$K$64,5,FALSE))</f>
        <v>43141</v>
      </c>
      <c r="H202" s="180">
        <f>IF(G202+VLOOKUP($B201,'SA Power Bonds'!$A$54:$K$64,9,FALSE)*365 &lt; VLOOKUP($B201,'SA Power Bonds'!$A$54:$K$64,5,FALSE), G202+VLOOKUP($B201,'SA Power Bonds'!$A$54:$K$64,9,FALSE)*365, VLOOKUP($B201,'SA Power Bonds'!$A$54:$K$64,5,FALSE))</f>
        <v>43323.5</v>
      </c>
      <c r="I202" s="180">
        <f>IF(H202+VLOOKUP($B201,'SA Power Bonds'!$A$54:$K$64,9,FALSE)*365 &lt; VLOOKUP($B201,'SA Power Bonds'!$A$54:$K$64,5,FALSE), H202+VLOOKUP($B201,'SA Power Bonds'!$A$54:$K$64,9,FALSE)*365, VLOOKUP($B201,'SA Power Bonds'!$A$54:$K$64,5,FALSE))</f>
        <v>43506</v>
      </c>
      <c r="J202" s="180">
        <f>IF(I202+VLOOKUP($B201,'SA Power Bonds'!$A$54:$K$64,9,FALSE)*365 &lt; VLOOKUP($B201,'SA Power Bonds'!$A$54:$K$64,5,FALSE), I202+VLOOKUP($B201,'SA Power Bonds'!$A$54:$K$64,9,FALSE)*365, VLOOKUP($B201,'SA Power Bonds'!$A$54:$K$64,5,FALSE))</f>
        <v>43688.5</v>
      </c>
      <c r="K202" s="180">
        <f>IF(J202+VLOOKUP($B201,'SA Power Bonds'!$A$54:$K$64,9,FALSE)*365 &lt; VLOOKUP($B201,'SA Power Bonds'!$A$54:$K$64,5,FALSE), J202+VLOOKUP($B201,'SA Power Bonds'!$A$54:$K$64,9,FALSE)*365, VLOOKUP($B201,'SA Power Bonds'!$A$54:$K$64,5,FALSE))</f>
        <v>43871</v>
      </c>
      <c r="L202" s="180">
        <f>IF(K202+VLOOKUP($B201,'SA Power Bonds'!$A$54:$K$64,9,FALSE)*365 &lt; VLOOKUP($B201,'SA Power Bonds'!$A$54:$K$64,5,FALSE), K202+VLOOKUP($B201,'SA Power Bonds'!$A$54:$K$64,9,FALSE)*365, VLOOKUP($B201,'SA Power Bonds'!$A$54:$K$64,5,FALSE))</f>
        <v>44053.5</v>
      </c>
      <c r="M202" s="180">
        <f>IF(L202+VLOOKUP($B201,'SA Power Bonds'!$A$54:$K$64,9,FALSE)*365 &lt; VLOOKUP($B201,'SA Power Bonds'!$A$54:$K$64,5,FALSE), L202+VLOOKUP($B201,'SA Power Bonds'!$A$54:$K$64,9,FALSE)*365, VLOOKUP($B201,'SA Power Bonds'!$A$54:$K$64,5,FALSE))</f>
        <v>44236</v>
      </c>
      <c r="N202" s="180">
        <f>IF(M202+VLOOKUP($B201,'SA Power Bonds'!$A$54:$K$64,9,FALSE)*365 &lt; VLOOKUP($B201,'SA Power Bonds'!$A$54:$K$64,5,FALSE), M202+VLOOKUP($B201,'SA Power Bonds'!$A$54:$K$64,9,FALSE)*365, VLOOKUP($B201,'SA Power Bonds'!$A$54:$K$64,5,FALSE))</f>
        <v>44418.5</v>
      </c>
      <c r="O202" s="180">
        <f>IF(N202+VLOOKUP($B201,'SA Power Bonds'!$A$54:$K$64,9,FALSE)*365 &lt; VLOOKUP($B201,'SA Power Bonds'!$A$54:$K$64,5,FALSE), N202+VLOOKUP($B201,'SA Power Bonds'!$A$54:$K$64,9,FALSE)*365, VLOOKUP($B201,'SA Power Bonds'!$A$54:$K$64,5,FALSE))</f>
        <v>44601</v>
      </c>
      <c r="P202" s="180">
        <f>IF(O202+VLOOKUP($B201,'SA Power Bonds'!$A$54:$K$64,9,FALSE)*365 &lt; VLOOKUP($B201,'SA Power Bonds'!$A$54:$K$64,5,FALSE), O202+VLOOKUP($B201,'SA Power Bonds'!$A$54:$K$64,9,FALSE)*365, VLOOKUP($B201,'SA Power Bonds'!$A$54:$K$64,5,FALSE))</f>
        <v>44783.5</v>
      </c>
      <c r="Q202" s="180">
        <f>IF(P202+VLOOKUP($B201,'SA Power Bonds'!$A$54:$K$64,9,FALSE)*365 &lt; VLOOKUP($B201,'SA Power Bonds'!$A$54:$K$64,5,FALSE), P202+VLOOKUP($B201,'SA Power Bonds'!$A$54:$K$64,9,FALSE)*365, VLOOKUP($B201,'SA Power Bonds'!$A$54:$K$64,5,FALSE))</f>
        <v>44966</v>
      </c>
      <c r="R202" s="180">
        <f>IF(Q202+VLOOKUP($B201,'SA Power Bonds'!$A$54:$K$64,9,FALSE)*365 &lt; VLOOKUP($B201,'SA Power Bonds'!$A$54:$K$64,5,FALSE), Q202+VLOOKUP($B201,'SA Power Bonds'!$A$54:$K$64,9,FALSE)*365, VLOOKUP($B201,'SA Power Bonds'!$A$54:$K$64,5,FALSE))</f>
        <v>45148.5</v>
      </c>
      <c r="S202" s="180">
        <f>IF(R202+VLOOKUP($B201,'SA Power Bonds'!$A$54:$K$64,9,FALSE)*365 &lt; VLOOKUP($B201,'SA Power Bonds'!$A$54:$K$64,5,FALSE), R202+VLOOKUP($B201,'SA Power Bonds'!$A$54:$K$64,9,FALSE)*365, VLOOKUP($B201,'SA Power Bonds'!$A$54:$K$64,5,FALSE))</f>
        <v>45331</v>
      </c>
      <c r="T202" s="180">
        <f>IF(S202+VLOOKUP($B201,'SA Power Bonds'!$A$54:$K$64,9,FALSE)*365 &lt; VLOOKUP($B201,'SA Power Bonds'!$A$54:$K$64,5,FALSE), S202+VLOOKUP($B201,'SA Power Bonds'!$A$54:$K$64,9,FALSE)*365, VLOOKUP($B201,'SA Power Bonds'!$A$54:$K$64,5,FALSE))</f>
        <v>45513.5</v>
      </c>
      <c r="U202" s="180">
        <f>IF(T202+VLOOKUP($B201,'SA Power Bonds'!$A$54:$K$64,9,FALSE)*365 &lt; VLOOKUP($B201,'SA Power Bonds'!$A$54:$K$64,5,FALSE), T202+VLOOKUP($B201,'SA Power Bonds'!$A$54:$K$64,9,FALSE)*365, VLOOKUP($B201,'SA Power Bonds'!$A$54:$K$64,5,FALSE))</f>
        <v>45696</v>
      </c>
      <c r="V202" s="180">
        <f>IF(U202+VLOOKUP($B201,'SA Power Bonds'!$A$54:$K$64,9,FALSE)*365 &lt; VLOOKUP($B201,'SA Power Bonds'!$A$54:$K$64,5,FALSE), U202+VLOOKUP($B201,'SA Power Bonds'!$A$54:$K$64,9,FALSE)*365, VLOOKUP($B201,'SA Power Bonds'!$A$54:$K$64,5,FALSE))</f>
        <v>45878.5</v>
      </c>
      <c r="W202" s="180">
        <f>IF(V202+VLOOKUP($B201,'SA Power Bonds'!$A$54:$K$64,9,FALSE)*365 &lt; VLOOKUP($B201,'SA Power Bonds'!$A$54:$K$64,5,FALSE), V202+VLOOKUP($B201,'SA Power Bonds'!$A$54:$K$64,9,FALSE)*365, VLOOKUP($B201,'SA Power Bonds'!$A$54:$K$64,5,FALSE))</f>
        <v>46061</v>
      </c>
      <c r="X202" s="180">
        <f>IF(W202+VLOOKUP($B201,'SA Power Bonds'!$A$54:$K$64,9,FALSE)*365 &lt; VLOOKUP($B201,'SA Power Bonds'!$A$54:$K$64,5,FALSE), W202+VLOOKUP($B201,'SA Power Bonds'!$A$54:$K$64,9,FALSE)*365, VLOOKUP($B201,'SA Power Bonds'!$A$54:$K$64,5,FALSE))</f>
        <v>46243.5</v>
      </c>
      <c r="Y202" s="180">
        <f>IF(X202+VLOOKUP($B201,'SA Power Bonds'!$A$54:$K$64,9,FALSE)*365 &lt; VLOOKUP($B201,'SA Power Bonds'!$A$54:$K$64,5,FALSE), X202+VLOOKUP($B201,'SA Power Bonds'!$A$54:$K$64,9,FALSE)*365, VLOOKUP($B201,'SA Power Bonds'!$A$54:$K$64,5,FALSE))</f>
        <v>46244</v>
      </c>
      <c r="Z202" s="27"/>
      <c r="AA202" s="27"/>
      <c r="AB202" s="27"/>
      <c r="AC202" s="27"/>
      <c r="AD202" s="27"/>
      <c r="AE202" s="27"/>
      <c r="AF202" s="27"/>
      <c r="AG202" s="27"/>
      <c r="AH202" s="27"/>
      <c r="AI202" s="27"/>
      <c r="AJ202" s="27"/>
    </row>
    <row r="203" spans="2:36">
      <c r="B203" t="s">
        <v>209</v>
      </c>
      <c r="E203" s="182">
        <f>IF(E202&lt;VLOOKUP($B201,'SA Power Bonds'!$A$54:$K$64,5,FALSE),(VLOOKUP($B201,'SA Power Bonds'!$A$54:$K$64,8,FALSE)/100)*(VLOOKUP($B201,'SA Power Bonds'!$A$54:$K$64,9,FALSE))*(VLOOKUP($B201,'SA Power Bonds'!$A$54:$K$64,6,FALSE)),(VLOOKUP($B201,'SA Power Bonds'!$A$54:$K$64,6,FALSE)))</f>
        <v>0.30399999999999999</v>
      </c>
      <c r="F203" s="182">
        <f>IF(F202&lt;VLOOKUP($B201,'SA Power Bonds'!$A$54:$K$64,5,FALSE),(VLOOKUP($B201,'SA Power Bonds'!$A$54:$K$64,8,FALSE)/100)*(VLOOKUP($B201,'SA Power Bonds'!$A$54:$K$64,9,FALSE))*(VLOOKUP($B201,'SA Power Bonds'!$A$54:$K$64,6,FALSE)),(VLOOKUP($B201,'SA Power Bonds'!$A$54:$K$64,6,FALSE)))</f>
        <v>0.30399999999999999</v>
      </c>
      <c r="G203" s="182">
        <f>IF(G202&lt;VLOOKUP($B201,'SA Power Bonds'!$A$54:$K$64,5,FALSE),(VLOOKUP($B201,'SA Power Bonds'!$A$54:$K$64,8,FALSE)/100)*(VLOOKUP($B201,'SA Power Bonds'!$A$54:$K$64,9,FALSE))*(VLOOKUP($B201,'SA Power Bonds'!$A$54:$K$64,6,FALSE)),(VLOOKUP($B201,'SA Power Bonds'!$A$54:$K$64,6,FALSE)))</f>
        <v>0.30399999999999999</v>
      </c>
      <c r="H203" s="182">
        <f>IF(H202&lt;VLOOKUP($B201,'SA Power Bonds'!$A$54:$K$64,5,FALSE),(VLOOKUP($B201,'SA Power Bonds'!$A$54:$K$64,8,FALSE)/100)*(VLOOKUP($B201,'SA Power Bonds'!$A$54:$K$64,9,FALSE))*(VLOOKUP($B201,'SA Power Bonds'!$A$54:$K$64,6,FALSE)),(VLOOKUP($B201,'SA Power Bonds'!$A$54:$K$64,6,FALSE)))</f>
        <v>0.30399999999999999</v>
      </c>
      <c r="I203" s="182">
        <f>IF(I202&lt;VLOOKUP($B201,'SA Power Bonds'!$A$54:$K$64,5,FALSE),(VLOOKUP($B201,'SA Power Bonds'!$A$54:$K$64,8,FALSE)/100)*(VLOOKUP($B201,'SA Power Bonds'!$A$54:$K$64,9,FALSE))*(VLOOKUP($B201,'SA Power Bonds'!$A$54:$K$64,6,FALSE)),(VLOOKUP($B201,'SA Power Bonds'!$A$54:$K$64,6,FALSE)))</f>
        <v>0.30399999999999999</v>
      </c>
      <c r="J203" s="182">
        <f>IF(J202&lt;VLOOKUP($B201,'SA Power Bonds'!$A$54:$K$64,5,FALSE),(VLOOKUP($B201,'SA Power Bonds'!$A$54:$K$64,8,FALSE)/100)*(VLOOKUP($B201,'SA Power Bonds'!$A$54:$K$64,9,FALSE))*(VLOOKUP($B201,'SA Power Bonds'!$A$54:$K$64,6,FALSE)),(VLOOKUP($B201,'SA Power Bonds'!$A$54:$K$64,6,FALSE)))</f>
        <v>0.30399999999999999</v>
      </c>
      <c r="K203" s="182">
        <f>IF(K202&lt;VLOOKUP($B201,'SA Power Bonds'!$A$54:$K$64,5,FALSE),(VLOOKUP($B201,'SA Power Bonds'!$A$54:$K$64,8,FALSE)/100)*(VLOOKUP($B201,'SA Power Bonds'!$A$54:$K$64,9,FALSE))*(VLOOKUP($B201,'SA Power Bonds'!$A$54:$K$64,6,FALSE)),(VLOOKUP($B201,'SA Power Bonds'!$A$54:$K$64,6,FALSE)))</f>
        <v>0.30399999999999999</v>
      </c>
      <c r="L203" s="182">
        <f>IF(L202&lt;VLOOKUP($B201,'SA Power Bonds'!$A$54:$K$64,5,FALSE),(VLOOKUP($B201,'SA Power Bonds'!$A$54:$K$64,8,FALSE)/100)*(VLOOKUP($B201,'SA Power Bonds'!$A$54:$K$64,9,FALSE))*(VLOOKUP($B201,'SA Power Bonds'!$A$54:$K$64,6,FALSE)),(VLOOKUP($B201,'SA Power Bonds'!$A$54:$K$64,6,FALSE)))</f>
        <v>0.30399999999999999</v>
      </c>
      <c r="M203" s="182">
        <f>IF(M202&lt;VLOOKUP($B201,'SA Power Bonds'!$A$54:$K$64,5,FALSE),(VLOOKUP($B201,'SA Power Bonds'!$A$54:$K$64,8,FALSE)/100)*(VLOOKUP($B201,'SA Power Bonds'!$A$54:$K$64,9,FALSE))*(VLOOKUP($B201,'SA Power Bonds'!$A$54:$K$64,6,FALSE)),(VLOOKUP($B201,'SA Power Bonds'!$A$54:$K$64,6,FALSE)))</f>
        <v>0.30399999999999999</v>
      </c>
      <c r="N203" s="182">
        <f>IF(N202&lt;VLOOKUP($B201,'SA Power Bonds'!$A$54:$K$64,5,FALSE),(VLOOKUP($B201,'SA Power Bonds'!$A$54:$K$64,8,FALSE)/100)*(VLOOKUP($B201,'SA Power Bonds'!$A$54:$K$64,9,FALSE))*(VLOOKUP($B201,'SA Power Bonds'!$A$54:$K$64,6,FALSE)),(VLOOKUP($B201,'SA Power Bonds'!$A$54:$K$64,6,FALSE)))</f>
        <v>0.30399999999999999</v>
      </c>
      <c r="O203" s="182">
        <f>IF(O202&lt;VLOOKUP($B201,'SA Power Bonds'!$A$54:$K$64,5,FALSE),(VLOOKUP($B201,'SA Power Bonds'!$A$54:$K$64,8,FALSE)/100)*(VLOOKUP($B201,'SA Power Bonds'!$A$54:$K$64,9,FALSE))*(VLOOKUP($B201,'SA Power Bonds'!$A$54:$K$64,6,FALSE)),(VLOOKUP($B201,'SA Power Bonds'!$A$54:$K$64,6,FALSE)))</f>
        <v>0.30399999999999999</v>
      </c>
      <c r="P203" s="182">
        <f>IF(P202&lt;VLOOKUP($B201,'SA Power Bonds'!$A$54:$K$64,5,FALSE),(VLOOKUP($B201,'SA Power Bonds'!$A$54:$K$64,8,FALSE)/100)*(VLOOKUP($B201,'SA Power Bonds'!$A$54:$K$64,9,FALSE))*(VLOOKUP($B201,'SA Power Bonds'!$A$54:$K$64,6,FALSE)),(VLOOKUP($B201,'SA Power Bonds'!$A$54:$K$64,6,FALSE)))</f>
        <v>0.30399999999999999</v>
      </c>
      <c r="Q203" s="182">
        <f>IF(Q202&lt;VLOOKUP($B201,'SA Power Bonds'!$A$54:$K$64,5,FALSE),(VLOOKUP($B201,'SA Power Bonds'!$A$54:$K$64,8,FALSE)/100)*(VLOOKUP($B201,'SA Power Bonds'!$A$54:$K$64,9,FALSE))*(VLOOKUP($B201,'SA Power Bonds'!$A$54:$K$64,6,FALSE)),(VLOOKUP($B201,'SA Power Bonds'!$A$54:$K$64,6,FALSE)))</f>
        <v>0.30399999999999999</v>
      </c>
      <c r="R203" s="182">
        <f>IF(R202&lt;VLOOKUP($B201,'SA Power Bonds'!$A$54:$K$64,5,FALSE),(VLOOKUP($B201,'SA Power Bonds'!$A$54:$K$64,8,FALSE)/100)*(VLOOKUP($B201,'SA Power Bonds'!$A$54:$K$64,9,FALSE))*(VLOOKUP($B201,'SA Power Bonds'!$A$54:$K$64,6,FALSE)),(VLOOKUP($B201,'SA Power Bonds'!$A$54:$K$64,6,FALSE)))</f>
        <v>0.30399999999999999</v>
      </c>
      <c r="S203" s="182">
        <f>IF(S202&lt;VLOOKUP($B201,'SA Power Bonds'!$A$54:$K$64,5,FALSE),(VLOOKUP($B201,'SA Power Bonds'!$A$54:$K$64,8,FALSE)/100)*(VLOOKUP($B201,'SA Power Bonds'!$A$54:$K$64,9,FALSE))*(VLOOKUP($B201,'SA Power Bonds'!$A$54:$K$64,6,FALSE)),(VLOOKUP($B201,'SA Power Bonds'!$A$54:$K$64,6,FALSE)))</f>
        <v>0.30399999999999999</v>
      </c>
      <c r="T203" s="182">
        <f>IF(T202&lt;VLOOKUP($B201,'SA Power Bonds'!$A$54:$K$64,5,FALSE),(VLOOKUP($B201,'SA Power Bonds'!$A$54:$K$64,8,FALSE)/100)*(VLOOKUP($B201,'SA Power Bonds'!$A$54:$K$64,9,FALSE))*(VLOOKUP($B201,'SA Power Bonds'!$A$54:$K$64,6,FALSE)),(VLOOKUP($B201,'SA Power Bonds'!$A$54:$K$64,6,FALSE)))</f>
        <v>0.30399999999999999</v>
      </c>
      <c r="U203" s="182">
        <f>IF(U202&lt;VLOOKUP($B201,'SA Power Bonds'!$A$54:$K$64,5,FALSE),(VLOOKUP($B201,'SA Power Bonds'!$A$54:$K$64,8,FALSE)/100)*(VLOOKUP($B201,'SA Power Bonds'!$A$54:$K$64,9,FALSE))*(VLOOKUP($B201,'SA Power Bonds'!$A$54:$K$64,6,FALSE)),(VLOOKUP($B201,'SA Power Bonds'!$A$54:$K$64,6,FALSE)))</f>
        <v>0.30399999999999999</v>
      </c>
      <c r="V203" s="182">
        <f>IF(V202&lt;VLOOKUP($B201,'SA Power Bonds'!$A$54:$K$64,5,FALSE),(VLOOKUP($B201,'SA Power Bonds'!$A$54:$K$64,8,FALSE)/100)*(VLOOKUP($B201,'SA Power Bonds'!$A$54:$K$64,9,FALSE))*(VLOOKUP($B201,'SA Power Bonds'!$A$54:$K$64,6,FALSE)),(VLOOKUP($B201,'SA Power Bonds'!$A$54:$K$64,6,FALSE)))</f>
        <v>0.30399999999999999</v>
      </c>
      <c r="W203" s="182">
        <f>IF(W202&lt;VLOOKUP($B201,'SA Power Bonds'!$A$54:$K$64,5,FALSE),(VLOOKUP($B201,'SA Power Bonds'!$A$54:$K$64,8,FALSE)/100)*(VLOOKUP($B201,'SA Power Bonds'!$A$54:$K$64,9,FALSE))*(VLOOKUP($B201,'SA Power Bonds'!$A$54:$K$64,6,FALSE)),(VLOOKUP($B201,'SA Power Bonds'!$A$54:$K$64,6,FALSE)))</f>
        <v>0.30399999999999999</v>
      </c>
      <c r="X203" s="182">
        <f>IF(X202&lt;VLOOKUP($B201,'SA Power Bonds'!$A$54:$K$64,5,FALSE),(VLOOKUP($B201,'SA Power Bonds'!$A$54:$K$64,8,FALSE)/100)*(VLOOKUP($B201,'SA Power Bonds'!$A$54:$K$64,9,FALSE))*(VLOOKUP($B201,'SA Power Bonds'!$A$54:$K$64,6,FALSE)),(VLOOKUP($B201,'SA Power Bonds'!$A$54:$K$64,6,FALSE)))</f>
        <v>0.30399999999999999</v>
      </c>
      <c r="Y203" s="182">
        <f>IF(Y202&lt;VLOOKUP($B201,'SA Power Bonds'!$A$54:$K$64,5,FALSE),(VLOOKUP($B201,'SA Power Bonds'!$A$54:$K$64,8,FALSE)/100)*(VLOOKUP($B201,'SA Power Bonds'!$A$54:$K$64,9,FALSE))*(VLOOKUP($B201,'SA Power Bonds'!$A$54:$K$64,6,FALSE)),(VLOOKUP($B201,'SA Power Bonds'!$A$54:$K$64,6,FALSE)))</f>
        <v>20</v>
      </c>
    </row>
    <row r="204" spans="2:36">
      <c r="B204" s="135">
        <v>42551</v>
      </c>
    </row>
    <row r="205" spans="2:36">
      <c r="B205" t="s">
        <v>210</v>
      </c>
      <c r="E205" s="182">
        <f>(E$202-$B204)/365</f>
        <v>0.61643835616438358</v>
      </c>
      <c r="F205" s="182">
        <f>(F$202-$B204)/365</f>
        <v>1.1164383561643836</v>
      </c>
      <c r="G205" s="182">
        <f t="shared" ref="G205:Y205" si="944">(G$202-$B204)/365</f>
        <v>1.6164383561643836</v>
      </c>
      <c r="H205" s="182">
        <f t="shared" si="944"/>
        <v>2.1164383561643834</v>
      </c>
      <c r="I205" s="182">
        <f t="shared" si="944"/>
        <v>2.6164383561643834</v>
      </c>
      <c r="J205" s="182">
        <f t="shared" si="944"/>
        <v>3.1164383561643834</v>
      </c>
      <c r="K205" s="182">
        <f t="shared" si="944"/>
        <v>3.6164383561643834</v>
      </c>
      <c r="L205" s="182">
        <f t="shared" si="944"/>
        <v>4.1164383561643838</v>
      </c>
      <c r="M205" s="182">
        <f t="shared" si="944"/>
        <v>4.6164383561643838</v>
      </c>
      <c r="N205" s="182">
        <f t="shared" si="944"/>
        <v>5.1164383561643838</v>
      </c>
      <c r="O205" s="182">
        <f t="shared" si="944"/>
        <v>5.6164383561643838</v>
      </c>
      <c r="P205" s="182">
        <f t="shared" si="944"/>
        <v>6.1164383561643838</v>
      </c>
      <c r="Q205" s="182">
        <f t="shared" si="944"/>
        <v>6.6164383561643838</v>
      </c>
      <c r="R205" s="182">
        <f t="shared" si="944"/>
        <v>7.1164383561643838</v>
      </c>
      <c r="S205" s="182">
        <f t="shared" si="944"/>
        <v>7.6164383561643838</v>
      </c>
      <c r="T205" s="182">
        <f t="shared" si="944"/>
        <v>8.1164383561643838</v>
      </c>
      <c r="U205" s="182">
        <f t="shared" si="944"/>
        <v>8.6164383561643838</v>
      </c>
      <c r="V205" s="182">
        <f t="shared" si="944"/>
        <v>9.1164383561643838</v>
      </c>
      <c r="W205" s="182">
        <f t="shared" si="944"/>
        <v>9.6164383561643838</v>
      </c>
      <c r="X205" s="182">
        <f t="shared" si="944"/>
        <v>10.116438356164384</v>
      </c>
      <c r="Y205" s="182">
        <f t="shared" si="944"/>
        <v>10.117808219178082</v>
      </c>
    </row>
    <row r="206" spans="2:36">
      <c r="B206" t="s">
        <v>211</v>
      </c>
      <c r="E206" s="183">
        <f>1+((INDEX('Yield Curve'!$B$48:$P$91,MATCH(ROUND(E205,0),'Yield Curve'!$B$48:$B$91,0),MATCH(YEAR($B204),'Yield Curve'!$B$48:$P$48,0)))/100)</f>
        <v>1.0406</v>
      </c>
      <c r="F206" s="183">
        <f>1+((INDEX('Yield Curve'!$B$48:$P$91,MATCH(ROUND(F205,0),'Yield Curve'!$B$48:$B$91,0),MATCH(YEAR($B204),'Yield Curve'!$B$48:$P$48,0)))/100)</f>
        <v>1.0406</v>
      </c>
      <c r="G206" s="183">
        <f>1+((INDEX('Yield Curve'!$B$48:$P$91,MATCH(ROUND(G205,0),'Yield Curve'!$B$48:$B$91,0),MATCH(YEAR($B204),'Yield Curve'!$B$48:$P$48,0)))/100)</f>
        <v>1.0406</v>
      </c>
      <c r="H206" s="183">
        <f>1+((INDEX('Yield Curve'!$B$48:$P$91,MATCH(ROUND(H205,0),'Yield Curve'!$B$48:$B$91,0),MATCH(YEAR($B204),'Yield Curve'!$B$48:$P$48,0)))/100)</f>
        <v>1.0406</v>
      </c>
      <c r="I206" s="183">
        <f>1+((INDEX('Yield Curve'!$B$48:$P$91,MATCH(ROUND(I205,0),'Yield Curve'!$B$48:$B$91,0),MATCH(YEAR($B204),'Yield Curve'!$B$48:$P$48,0)))/100)</f>
        <v>1.0406</v>
      </c>
      <c r="J206" s="183">
        <f>1+((INDEX('Yield Curve'!$B$48:$P$91,MATCH(ROUND(J205,0),'Yield Curve'!$B$48:$B$91,0),MATCH(YEAR($B204),'Yield Curve'!$B$48:$P$48,0)))/100)</f>
        <v>1.0406</v>
      </c>
      <c r="K206" s="183">
        <f>1+((INDEX('Yield Curve'!$B$48:$P$91,MATCH(ROUND(K205,0),'Yield Curve'!$B$48:$B$91,0),MATCH(YEAR($B204),'Yield Curve'!$B$48:$P$48,0)))/100)</f>
        <v>1.042025</v>
      </c>
      <c r="L206" s="183">
        <f>1+((INDEX('Yield Curve'!$B$48:$P$91,MATCH(ROUND(L205,0),'Yield Curve'!$B$48:$B$91,0),MATCH(YEAR($B204),'Yield Curve'!$B$48:$P$48,0)))/100)</f>
        <v>1.042025</v>
      </c>
      <c r="M206" s="183">
        <f>1+((INDEX('Yield Curve'!$B$48:$P$91,MATCH(ROUND(M205,0),'Yield Curve'!$B$48:$B$91,0),MATCH(YEAR($B204),'Yield Curve'!$B$48:$P$48,0)))/100)</f>
        <v>1.04345</v>
      </c>
      <c r="N206" s="183">
        <f>1+((INDEX('Yield Curve'!$B$48:$P$91,MATCH(ROUND(N205,0),'Yield Curve'!$B$48:$B$91,0),MATCH(YEAR($B204),'Yield Curve'!$B$48:$P$48,0)))/100)</f>
        <v>1.04345</v>
      </c>
      <c r="O206" s="183">
        <f>1+((INDEX('Yield Curve'!$B$48:$P$91,MATCH(ROUND(O205,0),'Yield Curve'!$B$48:$B$91,0),MATCH(YEAR($B204),'Yield Curve'!$B$48:$P$48,0)))/100)</f>
        <v>1.0443500000000001</v>
      </c>
      <c r="P206" s="183">
        <f>1+((INDEX('Yield Curve'!$B$48:$P$91,MATCH(ROUND(P205,0),'Yield Curve'!$B$48:$B$91,0),MATCH(YEAR($B204),'Yield Curve'!$B$48:$P$48,0)))/100)</f>
        <v>1.0443500000000001</v>
      </c>
      <c r="Q206" s="183">
        <f>1+((INDEX('Yield Curve'!$B$48:$P$91,MATCH(ROUND(Q205,0),'Yield Curve'!$B$48:$B$91,0),MATCH(YEAR($B204),'Yield Curve'!$B$48:$P$48,0)))/100)</f>
        <v>1.04525</v>
      </c>
      <c r="R206" s="183">
        <f>1+((INDEX('Yield Curve'!$B$48:$P$91,MATCH(ROUND(R205,0),'Yield Curve'!$B$48:$B$91,0),MATCH(YEAR($B204),'Yield Curve'!$B$48:$P$48,0)))/100)</f>
        <v>1.04525</v>
      </c>
      <c r="S206" s="183">
        <f>1+((INDEX('Yield Curve'!$B$48:$P$91,MATCH(ROUND(S205,0),'Yield Curve'!$B$48:$B$91,0),MATCH(YEAR($B204),'Yield Curve'!$B$48:$P$48,0)))/100)</f>
        <v>1.0457375</v>
      </c>
      <c r="T206" s="183">
        <f>1+((INDEX('Yield Curve'!$B$48:$P$91,MATCH(ROUND(T205,0),'Yield Curve'!$B$48:$B$91,0),MATCH(YEAR($B204),'Yield Curve'!$B$48:$P$48,0)))/100)</f>
        <v>1.0457375</v>
      </c>
      <c r="U206" s="183">
        <f>1+((INDEX('Yield Curve'!$B$48:$P$91,MATCH(ROUND(U205,0),'Yield Curve'!$B$48:$B$91,0),MATCH(YEAR($B204),'Yield Curve'!$B$48:$P$48,0)))/100)</f>
        <v>1.0467124999999999</v>
      </c>
      <c r="V206" s="183">
        <f>1+((INDEX('Yield Curve'!$B$48:$P$91,MATCH(ROUND(V205,0),'Yield Curve'!$B$48:$B$91,0),MATCH(YEAR($B204),'Yield Curve'!$B$48:$P$48,0)))/100)</f>
        <v>1.0467124999999999</v>
      </c>
      <c r="W206" s="183">
        <f>1+((INDEX('Yield Curve'!$B$48:$P$91,MATCH(ROUND(W205,0),'Yield Curve'!$B$48:$B$91,0),MATCH(YEAR($B204),'Yield Curve'!$B$48:$P$48,0)))/100)</f>
        <v>1.0471999999999999</v>
      </c>
      <c r="X206" s="183">
        <f>1+((INDEX('Yield Curve'!$B$48:$P$91,MATCH(ROUND(X205,0),'Yield Curve'!$B$48:$B$91,0),MATCH(YEAR($B204),'Yield Curve'!$B$48:$P$48,0)))/100)</f>
        <v>1.0471999999999999</v>
      </c>
      <c r="Y206" s="183">
        <f>1+((INDEX('Yield Curve'!$B$48:$P$91,MATCH(ROUND(Y205,0),'Yield Curve'!$B$48:$B$91,0),MATCH(YEAR($B204),'Yield Curve'!$B$48:$P$48,0)))/100)</f>
        <v>1.0471999999999999</v>
      </c>
    </row>
    <row r="207" spans="2:36">
      <c r="B207" t="s">
        <v>212</v>
      </c>
      <c r="C207" s="182">
        <f>SUM(D207:AM207)</f>
        <v>17.388696556742332</v>
      </c>
      <c r="E207" s="182">
        <f>E$203/(E206^E205)</f>
        <v>0.2966328012634441</v>
      </c>
      <c r="F207" s="182">
        <f>F$203/(F206^F205)</f>
        <v>0.29078852348492357</v>
      </c>
      <c r="G207" s="182">
        <f t="shared" ref="G207:Y207" si="945">G$203/(G206^G205)</f>
        <v>0.28505939002829533</v>
      </c>
      <c r="H207" s="182">
        <f t="shared" si="945"/>
        <v>0.27944313231301515</v>
      </c>
      <c r="I207" s="182">
        <f t="shared" si="945"/>
        <v>0.27393752645425268</v>
      </c>
      <c r="J207" s="182">
        <f t="shared" si="945"/>
        <v>0.26854039238229399</v>
      </c>
      <c r="K207" s="182">
        <f t="shared" si="945"/>
        <v>0.26194999683764919</v>
      </c>
      <c r="L207" s="182">
        <f t="shared" si="945"/>
        <v>0.25661339844100384</v>
      </c>
      <c r="M207" s="182">
        <f t="shared" si="945"/>
        <v>0.24980457076235921</v>
      </c>
      <c r="N207" s="182">
        <f t="shared" si="945"/>
        <v>0.24454824972937517</v>
      </c>
      <c r="O207" s="182">
        <f t="shared" si="945"/>
        <v>0.23824609288471918</v>
      </c>
      <c r="P207" s="182">
        <f t="shared" si="945"/>
        <v>0.23313246282777408</v>
      </c>
      <c r="Q207" s="182">
        <f t="shared" si="945"/>
        <v>0.22683207856566168</v>
      </c>
      <c r="R207" s="182">
        <f t="shared" si="945"/>
        <v>0.2218678548256704</v>
      </c>
      <c r="S207" s="182">
        <f t="shared" si="945"/>
        <v>0.21624293294949903</v>
      </c>
      <c r="T207" s="182">
        <f t="shared" si="945"/>
        <v>0.21146114630847371</v>
      </c>
      <c r="U207" s="182">
        <f t="shared" si="945"/>
        <v>0.20513129527440466</v>
      </c>
      <c r="V207" s="182">
        <f t="shared" si="945"/>
        <v>0.20050177284564885</v>
      </c>
      <c r="W207" s="182">
        <f t="shared" si="945"/>
        <v>0.195101158109068</v>
      </c>
      <c r="X207" s="182">
        <f t="shared" si="945"/>
        <v>0.19065360893911332</v>
      </c>
      <c r="Y207" s="182">
        <f t="shared" si="945"/>
        <v>12.542208171515684</v>
      </c>
    </row>
    <row r="208" spans="2:36">
      <c r="B208" s="135">
        <v>42916</v>
      </c>
    </row>
    <row r="209" spans="2:25">
      <c r="B209" t="s">
        <v>210</v>
      </c>
      <c r="G209" s="182">
        <f t="shared" ref="G209" si="946">(G$202-$B208)/365</f>
        <v>0.61643835616438358</v>
      </c>
      <c r="H209" s="182">
        <f t="shared" ref="H209" si="947">(H$202-$B208)/365</f>
        <v>1.1164383561643836</v>
      </c>
      <c r="I209" s="182">
        <f t="shared" ref="I209" si="948">(I$202-$B208)/365</f>
        <v>1.6164383561643836</v>
      </c>
      <c r="J209" s="182">
        <f t="shared" ref="J209" si="949">(J$202-$B208)/365</f>
        <v>2.1164383561643834</v>
      </c>
      <c r="K209" s="182">
        <f t="shared" ref="K209" si="950">(K$202-$B208)/365</f>
        <v>2.6164383561643834</v>
      </c>
      <c r="L209" s="182">
        <f t="shared" ref="L209" si="951">(L$202-$B208)/365</f>
        <v>3.1164383561643834</v>
      </c>
      <c r="M209" s="182">
        <f t="shared" ref="M209" si="952">(M$202-$B208)/365</f>
        <v>3.6164383561643834</v>
      </c>
      <c r="N209" s="182">
        <f t="shared" ref="N209" si="953">(N$202-$B208)/365</f>
        <v>4.1164383561643838</v>
      </c>
      <c r="O209" s="182">
        <f t="shared" ref="O209" si="954">(O$202-$B208)/365</f>
        <v>4.6164383561643838</v>
      </c>
      <c r="P209" s="182">
        <f t="shared" ref="P209" si="955">(P$202-$B208)/365</f>
        <v>5.1164383561643838</v>
      </c>
      <c r="Q209" s="182">
        <f t="shared" ref="Q209" si="956">(Q$202-$B208)/365</f>
        <v>5.6164383561643838</v>
      </c>
      <c r="R209" s="182">
        <f t="shared" ref="R209" si="957">(R$202-$B208)/365</f>
        <v>6.1164383561643838</v>
      </c>
      <c r="S209" s="182">
        <f t="shared" ref="S209" si="958">(S$202-$B208)/365</f>
        <v>6.6164383561643838</v>
      </c>
      <c r="T209" s="182">
        <f t="shared" ref="T209" si="959">(T$202-$B208)/365</f>
        <v>7.1164383561643838</v>
      </c>
      <c r="U209" s="182">
        <f t="shared" ref="U209" si="960">(U$202-$B208)/365</f>
        <v>7.6164383561643838</v>
      </c>
      <c r="V209" s="182">
        <f t="shared" ref="V209" si="961">(V$202-$B208)/365</f>
        <v>8.1164383561643838</v>
      </c>
      <c r="W209" s="182">
        <f t="shared" ref="W209" si="962">(W$202-$B208)/365</f>
        <v>8.6164383561643838</v>
      </c>
      <c r="X209" s="182">
        <f t="shared" ref="X209" si="963">(X$202-$B208)/365</f>
        <v>9.1164383561643838</v>
      </c>
      <c r="Y209" s="182">
        <f t="shared" ref="Y209" si="964">(Y$202-$B208)/365</f>
        <v>9.117808219178082</v>
      </c>
    </row>
    <row r="210" spans="2:25">
      <c r="B210" t="s">
        <v>211</v>
      </c>
      <c r="G210" s="183">
        <f>1+((INDEX('Yield Curve'!$B$48:$P$91,MATCH(ROUND(G209,0),'Yield Curve'!$B$48:$B$91,0),MATCH(YEAR($B208),'Yield Curve'!$B$48:$P$48,0)))/100)</f>
        <v>1.0326500000000001</v>
      </c>
      <c r="H210" s="183">
        <f>1+((INDEX('Yield Curve'!$B$48:$P$91,MATCH(ROUND(H209,0),'Yield Curve'!$B$48:$B$91,0),MATCH(YEAR($B208),'Yield Curve'!$B$48:$P$48,0)))/100)</f>
        <v>1.0326500000000001</v>
      </c>
      <c r="I210" s="183">
        <f>1+((INDEX('Yield Curve'!$B$48:$P$91,MATCH(ROUND(I209,0),'Yield Curve'!$B$48:$B$91,0),MATCH(YEAR($B208),'Yield Curve'!$B$48:$P$48,0)))/100)</f>
        <v>1.0326500000000001</v>
      </c>
      <c r="J210" s="183">
        <f>1+((INDEX('Yield Curve'!$B$48:$P$91,MATCH(ROUND(J209,0),'Yield Curve'!$B$48:$B$91,0),MATCH(YEAR($B208),'Yield Curve'!$B$48:$P$48,0)))/100)</f>
        <v>1.0326500000000001</v>
      </c>
      <c r="K210" s="183">
        <f>1+((INDEX('Yield Curve'!$B$48:$P$91,MATCH(ROUND(K209,0),'Yield Curve'!$B$48:$B$91,0),MATCH(YEAR($B208),'Yield Curve'!$B$48:$P$48,0)))/100)</f>
        <v>1.0326500000000001</v>
      </c>
      <c r="L210" s="183">
        <f>1+((INDEX('Yield Curve'!$B$48:$P$91,MATCH(ROUND(L209,0),'Yield Curve'!$B$48:$B$91,0),MATCH(YEAR($B208),'Yield Curve'!$B$48:$P$48,0)))/100)</f>
        <v>1.0326500000000001</v>
      </c>
      <c r="M210" s="183">
        <f>1+((INDEX('Yield Curve'!$B$48:$P$91,MATCH(ROUND(M209,0),'Yield Curve'!$B$48:$B$91,0),MATCH(YEAR($B208),'Yield Curve'!$B$48:$P$48,0)))/100)</f>
        <v>1.034025</v>
      </c>
      <c r="N210" s="183">
        <f>1+((INDEX('Yield Curve'!$B$48:$P$91,MATCH(ROUND(N209,0),'Yield Curve'!$B$48:$B$91,0),MATCH(YEAR($B208),'Yield Curve'!$B$48:$P$48,0)))/100)</f>
        <v>1.034025</v>
      </c>
      <c r="O210" s="183">
        <f>1+((INDEX('Yield Curve'!$B$48:$P$91,MATCH(ROUND(O209,0),'Yield Curve'!$B$48:$B$91,0),MATCH(YEAR($B208),'Yield Curve'!$B$48:$P$48,0)))/100)</f>
        <v>1.0354000000000001</v>
      </c>
      <c r="P210" s="183">
        <f>1+((INDEX('Yield Curve'!$B$48:$P$91,MATCH(ROUND(P209,0),'Yield Curve'!$B$48:$B$91,0),MATCH(YEAR($B208),'Yield Curve'!$B$48:$P$48,0)))/100)</f>
        <v>1.0354000000000001</v>
      </c>
      <c r="Q210" s="183">
        <f>1+((INDEX('Yield Curve'!$B$48:$P$91,MATCH(ROUND(Q209,0),'Yield Curve'!$B$48:$B$91,0),MATCH(YEAR($B208),'Yield Curve'!$B$48:$P$48,0)))/100)</f>
        <v>1.0375000000000001</v>
      </c>
      <c r="R210" s="183">
        <f>1+((INDEX('Yield Curve'!$B$48:$P$91,MATCH(ROUND(R209,0),'Yield Curve'!$B$48:$B$91,0),MATCH(YEAR($B208),'Yield Curve'!$B$48:$P$48,0)))/100)</f>
        <v>1.0375000000000001</v>
      </c>
      <c r="S210" s="183">
        <f>1+((INDEX('Yield Curve'!$B$48:$P$91,MATCH(ROUND(S209,0),'Yield Curve'!$B$48:$B$91,0),MATCH(YEAR($B208),'Yield Curve'!$B$48:$P$48,0)))/100)</f>
        <v>1.0396000000000001</v>
      </c>
      <c r="T210" s="183">
        <f>1+((INDEX('Yield Curve'!$B$48:$P$91,MATCH(ROUND(T209,0),'Yield Curve'!$B$48:$B$91,0),MATCH(YEAR($B208),'Yield Curve'!$B$48:$P$48,0)))/100)</f>
        <v>1.0396000000000001</v>
      </c>
      <c r="U210" s="183">
        <f>1+((INDEX('Yield Curve'!$B$48:$P$91,MATCH(ROUND(U209,0),'Yield Curve'!$B$48:$B$91,0),MATCH(YEAR($B208),'Yield Curve'!$B$48:$P$48,0)))/100)</f>
        <v>1.0405249999999999</v>
      </c>
      <c r="V210" s="183">
        <f>1+((INDEX('Yield Curve'!$B$48:$P$91,MATCH(ROUND(V209,0),'Yield Curve'!$B$48:$B$91,0),MATCH(YEAR($B208),'Yield Curve'!$B$48:$P$48,0)))/100)</f>
        <v>1.0405249999999999</v>
      </c>
      <c r="W210" s="183">
        <f>1+((INDEX('Yield Curve'!$B$48:$P$91,MATCH(ROUND(W209,0),'Yield Curve'!$B$48:$B$91,0),MATCH(YEAR($B208),'Yield Curve'!$B$48:$P$48,0)))/100)</f>
        <v>1.0423750000000001</v>
      </c>
      <c r="X210" s="183">
        <f>1+((INDEX('Yield Curve'!$B$48:$P$91,MATCH(ROUND(X209,0),'Yield Curve'!$B$48:$B$91,0),MATCH(YEAR($B208),'Yield Curve'!$B$48:$P$48,0)))/100)</f>
        <v>1.0423750000000001</v>
      </c>
      <c r="Y210" s="183">
        <f>1+((INDEX('Yield Curve'!$B$48:$P$91,MATCH(ROUND(Y209,0),'Yield Curve'!$B$48:$B$91,0),MATCH(YEAR($B208),'Yield Curve'!$B$48:$P$48,0)))/100)</f>
        <v>1.0423750000000001</v>
      </c>
    </row>
    <row r="211" spans="2:25">
      <c r="B211" t="s">
        <v>212</v>
      </c>
      <c r="C211" s="182">
        <f>SUM(D211:AM211)</f>
        <v>18.286430553150677</v>
      </c>
      <c r="G211" s="182">
        <f t="shared" ref="G211" si="965">G$203/(G210^G209)</f>
        <v>0.29803847129875394</v>
      </c>
      <c r="H211" s="182">
        <f t="shared" ref="H211" si="966">H$203/(H210^H209)</f>
        <v>0.29328898492403188</v>
      </c>
      <c r="I211" s="182">
        <f t="shared" ref="I211" si="967">I$203/(I210^I209)</f>
        <v>0.28861518549242615</v>
      </c>
      <c r="J211" s="182">
        <f t="shared" ref="J211" si="968">J$203/(J210^J209)</f>
        <v>0.2840158668707034</v>
      </c>
      <c r="K211" s="182">
        <f t="shared" ref="K211" si="969">K$203/(K210^K209)</f>
        <v>0.27948984214634792</v>
      </c>
      <c r="L211" s="182">
        <f t="shared" ref="L211" si="970">L$203/(L210^L209)</f>
        <v>0.27503594332126413</v>
      </c>
      <c r="M211" s="182">
        <f t="shared" ref="M211" si="971">M$203/(M210^M209)</f>
        <v>0.26935371937315561</v>
      </c>
      <c r="N211" s="182">
        <f t="shared" ref="N211" si="972">N$203/(N210^N209)</f>
        <v>0.26488505597695322</v>
      </c>
      <c r="O211" s="182">
        <f t="shared" ref="O211" si="973">O$203/(O210^O209)</f>
        <v>0.25889740136879841</v>
      </c>
      <c r="P211" s="182">
        <f t="shared" ref="P211" si="974">P$203/(P210^P209)</f>
        <v>0.25443310094103033</v>
      </c>
      <c r="Q211" s="182">
        <f t="shared" ref="Q211" si="975">Q$203/(Q210^Q209)</f>
        <v>0.24721645544866402</v>
      </c>
      <c r="R211" s="182">
        <f t="shared" ref="R211" si="976">R$203/(R210^R209)</f>
        <v>0.24270757027644441</v>
      </c>
      <c r="S211" s="182">
        <f t="shared" ref="S211" si="977">S$203/(S210^S209)</f>
        <v>0.23511424478480081</v>
      </c>
      <c r="T211" s="182">
        <f t="shared" ref="T211" si="978">T$203/(T210^T209)</f>
        <v>0.23059283405616132</v>
      </c>
      <c r="U211" s="182">
        <f t="shared" ref="U211" si="979">U$203/(U210^U209)</f>
        <v>0.22463159188371265</v>
      </c>
      <c r="V211" s="182">
        <f t="shared" ref="V211" si="980">V$203/(V210^V209)</f>
        <v>0.22021382234800937</v>
      </c>
      <c r="W211" s="182">
        <f t="shared" ref="W211" si="981">W$203/(W210^W209)</f>
        <v>0.21260379478965483</v>
      </c>
      <c r="X211" s="182">
        <f t="shared" ref="X211" si="982">X$203/(X210^X209)</f>
        <v>0.20823753711503568</v>
      </c>
      <c r="Y211" s="182">
        <f t="shared" ref="Y211" si="983">Y$203/(Y210^Y209)</f>
        <v>13.69905913073473</v>
      </c>
    </row>
    <row r="212" spans="2:25">
      <c r="B212" s="135">
        <v>43281</v>
      </c>
    </row>
    <row r="213" spans="2:25">
      <c r="B213" t="s">
        <v>210</v>
      </c>
      <c r="I213" s="182">
        <f t="shared" ref="I213" si="984">(I$202-$B212)/365</f>
        <v>0.61643835616438358</v>
      </c>
      <c r="J213" s="182">
        <f t="shared" ref="J213" si="985">(J$202-$B212)/365</f>
        <v>1.1164383561643836</v>
      </c>
      <c r="K213" s="182">
        <f t="shared" ref="K213" si="986">(K$202-$B212)/365</f>
        <v>1.6164383561643836</v>
      </c>
      <c r="L213" s="182">
        <f t="shared" ref="L213" si="987">(L$202-$B212)/365</f>
        <v>2.1164383561643834</v>
      </c>
      <c r="M213" s="182">
        <f t="shared" ref="M213" si="988">(M$202-$B212)/365</f>
        <v>2.6164383561643834</v>
      </c>
      <c r="N213" s="182">
        <f t="shared" ref="N213" si="989">(N$202-$B212)/365</f>
        <v>3.1164383561643834</v>
      </c>
      <c r="O213" s="182">
        <f t="shared" ref="O213" si="990">(O$202-$B212)/365</f>
        <v>3.6164383561643834</v>
      </c>
      <c r="P213" s="182">
        <f t="shared" ref="P213" si="991">(P$202-$B212)/365</f>
        <v>4.1164383561643838</v>
      </c>
      <c r="Q213" s="182">
        <f t="shared" ref="Q213" si="992">(Q$202-$B212)/365</f>
        <v>4.6164383561643838</v>
      </c>
      <c r="R213" s="182">
        <f t="shared" ref="R213" si="993">(R$202-$B212)/365</f>
        <v>5.1164383561643838</v>
      </c>
      <c r="S213" s="182">
        <f t="shared" ref="S213" si="994">(S$202-$B212)/365</f>
        <v>5.6164383561643838</v>
      </c>
      <c r="T213" s="182">
        <f t="shared" ref="T213" si="995">(T$202-$B212)/365</f>
        <v>6.1164383561643838</v>
      </c>
      <c r="U213" s="182">
        <f t="shared" ref="U213" si="996">(U$202-$B212)/365</f>
        <v>6.6164383561643838</v>
      </c>
      <c r="V213" s="182">
        <f t="shared" ref="V213" si="997">(V$202-$B212)/365</f>
        <v>7.1164383561643838</v>
      </c>
      <c r="W213" s="182">
        <f t="shared" ref="W213" si="998">(W$202-$B212)/365</f>
        <v>7.6164383561643838</v>
      </c>
      <c r="X213" s="182">
        <f t="shared" ref="X213" si="999">(X$202-$B212)/365</f>
        <v>8.1164383561643838</v>
      </c>
      <c r="Y213" s="182">
        <f t="shared" ref="Y213" si="1000">(Y$202-$B212)/365</f>
        <v>8.117808219178082</v>
      </c>
    </row>
    <row r="214" spans="2:25">
      <c r="B214" t="s">
        <v>211</v>
      </c>
      <c r="I214" s="183">
        <f>1+((INDEX('Yield Curve'!$B$48:$P$91,MATCH(ROUND(I213,0),'Yield Curve'!$B$48:$B$91,0),MATCH(YEAR($B212),'Yield Curve'!$B$48:$P$48,0)))/100)</f>
        <v>1.03315</v>
      </c>
      <c r="J214" s="183">
        <f>1+((INDEX('Yield Curve'!$B$48:$P$91,MATCH(ROUND(J213,0),'Yield Curve'!$B$48:$B$91,0),MATCH(YEAR($B212),'Yield Curve'!$B$48:$P$48,0)))/100)</f>
        <v>1.03315</v>
      </c>
      <c r="K214" s="183">
        <f>1+((INDEX('Yield Curve'!$B$48:$P$91,MATCH(ROUND(K213,0),'Yield Curve'!$B$48:$B$91,0),MATCH(YEAR($B212),'Yield Curve'!$B$48:$P$48,0)))/100)</f>
        <v>1.03315</v>
      </c>
      <c r="L214" s="183">
        <f>1+((INDEX('Yield Curve'!$B$48:$P$91,MATCH(ROUND(L213,0),'Yield Curve'!$B$48:$B$91,0),MATCH(YEAR($B212),'Yield Curve'!$B$48:$P$48,0)))/100)</f>
        <v>1.03315</v>
      </c>
      <c r="M214" s="183">
        <f>1+((INDEX('Yield Curve'!$B$48:$P$91,MATCH(ROUND(M213,0),'Yield Curve'!$B$48:$B$91,0),MATCH(YEAR($B212),'Yield Curve'!$B$48:$P$48,0)))/100)</f>
        <v>1.03315</v>
      </c>
      <c r="N214" s="183">
        <f>1+((INDEX('Yield Curve'!$B$48:$P$91,MATCH(ROUND(N213,0),'Yield Curve'!$B$48:$B$91,0),MATCH(YEAR($B212),'Yield Curve'!$B$48:$P$48,0)))/100)</f>
        <v>1.03315</v>
      </c>
      <c r="O214" s="183">
        <f>1+((INDEX('Yield Curve'!$B$48:$P$91,MATCH(ROUND(O213,0),'Yield Curve'!$B$48:$B$91,0),MATCH(YEAR($B212),'Yield Curve'!$B$48:$P$48,0)))/100)</f>
        <v>1.0349999999999999</v>
      </c>
      <c r="P214" s="183">
        <f>1+((INDEX('Yield Curve'!$B$48:$P$91,MATCH(ROUND(P213,0),'Yield Curve'!$B$48:$B$91,0),MATCH(YEAR($B212),'Yield Curve'!$B$48:$P$48,0)))/100)</f>
        <v>1.0349999999999999</v>
      </c>
      <c r="Q214" s="183">
        <f>1+((INDEX('Yield Curve'!$B$48:$P$91,MATCH(ROUND(Q213,0),'Yield Curve'!$B$48:$B$91,0),MATCH(YEAR($B212),'Yield Curve'!$B$48:$P$48,0)))/100)</f>
        <v>1.03685</v>
      </c>
      <c r="R214" s="183">
        <f>1+((INDEX('Yield Curve'!$B$48:$P$91,MATCH(ROUND(R213,0),'Yield Curve'!$B$48:$B$91,0),MATCH(YEAR($B212),'Yield Curve'!$B$48:$P$48,0)))/100)</f>
        <v>1.03685</v>
      </c>
      <c r="S214" s="183">
        <f>1+((INDEX('Yield Curve'!$B$48:$P$91,MATCH(ROUND(S213,0),'Yield Curve'!$B$48:$B$91,0),MATCH(YEAR($B212),'Yield Curve'!$B$48:$P$48,0)))/100)</f>
        <v>1.0386</v>
      </c>
      <c r="T214" s="183">
        <f>1+((INDEX('Yield Curve'!$B$48:$P$91,MATCH(ROUND(T213,0),'Yield Curve'!$B$48:$B$91,0),MATCH(YEAR($B212),'Yield Curve'!$B$48:$P$48,0)))/100)</f>
        <v>1.0386</v>
      </c>
      <c r="U214" s="183">
        <f>1+((INDEX('Yield Curve'!$B$48:$P$91,MATCH(ROUND(U213,0),'Yield Curve'!$B$48:$B$91,0),MATCH(YEAR($B212),'Yield Curve'!$B$48:$P$48,0)))/100)</f>
        <v>1.0403500000000001</v>
      </c>
      <c r="V214" s="183">
        <f>1+((INDEX('Yield Curve'!$B$48:$P$91,MATCH(ROUND(V213,0),'Yield Curve'!$B$48:$B$91,0),MATCH(YEAR($B212),'Yield Curve'!$B$48:$P$48,0)))/100)</f>
        <v>1.0403500000000001</v>
      </c>
      <c r="W214" s="183">
        <f>1+((INDEX('Yield Curve'!$B$48:$P$91,MATCH(ROUND(W213,0),'Yield Curve'!$B$48:$B$91,0),MATCH(YEAR($B212),'Yield Curve'!$B$48:$P$48,0)))/100)</f>
        <v>1.0414874999999999</v>
      </c>
      <c r="X214" s="183">
        <f>1+((INDEX('Yield Curve'!$B$48:$P$91,MATCH(ROUND(X213,0),'Yield Curve'!$B$48:$B$91,0),MATCH(YEAR($B212),'Yield Curve'!$B$48:$P$48,0)))/100)</f>
        <v>1.0414874999999999</v>
      </c>
      <c r="Y214" s="183">
        <f>1+((INDEX('Yield Curve'!$B$48:$P$91,MATCH(ROUND(Y213,0),'Yield Curve'!$B$48:$B$91,0),MATCH(YEAR($B212),'Yield Curve'!$B$48:$P$48,0)))/100)</f>
        <v>1.0414874999999999</v>
      </c>
    </row>
    <row r="215" spans="2:25">
      <c r="B215" t="s">
        <v>212</v>
      </c>
      <c r="C215" s="182">
        <f>SUM(D215:AM215)</f>
        <v>18.529652419123408</v>
      </c>
      <c r="I215" s="182">
        <f t="shared" ref="I215" si="1001">I$203/(I214^I213)</f>
        <v>0.29794954936047419</v>
      </c>
      <c r="J215" s="182">
        <f t="shared" ref="J215" si="1002">J$203/(J214^J213)</f>
        <v>0.29313052301379999</v>
      </c>
      <c r="K215" s="182">
        <f t="shared" ref="K215" si="1003">K$203/(K214^K213)</f>
        <v>0.28838943944294065</v>
      </c>
      <c r="L215" s="182">
        <f t="shared" ref="L215" si="1004">L$203/(L214^L213)</f>
        <v>0.28372503800396842</v>
      </c>
      <c r="M215" s="182">
        <f t="shared" ref="M215" si="1005">M$203/(M214^M213)</f>
        <v>0.27913607844256949</v>
      </c>
      <c r="N215" s="182">
        <f t="shared" ref="N215" si="1006">N$203/(N214^N213)</f>
        <v>0.27462134056426313</v>
      </c>
      <c r="O215" s="182">
        <f t="shared" ref="O215" si="1007">O$203/(O214^O213)</f>
        <v>0.26843721817843696</v>
      </c>
      <c r="P215" s="182">
        <f t="shared" ref="P215" si="1008">P$203/(P214^P213)</f>
        <v>0.2638593903533844</v>
      </c>
      <c r="Q215" s="182">
        <f t="shared" ref="Q215" si="1009">Q$203/(Q214^Q213)</f>
        <v>0.25723019815694559</v>
      </c>
      <c r="R215" s="182">
        <f t="shared" ref="R215" si="1010">R$203/(R214^R213)</f>
        <v>0.25261782190213244</v>
      </c>
      <c r="S215" s="182">
        <f t="shared" ref="S215" si="1011">S$203/(S214^S213)</f>
        <v>0.24574948593917151</v>
      </c>
      <c r="T215" s="182">
        <f t="shared" ref="T215" si="1012">T$203/(T214^T213)</f>
        <v>0.24113955710288534</v>
      </c>
      <c r="U215" s="182">
        <f t="shared" ref="U215" si="1013">U$203/(U214^U213)</f>
        <v>0.2339950495012105</v>
      </c>
      <c r="V215" s="182">
        <f t="shared" ref="V215" si="1014">V$203/(V214^V213)</f>
        <v>0.22941242394342795</v>
      </c>
      <c r="W215" s="182">
        <f t="shared" ref="W215" si="1015">W$203/(W214^W213)</f>
        <v>0.22305528078582235</v>
      </c>
      <c r="X215" s="182">
        <f t="shared" ref="X215" si="1016">X$203/(X214^X213)</f>
        <v>0.21856744655213287</v>
      </c>
      <c r="Y215" s="182">
        <f t="shared" ref="Y215" si="1017">Y$203/(Y214^Y213)</f>
        <v>14.378636577879844</v>
      </c>
    </row>
    <row r="216" spans="2:25">
      <c r="B216" s="135">
        <v>43646</v>
      </c>
    </row>
    <row r="217" spans="2:25">
      <c r="B217" t="s">
        <v>210</v>
      </c>
      <c r="K217" s="182">
        <f t="shared" ref="K217" si="1018">(K$202-$B216)/365</f>
        <v>0.61643835616438358</v>
      </c>
      <c r="L217" s="182">
        <f t="shared" ref="L217" si="1019">(L$202-$B216)/365</f>
        <v>1.1164383561643836</v>
      </c>
      <c r="M217" s="182">
        <f t="shared" ref="M217" si="1020">(M$202-$B216)/365</f>
        <v>1.6164383561643836</v>
      </c>
      <c r="N217" s="182">
        <f t="shared" ref="N217" si="1021">(N$202-$B216)/365</f>
        <v>2.1164383561643834</v>
      </c>
      <c r="O217" s="182">
        <f t="shared" ref="O217" si="1022">(O$202-$B216)/365</f>
        <v>2.6164383561643834</v>
      </c>
      <c r="P217" s="182">
        <f t="shared" ref="P217" si="1023">(P$202-$B216)/365</f>
        <v>3.1164383561643834</v>
      </c>
      <c r="Q217" s="182">
        <f t="shared" ref="Q217" si="1024">(Q$202-$B216)/365</f>
        <v>3.6164383561643834</v>
      </c>
      <c r="R217" s="182">
        <f t="shared" ref="R217" si="1025">(R$202-$B216)/365</f>
        <v>4.1164383561643838</v>
      </c>
      <c r="S217" s="182">
        <f t="shared" ref="S217" si="1026">(S$202-$B216)/365</f>
        <v>4.6164383561643838</v>
      </c>
      <c r="T217" s="182">
        <f t="shared" ref="T217" si="1027">(T$202-$B216)/365</f>
        <v>5.1164383561643838</v>
      </c>
      <c r="U217" s="182">
        <f t="shared" ref="U217" si="1028">(U$202-$B216)/365</f>
        <v>5.6164383561643838</v>
      </c>
      <c r="V217" s="182">
        <f t="shared" ref="V217" si="1029">(V$202-$B216)/365</f>
        <v>6.1164383561643838</v>
      </c>
      <c r="W217" s="182">
        <f t="shared" ref="W217" si="1030">(W$202-$B216)/365</f>
        <v>6.6164383561643838</v>
      </c>
      <c r="X217" s="182">
        <f t="shared" ref="X217" si="1031">(X$202-$B216)/365</f>
        <v>7.1164383561643838</v>
      </c>
      <c r="Y217" s="182">
        <f t="shared" ref="Y217" si="1032">(Y$202-$B216)/365</f>
        <v>7.117808219178082</v>
      </c>
    </row>
    <row r="218" spans="2:25">
      <c r="B218" t="s">
        <v>211</v>
      </c>
      <c r="K218" s="183">
        <f>1+((INDEX('Yield Curve'!$B$48:$P$91,MATCH(ROUND(K217,0),'Yield Curve'!$B$48:$B$91,0),MATCH(YEAR($B216),'Yield Curve'!$B$48:$P$48,0)))/100)</f>
        <v>1.02305</v>
      </c>
      <c r="L218" s="183">
        <f>1+((INDEX('Yield Curve'!$B$48:$P$91,MATCH(ROUND(L217,0),'Yield Curve'!$B$48:$B$91,0),MATCH(YEAR($B216),'Yield Curve'!$B$48:$P$48,0)))/100)</f>
        <v>1.02305</v>
      </c>
      <c r="M218" s="183">
        <f>1+((INDEX('Yield Curve'!$B$48:$P$91,MATCH(ROUND(M217,0),'Yield Curve'!$B$48:$B$91,0),MATCH(YEAR($B216),'Yield Curve'!$B$48:$P$48,0)))/100)</f>
        <v>1.02305</v>
      </c>
      <c r="N218" s="183">
        <f>1+((INDEX('Yield Curve'!$B$48:$P$91,MATCH(ROUND(N217,0),'Yield Curve'!$B$48:$B$91,0),MATCH(YEAR($B216),'Yield Curve'!$B$48:$P$48,0)))/100)</f>
        <v>1.02305</v>
      </c>
      <c r="O218" s="183">
        <f>1+((INDEX('Yield Curve'!$B$48:$P$91,MATCH(ROUND(O217,0),'Yield Curve'!$B$48:$B$91,0),MATCH(YEAR($B216),'Yield Curve'!$B$48:$P$48,0)))/100)</f>
        <v>1.02305</v>
      </c>
      <c r="P218" s="183">
        <f>1+((INDEX('Yield Curve'!$B$48:$P$91,MATCH(ROUND(P217,0),'Yield Curve'!$B$48:$B$91,0),MATCH(YEAR($B216),'Yield Curve'!$B$48:$P$48,0)))/100)</f>
        <v>1.02305</v>
      </c>
      <c r="Q218" s="183">
        <f>1+((INDEX('Yield Curve'!$B$48:$P$91,MATCH(ROUND(Q217,0),'Yield Curve'!$B$48:$B$91,0),MATCH(YEAR($B216),'Yield Curve'!$B$48:$P$48,0)))/100)</f>
        <v>1.024575</v>
      </c>
      <c r="R218" s="183">
        <f>1+((INDEX('Yield Curve'!$B$48:$P$91,MATCH(ROUND(R217,0),'Yield Curve'!$B$48:$B$91,0),MATCH(YEAR($B216),'Yield Curve'!$B$48:$P$48,0)))/100)</f>
        <v>1.024575</v>
      </c>
      <c r="S218" s="183">
        <f>1+((INDEX('Yield Curve'!$B$48:$P$91,MATCH(ROUND(S217,0),'Yield Curve'!$B$48:$B$91,0),MATCH(YEAR($B216),'Yield Curve'!$B$48:$P$48,0)))/100)</f>
        <v>1.0261</v>
      </c>
      <c r="T218" s="183">
        <f>1+((INDEX('Yield Curve'!$B$48:$P$91,MATCH(ROUND(T217,0),'Yield Curve'!$B$48:$B$91,0),MATCH(YEAR($B216),'Yield Curve'!$B$48:$P$48,0)))/100)</f>
        <v>1.0261</v>
      </c>
      <c r="U218" s="183">
        <f>1+((INDEX('Yield Curve'!$B$48:$P$91,MATCH(ROUND(U217,0),'Yield Curve'!$B$48:$B$91,0),MATCH(YEAR($B216),'Yield Curve'!$B$48:$P$48,0)))/100)</f>
        <v>1.028375</v>
      </c>
      <c r="V218" s="183">
        <f>1+((INDEX('Yield Curve'!$B$48:$P$91,MATCH(ROUND(V217,0),'Yield Curve'!$B$48:$B$91,0),MATCH(YEAR($B216),'Yield Curve'!$B$48:$P$48,0)))/100)</f>
        <v>1.028375</v>
      </c>
      <c r="W218" s="183">
        <f>1+((INDEX('Yield Curve'!$B$48:$P$91,MATCH(ROUND(W217,0),'Yield Curve'!$B$48:$B$91,0),MATCH(YEAR($B216),'Yield Curve'!$B$48:$P$48,0)))/100)</f>
        <v>1.0306500000000001</v>
      </c>
      <c r="X218" s="183">
        <f>1+((INDEX('Yield Curve'!$B$48:$P$91,MATCH(ROUND(X217,0),'Yield Curve'!$B$48:$B$91,0),MATCH(YEAR($B216),'Yield Curve'!$B$48:$P$48,0)))/100)</f>
        <v>1.0306500000000001</v>
      </c>
      <c r="Y218" s="183">
        <f>1+((INDEX('Yield Curve'!$B$48:$P$91,MATCH(ROUND(Y217,0),'Yield Curve'!$B$48:$B$91,0),MATCH(YEAR($B216),'Yield Curve'!$B$48:$P$48,0)))/100)</f>
        <v>1.0306500000000001</v>
      </c>
    </row>
    <row r="219" spans="2:25">
      <c r="B219" t="s">
        <v>212</v>
      </c>
      <c r="C219" s="182">
        <f>SUM(D219:AM219)</f>
        <v>19.981128567542143</v>
      </c>
      <c r="K219" s="182">
        <f t="shared" ref="K219" si="1033">K$203/(K218^K217)</f>
        <v>0.29975937851952139</v>
      </c>
      <c r="L219" s="182">
        <f t="shared" ref="L219" si="1034">L$203/(L218^L217)</f>
        <v>0.29636325074900244</v>
      </c>
      <c r="M219" s="182">
        <f t="shared" ref="M219" si="1035">M$203/(M218^M217)</f>
        <v>0.29300559945214932</v>
      </c>
      <c r="N219" s="182">
        <f t="shared" ref="N219" si="1036">N$203/(N218^N217)</f>
        <v>0.28968598870925411</v>
      </c>
      <c r="O219" s="182">
        <f t="shared" ref="O219" si="1037">O$203/(O218^O217)</f>
        <v>0.28640398753936691</v>
      </c>
      <c r="P219" s="182">
        <f t="shared" ref="P219" si="1038">P$203/(P218^P217)</f>
        <v>0.28315916984434203</v>
      </c>
      <c r="Q219" s="182">
        <f t="shared" ref="Q219" si="1039">Q$203/(Q218^Q217)</f>
        <v>0.27844712915996112</v>
      </c>
      <c r="R219" s="182">
        <f t="shared" ref="R219" si="1040">R$203/(R218^R217)</f>
        <v>0.27508750682309208</v>
      </c>
      <c r="S219" s="182">
        <f t="shared" ref="S219" si="1041">S$203/(S218^S217)</f>
        <v>0.26990882248496573</v>
      </c>
      <c r="T219" s="182">
        <f t="shared" ref="T219" si="1042">T$203/(T218^T217)</f>
        <v>0.26645399538930331</v>
      </c>
      <c r="U219" s="182">
        <f t="shared" ref="U219" si="1043">U$203/(U218^U217)</f>
        <v>0.25979176171438245</v>
      </c>
      <c r="V219" s="182">
        <f t="shared" ref="V219" si="1044">V$203/(V218^V217)</f>
        <v>0.25618259459673731</v>
      </c>
      <c r="W219" s="182">
        <f t="shared" ref="W219" si="1045">W$203/(W218^W217)</f>
        <v>0.24895685370645892</v>
      </c>
      <c r="X219" s="182">
        <f t="shared" ref="X219" si="1046">X$203/(X218^X217)</f>
        <v>0.24522711167370831</v>
      </c>
      <c r="Y219" s="182">
        <f t="shared" ref="Y219" si="1047">Y$203/(Y218^Y217)</f>
        <v>16.1326954171799</v>
      </c>
    </row>
    <row r="220" spans="2:25">
      <c r="B220" s="135">
        <v>44012</v>
      </c>
    </row>
    <row r="221" spans="2:25">
      <c r="B221" t="s">
        <v>210</v>
      </c>
      <c r="M221" s="182">
        <f t="shared" ref="M221" si="1048">(M$202-$B220)/365</f>
        <v>0.61369863013698633</v>
      </c>
      <c r="N221" s="182">
        <f t="shared" ref="N221" si="1049">(N$202-$B220)/365</f>
        <v>1.1136986301369862</v>
      </c>
      <c r="O221" s="182">
        <f t="shared" ref="O221" si="1050">(O$202-$B220)/365</f>
        <v>1.6136986301369862</v>
      </c>
      <c r="P221" s="182">
        <f t="shared" ref="P221" si="1051">(P$202-$B220)/365</f>
        <v>2.1136986301369864</v>
      </c>
      <c r="Q221" s="182">
        <f t="shared" ref="Q221" si="1052">(Q$202-$B220)/365</f>
        <v>2.6136986301369864</v>
      </c>
      <c r="R221" s="182">
        <f t="shared" ref="R221" si="1053">(R$202-$B220)/365</f>
        <v>3.1136986301369864</v>
      </c>
      <c r="S221" s="182">
        <f t="shared" ref="S221" si="1054">(S$202-$B220)/365</f>
        <v>3.6136986301369864</v>
      </c>
      <c r="T221" s="182">
        <f t="shared" ref="T221" si="1055">(T$202-$B220)/365</f>
        <v>4.1136986301369864</v>
      </c>
      <c r="U221" s="182">
        <f t="shared" ref="U221" si="1056">(U$202-$B220)/365</f>
        <v>4.6136986301369864</v>
      </c>
      <c r="V221" s="182">
        <f t="shared" ref="V221" si="1057">(V$202-$B220)/365</f>
        <v>5.1136986301369864</v>
      </c>
      <c r="W221" s="182">
        <f t="shared" ref="W221" si="1058">(W$202-$B220)/365</f>
        <v>5.6136986301369864</v>
      </c>
      <c r="X221" s="182">
        <f t="shared" ref="X221" si="1059">(X$202-$B220)/365</f>
        <v>6.1136986301369864</v>
      </c>
      <c r="Y221" s="182">
        <f t="shared" ref="Y221" si="1060">(Y$202-$B220)/365</f>
        <v>6.1150684931506847</v>
      </c>
    </row>
    <row r="222" spans="2:25">
      <c r="B222" t="s">
        <v>211</v>
      </c>
      <c r="M222" s="183">
        <f>1+((INDEX('Yield Curve'!$B$48:$P$91,MATCH(ROUND(M221,0),'Yield Curve'!$B$48:$B$91,0),MATCH(YEAR($B220),'Yield Curve'!$B$48:$P$48,0)))/100)</f>
        <v>1.02105</v>
      </c>
      <c r="N222" s="183">
        <f>1+((INDEX('Yield Curve'!$B$48:$P$91,MATCH(ROUND(N221,0),'Yield Curve'!$B$48:$B$91,0),MATCH(YEAR($B220),'Yield Curve'!$B$48:$P$48,0)))/100)</f>
        <v>1.02105</v>
      </c>
      <c r="O222" s="183">
        <f>1+((INDEX('Yield Curve'!$B$48:$P$91,MATCH(ROUND(O221,0),'Yield Curve'!$B$48:$B$91,0),MATCH(YEAR($B220),'Yield Curve'!$B$48:$P$48,0)))/100)</f>
        <v>1.02105</v>
      </c>
      <c r="P222" s="183">
        <f>1+((INDEX('Yield Curve'!$B$48:$P$91,MATCH(ROUND(P221,0),'Yield Curve'!$B$48:$B$91,0),MATCH(YEAR($B220),'Yield Curve'!$B$48:$P$48,0)))/100)</f>
        <v>1.02105</v>
      </c>
      <c r="Q222" s="183">
        <f>1+((INDEX('Yield Curve'!$B$48:$P$91,MATCH(ROUND(Q221,0),'Yield Curve'!$B$48:$B$91,0),MATCH(YEAR($B220),'Yield Curve'!$B$48:$P$48,0)))/100)</f>
        <v>1.02105</v>
      </c>
      <c r="R222" s="183">
        <f>1+((INDEX('Yield Curve'!$B$48:$P$91,MATCH(ROUND(R221,0),'Yield Curve'!$B$48:$B$91,0),MATCH(YEAR($B220),'Yield Curve'!$B$48:$P$48,0)))/100)</f>
        <v>1.02105</v>
      </c>
      <c r="S222" s="183">
        <f>1+((INDEX('Yield Curve'!$B$48:$P$91,MATCH(ROUND(S221,0),'Yield Curve'!$B$48:$B$91,0),MATCH(YEAR($B220),'Yield Curve'!$B$48:$P$48,0)))/100)</f>
        <v>1.0229999999999999</v>
      </c>
      <c r="T222" s="183">
        <f>1+((INDEX('Yield Curve'!$B$48:$P$91,MATCH(ROUND(T221,0),'Yield Curve'!$B$48:$B$91,0),MATCH(YEAR($B220),'Yield Curve'!$B$48:$P$48,0)))/100)</f>
        <v>1.0229999999999999</v>
      </c>
      <c r="U222" s="183">
        <f>1+((INDEX('Yield Curve'!$B$48:$P$91,MATCH(ROUND(U221,0),'Yield Curve'!$B$48:$B$91,0),MATCH(YEAR($B220),'Yield Curve'!$B$48:$P$48,0)))/100)</f>
        <v>1.02495</v>
      </c>
      <c r="V222" s="183">
        <f>1+((INDEX('Yield Curve'!$B$48:$P$91,MATCH(ROUND(V221,0),'Yield Curve'!$B$48:$B$91,0),MATCH(YEAR($B220),'Yield Curve'!$B$48:$P$48,0)))/100)</f>
        <v>1.02495</v>
      </c>
      <c r="W222" s="183">
        <f>1+((INDEX('Yield Curve'!$B$48:$P$91,MATCH(ROUND(W221,0),'Yield Curve'!$B$48:$B$91,0),MATCH(YEAR($B220),'Yield Curve'!$B$48:$P$48,0)))/100)</f>
        <v>1.0282249999999999</v>
      </c>
      <c r="X222" s="183">
        <f>1+((INDEX('Yield Curve'!$B$48:$P$91,MATCH(ROUND(X221,0),'Yield Curve'!$B$48:$B$91,0),MATCH(YEAR($B220),'Yield Curve'!$B$48:$P$48,0)))/100)</f>
        <v>1.0282249999999999</v>
      </c>
      <c r="Y222" s="183">
        <f>1+((INDEX('Yield Curve'!$B$48:$P$91,MATCH(ROUND(Y221,0),'Yield Curve'!$B$48:$B$91,0),MATCH(YEAR($B220),'Yield Curve'!$B$48:$P$48,0)))/100)</f>
        <v>1.0282249999999999</v>
      </c>
    </row>
    <row r="223" spans="2:25">
      <c r="B223" t="s">
        <v>212</v>
      </c>
      <c r="C223" s="182">
        <f>SUM(D223:AM223)</f>
        <v>20.237284773847527</v>
      </c>
      <c r="M223" s="182">
        <f t="shared" ref="M223" si="1061">M$203/(M222^M221)</f>
        <v>0.3001383192343588</v>
      </c>
      <c r="N223" s="182">
        <f t="shared" ref="N223" si="1062">N$203/(N222^N221)</f>
        <v>0.29702837641494195</v>
      </c>
      <c r="O223" s="182">
        <f t="shared" ref="O223" si="1063">O$203/(O222^O221)</f>
        <v>0.29395065788586139</v>
      </c>
      <c r="P223" s="182">
        <f t="shared" ref="P223" si="1064">P$203/(P222^P221)</f>
        <v>0.29090482974873116</v>
      </c>
      <c r="Q223" s="182">
        <f t="shared" ref="Q223" si="1065">Q$203/(Q222^Q221)</f>
        <v>0.28789056156491988</v>
      </c>
      <c r="R223" s="182">
        <f t="shared" ref="R223" si="1066">R$203/(R222^R221)</f>
        <v>0.28490752631970145</v>
      </c>
      <c r="S223" s="182">
        <f t="shared" ref="S223" si="1067">S$203/(S222^S221)</f>
        <v>0.28001804527254742</v>
      </c>
      <c r="T223" s="182">
        <f t="shared" ref="T223" si="1068">T$203/(T222^T221)</f>
        <v>0.27685234264286279</v>
      </c>
      <c r="U223" s="182">
        <f t="shared" ref="U223" si="1069">U$203/(U222^U221)</f>
        <v>0.27132801936226553</v>
      </c>
      <c r="V223" s="182">
        <f t="shared" ref="V223" si="1070">V$203/(V222^V221)</f>
        <v>0.26800525191760194</v>
      </c>
      <c r="W223" s="182">
        <f t="shared" ref="W223" si="1071">W$203/(W222^W221)</f>
        <v>0.26002451923762254</v>
      </c>
      <c r="X223" s="182">
        <f t="shared" ref="X223" si="1072">X$203/(X222^X221)</f>
        <v>0.25643082086126034</v>
      </c>
      <c r="Y223" s="182">
        <f t="shared" ref="Y223" si="1073">Y$203/(Y222^Y221)</f>
        <v>16.869805503384853</v>
      </c>
    </row>
    <row r="224" spans="2:25">
      <c r="B224" s="135">
        <v>44377</v>
      </c>
    </row>
    <row r="225" spans="2:36">
      <c r="B225" t="s">
        <v>210</v>
      </c>
      <c r="O225" s="182">
        <f t="shared" ref="O225" si="1074">(O$202-$B224)/365</f>
        <v>0.61369863013698633</v>
      </c>
      <c r="P225" s="182">
        <f t="shared" ref="P225" si="1075">(P$202-$B224)/365</f>
        <v>1.1136986301369862</v>
      </c>
      <c r="Q225" s="182">
        <f t="shared" ref="Q225" si="1076">(Q$202-$B224)/365</f>
        <v>1.6136986301369862</v>
      </c>
      <c r="R225" s="182">
        <f t="shared" ref="R225" si="1077">(R$202-$B224)/365</f>
        <v>2.1136986301369864</v>
      </c>
      <c r="S225" s="182">
        <f t="shared" ref="S225" si="1078">(S$202-$B224)/365</f>
        <v>2.6136986301369864</v>
      </c>
      <c r="T225" s="182">
        <f t="shared" ref="T225" si="1079">(T$202-$B224)/365</f>
        <v>3.1136986301369864</v>
      </c>
      <c r="U225" s="182">
        <f t="shared" ref="U225" si="1080">(U$202-$B224)/365</f>
        <v>3.6136986301369864</v>
      </c>
      <c r="V225" s="182">
        <f t="shared" ref="V225" si="1081">(V$202-$B224)/365</f>
        <v>4.1136986301369864</v>
      </c>
      <c r="W225" s="182">
        <f t="shared" ref="W225" si="1082">(W$202-$B224)/365</f>
        <v>4.6136986301369864</v>
      </c>
      <c r="X225" s="182">
        <f t="shared" ref="X225" si="1083">(X$202-$B224)/365</f>
        <v>5.1136986301369864</v>
      </c>
      <c r="Y225" s="182">
        <f t="shared" ref="Y225" si="1084">(Y$202-$B224)/365</f>
        <v>5.1150684931506847</v>
      </c>
    </row>
    <row r="226" spans="2:36">
      <c r="B226" t="s">
        <v>211</v>
      </c>
      <c r="O226" s="183">
        <f>1+((INDEX('Yield Curve'!$B$48:$P$91,MATCH(ROUND(O225,0),'Yield Curve'!$B$48:$B$91,0),MATCH(YEAR($B224),'Yield Curve'!$B$48:$P$48,0)))/100)</f>
        <v>1.0129999999999999</v>
      </c>
      <c r="P226" s="183">
        <f>1+((INDEX('Yield Curve'!$B$48:$P$91,MATCH(ROUND(P225,0),'Yield Curve'!$B$48:$B$91,0),MATCH(YEAR($B224),'Yield Curve'!$B$48:$P$48,0)))/100)</f>
        <v>1.0129999999999999</v>
      </c>
      <c r="Q226" s="183">
        <f>1+((INDEX('Yield Curve'!$B$48:$P$91,MATCH(ROUND(Q225,0),'Yield Curve'!$B$48:$B$91,0),MATCH(YEAR($B224),'Yield Curve'!$B$48:$P$48,0)))/100)</f>
        <v>1.0129999999999999</v>
      </c>
      <c r="R226" s="183">
        <f>1+((INDEX('Yield Curve'!$B$48:$P$91,MATCH(ROUND(R225,0),'Yield Curve'!$B$48:$B$91,0),MATCH(YEAR($B224),'Yield Curve'!$B$48:$P$48,0)))/100)</f>
        <v>1.0129999999999999</v>
      </c>
      <c r="S226" s="183">
        <f>1+((INDEX('Yield Curve'!$B$48:$P$91,MATCH(ROUND(S225,0),'Yield Curve'!$B$48:$B$91,0),MATCH(YEAR($B224),'Yield Curve'!$B$48:$P$48,0)))/100)</f>
        <v>1.0129999999999999</v>
      </c>
      <c r="T226" s="183">
        <f>1+((INDEX('Yield Curve'!$B$48:$P$91,MATCH(ROUND(T225,0),'Yield Curve'!$B$48:$B$91,0),MATCH(YEAR($B224),'Yield Curve'!$B$48:$P$48,0)))/100)</f>
        <v>1.0129999999999999</v>
      </c>
      <c r="U226" s="183">
        <f>1+((INDEX('Yield Curve'!$B$48:$P$91,MATCH(ROUND(U225,0),'Yield Curve'!$B$48:$B$91,0),MATCH(YEAR($B224),'Yield Curve'!$B$48:$P$48,0)))/100)</f>
        <v>1.0161249999999999</v>
      </c>
      <c r="V226" s="183">
        <f>1+((INDEX('Yield Curve'!$B$48:$P$91,MATCH(ROUND(V225,0),'Yield Curve'!$B$48:$B$91,0),MATCH(YEAR($B224),'Yield Curve'!$B$48:$P$48,0)))/100)</f>
        <v>1.0161249999999999</v>
      </c>
      <c r="W226" s="183">
        <f>1+((INDEX('Yield Curve'!$B$48:$P$91,MATCH(ROUND(W225,0),'Yield Curve'!$B$48:$B$91,0),MATCH(YEAR($B224),'Yield Curve'!$B$48:$P$48,0)))/100)</f>
        <v>1.01925</v>
      </c>
      <c r="X226" s="183">
        <f>1+((INDEX('Yield Curve'!$B$48:$P$91,MATCH(ROUND(X225,0),'Yield Curve'!$B$48:$B$91,0),MATCH(YEAR($B224),'Yield Curve'!$B$48:$P$48,0)))/100)</f>
        <v>1.01925</v>
      </c>
      <c r="Y226" s="183">
        <f>1+((INDEX('Yield Curve'!$B$48:$P$91,MATCH(ROUND(Y225,0),'Yield Curve'!$B$48:$B$91,0),MATCH(YEAR($B224),'Yield Curve'!$B$48:$P$48,0)))/100)</f>
        <v>1.01925</v>
      </c>
    </row>
    <row r="227" spans="2:36">
      <c r="B227" t="s">
        <v>212</v>
      </c>
      <c r="C227" s="182">
        <f>SUM(D227:AM227)</f>
        <v>21.047962705262215</v>
      </c>
      <c r="O227" s="182">
        <f t="shared" ref="O227" si="1085">O$203/(O226^O225)</f>
        <v>0.30159981768882693</v>
      </c>
      <c r="P227" s="182">
        <f t="shared" ref="P227" si="1086">P$203/(P226^P225)</f>
        <v>0.2996583280233257</v>
      </c>
      <c r="Q227" s="182">
        <f t="shared" ref="Q227" si="1087">Q$203/(Q226^Q225)</f>
        <v>0.29772933631670973</v>
      </c>
      <c r="R227" s="182">
        <f t="shared" ref="R227" si="1088">R$203/(R226^R225)</f>
        <v>0.29581276211582014</v>
      </c>
      <c r="S227" s="182">
        <f t="shared" ref="S227" si="1089">S$203/(S226^S225)</f>
        <v>0.29390852548539959</v>
      </c>
      <c r="T227" s="182">
        <f t="shared" ref="T227" si="1090">T$203/(T226^T225)</f>
        <v>0.29201654700475826</v>
      </c>
      <c r="U227" s="182">
        <f t="shared" ref="U227" si="1091">U$203/(U226^U225)</f>
        <v>0.28692522160273953</v>
      </c>
      <c r="V227" s="182">
        <f t="shared" ref="V227" si="1092">V$203/(V226^V225)</f>
        <v>0.28463949318282639</v>
      </c>
      <c r="W227" s="182">
        <f t="shared" ref="W227" si="1093">W$203/(W226^W225)</f>
        <v>0.27839974715911592</v>
      </c>
      <c r="X227" s="182">
        <f t="shared" ref="X227" si="1094">X$203/(X226^X225)</f>
        <v>0.27575822595884292</v>
      </c>
      <c r="Y227" s="182">
        <f t="shared" ref="Y227" si="1095">Y$203/(Y226^Y225)</f>
        <v>18.14151470072385</v>
      </c>
    </row>
    <row r="228" spans="2:36">
      <c r="B228" s="135">
        <v>44552</v>
      </c>
    </row>
    <row r="229" spans="2:36">
      <c r="B229" t="s">
        <v>210</v>
      </c>
      <c r="P229" s="182">
        <f t="shared" ref="P229" si="1096">(P$202-$B228)/365</f>
        <v>0.63424657534246576</v>
      </c>
      <c r="Q229" s="182">
        <f t="shared" ref="Q229" si="1097">(Q$202-$B228)/365</f>
        <v>1.1342465753424658</v>
      </c>
      <c r="R229" s="182">
        <f t="shared" ref="R229" si="1098">(R$202-$B228)/365</f>
        <v>1.6342465753424658</v>
      </c>
      <c r="S229" s="182">
        <f t="shared" ref="S229" si="1099">(S$202-$B228)/365</f>
        <v>2.1342465753424658</v>
      </c>
      <c r="T229" s="182">
        <f t="shared" ref="T229" si="1100">(T$202-$B228)/365</f>
        <v>2.6342465753424658</v>
      </c>
      <c r="U229" s="182">
        <f t="shared" ref="U229" si="1101">(U$202-$B228)/365</f>
        <v>3.1342465753424658</v>
      </c>
      <c r="V229" s="182">
        <f t="shared" ref="V229" si="1102">(V$202-$B228)/365</f>
        <v>3.6342465753424658</v>
      </c>
      <c r="W229" s="182">
        <f t="shared" ref="W229" si="1103">(W$202-$B228)/365</f>
        <v>4.1342465753424653</v>
      </c>
      <c r="X229" s="182">
        <f t="shared" ref="X229" si="1104">(X$202-$B228)/365</f>
        <v>4.6342465753424653</v>
      </c>
      <c r="Y229" s="182">
        <f t="shared" ref="Y229" si="1105">(Y$202-$B228)/365</f>
        <v>4.6356164383561644</v>
      </c>
    </row>
    <row r="230" spans="2:36">
      <c r="B230" t="s">
        <v>211</v>
      </c>
      <c r="P230" s="183">
        <f>1+((INDEX('Yield Curve'!$B$48:$P$91,MATCH(ROUND(P229,0),'Yield Curve'!$B$48:$B$91,0),MATCH(YEAR($B228)+1,'Yield Curve'!$B$48:$P$48,0)))/100)</f>
        <v>1.0212000000000001</v>
      </c>
      <c r="Q230" s="183">
        <f>1+((INDEX('Yield Curve'!$B$48:$P$91,MATCH(ROUND(Q229,0),'Yield Curve'!$B$48:$B$91,0),MATCH(YEAR($B228)+1,'Yield Curve'!$B$48:$P$48,0)))/100)</f>
        <v>1.0212000000000001</v>
      </c>
      <c r="R230" s="183">
        <f>1+((INDEX('Yield Curve'!$B$48:$P$91,MATCH(ROUND(R229,0),'Yield Curve'!$B$48:$B$91,0),MATCH(YEAR($B228)+1,'Yield Curve'!$B$48:$P$48,0)))/100)</f>
        <v>1.0212000000000001</v>
      </c>
      <c r="S230" s="183">
        <f>1+((INDEX('Yield Curve'!$B$48:$P$91,MATCH(ROUND(S229,0),'Yield Curve'!$B$48:$B$91,0),MATCH(YEAR($B228)+1,'Yield Curve'!$B$48:$P$48,0)))/100)</f>
        <v>1.0212000000000001</v>
      </c>
      <c r="T230" s="183">
        <f>1+((INDEX('Yield Curve'!$B$48:$P$91,MATCH(ROUND(T229,0),'Yield Curve'!$B$48:$B$91,0),MATCH(YEAR($B228)+1,'Yield Curve'!$B$48:$P$48,0)))/100)</f>
        <v>1.0212000000000001</v>
      </c>
      <c r="U230" s="183">
        <f>1+((INDEX('Yield Curve'!$B$48:$P$91,MATCH(ROUND(U229,0),'Yield Curve'!$B$48:$B$91,0),MATCH(YEAR($B228)+1,'Yield Curve'!$B$48:$P$48,0)))/100)</f>
        <v>1.0212000000000001</v>
      </c>
      <c r="V230" s="183">
        <f>1+((INDEX('Yield Curve'!$B$48:$P$91,MATCH(ROUND(V229,0),'Yield Curve'!$B$48:$B$91,0),MATCH(YEAR($B228)+1,'Yield Curve'!$B$48:$P$48,0)))/100)</f>
        <v>1.0245</v>
      </c>
      <c r="W230" s="183">
        <f>1+((INDEX('Yield Curve'!$B$48:$P$91,MATCH(ROUND(W229,0),'Yield Curve'!$B$48:$B$91,0),MATCH(YEAR($B228)+1,'Yield Curve'!$B$48:$P$48,0)))/100)</f>
        <v>1.0245</v>
      </c>
      <c r="X230" s="183">
        <f>1+((INDEX('Yield Curve'!$B$48:$P$91,MATCH(ROUND(X229,0),'Yield Curve'!$B$48:$B$91,0),MATCH(YEAR($B228)+1,'Yield Curve'!$B$48:$P$48,0)))/100)</f>
        <v>1.0278</v>
      </c>
      <c r="Y230" s="183">
        <f>1+((INDEX('Yield Curve'!$B$48:$P$91,MATCH(ROUND(Y229,0),'Yield Curve'!$B$48:$B$91,0),MATCH(YEAR($B228)+1,'Yield Curve'!$B$48:$P$48,0)))/100)</f>
        <v>1.0278</v>
      </c>
    </row>
    <row r="231" spans="2:36">
      <c r="B231" t="s">
        <v>212</v>
      </c>
      <c r="C231" s="182">
        <f>SUM(D231:AM231)</f>
        <v>20.187475635534625</v>
      </c>
      <c r="P231" s="182">
        <f t="shared" ref="P231" si="1106">P$203/(P230^P229)</f>
        <v>0.29998192384782169</v>
      </c>
      <c r="Q231" s="182">
        <f t="shared" ref="Q231" si="1107">Q$203/(Q230^Q229)</f>
        <v>0.29685179745920254</v>
      </c>
      <c r="R231" s="182">
        <f t="shared" ref="R231" si="1108">R$203/(R230^R229)</f>
        <v>0.29375433200922607</v>
      </c>
      <c r="S231" s="182">
        <f t="shared" ref="S231" si="1109">S$203/(S230^S229)</f>
        <v>0.29068918670113836</v>
      </c>
      <c r="T231" s="182">
        <f t="shared" ref="T231" si="1110">T$203/(T230^T229)</f>
        <v>0.28765602429418929</v>
      </c>
      <c r="U231" s="182">
        <f t="shared" ref="U231" si="1111">U$203/(U230^U229)</f>
        <v>0.28465451106652789</v>
      </c>
      <c r="V231" s="182">
        <f t="shared" ref="V231" si="1112">V$203/(V230^V229)</f>
        <v>0.27840082571956587</v>
      </c>
      <c r="W231" s="182">
        <f t="shared" ref="W231" si="1113">W$203/(W230^W229)</f>
        <v>0.27505182929011407</v>
      </c>
      <c r="X231" s="182">
        <f t="shared" ref="X231" si="1114">X$203/(X230^X229)</f>
        <v>0.26772327745683822</v>
      </c>
      <c r="Y231" s="182">
        <f t="shared" ref="Y231" si="1115">Y$203/(Y230^Y229)</f>
        <v>17.61271192769</v>
      </c>
    </row>
    <row r="233" spans="2:36">
      <c r="B233" s="5" t="str">
        <f>'SA Power Bonds'!A60</f>
        <v>29878480113</v>
      </c>
    </row>
    <row r="234" spans="2:36">
      <c r="B234" t="s">
        <v>66</v>
      </c>
      <c r="D234" s="180">
        <f>VLOOKUP(B233,'SA Power Bonds'!$A$54:$K$64,4,FALSE)</f>
        <v>42543</v>
      </c>
      <c r="E234" s="180">
        <f>VLOOKUP(B233,'SA Power Bonds'!$A$54:$K$64,10,FALSE)</f>
        <v>42776</v>
      </c>
      <c r="F234" s="180">
        <f>IF(E234+VLOOKUP($B233,'SA Power Bonds'!$A$54:$K$64,9,FALSE)*365 &lt; VLOOKUP($B233,'SA Power Bonds'!$A$54:$K$64,5,FALSE), E234+VLOOKUP($B233,'SA Power Bonds'!$A$54:$K$64,9,FALSE)*365, VLOOKUP($B233,'SA Power Bonds'!$A$54:$K$64,5,FALSE))</f>
        <v>42958.5</v>
      </c>
      <c r="G234" s="180">
        <f>IF(F234+VLOOKUP($B233,'SA Power Bonds'!$A$54:$K$64,9,FALSE)*365 &lt; VLOOKUP($B233,'SA Power Bonds'!$A$54:$K$64,5,FALSE), F234+VLOOKUP($B233,'SA Power Bonds'!$A$54:$K$64,9,FALSE)*365, VLOOKUP($B233,'SA Power Bonds'!$A$54:$K$64,5,FALSE))</f>
        <v>43141</v>
      </c>
      <c r="H234" s="180">
        <f>IF(G234+VLOOKUP($B233,'SA Power Bonds'!$A$54:$K$64,9,FALSE)*365 &lt; VLOOKUP($B233,'SA Power Bonds'!$A$54:$K$64,5,FALSE), G234+VLOOKUP($B233,'SA Power Bonds'!$A$54:$K$64,9,FALSE)*365, VLOOKUP($B233,'SA Power Bonds'!$A$54:$K$64,5,FALSE))</f>
        <v>43323.5</v>
      </c>
      <c r="I234" s="180">
        <f>IF(H234+VLOOKUP($B233,'SA Power Bonds'!$A$54:$K$64,9,FALSE)*365 &lt; VLOOKUP($B233,'SA Power Bonds'!$A$54:$K$64,5,FALSE), H234+VLOOKUP($B233,'SA Power Bonds'!$A$54:$K$64,9,FALSE)*365, VLOOKUP($B233,'SA Power Bonds'!$A$54:$K$64,5,FALSE))</f>
        <v>43506</v>
      </c>
      <c r="J234" s="180">
        <f>IF(I234+VLOOKUP($B233,'SA Power Bonds'!$A$54:$K$64,9,FALSE)*365 &lt; VLOOKUP($B233,'SA Power Bonds'!$A$54:$K$64,5,FALSE), I234+VLOOKUP($B233,'SA Power Bonds'!$A$54:$K$64,9,FALSE)*365, VLOOKUP($B233,'SA Power Bonds'!$A$54:$K$64,5,FALSE))</f>
        <v>43688.5</v>
      </c>
      <c r="K234" s="180">
        <f>IF(J234+VLOOKUP($B233,'SA Power Bonds'!$A$54:$K$64,9,FALSE)*365 &lt; VLOOKUP($B233,'SA Power Bonds'!$A$54:$K$64,5,FALSE), J234+VLOOKUP($B233,'SA Power Bonds'!$A$54:$K$64,9,FALSE)*365, VLOOKUP($B233,'SA Power Bonds'!$A$54:$K$64,5,FALSE))</f>
        <v>43871</v>
      </c>
      <c r="L234" s="180">
        <f>IF(K234+VLOOKUP($B233,'SA Power Bonds'!$A$54:$K$64,9,FALSE)*365 &lt; VLOOKUP($B233,'SA Power Bonds'!$A$54:$K$64,5,FALSE), K234+VLOOKUP($B233,'SA Power Bonds'!$A$54:$K$64,9,FALSE)*365, VLOOKUP($B233,'SA Power Bonds'!$A$54:$K$64,5,FALSE))</f>
        <v>44053.5</v>
      </c>
      <c r="M234" s="180">
        <f>IF(L234+VLOOKUP($B233,'SA Power Bonds'!$A$54:$K$64,9,FALSE)*365 &lt; VLOOKUP($B233,'SA Power Bonds'!$A$54:$K$64,5,FALSE), L234+VLOOKUP($B233,'SA Power Bonds'!$A$54:$K$64,9,FALSE)*365, VLOOKUP($B233,'SA Power Bonds'!$A$54:$K$64,5,FALSE))</f>
        <v>44236</v>
      </c>
      <c r="N234" s="180">
        <f>IF(M234+VLOOKUP($B233,'SA Power Bonds'!$A$54:$K$64,9,FALSE)*365 &lt; VLOOKUP($B233,'SA Power Bonds'!$A$54:$K$64,5,FALSE), M234+VLOOKUP($B233,'SA Power Bonds'!$A$54:$K$64,9,FALSE)*365, VLOOKUP($B233,'SA Power Bonds'!$A$54:$K$64,5,FALSE))</f>
        <v>44418.5</v>
      </c>
      <c r="O234" s="180">
        <f>IF(N234+VLOOKUP($B233,'SA Power Bonds'!$A$54:$K$64,9,FALSE)*365 &lt; VLOOKUP($B233,'SA Power Bonds'!$A$54:$K$64,5,FALSE), N234+VLOOKUP($B233,'SA Power Bonds'!$A$54:$K$64,9,FALSE)*365, VLOOKUP($B233,'SA Power Bonds'!$A$54:$K$64,5,FALSE))</f>
        <v>44601</v>
      </c>
      <c r="P234" s="180">
        <f>IF(O234+VLOOKUP($B233,'SA Power Bonds'!$A$54:$K$64,9,FALSE)*365 &lt; VLOOKUP($B233,'SA Power Bonds'!$A$54:$K$64,5,FALSE), O234+VLOOKUP($B233,'SA Power Bonds'!$A$54:$K$64,9,FALSE)*365, VLOOKUP($B233,'SA Power Bonds'!$A$54:$K$64,5,FALSE))</f>
        <v>44783.5</v>
      </c>
      <c r="Q234" s="180">
        <f>IF(P234+VLOOKUP($B233,'SA Power Bonds'!$A$54:$K$64,9,FALSE)*365 &lt; VLOOKUP($B233,'SA Power Bonds'!$A$54:$K$64,5,FALSE), P234+VLOOKUP($B233,'SA Power Bonds'!$A$54:$K$64,9,FALSE)*365, VLOOKUP($B233,'SA Power Bonds'!$A$54:$K$64,5,FALSE))</f>
        <v>44966</v>
      </c>
      <c r="R234" s="180">
        <f>IF(Q234+VLOOKUP($B233,'SA Power Bonds'!$A$54:$K$64,9,FALSE)*365 &lt; VLOOKUP($B233,'SA Power Bonds'!$A$54:$K$64,5,FALSE), Q234+VLOOKUP($B233,'SA Power Bonds'!$A$54:$K$64,9,FALSE)*365, VLOOKUP($B233,'SA Power Bonds'!$A$54:$K$64,5,FALSE))</f>
        <v>45148.5</v>
      </c>
      <c r="S234" s="180">
        <f>IF(R234+VLOOKUP($B233,'SA Power Bonds'!$A$54:$K$64,9,FALSE)*365 &lt; VLOOKUP($B233,'SA Power Bonds'!$A$54:$K$64,5,FALSE), R234+VLOOKUP($B233,'SA Power Bonds'!$A$54:$K$64,9,FALSE)*365, VLOOKUP($B233,'SA Power Bonds'!$A$54:$K$64,5,FALSE))</f>
        <v>45331</v>
      </c>
      <c r="T234" s="180">
        <f>IF(S234+VLOOKUP($B233,'SA Power Bonds'!$A$54:$K$64,9,FALSE)*365 &lt; VLOOKUP($B233,'SA Power Bonds'!$A$54:$K$64,5,FALSE), S234+VLOOKUP($B233,'SA Power Bonds'!$A$54:$K$64,9,FALSE)*365, VLOOKUP($B233,'SA Power Bonds'!$A$54:$K$64,5,FALSE))</f>
        <v>45513.5</v>
      </c>
      <c r="U234" s="180">
        <f>IF(T234+VLOOKUP($B233,'SA Power Bonds'!$A$54:$K$64,9,FALSE)*365 &lt; VLOOKUP($B233,'SA Power Bonds'!$A$54:$K$64,5,FALSE), T234+VLOOKUP($B233,'SA Power Bonds'!$A$54:$K$64,9,FALSE)*365, VLOOKUP($B233,'SA Power Bonds'!$A$54:$K$64,5,FALSE))</f>
        <v>45696</v>
      </c>
      <c r="V234" s="180">
        <f>IF(U234+VLOOKUP($B233,'SA Power Bonds'!$A$54:$K$64,9,FALSE)*365 &lt; VLOOKUP($B233,'SA Power Bonds'!$A$54:$K$64,5,FALSE), U234+VLOOKUP($B233,'SA Power Bonds'!$A$54:$K$64,9,FALSE)*365, VLOOKUP($B233,'SA Power Bonds'!$A$54:$K$64,5,FALSE))</f>
        <v>45878.5</v>
      </c>
      <c r="W234" s="180">
        <f>IF(V234+VLOOKUP($B233,'SA Power Bonds'!$A$54:$K$64,9,FALSE)*365 &lt; VLOOKUP($B233,'SA Power Bonds'!$A$54:$K$64,5,FALSE), V234+VLOOKUP($B233,'SA Power Bonds'!$A$54:$K$64,9,FALSE)*365, VLOOKUP($B233,'SA Power Bonds'!$A$54:$K$64,5,FALSE))</f>
        <v>46061</v>
      </c>
      <c r="X234" s="180">
        <f>IF(W234+VLOOKUP($B233,'SA Power Bonds'!$A$54:$K$64,9,FALSE)*365 &lt; VLOOKUP($B233,'SA Power Bonds'!$A$54:$K$64,5,FALSE), W234+VLOOKUP($B233,'SA Power Bonds'!$A$54:$K$64,9,FALSE)*365, VLOOKUP($B233,'SA Power Bonds'!$A$54:$K$64,5,FALSE))</f>
        <v>46243.5</v>
      </c>
      <c r="Y234" s="180">
        <f>IF(X234+VLOOKUP($B233,'SA Power Bonds'!$A$54:$K$64,9,FALSE)*365 &lt; VLOOKUP($B233,'SA Power Bonds'!$A$54:$K$64,5,FALSE), X234+VLOOKUP($B233,'SA Power Bonds'!$A$54:$K$64,9,FALSE)*365, VLOOKUP($B233,'SA Power Bonds'!$A$54:$K$64,5,FALSE))</f>
        <v>46426</v>
      </c>
      <c r="Z234" s="180">
        <f>IF(Y234+VLOOKUP($B233,'SA Power Bonds'!$A$54:$K$64,9,FALSE)*365 &lt; VLOOKUP($B233,'SA Power Bonds'!$A$54:$K$64,5,FALSE), Y234+VLOOKUP($B233,'SA Power Bonds'!$A$54:$K$64,9,FALSE)*365, VLOOKUP($B233,'SA Power Bonds'!$A$54:$K$64,5,FALSE))</f>
        <v>46608.5</v>
      </c>
      <c r="AA234" s="180">
        <f>IF(Z234+VLOOKUP($B233,'SA Power Bonds'!$A$54:$K$64,9,FALSE)*365 &lt; VLOOKUP($B233,'SA Power Bonds'!$A$54:$K$64,5,FALSE), Z234+VLOOKUP($B233,'SA Power Bonds'!$A$54:$K$64,9,FALSE)*365, VLOOKUP($B233,'SA Power Bonds'!$A$54:$K$64,5,FALSE))</f>
        <v>46791</v>
      </c>
      <c r="AB234" s="180">
        <f>IF(AA234+VLOOKUP($B233,'SA Power Bonds'!$A$54:$K$64,9,FALSE)*365 &lt; VLOOKUP($B233,'SA Power Bonds'!$A$54:$K$64,5,FALSE), AA234+VLOOKUP($B233,'SA Power Bonds'!$A$54:$K$64,9,FALSE)*365, VLOOKUP($B233,'SA Power Bonds'!$A$54:$K$64,5,FALSE))</f>
        <v>46973.5</v>
      </c>
      <c r="AC234" s="180">
        <f>IF(AB234+VLOOKUP($B233,'SA Power Bonds'!$A$54:$K$64,9,FALSE)*365 &lt; VLOOKUP($B233,'SA Power Bonds'!$A$54:$K$64,5,FALSE), AB234+VLOOKUP($B233,'SA Power Bonds'!$A$54:$K$64,9,FALSE)*365, VLOOKUP($B233,'SA Power Bonds'!$A$54:$K$64,5,FALSE))</f>
        <v>46975</v>
      </c>
      <c r="AD234" s="27"/>
      <c r="AE234" s="27"/>
      <c r="AF234" s="27"/>
      <c r="AG234" s="27"/>
      <c r="AH234" s="27"/>
      <c r="AI234" s="27"/>
      <c r="AJ234" s="27"/>
    </row>
    <row r="235" spans="2:36">
      <c r="B235" t="s">
        <v>209</v>
      </c>
      <c r="E235" s="182">
        <f>IF(E234&lt;VLOOKUP($B233,'SA Power Bonds'!$A$54:$K$64,5,FALSE),(VLOOKUP($B233,'SA Power Bonds'!$A$54:$K$64,8,FALSE)/100)*(VLOOKUP($B233,'SA Power Bonds'!$A$54:$K$64,9,FALSE))*(VLOOKUP($B233,'SA Power Bonds'!$A$54:$K$64,6,FALSE)),(VLOOKUP($B233,'SA Power Bonds'!$A$54:$K$64,6,FALSE)))</f>
        <v>4.4240000000000004</v>
      </c>
      <c r="F235" s="182">
        <f>IF(F234&lt;VLOOKUP($B233,'SA Power Bonds'!$A$54:$K$64,5,FALSE),(VLOOKUP($B233,'SA Power Bonds'!$A$54:$K$64,8,FALSE)/100)*(VLOOKUP($B233,'SA Power Bonds'!$A$54:$K$64,9,FALSE))*(VLOOKUP($B233,'SA Power Bonds'!$A$54:$K$64,6,FALSE)),(VLOOKUP($B233,'SA Power Bonds'!$A$54:$K$64,6,FALSE)))</f>
        <v>4.4240000000000004</v>
      </c>
      <c r="G235" s="182">
        <f>IF(G234&lt;VLOOKUP($B233,'SA Power Bonds'!$A$54:$K$64,5,FALSE),(VLOOKUP($B233,'SA Power Bonds'!$A$54:$K$64,8,FALSE)/100)*(VLOOKUP($B233,'SA Power Bonds'!$A$54:$K$64,9,FALSE))*(VLOOKUP($B233,'SA Power Bonds'!$A$54:$K$64,6,FALSE)),(VLOOKUP($B233,'SA Power Bonds'!$A$54:$K$64,6,FALSE)))</f>
        <v>4.4240000000000004</v>
      </c>
      <c r="H235" s="182">
        <f>IF(H234&lt;VLOOKUP($B233,'SA Power Bonds'!$A$54:$K$64,5,FALSE),(VLOOKUP($B233,'SA Power Bonds'!$A$54:$K$64,8,FALSE)/100)*(VLOOKUP($B233,'SA Power Bonds'!$A$54:$K$64,9,FALSE))*(VLOOKUP($B233,'SA Power Bonds'!$A$54:$K$64,6,FALSE)),(VLOOKUP($B233,'SA Power Bonds'!$A$54:$K$64,6,FALSE)))</f>
        <v>4.4240000000000004</v>
      </c>
      <c r="I235" s="182">
        <f>IF(I234&lt;VLOOKUP($B233,'SA Power Bonds'!$A$54:$K$64,5,FALSE),(VLOOKUP($B233,'SA Power Bonds'!$A$54:$K$64,8,FALSE)/100)*(VLOOKUP($B233,'SA Power Bonds'!$A$54:$K$64,9,FALSE))*(VLOOKUP($B233,'SA Power Bonds'!$A$54:$K$64,6,FALSE)),(VLOOKUP($B233,'SA Power Bonds'!$A$54:$K$64,6,FALSE)))</f>
        <v>4.4240000000000004</v>
      </c>
      <c r="J235" s="182">
        <f>IF(J234&lt;VLOOKUP($B233,'SA Power Bonds'!$A$54:$K$64,5,FALSE),(VLOOKUP($B233,'SA Power Bonds'!$A$54:$K$64,8,FALSE)/100)*(VLOOKUP($B233,'SA Power Bonds'!$A$54:$K$64,9,FALSE))*(VLOOKUP($B233,'SA Power Bonds'!$A$54:$K$64,6,FALSE)),(VLOOKUP($B233,'SA Power Bonds'!$A$54:$K$64,6,FALSE)))</f>
        <v>4.4240000000000004</v>
      </c>
      <c r="K235" s="182">
        <f>IF(K234&lt;VLOOKUP($B233,'SA Power Bonds'!$A$54:$K$64,5,FALSE),(VLOOKUP($B233,'SA Power Bonds'!$A$54:$K$64,8,FALSE)/100)*(VLOOKUP($B233,'SA Power Bonds'!$A$54:$K$64,9,FALSE))*(VLOOKUP($B233,'SA Power Bonds'!$A$54:$K$64,6,FALSE)),(VLOOKUP($B233,'SA Power Bonds'!$A$54:$K$64,6,FALSE)))</f>
        <v>4.4240000000000004</v>
      </c>
      <c r="L235" s="182">
        <f>IF(L234&lt;VLOOKUP($B233,'SA Power Bonds'!$A$54:$K$64,5,FALSE),(VLOOKUP($B233,'SA Power Bonds'!$A$54:$K$64,8,FALSE)/100)*(VLOOKUP($B233,'SA Power Bonds'!$A$54:$K$64,9,FALSE))*(VLOOKUP($B233,'SA Power Bonds'!$A$54:$K$64,6,FALSE)),(VLOOKUP($B233,'SA Power Bonds'!$A$54:$K$64,6,FALSE)))</f>
        <v>4.4240000000000004</v>
      </c>
      <c r="M235" s="182">
        <f>IF(M234&lt;VLOOKUP($B233,'SA Power Bonds'!$A$54:$K$64,5,FALSE),(VLOOKUP($B233,'SA Power Bonds'!$A$54:$K$64,8,FALSE)/100)*(VLOOKUP($B233,'SA Power Bonds'!$A$54:$K$64,9,FALSE))*(VLOOKUP($B233,'SA Power Bonds'!$A$54:$K$64,6,FALSE)),(VLOOKUP($B233,'SA Power Bonds'!$A$54:$K$64,6,FALSE)))</f>
        <v>4.4240000000000004</v>
      </c>
      <c r="N235" s="182">
        <f>IF(N234&lt;VLOOKUP($B233,'SA Power Bonds'!$A$54:$K$64,5,FALSE),(VLOOKUP($B233,'SA Power Bonds'!$A$54:$K$64,8,FALSE)/100)*(VLOOKUP($B233,'SA Power Bonds'!$A$54:$K$64,9,FALSE))*(VLOOKUP($B233,'SA Power Bonds'!$A$54:$K$64,6,FALSE)),(VLOOKUP($B233,'SA Power Bonds'!$A$54:$K$64,6,FALSE)))</f>
        <v>4.4240000000000004</v>
      </c>
      <c r="O235" s="182">
        <f>IF(O234&lt;VLOOKUP($B233,'SA Power Bonds'!$A$54:$K$64,5,FALSE),(VLOOKUP($B233,'SA Power Bonds'!$A$54:$K$64,8,FALSE)/100)*(VLOOKUP($B233,'SA Power Bonds'!$A$54:$K$64,9,FALSE))*(VLOOKUP($B233,'SA Power Bonds'!$A$54:$K$64,6,FALSE)),(VLOOKUP($B233,'SA Power Bonds'!$A$54:$K$64,6,FALSE)))</f>
        <v>4.4240000000000004</v>
      </c>
      <c r="P235" s="182">
        <f>IF(P234&lt;VLOOKUP($B233,'SA Power Bonds'!$A$54:$K$64,5,FALSE),(VLOOKUP($B233,'SA Power Bonds'!$A$54:$K$64,8,FALSE)/100)*(VLOOKUP($B233,'SA Power Bonds'!$A$54:$K$64,9,FALSE))*(VLOOKUP($B233,'SA Power Bonds'!$A$54:$K$64,6,FALSE)),(VLOOKUP($B233,'SA Power Bonds'!$A$54:$K$64,6,FALSE)))</f>
        <v>4.4240000000000004</v>
      </c>
      <c r="Q235" s="182">
        <f>IF(Q234&lt;VLOOKUP($B233,'SA Power Bonds'!$A$54:$K$64,5,FALSE),(VLOOKUP($B233,'SA Power Bonds'!$A$54:$K$64,8,FALSE)/100)*(VLOOKUP($B233,'SA Power Bonds'!$A$54:$K$64,9,FALSE))*(VLOOKUP($B233,'SA Power Bonds'!$A$54:$K$64,6,FALSE)),(VLOOKUP($B233,'SA Power Bonds'!$A$54:$K$64,6,FALSE)))</f>
        <v>4.4240000000000004</v>
      </c>
      <c r="R235" s="182">
        <f>IF(R234&lt;VLOOKUP($B233,'SA Power Bonds'!$A$54:$K$64,5,FALSE),(VLOOKUP($B233,'SA Power Bonds'!$A$54:$K$64,8,FALSE)/100)*(VLOOKUP($B233,'SA Power Bonds'!$A$54:$K$64,9,FALSE))*(VLOOKUP($B233,'SA Power Bonds'!$A$54:$K$64,6,FALSE)),(VLOOKUP($B233,'SA Power Bonds'!$A$54:$K$64,6,FALSE)))</f>
        <v>4.4240000000000004</v>
      </c>
      <c r="S235" s="182">
        <f>IF(S234&lt;VLOOKUP($B233,'SA Power Bonds'!$A$54:$K$64,5,FALSE),(VLOOKUP($B233,'SA Power Bonds'!$A$54:$K$64,8,FALSE)/100)*(VLOOKUP($B233,'SA Power Bonds'!$A$54:$K$64,9,FALSE))*(VLOOKUP($B233,'SA Power Bonds'!$A$54:$K$64,6,FALSE)),(VLOOKUP($B233,'SA Power Bonds'!$A$54:$K$64,6,FALSE)))</f>
        <v>4.4240000000000004</v>
      </c>
      <c r="T235" s="182">
        <f>IF(T234&lt;VLOOKUP($B233,'SA Power Bonds'!$A$54:$K$64,5,FALSE),(VLOOKUP($B233,'SA Power Bonds'!$A$54:$K$64,8,FALSE)/100)*(VLOOKUP($B233,'SA Power Bonds'!$A$54:$K$64,9,FALSE))*(VLOOKUP($B233,'SA Power Bonds'!$A$54:$K$64,6,FALSE)),(VLOOKUP($B233,'SA Power Bonds'!$A$54:$K$64,6,FALSE)))</f>
        <v>4.4240000000000004</v>
      </c>
      <c r="U235" s="182">
        <f>IF(U234&lt;VLOOKUP($B233,'SA Power Bonds'!$A$54:$K$64,5,FALSE),(VLOOKUP($B233,'SA Power Bonds'!$A$54:$K$64,8,FALSE)/100)*(VLOOKUP($B233,'SA Power Bonds'!$A$54:$K$64,9,FALSE))*(VLOOKUP($B233,'SA Power Bonds'!$A$54:$K$64,6,FALSE)),(VLOOKUP($B233,'SA Power Bonds'!$A$54:$K$64,6,FALSE)))</f>
        <v>4.4240000000000004</v>
      </c>
      <c r="V235" s="182">
        <f>IF(V234&lt;VLOOKUP($B233,'SA Power Bonds'!$A$54:$K$64,5,FALSE),(VLOOKUP($B233,'SA Power Bonds'!$A$54:$K$64,8,FALSE)/100)*(VLOOKUP($B233,'SA Power Bonds'!$A$54:$K$64,9,FALSE))*(VLOOKUP($B233,'SA Power Bonds'!$A$54:$K$64,6,FALSE)),(VLOOKUP($B233,'SA Power Bonds'!$A$54:$K$64,6,FALSE)))</f>
        <v>4.4240000000000004</v>
      </c>
      <c r="W235" s="182">
        <f>IF(W234&lt;VLOOKUP($B233,'SA Power Bonds'!$A$54:$K$64,5,FALSE),(VLOOKUP($B233,'SA Power Bonds'!$A$54:$K$64,8,FALSE)/100)*(VLOOKUP($B233,'SA Power Bonds'!$A$54:$K$64,9,FALSE))*(VLOOKUP($B233,'SA Power Bonds'!$A$54:$K$64,6,FALSE)),(VLOOKUP($B233,'SA Power Bonds'!$A$54:$K$64,6,FALSE)))</f>
        <v>4.4240000000000004</v>
      </c>
      <c r="X235" s="182">
        <f>IF(X234&lt;VLOOKUP($B233,'SA Power Bonds'!$A$54:$K$64,5,FALSE),(VLOOKUP($B233,'SA Power Bonds'!$A$54:$K$64,8,FALSE)/100)*(VLOOKUP($B233,'SA Power Bonds'!$A$54:$K$64,9,FALSE))*(VLOOKUP($B233,'SA Power Bonds'!$A$54:$K$64,6,FALSE)),(VLOOKUP($B233,'SA Power Bonds'!$A$54:$K$64,6,FALSE)))</f>
        <v>4.4240000000000004</v>
      </c>
      <c r="Y235" s="182">
        <f>IF(Y234&lt;VLOOKUP($B233,'SA Power Bonds'!$A$54:$K$64,5,FALSE),(VLOOKUP($B233,'SA Power Bonds'!$A$54:$K$64,8,FALSE)/100)*(VLOOKUP($B233,'SA Power Bonds'!$A$54:$K$64,9,FALSE))*(VLOOKUP($B233,'SA Power Bonds'!$A$54:$K$64,6,FALSE)),(VLOOKUP($B233,'SA Power Bonds'!$A$54:$K$64,6,FALSE)))</f>
        <v>4.4240000000000004</v>
      </c>
      <c r="Z235" s="182">
        <f>IF(Z234&lt;VLOOKUP($B233,'SA Power Bonds'!$A$54:$K$64,5,FALSE),(VLOOKUP($B233,'SA Power Bonds'!$A$54:$K$64,8,FALSE)/100)*(VLOOKUP($B233,'SA Power Bonds'!$A$54:$K$64,9,FALSE))*(VLOOKUP($B233,'SA Power Bonds'!$A$54:$K$64,6,FALSE)),(VLOOKUP($B233,'SA Power Bonds'!$A$54:$K$64,6,FALSE)))</f>
        <v>4.4240000000000004</v>
      </c>
      <c r="AA235" s="182">
        <f>IF(AA234&lt;VLOOKUP($B233,'SA Power Bonds'!$A$54:$K$64,5,FALSE),(VLOOKUP($B233,'SA Power Bonds'!$A$54:$K$64,8,FALSE)/100)*(VLOOKUP($B233,'SA Power Bonds'!$A$54:$K$64,9,FALSE))*(VLOOKUP($B233,'SA Power Bonds'!$A$54:$K$64,6,FALSE)),(VLOOKUP($B233,'SA Power Bonds'!$A$54:$K$64,6,FALSE)))</f>
        <v>4.4240000000000004</v>
      </c>
      <c r="AB235" s="182">
        <f>IF(AB234&lt;VLOOKUP($B233,'SA Power Bonds'!$A$54:$K$64,5,FALSE),(VLOOKUP($B233,'SA Power Bonds'!$A$54:$K$64,8,FALSE)/100)*(VLOOKUP($B233,'SA Power Bonds'!$A$54:$K$64,9,FALSE))*(VLOOKUP($B233,'SA Power Bonds'!$A$54:$K$64,6,FALSE)),(VLOOKUP($B233,'SA Power Bonds'!$A$54:$K$64,6,FALSE)))</f>
        <v>4.4240000000000004</v>
      </c>
      <c r="AC235" s="182">
        <f>IF(AC234&lt;VLOOKUP($B233,'SA Power Bonds'!$A$54:$K$64,5,FALSE),(VLOOKUP($B233,'SA Power Bonds'!$A$54:$K$64,8,FALSE)/100)*(VLOOKUP($B233,'SA Power Bonds'!$A$54:$K$64,9,FALSE))*(VLOOKUP($B233,'SA Power Bonds'!$A$54:$K$64,6,FALSE)),(VLOOKUP($B233,'SA Power Bonds'!$A$54:$K$64,6,FALSE)))</f>
        <v>280</v>
      </c>
    </row>
    <row r="236" spans="2:36">
      <c r="B236" s="135">
        <v>42551</v>
      </c>
    </row>
    <row r="237" spans="2:36">
      <c r="B237" t="s">
        <v>210</v>
      </c>
      <c r="E237" s="182">
        <f>(E$234-$B236)/365</f>
        <v>0.61643835616438358</v>
      </c>
      <c r="F237" s="182">
        <f>(F$234-$B236)/365</f>
        <v>1.1164383561643836</v>
      </c>
      <c r="G237" s="182">
        <f t="shared" ref="G237:Y237" si="1116">(G$234-$B236)/365</f>
        <v>1.6164383561643836</v>
      </c>
      <c r="H237" s="182">
        <f t="shared" si="1116"/>
        <v>2.1164383561643834</v>
      </c>
      <c r="I237" s="182">
        <f t="shared" si="1116"/>
        <v>2.6164383561643834</v>
      </c>
      <c r="J237" s="182">
        <f t="shared" si="1116"/>
        <v>3.1164383561643834</v>
      </c>
      <c r="K237" s="182">
        <f t="shared" si="1116"/>
        <v>3.6164383561643834</v>
      </c>
      <c r="L237" s="182">
        <f t="shared" si="1116"/>
        <v>4.1164383561643838</v>
      </c>
      <c r="M237" s="182">
        <f t="shared" si="1116"/>
        <v>4.6164383561643838</v>
      </c>
      <c r="N237" s="182">
        <f t="shared" si="1116"/>
        <v>5.1164383561643838</v>
      </c>
      <c r="O237" s="182">
        <f t="shared" si="1116"/>
        <v>5.6164383561643838</v>
      </c>
      <c r="P237" s="182">
        <f t="shared" si="1116"/>
        <v>6.1164383561643838</v>
      </c>
      <c r="Q237" s="182">
        <f t="shared" si="1116"/>
        <v>6.6164383561643838</v>
      </c>
      <c r="R237" s="182">
        <f t="shared" si="1116"/>
        <v>7.1164383561643838</v>
      </c>
      <c r="S237" s="182">
        <f t="shared" si="1116"/>
        <v>7.6164383561643838</v>
      </c>
      <c r="T237" s="182">
        <f t="shared" si="1116"/>
        <v>8.1164383561643838</v>
      </c>
      <c r="U237" s="182">
        <f t="shared" si="1116"/>
        <v>8.6164383561643838</v>
      </c>
      <c r="V237" s="182">
        <f t="shared" si="1116"/>
        <v>9.1164383561643838</v>
      </c>
      <c r="W237" s="182">
        <f t="shared" si="1116"/>
        <v>9.6164383561643838</v>
      </c>
      <c r="X237" s="182">
        <f t="shared" si="1116"/>
        <v>10.116438356164384</v>
      </c>
      <c r="Y237" s="182">
        <f t="shared" si="1116"/>
        <v>10.616438356164384</v>
      </c>
      <c r="Z237" s="182">
        <f t="shared" ref="Z237" si="1117">(Z$234-$B236)/365</f>
        <v>11.116438356164384</v>
      </c>
      <c r="AA237" s="182">
        <f t="shared" ref="AA237" si="1118">(AA$234-$B236)/365</f>
        <v>11.616438356164384</v>
      </c>
      <c r="AB237" s="182">
        <f t="shared" ref="AB237" si="1119">(AB$234-$B236)/365</f>
        <v>12.116438356164384</v>
      </c>
      <c r="AC237" s="182">
        <f t="shared" ref="AC237" si="1120">(AC$234-$B236)/365</f>
        <v>12.12054794520548</v>
      </c>
    </row>
    <row r="238" spans="2:36">
      <c r="B238" t="s">
        <v>211</v>
      </c>
      <c r="E238" s="183">
        <f>1+((INDEX('Yield Curve'!$B$48:$P$91,MATCH(ROUND(E237,0),'Yield Curve'!$B$48:$B$91,0),MATCH(YEAR($B236),'Yield Curve'!$B$48:$P$48,0)))/100)</f>
        <v>1.0406</v>
      </c>
      <c r="F238" s="183">
        <f>1+((INDEX('Yield Curve'!$B$48:$P$91,MATCH(ROUND(F237,0),'Yield Curve'!$B$48:$B$91,0),MATCH(YEAR($B236),'Yield Curve'!$B$48:$P$48,0)))/100)</f>
        <v>1.0406</v>
      </c>
      <c r="G238" s="183">
        <f>1+((INDEX('Yield Curve'!$B$48:$P$91,MATCH(ROUND(G237,0),'Yield Curve'!$B$48:$B$91,0),MATCH(YEAR($B236),'Yield Curve'!$B$48:$P$48,0)))/100)</f>
        <v>1.0406</v>
      </c>
      <c r="H238" s="183">
        <f>1+((INDEX('Yield Curve'!$B$48:$P$91,MATCH(ROUND(H237,0),'Yield Curve'!$B$48:$B$91,0),MATCH(YEAR($B236),'Yield Curve'!$B$48:$P$48,0)))/100)</f>
        <v>1.0406</v>
      </c>
      <c r="I238" s="183">
        <f>1+((INDEX('Yield Curve'!$B$48:$P$91,MATCH(ROUND(I237,0),'Yield Curve'!$B$48:$B$91,0),MATCH(YEAR($B236),'Yield Curve'!$B$48:$P$48,0)))/100)</f>
        <v>1.0406</v>
      </c>
      <c r="J238" s="183">
        <f>1+((INDEX('Yield Curve'!$B$48:$P$91,MATCH(ROUND(J237,0),'Yield Curve'!$B$48:$B$91,0),MATCH(YEAR($B236),'Yield Curve'!$B$48:$P$48,0)))/100)</f>
        <v>1.0406</v>
      </c>
      <c r="K238" s="183">
        <f>1+((INDEX('Yield Curve'!$B$48:$P$91,MATCH(ROUND(K237,0),'Yield Curve'!$B$48:$B$91,0),MATCH(YEAR($B236),'Yield Curve'!$B$48:$P$48,0)))/100)</f>
        <v>1.042025</v>
      </c>
      <c r="L238" s="183">
        <f>1+((INDEX('Yield Curve'!$B$48:$P$91,MATCH(ROUND(L237,0),'Yield Curve'!$B$48:$B$91,0),MATCH(YEAR($B236),'Yield Curve'!$B$48:$P$48,0)))/100)</f>
        <v>1.042025</v>
      </c>
      <c r="M238" s="183">
        <f>1+((INDEX('Yield Curve'!$B$48:$P$91,MATCH(ROUND(M237,0),'Yield Curve'!$B$48:$B$91,0),MATCH(YEAR($B236),'Yield Curve'!$B$48:$P$48,0)))/100)</f>
        <v>1.04345</v>
      </c>
      <c r="N238" s="183">
        <f>1+((INDEX('Yield Curve'!$B$48:$P$91,MATCH(ROUND(N237,0),'Yield Curve'!$B$48:$B$91,0),MATCH(YEAR($B236),'Yield Curve'!$B$48:$P$48,0)))/100)</f>
        <v>1.04345</v>
      </c>
      <c r="O238" s="183">
        <f>1+((INDEX('Yield Curve'!$B$48:$P$91,MATCH(ROUND(O237,0),'Yield Curve'!$B$48:$B$91,0),MATCH(YEAR($B236),'Yield Curve'!$B$48:$P$48,0)))/100)</f>
        <v>1.0443500000000001</v>
      </c>
      <c r="P238" s="183">
        <f>1+((INDEX('Yield Curve'!$B$48:$P$91,MATCH(ROUND(P237,0),'Yield Curve'!$B$48:$B$91,0),MATCH(YEAR($B236),'Yield Curve'!$B$48:$P$48,0)))/100)</f>
        <v>1.0443500000000001</v>
      </c>
      <c r="Q238" s="183">
        <f>1+((INDEX('Yield Curve'!$B$48:$P$91,MATCH(ROUND(Q237,0),'Yield Curve'!$B$48:$B$91,0),MATCH(YEAR($B236),'Yield Curve'!$B$48:$P$48,0)))/100)</f>
        <v>1.04525</v>
      </c>
      <c r="R238" s="183">
        <f>1+((INDEX('Yield Curve'!$B$48:$P$91,MATCH(ROUND(R237,0),'Yield Curve'!$B$48:$B$91,0),MATCH(YEAR($B236),'Yield Curve'!$B$48:$P$48,0)))/100)</f>
        <v>1.04525</v>
      </c>
      <c r="S238" s="183">
        <f>1+((INDEX('Yield Curve'!$B$48:$P$91,MATCH(ROUND(S237,0),'Yield Curve'!$B$48:$B$91,0),MATCH(YEAR($B236),'Yield Curve'!$B$48:$P$48,0)))/100)</f>
        <v>1.0457375</v>
      </c>
      <c r="T238" s="183">
        <f>1+((INDEX('Yield Curve'!$B$48:$P$91,MATCH(ROUND(T237,0),'Yield Curve'!$B$48:$B$91,0),MATCH(YEAR($B236),'Yield Curve'!$B$48:$P$48,0)))/100)</f>
        <v>1.0457375</v>
      </c>
      <c r="U238" s="183">
        <f>1+((INDEX('Yield Curve'!$B$48:$P$91,MATCH(ROUND(U237,0),'Yield Curve'!$B$48:$B$91,0),MATCH(YEAR($B236),'Yield Curve'!$B$48:$P$48,0)))/100)</f>
        <v>1.0467124999999999</v>
      </c>
      <c r="V238" s="183">
        <f>1+((INDEX('Yield Curve'!$B$48:$P$91,MATCH(ROUND(V237,0),'Yield Curve'!$B$48:$B$91,0),MATCH(YEAR($B236),'Yield Curve'!$B$48:$P$48,0)))/100)</f>
        <v>1.0467124999999999</v>
      </c>
      <c r="W238" s="183">
        <f>1+((INDEX('Yield Curve'!$B$48:$P$91,MATCH(ROUND(W237,0),'Yield Curve'!$B$48:$B$91,0),MATCH(YEAR($B236),'Yield Curve'!$B$48:$P$48,0)))/100)</f>
        <v>1.0471999999999999</v>
      </c>
      <c r="X238" s="183">
        <f>1+((INDEX('Yield Curve'!$B$48:$P$91,MATCH(ROUND(X237,0),'Yield Curve'!$B$48:$B$91,0),MATCH(YEAR($B236),'Yield Curve'!$B$48:$P$48,0)))/100)</f>
        <v>1.0471999999999999</v>
      </c>
      <c r="Y238" s="183">
        <f>1+((INDEX('Yield Curve'!$B$48:$P$91,MATCH(ROUND(Y237,0),'Yield Curve'!$B$48:$B$91,0),MATCH(YEAR($B236),'Yield Curve'!$B$48:$P$48,0)))/100)</f>
        <v>1.0471999999999999</v>
      </c>
      <c r="Z238" s="183">
        <f>1+((INDEX('Yield Curve'!$B$48:$P$91,MATCH(ROUND(Z237,0),'Yield Curve'!$B$48:$B$91,0),MATCH(YEAR($B236),'Yield Curve'!$B$48:$P$48,0)))/100)</f>
        <v>1.0471999999999999</v>
      </c>
      <c r="AA238" s="183">
        <f>1+((INDEX('Yield Curve'!$B$48:$P$91,MATCH(ROUND(AA237,0),'Yield Curve'!$B$48:$B$91,0),MATCH(YEAR($B236),'Yield Curve'!$B$48:$P$48,0)))/100)</f>
        <v>1.0471999999999999</v>
      </c>
      <c r="AB238" s="183">
        <f>1+((INDEX('Yield Curve'!$B$48:$P$91,MATCH(ROUND(AB237,0),'Yield Curve'!$B$48:$B$91,0),MATCH(YEAR($B236),'Yield Curve'!$B$48:$P$48,0)))/100)</f>
        <v>1.0471999999999999</v>
      </c>
      <c r="AC238" s="183">
        <f>1+((INDEX('Yield Curve'!$B$48:$P$91,MATCH(ROUND(AC237,0),'Yield Curve'!$B$48:$B$91,0),MATCH(YEAR($B236),'Yield Curve'!$B$48:$P$48,0)))/100)</f>
        <v>1.0471999999999999</v>
      </c>
    </row>
    <row r="239" spans="2:36">
      <c r="B239" t="s">
        <v>212</v>
      </c>
      <c r="C239" s="182">
        <f>SUM(D239:AM239)</f>
        <v>241.10771436324544</v>
      </c>
      <c r="E239" s="182">
        <f>E$235/(E238^E237)</f>
        <v>4.3167878710180165</v>
      </c>
      <c r="F239" s="182">
        <f>F$235/(F238^F237)</f>
        <v>4.231738249662178</v>
      </c>
      <c r="G239" s="182">
        <f t="shared" ref="G239:AC239" si="1121">G$235/(G238^G237)</f>
        <v>4.1483642812012453</v>
      </c>
      <c r="H239" s="182">
        <f t="shared" si="1121"/>
        <v>4.0666329518183524</v>
      </c>
      <c r="I239" s="182">
        <f t="shared" si="1121"/>
        <v>3.9865118981368881</v>
      </c>
      <c r="J239" s="182">
        <f t="shared" si="1121"/>
        <v>3.9079693944054896</v>
      </c>
      <c r="K239" s="182">
        <f t="shared" si="1121"/>
        <v>3.8120617960847372</v>
      </c>
      <c r="L239" s="182">
        <f t="shared" si="1121"/>
        <v>3.7344002457335566</v>
      </c>
      <c r="M239" s="182">
        <f t="shared" si="1121"/>
        <v>3.6353138850417017</v>
      </c>
      <c r="N239" s="182">
        <f t="shared" si="1121"/>
        <v>3.5588205815880127</v>
      </c>
      <c r="O239" s="182">
        <f t="shared" si="1121"/>
        <v>3.4671076148749926</v>
      </c>
      <c r="P239" s="182">
        <f t="shared" si="1121"/>
        <v>3.3926908406252392</v>
      </c>
      <c r="Q239" s="182">
        <f t="shared" si="1121"/>
        <v>3.301003669652919</v>
      </c>
      <c r="R239" s="182">
        <f t="shared" si="1121"/>
        <v>3.2287611504893619</v>
      </c>
      <c r="S239" s="182">
        <f t="shared" si="1121"/>
        <v>3.1469037347650781</v>
      </c>
      <c r="T239" s="182">
        <f t="shared" si="1121"/>
        <v>3.0773161554891044</v>
      </c>
      <c r="U239" s="182">
        <f t="shared" si="1121"/>
        <v>2.9852001654406788</v>
      </c>
      <c r="V239" s="182">
        <f t="shared" si="1121"/>
        <v>2.9178284311485219</v>
      </c>
      <c r="W239" s="182">
        <f t="shared" si="1121"/>
        <v>2.8392352745872267</v>
      </c>
      <c r="X239" s="182">
        <f t="shared" si="1121"/>
        <v>2.7745117300876232</v>
      </c>
      <c r="Y239" s="182">
        <f t="shared" si="1121"/>
        <v>2.7112636311948308</v>
      </c>
      <c r="Z239" s="182">
        <f t="shared" si="1121"/>
        <v>2.6494573434755764</v>
      </c>
      <c r="AA239" s="182">
        <f t="shared" si="1121"/>
        <v>2.5890599992311221</v>
      </c>
      <c r="AB239" s="182">
        <f t="shared" si="1121"/>
        <v>2.5300394800186941</v>
      </c>
      <c r="AC239" s="182">
        <f t="shared" si="1121"/>
        <v>160.09873398747428</v>
      </c>
      <c r="AD239" s="27"/>
      <c r="AE239" s="27"/>
      <c r="AF239" s="27"/>
      <c r="AG239" s="27"/>
      <c r="AH239" s="27"/>
      <c r="AI239" s="27"/>
    </row>
    <row r="240" spans="2:36">
      <c r="B240" s="135">
        <v>42916</v>
      </c>
    </row>
    <row r="241" spans="2:35">
      <c r="B241" t="s">
        <v>210</v>
      </c>
      <c r="G241" s="182">
        <f t="shared" ref="G241" si="1122">(G$234-$B240)/365</f>
        <v>0.61643835616438358</v>
      </c>
      <c r="H241" s="182">
        <f t="shared" ref="H241" si="1123">(H$234-$B240)/365</f>
        <v>1.1164383561643836</v>
      </c>
      <c r="I241" s="182">
        <f t="shared" ref="I241" si="1124">(I$234-$B240)/365</f>
        <v>1.6164383561643836</v>
      </c>
      <c r="J241" s="182">
        <f t="shared" ref="J241" si="1125">(J$234-$B240)/365</f>
        <v>2.1164383561643834</v>
      </c>
      <c r="K241" s="182">
        <f t="shared" ref="K241" si="1126">(K$234-$B240)/365</f>
        <v>2.6164383561643834</v>
      </c>
      <c r="L241" s="182">
        <f t="shared" ref="L241" si="1127">(L$234-$B240)/365</f>
        <v>3.1164383561643834</v>
      </c>
      <c r="M241" s="182">
        <f t="shared" ref="M241" si="1128">(M$234-$B240)/365</f>
        <v>3.6164383561643834</v>
      </c>
      <c r="N241" s="182">
        <f t="shared" ref="N241" si="1129">(N$234-$B240)/365</f>
        <v>4.1164383561643838</v>
      </c>
      <c r="O241" s="182">
        <f t="shared" ref="O241" si="1130">(O$234-$B240)/365</f>
        <v>4.6164383561643838</v>
      </c>
      <c r="P241" s="182">
        <f t="shared" ref="P241" si="1131">(P$234-$B240)/365</f>
        <v>5.1164383561643838</v>
      </c>
      <c r="Q241" s="182">
        <f t="shared" ref="Q241" si="1132">(Q$234-$B240)/365</f>
        <v>5.6164383561643838</v>
      </c>
      <c r="R241" s="182">
        <f t="shared" ref="R241" si="1133">(R$234-$B240)/365</f>
        <v>6.1164383561643838</v>
      </c>
      <c r="S241" s="182">
        <f t="shared" ref="S241" si="1134">(S$234-$B240)/365</f>
        <v>6.6164383561643838</v>
      </c>
      <c r="T241" s="182">
        <f t="shared" ref="T241" si="1135">(T$234-$B240)/365</f>
        <v>7.1164383561643838</v>
      </c>
      <c r="U241" s="182">
        <f t="shared" ref="U241" si="1136">(U$234-$B240)/365</f>
        <v>7.6164383561643838</v>
      </c>
      <c r="V241" s="182">
        <f t="shared" ref="V241" si="1137">(V$234-$B240)/365</f>
        <v>8.1164383561643838</v>
      </c>
      <c r="W241" s="182">
        <f t="shared" ref="W241" si="1138">(W$234-$B240)/365</f>
        <v>8.6164383561643838</v>
      </c>
      <c r="X241" s="182">
        <f t="shared" ref="X241" si="1139">(X$234-$B240)/365</f>
        <v>9.1164383561643838</v>
      </c>
      <c r="Y241" s="182">
        <f t="shared" ref="Y241" si="1140">(Y$234-$B240)/365</f>
        <v>9.6164383561643838</v>
      </c>
      <c r="Z241" s="182">
        <f t="shared" ref="Z241" si="1141">(Z$234-$B240)/365</f>
        <v>10.116438356164384</v>
      </c>
      <c r="AA241" s="182">
        <f t="shared" ref="AA241" si="1142">(AA$234-$B240)/365</f>
        <v>10.616438356164384</v>
      </c>
      <c r="AB241" s="182">
        <f t="shared" ref="AB241" si="1143">(AB$234-$B240)/365</f>
        <v>11.116438356164384</v>
      </c>
      <c r="AC241" s="182">
        <f t="shared" ref="AC241" si="1144">(AC$234-$B240)/365</f>
        <v>11.12054794520548</v>
      </c>
    </row>
    <row r="242" spans="2:35">
      <c r="B242" t="s">
        <v>211</v>
      </c>
      <c r="G242" s="183">
        <f>1+((INDEX('Yield Curve'!$B$48:$P$91,MATCH(ROUND(G241,0),'Yield Curve'!$B$48:$B$91,0),MATCH(YEAR($B240),'Yield Curve'!$B$48:$P$48,0)))/100)</f>
        <v>1.0326500000000001</v>
      </c>
      <c r="H242" s="183">
        <f>1+((INDEX('Yield Curve'!$B$48:$P$91,MATCH(ROUND(H241,0),'Yield Curve'!$B$48:$B$91,0),MATCH(YEAR($B240),'Yield Curve'!$B$48:$P$48,0)))/100)</f>
        <v>1.0326500000000001</v>
      </c>
      <c r="I242" s="183">
        <f>1+((INDEX('Yield Curve'!$B$48:$P$91,MATCH(ROUND(I241,0),'Yield Curve'!$B$48:$B$91,0),MATCH(YEAR($B240),'Yield Curve'!$B$48:$P$48,0)))/100)</f>
        <v>1.0326500000000001</v>
      </c>
      <c r="J242" s="183">
        <f>1+((INDEX('Yield Curve'!$B$48:$P$91,MATCH(ROUND(J241,0),'Yield Curve'!$B$48:$B$91,0),MATCH(YEAR($B240),'Yield Curve'!$B$48:$P$48,0)))/100)</f>
        <v>1.0326500000000001</v>
      </c>
      <c r="K242" s="183">
        <f>1+((INDEX('Yield Curve'!$B$48:$P$91,MATCH(ROUND(K241,0),'Yield Curve'!$B$48:$B$91,0),MATCH(YEAR($B240),'Yield Curve'!$B$48:$P$48,0)))/100)</f>
        <v>1.0326500000000001</v>
      </c>
      <c r="L242" s="183">
        <f>1+((INDEX('Yield Curve'!$B$48:$P$91,MATCH(ROUND(L241,0),'Yield Curve'!$B$48:$B$91,0),MATCH(YEAR($B240),'Yield Curve'!$B$48:$P$48,0)))/100)</f>
        <v>1.0326500000000001</v>
      </c>
      <c r="M242" s="183">
        <f>1+((INDEX('Yield Curve'!$B$48:$P$91,MATCH(ROUND(M241,0),'Yield Curve'!$B$48:$B$91,0),MATCH(YEAR($B240),'Yield Curve'!$B$48:$P$48,0)))/100)</f>
        <v>1.034025</v>
      </c>
      <c r="N242" s="183">
        <f>1+((INDEX('Yield Curve'!$B$48:$P$91,MATCH(ROUND(N241,0),'Yield Curve'!$B$48:$B$91,0),MATCH(YEAR($B240),'Yield Curve'!$B$48:$P$48,0)))/100)</f>
        <v>1.034025</v>
      </c>
      <c r="O242" s="183">
        <f>1+((INDEX('Yield Curve'!$B$48:$P$91,MATCH(ROUND(O241,0),'Yield Curve'!$B$48:$B$91,0),MATCH(YEAR($B240),'Yield Curve'!$B$48:$P$48,0)))/100)</f>
        <v>1.0354000000000001</v>
      </c>
      <c r="P242" s="183">
        <f>1+((INDEX('Yield Curve'!$B$48:$P$91,MATCH(ROUND(P241,0),'Yield Curve'!$B$48:$B$91,0),MATCH(YEAR($B240),'Yield Curve'!$B$48:$P$48,0)))/100)</f>
        <v>1.0354000000000001</v>
      </c>
      <c r="Q242" s="183">
        <f>1+((INDEX('Yield Curve'!$B$48:$P$91,MATCH(ROUND(Q241,0),'Yield Curve'!$B$48:$B$91,0),MATCH(YEAR($B240),'Yield Curve'!$B$48:$P$48,0)))/100)</f>
        <v>1.0375000000000001</v>
      </c>
      <c r="R242" s="183">
        <f>1+((INDEX('Yield Curve'!$B$48:$P$91,MATCH(ROUND(R241,0),'Yield Curve'!$B$48:$B$91,0),MATCH(YEAR($B240),'Yield Curve'!$B$48:$P$48,0)))/100)</f>
        <v>1.0375000000000001</v>
      </c>
      <c r="S242" s="183">
        <f>1+((INDEX('Yield Curve'!$B$48:$P$91,MATCH(ROUND(S241,0),'Yield Curve'!$B$48:$B$91,0),MATCH(YEAR($B240),'Yield Curve'!$B$48:$P$48,0)))/100)</f>
        <v>1.0396000000000001</v>
      </c>
      <c r="T242" s="183">
        <f>1+((INDEX('Yield Curve'!$B$48:$P$91,MATCH(ROUND(T241,0),'Yield Curve'!$B$48:$B$91,0),MATCH(YEAR($B240),'Yield Curve'!$B$48:$P$48,0)))/100)</f>
        <v>1.0396000000000001</v>
      </c>
      <c r="U242" s="183">
        <f>1+((INDEX('Yield Curve'!$B$48:$P$91,MATCH(ROUND(U241,0),'Yield Curve'!$B$48:$B$91,0),MATCH(YEAR($B240),'Yield Curve'!$B$48:$P$48,0)))/100)</f>
        <v>1.0405249999999999</v>
      </c>
      <c r="V242" s="183">
        <f>1+((INDEX('Yield Curve'!$B$48:$P$91,MATCH(ROUND(V241,0),'Yield Curve'!$B$48:$B$91,0),MATCH(YEAR($B240),'Yield Curve'!$B$48:$P$48,0)))/100)</f>
        <v>1.0405249999999999</v>
      </c>
      <c r="W242" s="183">
        <f>1+((INDEX('Yield Curve'!$B$48:$P$91,MATCH(ROUND(W241,0),'Yield Curve'!$B$48:$B$91,0),MATCH(YEAR($B240),'Yield Curve'!$B$48:$P$48,0)))/100)</f>
        <v>1.0423750000000001</v>
      </c>
      <c r="X242" s="183">
        <f>1+((INDEX('Yield Curve'!$B$48:$P$91,MATCH(ROUND(X241,0),'Yield Curve'!$B$48:$B$91,0),MATCH(YEAR($B240),'Yield Curve'!$B$48:$P$48,0)))/100)</f>
        <v>1.0423750000000001</v>
      </c>
      <c r="Y242" s="183">
        <f>1+((INDEX('Yield Curve'!$B$48:$P$91,MATCH(ROUND(Y241,0),'Yield Curve'!$B$48:$B$91,0),MATCH(YEAR($B240),'Yield Curve'!$B$48:$P$48,0)))/100)</f>
        <v>1.0432999999999999</v>
      </c>
      <c r="Z242" s="183">
        <f>1+((INDEX('Yield Curve'!$B$48:$P$91,MATCH(ROUND(Z241,0),'Yield Curve'!$B$48:$B$91,0),MATCH(YEAR($B240),'Yield Curve'!$B$48:$P$48,0)))/100)</f>
        <v>1.0432999999999999</v>
      </c>
      <c r="AA242" s="183">
        <f>1+((INDEX('Yield Curve'!$B$48:$P$91,MATCH(ROUND(AA241,0),'Yield Curve'!$B$48:$B$91,0),MATCH(YEAR($B240),'Yield Curve'!$B$48:$P$48,0)))/100)</f>
        <v>1.0432999999999999</v>
      </c>
      <c r="AB242" s="183">
        <f>1+((INDEX('Yield Curve'!$B$48:$P$91,MATCH(ROUND(AB241,0),'Yield Curve'!$B$48:$B$91,0),MATCH(YEAR($B240),'Yield Curve'!$B$48:$P$48,0)))/100)</f>
        <v>1.0432999999999999</v>
      </c>
      <c r="AC242" s="183">
        <f>1+((INDEX('Yield Curve'!$B$48:$P$91,MATCH(ROUND(AC241,0),'Yield Curve'!$B$48:$B$91,0),MATCH(YEAR($B240),'Yield Curve'!$B$48:$P$48,0)))/100)</f>
        <v>1.0432999999999999</v>
      </c>
    </row>
    <row r="243" spans="2:35">
      <c r="B243" t="s">
        <v>212</v>
      </c>
      <c r="C243" s="182">
        <f>SUM(D243:AM243)</f>
        <v>252.92320057512256</v>
      </c>
      <c r="G243" s="182">
        <f t="shared" ref="G243" si="1145">G$235/(G242^G241)</f>
        <v>4.3372440691634457</v>
      </c>
      <c r="H243" s="182">
        <f t="shared" ref="H243" si="1146">H$235/(H242^H241)</f>
        <v>4.2681265437628859</v>
      </c>
      <c r="I243" s="182">
        <f t="shared" ref="I243" si="1147">I$235/(I242^I241)</f>
        <v>4.2001104625608336</v>
      </c>
      <c r="J243" s="182">
        <f t="shared" ref="J243" si="1148">J$235/(J242^J241)</f>
        <v>4.1331782731447104</v>
      </c>
      <c r="K243" s="182">
        <f t="shared" ref="K243" si="1149">K$235/(K242^K241)</f>
        <v>4.0673127028139584</v>
      </c>
      <c r="L243" s="182">
        <f t="shared" ref="L243" si="1150">L$235/(L242^L241)</f>
        <v>4.0024967541226069</v>
      </c>
      <c r="M243" s="182">
        <f t="shared" ref="M243" si="1151">M$235/(M242^M241)</f>
        <v>3.9198054424567128</v>
      </c>
      <c r="N243" s="182">
        <f t="shared" ref="N243" si="1152">N$235/(N242^N241)</f>
        <v>3.854774630401451</v>
      </c>
      <c r="O243" s="182">
        <f t="shared" ref="O243" si="1153">O$235/(O242^O241)</f>
        <v>3.767638498866988</v>
      </c>
      <c r="P243" s="182">
        <f t="shared" ref="P243" si="1154">P$235/(P242^P241)</f>
        <v>3.7026711794839415</v>
      </c>
      <c r="Q243" s="182">
        <f t="shared" ref="Q243" si="1155">Q$235/(Q242^Q241)</f>
        <v>3.597649996397664</v>
      </c>
      <c r="R243" s="182">
        <f t="shared" ref="R243" si="1156">R$235/(R242^R241)</f>
        <v>3.5320338516545733</v>
      </c>
      <c r="S243" s="182">
        <f t="shared" ref="S243" si="1157">S$235/(S242^S241)</f>
        <v>3.4215309833156544</v>
      </c>
      <c r="T243" s="182">
        <f t="shared" ref="T243" si="1158">T$235/(T242^T241)</f>
        <v>3.355732558764664</v>
      </c>
      <c r="U243" s="182">
        <f t="shared" ref="U243" si="1159">U$235/(U242^U241)</f>
        <v>3.2689807976761345</v>
      </c>
      <c r="V243" s="182">
        <f t="shared" ref="V243" si="1160">V$235/(V242^V241)</f>
        <v>3.204690625222347</v>
      </c>
      <c r="W243" s="182">
        <f t="shared" ref="W243" si="1161">W$235/(W242^W241)</f>
        <v>3.0939446978599769</v>
      </c>
      <c r="X243" s="182">
        <f t="shared" ref="X243" si="1162">X$235/(X242^X241)</f>
        <v>3.0304041585424932</v>
      </c>
      <c r="Y243" s="182">
        <f t="shared" ref="Y243" si="1163">Y$235/(Y242^Y241)</f>
        <v>2.942958312719635</v>
      </c>
      <c r="Z243" s="182">
        <f t="shared" ref="Z243" si="1164">Z$235/(Z242^Z241)</f>
        <v>2.8812404724400316</v>
      </c>
      <c r="AA243" s="182">
        <f t="shared" ref="AA243" si="1165">AA$235/(AA242^AA241)</f>
        <v>2.8208169392501055</v>
      </c>
      <c r="AB243" s="182">
        <f t="shared" ref="AB243" si="1166">AB$235/(AB242^AB241)</f>
        <v>2.7616605697690328</v>
      </c>
      <c r="AC243" s="182">
        <f t="shared" ref="AC243" si="1167">AC$235/(AC242^AC241)</f>
        <v>174.75819805473273</v>
      </c>
      <c r="AD243" s="27"/>
      <c r="AE243" s="27"/>
      <c r="AF243" s="27"/>
      <c r="AG243" s="27"/>
      <c r="AH243" s="27"/>
      <c r="AI243" s="27"/>
    </row>
    <row r="244" spans="2:35">
      <c r="B244" s="135">
        <v>43281</v>
      </c>
    </row>
    <row r="245" spans="2:35">
      <c r="B245" t="s">
        <v>210</v>
      </c>
      <c r="I245" s="182">
        <f t="shared" ref="I245" si="1168">(I$234-$B244)/365</f>
        <v>0.61643835616438358</v>
      </c>
      <c r="J245" s="182">
        <f t="shared" ref="J245" si="1169">(J$234-$B244)/365</f>
        <v>1.1164383561643836</v>
      </c>
      <c r="K245" s="182">
        <f t="shared" ref="K245" si="1170">(K$234-$B244)/365</f>
        <v>1.6164383561643836</v>
      </c>
      <c r="L245" s="182">
        <f t="shared" ref="L245" si="1171">(L$234-$B244)/365</f>
        <v>2.1164383561643834</v>
      </c>
      <c r="M245" s="182">
        <f t="shared" ref="M245" si="1172">(M$234-$B244)/365</f>
        <v>2.6164383561643834</v>
      </c>
      <c r="N245" s="182">
        <f t="shared" ref="N245" si="1173">(N$234-$B244)/365</f>
        <v>3.1164383561643834</v>
      </c>
      <c r="O245" s="182">
        <f t="shared" ref="O245" si="1174">(O$234-$B244)/365</f>
        <v>3.6164383561643834</v>
      </c>
      <c r="P245" s="182">
        <f t="shared" ref="P245" si="1175">(P$234-$B244)/365</f>
        <v>4.1164383561643838</v>
      </c>
      <c r="Q245" s="182">
        <f t="shared" ref="Q245" si="1176">(Q$234-$B244)/365</f>
        <v>4.6164383561643838</v>
      </c>
      <c r="R245" s="182">
        <f t="shared" ref="R245" si="1177">(R$234-$B244)/365</f>
        <v>5.1164383561643838</v>
      </c>
      <c r="S245" s="182">
        <f t="shared" ref="S245" si="1178">(S$234-$B244)/365</f>
        <v>5.6164383561643838</v>
      </c>
      <c r="T245" s="182">
        <f t="shared" ref="T245" si="1179">(T$234-$B244)/365</f>
        <v>6.1164383561643838</v>
      </c>
      <c r="U245" s="182">
        <f t="shared" ref="U245" si="1180">(U$234-$B244)/365</f>
        <v>6.6164383561643838</v>
      </c>
      <c r="V245" s="182">
        <f t="shared" ref="V245" si="1181">(V$234-$B244)/365</f>
        <v>7.1164383561643838</v>
      </c>
      <c r="W245" s="182">
        <f t="shared" ref="W245" si="1182">(W$234-$B244)/365</f>
        <v>7.6164383561643838</v>
      </c>
      <c r="X245" s="182">
        <f t="shared" ref="X245" si="1183">(X$234-$B244)/365</f>
        <v>8.1164383561643838</v>
      </c>
      <c r="Y245" s="182">
        <f t="shared" ref="Y245" si="1184">(Y$234-$B244)/365</f>
        <v>8.6164383561643838</v>
      </c>
      <c r="Z245" s="182">
        <f t="shared" ref="Z245" si="1185">(Z$234-$B244)/365</f>
        <v>9.1164383561643838</v>
      </c>
      <c r="AA245" s="182">
        <f t="shared" ref="AA245" si="1186">(AA$234-$B244)/365</f>
        <v>9.6164383561643838</v>
      </c>
      <c r="AB245" s="182">
        <f t="shared" ref="AB245" si="1187">(AB$234-$B244)/365</f>
        <v>10.116438356164384</v>
      </c>
      <c r="AC245" s="182">
        <f t="shared" ref="AC245" si="1188">(AC$234-$B244)/365</f>
        <v>10.12054794520548</v>
      </c>
    </row>
    <row r="246" spans="2:35">
      <c r="B246" t="s">
        <v>211</v>
      </c>
      <c r="I246" s="183">
        <f>1+((INDEX('Yield Curve'!$B$48:$P$91,MATCH(ROUND(I245,0),'Yield Curve'!$B$48:$B$91,0),MATCH(YEAR($B244),'Yield Curve'!$B$48:$P$48,0)))/100)</f>
        <v>1.03315</v>
      </c>
      <c r="J246" s="183">
        <f>1+((INDEX('Yield Curve'!$B$48:$P$91,MATCH(ROUND(J245,0),'Yield Curve'!$B$48:$B$91,0),MATCH(YEAR($B244),'Yield Curve'!$B$48:$P$48,0)))/100)</f>
        <v>1.03315</v>
      </c>
      <c r="K246" s="183">
        <f>1+((INDEX('Yield Curve'!$B$48:$P$91,MATCH(ROUND(K245,0),'Yield Curve'!$B$48:$B$91,0),MATCH(YEAR($B244),'Yield Curve'!$B$48:$P$48,0)))/100)</f>
        <v>1.03315</v>
      </c>
      <c r="L246" s="183">
        <f>1+((INDEX('Yield Curve'!$B$48:$P$91,MATCH(ROUND(L245,0),'Yield Curve'!$B$48:$B$91,0),MATCH(YEAR($B244),'Yield Curve'!$B$48:$P$48,0)))/100)</f>
        <v>1.03315</v>
      </c>
      <c r="M246" s="183">
        <f>1+((INDEX('Yield Curve'!$B$48:$P$91,MATCH(ROUND(M245,0),'Yield Curve'!$B$48:$B$91,0),MATCH(YEAR($B244),'Yield Curve'!$B$48:$P$48,0)))/100)</f>
        <v>1.03315</v>
      </c>
      <c r="N246" s="183">
        <f>1+((INDEX('Yield Curve'!$B$48:$P$91,MATCH(ROUND(N245,0),'Yield Curve'!$B$48:$B$91,0),MATCH(YEAR($B244),'Yield Curve'!$B$48:$P$48,0)))/100)</f>
        <v>1.03315</v>
      </c>
      <c r="O246" s="183">
        <f>1+((INDEX('Yield Curve'!$B$48:$P$91,MATCH(ROUND(O245,0),'Yield Curve'!$B$48:$B$91,0),MATCH(YEAR($B244),'Yield Curve'!$B$48:$P$48,0)))/100)</f>
        <v>1.0349999999999999</v>
      </c>
      <c r="P246" s="183">
        <f>1+((INDEX('Yield Curve'!$B$48:$P$91,MATCH(ROUND(P245,0),'Yield Curve'!$B$48:$B$91,0),MATCH(YEAR($B244),'Yield Curve'!$B$48:$P$48,0)))/100)</f>
        <v>1.0349999999999999</v>
      </c>
      <c r="Q246" s="183">
        <f>1+((INDEX('Yield Curve'!$B$48:$P$91,MATCH(ROUND(Q245,0),'Yield Curve'!$B$48:$B$91,0),MATCH(YEAR($B244),'Yield Curve'!$B$48:$P$48,0)))/100)</f>
        <v>1.03685</v>
      </c>
      <c r="R246" s="183">
        <f>1+((INDEX('Yield Curve'!$B$48:$P$91,MATCH(ROUND(R245,0),'Yield Curve'!$B$48:$B$91,0),MATCH(YEAR($B244),'Yield Curve'!$B$48:$P$48,0)))/100)</f>
        <v>1.03685</v>
      </c>
      <c r="S246" s="183">
        <f>1+((INDEX('Yield Curve'!$B$48:$P$91,MATCH(ROUND(S245,0),'Yield Curve'!$B$48:$B$91,0),MATCH(YEAR($B244),'Yield Curve'!$B$48:$P$48,0)))/100)</f>
        <v>1.0386</v>
      </c>
      <c r="T246" s="183">
        <f>1+((INDEX('Yield Curve'!$B$48:$P$91,MATCH(ROUND(T245,0),'Yield Curve'!$B$48:$B$91,0),MATCH(YEAR($B244),'Yield Curve'!$B$48:$P$48,0)))/100)</f>
        <v>1.0386</v>
      </c>
      <c r="U246" s="183">
        <f>1+((INDEX('Yield Curve'!$B$48:$P$91,MATCH(ROUND(U245,0),'Yield Curve'!$B$48:$B$91,0),MATCH(YEAR($B244),'Yield Curve'!$B$48:$P$48,0)))/100)</f>
        <v>1.0403500000000001</v>
      </c>
      <c r="V246" s="183">
        <f>1+((INDEX('Yield Curve'!$B$48:$P$91,MATCH(ROUND(V245,0),'Yield Curve'!$B$48:$B$91,0),MATCH(YEAR($B244),'Yield Curve'!$B$48:$P$48,0)))/100)</f>
        <v>1.0403500000000001</v>
      </c>
      <c r="W246" s="183">
        <f>1+((INDEX('Yield Curve'!$B$48:$P$91,MATCH(ROUND(W245,0),'Yield Curve'!$B$48:$B$91,0),MATCH(YEAR($B244),'Yield Curve'!$B$48:$P$48,0)))/100)</f>
        <v>1.0414874999999999</v>
      </c>
      <c r="X246" s="183">
        <f>1+((INDEX('Yield Curve'!$B$48:$P$91,MATCH(ROUND(X245,0),'Yield Curve'!$B$48:$B$91,0),MATCH(YEAR($B244),'Yield Curve'!$B$48:$P$48,0)))/100)</f>
        <v>1.0414874999999999</v>
      </c>
      <c r="Y246" s="183">
        <f>1+((INDEX('Yield Curve'!$B$48:$P$91,MATCH(ROUND(Y245,0),'Yield Curve'!$B$48:$B$91,0),MATCH(YEAR($B244),'Yield Curve'!$B$48:$P$48,0)))/100)</f>
        <v>1.0437624999999999</v>
      </c>
      <c r="Z246" s="183">
        <f>1+((INDEX('Yield Curve'!$B$48:$P$91,MATCH(ROUND(Z245,0),'Yield Curve'!$B$48:$B$91,0),MATCH(YEAR($B244),'Yield Curve'!$B$48:$P$48,0)))/100)</f>
        <v>1.0437624999999999</v>
      </c>
      <c r="AA246" s="183">
        <f>1+((INDEX('Yield Curve'!$B$48:$P$91,MATCH(ROUND(AA245,0),'Yield Curve'!$B$48:$B$91,0),MATCH(YEAR($B244),'Yield Curve'!$B$48:$P$48,0)))/100)</f>
        <v>1.0448999999999999</v>
      </c>
      <c r="AB246" s="183">
        <f>1+((INDEX('Yield Curve'!$B$48:$P$91,MATCH(ROUND(AB245,0),'Yield Curve'!$B$48:$B$91,0),MATCH(YEAR($B244),'Yield Curve'!$B$48:$P$48,0)))/100)</f>
        <v>1.0448999999999999</v>
      </c>
      <c r="AC246" s="183">
        <f>1+((INDEX('Yield Curve'!$B$48:$P$91,MATCH(ROUND(AC245,0),'Yield Curve'!$B$48:$B$91,0),MATCH(YEAR($B244),'Yield Curve'!$B$48:$P$48,0)))/100)</f>
        <v>1.0448999999999999</v>
      </c>
    </row>
    <row r="247" spans="2:35">
      <c r="B247" t="s">
        <v>212</v>
      </c>
      <c r="C247" s="182">
        <f>SUM(D247:AM247)</f>
        <v>251.71696427354848</v>
      </c>
      <c r="I247" s="182">
        <f t="shared" ref="I247" si="1189">I$235/(I246^I245)</f>
        <v>4.3359500209563748</v>
      </c>
      <c r="J247" s="182">
        <f t="shared" ref="J247" si="1190">J$235/(J246^J245)</f>
        <v>4.2658205059639842</v>
      </c>
      <c r="K247" s="182">
        <f t="shared" ref="K247" si="1191">K$235/(K246^K245)</f>
        <v>4.1968252634722685</v>
      </c>
      <c r="L247" s="182">
        <f t="shared" ref="L247" si="1192">L$235/(L246^L245)</f>
        <v>4.1289459477945929</v>
      </c>
      <c r="M247" s="182">
        <f t="shared" ref="M247" si="1193">M$235/(M246^M245)</f>
        <v>4.0621645099668671</v>
      </c>
      <c r="N247" s="182">
        <f t="shared" ref="N247" si="1194">N$235/(N246^N245)</f>
        <v>3.9964631929483554</v>
      </c>
      <c r="O247" s="182">
        <f t="shared" ref="O247" si="1195">O$235/(O246^O245)</f>
        <v>3.9064679382283067</v>
      </c>
      <c r="P247" s="182">
        <f t="shared" ref="P247" si="1196">P$235/(P246^P245)</f>
        <v>3.8398484964584632</v>
      </c>
      <c r="Q247" s="182">
        <f t="shared" ref="Q247" si="1197">Q$235/(Q246^Q245)</f>
        <v>3.743376304757656</v>
      </c>
      <c r="R247" s="182">
        <f t="shared" ref="R247" si="1198">R$235/(R246^R245)</f>
        <v>3.6762540924178753</v>
      </c>
      <c r="S247" s="182">
        <f t="shared" ref="S247" si="1199">S$235/(S246^S245)</f>
        <v>3.57630172958847</v>
      </c>
      <c r="T247" s="182">
        <f t="shared" ref="T247" si="1200">T$235/(T246^T245)</f>
        <v>3.5092151336288322</v>
      </c>
      <c r="U247" s="182">
        <f t="shared" ref="U247" si="1201">U$235/(U246^U245)</f>
        <v>3.4052437466886691</v>
      </c>
      <c r="V247" s="182">
        <f t="shared" ref="V247" si="1202">V$235/(V246^V245)</f>
        <v>3.3385544852819917</v>
      </c>
      <c r="W247" s="182">
        <f t="shared" ref="W247" si="1203">W$235/(W246^W245)</f>
        <v>3.2460413230147309</v>
      </c>
      <c r="X247" s="182">
        <f t="shared" ref="X247" si="1204">X$235/(X246^X245)</f>
        <v>3.1807315248244601</v>
      </c>
      <c r="Y247" s="182">
        <f t="shared" ref="Y247" si="1205">Y$235/(Y246^Y245)</f>
        <v>3.0586853755559784</v>
      </c>
      <c r="Z247" s="182">
        <f t="shared" ref="Z247" si="1206">Z$235/(Z246^Z245)</f>
        <v>2.9938770546466862</v>
      </c>
      <c r="AA247" s="182">
        <f t="shared" ref="AA247" si="1207">AA$235/(AA246^AA245)</f>
        <v>2.899907605602758</v>
      </c>
      <c r="AB247" s="182">
        <f t="shared" ref="AB247" si="1208">AB$235/(AB246^AB245)</f>
        <v>2.8369180884594645</v>
      </c>
      <c r="AC247" s="182">
        <f t="shared" ref="AC247" si="1209">AC$235/(AC246^AC245)</f>
        <v>179.51937193329169</v>
      </c>
      <c r="AD247" s="27"/>
      <c r="AE247" s="27"/>
      <c r="AF247" s="27"/>
      <c r="AG247" s="27"/>
      <c r="AH247" s="27"/>
      <c r="AI247" s="27"/>
    </row>
    <row r="248" spans="2:35">
      <c r="B248" s="135">
        <v>43646</v>
      </c>
    </row>
    <row r="249" spans="2:35">
      <c r="B249" t="s">
        <v>210</v>
      </c>
      <c r="K249" s="182">
        <f t="shared" ref="K249" si="1210">(K$234-$B248)/365</f>
        <v>0.61643835616438358</v>
      </c>
      <c r="L249" s="182">
        <f t="shared" ref="L249" si="1211">(L$234-$B248)/365</f>
        <v>1.1164383561643836</v>
      </c>
      <c r="M249" s="182">
        <f t="shared" ref="M249" si="1212">(M$234-$B248)/365</f>
        <v>1.6164383561643836</v>
      </c>
      <c r="N249" s="182">
        <f t="shared" ref="N249" si="1213">(N$234-$B248)/365</f>
        <v>2.1164383561643834</v>
      </c>
      <c r="O249" s="182">
        <f t="shared" ref="O249" si="1214">(O$234-$B248)/365</f>
        <v>2.6164383561643834</v>
      </c>
      <c r="P249" s="182">
        <f t="shared" ref="P249" si="1215">(P$234-$B248)/365</f>
        <v>3.1164383561643834</v>
      </c>
      <c r="Q249" s="182">
        <f t="shared" ref="Q249" si="1216">(Q$234-$B248)/365</f>
        <v>3.6164383561643834</v>
      </c>
      <c r="R249" s="182">
        <f t="shared" ref="R249" si="1217">(R$234-$B248)/365</f>
        <v>4.1164383561643838</v>
      </c>
      <c r="S249" s="182">
        <f t="shared" ref="S249" si="1218">(S$234-$B248)/365</f>
        <v>4.6164383561643838</v>
      </c>
      <c r="T249" s="182">
        <f t="shared" ref="T249" si="1219">(T$234-$B248)/365</f>
        <v>5.1164383561643838</v>
      </c>
      <c r="U249" s="182">
        <f t="shared" ref="U249" si="1220">(U$234-$B248)/365</f>
        <v>5.6164383561643838</v>
      </c>
      <c r="V249" s="182">
        <f t="shared" ref="V249" si="1221">(V$234-$B248)/365</f>
        <v>6.1164383561643838</v>
      </c>
      <c r="W249" s="182">
        <f t="shared" ref="W249" si="1222">(W$234-$B248)/365</f>
        <v>6.6164383561643838</v>
      </c>
      <c r="X249" s="182">
        <f t="shared" ref="X249" si="1223">(X$234-$B248)/365</f>
        <v>7.1164383561643838</v>
      </c>
      <c r="Y249" s="182">
        <f t="shared" ref="Y249" si="1224">(Y$234-$B248)/365</f>
        <v>7.6164383561643838</v>
      </c>
      <c r="Z249" s="182">
        <f t="shared" ref="Z249" si="1225">(Z$234-$B248)/365</f>
        <v>8.1164383561643838</v>
      </c>
      <c r="AA249" s="182">
        <f t="shared" ref="AA249" si="1226">(AA$234-$B248)/365</f>
        <v>8.6164383561643838</v>
      </c>
      <c r="AB249" s="182">
        <f t="shared" ref="AB249" si="1227">(AB$234-$B248)/365</f>
        <v>9.1164383561643838</v>
      </c>
      <c r="AC249" s="182">
        <f t="shared" ref="AC249" si="1228">(AC$234-$B248)/365</f>
        <v>9.1205479452054803</v>
      </c>
    </row>
    <row r="250" spans="2:35">
      <c r="B250" t="s">
        <v>211</v>
      </c>
      <c r="K250" s="183">
        <f>1+((INDEX('Yield Curve'!$B$48:$P$91,MATCH(ROUND(K249,0),'Yield Curve'!$B$48:$B$91,0),MATCH(YEAR($B248),'Yield Curve'!$B$48:$P$48,0)))/100)</f>
        <v>1.02305</v>
      </c>
      <c r="L250" s="183">
        <f>1+((INDEX('Yield Curve'!$B$48:$P$91,MATCH(ROUND(L249,0),'Yield Curve'!$B$48:$B$91,0),MATCH(YEAR($B248),'Yield Curve'!$B$48:$P$48,0)))/100)</f>
        <v>1.02305</v>
      </c>
      <c r="M250" s="183">
        <f>1+((INDEX('Yield Curve'!$B$48:$P$91,MATCH(ROUND(M249,0),'Yield Curve'!$B$48:$B$91,0),MATCH(YEAR($B248),'Yield Curve'!$B$48:$P$48,0)))/100)</f>
        <v>1.02305</v>
      </c>
      <c r="N250" s="183">
        <f>1+((INDEX('Yield Curve'!$B$48:$P$91,MATCH(ROUND(N249,0),'Yield Curve'!$B$48:$B$91,0),MATCH(YEAR($B248),'Yield Curve'!$B$48:$P$48,0)))/100)</f>
        <v>1.02305</v>
      </c>
      <c r="O250" s="183">
        <f>1+((INDEX('Yield Curve'!$B$48:$P$91,MATCH(ROUND(O249,0),'Yield Curve'!$B$48:$B$91,0),MATCH(YEAR($B248),'Yield Curve'!$B$48:$P$48,0)))/100)</f>
        <v>1.02305</v>
      </c>
      <c r="P250" s="183">
        <f>1+((INDEX('Yield Curve'!$B$48:$P$91,MATCH(ROUND(P249,0),'Yield Curve'!$B$48:$B$91,0),MATCH(YEAR($B248),'Yield Curve'!$B$48:$P$48,0)))/100)</f>
        <v>1.02305</v>
      </c>
      <c r="Q250" s="183">
        <f>1+((INDEX('Yield Curve'!$B$48:$P$91,MATCH(ROUND(Q249,0),'Yield Curve'!$B$48:$B$91,0),MATCH(YEAR($B248),'Yield Curve'!$B$48:$P$48,0)))/100)</f>
        <v>1.024575</v>
      </c>
      <c r="R250" s="183">
        <f>1+((INDEX('Yield Curve'!$B$48:$P$91,MATCH(ROUND(R249,0),'Yield Curve'!$B$48:$B$91,0),MATCH(YEAR($B248),'Yield Curve'!$B$48:$P$48,0)))/100)</f>
        <v>1.024575</v>
      </c>
      <c r="S250" s="183">
        <f>1+((INDEX('Yield Curve'!$B$48:$P$91,MATCH(ROUND(S249,0),'Yield Curve'!$B$48:$B$91,0),MATCH(YEAR($B248),'Yield Curve'!$B$48:$P$48,0)))/100)</f>
        <v>1.0261</v>
      </c>
      <c r="T250" s="183">
        <f>1+((INDEX('Yield Curve'!$B$48:$P$91,MATCH(ROUND(T249,0),'Yield Curve'!$B$48:$B$91,0),MATCH(YEAR($B248),'Yield Curve'!$B$48:$P$48,0)))/100)</f>
        <v>1.0261</v>
      </c>
      <c r="U250" s="183">
        <f>1+((INDEX('Yield Curve'!$B$48:$P$91,MATCH(ROUND(U249,0),'Yield Curve'!$B$48:$B$91,0),MATCH(YEAR($B248),'Yield Curve'!$B$48:$P$48,0)))/100)</f>
        <v>1.028375</v>
      </c>
      <c r="V250" s="183">
        <f>1+((INDEX('Yield Curve'!$B$48:$P$91,MATCH(ROUND(V249,0),'Yield Curve'!$B$48:$B$91,0),MATCH(YEAR($B248),'Yield Curve'!$B$48:$P$48,0)))/100)</f>
        <v>1.028375</v>
      </c>
      <c r="W250" s="183">
        <f>1+((INDEX('Yield Curve'!$B$48:$P$91,MATCH(ROUND(W249,0),'Yield Curve'!$B$48:$B$91,0),MATCH(YEAR($B248),'Yield Curve'!$B$48:$P$48,0)))/100)</f>
        <v>1.0306500000000001</v>
      </c>
      <c r="X250" s="183">
        <f>1+((INDEX('Yield Curve'!$B$48:$P$91,MATCH(ROUND(X249,0),'Yield Curve'!$B$48:$B$91,0),MATCH(YEAR($B248),'Yield Curve'!$B$48:$P$48,0)))/100)</f>
        <v>1.0306500000000001</v>
      </c>
      <c r="Y250" s="183">
        <f>1+((INDEX('Yield Curve'!$B$48:$P$91,MATCH(ROUND(Y249,0),'Yield Curve'!$B$48:$B$91,0),MATCH(YEAR($B248),'Yield Curve'!$B$48:$P$48,0)))/100)</f>
        <v>1.0318624999999999</v>
      </c>
      <c r="Z250" s="183">
        <f>1+((INDEX('Yield Curve'!$B$48:$P$91,MATCH(ROUND(Z249,0),'Yield Curve'!$B$48:$B$91,0),MATCH(YEAR($B248),'Yield Curve'!$B$48:$P$48,0)))/100)</f>
        <v>1.0318624999999999</v>
      </c>
      <c r="AA250" s="183">
        <f>1+((INDEX('Yield Curve'!$B$48:$P$91,MATCH(ROUND(AA249,0),'Yield Curve'!$B$48:$B$91,0),MATCH(YEAR($B248),'Yield Curve'!$B$48:$P$48,0)))/100)</f>
        <v>1.0342875</v>
      </c>
      <c r="AB250" s="183">
        <f>1+((INDEX('Yield Curve'!$B$48:$P$91,MATCH(ROUND(AB249,0),'Yield Curve'!$B$48:$B$91,0),MATCH(YEAR($B248),'Yield Curve'!$B$48:$P$48,0)))/100)</f>
        <v>1.0342875</v>
      </c>
      <c r="AC250" s="183">
        <f>1+((INDEX('Yield Curve'!$B$48:$P$91,MATCH(ROUND(AC249,0),'Yield Curve'!$B$48:$B$91,0),MATCH(YEAR($B248),'Yield Curve'!$B$48:$P$48,0)))/100)</f>
        <v>1.0342875</v>
      </c>
    </row>
    <row r="251" spans="2:35">
      <c r="B251" t="s">
        <v>212</v>
      </c>
      <c r="C251" s="182">
        <f>SUM(D251:AM251)</f>
        <v>275.36405260634524</v>
      </c>
      <c r="K251" s="182">
        <f t="shared" ref="K251" si="1229">K$235/(K250^K249)</f>
        <v>4.3622877979288246</v>
      </c>
      <c r="L251" s="182">
        <f t="shared" ref="L251" si="1230">L$235/(L250^L249)</f>
        <v>4.31286520168943</v>
      </c>
      <c r="M251" s="182">
        <f t="shared" ref="M251" si="1231">M$235/(M250^M249)</f>
        <v>4.2640025393957526</v>
      </c>
      <c r="N251" s="182">
        <f t="shared" ref="N251" si="1232">N$235/(N250^N249)</f>
        <v>4.2156934672688831</v>
      </c>
      <c r="O251" s="182">
        <f t="shared" ref="O251" si="1233">O$235/(O250^O249)</f>
        <v>4.1679317134018401</v>
      </c>
      <c r="P251" s="182">
        <f t="shared" ref="P251" si="1234">P$235/(P250^P249)</f>
        <v>4.1207110769452937</v>
      </c>
      <c r="Q251" s="182">
        <f t="shared" ref="Q251" si="1235">Q$235/(Q250^Q249)</f>
        <v>4.0521384848804871</v>
      </c>
      <c r="R251" s="182">
        <f t="shared" ref="R251" si="1236">R$235/(R250^R249)</f>
        <v>4.0032471387676303</v>
      </c>
      <c r="S251" s="182">
        <f t="shared" ref="S251" si="1237">S$235/(S250^S249)</f>
        <v>3.9278836535312118</v>
      </c>
      <c r="T251" s="182">
        <f t="shared" ref="T251" si="1238">T$235/(T250^T249)</f>
        <v>3.8776068276390721</v>
      </c>
      <c r="U251" s="182">
        <f t="shared" ref="U251" si="1239">U$235/(U250^U249)</f>
        <v>3.7806537954750921</v>
      </c>
      <c r="V251" s="182">
        <f t="shared" ref="V251" si="1240">V$235/(V250^V249)</f>
        <v>3.728130916105151</v>
      </c>
      <c r="W251" s="182">
        <f t="shared" ref="W251" si="1241">W$235/(W250^W249)</f>
        <v>3.6229773710439948</v>
      </c>
      <c r="X251" s="182">
        <f t="shared" ref="X251" si="1242">X$235/(X250^X249)</f>
        <v>3.5686998093568607</v>
      </c>
      <c r="Y251" s="182">
        <f t="shared" ref="Y251" si="1243">Y$235/(Y250^Y249)</f>
        <v>3.4838968889476689</v>
      </c>
      <c r="Z251" s="182">
        <f t="shared" ref="Z251" si="1244">Z$235/(Z250^Z249)</f>
        <v>3.4296861381662977</v>
      </c>
      <c r="AA251" s="182">
        <f t="shared" ref="AA251" si="1245">AA$235/(AA250^AA249)</f>
        <v>3.3087158066115601</v>
      </c>
      <c r="AB251" s="182">
        <f t="shared" ref="AB251" si="1246">AB$235/(AB250^AB249)</f>
        <v>3.2534102319395402</v>
      </c>
      <c r="AC251" s="182">
        <f t="shared" ref="AC251" si="1247">AC$235/(AC250^AC249)</f>
        <v>205.88351374725067</v>
      </c>
      <c r="AD251" s="27"/>
      <c r="AE251" s="27"/>
      <c r="AF251" s="27"/>
      <c r="AG251" s="27"/>
      <c r="AH251" s="27"/>
      <c r="AI251" s="27"/>
    </row>
    <row r="252" spans="2:35">
      <c r="B252" s="135">
        <v>44012</v>
      </c>
    </row>
    <row r="253" spans="2:35">
      <c r="B253" t="s">
        <v>210</v>
      </c>
      <c r="M253" s="182">
        <f t="shared" ref="M253" si="1248">(M$234-$B252)/365</f>
        <v>0.61369863013698633</v>
      </c>
      <c r="N253" s="182">
        <f t="shared" ref="N253" si="1249">(N$234-$B252)/365</f>
        <v>1.1136986301369862</v>
      </c>
      <c r="O253" s="182">
        <f t="shared" ref="O253" si="1250">(O$234-$B252)/365</f>
        <v>1.6136986301369862</v>
      </c>
      <c r="P253" s="182">
        <f t="shared" ref="P253" si="1251">(P$234-$B252)/365</f>
        <v>2.1136986301369864</v>
      </c>
      <c r="Q253" s="182">
        <f t="shared" ref="Q253" si="1252">(Q$234-$B252)/365</f>
        <v>2.6136986301369864</v>
      </c>
      <c r="R253" s="182">
        <f t="shared" ref="R253" si="1253">(R$234-$B252)/365</f>
        <v>3.1136986301369864</v>
      </c>
      <c r="S253" s="182">
        <f t="shared" ref="S253" si="1254">(S$234-$B252)/365</f>
        <v>3.6136986301369864</v>
      </c>
      <c r="T253" s="182">
        <f t="shared" ref="T253" si="1255">(T$234-$B252)/365</f>
        <v>4.1136986301369864</v>
      </c>
      <c r="U253" s="182">
        <f t="shared" ref="U253" si="1256">(U$234-$B252)/365</f>
        <v>4.6136986301369864</v>
      </c>
      <c r="V253" s="182">
        <f t="shared" ref="V253" si="1257">(V$234-$B252)/365</f>
        <v>5.1136986301369864</v>
      </c>
      <c r="W253" s="182">
        <f t="shared" ref="W253" si="1258">(W$234-$B252)/365</f>
        <v>5.6136986301369864</v>
      </c>
      <c r="X253" s="182">
        <f t="shared" ref="X253" si="1259">(X$234-$B252)/365</f>
        <v>6.1136986301369864</v>
      </c>
      <c r="Y253" s="182">
        <f t="shared" ref="Y253" si="1260">(Y$234-$B252)/365</f>
        <v>6.6136986301369864</v>
      </c>
      <c r="Z253" s="182">
        <f t="shared" ref="Z253" si="1261">(Z$234-$B252)/365</f>
        <v>7.1136986301369864</v>
      </c>
      <c r="AA253" s="182">
        <f t="shared" ref="AA253" si="1262">(AA$234-$B252)/365</f>
        <v>7.6136986301369864</v>
      </c>
      <c r="AB253" s="182">
        <f t="shared" ref="AB253" si="1263">(AB$234-$B252)/365</f>
        <v>8.1136986301369856</v>
      </c>
      <c r="AC253" s="182">
        <f t="shared" ref="AC253" si="1264">(AC$234-$B252)/365</f>
        <v>8.117808219178082</v>
      </c>
    </row>
    <row r="254" spans="2:35">
      <c r="B254" t="s">
        <v>211</v>
      </c>
      <c r="M254" s="183">
        <f>1+((INDEX('Yield Curve'!$B$48:$P$91,MATCH(ROUND(M253,0),'Yield Curve'!$B$48:$B$91,0),MATCH(YEAR($B252),'Yield Curve'!$B$48:$P$48,0)))/100)</f>
        <v>1.02105</v>
      </c>
      <c r="N254" s="183">
        <f>1+((INDEX('Yield Curve'!$B$48:$P$91,MATCH(ROUND(N253,0),'Yield Curve'!$B$48:$B$91,0),MATCH(YEAR($B252),'Yield Curve'!$B$48:$P$48,0)))/100)</f>
        <v>1.02105</v>
      </c>
      <c r="O254" s="183">
        <f>1+((INDEX('Yield Curve'!$B$48:$P$91,MATCH(ROUND(O253,0),'Yield Curve'!$B$48:$B$91,0),MATCH(YEAR($B252),'Yield Curve'!$B$48:$P$48,0)))/100)</f>
        <v>1.02105</v>
      </c>
      <c r="P254" s="183">
        <f>1+((INDEX('Yield Curve'!$B$48:$P$91,MATCH(ROUND(P253,0),'Yield Curve'!$B$48:$B$91,0),MATCH(YEAR($B252),'Yield Curve'!$B$48:$P$48,0)))/100)</f>
        <v>1.02105</v>
      </c>
      <c r="Q254" s="183">
        <f>1+((INDEX('Yield Curve'!$B$48:$P$91,MATCH(ROUND(Q253,0),'Yield Curve'!$B$48:$B$91,0),MATCH(YEAR($B252),'Yield Curve'!$B$48:$P$48,0)))/100)</f>
        <v>1.02105</v>
      </c>
      <c r="R254" s="183">
        <f>1+((INDEX('Yield Curve'!$B$48:$P$91,MATCH(ROUND(R253,0),'Yield Curve'!$B$48:$B$91,0),MATCH(YEAR($B252),'Yield Curve'!$B$48:$P$48,0)))/100)</f>
        <v>1.02105</v>
      </c>
      <c r="S254" s="183">
        <f>1+((INDEX('Yield Curve'!$B$48:$P$91,MATCH(ROUND(S253,0),'Yield Curve'!$B$48:$B$91,0),MATCH(YEAR($B252),'Yield Curve'!$B$48:$P$48,0)))/100)</f>
        <v>1.0229999999999999</v>
      </c>
      <c r="T254" s="183">
        <f>1+((INDEX('Yield Curve'!$B$48:$P$91,MATCH(ROUND(T253,0),'Yield Curve'!$B$48:$B$91,0),MATCH(YEAR($B252),'Yield Curve'!$B$48:$P$48,0)))/100)</f>
        <v>1.0229999999999999</v>
      </c>
      <c r="U254" s="183">
        <f>1+((INDEX('Yield Curve'!$B$48:$P$91,MATCH(ROUND(U253,0),'Yield Curve'!$B$48:$B$91,0),MATCH(YEAR($B252),'Yield Curve'!$B$48:$P$48,0)))/100)</f>
        <v>1.02495</v>
      </c>
      <c r="V254" s="183">
        <f>1+((INDEX('Yield Curve'!$B$48:$P$91,MATCH(ROUND(V253,0),'Yield Curve'!$B$48:$B$91,0),MATCH(YEAR($B252),'Yield Curve'!$B$48:$P$48,0)))/100)</f>
        <v>1.02495</v>
      </c>
      <c r="W254" s="183">
        <f>1+((INDEX('Yield Curve'!$B$48:$P$91,MATCH(ROUND(W253,0),'Yield Curve'!$B$48:$B$91,0),MATCH(YEAR($B252),'Yield Curve'!$B$48:$P$48,0)))/100)</f>
        <v>1.0282249999999999</v>
      </c>
      <c r="X254" s="183">
        <f>1+((INDEX('Yield Curve'!$B$48:$P$91,MATCH(ROUND(X253,0),'Yield Curve'!$B$48:$B$91,0),MATCH(YEAR($B252),'Yield Curve'!$B$48:$P$48,0)))/100)</f>
        <v>1.0282249999999999</v>
      </c>
      <c r="Y254" s="183">
        <f>1+((INDEX('Yield Curve'!$B$48:$P$91,MATCH(ROUND(Y253,0),'Yield Curve'!$B$48:$B$91,0),MATCH(YEAR($B252),'Yield Curve'!$B$48:$P$48,0)))/100)</f>
        <v>1.0315000000000001</v>
      </c>
      <c r="Z254" s="183">
        <f>1+((INDEX('Yield Curve'!$B$48:$P$91,MATCH(ROUND(Z253,0),'Yield Curve'!$B$48:$B$91,0),MATCH(YEAR($B252),'Yield Curve'!$B$48:$P$48,0)))/100)</f>
        <v>1.0315000000000001</v>
      </c>
      <c r="AA254" s="183">
        <f>1+((INDEX('Yield Curve'!$B$48:$P$91,MATCH(ROUND(AA253,0),'Yield Curve'!$B$48:$B$91,0),MATCH(YEAR($B252),'Yield Curve'!$B$48:$P$48,0)))/100)</f>
        <v>1.0322499999999999</v>
      </c>
      <c r="AB254" s="183">
        <f>1+((INDEX('Yield Curve'!$B$48:$P$91,MATCH(ROUND(AB253,0),'Yield Curve'!$B$48:$B$91,0),MATCH(YEAR($B252),'Yield Curve'!$B$48:$P$48,0)))/100)</f>
        <v>1.0322499999999999</v>
      </c>
      <c r="AC254" s="183">
        <f>1+((INDEX('Yield Curve'!$B$48:$P$91,MATCH(ROUND(AC253,0),'Yield Curve'!$B$48:$B$91,0),MATCH(YEAR($B252),'Yield Curve'!$B$48:$P$48,0)))/100)</f>
        <v>1.0322499999999999</v>
      </c>
    </row>
    <row r="255" spans="2:35">
      <c r="B255" t="s">
        <v>212</v>
      </c>
      <c r="C255" s="182">
        <f>SUM(D255:AM255)</f>
        <v>279.45002381475427</v>
      </c>
      <c r="M255" s="182">
        <f t="shared" ref="M255" si="1265">M$235/(M254^M253)</f>
        <v>4.3678023825421164</v>
      </c>
      <c r="N255" s="182">
        <f t="shared" ref="N255" si="1266">N$235/(N254^N253)</f>
        <v>4.3225445304595507</v>
      </c>
      <c r="O255" s="182">
        <f t="shared" ref="O255" si="1267">O$235/(O254^O253)</f>
        <v>4.2777556266021417</v>
      </c>
      <c r="P255" s="182">
        <f t="shared" ref="P255" si="1268">P$235/(P254^P253)</f>
        <v>4.2334308118696935</v>
      </c>
      <c r="Q255" s="182">
        <f t="shared" ref="Q255" si="1269">Q$235/(Q254^Q253)</f>
        <v>4.1895652775105443</v>
      </c>
      <c r="R255" s="182">
        <f t="shared" ref="R255" si="1270">R$235/(R254^R253)</f>
        <v>4.1461542645998666</v>
      </c>
      <c r="S255" s="182">
        <f t="shared" ref="S255" si="1271">S$235/(S254^S253)</f>
        <v>4.0749994483083887</v>
      </c>
      <c r="T255" s="182">
        <f t="shared" ref="T255" si="1272">T$235/(T254^T253)</f>
        <v>4.0289301442500829</v>
      </c>
      <c r="U255" s="182">
        <f t="shared" ref="U255" si="1273">U$235/(U254^U253)</f>
        <v>3.9485367028245486</v>
      </c>
      <c r="V255" s="182">
        <f t="shared" ref="V255" si="1274">V$235/(V254^V253)</f>
        <v>3.9001816923798391</v>
      </c>
      <c r="W255" s="182">
        <f t="shared" ref="W255" si="1275">W$235/(W254^W253)</f>
        <v>3.784041029958034</v>
      </c>
      <c r="X255" s="182">
        <f t="shared" ref="X255" si="1276">X$235/(X254^X253)</f>
        <v>3.7317432614809736</v>
      </c>
      <c r="Y255" s="182">
        <f t="shared" ref="Y255" si="1277">Y$235/(Y254^Y253)</f>
        <v>3.6035759103173008</v>
      </c>
      <c r="Z255" s="182">
        <f t="shared" ref="Z255" si="1278">Z$235/(Z254^Z253)</f>
        <v>3.5481262034239043</v>
      </c>
      <c r="AA255" s="182">
        <f t="shared" ref="AA255" si="1279">AA$235/(AA254^AA253)</f>
        <v>3.4742503377736496</v>
      </c>
      <c r="AB255" s="182">
        <f t="shared" ref="AB255" si="1280">AB$235/(AB254^AB253)</f>
        <v>3.419547672123922</v>
      </c>
      <c r="AC255" s="182">
        <f t="shared" ref="AC255" si="1281">AC$235/(AC254^AC253)</f>
        <v>216.39883851832974</v>
      </c>
      <c r="AD255" s="27"/>
      <c r="AE255" s="27"/>
      <c r="AF255" s="27"/>
      <c r="AG255" s="27"/>
      <c r="AH255" s="27"/>
      <c r="AI255" s="27"/>
    </row>
    <row r="256" spans="2:35">
      <c r="B256" s="135">
        <v>44377</v>
      </c>
    </row>
    <row r="257" spans="2:39">
      <c r="B257" t="s">
        <v>210</v>
      </c>
      <c r="O257" s="182">
        <f t="shared" ref="O257" si="1282">(O$234-$B256)/365</f>
        <v>0.61369863013698633</v>
      </c>
      <c r="P257" s="182">
        <f t="shared" ref="P257" si="1283">(P$234-$B256)/365</f>
        <v>1.1136986301369862</v>
      </c>
      <c r="Q257" s="182">
        <f t="shared" ref="Q257" si="1284">(Q$234-$B256)/365</f>
        <v>1.6136986301369862</v>
      </c>
      <c r="R257" s="182">
        <f t="shared" ref="R257" si="1285">(R$234-$B256)/365</f>
        <v>2.1136986301369864</v>
      </c>
      <c r="S257" s="182">
        <f t="shared" ref="S257" si="1286">(S$234-$B256)/365</f>
        <v>2.6136986301369864</v>
      </c>
      <c r="T257" s="182">
        <f t="shared" ref="T257" si="1287">(T$234-$B256)/365</f>
        <v>3.1136986301369864</v>
      </c>
      <c r="U257" s="182">
        <f t="shared" ref="U257" si="1288">(U$234-$B256)/365</f>
        <v>3.6136986301369864</v>
      </c>
      <c r="V257" s="182">
        <f t="shared" ref="V257" si="1289">(V$234-$B256)/365</f>
        <v>4.1136986301369864</v>
      </c>
      <c r="W257" s="182">
        <f t="shared" ref="W257" si="1290">(W$234-$B256)/365</f>
        <v>4.6136986301369864</v>
      </c>
      <c r="X257" s="182">
        <f t="shared" ref="X257" si="1291">(X$234-$B256)/365</f>
        <v>5.1136986301369864</v>
      </c>
      <c r="Y257" s="182">
        <f t="shared" ref="Y257" si="1292">(Y$234-$B256)/365</f>
        <v>5.6136986301369864</v>
      </c>
      <c r="Z257" s="182">
        <f t="shared" ref="Z257" si="1293">(Z$234-$B256)/365</f>
        <v>6.1136986301369864</v>
      </c>
      <c r="AA257" s="182">
        <f t="shared" ref="AA257" si="1294">(AA$234-$B256)/365</f>
        <v>6.6136986301369864</v>
      </c>
      <c r="AB257" s="182">
        <f t="shared" ref="AB257" si="1295">(AB$234-$B256)/365</f>
        <v>7.1136986301369864</v>
      </c>
      <c r="AC257" s="182">
        <f t="shared" ref="AC257" si="1296">(AC$234-$B256)/365</f>
        <v>7.117808219178082</v>
      </c>
    </row>
    <row r="258" spans="2:39">
      <c r="B258" t="s">
        <v>211</v>
      </c>
      <c r="O258" s="183">
        <f>1+((INDEX('Yield Curve'!$B$48:$P$91,MATCH(ROUND(O257,0),'Yield Curve'!$B$48:$B$91,0),MATCH(YEAR($B256),'Yield Curve'!$B$48:$P$48,0)))/100)</f>
        <v>1.0129999999999999</v>
      </c>
      <c r="P258" s="183">
        <f>1+((INDEX('Yield Curve'!$B$48:$P$91,MATCH(ROUND(P257,0),'Yield Curve'!$B$48:$B$91,0),MATCH(YEAR($B256),'Yield Curve'!$B$48:$P$48,0)))/100)</f>
        <v>1.0129999999999999</v>
      </c>
      <c r="Q258" s="183">
        <f>1+((INDEX('Yield Curve'!$B$48:$P$91,MATCH(ROUND(Q257,0),'Yield Curve'!$B$48:$B$91,0),MATCH(YEAR($B256),'Yield Curve'!$B$48:$P$48,0)))/100)</f>
        <v>1.0129999999999999</v>
      </c>
      <c r="R258" s="183">
        <f>1+((INDEX('Yield Curve'!$B$48:$P$91,MATCH(ROUND(R257,0),'Yield Curve'!$B$48:$B$91,0),MATCH(YEAR($B256),'Yield Curve'!$B$48:$P$48,0)))/100)</f>
        <v>1.0129999999999999</v>
      </c>
      <c r="S258" s="183">
        <f>1+((INDEX('Yield Curve'!$B$48:$P$91,MATCH(ROUND(S257,0),'Yield Curve'!$B$48:$B$91,0),MATCH(YEAR($B256),'Yield Curve'!$B$48:$P$48,0)))/100)</f>
        <v>1.0129999999999999</v>
      </c>
      <c r="T258" s="183">
        <f>1+((INDEX('Yield Curve'!$B$48:$P$91,MATCH(ROUND(T257,0),'Yield Curve'!$B$48:$B$91,0),MATCH(YEAR($B256),'Yield Curve'!$B$48:$P$48,0)))/100)</f>
        <v>1.0129999999999999</v>
      </c>
      <c r="U258" s="183">
        <f>1+((INDEX('Yield Curve'!$B$48:$P$91,MATCH(ROUND(U257,0),'Yield Curve'!$B$48:$B$91,0),MATCH(YEAR($B256),'Yield Curve'!$B$48:$P$48,0)))/100)</f>
        <v>1.0161249999999999</v>
      </c>
      <c r="V258" s="183">
        <f>1+((INDEX('Yield Curve'!$B$48:$P$91,MATCH(ROUND(V257,0),'Yield Curve'!$B$48:$B$91,0),MATCH(YEAR($B256),'Yield Curve'!$B$48:$P$48,0)))/100)</f>
        <v>1.0161249999999999</v>
      </c>
      <c r="W258" s="183">
        <f>1+((INDEX('Yield Curve'!$B$48:$P$91,MATCH(ROUND(W257,0),'Yield Curve'!$B$48:$B$91,0),MATCH(YEAR($B256),'Yield Curve'!$B$48:$P$48,0)))/100)</f>
        <v>1.01925</v>
      </c>
      <c r="X258" s="183">
        <f>1+((INDEX('Yield Curve'!$B$48:$P$91,MATCH(ROUND(X257,0),'Yield Curve'!$B$48:$B$91,0),MATCH(YEAR($B256),'Yield Curve'!$B$48:$P$48,0)))/100)</f>
        <v>1.01925</v>
      </c>
      <c r="Y258" s="183">
        <f>1+((INDEX('Yield Curve'!$B$48:$P$91,MATCH(ROUND(Y257,0),'Yield Curve'!$B$48:$B$91,0),MATCH(YEAR($B256),'Yield Curve'!$B$48:$P$48,0)))/100)</f>
        <v>1.022775</v>
      </c>
      <c r="Z258" s="183">
        <f>1+((INDEX('Yield Curve'!$B$48:$P$91,MATCH(ROUND(Z257,0),'Yield Curve'!$B$48:$B$91,0),MATCH(YEAR($B256),'Yield Curve'!$B$48:$P$48,0)))/100)</f>
        <v>1.022775</v>
      </c>
      <c r="AA258" s="183">
        <f>1+((INDEX('Yield Curve'!$B$48:$P$91,MATCH(ROUND(AA257,0),'Yield Curve'!$B$48:$B$91,0),MATCH(YEAR($B256),'Yield Curve'!$B$48:$P$48,0)))/100)</f>
        <v>1.0263</v>
      </c>
      <c r="AB258" s="183">
        <f>1+((INDEX('Yield Curve'!$B$48:$P$91,MATCH(ROUND(AB257,0),'Yield Curve'!$B$48:$B$91,0),MATCH(YEAR($B256),'Yield Curve'!$B$48:$P$48,0)))/100)</f>
        <v>1.0263</v>
      </c>
      <c r="AC258" s="183">
        <f>1+((INDEX('Yield Curve'!$B$48:$P$91,MATCH(ROUND(AC257,0),'Yield Curve'!$B$48:$B$91,0),MATCH(YEAR($B256),'Yield Curve'!$B$48:$P$48,0)))/100)</f>
        <v>1.0263</v>
      </c>
    </row>
    <row r="259" spans="2:39">
      <c r="B259" t="s">
        <v>212</v>
      </c>
      <c r="C259" s="182">
        <f>SUM(D259:AM259)</f>
        <v>290.21478586141251</v>
      </c>
      <c r="O259" s="182">
        <f t="shared" ref="O259" si="1297">O$235/(O258^O257)</f>
        <v>4.3890710311031924</v>
      </c>
      <c r="P259" s="182">
        <f t="shared" ref="P259" si="1298">P$235/(P258^P257)</f>
        <v>4.3608172472868194</v>
      </c>
      <c r="Q259" s="182">
        <f t="shared" ref="Q259" si="1299">Q$235/(Q258^Q257)</f>
        <v>4.3327453416615915</v>
      </c>
      <c r="R259" s="182">
        <f t="shared" ref="R259" si="1300">R$235/(R258^R257)</f>
        <v>4.3048541434223306</v>
      </c>
      <c r="S259" s="182">
        <f t="shared" ref="S259" si="1301">S$235/(S258^S257)</f>
        <v>4.277142489300684</v>
      </c>
      <c r="T259" s="182">
        <f t="shared" ref="T259" si="1302">T$235/(T258^T257)</f>
        <v>4.2496092235166145</v>
      </c>
      <c r="U259" s="182">
        <f t="shared" ref="U259" si="1303">U$235/(U258^U257)</f>
        <v>4.1755170406925002</v>
      </c>
      <c r="V259" s="182">
        <f t="shared" ref="V259" si="1304">V$235/(V258^V257)</f>
        <v>4.1422536771079743</v>
      </c>
      <c r="W259" s="182">
        <f t="shared" ref="W259" si="1305">W$235/(W258^W257)</f>
        <v>4.0514489520787134</v>
      </c>
      <c r="X259" s="182">
        <f t="shared" ref="X259" si="1306">X$235/(X258^X257)</f>
        <v>4.0130078672431617</v>
      </c>
      <c r="Y259" s="182">
        <f t="shared" ref="Y259" si="1307">Y$235/(Y258^Y257)</f>
        <v>3.8986348664582073</v>
      </c>
      <c r="Z259" s="182">
        <f t="shared" ref="Z259" si="1308">Z$235/(Z258^Z257)</f>
        <v>3.8549833845525163</v>
      </c>
      <c r="AA259" s="182">
        <f t="shared" ref="AA259" si="1309">AA$235/(AA258^AA257)</f>
        <v>3.7260622366080942</v>
      </c>
      <c r="AB259" s="182">
        <f t="shared" ref="AB259" si="1310">AB$235/(AB258^AB257)</f>
        <v>3.6780102923572513</v>
      </c>
      <c r="AC259" s="182">
        <f t="shared" ref="AC259" si="1311">AC$235/(AC258^AC257)</f>
        <v>232.76062806802287</v>
      </c>
      <c r="AD259" s="27"/>
      <c r="AE259" s="27"/>
      <c r="AF259" s="27"/>
      <c r="AG259" s="27"/>
      <c r="AH259" s="27"/>
      <c r="AI259" s="27"/>
    </row>
    <row r="260" spans="2:39">
      <c r="B260" s="135">
        <v>44552</v>
      </c>
    </row>
    <row r="261" spans="2:39">
      <c r="B261" t="s">
        <v>210</v>
      </c>
      <c r="P261" s="182">
        <f t="shared" ref="P261" si="1312">(P$234-$B260)/365</f>
        <v>0.63424657534246576</v>
      </c>
      <c r="Q261" s="182">
        <f t="shared" ref="Q261" si="1313">(Q$234-$B260)/365</f>
        <v>1.1342465753424658</v>
      </c>
      <c r="R261" s="182">
        <f t="shared" ref="R261" si="1314">(R$234-$B260)/365</f>
        <v>1.6342465753424658</v>
      </c>
      <c r="S261" s="182">
        <f t="shared" ref="S261" si="1315">(S$234-$B260)/365</f>
        <v>2.1342465753424658</v>
      </c>
      <c r="T261" s="182">
        <f t="shared" ref="T261" si="1316">(T$234-$B260)/365</f>
        <v>2.6342465753424658</v>
      </c>
      <c r="U261" s="182">
        <f t="shared" ref="U261" si="1317">(U$234-$B260)/365</f>
        <v>3.1342465753424658</v>
      </c>
      <c r="V261" s="182">
        <f t="shared" ref="V261" si="1318">(V$234-$B260)/365</f>
        <v>3.6342465753424658</v>
      </c>
      <c r="W261" s="182">
        <f t="shared" ref="W261" si="1319">(W$234-$B260)/365</f>
        <v>4.1342465753424653</v>
      </c>
      <c r="X261" s="182">
        <f t="shared" ref="X261" si="1320">(X$234-$B260)/365</f>
        <v>4.6342465753424653</v>
      </c>
      <c r="Y261" s="182">
        <f t="shared" ref="Y261" si="1321">(Y$234-$B260)/365</f>
        <v>5.1342465753424653</v>
      </c>
      <c r="Z261" s="182">
        <f t="shared" ref="Z261" si="1322">(Z$234-$B260)/365</f>
        <v>5.6342465753424653</v>
      </c>
      <c r="AA261" s="182">
        <f t="shared" ref="AA261" si="1323">(AA$234-$B260)/365</f>
        <v>6.1342465753424653</v>
      </c>
      <c r="AB261" s="182">
        <f t="shared" ref="AB261" si="1324">(AB$234-$B260)/365</f>
        <v>6.6342465753424653</v>
      </c>
      <c r="AC261" s="182">
        <f t="shared" ref="AC261" si="1325">(AC$234-$B260)/365</f>
        <v>6.6383561643835618</v>
      </c>
    </row>
    <row r="262" spans="2:39">
      <c r="B262" t="s">
        <v>211</v>
      </c>
      <c r="P262" s="183">
        <f>1+((INDEX('Yield Curve'!$B$48:$P$91,MATCH(ROUND(P261,0),'Yield Curve'!$B$48:$B$91,0),MATCH(YEAR($B260)+1,'Yield Curve'!$B$48:$P$48,0)))/100)</f>
        <v>1.0212000000000001</v>
      </c>
      <c r="Q262" s="183">
        <f>1+((INDEX('Yield Curve'!$B$48:$P$91,MATCH(ROUND(Q261,0),'Yield Curve'!$B$48:$B$91,0),MATCH(YEAR($B260)+1,'Yield Curve'!$B$48:$P$48,0)))/100)</f>
        <v>1.0212000000000001</v>
      </c>
      <c r="R262" s="183">
        <f>1+((INDEX('Yield Curve'!$B$48:$P$91,MATCH(ROUND(R261,0),'Yield Curve'!$B$48:$B$91,0),MATCH(YEAR($B260)+1,'Yield Curve'!$B$48:$P$48,0)))/100)</f>
        <v>1.0212000000000001</v>
      </c>
      <c r="S262" s="183">
        <f>1+((INDEX('Yield Curve'!$B$48:$P$91,MATCH(ROUND(S261,0),'Yield Curve'!$B$48:$B$91,0),MATCH(YEAR($B260)+1,'Yield Curve'!$B$48:$P$48,0)))/100)</f>
        <v>1.0212000000000001</v>
      </c>
      <c r="T262" s="183">
        <f>1+((INDEX('Yield Curve'!$B$48:$P$91,MATCH(ROUND(T261,0),'Yield Curve'!$B$48:$B$91,0),MATCH(YEAR($B260)+1,'Yield Curve'!$B$48:$P$48,0)))/100)</f>
        <v>1.0212000000000001</v>
      </c>
      <c r="U262" s="183">
        <f>1+((INDEX('Yield Curve'!$B$48:$P$91,MATCH(ROUND(U261,0),'Yield Curve'!$B$48:$B$91,0),MATCH(YEAR($B260)+1,'Yield Curve'!$B$48:$P$48,0)))/100)</f>
        <v>1.0212000000000001</v>
      </c>
      <c r="V262" s="183">
        <f>1+((INDEX('Yield Curve'!$B$48:$P$91,MATCH(ROUND(V261,0),'Yield Curve'!$B$48:$B$91,0),MATCH(YEAR($B260)+1,'Yield Curve'!$B$48:$P$48,0)))/100)</f>
        <v>1.0245</v>
      </c>
      <c r="W262" s="183">
        <f>1+((INDEX('Yield Curve'!$B$48:$P$91,MATCH(ROUND(W261,0),'Yield Curve'!$B$48:$B$91,0),MATCH(YEAR($B260)+1,'Yield Curve'!$B$48:$P$48,0)))/100)</f>
        <v>1.0245</v>
      </c>
      <c r="X262" s="183">
        <f>1+((INDEX('Yield Curve'!$B$48:$P$91,MATCH(ROUND(X261,0),'Yield Curve'!$B$48:$B$91,0),MATCH(YEAR($B260)+1,'Yield Curve'!$B$48:$P$48,0)))/100)</f>
        <v>1.0278</v>
      </c>
      <c r="Y262" s="183">
        <f>1+((INDEX('Yield Curve'!$B$48:$P$91,MATCH(ROUND(Y261,0),'Yield Curve'!$B$48:$B$91,0),MATCH(YEAR($B260)+1,'Yield Curve'!$B$48:$P$48,0)))/100)</f>
        <v>1.0278</v>
      </c>
      <c r="Z262" s="183">
        <f>1+((INDEX('Yield Curve'!$B$48:$P$91,MATCH(ROUND(Z261,0),'Yield Curve'!$B$48:$B$91,0),MATCH(YEAR($B260)+1,'Yield Curve'!$B$48:$P$48,0)))/100)</f>
        <v>1.030375</v>
      </c>
      <c r="AA262" s="183">
        <f>1+((INDEX('Yield Curve'!$B$48:$P$91,MATCH(ROUND(AA261,0),'Yield Curve'!$B$48:$B$91,0),MATCH(YEAR($B260)+1,'Yield Curve'!$B$48:$P$48,0)))/100)</f>
        <v>1.030375</v>
      </c>
      <c r="AB262" s="183">
        <f>1+((INDEX('Yield Curve'!$B$48:$P$91,MATCH(ROUND(AB261,0),'Yield Curve'!$B$48:$B$91,0),MATCH(YEAR($B260)+1,'Yield Curve'!$B$48:$P$48,0)))/100)</f>
        <v>1.03295</v>
      </c>
      <c r="AC262" s="183">
        <f>1+((INDEX('Yield Curve'!$B$48:$P$91,MATCH(ROUND(AC261,0),'Yield Curve'!$B$48:$B$91,0),MATCH(YEAR($B260)+1,'Yield Curve'!$B$48:$P$48,0)))/100)</f>
        <v>1.03295</v>
      </c>
    </row>
    <row r="263" spans="2:39">
      <c r="B263" t="s">
        <v>212</v>
      </c>
      <c r="C263" s="182">
        <f>SUM(D263:AM263)</f>
        <v>278.08500421408309</v>
      </c>
      <c r="P263" s="182">
        <f t="shared" ref="P263" si="1326">P$235/(P262^P261)</f>
        <v>4.3655264181011955</v>
      </c>
      <c r="Q263" s="182">
        <f t="shared" ref="Q263" si="1327">Q$235/(Q262^Q261)</f>
        <v>4.3199748419720789</v>
      </c>
      <c r="R263" s="182">
        <f t="shared" ref="R263" si="1328">R$235/(R262^R261)</f>
        <v>4.2748985684500536</v>
      </c>
      <c r="S263" s="182">
        <f t="shared" ref="S263" si="1329">S$235/(S262^S261)</f>
        <v>4.2302926380455137</v>
      </c>
      <c r="T263" s="182">
        <f t="shared" ref="T263" si="1330">T$235/(T262^T261)</f>
        <v>4.186152143018071</v>
      </c>
      <c r="U263" s="182">
        <f t="shared" ref="U263" si="1331">U$235/(U262^U261)</f>
        <v>4.1424722268365777</v>
      </c>
      <c r="V263" s="182">
        <f t="shared" ref="V263" si="1332">V$235/(V262^V261)</f>
        <v>4.0514646479715779</v>
      </c>
      <c r="W263" s="182">
        <f t="shared" ref="W263" si="1333">W$235/(W262^W261)</f>
        <v>4.002727936774555</v>
      </c>
      <c r="X263" s="182">
        <f t="shared" ref="X263" si="1334">X$235/(X262^X261)</f>
        <v>3.8960782219376724</v>
      </c>
      <c r="Y263" s="182">
        <f t="shared" ref="Y263" si="1335">Y$235/(Y262^Y261)</f>
        <v>3.843026338887944</v>
      </c>
      <c r="Z263" s="182">
        <f t="shared" ref="Z263" si="1336">Z$235/(Z262^Z261)</f>
        <v>3.7376301239407184</v>
      </c>
      <c r="AA263" s="182">
        <f t="shared" ref="AA263" si="1337">AA$235/(AA262^AA261)</f>
        <v>3.6821261631090469</v>
      </c>
      <c r="AB263" s="182">
        <f t="shared" ref="AB263" si="1338">AB$235/(AB262^AB261)</f>
        <v>3.567874507832852</v>
      </c>
      <c r="AC263" s="182">
        <f t="shared" ref="AC263" si="1339">AC$235/(AC262^AC261)</f>
        <v>225.78475943720525</v>
      </c>
      <c r="AD263" s="27"/>
      <c r="AE263" s="27"/>
      <c r="AF263" s="27"/>
      <c r="AG263" s="27"/>
      <c r="AH263" s="27"/>
      <c r="AI263" s="27"/>
    </row>
    <row r="265" spans="2:39">
      <c r="B265" s="5" t="str">
        <f>'SA Power Bonds'!A61</f>
        <v>29878480114</v>
      </c>
    </row>
    <row r="266" spans="2:39">
      <c r="B266" t="s">
        <v>66</v>
      </c>
      <c r="D266" s="180">
        <f>VLOOKUP(B265,'SA Power Bonds'!$A$54:$K$64,4,FALSE)</f>
        <v>42543</v>
      </c>
      <c r="E266" s="180">
        <f>VLOOKUP(B265,'SA Power Bonds'!$A$54:$K$64,10,FALSE)</f>
        <v>42776</v>
      </c>
      <c r="F266" s="180">
        <f>IF(E266+VLOOKUP($B265,'SA Power Bonds'!$A$54:$K$64,9,FALSE)*365 &lt; VLOOKUP($B265,'SA Power Bonds'!$A$54:$K$64,5,FALSE), E266+VLOOKUP($B265,'SA Power Bonds'!$A$54:$K$64,9,FALSE)*365, VLOOKUP($B265,'SA Power Bonds'!$A$54:$K$64,5,FALSE))</f>
        <v>42958.5</v>
      </c>
      <c r="G266" s="180">
        <f>IF(F266+VLOOKUP($B265,'SA Power Bonds'!$A$54:$K$64,9,FALSE)*365 &lt; VLOOKUP($B265,'SA Power Bonds'!$A$54:$K$64,5,FALSE), F266+VLOOKUP($B265,'SA Power Bonds'!$A$54:$K$64,9,FALSE)*365, VLOOKUP($B265,'SA Power Bonds'!$A$54:$K$64,5,FALSE))</f>
        <v>43141</v>
      </c>
      <c r="H266" s="180">
        <f>IF(G266+VLOOKUP($B265,'SA Power Bonds'!$A$54:$K$64,9,FALSE)*365 &lt; VLOOKUP($B265,'SA Power Bonds'!$A$54:$K$64,5,FALSE), G266+VLOOKUP($B265,'SA Power Bonds'!$A$54:$K$64,9,FALSE)*365, VLOOKUP($B265,'SA Power Bonds'!$A$54:$K$64,5,FALSE))</f>
        <v>43323.5</v>
      </c>
      <c r="I266" s="180">
        <f>IF(H266+VLOOKUP($B265,'SA Power Bonds'!$A$54:$K$64,9,FALSE)*365 &lt; VLOOKUP($B265,'SA Power Bonds'!$A$54:$K$64,5,FALSE), H266+VLOOKUP($B265,'SA Power Bonds'!$A$54:$K$64,9,FALSE)*365, VLOOKUP($B265,'SA Power Bonds'!$A$54:$K$64,5,FALSE))</f>
        <v>43506</v>
      </c>
      <c r="J266" s="180">
        <f>IF(I266+VLOOKUP($B265,'SA Power Bonds'!$A$54:$K$64,9,FALSE)*365 &lt; VLOOKUP($B265,'SA Power Bonds'!$A$54:$K$64,5,FALSE), I266+VLOOKUP($B265,'SA Power Bonds'!$A$54:$K$64,9,FALSE)*365, VLOOKUP($B265,'SA Power Bonds'!$A$54:$K$64,5,FALSE))</f>
        <v>43688.5</v>
      </c>
      <c r="K266" s="180">
        <f>IF(J266+VLOOKUP($B265,'SA Power Bonds'!$A$54:$K$64,9,FALSE)*365 &lt; VLOOKUP($B265,'SA Power Bonds'!$A$54:$K$64,5,FALSE), J266+VLOOKUP($B265,'SA Power Bonds'!$A$54:$K$64,9,FALSE)*365, VLOOKUP($B265,'SA Power Bonds'!$A$54:$K$64,5,FALSE))</f>
        <v>43871</v>
      </c>
      <c r="L266" s="180">
        <f>IF(K266+VLOOKUP($B265,'SA Power Bonds'!$A$54:$K$64,9,FALSE)*365 &lt; VLOOKUP($B265,'SA Power Bonds'!$A$54:$K$64,5,FALSE), K266+VLOOKUP($B265,'SA Power Bonds'!$A$54:$K$64,9,FALSE)*365, VLOOKUP($B265,'SA Power Bonds'!$A$54:$K$64,5,FALSE))</f>
        <v>44053.5</v>
      </c>
      <c r="M266" s="180">
        <f>IF(L266+VLOOKUP($B265,'SA Power Bonds'!$A$54:$K$64,9,FALSE)*365 &lt; VLOOKUP($B265,'SA Power Bonds'!$A$54:$K$64,5,FALSE), L266+VLOOKUP($B265,'SA Power Bonds'!$A$54:$K$64,9,FALSE)*365, VLOOKUP($B265,'SA Power Bonds'!$A$54:$K$64,5,FALSE))</f>
        <v>44236</v>
      </c>
      <c r="N266" s="180">
        <f>IF(M266+VLOOKUP($B265,'SA Power Bonds'!$A$54:$K$64,9,FALSE)*365 &lt; VLOOKUP($B265,'SA Power Bonds'!$A$54:$K$64,5,FALSE), M266+VLOOKUP($B265,'SA Power Bonds'!$A$54:$K$64,9,FALSE)*365, VLOOKUP($B265,'SA Power Bonds'!$A$54:$K$64,5,FALSE))</f>
        <v>44418.5</v>
      </c>
      <c r="O266" s="180">
        <f>IF(N266+VLOOKUP($B265,'SA Power Bonds'!$A$54:$K$64,9,FALSE)*365 &lt; VLOOKUP($B265,'SA Power Bonds'!$A$54:$K$64,5,FALSE), N266+VLOOKUP($B265,'SA Power Bonds'!$A$54:$K$64,9,FALSE)*365, VLOOKUP($B265,'SA Power Bonds'!$A$54:$K$64,5,FALSE))</f>
        <v>44601</v>
      </c>
      <c r="P266" s="180">
        <f>IF(O266+VLOOKUP($B265,'SA Power Bonds'!$A$54:$K$64,9,FALSE)*365 &lt; VLOOKUP($B265,'SA Power Bonds'!$A$54:$K$64,5,FALSE), O266+VLOOKUP($B265,'SA Power Bonds'!$A$54:$K$64,9,FALSE)*365, VLOOKUP($B265,'SA Power Bonds'!$A$54:$K$64,5,FALSE))</f>
        <v>44783.5</v>
      </c>
      <c r="Q266" s="180">
        <f>IF(P266+VLOOKUP($B265,'SA Power Bonds'!$A$54:$K$64,9,FALSE)*365 &lt; VLOOKUP($B265,'SA Power Bonds'!$A$54:$K$64,5,FALSE), P266+VLOOKUP($B265,'SA Power Bonds'!$A$54:$K$64,9,FALSE)*365, VLOOKUP($B265,'SA Power Bonds'!$A$54:$K$64,5,FALSE))</f>
        <v>44966</v>
      </c>
      <c r="R266" s="180">
        <f>IF(Q266+VLOOKUP($B265,'SA Power Bonds'!$A$54:$K$64,9,FALSE)*365 &lt; VLOOKUP($B265,'SA Power Bonds'!$A$54:$K$64,5,FALSE), Q266+VLOOKUP($B265,'SA Power Bonds'!$A$54:$K$64,9,FALSE)*365, VLOOKUP($B265,'SA Power Bonds'!$A$54:$K$64,5,FALSE))</f>
        <v>45148.5</v>
      </c>
      <c r="S266" s="180">
        <f>IF(R266+VLOOKUP($B265,'SA Power Bonds'!$A$54:$K$64,9,FALSE)*365 &lt; VLOOKUP($B265,'SA Power Bonds'!$A$54:$K$64,5,FALSE), R266+VLOOKUP($B265,'SA Power Bonds'!$A$54:$K$64,9,FALSE)*365, VLOOKUP($B265,'SA Power Bonds'!$A$54:$K$64,5,FALSE))</f>
        <v>45331</v>
      </c>
      <c r="T266" s="180">
        <f>IF(S266+VLOOKUP($B265,'SA Power Bonds'!$A$54:$K$64,9,FALSE)*365 &lt; VLOOKUP($B265,'SA Power Bonds'!$A$54:$K$64,5,FALSE), S266+VLOOKUP($B265,'SA Power Bonds'!$A$54:$K$64,9,FALSE)*365, VLOOKUP($B265,'SA Power Bonds'!$A$54:$K$64,5,FALSE))</f>
        <v>45513.5</v>
      </c>
      <c r="U266" s="180">
        <f>IF(T266+VLOOKUP($B265,'SA Power Bonds'!$A$54:$K$64,9,FALSE)*365 &lt; VLOOKUP($B265,'SA Power Bonds'!$A$54:$K$64,5,FALSE), T266+VLOOKUP($B265,'SA Power Bonds'!$A$54:$K$64,9,FALSE)*365, VLOOKUP($B265,'SA Power Bonds'!$A$54:$K$64,5,FALSE))</f>
        <v>45696</v>
      </c>
      <c r="V266" s="180">
        <f>IF(U266+VLOOKUP($B265,'SA Power Bonds'!$A$54:$K$64,9,FALSE)*365 &lt; VLOOKUP($B265,'SA Power Bonds'!$A$54:$K$64,5,FALSE), U266+VLOOKUP($B265,'SA Power Bonds'!$A$54:$K$64,9,FALSE)*365, VLOOKUP($B265,'SA Power Bonds'!$A$54:$K$64,5,FALSE))</f>
        <v>45878.5</v>
      </c>
      <c r="W266" s="180">
        <f>IF(V266+VLOOKUP($B265,'SA Power Bonds'!$A$54:$K$64,9,FALSE)*365 &lt; VLOOKUP($B265,'SA Power Bonds'!$A$54:$K$64,5,FALSE), V266+VLOOKUP($B265,'SA Power Bonds'!$A$54:$K$64,9,FALSE)*365, VLOOKUP($B265,'SA Power Bonds'!$A$54:$K$64,5,FALSE))</f>
        <v>46061</v>
      </c>
      <c r="X266" s="180">
        <f>IF(W266+VLOOKUP($B265,'SA Power Bonds'!$A$54:$K$64,9,FALSE)*365 &lt; VLOOKUP($B265,'SA Power Bonds'!$A$54:$K$64,5,FALSE), W266+VLOOKUP($B265,'SA Power Bonds'!$A$54:$K$64,9,FALSE)*365, VLOOKUP($B265,'SA Power Bonds'!$A$54:$K$64,5,FALSE))</f>
        <v>46243.5</v>
      </c>
      <c r="Y266" s="180">
        <f>IF(X266+VLOOKUP($B265,'SA Power Bonds'!$A$54:$K$64,9,FALSE)*365 &lt; VLOOKUP($B265,'SA Power Bonds'!$A$54:$K$64,5,FALSE), X266+VLOOKUP($B265,'SA Power Bonds'!$A$54:$K$64,9,FALSE)*365, VLOOKUP($B265,'SA Power Bonds'!$A$54:$K$64,5,FALSE))</f>
        <v>46426</v>
      </c>
      <c r="Z266" s="180">
        <f>IF(Y266+VLOOKUP($B265,'SA Power Bonds'!$A$54:$K$64,9,FALSE)*365 &lt; VLOOKUP($B265,'SA Power Bonds'!$A$54:$K$64,5,FALSE), Y266+VLOOKUP($B265,'SA Power Bonds'!$A$54:$K$64,9,FALSE)*365, VLOOKUP($B265,'SA Power Bonds'!$A$54:$K$64,5,FALSE))</f>
        <v>46608.5</v>
      </c>
      <c r="AA266" s="180">
        <f>IF(Z266+VLOOKUP($B265,'SA Power Bonds'!$A$54:$K$64,9,FALSE)*365 &lt; VLOOKUP($B265,'SA Power Bonds'!$A$54:$K$64,5,FALSE), Z266+VLOOKUP($B265,'SA Power Bonds'!$A$54:$K$64,9,FALSE)*365, VLOOKUP($B265,'SA Power Bonds'!$A$54:$K$64,5,FALSE))</f>
        <v>46791</v>
      </c>
      <c r="AB266" s="180">
        <f>IF(AA266+VLOOKUP($B265,'SA Power Bonds'!$A$54:$K$64,9,FALSE)*365 &lt; VLOOKUP($B265,'SA Power Bonds'!$A$54:$K$64,5,FALSE), AA266+VLOOKUP($B265,'SA Power Bonds'!$A$54:$K$64,9,FALSE)*365, VLOOKUP($B265,'SA Power Bonds'!$A$54:$K$64,5,FALSE))</f>
        <v>46973.5</v>
      </c>
      <c r="AC266" s="180">
        <f>IF(AB266+VLOOKUP($B265,'SA Power Bonds'!$A$54:$K$64,9,FALSE)*365 &lt; VLOOKUP($B265,'SA Power Bonds'!$A$54:$K$64,5,FALSE), AB266+VLOOKUP($B265,'SA Power Bonds'!$A$54:$K$64,9,FALSE)*365, VLOOKUP($B265,'SA Power Bonds'!$A$54:$K$64,5,FALSE))</f>
        <v>47156</v>
      </c>
      <c r="AD266" s="180">
        <f>IF(AC266+VLOOKUP($B265,'SA Power Bonds'!$A$54:$K$64,9,FALSE)*365 &lt; VLOOKUP($B265,'SA Power Bonds'!$A$54:$K$64,5,FALSE), AC266+VLOOKUP($B265,'SA Power Bonds'!$A$54:$K$64,9,FALSE)*365, VLOOKUP($B265,'SA Power Bonds'!$A$54:$K$64,5,FALSE))</f>
        <v>47338.5</v>
      </c>
      <c r="AE266" s="180">
        <f>IF(AD266+VLOOKUP($B265,'SA Power Bonds'!$A$54:$K$64,9,FALSE)*365 &lt; VLOOKUP($B265,'SA Power Bonds'!$A$54:$K$64,5,FALSE), AD266+VLOOKUP($B265,'SA Power Bonds'!$A$54:$K$64,9,FALSE)*365, VLOOKUP($B265,'SA Power Bonds'!$A$54:$K$64,5,FALSE))</f>
        <v>47521</v>
      </c>
      <c r="AF266" s="180">
        <f>IF(AE266+VLOOKUP($B265,'SA Power Bonds'!$A$54:$K$64,9,FALSE)*365 &lt; VLOOKUP($B265,'SA Power Bonds'!$A$54:$K$64,5,FALSE), AE266+VLOOKUP($B265,'SA Power Bonds'!$A$54:$K$64,9,FALSE)*365, VLOOKUP($B265,'SA Power Bonds'!$A$54:$K$64,5,FALSE))</f>
        <v>47703.5</v>
      </c>
      <c r="AG266" s="180">
        <f>IF(AF266+VLOOKUP($B265,'SA Power Bonds'!$A$54:$K$64,9,FALSE)*365 &lt; VLOOKUP($B265,'SA Power Bonds'!$A$54:$K$64,5,FALSE), AF266+VLOOKUP($B265,'SA Power Bonds'!$A$54:$K$64,9,FALSE)*365, VLOOKUP($B265,'SA Power Bonds'!$A$54:$K$64,5,FALSE))</f>
        <v>47886</v>
      </c>
      <c r="AH266" s="180">
        <f>IF(AG266+VLOOKUP($B265,'SA Power Bonds'!$A$54:$K$64,9,FALSE)*365 &lt; VLOOKUP($B265,'SA Power Bonds'!$A$54:$K$64,5,FALSE), AG266+VLOOKUP($B265,'SA Power Bonds'!$A$54:$K$64,9,FALSE)*365, VLOOKUP($B265,'SA Power Bonds'!$A$54:$K$64,5,FALSE))</f>
        <v>48068.5</v>
      </c>
      <c r="AI266" s="180">
        <f>IF(AH266+VLOOKUP($B265,'SA Power Bonds'!$A$54:$K$64,9,FALSE)*365 &lt; VLOOKUP($B265,'SA Power Bonds'!$A$54:$K$64,5,FALSE), AH266+VLOOKUP($B265,'SA Power Bonds'!$A$54:$K$64,9,FALSE)*365, VLOOKUP($B265,'SA Power Bonds'!$A$54:$K$64,5,FALSE))</f>
        <v>48070</v>
      </c>
      <c r="AJ266" s="27"/>
      <c r="AK266" s="27"/>
      <c r="AL266" s="27"/>
      <c r="AM266" s="27"/>
    </row>
    <row r="267" spans="2:39">
      <c r="B267" t="s">
        <v>209</v>
      </c>
      <c r="E267" s="182">
        <f>IF(E266&lt;VLOOKUP($B265,'SA Power Bonds'!$A$54:$K$64,5,FALSE),(VLOOKUP($B265,'SA Power Bonds'!$A$54:$K$64,8,FALSE)/100)*(VLOOKUP($B265,'SA Power Bonds'!$A$54:$K$64,9,FALSE))*(VLOOKUP($B265,'SA Power Bonds'!$A$54:$K$64,6,FALSE)),(VLOOKUP($B265,'SA Power Bonds'!$A$54:$K$64,6,FALSE)))</f>
        <v>4.6339999999999995</v>
      </c>
      <c r="F267" s="182">
        <f>IF(F266&lt;VLOOKUP($B265,'SA Power Bonds'!$A$54:$K$64,5,FALSE),(VLOOKUP($B265,'SA Power Bonds'!$A$54:$K$64,8,FALSE)/100)*(VLOOKUP($B265,'SA Power Bonds'!$A$54:$K$64,9,FALSE))*(VLOOKUP($B265,'SA Power Bonds'!$A$54:$K$64,6,FALSE)),(VLOOKUP($B265,'SA Power Bonds'!$A$54:$K$64,6,FALSE)))</f>
        <v>4.6339999999999995</v>
      </c>
      <c r="G267" s="182">
        <f>IF(G266&lt;VLOOKUP($B265,'SA Power Bonds'!$A$54:$K$64,5,FALSE),(VLOOKUP($B265,'SA Power Bonds'!$A$54:$K$64,8,FALSE)/100)*(VLOOKUP($B265,'SA Power Bonds'!$A$54:$K$64,9,FALSE))*(VLOOKUP($B265,'SA Power Bonds'!$A$54:$K$64,6,FALSE)),(VLOOKUP($B265,'SA Power Bonds'!$A$54:$K$64,6,FALSE)))</f>
        <v>4.6339999999999995</v>
      </c>
      <c r="H267" s="182">
        <f>IF(H266&lt;VLOOKUP($B265,'SA Power Bonds'!$A$54:$K$64,5,FALSE),(VLOOKUP($B265,'SA Power Bonds'!$A$54:$K$64,8,FALSE)/100)*(VLOOKUP($B265,'SA Power Bonds'!$A$54:$K$64,9,FALSE))*(VLOOKUP($B265,'SA Power Bonds'!$A$54:$K$64,6,FALSE)),(VLOOKUP($B265,'SA Power Bonds'!$A$54:$K$64,6,FALSE)))</f>
        <v>4.6339999999999995</v>
      </c>
      <c r="I267" s="182">
        <f>IF(I266&lt;VLOOKUP($B265,'SA Power Bonds'!$A$54:$K$64,5,FALSE),(VLOOKUP($B265,'SA Power Bonds'!$A$54:$K$64,8,FALSE)/100)*(VLOOKUP($B265,'SA Power Bonds'!$A$54:$K$64,9,FALSE))*(VLOOKUP($B265,'SA Power Bonds'!$A$54:$K$64,6,FALSE)),(VLOOKUP($B265,'SA Power Bonds'!$A$54:$K$64,6,FALSE)))</f>
        <v>4.6339999999999995</v>
      </c>
      <c r="J267" s="182">
        <f>IF(J266&lt;VLOOKUP($B265,'SA Power Bonds'!$A$54:$K$64,5,FALSE),(VLOOKUP($B265,'SA Power Bonds'!$A$54:$K$64,8,FALSE)/100)*(VLOOKUP($B265,'SA Power Bonds'!$A$54:$K$64,9,FALSE))*(VLOOKUP($B265,'SA Power Bonds'!$A$54:$K$64,6,FALSE)),(VLOOKUP($B265,'SA Power Bonds'!$A$54:$K$64,6,FALSE)))</f>
        <v>4.6339999999999995</v>
      </c>
      <c r="K267" s="182">
        <f>IF(K266&lt;VLOOKUP($B265,'SA Power Bonds'!$A$54:$K$64,5,FALSE),(VLOOKUP($B265,'SA Power Bonds'!$A$54:$K$64,8,FALSE)/100)*(VLOOKUP($B265,'SA Power Bonds'!$A$54:$K$64,9,FALSE))*(VLOOKUP($B265,'SA Power Bonds'!$A$54:$K$64,6,FALSE)),(VLOOKUP($B265,'SA Power Bonds'!$A$54:$K$64,6,FALSE)))</f>
        <v>4.6339999999999995</v>
      </c>
      <c r="L267" s="182">
        <f>IF(L266&lt;VLOOKUP($B265,'SA Power Bonds'!$A$54:$K$64,5,FALSE),(VLOOKUP($B265,'SA Power Bonds'!$A$54:$K$64,8,FALSE)/100)*(VLOOKUP($B265,'SA Power Bonds'!$A$54:$K$64,9,FALSE))*(VLOOKUP($B265,'SA Power Bonds'!$A$54:$K$64,6,FALSE)),(VLOOKUP($B265,'SA Power Bonds'!$A$54:$K$64,6,FALSE)))</f>
        <v>4.6339999999999995</v>
      </c>
      <c r="M267" s="182">
        <f>IF(M266&lt;VLOOKUP($B265,'SA Power Bonds'!$A$54:$K$64,5,FALSE),(VLOOKUP($B265,'SA Power Bonds'!$A$54:$K$64,8,FALSE)/100)*(VLOOKUP($B265,'SA Power Bonds'!$A$54:$K$64,9,FALSE))*(VLOOKUP($B265,'SA Power Bonds'!$A$54:$K$64,6,FALSE)),(VLOOKUP($B265,'SA Power Bonds'!$A$54:$K$64,6,FALSE)))</f>
        <v>4.6339999999999995</v>
      </c>
      <c r="N267" s="182">
        <f>IF(N266&lt;VLOOKUP($B265,'SA Power Bonds'!$A$54:$K$64,5,FALSE),(VLOOKUP($B265,'SA Power Bonds'!$A$54:$K$64,8,FALSE)/100)*(VLOOKUP($B265,'SA Power Bonds'!$A$54:$K$64,9,FALSE))*(VLOOKUP($B265,'SA Power Bonds'!$A$54:$K$64,6,FALSE)),(VLOOKUP($B265,'SA Power Bonds'!$A$54:$K$64,6,FALSE)))</f>
        <v>4.6339999999999995</v>
      </c>
      <c r="O267" s="182">
        <f>IF(O266&lt;VLOOKUP($B265,'SA Power Bonds'!$A$54:$K$64,5,FALSE),(VLOOKUP($B265,'SA Power Bonds'!$A$54:$K$64,8,FALSE)/100)*(VLOOKUP($B265,'SA Power Bonds'!$A$54:$K$64,9,FALSE))*(VLOOKUP($B265,'SA Power Bonds'!$A$54:$K$64,6,FALSE)),(VLOOKUP($B265,'SA Power Bonds'!$A$54:$K$64,6,FALSE)))</f>
        <v>4.6339999999999995</v>
      </c>
      <c r="P267" s="182">
        <f>IF(P266&lt;VLOOKUP($B265,'SA Power Bonds'!$A$54:$K$64,5,FALSE),(VLOOKUP($B265,'SA Power Bonds'!$A$54:$K$64,8,FALSE)/100)*(VLOOKUP($B265,'SA Power Bonds'!$A$54:$K$64,9,FALSE))*(VLOOKUP($B265,'SA Power Bonds'!$A$54:$K$64,6,FALSE)),(VLOOKUP($B265,'SA Power Bonds'!$A$54:$K$64,6,FALSE)))</f>
        <v>4.6339999999999995</v>
      </c>
      <c r="Q267" s="182">
        <f>IF(Q266&lt;VLOOKUP($B265,'SA Power Bonds'!$A$54:$K$64,5,FALSE),(VLOOKUP($B265,'SA Power Bonds'!$A$54:$K$64,8,FALSE)/100)*(VLOOKUP($B265,'SA Power Bonds'!$A$54:$K$64,9,FALSE))*(VLOOKUP($B265,'SA Power Bonds'!$A$54:$K$64,6,FALSE)),(VLOOKUP($B265,'SA Power Bonds'!$A$54:$K$64,6,FALSE)))</f>
        <v>4.6339999999999995</v>
      </c>
      <c r="R267" s="182">
        <f>IF(R266&lt;VLOOKUP($B265,'SA Power Bonds'!$A$54:$K$64,5,FALSE),(VLOOKUP($B265,'SA Power Bonds'!$A$54:$K$64,8,FALSE)/100)*(VLOOKUP($B265,'SA Power Bonds'!$A$54:$K$64,9,FALSE))*(VLOOKUP($B265,'SA Power Bonds'!$A$54:$K$64,6,FALSE)),(VLOOKUP($B265,'SA Power Bonds'!$A$54:$K$64,6,FALSE)))</f>
        <v>4.6339999999999995</v>
      </c>
      <c r="S267" s="182">
        <f>IF(S266&lt;VLOOKUP($B265,'SA Power Bonds'!$A$54:$K$64,5,FALSE),(VLOOKUP($B265,'SA Power Bonds'!$A$54:$K$64,8,FALSE)/100)*(VLOOKUP($B265,'SA Power Bonds'!$A$54:$K$64,9,FALSE))*(VLOOKUP($B265,'SA Power Bonds'!$A$54:$K$64,6,FALSE)),(VLOOKUP($B265,'SA Power Bonds'!$A$54:$K$64,6,FALSE)))</f>
        <v>4.6339999999999995</v>
      </c>
      <c r="T267" s="182">
        <f>IF(T266&lt;VLOOKUP($B265,'SA Power Bonds'!$A$54:$K$64,5,FALSE),(VLOOKUP($B265,'SA Power Bonds'!$A$54:$K$64,8,FALSE)/100)*(VLOOKUP($B265,'SA Power Bonds'!$A$54:$K$64,9,FALSE))*(VLOOKUP($B265,'SA Power Bonds'!$A$54:$K$64,6,FALSE)),(VLOOKUP($B265,'SA Power Bonds'!$A$54:$K$64,6,FALSE)))</f>
        <v>4.6339999999999995</v>
      </c>
      <c r="U267" s="182">
        <f>IF(U266&lt;VLOOKUP($B265,'SA Power Bonds'!$A$54:$K$64,5,FALSE),(VLOOKUP($B265,'SA Power Bonds'!$A$54:$K$64,8,FALSE)/100)*(VLOOKUP($B265,'SA Power Bonds'!$A$54:$K$64,9,FALSE))*(VLOOKUP($B265,'SA Power Bonds'!$A$54:$K$64,6,FALSE)),(VLOOKUP($B265,'SA Power Bonds'!$A$54:$K$64,6,FALSE)))</f>
        <v>4.6339999999999995</v>
      </c>
      <c r="V267" s="182">
        <f>IF(V266&lt;VLOOKUP($B265,'SA Power Bonds'!$A$54:$K$64,5,FALSE),(VLOOKUP($B265,'SA Power Bonds'!$A$54:$K$64,8,FALSE)/100)*(VLOOKUP($B265,'SA Power Bonds'!$A$54:$K$64,9,FALSE))*(VLOOKUP($B265,'SA Power Bonds'!$A$54:$K$64,6,FALSE)),(VLOOKUP($B265,'SA Power Bonds'!$A$54:$K$64,6,FALSE)))</f>
        <v>4.6339999999999995</v>
      </c>
      <c r="W267" s="182">
        <f>IF(W266&lt;VLOOKUP($B265,'SA Power Bonds'!$A$54:$K$64,5,FALSE),(VLOOKUP($B265,'SA Power Bonds'!$A$54:$K$64,8,FALSE)/100)*(VLOOKUP($B265,'SA Power Bonds'!$A$54:$K$64,9,FALSE))*(VLOOKUP($B265,'SA Power Bonds'!$A$54:$K$64,6,FALSE)),(VLOOKUP($B265,'SA Power Bonds'!$A$54:$K$64,6,FALSE)))</f>
        <v>4.6339999999999995</v>
      </c>
      <c r="X267" s="182">
        <f>IF(X266&lt;VLOOKUP($B265,'SA Power Bonds'!$A$54:$K$64,5,FALSE),(VLOOKUP($B265,'SA Power Bonds'!$A$54:$K$64,8,FALSE)/100)*(VLOOKUP($B265,'SA Power Bonds'!$A$54:$K$64,9,FALSE))*(VLOOKUP($B265,'SA Power Bonds'!$A$54:$K$64,6,FALSE)),(VLOOKUP($B265,'SA Power Bonds'!$A$54:$K$64,6,FALSE)))</f>
        <v>4.6339999999999995</v>
      </c>
      <c r="Y267" s="182">
        <f>IF(Y266&lt;VLOOKUP($B265,'SA Power Bonds'!$A$54:$K$64,5,FALSE),(VLOOKUP($B265,'SA Power Bonds'!$A$54:$K$64,8,FALSE)/100)*(VLOOKUP($B265,'SA Power Bonds'!$A$54:$K$64,9,FALSE))*(VLOOKUP($B265,'SA Power Bonds'!$A$54:$K$64,6,FALSE)),(VLOOKUP($B265,'SA Power Bonds'!$A$54:$K$64,6,FALSE)))</f>
        <v>4.6339999999999995</v>
      </c>
      <c r="Z267" s="182">
        <f>IF(Z266&lt;VLOOKUP($B265,'SA Power Bonds'!$A$54:$K$64,5,FALSE),(VLOOKUP($B265,'SA Power Bonds'!$A$54:$K$64,8,FALSE)/100)*(VLOOKUP($B265,'SA Power Bonds'!$A$54:$K$64,9,FALSE))*(VLOOKUP($B265,'SA Power Bonds'!$A$54:$K$64,6,FALSE)),(VLOOKUP($B265,'SA Power Bonds'!$A$54:$K$64,6,FALSE)))</f>
        <v>4.6339999999999995</v>
      </c>
      <c r="AA267" s="182">
        <f>IF(AA266&lt;VLOOKUP($B265,'SA Power Bonds'!$A$54:$K$64,5,FALSE),(VLOOKUP($B265,'SA Power Bonds'!$A$54:$K$64,8,FALSE)/100)*(VLOOKUP($B265,'SA Power Bonds'!$A$54:$K$64,9,FALSE))*(VLOOKUP($B265,'SA Power Bonds'!$A$54:$K$64,6,FALSE)),(VLOOKUP($B265,'SA Power Bonds'!$A$54:$K$64,6,FALSE)))</f>
        <v>4.6339999999999995</v>
      </c>
      <c r="AB267" s="182">
        <f>IF(AB266&lt;VLOOKUP($B265,'SA Power Bonds'!$A$54:$K$64,5,FALSE),(VLOOKUP($B265,'SA Power Bonds'!$A$54:$K$64,8,FALSE)/100)*(VLOOKUP($B265,'SA Power Bonds'!$A$54:$K$64,9,FALSE))*(VLOOKUP($B265,'SA Power Bonds'!$A$54:$K$64,6,FALSE)),(VLOOKUP($B265,'SA Power Bonds'!$A$54:$K$64,6,FALSE)))</f>
        <v>4.6339999999999995</v>
      </c>
      <c r="AC267" s="182">
        <f>IF(AC266&lt;VLOOKUP($B265,'SA Power Bonds'!$A$54:$K$64,5,FALSE),(VLOOKUP($B265,'SA Power Bonds'!$A$54:$K$64,8,FALSE)/100)*(VLOOKUP($B265,'SA Power Bonds'!$A$54:$K$64,9,FALSE))*(VLOOKUP($B265,'SA Power Bonds'!$A$54:$K$64,6,FALSE)),(VLOOKUP($B265,'SA Power Bonds'!$A$54:$K$64,6,FALSE)))</f>
        <v>4.6339999999999995</v>
      </c>
      <c r="AD267" s="182">
        <f>IF(AD266&lt;VLOOKUP($B265,'SA Power Bonds'!$A$54:$K$64,5,FALSE),(VLOOKUP($B265,'SA Power Bonds'!$A$54:$K$64,8,FALSE)/100)*(VLOOKUP($B265,'SA Power Bonds'!$A$54:$K$64,9,FALSE))*(VLOOKUP($B265,'SA Power Bonds'!$A$54:$K$64,6,FALSE)),(VLOOKUP($B265,'SA Power Bonds'!$A$54:$K$64,6,FALSE)))</f>
        <v>4.6339999999999995</v>
      </c>
      <c r="AE267" s="182">
        <f>IF(AE266&lt;VLOOKUP($B265,'SA Power Bonds'!$A$54:$K$64,5,FALSE),(VLOOKUP($B265,'SA Power Bonds'!$A$54:$K$64,8,FALSE)/100)*(VLOOKUP($B265,'SA Power Bonds'!$A$54:$K$64,9,FALSE))*(VLOOKUP($B265,'SA Power Bonds'!$A$54:$K$64,6,FALSE)),(VLOOKUP($B265,'SA Power Bonds'!$A$54:$K$64,6,FALSE)))</f>
        <v>4.6339999999999995</v>
      </c>
      <c r="AF267" s="182">
        <f>IF(AF266&lt;VLOOKUP($B265,'SA Power Bonds'!$A$54:$K$64,5,FALSE),(VLOOKUP($B265,'SA Power Bonds'!$A$54:$K$64,8,FALSE)/100)*(VLOOKUP($B265,'SA Power Bonds'!$A$54:$K$64,9,FALSE))*(VLOOKUP($B265,'SA Power Bonds'!$A$54:$K$64,6,FALSE)),(VLOOKUP($B265,'SA Power Bonds'!$A$54:$K$64,6,FALSE)))</f>
        <v>4.6339999999999995</v>
      </c>
      <c r="AG267" s="182">
        <f>IF(AG266&lt;VLOOKUP($B265,'SA Power Bonds'!$A$54:$K$64,5,FALSE),(VLOOKUP($B265,'SA Power Bonds'!$A$54:$K$64,8,FALSE)/100)*(VLOOKUP($B265,'SA Power Bonds'!$A$54:$K$64,9,FALSE))*(VLOOKUP($B265,'SA Power Bonds'!$A$54:$K$64,6,FALSE)),(VLOOKUP($B265,'SA Power Bonds'!$A$54:$K$64,6,FALSE)))</f>
        <v>4.6339999999999995</v>
      </c>
      <c r="AH267" s="182">
        <f>IF(AH266&lt;VLOOKUP($B265,'SA Power Bonds'!$A$54:$K$64,5,FALSE),(VLOOKUP($B265,'SA Power Bonds'!$A$54:$K$64,8,FALSE)/100)*(VLOOKUP($B265,'SA Power Bonds'!$A$54:$K$64,9,FALSE))*(VLOOKUP($B265,'SA Power Bonds'!$A$54:$K$64,6,FALSE)),(VLOOKUP($B265,'SA Power Bonds'!$A$54:$K$64,6,FALSE)))</f>
        <v>4.6339999999999995</v>
      </c>
      <c r="AI267" s="182">
        <f>IF(AI266&lt;VLOOKUP($B265,'SA Power Bonds'!$A$54:$K$64,5,FALSE),(VLOOKUP($B265,'SA Power Bonds'!$A$54:$K$64,8,FALSE)/100)*(VLOOKUP($B265,'SA Power Bonds'!$A$54:$K$64,9,FALSE))*(VLOOKUP($B265,'SA Power Bonds'!$A$54:$K$64,6,FALSE)),(VLOOKUP($B265,'SA Power Bonds'!$A$54:$K$64,6,FALSE)))</f>
        <v>280</v>
      </c>
    </row>
    <row r="268" spans="2:39">
      <c r="B268" s="135">
        <v>42551</v>
      </c>
    </row>
    <row r="269" spans="2:39">
      <c r="B269" t="s">
        <v>210</v>
      </c>
      <c r="E269" s="182">
        <f>(E$266-$B268)/365</f>
        <v>0.61643835616438358</v>
      </c>
      <c r="F269" s="182">
        <f t="shared" ref="F269:AC269" si="1340">(F$266-$B268)/365</f>
        <v>1.1164383561643836</v>
      </c>
      <c r="G269" s="182">
        <f t="shared" si="1340"/>
        <v>1.6164383561643836</v>
      </c>
      <c r="H269" s="182">
        <f t="shared" si="1340"/>
        <v>2.1164383561643834</v>
      </c>
      <c r="I269" s="182">
        <f t="shared" si="1340"/>
        <v>2.6164383561643834</v>
      </c>
      <c r="J269" s="182">
        <f t="shared" si="1340"/>
        <v>3.1164383561643834</v>
      </c>
      <c r="K269" s="182">
        <f t="shared" si="1340"/>
        <v>3.6164383561643834</v>
      </c>
      <c r="L269" s="182">
        <f t="shared" si="1340"/>
        <v>4.1164383561643838</v>
      </c>
      <c r="M269" s="182">
        <f t="shared" si="1340"/>
        <v>4.6164383561643838</v>
      </c>
      <c r="N269" s="182">
        <f t="shared" si="1340"/>
        <v>5.1164383561643838</v>
      </c>
      <c r="O269" s="182">
        <f t="shared" si="1340"/>
        <v>5.6164383561643838</v>
      </c>
      <c r="P269" s="182">
        <f t="shared" si="1340"/>
        <v>6.1164383561643838</v>
      </c>
      <c r="Q269" s="182">
        <f t="shared" si="1340"/>
        <v>6.6164383561643838</v>
      </c>
      <c r="R269" s="182">
        <f t="shared" si="1340"/>
        <v>7.1164383561643838</v>
      </c>
      <c r="S269" s="182">
        <f t="shared" si="1340"/>
        <v>7.6164383561643838</v>
      </c>
      <c r="T269" s="182">
        <f t="shared" si="1340"/>
        <v>8.1164383561643838</v>
      </c>
      <c r="U269" s="182">
        <f t="shared" si="1340"/>
        <v>8.6164383561643838</v>
      </c>
      <c r="V269" s="182">
        <f t="shared" si="1340"/>
        <v>9.1164383561643838</v>
      </c>
      <c r="W269" s="182">
        <f t="shared" si="1340"/>
        <v>9.6164383561643838</v>
      </c>
      <c r="X269" s="182">
        <f t="shared" si="1340"/>
        <v>10.116438356164384</v>
      </c>
      <c r="Y269" s="182">
        <f t="shared" si="1340"/>
        <v>10.616438356164384</v>
      </c>
      <c r="Z269" s="182">
        <f t="shared" si="1340"/>
        <v>11.116438356164384</v>
      </c>
      <c r="AA269" s="182">
        <f t="shared" si="1340"/>
        <v>11.616438356164384</v>
      </c>
      <c r="AB269" s="182">
        <f t="shared" si="1340"/>
        <v>12.116438356164384</v>
      </c>
      <c r="AC269" s="182">
        <f t="shared" si="1340"/>
        <v>12.616438356164384</v>
      </c>
      <c r="AD269" s="182">
        <f t="shared" ref="AD269" si="1341">(AD$266-$B268)/365</f>
        <v>13.116438356164384</v>
      </c>
      <c r="AE269" s="182">
        <f t="shared" ref="AE269" si="1342">(AE$266-$B268)/365</f>
        <v>13.616438356164384</v>
      </c>
      <c r="AF269" s="182">
        <f t="shared" ref="AF269" si="1343">(AF$266-$B268)/365</f>
        <v>14.116438356164384</v>
      </c>
      <c r="AG269" s="182">
        <f t="shared" ref="AG269" si="1344">(AG$266-$B268)/365</f>
        <v>14.616438356164384</v>
      </c>
      <c r="AH269" s="182">
        <f t="shared" ref="AH269" si="1345">(AH$266-$B268)/365</f>
        <v>15.116438356164384</v>
      </c>
      <c r="AI269" s="182">
        <f t="shared" ref="AI269" si="1346">(AI$266-$B268)/365</f>
        <v>15.12054794520548</v>
      </c>
    </row>
    <row r="270" spans="2:39">
      <c r="B270" t="s">
        <v>211</v>
      </c>
      <c r="E270" s="183">
        <f>1+((INDEX('Yield Curve'!$B$48:$P$91,MATCH(ROUND(E269,0),'Yield Curve'!$B$48:$B$91,0),MATCH(YEAR($B268),'Yield Curve'!$B$48:$P$48,0)))/100)</f>
        <v>1.0406</v>
      </c>
      <c r="F270" s="183">
        <f>1+((INDEX('Yield Curve'!$B$48:$P$91,MATCH(ROUND(F269,0),'Yield Curve'!$B$48:$B$91,0),MATCH(YEAR($B268),'Yield Curve'!$B$48:$P$48,0)))/100)</f>
        <v>1.0406</v>
      </c>
      <c r="G270" s="183">
        <f>1+((INDEX('Yield Curve'!$B$48:$P$91,MATCH(ROUND(G269,0),'Yield Curve'!$B$48:$B$91,0),MATCH(YEAR($B268),'Yield Curve'!$B$48:$P$48,0)))/100)</f>
        <v>1.0406</v>
      </c>
      <c r="H270" s="183">
        <f>1+((INDEX('Yield Curve'!$B$48:$P$91,MATCH(ROUND(H269,0),'Yield Curve'!$B$48:$B$91,0),MATCH(YEAR($B268),'Yield Curve'!$B$48:$P$48,0)))/100)</f>
        <v>1.0406</v>
      </c>
      <c r="I270" s="183">
        <f>1+((INDEX('Yield Curve'!$B$48:$P$91,MATCH(ROUND(I269,0),'Yield Curve'!$B$48:$B$91,0),MATCH(YEAR($B268),'Yield Curve'!$B$48:$P$48,0)))/100)</f>
        <v>1.0406</v>
      </c>
      <c r="J270" s="183">
        <f>1+((INDEX('Yield Curve'!$B$48:$P$91,MATCH(ROUND(J269,0),'Yield Curve'!$B$48:$B$91,0),MATCH(YEAR($B268),'Yield Curve'!$B$48:$P$48,0)))/100)</f>
        <v>1.0406</v>
      </c>
      <c r="K270" s="183">
        <f>1+((INDEX('Yield Curve'!$B$48:$P$91,MATCH(ROUND(K269,0),'Yield Curve'!$B$48:$B$91,0),MATCH(YEAR($B268),'Yield Curve'!$B$48:$P$48,0)))/100)</f>
        <v>1.042025</v>
      </c>
      <c r="L270" s="183">
        <f>1+((INDEX('Yield Curve'!$B$48:$P$91,MATCH(ROUND(L269,0),'Yield Curve'!$B$48:$B$91,0),MATCH(YEAR($B268),'Yield Curve'!$B$48:$P$48,0)))/100)</f>
        <v>1.042025</v>
      </c>
      <c r="M270" s="183">
        <f>1+((INDEX('Yield Curve'!$B$48:$P$91,MATCH(ROUND(M269,0),'Yield Curve'!$B$48:$B$91,0),MATCH(YEAR($B268),'Yield Curve'!$B$48:$P$48,0)))/100)</f>
        <v>1.04345</v>
      </c>
      <c r="N270" s="183">
        <f>1+((INDEX('Yield Curve'!$B$48:$P$91,MATCH(ROUND(N269,0),'Yield Curve'!$B$48:$B$91,0),MATCH(YEAR($B268),'Yield Curve'!$B$48:$P$48,0)))/100)</f>
        <v>1.04345</v>
      </c>
      <c r="O270" s="183">
        <f>1+((INDEX('Yield Curve'!$B$48:$P$91,MATCH(ROUND(O269,0),'Yield Curve'!$B$48:$B$91,0),MATCH(YEAR($B268),'Yield Curve'!$B$48:$P$48,0)))/100)</f>
        <v>1.0443500000000001</v>
      </c>
      <c r="P270" s="183">
        <f>1+((INDEX('Yield Curve'!$B$48:$P$91,MATCH(ROUND(P269,0),'Yield Curve'!$B$48:$B$91,0),MATCH(YEAR($B268),'Yield Curve'!$B$48:$P$48,0)))/100)</f>
        <v>1.0443500000000001</v>
      </c>
      <c r="Q270" s="183">
        <f>1+((INDEX('Yield Curve'!$B$48:$P$91,MATCH(ROUND(Q269,0),'Yield Curve'!$B$48:$B$91,0),MATCH(YEAR($B268),'Yield Curve'!$B$48:$P$48,0)))/100)</f>
        <v>1.04525</v>
      </c>
      <c r="R270" s="183">
        <f>1+((INDEX('Yield Curve'!$B$48:$P$91,MATCH(ROUND(R269,0),'Yield Curve'!$B$48:$B$91,0),MATCH(YEAR($B268),'Yield Curve'!$B$48:$P$48,0)))/100)</f>
        <v>1.04525</v>
      </c>
      <c r="S270" s="183">
        <f>1+((INDEX('Yield Curve'!$B$48:$P$91,MATCH(ROUND(S269,0),'Yield Curve'!$B$48:$B$91,0),MATCH(YEAR($B268),'Yield Curve'!$B$48:$P$48,0)))/100)</f>
        <v>1.0457375</v>
      </c>
      <c r="T270" s="183">
        <f>1+((INDEX('Yield Curve'!$B$48:$P$91,MATCH(ROUND(T269,0),'Yield Curve'!$B$48:$B$91,0),MATCH(YEAR($B268),'Yield Curve'!$B$48:$P$48,0)))/100)</f>
        <v>1.0457375</v>
      </c>
      <c r="U270" s="183">
        <f>1+((INDEX('Yield Curve'!$B$48:$P$91,MATCH(ROUND(U269,0),'Yield Curve'!$B$48:$B$91,0),MATCH(YEAR($B268),'Yield Curve'!$B$48:$P$48,0)))/100)</f>
        <v>1.0467124999999999</v>
      </c>
      <c r="V270" s="183">
        <f>1+((INDEX('Yield Curve'!$B$48:$P$91,MATCH(ROUND(V269,0),'Yield Curve'!$B$48:$B$91,0),MATCH(YEAR($B268),'Yield Curve'!$B$48:$P$48,0)))/100)</f>
        <v>1.0467124999999999</v>
      </c>
      <c r="W270" s="183">
        <f>1+((INDEX('Yield Curve'!$B$48:$P$91,MATCH(ROUND(W269,0),'Yield Curve'!$B$48:$B$91,0),MATCH(YEAR($B268),'Yield Curve'!$B$48:$P$48,0)))/100)</f>
        <v>1.0471999999999999</v>
      </c>
      <c r="X270" s="183">
        <f>1+((INDEX('Yield Curve'!$B$48:$P$91,MATCH(ROUND(X269,0),'Yield Curve'!$B$48:$B$91,0),MATCH(YEAR($B268),'Yield Curve'!$B$48:$P$48,0)))/100)</f>
        <v>1.0471999999999999</v>
      </c>
      <c r="Y270" s="183">
        <f>1+((INDEX('Yield Curve'!$B$48:$P$91,MATCH(ROUND(Y269,0),'Yield Curve'!$B$48:$B$91,0),MATCH(YEAR($B268),'Yield Curve'!$B$48:$P$48,0)))/100)</f>
        <v>1.0471999999999999</v>
      </c>
      <c r="Z270" s="183">
        <f>1+((INDEX('Yield Curve'!$B$48:$P$91,MATCH(ROUND(Z269,0),'Yield Curve'!$B$48:$B$91,0),MATCH(YEAR($B268),'Yield Curve'!$B$48:$P$48,0)))/100)</f>
        <v>1.0471999999999999</v>
      </c>
      <c r="AA270" s="183">
        <f>1+((INDEX('Yield Curve'!$B$48:$P$91,MATCH(ROUND(AA269,0),'Yield Curve'!$B$48:$B$91,0),MATCH(YEAR($B268),'Yield Curve'!$B$48:$P$48,0)))/100)</f>
        <v>1.0471999999999999</v>
      </c>
      <c r="AB270" s="183">
        <f>1+((INDEX('Yield Curve'!$B$48:$P$91,MATCH(ROUND(AB269,0),'Yield Curve'!$B$48:$B$91,0),MATCH(YEAR($B268),'Yield Curve'!$B$48:$P$48,0)))/100)</f>
        <v>1.0471999999999999</v>
      </c>
      <c r="AC270" s="183">
        <f>1+((INDEX('Yield Curve'!$B$48:$P$91,MATCH(ROUND(AC269,0),'Yield Curve'!$B$48:$B$91,0),MATCH(YEAR($B268),'Yield Curve'!$B$48:$P$48,0)))/100)</f>
        <v>1.0471999999999999</v>
      </c>
      <c r="AD270" s="183">
        <f>1+((INDEX('Yield Curve'!$B$48:$P$91,MATCH(ROUND(AD269,0),'Yield Curve'!$B$48:$B$91,0),MATCH(YEAR($B268),'Yield Curve'!$B$48:$P$48,0)))/100)</f>
        <v>1.0471999999999999</v>
      </c>
      <c r="AE270" s="183">
        <f>1+((INDEX('Yield Curve'!$B$48:$P$91,MATCH(ROUND(AE269,0),'Yield Curve'!$B$48:$B$91,0),MATCH(YEAR($B268),'Yield Curve'!$B$48:$P$48,0)))/100)</f>
        <v>1.0471999999999999</v>
      </c>
      <c r="AF270" s="183">
        <f>1+((INDEX('Yield Curve'!$B$48:$P$91,MATCH(ROUND(AF269,0),'Yield Curve'!$B$48:$B$91,0),MATCH(YEAR($B268),'Yield Curve'!$B$48:$P$48,0)))/100)</f>
        <v>1.0471999999999999</v>
      </c>
      <c r="AG270" s="183">
        <f>1+((INDEX('Yield Curve'!$B$48:$P$91,MATCH(ROUND(AG269,0),'Yield Curve'!$B$48:$B$91,0),MATCH(YEAR($B268),'Yield Curve'!$B$48:$P$48,0)))/100)</f>
        <v>1.0471999999999999</v>
      </c>
      <c r="AH270" s="183">
        <f>1+((INDEX('Yield Curve'!$B$48:$P$91,MATCH(ROUND(AH269,0),'Yield Curve'!$B$48:$B$91,0),MATCH(YEAR($B268),'Yield Curve'!$B$48:$P$48,0)))/100)</f>
        <v>1.0471999999999999</v>
      </c>
      <c r="AI270" s="183">
        <f>1+((INDEX('Yield Curve'!$B$48:$P$91,MATCH(ROUND(AI269,0),'Yield Curve'!$B$48:$B$91,0),MATCH(YEAR($B268),'Yield Curve'!$B$48:$P$48,0)))/100)</f>
        <v>1.0471999999999999</v>
      </c>
    </row>
    <row r="271" spans="2:39">
      <c r="B271" t="s">
        <v>212</v>
      </c>
      <c r="C271" s="182">
        <f>SUM(D271:AM271)</f>
        <v>238.9452366426772</v>
      </c>
      <c r="E271" s="182">
        <f>E$267/(E270^E269)</f>
        <v>4.5216986876802627</v>
      </c>
      <c r="F271" s="182">
        <f t="shared" ref="F271:AC271" si="1347">F$267/(F270^F269)</f>
        <v>4.4326119007537361</v>
      </c>
      <c r="G271" s="182">
        <f t="shared" si="1347"/>
        <v>4.3452803072076325</v>
      </c>
      <c r="H271" s="182">
        <f t="shared" si="1347"/>
        <v>4.259669326113527</v>
      </c>
      <c r="I271" s="182">
        <f t="shared" si="1347"/>
        <v>4.1757450578585749</v>
      </c>
      <c r="J271" s="182">
        <f t="shared" si="1347"/>
        <v>4.0934742707222052</v>
      </c>
      <c r="K271" s="182">
        <f t="shared" si="1347"/>
        <v>3.9930140965317964</v>
      </c>
      <c r="L271" s="182">
        <f t="shared" si="1347"/>
        <v>3.911666080182933</v>
      </c>
      <c r="M271" s="182">
        <f t="shared" si="1347"/>
        <v>3.807876253002541</v>
      </c>
      <c r="N271" s="182">
        <f t="shared" si="1347"/>
        <v>3.7277519383089621</v>
      </c>
      <c r="O271" s="182">
        <f t="shared" si="1347"/>
        <v>3.6316855079861465</v>
      </c>
      <c r="P271" s="182">
        <f t="shared" si="1347"/>
        <v>3.5537362919207403</v>
      </c>
      <c r="Q271" s="182">
        <f t="shared" si="1347"/>
        <v>3.4576968818199876</v>
      </c>
      <c r="R271" s="182">
        <f t="shared" si="1347"/>
        <v>3.3820251291518306</v>
      </c>
      <c r="S271" s="182">
        <f t="shared" si="1347"/>
        <v>3.2962820766051921</v>
      </c>
      <c r="T271" s="182">
        <f t="shared" si="1347"/>
        <v>3.2233912894521941</v>
      </c>
      <c r="U271" s="182">
        <f t="shared" si="1347"/>
        <v>3.1269027049394444</v>
      </c>
      <c r="V271" s="182">
        <f t="shared" si="1347"/>
        <v>3.0563329452853183</v>
      </c>
      <c r="W271" s="182">
        <f t="shared" si="1347"/>
        <v>2.9740091009125691</v>
      </c>
      <c r="X271" s="182">
        <f t="shared" si="1347"/>
        <v>2.9062132362626678</v>
      </c>
      <c r="Y271" s="182">
        <f t="shared" si="1347"/>
        <v>2.8399628541945847</v>
      </c>
      <c r="Z271" s="182">
        <f t="shared" si="1347"/>
        <v>2.7752227237038465</v>
      </c>
      <c r="AA271" s="182">
        <f t="shared" si="1347"/>
        <v>2.711958416916143</v>
      </c>
      <c r="AB271" s="182">
        <f t="shared" si="1347"/>
        <v>2.6501362907790744</v>
      </c>
      <c r="AC271" s="182">
        <f t="shared" si="1347"/>
        <v>2.5897234691712598</v>
      </c>
      <c r="AD271" s="182">
        <f t="shared" ref="AD271" si="1348">AD$267/(AD270^AD269)</f>
        <v>2.5306878254192848</v>
      </c>
      <c r="AE271" s="182">
        <f t="shared" ref="AE271" si="1349">AE$267/(AE270^AE269)</f>
        <v>2.4729979652131968</v>
      </c>
      <c r="AF271" s="182">
        <f t="shared" ref="AF271" si="1350">AF$267/(AF270^AF269)</f>
        <v>2.4166232099114637</v>
      </c>
      <c r="AG271" s="182">
        <f t="shared" ref="AG271" si="1351">AG$267/(AG270^AG269)</f>
        <v>2.3615335802265061</v>
      </c>
      <c r="AH271" s="182">
        <f t="shared" ref="AH271" si="1352">AH$267/(AH270^AH269)</f>
        <v>2.3076997802821464</v>
      </c>
      <c r="AI271" s="182">
        <f t="shared" ref="AI271" si="1353">AI$267/(AI270^AI269)</f>
        <v>139.41162744416144</v>
      </c>
    </row>
    <row r="272" spans="2:39">
      <c r="B272" s="135">
        <v>42916</v>
      </c>
    </row>
    <row r="273" spans="2:35">
      <c r="B273" t="s">
        <v>210</v>
      </c>
      <c r="G273" s="182">
        <f t="shared" ref="G273" si="1354">(G$266-$B272)/365</f>
        <v>0.61643835616438358</v>
      </c>
      <c r="H273" s="182">
        <f t="shared" ref="H273" si="1355">(H$266-$B272)/365</f>
        <v>1.1164383561643836</v>
      </c>
      <c r="I273" s="182">
        <f t="shared" ref="I273" si="1356">(I$266-$B272)/365</f>
        <v>1.6164383561643836</v>
      </c>
      <c r="J273" s="182">
        <f t="shared" ref="J273" si="1357">(J$266-$B272)/365</f>
        <v>2.1164383561643834</v>
      </c>
      <c r="K273" s="182">
        <f t="shared" ref="K273" si="1358">(K$266-$B272)/365</f>
        <v>2.6164383561643834</v>
      </c>
      <c r="L273" s="182">
        <f t="shared" ref="L273" si="1359">(L$266-$B272)/365</f>
        <v>3.1164383561643834</v>
      </c>
      <c r="M273" s="182">
        <f t="shared" ref="M273" si="1360">(M$266-$B272)/365</f>
        <v>3.6164383561643834</v>
      </c>
      <c r="N273" s="182">
        <f t="shared" ref="N273" si="1361">(N$266-$B272)/365</f>
        <v>4.1164383561643838</v>
      </c>
      <c r="O273" s="182">
        <f t="shared" ref="O273" si="1362">(O$266-$B272)/365</f>
        <v>4.6164383561643838</v>
      </c>
      <c r="P273" s="182">
        <f t="shared" ref="P273" si="1363">(P$266-$B272)/365</f>
        <v>5.1164383561643838</v>
      </c>
      <c r="Q273" s="182">
        <f t="shared" ref="Q273" si="1364">(Q$266-$B272)/365</f>
        <v>5.6164383561643838</v>
      </c>
      <c r="R273" s="182">
        <f t="shared" ref="R273" si="1365">(R$266-$B272)/365</f>
        <v>6.1164383561643838</v>
      </c>
      <c r="S273" s="182">
        <f t="shared" ref="S273" si="1366">(S$266-$B272)/365</f>
        <v>6.6164383561643838</v>
      </c>
      <c r="T273" s="182">
        <f t="shared" ref="T273" si="1367">(T$266-$B272)/365</f>
        <v>7.1164383561643838</v>
      </c>
      <c r="U273" s="182">
        <f t="shared" ref="U273" si="1368">(U$266-$B272)/365</f>
        <v>7.6164383561643838</v>
      </c>
      <c r="V273" s="182">
        <f t="shared" ref="V273" si="1369">(V$266-$B272)/365</f>
        <v>8.1164383561643838</v>
      </c>
      <c r="W273" s="182">
        <f t="shared" ref="W273" si="1370">(W$266-$B272)/365</f>
        <v>8.6164383561643838</v>
      </c>
      <c r="X273" s="182">
        <f t="shared" ref="X273" si="1371">(X$266-$B272)/365</f>
        <v>9.1164383561643838</v>
      </c>
      <c r="Y273" s="182">
        <f t="shared" ref="Y273" si="1372">(Y$266-$B272)/365</f>
        <v>9.6164383561643838</v>
      </c>
      <c r="Z273" s="182">
        <f t="shared" ref="Z273" si="1373">(Z$266-$B272)/365</f>
        <v>10.116438356164384</v>
      </c>
      <c r="AA273" s="182">
        <f t="shared" ref="AA273" si="1374">(AA$266-$B272)/365</f>
        <v>10.616438356164384</v>
      </c>
      <c r="AB273" s="182">
        <f t="shared" ref="AB273" si="1375">(AB$266-$B272)/365</f>
        <v>11.116438356164384</v>
      </c>
      <c r="AC273" s="182">
        <f t="shared" ref="AC273" si="1376">(AC$266-$B272)/365</f>
        <v>11.616438356164384</v>
      </c>
      <c r="AD273" s="182">
        <f t="shared" ref="AD273" si="1377">(AD$266-$B272)/365</f>
        <v>12.116438356164384</v>
      </c>
      <c r="AE273" s="182">
        <f t="shared" ref="AE273" si="1378">(AE$266-$B272)/365</f>
        <v>12.616438356164384</v>
      </c>
      <c r="AF273" s="182">
        <f t="shared" ref="AF273" si="1379">(AF$266-$B272)/365</f>
        <v>13.116438356164384</v>
      </c>
      <c r="AG273" s="182">
        <f t="shared" ref="AG273" si="1380">(AG$266-$B272)/365</f>
        <v>13.616438356164384</v>
      </c>
      <c r="AH273" s="182">
        <f t="shared" ref="AH273" si="1381">(AH$266-$B272)/365</f>
        <v>14.116438356164384</v>
      </c>
      <c r="AI273" s="182">
        <f t="shared" ref="AI273" si="1382">(AI$266-$B272)/365</f>
        <v>14.12054794520548</v>
      </c>
    </row>
    <row r="274" spans="2:35">
      <c r="B274" t="s">
        <v>211</v>
      </c>
      <c r="G274" s="183">
        <f>1+((INDEX('Yield Curve'!$B$48:$P$91,MATCH(ROUND(G273,0),'Yield Curve'!$B$48:$B$91,0),MATCH(YEAR($B272),'Yield Curve'!$B$48:$P$48,0)))/100)</f>
        <v>1.0326500000000001</v>
      </c>
      <c r="H274" s="183">
        <f>1+((INDEX('Yield Curve'!$B$48:$P$91,MATCH(ROUND(H273,0),'Yield Curve'!$B$48:$B$91,0),MATCH(YEAR($B272),'Yield Curve'!$B$48:$P$48,0)))/100)</f>
        <v>1.0326500000000001</v>
      </c>
      <c r="I274" s="183">
        <f>1+((INDEX('Yield Curve'!$B$48:$P$91,MATCH(ROUND(I273,0),'Yield Curve'!$B$48:$B$91,0),MATCH(YEAR($B272),'Yield Curve'!$B$48:$P$48,0)))/100)</f>
        <v>1.0326500000000001</v>
      </c>
      <c r="J274" s="183">
        <f>1+((INDEX('Yield Curve'!$B$48:$P$91,MATCH(ROUND(J273,0),'Yield Curve'!$B$48:$B$91,0),MATCH(YEAR($B272),'Yield Curve'!$B$48:$P$48,0)))/100)</f>
        <v>1.0326500000000001</v>
      </c>
      <c r="K274" s="183">
        <f>1+((INDEX('Yield Curve'!$B$48:$P$91,MATCH(ROUND(K273,0),'Yield Curve'!$B$48:$B$91,0),MATCH(YEAR($B272),'Yield Curve'!$B$48:$P$48,0)))/100)</f>
        <v>1.0326500000000001</v>
      </c>
      <c r="L274" s="183">
        <f>1+((INDEX('Yield Curve'!$B$48:$P$91,MATCH(ROUND(L273,0),'Yield Curve'!$B$48:$B$91,0),MATCH(YEAR($B272),'Yield Curve'!$B$48:$P$48,0)))/100)</f>
        <v>1.0326500000000001</v>
      </c>
      <c r="M274" s="183">
        <f>1+((INDEX('Yield Curve'!$B$48:$P$91,MATCH(ROUND(M273,0),'Yield Curve'!$B$48:$B$91,0),MATCH(YEAR($B272),'Yield Curve'!$B$48:$P$48,0)))/100)</f>
        <v>1.034025</v>
      </c>
      <c r="N274" s="183">
        <f>1+((INDEX('Yield Curve'!$B$48:$P$91,MATCH(ROUND(N273,0),'Yield Curve'!$B$48:$B$91,0),MATCH(YEAR($B272),'Yield Curve'!$B$48:$P$48,0)))/100)</f>
        <v>1.034025</v>
      </c>
      <c r="O274" s="183">
        <f>1+((INDEX('Yield Curve'!$B$48:$P$91,MATCH(ROUND(O273,0),'Yield Curve'!$B$48:$B$91,0),MATCH(YEAR($B272),'Yield Curve'!$B$48:$P$48,0)))/100)</f>
        <v>1.0354000000000001</v>
      </c>
      <c r="P274" s="183">
        <f>1+((INDEX('Yield Curve'!$B$48:$P$91,MATCH(ROUND(P273,0),'Yield Curve'!$B$48:$B$91,0),MATCH(YEAR($B272),'Yield Curve'!$B$48:$P$48,0)))/100)</f>
        <v>1.0354000000000001</v>
      </c>
      <c r="Q274" s="183">
        <f>1+((INDEX('Yield Curve'!$B$48:$P$91,MATCH(ROUND(Q273,0),'Yield Curve'!$B$48:$B$91,0),MATCH(YEAR($B272),'Yield Curve'!$B$48:$P$48,0)))/100)</f>
        <v>1.0375000000000001</v>
      </c>
      <c r="R274" s="183">
        <f>1+((INDEX('Yield Curve'!$B$48:$P$91,MATCH(ROUND(R273,0),'Yield Curve'!$B$48:$B$91,0),MATCH(YEAR($B272),'Yield Curve'!$B$48:$P$48,0)))/100)</f>
        <v>1.0375000000000001</v>
      </c>
      <c r="S274" s="183">
        <f>1+((INDEX('Yield Curve'!$B$48:$P$91,MATCH(ROUND(S273,0),'Yield Curve'!$B$48:$B$91,0),MATCH(YEAR($B272),'Yield Curve'!$B$48:$P$48,0)))/100)</f>
        <v>1.0396000000000001</v>
      </c>
      <c r="T274" s="183">
        <f>1+((INDEX('Yield Curve'!$B$48:$P$91,MATCH(ROUND(T273,0),'Yield Curve'!$B$48:$B$91,0),MATCH(YEAR($B272),'Yield Curve'!$B$48:$P$48,0)))/100)</f>
        <v>1.0396000000000001</v>
      </c>
      <c r="U274" s="183">
        <f>1+((INDEX('Yield Curve'!$B$48:$P$91,MATCH(ROUND(U273,0),'Yield Curve'!$B$48:$B$91,0),MATCH(YEAR($B272),'Yield Curve'!$B$48:$P$48,0)))/100)</f>
        <v>1.0405249999999999</v>
      </c>
      <c r="V274" s="183">
        <f>1+((INDEX('Yield Curve'!$B$48:$P$91,MATCH(ROUND(V273,0),'Yield Curve'!$B$48:$B$91,0),MATCH(YEAR($B272),'Yield Curve'!$B$48:$P$48,0)))/100)</f>
        <v>1.0405249999999999</v>
      </c>
      <c r="W274" s="183">
        <f>1+((INDEX('Yield Curve'!$B$48:$P$91,MATCH(ROUND(W273,0),'Yield Curve'!$B$48:$B$91,0),MATCH(YEAR($B272),'Yield Curve'!$B$48:$P$48,0)))/100)</f>
        <v>1.0423750000000001</v>
      </c>
      <c r="X274" s="183">
        <f>1+((INDEX('Yield Curve'!$B$48:$P$91,MATCH(ROUND(X273,0),'Yield Curve'!$B$48:$B$91,0),MATCH(YEAR($B272),'Yield Curve'!$B$48:$P$48,0)))/100)</f>
        <v>1.0423750000000001</v>
      </c>
      <c r="Y274" s="183">
        <f>1+((INDEX('Yield Curve'!$B$48:$P$91,MATCH(ROUND(Y273,0),'Yield Curve'!$B$48:$B$91,0),MATCH(YEAR($B272),'Yield Curve'!$B$48:$P$48,0)))/100)</f>
        <v>1.0432999999999999</v>
      </c>
      <c r="Z274" s="183">
        <f>1+((INDEX('Yield Curve'!$B$48:$P$91,MATCH(ROUND(Z273,0),'Yield Curve'!$B$48:$B$91,0),MATCH(YEAR($B272),'Yield Curve'!$B$48:$P$48,0)))/100)</f>
        <v>1.0432999999999999</v>
      </c>
      <c r="AA274" s="183">
        <f>1+((INDEX('Yield Curve'!$B$48:$P$91,MATCH(ROUND(AA273,0),'Yield Curve'!$B$48:$B$91,0),MATCH(YEAR($B272),'Yield Curve'!$B$48:$P$48,0)))/100)</f>
        <v>1.0432999999999999</v>
      </c>
      <c r="AB274" s="183">
        <f>1+((INDEX('Yield Curve'!$B$48:$P$91,MATCH(ROUND(AB273,0),'Yield Curve'!$B$48:$B$91,0),MATCH(YEAR($B272),'Yield Curve'!$B$48:$P$48,0)))/100)</f>
        <v>1.0432999999999999</v>
      </c>
      <c r="AC274" s="183">
        <f>1+((INDEX('Yield Curve'!$B$48:$P$91,MATCH(ROUND(AC273,0),'Yield Curve'!$B$48:$B$91,0),MATCH(YEAR($B272),'Yield Curve'!$B$48:$P$48,0)))/100)</f>
        <v>1.0432999999999999</v>
      </c>
      <c r="AD274" s="183">
        <f>1+((INDEX('Yield Curve'!$B$48:$P$91,MATCH(ROUND(AD273,0),'Yield Curve'!$B$48:$B$91,0),MATCH(YEAR($B272),'Yield Curve'!$B$48:$P$48,0)))/100)</f>
        <v>1.0432999999999999</v>
      </c>
      <c r="AE274" s="183">
        <f>1+((INDEX('Yield Curve'!$B$48:$P$91,MATCH(ROUND(AE273,0),'Yield Curve'!$B$48:$B$91,0),MATCH(YEAR($B272),'Yield Curve'!$B$48:$P$48,0)))/100)</f>
        <v>1.0432999999999999</v>
      </c>
      <c r="AF274" s="183">
        <f>1+((INDEX('Yield Curve'!$B$48:$P$91,MATCH(ROUND(AF273,0),'Yield Curve'!$B$48:$B$91,0),MATCH(YEAR($B272),'Yield Curve'!$B$48:$P$48,0)))/100)</f>
        <v>1.0432999999999999</v>
      </c>
      <c r="AG274" s="183">
        <f>1+((INDEX('Yield Curve'!$B$48:$P$91,MATCH(ROUND(AG273,0),'Yield Curve'!$B$48:$B$91,0),MATCH(YEAR($B272),'Yield Curve'!$B$48:$P$48,0)))/100)</f>
        <v>1.0432999999999999</v>
      </c>
      <c r="AH274" s="183">
        <f>1+((INDEX('Yield Curve'!$B$48:$P$91,MATCH(ROUND(AH273,0),'Yield Curve'!$B$48:$B$91,0),MATCH(YEAR($B272),'Yield Curve'!$B$48:$P$48,0)))/100)</f>
        <v>1.0432999999999999</v>
      </c>
      <c r="AI274" s="183">
        <f>1+((INDEX('Yield Curve'!$B$48:$P$91,MATCH(ROUND(AI273,0),'Yield Curve'!$B$48:$B$91,0),MATCH(YEAR($B272),'Yield Curve'!$B$48:$P$48,0)))/100)</f>
        <v>1.0432999999999999</v>
      </c>
    </row>
    <row r="275" spans="2:35">
      <c r="B275" t="s">
        <v>212</v>
      </c>
      <c r="C275" s="182">
        <f>SUM(D275:AM275)</f>
        <v>251.89135644452153</v>
      </c>
      <c r="G275" s="182">
        <f t="shared" ref="G275" si="1383">G$267/(G274^G273)</f>
        <v>4.5431259078895581</v>
      </c>
      <c r="H275" s="182">
        <f t="shared" ref="H275" si="1384">H$267/(H274^H273)</f>
        <v>4.4707274872959335</v>
      </c>
      <c r="I275" s="182">
        <f t="shared" ref="I275" si="1385">I$267/(I274^I273)</f>
        <v>4.3994827946444168</v>
      </c>
      <c r="J275" s="182">
        <f t="shared" ref="J275" si="1386">J$267/(J274^J273)</f>
        <v>4.3293734443382874</v>
      </c>
      <c r="K275" s="182">
        <f t="shared" ref="K275" si="1387">K$267/(K274^K273)</f>
        <v>4.260381343770316</v>
      </c>
      <c r="L275" s="182">
        <f t="shared" ref="L275" si="1388">L$267/(L274^L273)</f>
        <v>4.1924886886537429</v>
      </c>
      <c r="M275" s="182">
        <f t="shared" ref="M275" si="1389">M$267/(M274^M273)</f>
        <v>4.1058721564973784</v>
      </c>
      <c r="N275" s="182">
        <f t="shared" ref="N275" si="1390">N$267/(N274^N273)</f>
        <v>4.0377544388065827</v>
      </c>
      <c r="O275" s="182">
        <f t="shared" ref="O275" si="1391">O$267/(O274^O273)</f>
        <v>3.9464820984967495</v>
      </c>
      <c r="P275" s="182">
        <f t="shared" ref="P275" si="1392">P$267/(P274^P273)</f>
        <v>3.8784308873708366</v>
      </c>
      <c r="Q275" s="182">
        <f t="shared" ref="Q275" si="1393">Q$267/(Q274^Q273)</f>
        <v>3.768424521543122</v>
      </c>
      <c r="R275" s="182">
        <f t="shared" ref="R275" si="1394">R$267/(R274^R273)</f>
        <v>3.6996936863850109</v>
      </c>
      <c r="S275" s="182">
        <f t="shared" ref="S275" si="1395">S$267/(S274^S273)</f>
        <v>3.5839454287262069</v>
      </c>
      <c r="T275" s="182">
        <f t="shared" ref="T275" si="1396">T$267/(T274^T273)</f>
        <v>3.5150236612376693</v>
      </c>
      <c r="U275" s="182">
        <f t="shared" ref="U275" si="1397">U$267/(U274^U273)</f>
        <v>3.4241539368063303</v>
      </c>
      <c r="V275" s="182">
        <f t="shared" ref="V275" si="1398">V$267/(V274^V273)</f>
        <v>3.356812015660116</v>
      </c>
      <c r="W275" s="182">
        <f t="shared" ref="W275" si="1399">W$267/(W274^W273)</f>
        <v>3.2408091613659882</v>
      </c>
      <c r="X275" s="182">
        <f t="shared" ref="X275" si="1400">X$267/(X274^X273)</f>
        <v>3.1742524572074844</v>
      </c>
      <c r="Y275" s="182">
        <f t="shared" ref="Y275" si="1401">Y$267/(Y274^Y273)</f>
        <v>3.0826557009816424</v>
      </c>
      <c r="Z275" s="182">
        <f t="shared" ref="Z275" si="1402">Z$267/(Z274^Z273)</f>
        <v>3.0180082163849695</v>
      </c>
      <c r="AA275" s="182">
        <f t="shared" ref="AA275" si="1403">AA$267/(AA274^AA273)</f>
        <v>2.9547164775056483</v>
      </c>
      <c r="AB275" s="182">
        <f t="shared" ref="AB275" si="1404">AB$267/(AB274^AB273)</f>
        <v>2.8927520525112329</v>
      </c>
      <c r="AC275" s="182">
        <f t="shared" ref="AC275" si="1405">AC$267/(AC274^AC273)</f>
        <v>2.8320871058234913</v>
      </c>
      <c r="AD275" s="182">
        <f t="shared" ref="AD275" si="1406">AD$267/(AD274^AD273)</f>
        <v>2.7726943856141411</v>
      </c>
      <c r="AE275" s="182">
        <f t="shared" ref="AE275" si="1407">AE$267/(AE274^AE273)</f>
        <v>2.7145472115628215</v>
      </c>
      <c r="AF275" s="182">
        <f t="shared" ref="AF275" si="1408">AF$267/(AF274^AF273)</f>
        <v>2.6576194628717924</v>
      </c>
      <c r="AG275" s="182">
        <f t="shared" ref="AG275" si="1409">AG$267/(AG274^AG273)</f>
        <v>2.6018855665319869</v>
      </c>
      <c r="AH275" s="182">
        <f t="shared" ref="AH275" si="1410">AH$267/(AH274^AH273)</f>
        <v>2.5473204858351317</v>
      </c>
      <c r="AI275" s="182">
        <f t="shared" ref="AI275" si="1411">AI$267/(AI274^AI273)</f>
        <v>153.88983566220296</v>
      </c>
    </row>
    <row r="276" spans="2:35">
      <c r="B276" s="135">
        <v>43281</v>
      </c>
    </row>
    <row r="277" spans="2:35">
      <c r="B277" t="s">
        <v>210</v>
      </c>
      <c r="I277" s="182">
        <f t="shared" ref="I277" si="1412">(I$266-$B276)/365</f>
        <v>0.61643835616438358</v>
      </c>
      <c r="J277" s="182">
        <f t="shared" ref="J277" si="1413">(J$266-$B276)/365</f>
        <v>1.1164383561643836</v>
      </c>
      <c r="K277" s="182">
        <f t="shared" ref="K277" si="1414">(K$266-$B276)/365</f>
        <v>1.6164383561643836</v>
      </c>
      <c r="L277" s="182">
        <f t="shared" ref="L277" si="1415">(L$266-$B276)/365</f>
        <v>2.1164383561643834</v>
      </c>
      <c r="M277" s="182">
        <f t="shared" ref="M277" si="1416">(M$266-$B276)/365</f>
        <v>2.6164383561643834</v>
      </c>
      <c r="N277" s="182">
        <f t="shared" ref="N277" si="1417">(N$266-$B276)/365</f>
        <v>3.1164383561643834</v>
      </c>
      <c r="O277" s="182">
        <f t="shared" ref="O277" si="1418">(O$266-$B276)/365</f>
        <v>3.6164383561643834</v>
      </c>
      <c r="P277" s="182">
        <f t="shared" ref="P277" si="1419">(P$266-$B276)/365</f>
        <v>4.1164383561643838</v>
      </c>
      <c r="Q277" s="182">
        <f t="shared" ref="Q277" si="1420">(Q$266-$B276)/365</f>
        <v>4.6164383561643838</v>
      </c>
      <c r="R277" s="182">
        <f t="shared" ref="R277" si="1421">(R$266-$B276)/365</f>
        <v>5.1164383561643838</v>
      </c>
      <c r="S277" s="182">
        <f t="shared" ref="S277" si="1422">(S$266-$B276)/365</f>
        <v>5.6164383561643838</v>
      </c>
      <c r="T277" s="182">
        <f t="shared" ref="T277" si="1423">(T$266-$B276)/365</f>
        <v>6.1164383561643838</v>
      </c>
      <c r="U277" s="182">
        <f t="shared" ref="U277" si="1424">(U$266-$B276)/365</f>
        <v>6.6164383561643838</v>
      </c>
      <c r="V277" s="182">
        <f t="shared" ref="V277" si="1425">(V$266-$B276)/365</f>
        <v>7.1164383561643838</v>
      </c>
      <c r="W277" s="182">
        <f t="shared" ref="W277" si="1426">(W$266-$B276)/365</f>
        <v>7.6164383561643838</v>
      </c>
      <c r="X277" s="182">
        <f t="shared" ref="X277" si="1427">(X$266-$B276)/365</f>
        <v>8.1164383561643838</v>
      </c>
      <c r="Y277" s="182">
        <f t="shared" ref="Y277" si="1428">(Y$266-$B276)/365</f>
        <v>8.6164383561643838</v>
      </c>
      <c r="Z277" s="182">
        <f t="shared" ref="Z277" si="1429">(Z$266-$B276)/365</f>
        <v>9.1164383561643838</v>
      </c>
      <c r="AA277" s="182">
        <f t="shared" ref="AA277" si="1430">(AA$266-$B276)/365</f>
        <v>9.6164383561643838</v>
      </c>
      <c r="AB277" s="182">
        <f t="shared" ref="AB277" si="1431">(AB$266-$B276)/365</f>
        <v>10.116438356164384</v>
      </c>
      <c r="AC277" s="182">
        <f t="shared" ref="AC277" si="1432">(AC$266-$B276)/365</f>
        <v>10.616438356164384</v>
      </c>
      <c r="AD277" s="182">
        <f t="shared" ref="AD277" si="1433">(AD$266-$B276)/365</f>
        <v>11.116438356164384</v>
      </c>
      <c r="AE277" s="182">
        <f t="shared" ref="AE277" si="1434">(AE$266-$B276)/365</f>
        <v>11.616438356164384</v>
      </c>
      <c r="AF277" s="182">
        <f t="shared" ref="AF277" si="1435">(AF$266-$B276)/365</f>
        <v>12.116438356164384</v>
      </c>
      <c r="AG277" s="182">
        <f t="shared" ref="AG277" si="1436">(AG$266-$B276)/365</f>
        <v>12.616438356164384</v>
      </c>
      <c r="AH277" s="182">
        <f t="shared" ref="AH277" si="1437">(AH$266-$B276)/365</f>
        <v>13.116438356164384</v>
      </c>
      <c r="AI277" s="182">
        <f t="shared" ref="AI277" si="1438">(AI$266-$B276)/365</f>
        <v>13.12054794520548</v>
      </c>
    </row>
    <row r="278" spans="2:35">
      <c r="B278" t="s">
        <v>211</v>
      </c>
      <c r="I278" s="183">
        <f>1+((INDEX('Yield Curve'!$B$48:$P$91,MATCH(ROUND(I277,0),'Yield Curve'!$B$48:$B$91,0),MATCH(YEAR($B276),'Yield Curve'!$B$48:$P$48,0)))/100)</f>
        <v>1.03315</v>
      </c>
      <c r="J278" s="183">
        <f>1+((INDEX('Yield Curve'!$B$48:$P$91,MATCH(ROUND(J277,0),'Yield Curve'!$B$48:$B$91,0),MATCH(YEAR($B276),'Yield Curve'!$B$48:$P$48,0)))/100)</f>
        <v>1.03315</v>
      </c>
      <c r="K278" s="183">
        <f>1+((INDEX('Yield Curve'!$B$48:$P$91,MATCH(ROUND(K277,0),'Yield Curve'!$B$48:$B$91,0),MATCH(YEAR($B276),'Yield Curve'!$B$48:$P$48,0)))/100)</f>
        <v>1.03315</v>
      </c>
      <c r="L278" s="183">
        <f>1+((INDEX('Yield Curve'!$B$48:$P$91,MATCH(ROUND(L277,0),'Yield Curve'!$B$48:$B$91,0),MATCH(YEAR($B276),'Yield Curve'!$B$48:$P$48,0)))/100)</f>
        <v>1.03315</v>
      </c>
      <c r="M278" s="183">
        <f>1+((INDEX('Yield Curve'!$B$48:$P$91,MATCH(ROUND(M277,0),'Yield Curve'!$B$48:$B$91,0),MATCH(YEAR($B276),'Yield Curve'!$B$48:$P$48,0)))/100)</f>
        <v>1.03315</v>
      </c>
      <c r="N278" s="183">
        <f>1+((INDEX('Yield Curve'!$B$48:$P$91,MATCH(ROUND(N277,0),'Yield Curve'!$B$48:$B$91,0),MATCH(YEAR($B276),'Yield Curve'!$B$48:$P$48,0)))/100)</f>
        <v>1.03315</v>
      </c>
      <c r="O278" s="183">
        <f>1+((INDEX('Yield Curve'!$B$48:$P$91,MATCH(ROUND(O277,0),'Yield Curve'!$B$48:$B$91,0),MATCH(YEAR($B276),'Yield Curve'!$B$48:$P$48,0)))/100)</f>
        <v>1.0349999999999999</v>
      </c>
      <c r="P278" s="183">
        <f>1+((INDEX('Yield Curve'!$B$48:$P$91,MATCH(ROUND(P277,0),'Yield Curve'!$B$48:$B$91,0),MATCH(YEAR($B276),'Yield Curve'!$B$48:$P$48,0)))/100)</f>
        <v>1.0349999999999999</v>
      </c>
      <c r="Q278" s="183">
        <f>1+((INDEX('Yield Curve'!$B$48:$P$91,MATCH(ROUND(Q277,0),'Yield Curve'!$B$48:$B$91,0),MATCH(YEAR($B276),'Yield Curve'!$B$48:$P$48,0)))/100)</f>
        <v>1.03685</v>
      </c>
      <c r="R278" s="183">
        <f>1+((INDEX('Yield Curve'!$B$48:$P$91,MATCH(ROUND(R277,0),'Yield Curve'!$B$48:$B$91,0),MATCH(YEAR($B276),'Yield Curve'!$B$48:$P$48,0)))/100)</f>
        <v>1.03685</v>
      </c>
      <c r="S278" s="183">
        <f>1+((INDEX('Yield Curve'!$B$48:$P$91,MATCH(ROUND(S277,0),'Yield Curve'!$B$48:$B$91,0),MATCH(YEAR($B276),'Yield Curve'!$B$48:$P$48,0)))/100)</f>
        <v>1.0386</v>
      </c>
      <c r="T278" s="183">
        <f>1+((INDEX('Yield Curve'!$B$48:$P$91,MATCH(ROUND(T277,0),'Yield Curve'!$B$48:$B$91,0),MATCH(YEAR($B276),'Yield Curve'!$B$48:$P$48,0)))/100)</f>
        <v>1.0386</v>
      </c>
      <c r="U278" s="183">
        <f>1+((INDEX('Yield Curve'!$B$48:$P$91,MATCH(ROUND(U277,0),'Yield Curve'!$B$48:$B$91,0),MATCH(YEAR($B276),'Yield Curve'!$B$48:$P$48,0)))/100)</f>
        <v>1.0403500000000001</v>
      </c>
      <c r="V278" s="183">
        <f>1+((INDEX('Yield Curve'!$B$48:$P$91,MATCH(ROUND(V277,0),'Yield Curve'!$B$48:$B$91,0),MATCH(YEAR($B276),'Yield Curve'!$B$48:$P$48,0)))/100)</f>
        <v>1.0403500000000001</v>
      </c>
      <c r="W278" s="183">
        <f>1+((INDEX('Yield Curve'!$B$48:$P$91,MATCH(ROUND(W277,0),'Yield Curve'!$B$48:$B$91,0),MATCH(YEAR($B276),'Yield Curve'!$B$48:$P$48,0)))/100)</f>
        <v>1.0414874999999999</v>
      </c>
      <c r="X278" s="183">
        <f>1+((INDEX('Yield Curve'!$B$48:$P$91,MATCH(ROUND(X277,0),'Yield Curve'!$B$48:$B$91,0),MATCH(YEAR($B276),'Yield Curve'!$B$48:$P$48,0)))/100)</f>
        <v>1.0414874999999999</v>
      </c>
      <c r="Y278" s="183">
        <f>1+((INDEX('Yield Curve'!$B$48:$P$91,MATCH(ROUND(Y277,0),'Yield Curve'!$B$48:$B$91,0),MATCH(YEAR($B276),'Yield Curve'!$B$48:$P$48,0)))/100)</f>
        <v>1.0437624999999999</v>
      </c>
      <c r="Z278" s="183">
        <f>1+((INDEX('Yield Curve'!$B$48:$P$91,MATCH(ROUND(Z277,0),'Yield Curve'!$B$48:$B$91,0),MATCH(YEAR($B276),'Yield Curve'!$B$48:$P$48,0)))/100)</f>
        <v>1.0437624999999999</v>
      </c>
      <c r="AA278" s="183">
        <f>1+((INDEX('Yield Curve'!$B$48:$P$91,MATCH(ROUND(AA277,0),'Yield Curve'!$B$48:$B$91,0),MATCH(YEAR($B276),'Yield Curve'!$B$48:$P$48,0)))/100)</f>
        <v>1.0448999999999999</v>
      </c>
      <c r="AB278" s="183">
        <f>1+((INDEX('Yield Curve'!$B$48:$P$91,MATCH(ROUND(AB277,0),'Yield Curve'!$B$48:$B$91,0),MATCH(YEAR($B276),'Yield Curve'!$B$48:$P$48,0)))/100)</f>
        <v>1.0448999999999999</v>
      </c>
      <c r="AC278" s="183">
        <f>1+((INDEX('Yield Curve'!$B$48:$P$91,MATCH(ROUND(AC277,0),'Yield Curve'!$B$48:$B$91,0),MATCH(YEAR($B276),'Yield Curve'!$B$48:$P$48,0)))/100)</f>
        <v>1.0448999999999999</v>
      </c>
      <c r="AD278" s="183">
        <f>1+((INDEX('Yield Curve'!$B$48:$P$91,MATCH(ROUND(AD277,0),'Yield Curve'!$B$48:$B$91,0),MATCH(YEAR($B276),'Yield Curve'!$B$48:$P$48,0)))/100)</f>
        <v>1.0448999999999999</v>
      </c>
      <c r="AE278" s="183">
        <f>1+((INDEX('Yield Curve'!$B$48:$P$91,MATCH(ROUND(AE277,0),'Yield Curve'!$B$48:$B$91,0),MATCH(YEAR($B276),'Yield Curve'!$B$48:$P$48,0)))/100)</f>
        <v>1.0448999999999999</v>
      </c>
      <c r="AF278" s="183">
        <f>1+((INDEX('Yield Curve'!$B$48:$P$91,MATCH(ROUND(AF277,0),'Yield Curve'!$B$48:$B$91,0),MATCH(YEAR($B276),'Yield Curve'!$B$48:$P$48,0)))/100)</f>
        <v>1.0448999999999999</v>
      </c>
      <c r="AG278" s="183">
        <f>1+((INDEX('Yield Curve'!$B$48:$P$91,MATCH(ROUND(AG277,0),'Yield Curve'!$B$48:$B$91,0),MATCH(YEAR($B276),'Yield Curve'!$B$48:$P$48,0)))/100)</f>
        <v>1.0448999999999999</v>
      </c>
      <c r="AH278" s="183">
        <f>1+((INDEX('Yield Curve'!$B$48:$P$91,MATCH(ROUND(AH277,0),'Yield Curve'!$B$48:$B$91,0),MATCH(YEAR($B276),'Yield Curve'!$B$48:$P$48,0)))/100)</f>
        <v>1.0448999999999999</v>
      </c>
      <c r="AI278" s="183">
        <f>1+((INDEX('Yield Curve'!$B$48:$P$91,MATCH(ROUND(AI277,0),'Yield Curve'!$B$48:$B$91,0),MATCH(YEAR($B276),'Yield Curve'!$B$48:$P$48,0)))/100)</f>
        <v>1.0448999999999999</v>
      </c>
    </row>
    <row r="279" spans="2:35">
      <c r="B279" t="s">
        <v>212</v>
      </c>
      <c r="C279" s="182">
        <f>SUM(D279:AM279)</f>
        <v>249.50411583619902</v>
      </c>
      <c r="I279" s="182">
        <f t="shared" ref="I279" si="1439">I$267/(I278^I277)</f>
        <v>4.5417704333435429</v>
      </c>
      <c r="J279" s="182">
        <f t="shared" ref="J279" si="1440">J$267/(J278^J277)</f>
        <v>4.468311985677464</v>
      </c>
      <c r="K279" s="182">
        <f t="shared" ref="K279" si="1441">K$267/(K278^K277)</f>
        <v>4.3960416525611414</v>
      </c>
      <c r="L279" s="182">
        <f t="shared" ref="L279" si="1442">L$267/(L278^L277)</f>
        <v>4.3249402174683862</v>
      </c>
      <c r="M279" s="182">
        <f t="shared" ref="M279" si="1443">M$267/(M278^M277)</f>
        <v>4.2549887746804833</v>
      </c>
      <c r="N279" s="182">
        <f t="shared" ref="N279" si="1444">N$267/(N278^N277)</f>
        <v>4.1861687242591943</v>
      </c>
      <c r="O279" s="182">
        <f t="shared" ref="O279" si="1445">O$267/(O278^O277)</f>
        <v>4.0919015428910424</v>
      </c>
      <c r="P279" s="182">
        <f t="shared" ref="P279" si="1446">P$267/(P278^P277)</f>
        <v>4.0221197858473134</v>
      </c>
      <c r="Q279" s="182">
        <f t="shared" ref="Q279" si="1447">Q$267/(Q278^Q277)</f>
        <v>3.9210682179581768</v>
      </c>
      <c r="R279" s="182">
        <f t="shared" ref="R279" si="1448">R$267/(R278^R277)</f>
        <v>3.8507598246529002</v>
      </c>
      <c r="S279" s="182">
        <f t="shared" ref="S279" si="1449">S$267/(S278^S277)</f>
        <v>3.7460628876385549</v>
      </c>
      <c r="T279" s="182">
        <f t="shared" ref="T279" si="1450">T$267/(T278^T277)</f>
        <v>3.6757918013643769</v>
      </c>
      <c r="U279" s="182">
        <f t="shared" ref="U279" si="1451">U$267/(U278^U277)</f>
        <v>3.56688506377832</v>
      </c>
      <c r="V279" s="182">
        <f t="shared" ref="V279" si="1452">V$267/(V278^V277)</f>
        <v>3.4970301728744904</v>
      </c>
      <c r="W279" s="182">
        <f t="shared" ref="W279" si="1453">W$267/(W278^W277)</f>
        <v>3.4001255630312524</v>
      </c>
      <c r="X279" s="182">
        <f t="shared" ref="X279" si="1454">X$267/(X278^X277)</f>
        <v>3.3317156161927093</v>
      </c>
      <c r="Y279" s="182">
        <f t="shared" ref="Y279" si="1455">Y$267/(Y278^Y277)</f>
        <v>3.203876137053888</v>
      </c>
      <c r="Z279" s="182">
        <f t="shared" ref="Z279" si="1456">Z$267/(Z278^Z277)</f>
        <v>3.1359914717976358</v>
      </c>
      <c r="AA279" s="182">
        <f t="shared" ref="AA279" si="1457">AA$267/(AA278^AA277)</f>
        <v>3.0375614476408632</v>
      </c>
      <c r="AB279" s="182">
        <f t="shared" ref="AB279" si="1458">AB$267/(AB278^AB277)</f>
        <v>2.9715819217724131</v>
      </c>
      <c r="AC279" s="182">
        <f t="shared" ref="AC279" si="1459">AC$267/(AC278^AC277)</f>
        <v>2.9070355513837334</v>
      </c>
      <c r="AD279" s="182">
        <f t="shared" ref="AD279" si="1460">AD$267/(AD278^AD277)</f>
        <v>2.8438912065962421</v>
      </c>
      <c r="AE279" s="182">
        <f t="shared" ref="AE279" si="1461">AE$267/(AE278^AE277)</f>
        <v>2.7821184337101479</v>
      </c>
      <c r="AF279" s="182">
        <f t="shared" ref="AF279" si="1462">AF$267/(AF278^AF277)</f>
        <v>2.7216874405170275</v>
      </c>
      <c r="AG279" s="182">
        <f t="shared" ref="AG279" si="1463">AG$267/(AG278^AG277)</f>
        <v>2.6625690819314274</v>
      </c>
      <c r="AH279" s="182">
        <f t="shared" ref="AH279" si="1464">AH$267/(AH278^AH277)</f>
        <v>2.6047348459345656</v>
      </c>
      <c r="AI279" s="182">
        <f t="shared" ref="AI279" si="1465">AI$267/(AI278^AI277)</f>
        <v>157.35738603364172</v>
      </c>
    </row>
    <row r="280" spans="2:35">
      <c r="B280" s="135">
        <v>43646</v>
      </c>
    </row>
    <row r="281" spans="2:35">
      <c r="B281" t="s">
        <v>210</v>
      </c>
      <c r="K281" s="182">
        <f t="shared" ref="K281" si="1466">(K$266-$B280)/365</f>
        <v>0.61643835616438358</v>
      </c>
      <c r="L281" s="182">
        <f t="shared" ref="L281" si="1467">(L$266-$B280)/365</f>
        <v>1.1164383561643836</v>
      </c>
      <c r="M281" s="182">
        <f t="shared" ref="M281" si="1468">(M$266-$B280)/365</f>
        <v>1.6164383561643836</v>
      </c>
      <c r="N281" s="182">
        <f t="shared" ref="N281" si="1469">(N$266-$B280)/365</f>
        <v>2.1164383561643834</v>
      </c>
      <c r="O281" s="182">
        <f t="shared" ref="O281" si="1470">(O$266-$B280)/365</f>
        <v>2.6164383561643834</v>
      </c>
      <c r="P281" s="182">
        <f t="shared" ref="P281" si="1471">(P$266-$B280)/365</f>
        <v>3.1164383561643834</v>
      </c>
      <c r="Q281" s="182">
        <f t="shared" ref="Q281" si="1472">(Q$266-$B280)/365</f>
        <v>3.6164383561643834</v>
      </c>
      <c r="R281" s="182">
        <f t="shared" ref="R281" si="1473">(R$266-$B280)/365</f>
        <v>4.1164383561643838</v>
      </c>
      <c r="S281" s="182">
        <f t="shared" ref="S281" si="1474">(S$266-$B280)/365</f>
        <v>4.6164383561643838</v>
      </c>
      <c r="T281" s="182">
        <f t="shared" ref="T281" si="1475">(T$266-$B280)/365</f>
        <v>5.1164383561643838</v>
      </c>
      <c r="U281" s="182">
        <f t="shared" ref="U281" si="1476">(U$266-$B280)/365</f>
        <v>5.6164383561643838</v>
      </c>
      <c r="V281" s="182">
        <f t="shared" ref="V281" si="1477">(V$266-$B280)/365</f>
        <v>6.1164383561643838</v>
      </c>
      <c r="W281" s="182">
        <f t="shared" ref="W281" si="1478">(W$266-$B280)/365</f>
        <v>6.6164383561643838</v>
      </c>
      <c r="X281" s="182">
        <f t="shared" ref="X281" si="1479">(X$266-$B280)/365</f>
        <v>7.1164383561643838</v>
      </c>
      <c r="Y281" s="182">
        <f t="shared" ref="Y281" si="1480">(Y$266-$B280)/365</f>
        <v>7.6164383561643838</v>
      </c>
      <c r="Z281" s="182">
        <f t="shared" ref="Z281" si="1481">(Z$266-$B280)/365</f>
        <v>8.1164383561643838</v>
      </c>
      <c r="AA281" s="182">
        <f t="shared" ref="AA281" si="1482">(AA$266-$B280)/365</f>
        <v>8.6164383561643838</v>
      </c>
      <c r="AB281" s="182">
        <f t="shared" ref="AB281" si="1483">(AB$266-$B280)/365</f>
        <v>9.1164383561643838</v>
      </c>
      <c r="AC281" s="182">
        <f t="shared" ref="AC281" si="1484">(AC$266-$B280)/365</f>
        <v>9.6164383561643838</v>
      </c>
      <c r="AD281" s="182">
        <f t="shared" ref="AD281" si="1485">(AD$266-$B280)/365</f>
        <v>10.116438356164384</v>
      </c>
      <c r="AE281" s="182">
        <f t="shared" ref="AE281" si="1486">(AE$266-$B280)/365</f>
        <v>10.616438356164384</v>
      </c>
      <c r="AF281" s="182">
        <f t="shared" ref="AF281" si="1487">(AF$266-$B280)/365</f>
        <v>11.116438356164384</v>
      </c>
      <c r="AG281" s="182">
        <f t="shared" ref="AG281" si="1488">(AG$266-$B280)/365</f>
        <v>11.616438356164384</v>
      </c>
      <c r="AH281" s="182">
        <f t="shared" ref="AH281" si="1489">(AH$266-$B280)/365</f>
        <v>12.116438356164384</v>
      </c>
      <c r="AI281" s="182">
        <f t="shared" ref="AI281" si="1490">(AI$266-$B280)/365</f>
        <v>12.12054794520548</v>
      </c>
    </row>
    <row r="282" spans="2:35">
      <c r="B282" t="s">
        <v>211</v>
      </c>
      <c r="K282" s="183">
        <f>1+((INDEX('Yield Curve'!$B$48:$P$91,MATCH(ROUND(K281,0),'Yield Curve'!$B$48:$B$91,0),MATCH(YEAR($B280),'Yield Curve'!$B$48:$P$48,0)))/100)</f>
        <v>1.02305</v>
      </c>
      <c r="L282" s="183">
        <f>1+((INDEX('Yield Curve'!$B$48:$P$91,MATCH(ROUND(L281,0),'Yield Curve'!$B$48:$B$91,0),MATCH(YEAR($B280),'Yield Curve'!$B$48:$P$48,0)))/100)</f>
        <v>1.02305</v>
      </c>
      <c r="M282" s="183">
        <f>1+((INDEX('Yield Curve'!$B$48:$P$91,MATCH(ROUND(M281,0),'Yield Curve'!$B$48:$B$91,0),MATCH(YEAR($B280),'Yield Curve'!$B$48:$P$48,0)))/100)</f>
        <v>1.02305</v>
      </c>
      <c r="N282" s="183">
        <f>1+((INDEX('Yield Curve'!$B$48:$P$91,MATCH(ROUND(N281,0),'Yield Curve'!$B$48:$B$91,0),MATCH(YEAR($B280),'Yield Curve'!$B$48:$P$48,0)))/100)</f>
        <v>1.02305</v>
      </c>
      <c r="O282" s="183">
        <f>1+((INDEX('Yield Curve'!$B$48:$P$91,MATCH(ROUND(O281,0),'Yield Curve'!$B$48:$B$91,0),MATCH(YEAR($B280),'Yield Curve'!$B$48:$P$48,0)))/100)</f>
        <v>1.02305</v>
      </c>
      <c r="P282" s="183">
        <f>1+((INDEX('Yield Curve'!$B$48:$P$91,MATCH(ROUND(P281,0),'Yield Curve'!$B$48:$B$91,0),MATCH(YEAR($B280),'Yield Curve'!$B$48:$P$48,0)))/100)</f>
        <v>1.02305</v>
      </c>
      <c r="Q282" s="183">
        <f>1+((INDEX('Yield Curve'!$B$48:$P$91,MATCH(ROUND(Q281,0),'Yield Curve'!$B$48:$B$91,0),MATCH(YEAR($B280),'Yield Curve'!$B$48:$P$48,0)))/100)</f>
        <v>1.024575</v>
      </c>
      <c r="R282" s="183">
        <f>1+((INDEX('Yield Curve'!$B$48:$P$91,MATCH(ROUND(R281,0),'Yield Curve'!$B$48:$B$91,0),MATCH(YEAR($B280),'Yield Curve'!$B$48:$P$48,0)))/100)</f>
        <v>1.024575</v>
      </c>
      <c r="S282" s="183">
        <f>1+((INDEX('Yield Curve'!$B$48:$P$91,MATCH(ROUND(S281,0),'Yield Curve'!$B$48:$B$91,0),MATCH(YEAR($B280),'Yield Curve'!$B$48:$P$48,0)))/100)</f>
        <v>1.0261</v>
      </c>
      <c r="T282" s="183">
        <f>1+((INDEX('Yield Curve'!$B$48:$P$91,MATCH(ROUND(T281,0),'Yield Curve'!$B$48:$B$91,0),MATCH(YEAR($B280),'Yield Curve'!$B$48:$P$48,0)))/100)</f>
        <v>1.0261</v>
      </c>
      <c r="U282" s="183">
        <f>1+((INDEX('Yield Curve'!$B$48:$P$91,MATCH(ROUND(U281,0),'Yield Curve'!$B$48:$B$91,0),MATCH(YEAR($B280),'Yield Curve'!$B$48:$P$48,0)))/100)</f>
        <v>1.028375</v>
      </c>
      <c r="V282" s="183">
        <f>1+((INDEX('Yield Curve'!$B$48:$P$91,MATCH(ROUND(V281,0),'Yield Curve'!$B$48:$B$91,0),MATCH(YEAR($B280),'Yield Curve'!$B$48:$P$48,0)))/100)</f>
        <v>1.028375</v>
      </c>
      <c r="W282" s="183">
        <f>1+((INDEX('Yield Curve'!$B$48:$P$91,MATCH(ROUND(W281,0),'Yield Curve'!$B$48:$B$91,0),MATCH(YEAR($B280),'Yield Curve'!$B$48:$P$48,0)))/100)</f>
        <v>1.0306500000000001</v>
      </c>
      <c r="X282" s="183">
        <f>1+((INDEX('Yield Curve'!$B$48:$P$91,MATCH(ROUND(X281,0),'Yield Curve'!$B$48:$B$91,0),MATCH(YEAR($B280),'Yield Curve'!$B$48:$P$48,0)))/100)</f>
        <v>1.0306500000000001</v>
      </c>
      <c r="Y282" s="183">
        <f>1+((INDEX('Yield Curve'!$B$48:$P$91,MATCH(ROUND(Y281,0),'Yield Curve'!$B$48:$B$91,0),MATCH(YEAR($B280),'Yield Curve'!$B$48:$P$48,0)))/100)</f>
        <v>1.0318624999999999</v>
      </c>
      <c r="Z282" s="183">
        <f>1+((INDEX('Yield Curve'!$B$48:$P$91,MATCH(ROUND(Z281,0),'Yield Curve'!$B$48:$B$91,0),MATCH(YEAR($B280),'Yield Curve'!$B$48:$P$48,0)))/100)</f>
        <v>1.0318624999999999</v>
      </c>
      <c r="AA282" s="183">
        <f>1+((INDEX('Yield Curve'!$B$48:$P$91,MATCH(ROUND(AA281,0),'Yield Curve'!$B$48:$B$91,0),MATCH(YEAR($B280),'Yield Curve'!$B$48:$P$48,0)))/100)</f>
        <v>1.0342875</v>
      </c>
      <c r="AB282" s="183">
        <f>1+((INDEX('Yield Curve'!$B$48:$P$91,MATCH(ROUND(AB281,0),'Yield Curve'!$B$48:$B$91,0),MATCH(YEAR($B280),'Yield Curve'!$B$48:$P$48,0)))/100)</f>
        <v>1.0342875</v>
      </c>
      <c r="AC282" s="183">
        <f>1+((INDEX('Yield Curve'!$B$48:$P$91,MATCH(ROUND(AC281,0),'Yield Curve'!$B$48:$B$91,0),MATCH(YEAR($B280),'Yield Curve'!$B$48:$P$48,0)))/100)</f>
        <v>1.0355000000000001</v>
      </c>
      <c r="AD282" s="183">
        <f>1+((INDEX('Yield Curve'!$B$48:$P$91,MATCH(ROUND(AD281,0),'Yield Curve'!$B$48:$B$91,0),MATCH(YEAR($B280),'Yield Curve'!$B$48:$P$48,0)))/100)</f>
        <v>1.0355000000000001</v>
      </c>
      <c r="AE282" s="183">
        <f>1+((INDEX('Yield Curve'!$B$48:$P$91,MATCH(ROUND(AE281,0),'Yield Curve'!$B$48:$B$91,0),MATCH(YEAR($B280),'Yield Curve'!$B$48:$P$48,0)))/100)</f>
        <v>1.0355000000000001</v>
      </c>
      <c r="AF282" s="183">
        <f>1+((INDEX('Yield Curve'!$B$48:$P$91,MATCH(ROUND(AF281,0),'Yield Curve'!$B$48:$B$91,0),MATCH(YEAR($B280),'Yield Curve'!$B$48:$P$48,0)))/100)</f>
        <v>1.0355000000000001</v>
      </c>
      <c r="AG282" s="183">
        <f>1+((INDEX('Yield Curve'!$B$48:$P$91,MATCH(ROUND(AG281,0),'Yield Curve'!$B$48:$B$91,0),MATCH(YEAR($B280),'Yield Curve'!$B$48:$P$48,0)))/100)</f>
        <v>1.0355000000000001</v>
      </c>
      <c r="AH282" s="183">
        <f>1+((INDEX('Yield Curve'!$B$48:$P$91,MATCH(ROUND(AH281,0),'Yield Curve'!$B$48:$B$91,0),MATCH(YEAR($B280),'Yield Curve'!$B$48:$P$48,0)))/100)</f>
        <v>1.0355000000000001</v>
      </c>
      <c r="AI282" s="183">
        <f>1+((INDEX('Yield Curve'!$B$48:$P$91,MATCH(ROUND(AI281,0),'Yield Curve'!$B$48:$B$91,0),MATCH(YEAR($B280),'Yield Curve'!$B$48:$P$48,0)))/100)</f>
        <v>1.0355000000000001</v>
      </c>
    </row>
    <row r="283" spans="2:35">
      <c r="B283" t="s">
        <v>212</v>
      </c>
      <c r="C283" s="182">
        <f>SUM(D283:AM283)</f>
        <v>275.27429088427147</v>
      </c>
      <c r="K283" s="182">
        <f t="shared" ref="K283" si="1491">K$267/(K282^K281)</f>
        <v>4.5693584212482303</v>
      </c>
      <c r="L283" s="182">
        <f t="shared" ref="L283" si="1492">L$267/(L282^L281)</f>
        <v>4.5175898156936745</v>
      </c>
      <c r="M283" s="182">
        <f t="shared" ref="M283" si="1493">M$267/(M282^M281)</f>
        <v>4.466407723227829</v>
      </c>
      <c r="N283" s="182">
        <f t="shared" ref="N283" si="1494">N$267/(N282^N281)</f>
        <v>4.4158054989430378</v>
      </c>
      <c r="O283" s="182">
        <f t="shared" ref="O283" si="1495">O$267/(O282^O281)</f>
        <v>4.3657765732152178</v>
      </c>
      <c r="P283" s="182">
        <f t="shared" ref="P283" si="1496">P$267/(P282^P281)</f>
        <v>4.3163144508509239</v>
      </c>
      <c r="Q283" s="182">
        <f t="shared" ref="Q283" si="1497">Q$267/(Q282^Q281)</f>
        <v>4.2444868306817751</v>
      </c>
      <c r="R283" s="182">
        <f t="shared" ref="R283" si="1498">R$267/(R282^R281)</f>
        <v>4.1932746928230547</v>
      </c>
      <c r="S283" s="182">
        <f t="shared" ref="S283" si="1499">S$267/(S282^S281)</f>
        <v>4.1143338269583252</v>
      </c>
      <c r="T283" s="182">
        <f t="shared" ref="T283" si="1500">T$267/(T282^T281)</f>
        <v>4.0616704428751031</v>
      </c>
      <c r="U283" s="182">
        <f t="shared" ref="U283" si="1501">U$267/(U282^U281)</f>
        <v>3.9601152098172636</v>
      </c>
      <c r="V283" s="182">
        <f t="shared" ref="V283" si="1502">V$267/(V282^V281)</f>
        <v>3.9050991557936858</v>
      </c>
      <c r="W283" s="182">
        <f t="shared" ref="W283" si="1503">W$267/(W282^W281)</f>
        <v>3.7949541449859558</v>
      </c>
      <c r="X283" s="182">
        <f t="shared" ref="X283" si="1504">X$267/(X282^X281)</f>
        <v>3.7381001167630403</v>
      </c>
      <c r="Y283" s="182">
        <f t="shared" ref="Y283" si="1505">Y$267/(Y282^Y281)</f>
        <v>3.6492717412711335</v>
      </c>
      <c r="Z283" s="182">
        <f t="shared" ref="Z283" si="1506">Z$267/(Z282^Z281)</f>
        <v>3.5924876953577352</v>
      </c>
      <c r="AA283" s="182">
        <f t="shared" ref="AA283" si="1507">AA$267/(AA282^AA281)</f>
        <v>3.4657751012291969</v>
      </c>
      <c r="AB283" s="182">
        <f t="shared" ref="AB283" si="1508">AB$267/(AB282^AB281)</f>
        <v>3.4078442619366696</v>
      </c>
      <c r="AC283" s="182">
        <f t="shared" ref="AC283" si="1509">AC$267/(AC282^AC281)</f>
        <v>3.3133399401065211</v>
      </c>
      <c r="AD283" s="182">
        <f t="shared" ref="AD283" si="1510">AD$267/(AD282^AD281)</f>
        <v>3.2560490908452664</v>
      </c>
      <c r="AE283" s="182">
        <f t="shared" ref="AE283" si="1511">AE$267/(AE282^AE281)</f>
        <v>3.199748855728171</v>
      </c>
      <c r="AF283" s="182">
        <f t="shared" ref="AF283" si="1512">AF$267/(AF282^AF281)</f>
        <v>3.1444221060794462</v>
      </c>
      <c r="AG283" s="182">
        <f t="shared" ref="AG283" si="1513">AG$267/(AG282^AG281)</f>
        <v>3.0900520093946602</v>
      </c>
      <c r="AH283" s="182">
        <f t="shared" ref="AH283" si="1514">AH$267/(AH282^AH281)</f>
        <v>3.0366220242196484</v>
      </c>
      <c r="AI283" s="182">
        <f t="shared" ref="AI283" si="1515">AI$267/(AI282^AI281)</f>
        <v>183.45539115422588</v>
      </c>
    </row>
    <row r="284" spans="2:35">
      <c r="B284" s="135">
        <v>44012</v>
      </c>
    </row>
    <row r="285" spans="2:35">
      <c r="B285" t="s">
        <v>210</v>
      </c>
      <c r="M285" s="182">
        <f t="shared" ref="M285" si="1516">(M$266-$B284)/365</f>
        <v>0.61369863013698633</v>
      </c>
      <c r="N285" s="182">
        <f t="shared" ref="N285" si="1517">(N$266-$B284)/365</f>
        <v>1.1136986301369862</v>
      </c>
      <c r="O285" s="182">
        <f t="shared" ref="O285" si="1518">(O$266-$B284)/365</f>
        <v>1.6136986301369862</v>
      </c>
      <c r="P285" s="182">
        <f t="shared" ref="P285" si="1519">(P$266-$B284)/365</f>
        <v>2.1136986301369864</v>
      </c>
      <c r="Q285" s="182">
        <f t="shared" ref="Q285" si="1520">(Q$266-$B284)/365</f>
        <v>2.6136986301369864</v>
      </c>
      <c r="R285" s="182">
        <f t="shared" ref="R285" si="1521">(R$266-$B284)/365</f>
        <v>3.1136986301369864</v>
      </c>
      <c r="S285" s="182">
        <f t="shared" ref="S285" si="1522">(S$266-$B284)/365</f>
        <v>3.6136986301369864</v>
      </c>
      <c r="T285" s="182">
        <f t="shared" ref="T285" si="1523">(T$266-$B284)/365</f>
        <v>4.1136986301369864</v>
      </c>
      <c r="U285" s="182">
        <f t="shared" ref="U285" si="1524">(U$266-$B284)/365</f>
        <v>4.6136986301369864</v>
      </c>
      <c r="V285" s="182">
        <f t="shared" ref="V285" si="1525">(V$266-$B284)/365</f>
        <v>5.1136986301369864</v>
      </c>
      <c r="W285" s="182">
        <f t="shared" ref="W285" si="1526">(W$266-$B284)/365</f>
        <v>5.6136986301369864</v>
      </c>
      <c r="X285" s="182">
        <f t="shared" ref="X285" si="1527">(X$266-$B284)/365</f>
        <v>6.1136986301369864</v>
      </c>
      <c r="Y285" s="182">
        <f t="shared" ref="Y285" si="1528">(Y$266-$B284)/365</f>
        <v>6.6136986301369864</v>
      </c>
      <c r="Z285" s="182">
        <f t="shared" ref="Z285" si="1529">(Z$266-$B284)/365</f>
        <v>7.1136986301369864</v>
      </c>
      <c r="AA285" s="182">
        <f t="shared" ref="AA285" si="1530">(AA$266-$B284)/365</f>
        <v>7.6136986301369864</v>
      </c>
      <c r="AB285" s="182">
        <f t="shared" ref="AB285" si="1531">(AB$266-$B284)/365</f>
        <v>8.1136986301369856</v>
      </c>
      <c r="AC285" s="182">
        <f t="shared" ref="AC285" si="1532">(AC$266-$B284)/365</f>
        <v>8.6136986301369856</v>
      </c>
      <c r="AD285" s="182">
        <f t="shared" ref="AD285" si="1533">(AD$266-$B284)/365</f>
        <v>9.1136986301369856</v>
      </c>
      <c r="AE285" s="182">
        <f t="shared" ref="AE285" si="1534">(AE$266-$B284)/365</f>
        <v>9.6136986301369856</v>
      </c>
      <c r="AF285" s="182">
        <f t="shared" ref="AF285" si="1535">(AF$266-$B284)/365</f>
        <v>10.113698630136986</v>
      </c>
      <c r="AG285" s="182">
        <f t="shared" ref="AG285" si="1536">(AG$266-$B284)/365</f>
        <v>10.613698630136986</v>
      </c>
      <c r="AH285" s="182">
        <f t="shared" ref="AH285" si="1537">(AH$266-$B284)/365</f>
        <v>11.113698630136986</v>
      </c>
      <c r="AI285" s="182">
        <f t="shared" ref="AI285" si="1538">(AI$266-$B284)/365</f>
        <v>11.117808219178082</v>
      </c>
    </row>
    <row r="286" spans="2:35">
      <c r="B286" t="s">
        <v>211</v>
      </c>
      <c r="M286" s="183">
        <f>1+((INDEX('Yield Curve'!$B$48:$P$91,MATCH(ROUND(M285,0),'Yield Curve'!$B$48:$B$91,0),MATCH(YEAR($B284),'Yield Curve'!$B$48:$P$48,0)))/100)</f>
        <v>1.02105</v>
      </c>
      <c r="N286" s="183">
        <f>1+((INDEX('Yield Curve'!$B$48:$P$91,MATCH(ROUND(N285,0),'Yield Curve'!$B$48:$B$91,0),MATCH(YEAR($B284),'Yield Curve'!$B$48:$P$48,0)))/100)</f>
        <v>1.02105</v>
      </c>
      <c r="O286" s="183">
        <f>1+((INDEX('Yield Curve'!$B$48:$P$91,MATCH(ROUND(O285,0),'Yield Curve'!$B$48:$B$91,0),MATCH(YEAR($B284),'Yield Curve'!$B$48:$P$48,0)))/100)</f>
        <v>1.02105</v>
      </c>
      <c r="P286" s="183">
        <f>1+((INDEX('Yield Curve'!$B$48:$P$91,MATCH(ROUND(P285,0),'Yield Curve'!$B$48:$B$91,0),MATCH(YEAR($B284),'Yield Curve'!$B$48:$P$48,0)))/100)</f>
        <v>1.02105</v>
      </c>
      <c r="Q286" s="183">
        <f>1+((INDEX('Yield Curve'!$B$48:$P$91,MATCH(ROUND(Q285,0),'Yield Curve'!$B$48:$B$91,0),MATCH(YEAR($B284),'Yield Curve'!$B$48:$P$48,0)))/100)</f>
        <v>1.02105</v>
      </c>
      <c r="R286" s="183">
        <f>1+((INDEX('Yield Curve'!$B$48:$P$91,MATCH(ROUND(R285,0),'Yield Curve'!$B$48:$B$91,0),MATCH(YEAR($B284),'Yield Curve'!$B$48:$P$48,0)))/100)</f>
        <v>1.02105</v>
      </c>
      <c r="S286" s="183">
        <f>1+((INDEX('Yield Curve'!$B$48:$P$91,MATCH(ROUND(S285,0),'Yield Curve'!$B$48:$B$91,0),MATCH(YEAR($B284),'Yield Curve'!$B$48:$P$48,0)))/100)</f>
        <v>1.0229999999999999</v>
      </c>
      <c r="T286" s="183">
        <f>1+((INDEX('Yield Curve'!$B$48:$P$91,MATCH(ROUND(T285,0),'Yield Curve'!$B$48:$B$91,0),MATCH(YEAR($B284),'Yield Curve'!$B$48:$P$48,0)))/100)</f>
        <v>1.0229999999999999</v>
      </c>
      <c r="U286" s="183">
        <f>1+((INDEX('Yield Curve'!$B$48:$P$91,MATCH(ROUND(U285,0),'Yield Curve'!$B$48:$B$91,0),MATCH(YEAR($B284),'Yield Curve'!$B$48:$P$48,0)))/100)</f>
        <v>1.02495</v>
      </c>
      <c r="V286" s="183">
        <f>1+((INDEX('Yield Curve'!$B$48:$P$91,MATCH(ROUND(V285,0),'Yield Curve'!$B$48:$B$91,0),MATCH(YEAR($B284),'Yield Curve'!$B$48:$P$48,0)))/100)</f>
        <v>1.02495</v>
      </c>
      <c r="W286" s="183">
        <f>1+((INDEX('Yield Curve'!$B$48:$P$91,MATCH(ROUND(W285,0),'Yield Curve'!$B$48:$B$91,0),MATCH(YEAR($B284),'Yield Curve'!$B$48:$P$48,0)))/100)</f>
        <v>1.0282249999999999</v>
      </c>
      <c r="X286" s="183">
        <f>1+((INDEX('Yield Curve'!$B$48:$P$91,MATCH(ROUND(X285,0),'Yield Curve'!$B$48:$B$91,0),MATCH(YEAR($B284),'Yield Curve'!$B$48:$P$48,0)))/100)</f>
        <v>1.0282249999999999</v>
      </c>
      <c r="Y286" s="183">
        <f>1+((INDEX('Yield Curve'!$B$48:$P$91,MATCH(ROUND(Y285,0),'Yield Curve'!$B$48:$B$91,0),MATCH(YEAR($B284),'Yield Curve'!$B$48:$P$48,0)))/100)</f>
        <v>1.0315000000000001</v>
      </c>
      <c r="Z286" s="183">
        <f>1+((INDEX('Yield Curve'!$B$48:$P$91,MATCH(ROUND(Z285,0),'Yield Curve'!$B$48:$B$91,0),MATCH(YEAR($B284),'Yield Curve'!$B$48:$P$48,0)))/100)</f>
        <v>1.0315000000000001</v>
      </c>
      <c r="AA286" s="183">
        <f>1+((INDEX('Yield Curve'!$B$48:$P$91,MATCH(ROUND(AA285,0),'Yield Curve'!$B$48:$B$91,0),MATCH(YEAR($B284),'Yield Curve'!$B$48:$P$48,0)))/100)</f>
        <v>1.0322499999999999</v>
      </c>
      <c r="AB286" s="183">
        <f>1+((INDEX('Yield Curve'!$B$48:$P$91,MATCH(ROUND(AB285,0),'Yield Curve'!$B$48:$B$91,0),MATCH(YEAR($B284),'Yield Curve'!$B$48:$P$48,0)))/100)</f>
        <v>1.0322499999999999</v>
      </c>
      <c r="AC286" s="183">
        <f>1+((INDEX('Yield Curve'!$B$48:$P$91,MATCH(ROUND(AC285,0),'Yield Curve'!$B$48:$B$91,0),MATCH(YEAR($B284),'Yield Curve'!$B$48:$P$48,0)))/100)</f>
        <v>1.0337499999999999</v>
      </c>
      <c r="AD286" s="183">
        <f>1+((INDEX('Yield Curve'!$B$48:$P$91,MATCH(ROUND(AD285,0),'Yield Curve'!$B$48:$B$91,0),MATCH(YEAR($B284),'Yield Curve'!$B$48:$P$48,0)))/100)</f>
        <v>1.0337499999999999</v>
      </c>
      <c r="AE286" s="183">
        <f>1+((INDEX('Yield Curve'!$B$48:$P$91,MATCH(ROUND(AE285,0),'Yield Curve'!$B$48:$B$91,0),MATCH(YEAR($B284),'Yield Curve'!$B$48:$P$48,0)))/100)</f>
        <v>1.0345</v>
      </c>
      <c r="AF286" s="183">
        <f>1+((INDEX('Yield Curve'!$B$48:$P$91,MATCH(ROUND(AF285,0),'Yield Curve'!$B$48:$B$91,0),MATCH(YEAR($B284),'Yield Curve'!$B$48:$P$48,0)))/100)</f>
        <v>1.0345</v>
      </c>
      <c r="AG286" s="183">
        <f>1+((INDEX('Yield Curve'!$B$48:$P$91,MATCH(ROUND(AG285,0),'Yield Curve'!$B$48:$B$91,0),MATCH(YEAR($B284),'Yield Curve'!$B$48:$P$48,0)))/100)</f>
        <v>1.0345</v>
      </c>
      <c r="AH286" s="183">
        <f>1+((INDEX('Yield Curve'!$B$48:$P$91,MATCH(ROUND(AH285,0),'Yield Curve'!$B$48:$B$91,0),MATCH(YEAR($B284),'Yield Curve'!$B$48:$P$48,0)))/100)</f>
        <v>1.0345</v>
      </c>
      <c r="AI286" s="183">
        <f>1+((INDEX('Yield Curve'!$B$48:$P$91,MATCH(ROUND(AI285,0),'Yield Curve'!$B$48:$B$91,0),MATCH(YEAR($B284),'Yield Curve'!$B$48:$P$48,0)))/100)</f>
        <v>1.0345</v>
      </c>
    </row>
    <row r="287" spans="2:35">
      <c r="B287" t="s">
        <v>212</v>
      </c>
      <c r="C287" s="182">
        <f>SUM(D287:AM287)</f>
        <v>278.03275859861355</v>
      </c>
      <c r="M287" s="182">
        <f t="shared" ref="M287" si="1539">M$267/(M286^M285)</f>
        <v>4.5751347741184816</v>
      </c>
      <c r="N287" s="182">
        <f t="shared" ref="N287" si="1540">N$267/(N286^N285)</f>
        <v>4.5277286062725031</v>
      </c>
      <c r="O287" s="182">
        <f t="shared" ref="O287" si="1541">O$267/(O286^O285)</f>
        <v>4.4808136468522424</v>
      </c>
      <c r="P287" s="182">
        <f t="shared" ref="P287" si="1542">P$267/(P286^P285)</f>
        <v>4.4343848061040134</v>
      </c>
      <c r="Q287" s="182">
        <f t="shared" ref="Q287" si="1543">Q$267/(Q286^Q285)</f>
        <v>4.3884370470126264</v>
      </c>
      <c r="R287" s="182">
        <f t="shared" ref="R287" si="1544">R$267/(R286^R285)</f>
        <v>4.3429653847549226</v>
      </c>
      <c r="S287" s="182">
        <f t="shared" ref="S287" si="1545">S$267/(S286^S285)</f>
        <v>4.2684329664242915</v>
      </c>
      <c r="T287" s="182">
        <f t="shared" ref="T287" si="1546">T$267/(T286^T285)</f>
        <v>4.220176828312586</v>
      </c>
      <c r="U287" s="182">
        <f t="shared" ref="U287" si="1547">U$267/(U286^U285)</f>
        <v>4.1359672425155862</v>
      </c>
      <c r="V287" s="182">
        <f t="shared" ref="V287" si="1548">V$267/(V286^V285)</f>
        <v>4.0853168992966022</v>
      </c>
      <c r="W287" s="182">
        <f t="shared" ref="W287" si="1549">W$267/(W286^W285)</f>
        <v>3.9636632307471804</v>
      </c>
      <c r="X287" s="182">
        <f t="shared" ref="X287" si="1550">X$267/(X286^X285)</f>
        <v>3.9088829732601331</v>
      </c>
      <c r="Y287" s="182">
        <f t="shared" ref="Y287" si="1551">Y$267/(Y286^Y285)</f>
        <v>3.7746317288450202</v>
      </c>
      <c r="Z287" s="182">
        <f t="shared" ref="Z287" si="1552">Z$267/(Z286^Z285)</f>
        <v>3.7165499156117474</v>
      </c>
      <c r="AA287" s="182">
        <f t="shared" ref="AA287" si="1553">AA$267/(AA286^AA285)</f>
        <v>3.6391672841869549</v>
      </c>
      <c r="AB287" s="182">
        <f t="shared" ref="AB287" si="1554">AB$267/(AB286^AB285)</f>
        <v>3.5818679730158798</v>
      </c>
      <c r="AC287" s="182">
        <f t="shared" ref="AC287" si="1555">AC$267/(AC286^AC285)</f>
        <v>3.4816496142962636</v>
      </c>
      <c r="AD287" s="182">
        <f t="shared" ref="AD287" si="1556">AD$267/(AD286^AD285)</f>
        <v>3.4243433300855859</v>
      </c>
      <c r="AE287" s="182">
        <f t="shared" ref="AE287" si="1557">AE$267/(AE286^AE285)</f>
        <v>3.3445792406874348</v>
      </c>
      <c r="AF287" s="182">
        <f t="shared" ref="AF287" si="1558">AF$267/(AF286^AF285)</f>
        <v>3.2883364185237203</v>
      </c>
      <c r="AG287" s="182">
        <f t="shared" ref="AG287" si="1559">AG$267/(AG286^AG285)</f>
        <v>3.2330393820081538</v>
      </c>
      <c r="AH287" s="182">
        <f t="shared" ref="AH287" si="1560">AH$267/(AH286^AH285)</f>
        <v>3.1786722267024841</v>
      </c>
      <c r="AI287" s="182">
        <f t="shared" ref="AI287" si="1561">AI$267/(AI286^AI285)</f>
        <v>192.03801707897915</v>
      </c>
    </row>
    <row r="288" spans="2:35">
      <c r="B288" s="135">
        <v>44377</v>
      </c>
    </row>
    <row r="289" spans="2:39">
      <c r="B289" t="s">
        <v>210</v>
      </c>
      <c r="O289" s="182">
        <f t="shared" ref="O289" si="1562">(O$266-$B288)/365</f>
        <v>0.61369863013698633</v>
      </c>
      <c r="P289" s="182">
        <f t="shared" ref="P289" si="1563">(P$266-$B288)/365</f>
        <v>1.1136986301369862</v>
      </c>
      <c r="Q289" s="182">
        <f t="shared" ref="Q289" si="1564">(Q$266-$B288)/365</f>
        <v>1.6136986301369862</v>
      </c>
      <c r="R289" s="182">
        <f t="shared" ref="R289" si="1565">(R$266-$B288)/365</f>
        <v>2.1136986301369864</v>
      </c>
      <c r="S289" s="182">
        <f t="shared" ref="S289" si="1566">(S$266-$B288)/365</f>
        <v>2.6136986301369864</v>
      </c>
      <c r="T289" s="182">
        <f t="shared" ref="T289" si="1567">(T$266-$B288)/365</f>
        <v>3.1136986301369864</v>
      </c>
      <c r="U289" s="182">
        <f t="shared" ref="U289" si="1568">(U$266-$B288)/365</f>
        <v>3.6136986301369864</v>
      </c>
      <c r="V289" s="182">
        <f t="shared" ref="V289" si="1569">(V$266-$B288)/365</f>
        <v>4.1136986301369864</v>
      </c>
      <c r="W289" s="182">
        <f t="shared" ref="W289" si="1570">(W$266-$B288)/365</f>
        <v>4.6136986301369864</v>
      </c>
      <c r="X289" s="182">
        <f t="shared" ref="X289" si="1571">(X$266-$B288)/365</f>
        <v>5.1136986301369864</v>
      </c>
      <c r="Y289" s="182">
        <f t="shared" ref="Y289" si="1572">(Y$266-$B288)/365</f>
        <v>5.6136986301369864</v>
      </c>
      <c r="Z289" s="182">
        <f t="shared" ref="Z289" si="1573">(Z$266-$B288)/365</f>
        <v>6.1136986301369864</v>
      </c>
      <c r="AA289" s="182">
        <f t="shared" ref="AA289" si="1574">(AA$266-$B288)/365</f>
        <v>6.6136986301369864</v>
      </c>
      <c r="AB289" s="182">
        <f t="shared" ref="AB289" si="1575">(AB$266-$B288)/365</f>
        <v>7.1136986301369864</v>
      </c>
      <c r="AC289" s="182">
        <f t="shared" ref="AC289" si="1576">(AC$266-$B288)/365</f>
        <v>7.6136986301369864</v>
      </c>
      <c r="AD289" s="182">
        <f t="shared" ref="AD289" si="1577">(AD$266-$B288)/365</f>
        <v>8.1136986301369856</v>
      </c>
      <c r="AE289" s="182">
        <f t="shared" ref="AE289" si="1578">(AE$266-$B288)/365</f>
        <v>8.6136986301369856</v>
      </c>
      <c r="AF289" s="182">
        <f t="shared" ref="AF289" si="1579">(AF$266-$B288)/365</f>
        <v>9.1136986301369856</v>
      </c>
      <c r="AG289" s="182">
        <f t="shared" ref="AG289" si="1580">(AG$266-$B288)/365</f>
        <v>9.6136986301369856</v>
      </c>
      <c r="AH289" s="182">
        <f t="shared" ref="AH289" si="1581">(AH$266-$B288)/365</f>
        <v>10.113698630136986</v>
      </c>
      <c r="AI289" s="182">
        <f t="shared" ref="AI289" si="1582">(AI$266-$B288)/365</f>
        <v>10.117808219178082</v>
      </c>
    </row>
    <row r="290" spans="2:39">
      <c r="B290" t="s">
        <v>211</v>
      </c>
      <c r="O290" s="183">
        <f>1+((INDEX('Yield Curve'!$B$48:$P$91,MATCH(ROUND(O289,0),'Yield Curve'!$B$48:$B$91,0),MATCH(YEAR($B288),'Yield Curve'!$B$48:$P$48,0)))/100)</f>
        <v>1.0129999999999999</v>
      </c>
      <c r="P290" s="183">
        <f>1+((INDEX('Yield Curve'!$B$48:$P$91,MATCH(ROUND(P289,0),'Yield Curve'!$B$48:$B$91,0),MATCH(YEAR($B288),'Yield Curve'!$B$48:$P$48,0)))/100)</f>
        <v>1.0129999999999999</v>
      </c>
      <c r="Q290" s="183">
        <f>1+((INDEX('Yield Curve'!$B$48:$P$91,MATCH(ROUND(Q289,0),'Yield Curve'!$B$48:$B$91,0),MATCH(YEAR($B288),'Yield Curve'!$B$48:$P$48,0)))/100)</f>
        <v>1.0129999999999999</v>
      </c>
      <c r="R290" s="183">
        <f>1+((INDEX('Yield Curve'!$B$48:$P$91,MATCH(ROUND(R289,0),'Yield Curve'!$B$48:$B$91,0),MATCH(YEAR($B288),'Yield Curve'!$B$48:$P$48,0)))/100)</f>
        <v>1.0129999999999999</v>
      </c>
      <c r="S290" s="183">
        <f>1+((INDEX('Yield Curve'!$B$48:$P$91,MATCH(ROUND(S289,0),'Yield Curve'!$B$48:$B$91,0),MATCH(YEAR($B288),'Yield Curve'!$B$48:$P$48,0)))/100)</f>
        <v>1.0129999999999999</v>
      </c>
      <c r="T290" s="183">
        <f>1+((INDEX('Yield Curve'!$B$48:$P$91,MATCH(ROUND(T289,0),'Yield Curve'!$B$48:$B$91,0),MATCH(YEAR($B288),'Yield Curve'!$B$48:$P$48,0)))/100)</f>
        <v>1.0129999999999999</v>
      </c>
      <c r="U290" s="183">
        <f>1+((INDEX('Yield Curve'!$B$48:$P$91,MATCH(ROUND(U289,0),'Yield Curve'!$B$48:$B$91,0),MATCH(YEAR($B288),'Yield Curve'!$B$48:$P$48,0)))/100)</f>
        <v>1.0161249999999999</v>
      </c>
      <c r="V290" s="183">
        <f>1+((INDEX('Yield Curve'!$B$48:$P$91,MATCH(ROUND(V289,0),'Yield Curve'!$B$48:$B$91,0),MATCH(YEAR($B288),'Yield Curve'!$B$48:$P$48,0)))/100)</f>
        <v>1.0161249999999999</v>
      </c>
      <c r="W290" s="183">
        <f>1+((INDEX('Yield Curve'!$B$48:$P$91,MATCH(ROUND(W289,0),'Yield Curve'!$B$48:$B$91,0),MATCH(YEAR($B288),'Yield Curve'!$B$48:$P$48,0)))/100)</f>
        <v>1.01925</v>
      </c>
      <c r="X290" s="183">
        <f>1+((INDEX('Yield Curve'!$B$48:$P$91,MATCH(ROUND(X289,0),'Yield Curve'!$B$48:$B$91,0),MATCH(YEAR($B288),'Yield Curve'!$B$48:$P$48,0)))/100)</f>
        <v>1.01925</v>
      </c>
      <c r="Y290" s="183">
        <f>1+((INDEX('Yield Curve'!$B$48:$P$91,MATCH(ROUND(Y289,0),'Yield Curve'!$B$48:$B$91,0),MATCH(YEAR($B288),'Yield Curve'!$B$48:$P$48,0)))/100)</f>
        <v>1.022775</v>
      </c>
      <c r="Z290" s="183">
        <f>1+((INDEX('Yield Curve'!$B$48:$P$91,MATCH(ROUND(Z289,0),'Yield Curve'!$B$48:$B$91,0),MATCH(YEAR($B288),'Yield Curve'!$B$48:$P$48,0)))/100)</f>
        <v>1.022775</v>
      </c>
      <c r="AA290" s="183">
        <f>1+((INDEX('Yield Curve'!$B$48:$P$91,MATCH(ROUND(AA289,0),'Yield Curve'!$B$48:$B$91,0),MATCH(YEAR($B288),'Yield Curve'!$B$48:$P$48,0)))/100)</f>
        <v>1.0263</v>
      </c>
      <c r="AB290" s="183">
        <f>1+((INDEX('Yield Curve'!$B$48:$P$91,MATCH(ROUND(AB289,0),'Yield Curve'!$B$48:$B$91,0),MATCH(YEAR($B288),'Yield Curve'!$B$48:$P$48,0)))/100)</f>
        <v>1.0263</v>
      </c>
      <c r="AC290" s="183">
        <f>1+((INDEX('Yield Curve'!$B$48:$P$91,MATCH(ROUND(AC289,0),'Yield Curve'!$B$48:$B$91,0),MATCH(YEAR($B288),'Yield Curve'!$B$48:$P$48,0)))/100)</f>
        <v>1.027525</v>
      </c>
      <c r="AD290" s="183">
        <f>1+((INDEX('Yield Curve'!$B$48:$P$91,MATCH(ROUND(AD289,0),'Yield Curve'!$B$48:$B$91,0),MATCH(YEAR($B288),'Yield Curve'!$B$48:$P$48,0)))/100)</f>
        <v>1.027525</v>
      </c>
      <c r="AE290" s="183">
        <f>1+((INDEX('Yield Curve'!$B$48:$P$91,MATCH(ROUND(AE289,0),'Yield Curve'!$B$48:$B$91,0),MATCH(YEAR($B288),'Yield Curve'!$B$48:$P$48,0)))/100)</f>
        <v>1.0299750000000001</v>
      </c>
      <c r="AF290" s="183">
        <f>1+((INDEX('Yield Curve'!$B$48:$P$91,MATCH(ROUND(AF289,0),'Yield Curve'!$B$48:$B$91,0),MATCH(YEAR($B288),'Yield Curve'!$B$48:$P$48,0)))/100)</f>
        <v>1.0299750000000001</v>
      </c>
      <c r="AG290" s="183">
        <f>1+((INDEX('Yield Curve'!$B$48:$P$91,MATCH(ROUND(AG289,0),'Yield Curve'!$B$48:$B$91,0),MATCH(YEAR($B288),'Yield Curve'!$B$48:$P$48,0)))/100)</f>
        <v>1.0311999999999999</v>
      </c>
      <c r="AH290" s="183">
        <f>1+((INDEX('Yield Curve'!$B$48:$P$91,MATCH(ROUND(AH289,0),'Yield Curve'!$B$48:$B$91,0),MATCH(YEAR($B288),'Yield Curve'!$B$48:$P$48,0)))/100)</f>
        <v>1.0311999999999999</v>
      </c>
      <c r="AI290" s="183">
        <f>1+((INDEX('Yield Curve'!$B$48:$P$91,MATCH(ROUND(AI289,0),'Yield Curve'!$B$48:$B$91,0),MATCH(YEAR($B288),'Yield Curve'!$B$48:$P$48,0)))/100)</f>
        <v>1.0311999999999999</v>
      </c>
    </row>
    <row r="291" spans="2:39">
      <c r="B291" t="s">
        <v>212</v>
      </c>
      <c r="C291" s="182">
        <f>SUM(D291:AM291)</f>
        <v>286.83687245960573</v>
      </c>
      <c r="O291" s="182">
        <f t="shared" ref="O291" si="1583">O$267/(O290^O289)</f>
        <v>4.5974130104277098</v>
      </c>
      <c r="P291" s="182">
        <f t="shared" ref="P291" si="1584">P$267/(P290^P289)</f>
        <v>4.5678180659871428</v>
      </c>
      <c r="Q291" s="182">
        <f t="shared" ref="Q291" si="1585">Q$267/(Q290^Q289)</f>
        <v>4.5384136331961598</v>
      </c>
      <c r="R291" s="182">
        <f t="shared" ref="R291" si="1586">R$267/(R290^R289)</f>
        <v>4.5091984856733891</v>
      </c>
      <c r="S291" s="182">
        <f t="shared" ref="S291" si="1587">S$267/(S290^S289)</f>
        <v>4.4801714049320447</v>
      </c>
      <c r="T291" s="182">
        <f t="shared" ref="T291" si="1588">T$267/(T290^T289)</f>
        <v>4.4513311803291113</v>
      </c>
      <c r="U291" s="182">
        <f t="shared" ref="U291" si="1589">U$267/(U290^U289)</f>
        <v>4.3737219635101807</v>
      </c>
      <c r="V291" s="182">
        <f t="shared" ref="V291" si="1590">V$267/(V290^V289)</f>
        <v>4.3388796427934784</v>
      </c>
      <c r="W291" s="182">
        <f t="shared" ref="W291" si="1591">W$267/(W290^W289)</f>
        <v>4.2437645668925752</v>
      </c>
      <c r="X291" s="182">
        <f t="shared" ref="X291" si="1592">X$267/(X290^X289)</f>
        <v>4.2034987470173624</v>
      </c>
      <c r="Y291" s="182">
        <f t="shared" ref="Y291" si="1593">Y$267/(Y290^Y289)</f>
        <v>4.0836966480938806</v>
      </c>
      <c r="Z291" s="182">
        <f t="shared" ref="Z291" si="1594">Z$267/(Z290^Z289)</f>
        <v>4.0379731021736793</v>
      </c>
      <c r="AA291" s="182">
        <f t="shared" ref="AA291" si="1595">AA$267/(AA290^AA289)</f>
        <v>3.9029322794850598</v>
      </c>
      <c r="AB291" s="182">
        <f t="shared" ref="AB291" si="1596">AB$267/(AB290^AB289)</f>
        <v>3.8525993885134491</v>
      </c>
      <c r="AC291" s="182">
        <f t="shared" ref="AC291" si="1597">AC$267/(AC290^AC289)</f>
        <v>3.7685325527795723</v>
      </c>
      <c r="AD291" s="182">
        <f t="shared" ref="AD291" si="1598">AD$267/(AD290^AD289)</f>
        <v>3.717714818383044</v>
      </c>
      <c r="AE291" s="182">
        <f t="shared" ref="AE291" si="1599">AE$267/(AE290^AE289)</f>
        <v>3.5931127371548768</v>
      </c>
      <c r="AF291" s="182">
        <f t="shared" ref="AF291" si="1600">AF$267/(AF290^AF289)</f>
        <v>3.5404421464553679</v>
      </c>
      <c r="AG291" s="182">
        <f t="shared" ref="AG291" si="1601">AG$267/(AG290^AG289)</f>
        <v>3.4489060826135409</v>
      </c>
      <c r="AH291" s="182">
        <f t="shared" ref="AH291" si="1602">AH$267/(AH290^AH289)</f>
        <v>3.3963302719300712</v>
      </c>
      <c r="AI291" s="182">
        <f t="shared" ref="AI291" si="1603">AI$267/(AI290^AI289)</f>
        <v>205.19042173126405</v>
      </c>
    </row>
    <row r="292" spans="2:39">
      <c r="B292" s="135">
        <v>44552</v>
      </c>
    </row>
    <row r="293" spans="2:39">
      <c r="B293" t="s">
        <v>210</v>
      </c>
      <c r="P293" s="182">
        <f t="shared" ref="P293" si="1604">(P$266-$B292)/365</f>
        <v>0.63424657534246576</v>
      </c>
      <c r="Q293" s="182">
        <f t="shared" ref="Q293" si="1605">(Q$266-$B292)/365</f>
        <v>1.1342465753424658</v>
      </c>
      <c r="R293" s="182">
        <f t="shared" ref="R293" si="1606">(R$266-$B292)/365</f>
        <v>1.6342465753424658</v>
      </c>
      <c r="S293" s="182">
        <f t="shared" ref="S293" si="1607">(S$266-$B292)/365</f>
        <v>2.1342465753424658</v>
      </c>
      <c r="T293" s="182">
        <f t="shared" ref="T293" si="1608">(T$266-$B292)/365</f>
        <v>2.6342465753424658</v>
      </c>
      <c r="U293" s="182">
        <f t="shared" ref="U293" si="1609">(U$266-$B292)/365</f>
        <v>3.1342465753424658</v>
      </c>
      <c r="V293" s="182">
        <f t="shared" ref="V293" si="1610">(V$266-$B292)/365</f>
        <v>3.6342465753424658</v>
      </c>
      <c r="W293" s="182">
        <f t="shared" ref="W293" si="1611">(W$266-$B292)/365</f>
        <v>4.1342465753424653</v>
      </c>
      <c r="X293" s="182">
        <f t="shared" ref="X293" si="1612">(X$266-$B292)/365</f>
        <v>4.6342465753424653</v>
      </c>
      <c r="Y293" s="182">
        <f t="shared" ref="Y293" si="1613">(Y$266-$B292)/365</f>
        <v>5.1342465753424653</v>
      </c>
      <c r="Z293" s="182">
        <f t="shared" ref="Z293" si="1614">(Z$266-$B292)/365</f>
        <v>5.6342465753424653</v>
      </c>
      <c r="AA293" s="182">
        <f t="shared" ref="AA293" si="1615">(AA$266-$B292)/365</f>
        <v>6.1342465753424653</v>
      </c>
      <c r="AB293" s="182">
        <f t="shared" ref="AB293" si="1616">(AB$266-$B292)/365</f>
        <v>6.6342465753424653</v>
      </c>
      <c r="AC293" s="182">
        <f t="shared" ref="AC293" si="1617">(AC$266-$B292)/365</f>
        <v>7.1342465753424653</v>
      </c>
      <c r="AD293" s="182">
        <f t="shared" ref="AD293" si="1618">(AD$266-$B292)/365</f>
        <v>7.6342465753424653</v>
      </c>
      <c r="AE293" s="182">
        <f t="shared" ref="AE293" si="1619">(AE$266-$B292)/365</f>
        <v>8.1342465753424662</v>
      </c>
      <c r="AF293" s="182">
        <f t="shared" ref="AF293" si="1620">(AF$266-$B292)/365</f>
        <v>8.6342465753424662</v>
      </c>
      <c r="AG293" s="182">
        <f t="shared" ref="AG293" si="1621">(AG$266-$B292)/365</f>
        <v>9.1342465753424662</v>
      </c>
      <c r="AH293" s="182">
        <f t="shared" ref="AH293" si="1622">(AH$266-$B292)/365</f>
        <v>9.6342465753424662</v>
      </c>
      <c r="AI293" s="182">
        <f t="shared" ref="AI293" si="1623">(AI$266-$B292)/365</f>
        <v>9.6383561643835609</v>
      </c>
    </row>
    <row r="294" spans="2:39">
      <c r="B294" t="s">
        <v>211</v>
      </c>
      <c r="P294" s="183">
        <f>1+((INDEX('Yield Curve'!$B$48:$P$91,MATCH(ROUND(P293,0),'Yield Curve'!$B$48:$B$91,0),MATCH(YEAR($B292)+1,'Yield Curve'!$B$48:$P$48,0)))/100)</f>
        <v>1.0212000000000001</v>
      </c>
      <c r="Q294" s="183">
        <f>1+((INDEX('Yield Curve'!$B$48:$P$91,MATCH(ROUND(Q293,0),'Yield Curve'!$B$48:$B$91,0),MATCH(YEAR($B292)+1,'Yield Curve'!$B$48:$P$48,0)))/100)</f>
        <v>1.0212000000000001</v>
      </c>
      <c r="R294" s="183">
        <f>1+((INDEX('Yield Curve'!$B$48:$P$91,MATCH(ROUND(R293,0),'Yield Curve'!$B$48:$B$91,0),MATCH(YEAR($B292)+1,'Yield Curve'!$B$48:$P$48,0)))/100)</f>
        <v>1.0212000000000001</v>
      </c>
      <c r="S294" s="183">
        <f>1+((INDEX('Yield Curve'!$B$48:$P$91,MATCH(ROUND(S293,0),'Yield Curve'!$B$48:$B$91,0),MATCH(YEAR($B292)+1,'Yield Curve'!$B$48:$P$48,0)))/100)</f>
        <v>1.0212000000000001</v>
      </c>
      <c r="T294" s="183">
        <f>1+((INDEX('Yield Curve'!$B$48:$P$91,MATCH(ROUND(T293,0),'Yield Curve'!$B$48:$B$91,0),MATCH(YEAR($B292)+1,'Yield Curve'!$B$48:$P$48,0)))/100)</f>
        <v>1.0212000000000001</v>
      </c>
      <c r="U294" s="183">
        <f>1+((INDEX('Yield Curve'!$B$48:$P$91,MATCH(ROUND(U293,0),'Yield Curve'!$B$48:$B$91,0),MATCH(YEAR($B292)+1,'Yield Curve'!$B$48:$P$48,0)))/100)</f>
        <v>1.0212000000000001</v>
      </c>
      <c r="V294" s="183">
        <f>1+((INDEX('Yield Curve'!$B$48:$P$91,MATCH(ROUND(V293,0),'Yield Curve'!$B$48:$B$91,0),MATCH(YEAR($B292)+1,'Yield Curve'!$B$48:$P$48,0)))/100)</f>
        <v>1.0245</v>
      </c>
      <c r="W294" s="183">
        <f>1+((INDEX('Yield Curve'!$B$48:$P$91,MATCH(ROUND(W293,0),'Yield Curve'!$B$48:$B$91,0),MATCH(YEAR($B292)+1,'Yield Curve'!$B$48:$P$48,0)))/100)</f>
        <v>1.0245</v>
      </c>
      <c r="X294" s="183">
        <f>1+((INDEX('Yield Curve'!$B$48:$P$91,MATCH(ROUND(X293,0),'Yield Curve'!$B$48:$B$91,0),MATCH(YEAR($B292)+1,'Yield Curve'!$B$48:$P$48,0)))/100)</f>
        <v>1.0278</v>
      </c>
      <c r="Y294" s="183">
        <f>1+((INDEX('Yield Curve'!$B$48:$P$91,MATCH(ROUND(Y293,0),'Yield Curve'!$B$48:$B$91,0),MATCH(YEAR($B292)+1,'Yield Curve'!$B$48:$P$48,0)))/100)</f>
        <v>1.0278</v>
      </c>
      <c r="Z294" s="183">
        <f>1+((INDEX('Yield Curve'!$B$48:$P$91,MATCH(ROUND(Z293,0),'Yield Curve'!$B$48:$B$91,0),MATCH(YEAR($B292)+1,'Yield Curve'!$B$48:$P$48,0)))/100)</f>
        <v>1.030375</v>
      </c>
      <c r="AA294" s="183">
        <f>1+((INDEX('Yield Curve'!$B$48:$P$91,MATCH(ROUND(AA293,0),'Yield Curve'!$B$48:$B$91,0),MATCH(YEAR($B292)+1,'Yield Curve'!$B$48:$P$48,0)))/100)</f>
        <v>1.030375</v>
      </c>
      <c r="AB294" s="183">
        <f>1+((INDEX('Yield Curve'!$B$48:$P$91,MATCH(ROUND(AB293,0),'Yield Curve'!$B$48:$B$91,0),MATCH(YEAR($B292)+1,'Yield Curve'!$B$48:$P$48,0)))/100)</f>
        <v>1.03295</v>
      </c>
      <c r="AC294" s="183">
        <f>1+((INDEX('Yield Curve'!$B$48:$P$91,MATCH(ROUND(AC293,0),'Yield Curve'!$B$48:$B$91,0),MATCH(YEAR($B292)+1,'Yield Curve'!$B$48:$P$48,0)))/100)</f>
        <v>1.03295</v>
      </c>
      <c r="AD294" s="183">
        <f>1+((INDEX('Yield Curve'!$B$48:$P$91,MATCH(ROUND(AD293,0),'Yield Curve'!$B$48:$B$91,0),MATCH(YEAR($B292)+1,'Yield Curve'!$B$48:$P$48,0)))/100)</f>
        <v>1.0341499999999999</v>
      </c>
      <c r="AE294" s="183">
        <f>1+((INDEX('Yield Curve'!$B$48:$P$91,MATCH(ROUND(AE293,0),'Yield Curve'!$B$48:$B$91,0),MATCH(YEAR($B292)+1,'Yield Curve'!$B$48:$P$48,0)))/100)</f>
        <v>1.0341499999999999</v>
      </c>
      <c r="AF294" s="183">
        <f>1+((INDEX('Yield Curve'!$B$48:$P$91,MATCH(ROUND(AF293,0),'Yield Curve'!$B$48:$B$91,0),MATCH(YEAR($B292)+1,'Yield Curve'!$B$48:$P$48,0)))/100)</f>
        <v>1.0365500000000001</v>
      </c>
      <c r="AG294" s="183">
        <f>1+((INDEX('Yield Curve'!$B$48:$P$91,MATCH(ROUND(AG293,0),'Yield Curve'!$B$48:$B$91,0),MATCH(YEAR($B292)+1,'Yield Curve'!$B$48:$P$48,0)))/100)</f>
        <v>1.0365500000000001</v>
      </c>
      <c r="AH294" s="183">
        <f>1+((INDEX('Yield Curve'!$B$48:$P$91,MATCH(ROUND(AH293,0),'Yield Curve'!$B$48:$B$91,0),MATCH(YEAR($B292)+1,'Yield Curve'!$B$48:$P$48,0)))/100)</f>
        <v>1.03775</v>
      </c>
      <c r="AI294" s="183">
        <f>1+((INDEX('Yield Curve'!$B$48:$P$91,MATCH(ROUND(AI293,0),'Yield Curve'!$B$48:$B$91,0),MATCH(YEAR($B292)+1,'Yield Curve'!$B$48:$P$48,0)))/100)</f>
        <v>1.03775</v>
      </c>
    </row>
    <row r="295" spans="2:39">
      <c r="B295" t="s">
        <v>212</v>
      </c>
      <c r="C295" s="182">
        <f>SUM(D295:AM295)</f>
        <v>271.4599153685989</v>
      </c>
      <c r="P295" s="182">
        <f t="shared" ref="P295" si="1624">P$267/(P294^P293)</f>
        <v>4.5727507733908084</v>
      </c>
      <c r="Q295" s="182">
        <f t="shared" ref="Q295" si="1625">Q$267/(Q294^Q293)</f>
        <v>4.5250369389011329</v>
      </c>
      <c r="R295" s="182">
        <f t="shared" ref="R295" si="1626">R$267/(R294^R293)</f>
        <v>4.4778209688511632</v>
      </c>
      <c r="S295" s="182">
        <f t="shared" ref="S295" si="1627">S$267/(S294^S293)</f>
        <v>4.4310976683324839</v>
      </c>
      <c r="T295" s="182">
        <f t="shared" ref="T295" si="1628">T$267/(T294^T293)</f>
        <v>4.3848618966423452</v>
      </c>
      <c r="U295" s="182">
        <f t="shared" ref="U295" si="1629">U$267/(U294^U293)</f>
        <v>4.3391085667180604</v>
      </c>
      <c r="V295" s="182">
        <f t="shared" ref="V295" si="1630">V$267/(V294^V293)</f>
        <v>4.2437810078436451</v>
      </c>
      <c r="W295" s="182">
        <f t="shared" ref="W295" si="1631">W$267/(W294^W293)</f>
        <v>4.1927308451657517</v>
      </c>
      <c r="X295" s="182">
        <f t="shared" ref="X295" si="1632">X$267/(X294^X293)</f>
        <v>4.0810186438650931</v>
      </c>
      <c r="Y295" s="182">
        <f t="shared" ref="Y295" si="1633">Y$267/(Y294^Y293)</f>
        <v>4.0254484752275612</v>
      </c>
      <c r="Z295" s="182">
        <f t="shared" ref="Z295" si="1634">Z$267/(Z294^Z293)</f>
        <v>3.9150492753935997</v>
      </c>
      <c r="AA295" s="182">
        <f t="shared" ref="AA295" si="1635">AA$267/(AA294^AA293)</f>
        <v>3.8569106328768807</v>
      </c>
      <c r="AB295" s="182">
        <f t="shared" ref="AB295" si="1636">AB$267/(AB294^AB293)</f>
        <v>3.7372356395337776</v>
      </c>
      <c r="AC295" s="182">
        <f t="shared" ref="AC295" si="1637">AC$267/(AC294^AC293)</f>
        <v>3.6771456447029998</v>
      </c>
      <c r="AD295" s="182">
        <f t="shared" ref="AD295" si="1638">AD$267/(AD294^AD293)</f>
        <v>3.586094398163771</v>
      </c>
      <c r="AE295" s="182">
        <f t="shared" ref="AE295" si="1639">AE$267/(AE294^AE293)</f>
        <v>3.5263868174671109</v>
      </c>
      <c r="AF295" s="182">
        <f t="shared" ref="AF295" si="1640">AF$267/(AF294^AF293)</f>
        <v>3.3989589161732154</v>
      </c>
      <c r="AG295" s="182">
        <f t="shared" ref="AG295" si="1641">AG$267/(AG294^AG293)</f>
        <v>3.3384954389216324</v>
      </c>
      <c r="AH295" s="182">
        <f t="shared" ref="AH295" si="1642">AH$267/(AH294^AH293)</f>
        <v>3.2427583362936763</v>
      </c>
      <c r="AI295" s="182">
        <f t="shared" ref="AI295" si="1643">AI$267/(AI294^AI293)</f>
        <v>195.90722448413422</v>
      </c>
    </row>
    <row r="297" spans="2:39">
      <c r="B297" s="5" t="str">
        <f>'SA Power Bonds'!A62</f>
        <v>27883620111</v>
      </c>
    </row>
    <row r="298" spans="2:39">
      <c r="B298" t="s">
        <v>66</v>
      </c>
      <c r="D298" s="180">
        <f>VLOOKUP(B297,'SA Power Bonds'!$A$54:$K$64,4,FALSE)</f>
        <v>42166</v>
      </c>
      <c r="E298" s="180">
        <f>VLOOKUP(B297,'SA Power Bonds'!$A$54:$K$64,10,FALSE)</f>
        <v>42532</v>
      </c>
      <c r="F298" s="180">
        <f>IF(E298+VLOOKUP($B297,'SA Power Bonds'!$A$54:$K$64,9,FALSE)*365 &lt; VLOOKUP($B297,'SA Power Bonds'!$A$54:$K$64,5,FALSE), E298+VLOOKUP($B297,'SA Power Bonds'!$A$54:$K$64,9,FALSE)*365, VLOOKUP($B297,'SA Power Bonds'!$A$54:$K$64,5,FALSE))</f>
        <v>42714.5</v>
      </c>
      <c r="G298" s="180">
        <f>IF(F298+VLOOKUP($B297,'SA Power Bonds'!$A$54:$K$64,9,FALSE)*365 &lt; VLOOKUP($B297,'SA Power Bonds'!$A$54:$K$64,5,FALSE), F298+VLOOKUP($B297,'SA Power Bonds'!$A$54:$K$64,9,FALSE)*365, VLOOKUP($B297,'SA Power Bonds'!$A$54:$K$64,5,FALSE))</f>
        <v>42897</v>
      </c>
      <c r="H298" s="180">
        <f>IF(G298+VLOOKUP($B297,'SA Power Bonds'!$A$54:$K$64,9,FALSE)*365 &lt; VLOOKUP($B297,'SA Power Bonds'!$A$54:$K$64,5,FALSE), G298+VLOOKUP($B297,'SA Power Bonds'!$A$54:$K$64,9,FALSE)*365, VLOOKUP($B297,'SA Power Bonds'!$A$54:$K$64,5,FALSE))</f>
        <v>43079.5</v>
      </c>
      <c r="I298" s="180">
        <f>IF(H298+VLOOKUP($B297,'SA Power Bonds'!$A$54:$K$64,9,FALSE)*365 &lt; VLOOKUP($B297,'SA Power Bonds'!$A$54:$K$64,5,FALSE), H298+VLOOKUP($B297,'SA Power Bonds'!$A$54:$K$64,9,FALSE)*365, VLOOKUP($B297,'SA Power Bonds'!$A$54:$K$64,5,FALSE))</f>
        <v>43262</v>
      </c>
      <c r="J298" s="180">
        <f>IF(I298+VLOOKUP($B297,'SA Power Bonds'!$A$54:$K$64,9,FALSE)*365 &lt; VLOOKUP($B297,'SA Power Bonds'!$A$54:$K$64,5,FALSE), I298+VLOOKUP($B297,'SA Power Bonds'!$A$54:$K$64,9,FALSE)*365, VLOOKUP($B297,'SA Power Bonds'!$A$54:$K$64,5,FALSE))</f>
        <v>43444.5</v>
      </c>
      <c r="K298" s="180">
        <f>IF(J298+VLOOKUP($B297,'SA Power Bonds'!$A$54:$K$64,9,FALSE)*365 &lt; VLOOKUP($B297,'SA Power Bonds'!$A$54:$K$64,5,FALSE), J298+VLOOKUP($B297,'SA Power Bonds'!$A$54:$K$64,9,FALSE)*365, VLOOKUP($B297,'SA Power Bonds'!$A$54:$K$64,5,FALSE))</f>
        <v>43627</v>
      </c>
      <c r="L298" s="180">
        <f>IF(K298+VLOOKUP($B297,'SA Power Bonds'!$A$54:$K$64,9,FALSE)*365 &lt; VLOOKUP($B297,'SA Power Bonds'!$A$54:$K$64,5,FALSE), K298+VLOOKUP($B297,'SA Power Bonds'!$A$54:$K$64,9,FALSE)*365, VLOOKUP($B297,'SA Power Bonds'!$A$54:$K$64,5,FALSE))</f>
        <v>43809.5</v>
      </c>
      <c r="M298" s="180">
        <f>IF(L298+VLOOKUP($B297,'SA Power Bonds'!$A$54:$K$64,9,FALSE)*365 &lt; VLOOKUP($B297,'SA Power Bonds'!$A$54:$K$64,5,FALSE), L298+VLOOKUP($B297,'SA Power Bonds'!$A$54:$K$64,9,FALSE)*365, VLOOKUP($B297,'SA Power Bonds'!$A$54:$K$64,5,FALSE))</f>
        <v>43992</v>
      </c>
      <c r="N298" s="180">
        <f>IF(M298+VLOOKUP($B297,'SA Power Bonds'!$A$54:$K$64,9,FALSE)*365 &lt; VLOOKUP($B297,'SA Power Bonds'!$A$54:$K$64,5,FALSE), M298+VLOOKUP($B297,'SA Power Bonds'!$A$54:$K$64,9,FALSE)*365, VLOOKUP($B297,'SA Power Bonds'!$A$54:$K$64,5,FALSE))</f>
        <v>44174.5</v>
      </c>
      <c r="O298" s="180">
        <f>IF(N298+VLOOKUP($B297,'SA Power Bonds'!$A$54:$K$64,9,FALSE)*365 &lt; VLOOKUP($B297,'SA Power Bonds'!$A$54:$K$64,5,FALSE), N298+VLOOKUP($B297,'SA Power Bonds'!$A$54:$K$64,9,FALSE)*365, VLOOKUP($B297,'SA Power Bonds'!$A$54:$K$64,5,FALSE))</f>
        <v>44357</v>
      </c>
      <c r="P298" s="180">
        <f>IF(O298+VLOOKUP($B297,'SA Power Bonds'!$A$54:$K$64,9,FALSE)*365 &lt; VLOOKUP($B297,'SA Power Bonds'!$A$54:$K$64,5,FALSE), O298+VLOOKUP($B297,'SA Power Bonds'!$A$54:$K$64,9,FALSE)*365, VLOOKUP($B297,'SA Power Bonds'!$A$54:$K$64,5,FALSE))</f>
        <v>44539.5</v>
      </c>
      <c r="Q298" s="180">
        <f>IF(P298+VLOOKUP($B297,'SA Power Bonds'!$A$54:$K$64,9,FALSE)*365 &lt; VLOOKUP($B297,'SA Power Bonds'!$A$54:$K$64,5,FALSE), P298+VLOOKUP($B297,'SA Power Bonds'!$A$54:$K$64,9,FALSE)*365, VLOOKUP($B297,'SA Power Bonds'!$A$54:$K$64,5,FALSE))</f>
        <v>44722</v>
      </c>
      <c r="R298" s="180">
        <f>IF(Q298+VLOOKUP($B297,'SA Power Bonds'!$A$54:$K$64,9,FALSE)*365 &lt; VLOOKUP($B297,'SA Power Bonds'!$A$54:$K$64,5,FALSE), Q298+VLOOKUP($B297,'SA Power Bonds'!$A$54:$K$64,9,FALSE)*365, VLOOKUP($B297,'SA Power Bonds'!$A$54:$K$64,5,FALSE))</f>
        <v>44904.5</v>
      </c>
      <c r="S298" s="180">
        <f>IF(R298+VLOOKUP($B297,'SA Power Bonds'!$A$54:$K$64,9,FALSE)*365 &lt; VLOOKUP($B297,'SA Power Bonds'!$A$54:$K$64,5,FALSE), R298+VLOOKUP($B297,'SA Power Bonds'!$A$54:$K$64,9,FALSE)*365, VLOOKUP($B297,'SA Power Bonds'!$A$54:$K$64,5,FALSE))</f>
        <v>45087</v>
      </c>
      <c r="T298" s="180">
        <f>IF(S298+VLOOKUP($B297,'SA Power Bonds'!$A$54:$K$64,9,FALSE)*365 &lt; VLOOKUP($B297,'SA Power Bonds'!$A$54:$K$64,5,FALSE), S298+VLOOKUP($B297,'SA Power Bonds'!$A$54:$K$64,9,FALSE)*365, VLOOKUP($B297,'SA Power Bonds'!$A$54:$K$64,5,FALSE))</f>
        <v>45269.5</v>
      </c>
      <c r="U298" s="180">
        <f>IF(T298+VLOOKUP($B297,'SA Power Bonds'!$A$54:$K$64,9,FALSE)*365 &lt; VLOOKUP($B297,'SA Power Bonds'!$A$54:$K$64,5,FALSE), T298+VLOOKUP($B297,'SA Power Bonds'!$A$54:$K$64,9,FALSE)*365, VLOOKUP($B297,'SA Power Bonds'!$A$54:$K$64,5,FALSE))</f>
        <v>45452</v>
      </c>
      <c r="V298" s="180">
        <f>IF(U298+VLOOKUP($B297,'SA Power Bonds'!$A$54:$K$64,9,FALSE)*365 &lt; VLOOKUP($B297,'SA Power Bonds'!$A$54:$K$64,5,FALSE), U298+VLOOKUP($B297,'SA Power Bonds'!$A$54:$K$64,9,FALSE)*365, VLOOKUP($B297,'SA Power Bonds'!$A$54:$K$64,5,FALSE))</f>
        <v>45634.5</v>
      </c>
      <c r="W298" s="180">
        <f>IF(V298+VLOOKUP($B297,'SA Power Bonds'!$A$54:$K$64,9,FALSE)*365 &lt; VLOOKUP($B297,'SA Power Bonds'!$A$54:$K$64,5,FALSE), V298+VLOOKUP($B297,'SA Power Bonds'!$A$54:$K$64,9,FALSE)*365, VLOOKUP($B297,'SA Power Bonds'!$A$54:$K$64,5,FALSE))</f>
        <v>45817</v>
      </c>
      <c r="X298" s="180">
        <f>IF(W298+VLOOKUP($B297,'SA Power Bonds'!$A$54:$K$64,9,FALSE)*365 &lt; VLOOKUP($B297,'SA Power Bonds'!$A$54:$K$64,5,FALSE), W298+VLOOKUP($B297,'SA Power Bonds'!$A$54:$K$64,9,FALSE)*365, VLOOKUP($B297,'SA Power Bonds'!$A$54:$K$64,5,FALSE))</f>
        <v>45999.5</v>
      </c>
      <c r="Y298" s="180">
        <f>IF(X298+VLOOKUP($B297,'SA Power Bonds'!$A$54:$K$64,9,FALSE)*365 &lt; VLOOKUP($B297,'SA Power Bonds'!$A$54:$K$64,5,FALSE), X298+VLOOKUP($B297,'SA Power Bonds'!$A$54:$K$64,9,FALSE)*365, VLOOKUP($B297,'SA Power Bonds'!$A$54:$K$64,5,FALSE))</f>
        <v>46182</v>
      </c>
      <c r="Z298" s="180">
        <f>IF(Y298+VLOOKUP($B297,'SA Power Bonds'!$A$54:$K$64,9,FALSE)*365 &lt; VLOOKUP($B297,'SA Power Bonds'!$A$54:$K$64,5,FALSE), Y298+VLOOKUP($B297,'SA Power Bonds'!$A$54:$K$64,9,FALSE)*365, VLOOKUP($B297,'SA Power Bonds'!$A$54:$K$64,5,FALSE))</f>
        <v>46364.5</v>
      </c>
      <c r="AA298" s="180">
        <f>IF(Z298+VLOOKUP($B297,'SA Power Bonds'!$A$54:$K$64,9,FALSE)*365 &lt; VLOOKUP($B297,'SA Power Bonds'!$A$54:$K$64,5,FALSE), Z298+VLOOKUP($B297,'SA Power Bonds'!$A$54:$K$64,9,FALSE)*365, VLOOKUP($B297,'SA Power Bonds'!$A$54:$K$64,5,FALSE))</f>
        <v>46547</v>
      </c>
      <c r="AB298" s="180">
        <f>IF(AA298+VLOOKUP($B297,'SA Power Bonds'!$A$54:$K$64,9,FALSE)*365 &lt; VLOOKUP($B297,'SA Power Bonds'!$A$54:$K$64,5,FALSE), AA298+VLOOKUP($B297,'SA Power Bonds'!$A$54:$K$64,9,FALSE)*365, VLOOKUP($B297,'SA Power Bonds'!$A$54:$K$64,5,FALSE))</f>
        <v>46549</v>
      </c>
      <c r="AC298" s="180">
        <f>IF(AB298+VLOOKUP($B297,'SA Power Bonds'!$A$54:$K$64,9,FALSE)*365 &lt; VLOOKUP($B297,'SA Power Bonds'!$A$54:$K$64,5,FALSE), AB298+VLOOKUP($B297,'SA Power Bonds'!$A$54:$K$64,9,FALSE)*365, VLOOKUP($B297,'SA Power Bonds'!$A$54:$K$64,5,FALSE))</f>
        <v>46549</v>
      </c>
      <c r="AD298" s="27"/>
      <c r="AE298" s="27"/>
      <c r="AF298" s="27"/>
      <c r="AG298" s="27"/>
      <c r="AH298" s="27"/>
      <c r="AI298" s="27"/>
      <c r="AJ298" s="27"/>
      <c r="AK298" s="27"/>
      <c r="AL298" s="27"/>
      <c r="AM298" s="27"/>
    </row>
    <row r="299" spans="2:39">
      <c r="B299" t="s">
        <v>209</v>
      </c>
      <c r="E299" s="182">
        <f>IF(E298&lt;VLOOKUP($B297,'SA Power Bonds'!$A$54:$K$64,5,FALSE),(VLOOKUP($B297,'SA Power Bonds'!$A$54:$K$64,8,FALSE)/100)*(VLOOKUP($B297,'SA Power Bonds'!$A$54:$K$64,9,FALSE))*(VLOOKUP($B297,'SA Power Bonds'!$A$54:$K$64,6,FALSE)),(VLOOKUP($B297,'SA Power Bonds'!$A$54:$K$64,6,FALSE)))</f>
        <v>4.6830495000000001</v>
      </c>
      <c r="F299" s="182">
        <f>IF(F298&lt;VLOOKUP($B297,'SA Power Bonds'!$A$54:$K$64,5,FALSE),(VLOOKUP($B297,'SA Power Bonds'!$A$54:$K$64,8,FALSE)/100)*(VLOOKUP($B297,'SA Power Bonds'!$A$54:$K$64,9,FALSE))*(VLOOKUP($B297,'SA Power Bonds'!$A$54:$K$64,6,FALSE)),(VLOOKUP($B297,'SA Power Bonds'!$A$54:$K$64,6,FALSE)))</f>
        <v>4.6830495000000001</v>
      </c>
      <c r="G299" s="182">
        <f>IF(G298&lt;VLOOKUP($B297,'SA Power Bonds'!$A$54:$K$64,5,FALSE),(VLOOKUP($B297,'SA Power Bonds'!$A$54:$K$64,8,FALSE)/100)*(VLOOKUP($B297,'SA Power Bonds'!$A$54:$K$64,9,FALSE))*(VLOOKUP($B297,'SA Power Bonds'!$A$54:$K$64,6,FALSE)),(VLOOKUP($B297,'SA Power Bonds'!$A$54:$K$64,6,FALSE)))</f>
        <v>4.6830495000000001</v>
      </c>
      <c r="H299" s="182">
        <f>IF(H298&lt;VLOOKUP($B297,'SA Power Bonds'!$A$54:$K$64,5,FALSE),(VLOOKUP($B297,'SA Power Bonds'!$A$54:$K$64,8,FALSE)/100)*(VLOOKUP($B297,'SA Power Bonds'!$A$54:$K$64,9,FALSE))*(VLOOKUP($B297,'SA Power Bonds'!$A$54:$K$64,6,FALSE)),(VLOOKUP($B297,'SA Power Bonds'!$A$54:$K$64,6,FALSE)))</f>
        <v>4.6830495000000001</v>
      </c>
      <c r="I299" s="182">
        <f>IF(I298&lt;VLOOKUP($B297,'SA Power Bonds'!$A$54:$K$64,5,FALSE),(VLOOKUP($B297,'SA Power Bonds'!$A$54:$K$64,8,FALSE)/100)*(VLOOKUP($B297,'SA Power Bonds'!$A$54:$K$64,9,FALSE))*(VLOOKUP($B297,'SA Power Bonds'!$A$54:$K$64,6,FALSE)),(VLOOKUP($B297,'SA Power Bonds'!$A$54:$K$64,6,FALSE)))</f>
        <v>4.6830495000000001</v>
      </c>
      <c r="J299" s="182">
        <f>IF(J298&lt;VLOOKUP($B297,'SA Power Bonds'!$A$54:$K$64,5,FALSE),(VLOOKUP($B297,'SA Power Bonds'!$A$54:$K$64,8,FALSE)/100)*(VLOOKUP($B297,'SA Power Bonds'!$A$54:$K$64,9,FALSE))*(VLOOKUP($B297,'SA Power Bonds'!$A$54:$K$64,6,FALSE)),(VLOOKUP($B297,'SA Power Bonds'!$A$54:$K$64,6,FALSE)))</f>
        <v>4.6830495000000001</v>
      </c>
      <c r="K299" s="182">
        <f>IF(K298&lt;VLOOKUP($B297,'SA Power Bonds'!$A$54:$K$64,5,FALSE),(VLOOKUP($B297,'SA Power Bonds'!$A$54:$K$64,8,FALSE)/100)*(VLOOKUP($B297,'SA Power Bonds'!$A$54:$K$64,9,FALSE))*(VLOOKUP($B297,'SA Power Bonds'!$A$54:$K$64,6,FALSE)),(VLOOKUP($B297,'SA Power Bonds'!$A$54:$K$64,6,FALSE)))</f>
        <v>4.6830495000000001</v>
      </c>
      <c r="L299" s="182">
        <f>IF(L298&lt;VLOOKUP($B297,'SA Power Bonds'!$A$54:$K$64,5,FALSE),(VLOOKUP($B297,'SA Power Bonds'!$A$54:$K$64,8,FALSE)/100)*(VLOOKUP($B297,'SA Power Bonds'!$A$54:$K$64,9,FALSE))*(VLOOKUP($B297,'SA Power Bonds'!$A$54:$K$64,6,FALSE)),(VLOOKUP($B297,'SA Power Bonds'!$A$54:$K$64,6,FALSE)))</f>
        <v>4.6830495000000001</v>
      </c>
      <c r="M299" s="182">
        <f>IF(M298&lt;VLOOKUP($B297,'SA Power Bonds'!$A$54:$K$64,5,FALSE),(VLOOKUP($B297,'SA Power Bonds'!$A$54:$K$64,8,FALSE)/100)*(VLOOKUP($B297,'SA Power Bonds'!$A$54:$K$64,9,FALSE))*(VLOOKUP($B297,'SA Power Bonds'!$A$54:$K$64,6,FALSE)),(VLOOKUP($B297,'SA Power Bonds'!$A$54:$K$64,6,FALSE)))</f>
        <v>4.6830495000000001</v>
      </c>
      <c r="N299" s="182">
        <f>IF(N298&lt;VLOOKUP($B297,'SA Power Bonds'!$A$54:$K$64,5,FALSE),(VLOOKUP($B297,'SA Power Bonds'!$A$54:$K$64,8,FALSE)/100)*(VLOOKUP($B297,'SA Power Bonds'!$A$54:$K$64,9,FALSE))*(VLOOKUP($B297,'SA Power Bonds'!$A$54:$K$64,6,FALSE)),(VLOOKUP($B297,'SA Power Bonds'!$A$54:$K$64,6,FALSE)))</f>
        <v>4.6830495000000001</v>
      </c>
      <c r="O299" s="182">
        <f>IF(O298&lt;VLOOKUP($B297,'SA Power Bonds'!$A$54:$K$64,5,FALSE),(VLOOKUP($B297,'SA Power Bonds'!$A$54:$K$64,8,FALSE)/100)*(VLOOKUP($B297,'SA Power Bonds'!$A$54:$K$64,9,FALSE))*(VLOOKUP($B297,'SA Power Bonds'!$A$54:$K$64,6,FALSE)),(VLOOKUP($B297,'SA Power Bonds'!$A$54:$K$64,6,FALSE)))</f>
        <v>4.6830495000000001</v>
      </c>
      <c r="P299" s="182">
        <f>IF(P298&lt;VLOOKUP($B297,'SA Power Bonds'!$A$54:$K$64,5,FALSE),(VLOOKUP($B297,'SA Power Bonds'!$A$54:$K$64,8,FALSE)/100)*(VLOOKUP($B297,'SA Power Bonds'!$A$54:$K$64,9,FALSE))*(VLOOKUP($B297,'SA Power Bonds'!$A$54:$K$64,6,FALSE)),(VLOOKUP($B297,'SA Power Bonds'!$A$54:$K$64,6,FALSE)))</f>
        <v>4.6830495000000001</v>
      </c>
      <c r="Q299" s="182">
        <f>IF(Q298&lt;VLOOKUP($B297,'SA Power Bonds'!$A$54:$K$64,5,FALSE),(VLOOKUP($B297,'SA Power Bonds'!$A$54:$K$64,8,FALSE)/100)*(VLOOKUP($B297,'SA Power Bonds'!$A$54:$K$64,9,FALSE))*(VLOOKUP($B297,'SA Power Bonds'!$A$54:$K$64,6,FALSE)),(VLOOKUP($B297,'SA Power Bonds'!$A$54:$K$64,6,FALSE)))</f>
        <v>4.6830495000000001</v>
      </c>
      <c r="R299" s="182">
        <f>IF(R298&lt;VLOOKUP($B297,'SA Power Bonds'!$A$54:$K$64,5,FALSE),(VLOOKUP($B297,'SA Power Bonds'!$A$54:$K$64,8,FALSE)/100)*(VLOOKUP($B297,'SA Power Bonds'!$A$54:$K$64,9,FALSE))*(VLOOKUP($B297,'SA Power Bonds'!$A$54:$K$64,6,FALSE)),(VLOOKUP($B297,'SA Power Bonds'!$A$54:$K$64,6,FALSE)))</f>
        <v>4.6830495000000001</v>
      </c>
      <c r="S299" s="182">
        <f>IF(S298&lt;VLOOKUP($B297,'SA Power Bonds'!$A$54:$K$64,5,FALSE),(VLOOKUP($B297,'SA Power Bonds'!$A$54:$K$64,8,FALSE)/100)*(VLOOKUP($B297,'SA Power Bonds'!$A$54:$K$64,9,FALSE))*(VLOOKUP($B297,'SA Power Bonds'!$A$54:$K$64,6,FALSE)),(VLOOKUP($B297,'SA Power Bonds'!$A$54:$K$64,6,FALSE)))</f>
        <v>4.6830495000000001</v>
      </c>
      <c r="T299" s="182">
        <f>IF(T298&lt;VLOOKUP($B297,'SA Power Bonds'!$A$54:$K$64,5,FALSE),(VLOOKUP($B297,'SA Power Bonds'!$A$54:$K$64,8,FALSE)/100)*(VLOOKUP($B297,'SA Power Bonds'!$A$54:$K$64,9,FALSE))*(VLOOKUP($B297,'SA Power Bonds'!$A$54:$K$64,6,FALSE)),(VLOOKUP($B297,'SA Power Bonds'!$A$54:$K$64,6,FALSE)))</f>
        <v>4.6830495000000001</v>
      </c>
      <c r="U299" s="182">
        <f>IF(U298&lt;VLOOKUP($B297,'SA Power Bonds'!$A$54:$K$64,5,FALSE),(VLOOKUP($B297,'SA Power Bonds'!$A$54:$K$64,8,FALSE)/100)*(VLOOKUP($B297,'SA Power Bonds'!$A$54:$K$64,9,FALSE))*(VLOOKUP($B297,'SA Power Bonds'!$A$54:$K$64,6,FALSE)),(VLOOKUP($B297,'SA Power Bonds'!$A$54:$K$64,6,FALSE)))</f>
        <v>4.6830495000000001</v>
      </c>
      <c r="V299" s="182">
        <f>IF(V298&lt;VLOOKUP($B297,'SA Power Bonds'!$A$54:$K$64,5,FALSE),(VLOOKUP($B297,'SA Power Bonds'!$A$54:$K$64,8,FALSE)/100)*(VLOOKUP($B297,'SA Power Bonds'!$A$54:$K$64,9,FALSE))*(VLOOKUP($B297,'SA Power Bonds'!$A$54:$K$64,6,FALSE)),(VLOOKUP($B297,'SA Power Bonds'!$A$54:$K$64,6,FALSE)))</f>
        <v>4.6830495000000001</v>
      </c>
      <c r="W299" s="182">
        <f>IF(W298&lt;VLOOKUP($B297,'SA Power Bonds'!$A$54:$K$64,5,FALSE),(VLOOKUP($B297,'SA Power Bonds'!$A$54:$K$64,8,FALSE)/100)*(VLOOKUP($B297,'SA Power Bonds'!$A$54:$K$64,9,FALSE))*(VLOOKUP($B297,'SA Power Bonds'!$A$54:$K$64,6,FALSE)),(VLOOKUP($B297,'SA Power Bonds'!$A$54:$K$64,6,FALSE)))</f>
        <v>4.6830495000000001</v>
      </c>
      <c r="X299" s="182">
        <f>IF(X298&lt;VLOOKUP($B297,'SA Power Bonds'!$A$54:$K$64,5,FALSE),(VLOOKUP($B297,'SA Power Bonds'!$A$54:$K$64,8,FALSE)/100)*(VLOOKUP($B297,'SA Power Bonds'!$A$54:$K$64,9,FALSE))*(VLOOKUP($B297,'SA Power Bonds'!$A$54:$K$64,6,FALSE)),(VLOOKUP($B297,'SA Power Bonds'!$A$54:$K$64,6,FALSE)))</f>
        <v>4.6830495000000001</v>
      </c>
      <c r="Y299" s="182">
        <f>IF(Y298&lt;VLOOKUP($B297,'SA Power Bonds'!$A$54:$K$64,5,FALSE),(VLOOKUP($B297,'SA Power Bonds'!$A$54:$K$64,8,FALSE)/100)*(VLOOKUP($B297,'SA Power Bonds'!$A$54:$K$64,9,FALSE))*(VLOOKUP($B297,'SA Power Bonds'!$A$54:$K$64,6,FALSE)),(VLOOKUP($B297,'SA Power Bonds'!$A$54:$K$64,6,FALSE)))</f>
        <v>4.6830495000000001</v>
      </c>
      <c r="Z299" s="182">
        <f>IF(Z298&lt;VLOOKUP($B297,'SA Power Bonds'!$A$54:$K$64,5,FALSE),(VLOOKUP($B297,'SA Power Bonds'!$A$54:$K$64,8,FALSE)/100)*(VLOOKUP($B297,'SA Power Bonds'!$A$54:$K$64,9,FALSE))*(VLOOKUP($B297,'SA Power Bonds'!$A$54:$K$64,6,FALSE)),(VLOOKUP($B297,'SA Power Bonds'!$A$54:$K$64,6,FALSE)))</f>
        <v>4.6830495000000001</v>
      </c>
      <c r="AA299" s="182">
        <f>IF(AA298&lt;VLOOKUP($B297,'SA Power Bonds'!$A$54:$K$64,5,FALSE),(VLOOKUP($B297,'SA Power Bonds'!$A$54:$K$64,8,FALSE)/100)*(VLOOKUP($B297,'SA Power Bonds'!$A$54:$K$64,9,FALSE))*(VLOOKUP($B297,'SA Power Bonds'!$A$54:$K$64,6,FALSE)),(VLOOKUP($B297,'SA Power Bonds'!$A$54:$K$64,6,FALSE)))</f>
        <v>4.6830495000000001</v>
      </c>
      <c r="AB299" s="182">
        <f>IF(AB298&lt;VLOOKUP($B297,'SA Power Bonds'!$A$54:$K$64,5,FALSE),(VLOOKUP($B297,'SA Power Bonds'!$A$54:$K$64,8,FALSE)/100)*(VLOOKUP($B297,'SA Power Bonds'!$A$54:$K$64,9,FALSE))*(VLOOKUP($B297,'SA Power Bonds'!$A$54:$K$64,6,FALSE)),(VLOOKUP($B297,'SA Power Bonds'!$A$54:$K$64,6,FALSE)))</f>
        <v>303.11</v>
      </c>
      <c r="AC299" s="182">
        <f>IF(AC298&lt;VLOOKUP($B297,'SA Power Bonds'!$A$54:$K$64,5,FALSE),(VLOOKUP($B297,'SA Power Bonds'!$A$54:$K$64,8,FALSE)/100)*(VLOOKUP($B297,'SA Power Bonds'!$A$54:$K$64,9,FALSE))*(VLOOKUP($B297,'SA Power Bonds'!$A$54:$K$64,6,FALSE)),(VLOOKUP($B297,'SA Power Bonds'!$A$54:$K$64,6,FALSE)))</f>
        <v>303.11</v>
      </c>
    </row>
    <row r="300" spans="2:39">
      <c r="B300" s="135">
        <v>42185</v>
      </c>
    </row>
    <row r="301" spans="2:39">
      <c r="B301" t="s">
        <v>210</v>
      </c>
      <c r="E301" s="182">
        <f>(E$298-$B300)/365</f>
        <v>0.9506849315068493</v>
      </c>
      <c r="F301" s="182">
        <f t="shared" ref="F301:AC301" si="1644">(F$298-$B300)/365</f>
        <v>1.4506849315068493</v>
      </c>
      <c r="G301" s="182">
        <f t="shared" si="1644"/>
        <v>1.9506849315068493</v>
      </c>
      <c r="H301" s="182">
        <f t="shared" si="1644"/>
        <v>2.4506849315068493</v>
      </c>
      <c r="I301" s="182">
        <f t="shared" si="1644"/>
        <v>2.9506849315068493</v>
      </c>
      <c r="J301" s="182">
        <f t="shared" si="1644"/>
        <v>3.4506849315068493</v>
      </c>
      <c r="K301" s="182">
        <f t="shared" si="1644"/>
        <v>3.9506849315068493</v>
      </c>
      <c r="L301" s="182">
        <f t="shared" si="1644"/>
        <v>4.4506849315068493</v>
      </c>
      <c r="M301" s="182">
        <f t="shared" si="1644"/>
        <v>4.9506849315068493</v>
      </c>
      <c r="N301" s="182">
        <f t="shared" si="1644"/>
        <v>5.4506849315068493</v>
      </c>
      <c r="O301" s="182">
        <f t="shared" si="1644"/>
        <v>5.9506849315068493</v>
      </c>
      <c r="P301" s="182">
        <f t="shared" si="1644"/>
        <v>6.4506849315068493</v>
      </c>
      <c r="Q301" s="182">
        <f t="shared" si="1644"/>
        <v>6.9506849315068493</v>
      </c>
      <c r="R301" s="182">
        <f t="shared" si="1644"/>
        <v>7.4506849315068493</v>
      </c>
      <c r="S301" s="182">
        <f t="shared" si="1644"/>
        <v>7.9506849315068493</v>
      </c>
      <c r="T301" s="182">
        <f t="shared" si="1644"/>
        <v>8.4506849315068493</v>
      </c>
      <c r="U301" s="182">
        <f t="shared" si="1644"/>
        <v>8.9506849315068493</v>
      </c>
      <c r="V301" s="182">
        <f t="shared" si="1644"/>
        <v>9.4506849315068493</v>
      </c>
      <c r="W301" s="182">
        <f t="shared" si="1644"/>
        <v>9.9506849315068493</v>
      </c>
      <c r="X301" s="182">
        <f t="shared" si="1644"/>
        <v>10.450684931506849</v>
      </c>
      <c r="Y301" s="182">
        <f t="shared" si="1644"/>
        <v>10.950684931506849</v>
      </c>
      <c r="Z301" s="182">
        <f t="shared" si="1644"/>
        <v>11.450684931506849</v>
      </c>
      <c r="AA301" s="182">
        <f t="shared" si="1644"/>
        <v>11.950684931506849</v>
      </c>
      <c r="AB301" s="182">
        <f t="shared" si="1644"/>
        <v>11.956164383561644</v>
      </c>
      <c r="AC301" s="182">
        <f t="shared" si="1644"/>
        <v>11.956164383561644</v>
      </c>
    </row>
    <row r="302" spans="2:39">
      <c r="B302" t="s">
        <v>211</v>
      </c>
      <c r="E302" s="183">
        <f>1+((INDEX('Yield Curve'!$B$48:$P$91,MATCH(ROUND(E301,0),'Yield Curve'!$B$48:$B$91,0),MATCH(YEAR($B300),'Yield Curve'!$B$48:$P$48,0)))/100)</f>
        <v>1.0388500000000001</v>
      </c>
      <c r="F302" s="183">
        <f>1+((INDEX('Yield Curve'!$B$48:$P$91,MATCH(ROUND(F301,0),'Yield Curve'!$B$48:$B$91,0),MATCH(YEAR($B300),'Yield Curve'!$B$48:$P$48,0)))/100)</f>
        <v>1.0388500000000001</v>
      </c>
      <c r="G302" s="183">
        <f>1+((INDEX('Yield Curve'!$B$48:$P$91,MATCH(ROUND(G301,0),'Yield Curve'!$B$48:$B$91,0),MATCH(YEAR($B300),'Yield Curve'!$B$48:$P$48,0)))/100)</f>
        <v>1.0388500000000001</v>
      </c>
      <c r="H302" s="183">
        <f>1+((INDEX('Yield Curve'!$B$48:$P$91,MATCH(ROUND(H301,0),'Yield Curve'!$B$48:$B$91,0),MATCH(YEAR($B300),'Yield Curve'!$B$48:$P$48,0)))/100)</f>
        <v>1.0388500000000001</v>
      </c>
      <c r="I302" s="183">
        <f>1+((INDEX('Yield Curve'!$B$48:$P$91,MATCH(ROUND(I301,0),'Yield Curve'!$B$48:$B$91,0),MATCH(YEAR($B300),'Yield Curve'!$B$48:$P$48,0)))/100)</f>
        <v>1.0388500000000001</v>
      </c>
      <c r="J302" s="183">
        <f>1+((INDEX('Yield Curve'!$B$48:$P$91,MATCH(ROUND(J301,0),'Yield Curve'!$B$48:$B$91,0),MATCH(YEAR($B300),'Yield Curve'!$B$48:$P$48,0)))/100)</f>
        <v>1.0388500000000001</v>
      </c>
      <c r="K302" s="183">
        <f>1+((INDEX('Yield Curve'!$B$48:$P$91,MATCH(ROUND(K301,0),'Yield Curve'!$B$48:$B$91,0),MATCH(YEAR($B300),'Yield Curve'!$B$48:$P$48,0)))/100)</f>
        <v>1.040575</v>
      </c>
      <c r="L302" s="183">
        <f>1+((INDEX('Yield Curve'!$B$48:$P$91,MATCH(ROUND(L301,0),'Yield Curve'!$B$48:$B$91,0),MATCH(YEAR($B300),'Yield Curve'!$B$48:$P$48,0)))/100)</f>
        <v>1.040575</v>
      </c>
      <c r="M302" s="183">
        <f>1+((INDEX('Yield Curve'!$B$48:$P$91,MATCH(ROUND(M301,0),'Yield Curve'!$B$48:$B$91,0),MATCH(YEAR($B300),'Yield Curve'!$B$48:$P$48,0)))/100)</f>
        <v>1.0423</v>
      </c>
      <c r="N302" s="183">
        <f>1+((INDEX('Yield Curve'!$B$48:$P$91,MATCH(ROUND(N301,0),'Yield Curve'!$B$48:$B$91,0),MATCH(YEAR($B300),'Yield Curve'!$B$48:$P$48,0)))/100)</f>
        <v>1.0423</v>
      </c>
      <c r="O302" s="183">
        <f>1+((INDEX('Yield Curve'!$B$48:$P$91,MATCH(ROUND(O301,0),'Yield Curve'!$B$48:$B$91,0),MATCH(YEAR($B300),'Yield Curve'!$B$48:$P$48,0)))/100)</f>
        <v>1.0443500000000001</v>
      </c>
      <c r="P302" s="183">
        <f>1+((INDEX('Yield Curve'!$B$48:$P$91,MATCH(ROUND(P301,0),'Yield Curve'!$B$48:$B$91,0),MATCH(YEAR($B300),'Yield Curve'!$B$48:$P$48,0)))/100)</f>
        <v>1.0443500000000001</v>
      </c>
      <c r="Q302" s="183">
        <f>1+((INDEX('Yield Curve'!$B$48:$P$91,MATCH(ROUND(Q301,0),'Yield Curve'!$B$48:$B$91,0),MATCH(YEAR($B300),'Yield Curve'!$B$48:$P$48,0)))/100)</f>
        <v>1.0464</v>
      </c>
      <c r="R302" s="183">
        <f>1+((INDEX('Yield Curve'!$B$48:$P$91,MATCH(ROUND(R301,0),'Yield Curve'!$B$48:$B$91,0),MATCH(YEAR($B300),'Yield Curve'!$B$48:$P$48,0)))/100)</f>
        <v>1.0464</v>
      </c>
      <c r="S302" s="183">
        <f>1+((INDEX('Yield Curve'!$B$48:$P$91,MATCH(ROUND(S301,0),'Yield Curve'!$B$48:$B$91,0),MATCH(YEAR($B300),'Yield Curve'!$B$48:$P$48,0)))/100)</f>
        <v>1.0472999999999999</v>
      </c>
      <c r="T302" s="183">
        <f>1+((INDEX('Yield Curve'!$B$48:$P$91,MATCH(ROUND(T301,0),'Yield Curve'!$B$48:$B$91,0),MATCH(YEAR($B300),'Yield Curve'!$B$48:$P$48,0)))/100)</f>
        <v>1.0472999999999999</v>
      </c>
      <c r="U302" s="183">
        <f>1+((INDEX('Yield Curve'!$B$48:$P$91,MATCH(ROUND(U301,0),'Yield Curve'!$B$48:$B$91,0),MATCH(YEAR($B300),'Yield Curve'!$B$48:$P$48,0)))/100)</f>
        <v>1.0490999999999999</v>
      </c>
      <c r="V302" s="183">
        <f>1+((INDEX('Yield Curve'!$B$48:$P$91,MATCH(ROUND(V301,0),'Yield Curve'!$B$48:$B$91,0),MATCH(YEAR($B300),'Yield Curve'!$B$48:$P$48,0)))/100)</f>
        <v>1.0490999999999999</v>
      </c>
      <c r="W302" s="183">
        <f>1+((INDEX('Yield Curve'!$B$48:$P$91,MATCH(ROUND(W301,0),'Yield Curve'!$B$48:$B$91,0),MATCH(YEAR($B300),'Yield Curve'!$B$48:$P$48,0)))/100)</f>
        <v>1.05</v>
      </c>
      <c r="X302" s="183">
        <f>1+((INDEX('Yield Curve'!$B$48:$P$91,MATCH(ROUND(X301,0),'Yield Curve'!$B$48:$B$91,0),MATCH(YEAR($B300),'Yield Curve'!$B$48:$P$48,0)))/100)</f>
        <v>1.05</v>
      </c>
      <c r="Y302" s="183">
        <f>1+((INDEX('Yield Curve'!$B$48:$P$91,MATCH(ROUND(Y301,0),'Yield Curve'!$B$48:$B$91,0),MATCH(YEAR($B300),'Yield Curve'!$B$48:$P$48,0)))/100)</f>
        <v>1.05</v>
      </c>
      <c r="Z302" s="183">
        <f>1+((INDEX('Yield Curve'!$B$48:$P$91,MATCH(ROUND(Z301,0),'Yield Curve'!$B$48:$B$91,0),MATCH(YEAR($B300),'Yield Curve'!$B$48:$P$48,0)))/100)</f>
        <v>1.05</v>
      </c>
      <c r="AA302" s="183">
        <f>1+((INDEX('Yield Curve'!$B$48:$P$91,MATCH(ROUND(AA301,0),'Yield Curve'!$B$48:$B$91,0),MATCH(YEAR($B300),'Yield Curve'!$B$48:$P$48,0)))/100)</f>
        <v>1.05</v>
      </c>
      <c r="AB302" s="183">
        <f>1+((INDEX('Yield Curve'!$B$48:$P$91,MATCH(ROUND(AB301,0),'Yield Curve'!$B$48:$B$91,0),MATCH(YEAR($B300),'Yield Curve'!$B$48:$P$48,0)))/100)</f>
        <v>1.05</v>
      </c>
      <c r="AC302" s="183">
        <f>1+((INDEX('Yield Curve'!$B$48:$P$91,MATCH(ROUND(AC301,0),'Yield Curve'!$B$48:$B$91,0),MATCH(YEAR($B300),'Yield Curve'!$B$48:$P$48,0)))/100)</f>
        <v>1.05</v>
      </c>
    </row>
    <row r="303" spans="2:39">
      <c r="B303" t="s">
        <v>212</v>
      </c>
      <c r="C303" s="182">
        <f>SUM(D303:AM303)</f>
        <v>419.7002520855616</v>
      </c>
      <c r="E303" s="182">
        <f>E$299/(E302^E301)</f>
        <v>4.5163980252429381</v>
      </c>
      <c r="F303" s="182">
        <f t="shared" ref="F303:AC303" si="1645">F$299/(F302^F301)</f>
        <v>4.4311432158281852</v>
      </c>
      <c r="G303" s="182">
        <f t="shared" si="1645"/>
        <v>4.3474977381170881</v>
      </c>
      <c r="H303" s="182">
        <f t="shared" si="1645"/>
        <v>4.2654312131955381</v>
      </c>
      <c r="I303" s="182">
        <f t="shared" si="1645"/>
        <v>4.1849138356038775</v>
      </c>
      <c r="J303" s="182">
        <f t="shared" si="1645"/>
        <v>4.105916362511949</v>
      </c>
      <c r="K303" s="182">
        <f t="shared" si="1645"/>
        <v>4.0020917043107147</v>
      </c>
      <c r="L303" s="182">
        <f t="shared" si="1645"/>
        <v>3.9232893742897987</v>
      </c>
      <c r="M303" s="182">
        <f t="shared" si="1645"/>
        <v>3.8146295839517625</v>
      </c>
      <c r="N303" s="182">
        <f t="shared" si="1645"/>
        <v>3.7364227154574974</v>
      </c>
      <c r="O303" s="182">
        <f t="shared" si="1645"/>
        <v>3.6172765849807216</v>
      </c>
      <c r="P303" s="182">
        <f t="shared" si="1645"/>
        <v>3.5396366369535719</v>
      </c>
      <c r="Q303" s="182">
        <f t="shared" si="1645"/>
        <v>3.4167722120955482</v>
      </c>
      <c r="R303" s="182">
        <f t="shared" si="1645"/>
        <v>3.3401591545754257</v>
      </c>
      <c r="S303" s="182">
        <f t="shared" si="1645"/>
        <v>3.2430207532621838</v>
      </c>
      <c r="T303" s="182">
        <f t="shared" si="1645"/>
        <v>3.16894116520875</v>
      </c>
      <c r="U303" s="182">
        <f t="shared" si="1645"/>
        <v>3.0493224506045054</v>
      </c>
      <c r="V303" s="182">
        <f t="shared" si="1645"/>
        <v>2.9771101798766568</v>
      </c>
      <c r="W303" s="182">
        <f t="shared" si="1645"/>
        <v>2.8819119600174115</v>
      </c>
      <c r="X303" s="182">
        <f t="shared" si="1645"/>
        <v>2.8124580920122417</v>
      </c>
      <c r="Y303" s="182">
        <f t="shared" si="1645"/>
        <v>2.7446780571594394</v>
      </c>
      <c r="Z303" s="182">
        <f t="shared" si="1645"/>
        <v>2.6785315162021353</v>
      </c>
      <c r="AA303" s="182">
        <f t="shared" si="1645"/>
        <v>2.6139791020566085</v>
      </c>
      <c r="AB303" s="182">
        <f t="shared" si="1645"/>
        <v>169.14436022602354</v>
      </c>
      <c r="AC303" s="182">
        <f t="shared" si="1645"/>
        <v>169.14436022602354</v>
      </c>
    </row>
    <row r="304" spans="2:39">
      <c r="B304" s="135">
        <v>42551</v>
      </c>
    </row>
    <row r="305" spans="2:29">
      <c r="B305" t="s">
        <v>210</v>
      </c>
      <c r="G305" s="182">
        <f t="shared" ref="G305" si="1646">(G$298-$B304)/365</f>
        <v>0.94794520547945205</v>
      </c>
      <c r="H305" s="182">
        <f t="shared" ref="H305" si="1647">(H$298-$B304)/365</f>
        <v>1.4479452054794522</v>
      </c>
      <c r="I305" s="182">
        <f t="shared" ref="I305" si="1648">(I$298-$B304)/365</f>
        <v>1.9479452054794522</v>
      </c>
      <c r="J305" s="182">
        <f t="shared" ref="J305" si="1649">(J$298-$B304)/365</f>
        <v>2.4479452054794519</v>
      </c>
      <c r="K305" s="182">
        <f t="shared" ref="K305" si="1650">(K$298-$B304)/365</f>
        <v>2.9479452054794519</v>
      </c>
      <c r="L305" s="182">
        <f t="shared" ref="L305" si="1651">(L$298-$B304)/365</f>
        <v>3.4479452054794519</v>
      </c>
      <c r="M305" s="182">
        <f t="shared" ref="M305" si="1652">(M$298-$B304)/365</f>
        <v>3.9479452054794519</v>
      </c>
      <c r="N305" s="182">
        <f t="shared" ref="N305" si="1653">(N$298-$B304)/365</f>
        <v>4.4479452054794519</v>
      </c>
      <c r="O305" s="182">
        <f t="shared" ref="O305" si="1654">(O$298-$B304)/365</f>
        <v>4.9479452054794519</v>
      </c>
      <c r="P305" s="182">
        <f t="shared" ref="P305" si="1655">(P$298-$B304)/365</f>
        <v>5.4479452054794519</v>
      </c>
      <c r="Q305" s="182">
        <f t="shared" ref="Q305" si="1656">(Q$298-$B304)/365</f>
        <v>5.9479452054794519</v>
      </c>
      <c r="R305" s="182">
        <f t="shared" ref="R305" si="1657">(R$298-$B304)/365</f>
        <v>6.4479452054794519</v>
      </c>
      <c r="S305" s="182">
        <f t="shared" ref="S305" si="1658">(S$298-$B304)/365</f>
        <v>6.9479452054794519</v>
      </c>
      <c r="T305" s="182">
        <f t="shared" ref="T305" si="1659">(T$298-$B304)/365</f>
        <v>7.4479452054794519</v>
      </c>
      <c r="U305" s="182">
        <f t="shared" ref="U305" si="1660">(U$298-$B304)/365</f>
        <v>7.9479452054794519</v>
      </c>
      <c r="V305" s="182">
        <f t="shared" ref="V305" si="1661">(V$298-$B304)/365</f>
        <v>8.4479452054794528</v>
      </c>
      <c r="W305" s="182">
        <f t="shared" ref="W305" si="1662">(W$298-$B304)/365</f>
        <v>8.9479452054794528</v>
      </c>
      <c r="X305" s="182">
        <f t="shared" ref="X305" si="1663">(X$298-$B304)/365</f>
        <v>9.4479452054794528</v>
      </c>
      <c r="Y305" s="182">
        <f t="shared" ref="Y305" si="1664">(Y$298-$B304)/365</f>
        <v>9.9479452054794528</v>
      </c>
      <c r="Z305" s="182">
        <f t="shared" ref="Z305" si="1665">(Z$298-$B304)/365</f>
        <v>10.447945205479453</v>
      </c>
      <c r="AA305" s="182">
        <f t="shared" ref="AA305" si="1666">(AA$298-$B304)/365</f>
        <v>10.947945205479453</v>
      </c>
      <c r="AB305" s="182">
        <f t="shared" ref="AB305" si="1667">(AB$298-$B304)/365</f>
        <v>10.953424657534246</v>
      </c>
      <c r="AC305" s="182">
        <f t="shared" ref="AC305" si="1668">(AC$298-$B304)/365</f>
        <v>10.953424657534246</v>
      </c>
    </row>
    <row r="306" spans="2:29">
      <c r="B306" t="s">
        <v>211</v>
      </c>
      <c r="G306" s="183">
        <f>1+((INDEX('Yield Curve'!$B$48:$P$91,MATCH(ROUND(G305,0),'Yield Curve'!$B$48:$B$91,0),MATCH(YEAR($B304),'Yield Curve'!$B$48:$P$48,0)))/100)</f>
        <v>1.0406</v>
      </c>
      <c r="H306" s="183">
        <f>1+((INDEX('Yield Curve'!$B$48:$P$91,MATCH(ROUND(H305,0),'Yield Curve'!$B$48:$B$91,0),MATCH(YEAR($B304),'Yield Curve'!$B$48:$P$48,0)))/100)</f>
        <v>1.0406</v>
      </c>
      <c r="I306" s="183">
        <f>1+((INDEX('Yield Curve'!$B$48:$P$91,MATCH(ROUND(I305,0),'Yield Curve'!$B$48:$B$91,0),MATCH(YEAR($B304),'Yield Curve'!$B$48:$P$48,0)))/100)</f>
        <v>1.0406</v>
      </c>
      <c r="J306" s="183">
        <f>1+((INDEX('Yield Curve'!$B$48:$P$91,MATCH(ROUND(J305,0),'Yield Curve'!$B$48:$B$91,0),MATCH(YEAR($B304),'Yield Curve'!$B$48:$P$48,0)))/100)</f>
        <v>1.0406</v>
      </c>
      <c r="K306" s="183">
        <f>1+((INDEX('Yield Curve'!$B$48:$P$91,MATCH(ROUND(K305,0),'Yield Curve'!$B$48:$B$91,0),MATCH(YEAR($B304),'Yield Curve'!$B$48:$P$48,0)))/100)</f>
        <v>1.0406</v>
      </c>
      <c r="L306" s="183">
        <f>1+((INDEX('Yield Curve'!$B$48:$P$91,MATCH(ROUND(L305,0),'Yield Curve'!$B$48:$B$91,0),MATCH(YEAR($B304),'Yield Curve'!$B$48:$P$48,0)))/100)</f>
        <v>1.0406</v>
      </c>
      <c r="M306" s="183">
        <f>1+((INDEX('Yield Curve'!$B$48:$P$91,MATCH(ROUND(M305,0),'Yield Curve'!$B$48:$B$91,0),MATCH(YEAR($B304),'Yield Curve'!$B$48:$P$48,0)))/100)</f>
        <v>1.042025</v>
      </c>
      <c r="N306" s="183">
        <f>1+((INDEX('Yield Curve'!$B$48:$P$91,MATCH(ROUND(N305,0),'Yield Curve'!$B$48:$B$91,0),MATCH(YEAR($B304),'Yield Curve'!$B$48:$P$48,0)))/100)</f>
        <v>1.042025</v>
      </c>
      <c r="O306" s="183">
        <f>1+((INDEX('Yield Curve'!$B$48:$P$91,MATCH(ROUND(O305,0),'Yield Curve'!$B$48:$B$91,0),MATCH(YEAR($B304),'Yield Curve'!$B$48:$P$48,0)))/100)</f>
        <v>1.04345</v>
      </c>
      <c r="P306" s="183">
        <f>1+((INDEX('Yield Curve'!$B$48:$P$91,MATCH(ROUND(P305,0),'Yield Curve'!$B$48:$B$91,0),MATCH(YEAR($B304),'Yield Curve'!$B$48:$P$48,0)))/100)</f>
        <v>1.04345</v>
      </c>
      <c r="Q306" s="183">
        <f>1+((INDEX('Yield Curve'!$B$48:$P$91,MATCH(ROUND(Q305,0),'Yield Curve'!$B$48:$B$91,0),MATCH(YEAR($B304),'Yield Curve'!$B$48:$P$48,0)))/100)</f>
        <v>1.0443500000000001</v>
      </c>
      <c r="R306" s="183">
        <f>1+((INDEX('Yield Curve'!$B$48:$P$91,MATCH(ROUND(R305,0),'Yield Curve'!$B$48:$B$91,0),MATCH(YEAR($B304),'Yield Curve'!$B$48:$P$48,0)))/100)</f>
        <v>1.0443500000000001</v>
      </c>
      <c r="S306" s="183">
        <f>1+((INDEX('Yield Curve'!$B$48:$P$91,MATCH(ROUND(S305,0),'Yield Curve'!$B$48:$B$91,0),MATCH(YEAR($B304),'Yield Curve'!$B$48:$P$48,0)))/100)</f>
        <v>1.04525</v>
      </c>
      <c r="T306" s="183">
        <f>1+((INDEX('Yield Curve'!$B$48:$P$91,MATCH(ROUND(T305,0),'Yield Curve'!$B$48:$B$91,0),MATCH(YEAR($B304),'Yield Curve'!$B$48:$P$48,0)))/100)</f>
        <v>1.04525</v>
      </c>
      <c r="U306" s="183">
        <f>1+((INDEX('Yield Curve'!$B$48:$P$91,MATCH(ROUND(U305,0),'Yield Curve'!$B$48:$B$91,0),MATCH(YEAR($B304),'Yield Curve'!$B$48:$P$48,0)))/100)</f>
        <v>1.0457375</v>
      </c>
      <c r="V306" s="183">
        <f>1+((INDEX('Yield Curve'!$B$48:$P$91,MATCH(ROUND(V305,0),'Yield Curve'!$B$48:$B$91,0),MATCH(YEAR($B304),'Yield Curve'!$B$48:$P$48,0)))/100)</f>
        <v>1.0457375</v>
      </c>
      <c r="W306" s="183">
        <f>1+((INDEX('Yield Curve'!$B$48:$P$91,MATCH(ROUND(W305,0),'Yield Curve'!$B$48:$B$91,0),MATCH(YEAR($B304),'Yield Curve'!$B$48:$P$48,0)))/100)</f>
        <v>1.0467124999999999</v>
      </c>
      <c r="X306" s="183">
        <f>1+((INDEX('Yield Curve'!$B$48:$P$91,MATCH(ROUND(X305,0),'Yield Curve'!$B$48:$B$91,0),MATCH(YEAR($B304),'Yield Curve'!$B$48:$P$48,0)))/100)</f>
        <v>1.0467124999999999</v>
      </c>
      <c r="Y306" s="183">
        <f>1+((INDEX('Yield Curve'!$B$48:$P$91,MATCH(ROUND(Y305,0),'Yield Curve'!$B$48:$B$91,0),MATCH(YEAR($B304),'Yield Curve'!$B$48:$P$48,0)))/100)</f>
        <v>1.0471999999999999</v>
      </c>
      <c r="Z306" s="183">
        <f>1+((INDEX('Yield Curve'!$B$48:$P$91,MATCH(ROUND(Z305,0),'Yield Curve'!$B$48:$B$91,0),MATCH(YEAR($B304),'Yield Curve'!$B$48:$P$48,0)))/100)</f>
        <v>1.0471999999999999</v>
      </c>
      <c r="AA306" s="183">
        <f>1+((INDEX('Yield Curve'!$B$48:$P$91,MATCH(ROUND(AA305,0),'Yield Curve'!$B$48:$B$91,0),MATCH(YEAR($B304),'Yield Curve'!$B$48:$P$48,0)))/100)</f>
        <v>1.0471999999999999</v>
      </c>
      <c r="AB306" s="183">
        <f>1+((INDEX('Yield Curve'!$B$48:$P$91,MATCH(ROUND(AB305,0),'Yield Curve'!$B$48:$B$91,0),MATCH(YEAR($B304),'Yield Curve'!$B$48:$P$48,0)))/100)</f>
        <v>1.0471999999999999</v>
      </c>
      <c r="AC306" s="183">
        <f>1+((INDEX('Yield Curve'!$B$48:$P$91,MATCH(ROUND(AC305,0),'Yield Curve'!$B$48:$B$91,0),MATCH(YEAR($B304),'Yield Curve'!$B$48:$P$48,0)))/100)</f>
        <v>1.0471999999999999</v>
      </c>
    </row>
    <row r="307" spans="2:29">
      <c r="B307" t="s">
        <v>212</v>
      </c>
      <c r="C307" s="182">
        <f>SUM(D307:AM307)</f>
        <v>442.23764407583985</v>
      </c>
      <c r="G307" s="182">
        <f t="shared" ref="G307" si="1669">G$299/(G306^G305)</f>
        <v>4.5096686445276895</v>
      </c>
      <c r="H307" s="182">
        <f t="shared" ref="H307" si="1670">H$299/(H306^H305)</f>
        <v>4.4208188742546533</v>
      </c>
      <c r="I307" s="182">
        <f t="shared" ref="I307" si="1671">I$299/(I306^I305)</f>
        <v>4.3337196276452907</v>
      </c>
      <c r="J307" s="182">
        <f t="shared" ref="J307" si="1672">J$299/(J306^J305)</f>
        <v>4.2483364157742205</v>
      </c>
      <c r="K307" s="182">
        <f t="shared" ref="K307" si="1673">K$299/(K306^K305)</f>
        <v>4.1646354292189995</v>
      </c>
      <c r="L307" s="182">
        <f t="shared" ref="L307" si="1674">L$299/(L306^L305)</f>
        <v>4.0825835246725166</v>
      </c>
      <c r="M307" s="182">
        <f t="shared" ref="M307" si="1675">M$299/(M306^M305)</f>
        <v>3.9805844017840761</v>
      </c>
      <c r="N307" s="182">
        <f t="shared" ref="N307" si="1676">N$299/(N306^N305)</f>
        <v>3.8994896104394585</v>
      </c>
      <c r="O307" s="182">
        <f t="shared" ref="O307" si="1677">O$299/(O306^O305)</f>
        <v>3.7943035220237977</v>
      </c>
      <c r="P307" s="182">
        <f t="shared" ref="P307" si="1678">P$299/(P306^P305)</f>
        <v>3.7144648011089907</v>
      </c>
      <c r="Q307" s="182">
        <f t="shared" ref="Q307" si="1679">Q$299/(Q306^Q305)</f>
        <v>3.6177066668977496</v>
      </c>
      <c r="R307" s="182">
        <f t="shared" ref="R307" si="1680">R$299/(R306^R305)</f>
        <v>3.5400574877441149</v>
      </c>
      <c r="S307" s="182">
        <f t="shared" ref="S307" si="1681">S$299/(S306^S305)</f>
        <v>3.4434042969782364</v>
      </c>
      <c r="T307" s="182">
        <f t="shared" ref="T307" si="1682">T$299/(T306^T305)</f>
        <v>3.3680453377625135</v>
      </c>
      <c r="U307" s="182">
        <f t="shared" ref="U307" si="1683">U$299/(U306^U305)</f>
        <v>3.2821493239873938</v>
      </c>
      <c r="V307" s="182">
        <f t="shared" ref="V307" si="1684">V$299/(V306^V305)</f>
        <v>3.2095710548286118</v>
      </c>
      <c r="W307" s="182">
        <f t="shared" ref="W307" si="1685">W$299/(W306^W305)</f>
        <v>3.1125344331331881</v>
      </c>
      <c r="X307" s="182">
        <f t="shared" ref="X307" si="1686">X$299/(X306^X305)</f>
        <v>3.0422889449974599</v>
      </c>
      <c r="Y307" s="182">
        <f t="shared" ref="Y307" si="1687">Y$299/(Y306^Y305)</f>
        <v>2.9598864553732436</v>
      </c>
      <c r="Z307" s="182">
        <f t="shared" ref="Z307" si="1688">Z$299/(Z306^Z305)</f>
        <v>2.8924125322282257</v>
      </c>
      <c r="AA307" s="182">
        <f t="shared" ref="AA307" si="1689">AA$299/(AA306^AA305)</f>
        <v>2.8264767526482468</v>
      </c>
      <c r="AB307" s="182">
        <f t="shared" ref="AB307" si="1690">AB$299/(AB306^AB305)</f>
        <v>182.8972529689056</v>
      </c>
      <c r="AC307" s="182">
        <f t="shared" ref="AC307" si="1691">AC$299/(AC306^AC305)</f>
        <v>182.8972529689056</v>
      </c>
    </row>
    <row r="308" spans="2:29">
      <c r="B308" s="135">
        <v>42916</v>
      </c>
    </row>
    <row r="309" spans="2:29">
      <c r="B309" t="s">
        <v>210</v>
      </c>
      <c r="I309" s="182">
        <f t="shared" ref="I309" si="1692">(I$298-$B308)/365</f>
        <v>0.94794520547945205</v>
      </c>
      <c r="J309" s="182">
        <f t="shared" ref="J309" si="1693">(J$298-$B308)/365</f>
        <v>1.4479452054794522</v>
      </c>
      <c r="K309" s="182">
        <f t="shared" ref="K309" si="1694">(K$298-$B308)/365</f>
        <v>1.9479452054794522</v>
      </c>
      <c r="L309" s="182">
        <f t="shared" ref="L309" si="1695">(L$298-$B308)/365</f>
        <v>2.4479452054794519</v>
      </c>
      <c r="M309" s="182">
        <f t="shared" ref="M309" si="1696">(M$298-$B308)/365</f>
        <v>2.9479452054794519</v>
      </c>
      <c r="N309" s="182">
        <f t="shared" ref="N309" si="1697">(N$298-$B308)/365</f>
        <v>3.4479452054794519</v>
      </c>
      <c r="O309" s="182">
        <f t="shared" ref="O309" si="1698">(O$298-$B308)/365</f>
        <v>3.9479452054794519</v>
      </c>
      <c r="P309" s="182">
        <f t="shared" ref="P309" si="1699">(P$298-$B308)/365</f>
        <v>4.4479452054794519</v>
      </c>
      <c r="Q309" s="182">
        <f t="shared" ref="Q309" si="1700">(Q$298-$B308)/365</f>
        <v>4.9479452054794519</v>
      </c>
      <c r="R309" s="182">
        <f t="shared" ref="R309" si="1701">(R$298-$B308)/365</f>
        <v>5.4479452054794519</v>
      </c>
      <c r="S309" s="182">
        <f t="shared" ref="S309" si="1702">(S$298-$B308)/365</f>
        <v>5.9479452054794519</v>
      </c>
      <c r="T309" s="182">
        <f t="shared" ref="T309" si="1703">(T$298-$B308)/365</f>
        <v>6.4479452054794519</v>
      </c>
      <c r="U309" s="182">
        <f t="shared" ref="U309" si="1704">(U$298-$B308)/365</f>
        <v>6.9479452054794519</v>
      </c>
      <c r="V309" s="182">
        <f t="shared" ref="V309" si="1705">(V$298-$B308)/365</f>
        <v>7.4479452054794519</v>
      </c>
      <c r="W309" s="182">
        <f t="shared" ref="W309" si="1706">(W$298-$B308)/365</f>
        <v>7.9479452054794519</v>
      </c>
      <c r="X309" s="182">
        <f t="shared" ref="X309" si="1707">(X$298-$B308)/365</f>
        <v>8.4479452054794528</v>
      </c>
      <c r="Y309" s="182">
        <f t="shared" ref="Y309" si="1708">(Y$298-$B308)/365</f>
        <v>8.9479452054794528</v>
      </c>
      <c r="Z309" s="182">
        <f t="shared" ref="Z309" si="1709">(Z$298-$B308)/365</f>
        <v>9.4479452054794528</v>
      </c>
      <c r="AA309" s="182">
        <f t="shared" ref="AA309" si="1710">(AA$298-$B308)/365</f>
        <v>9.9479452054794528</v>
      </c>
      <c r="AB309" s="182">
        <f t="shared" ref="AB309" si="1711">(AB$298-$B308)/365</f>
        <v>9.9534246575342458</v>
      </c>
      <c r="AC309" s="182">
        <f t="shared" ref="AC309" si="1712">(AC$298-$B308)/365</f>
        <v>9.9534246575342458</v>
      </c>
    </row>
    <row r="310" spans="2:29">
      <c r="B310" t="s">
        <v>211</v>
      </c>
      <c r="I310" s="183">
        <f>1+((INDEX('Yield Curve'!$B$48:$P$91,MATCH(ROUND(I309,0),'Yield Curve'!$B$48:$B$91,0),MATCH(YEAR($B308),'Yield Curve'!$B$48:$P$48,0)))/100)</f>
        <v>1.0326500000000001</v>
      </c>
      <c r="J310" s="183">
        <f>1+((INDEX('Yield Curve'!$B$48:$P$91,MATCH(ROUND(J309,0),'Yield Curve'!$B$48:$B$91,0),MATCH(YEAR($B308),'Yield Curve'!$B$48:$P$48,0)))/100)</f>
        <v>1.0326500000000001</v>
      </c>
      <c r="K310" s="183">
        <f>1+((INDEX('Yield Curve'!$B$48:$P$91,MATCH(ROUND(K309,0),'Yield Curve'!$B$48:$B$91,0),MATCH(YEAR($B308),'Yield Curve'!$B$48:$P$48,0)))/100)</f>
        <v>1.0326500000000001</v>
      </c>
      <c r="L310" s="183">
        <f>1+((INDEX('Yield Curve'!$B$48:$P$91,MATCH(ROUND(L309,0),'Yield Curve'!$B$48:$B$91,0),MATCH(YEAR($B308),'Yield Curve'!$B$48:$P$48,0)))/100)</f>
        <v>1.0326500000000001</v>
      </c>
      <c r="M310" s="183">
        <f>1+((INDEX('Yield Curve'!$B$48:$P$91,MATCH(ROUND(M309,0),'Yield Curve'!$B$48:$B$91,0),MATCH(YEAR($B308),'Yield Curve'!$B$48:$P$48,0)))/100)</f>
        <v>1.0326500000000001</v>
      </c>
      <c r="N310" s="183">
        <f>1+((INDEX('Yield Curve'!$B$48:$P$91,MATCH(ROUND(N309,0),'Yield Curve'!$B$48:$B$91,0),MATCH(YEAR($B308),'Yield Curve'!$B$48:$P$48,0)))/100)</f>
        <v>1.0326500000000001</v>
      </c>
      <c r="O310" s="183">
        <f>1+((INDEX('Yield Curve'!$B$48:$P$91,MATCH(ROUND(O309,0),'Yield Curve'!$B$48:$B$91,0),MATCH(YEAR($B308),'Yield Curve'!$B$48:$P$48,0)))/100)</f>
        <v>1.034025</v>
      </c>
      <c r="P310" s="183">
        <f>1+((INDEX('Yield Curve'!$B$48:$P$91,MATCH(ROUND(P309,0),'Yield Curve'!$B$48:$B$91,0),MATCH(YEAR($B308),'Yield Curve'!$B$48:$P$48,0)))/100)</f>
        <v>1.034025</v>
      </c>
      <c r="Q310" s="183">
        <f>1+((INDEX('Yield Curve'!$B$48:$P$91,MATCH(ROUND(Q309,0),'Yield Curve'!$B$48:$B$91,0),MATCH(YEAR($B308),'Yield Curve'!$B$48:$P$48,0)))/100)</f>
        <v>1.0354000000000001</v>
      </c>
      <c r="R310" s="183">
        <f>1+((INDEX('Yield Curve'!$B$48:$P$91,MATCH(ROUND(R309,0),'Yield Curve'!$B$48:$B$91,0),MATCH(YEAR($B308),'Yield Curve'!$B$48:$P$48,0)))/100)</f>
        <v>1.0354000000000001</v>
      </c>
      <c r="S310" s="183">
        <f>1+((INDEX('Yield Curve'!$B$48:$P$91,MATCH(ROUND(S309,0),'Yield Curve'!$B$48:$B$91,0),MATCH(YEAR($B308),'Yield Curve'!$B$48:$P$48,0)))/100)</f>
        <v>1.0375000000000001</v>
      </c>
      <c r="T310" s="183">
        <f>1+((INDEX('Yield Curve'!$B$48:$P$91,MATCH(ROUND(T309,0),'Yield Curve'!$B$48:$B$91,0),MATCH(YEAR($B308),'Yield Curve'!$B$48:$P$48,0)))/100)</f>
        <v>1.0375000000000001</v>
      </c>
      <c r="U310" s="183">
        <f>1+((INDEX('Yield Curve'!$B$48:$P$91,MATCH(ROUND(U309,0),'Yield Curve'!$B$48:$B$91,0),MATCH(YEAR($B308),'Yield Curve'!$B$48:$P$48,0)))/100)</f>
        <v>1.0396000000000001</v>
      </c>
      <c r="V310" s="183">
        <f>1+((INDEX('Yield Curve'!$B$48:$P$91,MATCH(ROUND(V309,0),'Yield Curve'!$B$48:$B$91,0),MATCH(YEAR($B308),'Yield Curve'!$B$48:$P$48,0)))/100)</f>
        <v>1.0396000000000001</v>
      </c>
      <c r="W310" s="183">
        <f>1+((INDEX('Yield Curve'!$B$48:$P$91,MATCH(ROUND(W309,0),'Yield Curve'!$B$48:$B$91,0),MATCH(YEAR($B308),'Yield Curve'!$B$48:$P$48,0)))/100)</f>
        <v>1.0405249999999999</v>
      </c>
      <c r="X310" s="183">
        <f>1+((INDEX('Yield Curve'!$B$48:$P$91,MATCH(ROUND(X309,0),'Yield Curve'!$B$48:$B$91,0),MATCH(YEAR($B308),'Yield Curve'!$B$48:$P$48,0)))/100)</f>
        <v>1.0405249999999999</v>
      </c>
      <c r="Y310" s="183">
        <f>1+((INDEX('Yield Curve'!$B$48:$P$91,MATCH(ROUND(Y309,0),'Yield Curve'!$B$48:$B$91,0),MATCH(YEAR($B308),'Yield Curve'!$B$48:$P$48,0)))/100)</f>
        <v>1.0423750000000001</v>
      </c>
      <c r="Z310" s="183">
        <f>1+((INDEX('Yield Curve'!$B$48:$P$91,MATCH(ROUND(Z309,0),'Yield Curve'!$B$48:$B$91,0),MATCH(YEAR($B308),'Yield Curve'!$B$48:$P$48,0)))/100)</f>
        <v>1.0423750000000001</v>
      </c>
      <c r="AA310" s="183">
        <f>1+((INDEX('Yield Curve'!$B$48:$P$91,MATCH(ROUND(AA309,0),'Yield Curve'!$B$48:$B$91,0),MATCH(YEAR($B308),'Yield Curve'!$B$48:$P$48,0)))/100)</f>
        <v>1.0432999999999999</v>
      </c>
      <c r="AB310" s="183">
        <f>1+((INDEX('Yield Curve'!$B$48:$P$91,MATCH(ROUND(AB309,0),'Yield Curve'!$B$48:$B$91,0),MATCH(YEAR($B308),'Yield Curve'!$B$48:$P$48,0)))/100)</f>
        <v>1.0432999999999999</v>
      </c>
      <c r="AC310" s="183">
        <f>1+((INDEX('Yield Curve'!$B$48:$P$91,MATCH(ROUND(AC309,0),'Yield Curve'!$B$48:$B$91,0),MATCH(YEAR($B308),'Yield Curve'!$B$48:$P$48,0)))/100)</f>
        <v>1.0432999999999999</v>
      </c>
    </row>
    <row r="311" spans="2:29">
      <c r="B311" t="s">
        <v>212</v>
      </c>
      <c r="C311" s="182">
        <f>SUM(D311:AM311)</f>
        <v>470.46926170141217</v>
      </c>
      <c r="I311" s="182">
        <f t="shared" ref="I311" si="1713">I$299/(I310^I309)</f>
        <v>4.5425731258616944</v>
      </c>
      <c r="J311" s="182">
        <f t="shared" ref="J311" si="1714">J$299/(J310^J309)</f>
        <v>4.4701835143010049</v>
      </c>
      <c r="K311" s="182">
        <f t="shared" ref="K311" si="1715">K$299/(K310^K309)</f>
        <v>4.3989474903032919</v>
      </c>
      <c r="L311" s="182">
        <f t="shared" ref="L311" si="1716">L$299/(L310^L309)</f>
        <v>4.3288466705088897</v>
      </c>
      <c r="M311" s="182">
        <f t="shared" ref="M311" si="1717">M$299/(M310^M309)</f>
        <v>4.2598629645119752</v>
      </c>
      <c r="N311" s="182">
        <f t="shared" ref="N311" si="1718">N$299/(N310^N309)</f>
        <v>4.1919785701921164</v>
      </c>
      <c r="O311" s="182">
        <f t="shared" ref="O311" si="1719">O$299/(O310^O309)</f>
        <v>4.103562029765123</v>
      </c>
      <c r="P311" s="182">
        <f t="shared" ref="P311" si="1720">P$299/(P310^P309)</f>
        <v>4.0354826378074664</v>
      </c>
      <c r="Q311" s="182">
        <f t="shared" ref="Q311" si="1721">Q$299/(Q310^Q309)</f>
        <v>3.9425244676921141</v>
      </c>
      <c r="R311" s="182">
        <f t="shared" ref="R311" si="1722">R$299/(R310^R309)</f>
        <v>3.8745415000201748</v>
      </c>
      <c r="S311" s="182">
        <f t="shared" ref="S311" si="1723">S$299/(S310^S309)</f>
        <v>3.762117656449123</v>
      </c>
      <c r="T311" s="182">
        <f t="shared" ref="T311" si="1724">T$299/(T310^T309)</f>
        <v>3.693501849760513</v>
      </c>
      <c r="U311" s="182">
        <f t="shared" ref="U311" si="1725">U$299/(U310^U309)</f>
        <v>3.5755497302888273</v>
      </c>
      <c r="V311" s="182">
        <f t="shared" ref="V311" si="1726">V$299/(V310^V309)</f>
        <v>3.5067894179304284</v>
      </c>
      <c r="W311" s="182">
        <f t="shared" ref="W311" si="1727">W$299/(W310^W309)</f>
        <v>3.4151255263698985</v>
      </c>
      <c r="X311" s="182">
        <f t="shared" ref="X311" si="1728">X$299/(X310^X309)</f>
        <v>3.3479611645609419</v>
      </c>
      <c r="Y311" s="182">
        <f t="shared" ref="Y311" si="1729">Y$299/(Y310^Y309)</f>
        <v>3.2303613215497045</v>
      </c>
      <c r="Z311" s="182">
        <f t="shared" ref="Z311" si="1730">Z$299/(Z310^Z309)</f>
        <v>3.1640191853429447</v>
      </c>
      <c r="AA311" s="182">
        <f t="shared" ref="AA311" si="1731">AA$299/(AA310^AA309)</f>
        <v>3.0718143296896341</v>
      </c>
      <c r="AB311" s="182">
        <f t="shared" ref="AB311" si="1732">AB$299/(AB310^AB309)</f>
        <v>198.77675927425315</v>
      </c>
      <c r="AC311" s="182">
        <f t="shared" ref="AC311" si="1733">AC$299/(AC310^AC309)</f>
        <v>198.77675927425315</v>
      </c>
    </row>
    <row r="312" spans="2:29">
      <c r="B312" s="135">
        <v>43281</v>
      </c>
    </row>
    <row r="313" spans="2:29">
      <c r="B313" t="s">
        <v>210</v>
      </c>
      <c r="K313" s="182">
        <f t="shared" ref="K313" si="1734">(K$298-$B312)/365</f>
        <v>0.94794520547945205</v>
      </c>
      <c r="L313" s="182">
        <f t="shared" ref="L313" si="1735">(L$298-$B312)/365</f>
        <v>1.4479452054794522</v>
      </c>
      <c r="M313" s="182">
        <f t="shared" ref="M313" si="1736">(M$298-$B312)/365</f>
        <v>1.9479452054794522</v>
      </c>
      <c r="N313" s="182">
        <f t="shared" ref="N313" si="1737">(N$298-$B312)/365</f>
        <v>2.4479452054794519</v>
      </c>
      <c r="O313" s="182">
        <f t="shared" ref="O313" si="1738">(O$298-$B312)/365</f>
        <v>2.9479452054794519</v>
      </c>
      <c r="P313" s="182">
        <f t="shared" ref="P313" si="1739">(P$298-$B312)/365</f>
        <v>3.4479452054794519</v>
      </c>
      <c r="Q313" s="182">
        <f t="shared" ref="Q313" si="1740">(Q$298-$B312)/365</f>
        <v>3.9479452054794519</v>
      </c>
      <c r="R313" s="182">
        <f t="shared" ref="R313" si="1741">(R$298-$B312)/365</f>
        <v>4.4479452054794519</v>
      </c>
      <c r="S313" s="182">
        <f t="shared" ref="S313" si="1742">(S$298-$B312)/365</f>
        <v>4.9479452054794519</v>
      </c>
      <c r="T313" s="182">
        <f t="shared" ref="T313" si="1743">(T$298-$B312)/365</f>
        <v>5.4479452054794519</v>
      </c>
      <c r="U313" s="182">
        <f t="shared" ref="U313" si="1744">(U$298-$B312)/365</f>
        <v>5.9479452054794519</v>
      </c>
      <c r="V313" s="182">
        <f t="shared" ref="V313" si="1745">(V$298-$B312)/365</f>
        <v>6.4479452054794519</v>
      </c>
      <c r="W313" s="182">
        <f t="shared" ref="W313" si="1746">(W$298-$B312)/365</f>
        <v>6.9479452054794519</v>
      </c>
      <c r="X313" s="182">
        <f t="shared" ref="X313" si="1747">(X$298-$B312)/365</f>
        <v>7.4479452054794519</v>
      </c>
      <c r="Y313" s="182">
        <f t="shared" ref="Y313" si="1748">(Y$298-$B312)/365</f>
        <v>7.9479452054794519</v>
      </c>
      <c r="Z313" s="182">
        <f t="shared" ref="Z313" si="1749">(Z$298-$B312)/365</f>
        <v>8.4479452054794528</v>
      </c>
      <c r="AA313" s="182">
        <f t="shared" ref="AA313" si="1750">(AA$298-$B312)/365</f>
        <v>8.9479452054794528</v>
      </c>
      <c r="AB313" s="182">
        <f t="shared" ref="AB313" si="1751">(AB$298-$B312)/365</f>
        <v>8.9534246575342458</v>
      </c>
      <c r="AC313" s="182">
        <f t="shared" ref="AC313" si="1752">(AC$298-$B312)/365</f>
        <v>8.9534246575342458</v>
      </c>
    </row>
    <row r="314" spans="2:29">
      <c r="B314" t="s">
        <v>211</v>
      </c>
      <c r="K314" s="183">
        <f>1+((INDEX('Yield Curve'!$B$48:$P$91,MATCH(ROUND(K313,0),'Yield Curve'!$B$48:$B$91,0),MATCH(YEAR($B312),'Yield Curve'!$B$48:$P$48,0)))/100)</f>
        <v>1.03315</v>
      </c>
      <c r="L314" s="183">
        <f>1+((INDEX('Yield Curve'!$B$48:$P$91,MATCH(ROUND(L313,0),'Yield Curve'!$B$48:$B$91,0),MATCH(YEAR($B312),'Yield Curve'!$B$48:$P$48,0)))/100)</f>
        <v>1.03315</v>
      </c>
      <c r="M314" s="183">
        <f>1+((INDEX('Yield Curve'!$B$48:$P$91,MATCH(ROUND(M313,0),'Yield Curve'!$B$48:$B$91,0),MATCH(YEAR($B312),'Yield Curve'!$B$48:$P$48,0)))/100)</f>
        <v>1.03315</v>
      </c>
      <c r="N314" s="183">
        <f>1+((INDEX('Yield Curve'!$B$48:$P$91,MATCH(ROUND(N313,0),'Yield Curve'!$B$48:$B$91,0),MATCH(YEAR($B312),'Yield Curve'!$B$48:$P$48,0)))/100)</f>
        <v>1.03315</v>
      </c>
      <c r="O314" s="183">
        <f>1+((INDEX('Yield Curve'!$B$48:$P$91,MATCH(ROUND(O313,0),'Yield Curve'!$B$48:$B$91,0),MATCH(YEAR($B312),'Yield Curve'!$B$48:$P$48,0)))/100)</f>
        <v>1.03315</v>
      </c>
      <c r="P314" s="183">
        <f>1+((INDEX('Yield Curve'!$B$48:$P$91,MATCH(ROUND(P313,0),'Yield Curve'!$B$48:$B$91,0),MATCH(YEAR($B312),'Yield Curve'!$B$48:$P$48,0)))/100)</f>
        <v>1.03315</v>
      </c>
      <c r="Q314" s="183">
        <f>1+((INDEX('Yield Curve'!$B$48:$P$91,MATCH(ROUND(Q313,0),'Yield Curve'!$B$48:$B$91,0),MATCH(YEAR($B312),'Yield Curve'!$B$48:$P$48,0)))/100)</f>
        <v>1.0349999999999999</v>
      </c>
      <c r="R314" s="183">
        <f>1+((INDEX('Yield Curve'!$B$48:$P$91,MATCH(ROUND(R313,0),'Yield Curve'!$B$48:$B$91,0),MATCH(YEAR($B312),'Yield Curve'!$B$48:$P$48,0)))/100)</f>
        <v>1.0349999999999999</v>
      </c>
      <c r="S314" s="183">
        <f>1+((INDEX('Yield Curve'!$B$48:$P$91,MATCH(ROUND(S313,0),'Yield Curve'!$B$48:$B$91,0),MATCH(YEAR($B312),'Yield Curve'!$B$48:$P$48,0)))/100)</f>
        <v>1.03685</v>
      </c>
      <c r="T314" s="183">
        <f>1+((INDEX('Yield Curve'!$B$48:$P$91,MATCH(ROUND(T313,0),'Yield Curve'!$B$48:$B$91,0),MATCH(YEAR($B312),'Yield Curve'!$B$48:$P$48,0)))/100)</f>
        <v>1.03685</v>
      </c>
      <c r="U314" s="183">
        <f>1+((INDEX('Yield Curve'!$B$48:$P$91,MATCH(ROUND(U313,0),'Yield Curve'!$B$48:$B$91,0),MATCH(YEAR($B312),'Yield Curve'!$B$48:$P$48,0)))/100)</f>
        <v>1.0386</v>
      </c>
      <c r="V314" s="183">
        <f>1+((INDEX('Yield Curve'!$B$48:$P$91,MATCH(ROUND(V313,0),'Yield Curve'!$B$48:$B$91,0),MATCH(YEAR($B312),'Yield Curve'!$B$48:$P$48,0)))/100)</f>
        <v>1.0386</v>
      </c>
      <c r="W314" s="183">
        <f>1+((INDEX('Yield Curve'!$B$48:$P$91,MATCH(ROUND(W313,0),'Yield Curve'!$B$48:$B$91,0),MATCH(YEAR($B312),'Yield Curve'!$B$48:$P$48,0)))/100)</f>
        <v>1.0403500000000001</v>
      </c>
      <c r="X314" s="183">
        <f>1+((INDEX('Yield Curve'!$B$48:$P$91,MATCH(ROUND(X313,0),'Yield Curve'!$B$48:$B$91,0),MATCH(YEAR($B312),'Yield Curve'!$B$48:$P$48,0)))/100)</f>
        <v>1.0403500000000001</v>
      </c>
      <c r="Y314" s="183">
        <f>1+((INDEX('Yield Curve'!$B$48:$P$91,MATCH(ROUND(Y313,0),'Yield Curve'!$B$48:$B$91,0),MATCH(YEAR($B312),'Yield Curve'!$B$48:$P$48,0)))/100)</f>
        <v>1.0414874999999999</v>
      </c>
      <c r="Z314" s="183">
        <f>1+((INDEX('Yield Curve'!$B$48:$P$91,MATCH(ROUND(Z313,0),'Yield Curve'!$B$48:$B$91,0),MATCH(YEAR($B312),'Yield Curve'!$B$48:$P$48,0)))/100)</f>
        <v>1.0414874999999999</v>
      </c>
      <c r="AA314" s="183">
        <f>1+((INDEX('Yield Curve'!$B$48:$P$91,MATCH(ROUND(AA313,0),'Yield Curve'!$B$48:$B$91,0),MATCH(YEAR($B312),'Yield Curve'!$B$48:$P$48,0)))/100)</f>
        <v>1.0437624999999999</v>
      </c>
      <c r="AB314" s="183">
        <f>1+((INDEX('Yield Curve'!$B$48:$P$91,MATCH(ROUND(AB313,0),'Yield Curve'!$B$48:$B$91,0),MATCH(YEAR($B312),'Yield Curve'!$B$48:$P$48,0)))/100)</f>
        <v>1.0437624999999999</v>
      </c>
      <c r="AC314" s="183">
        <f>1+((INDEX('Yield Curve'!$B$48:$P$91,MATCH(ROUND(AC313,0),'Yield Curve'!$B$48:$B$91,0),MATCH(YEAR($B312),'Yield Curve'!$B$48:$P$48,0)))/100)</f>
        <v>1.0437624999999999</v>
      </c>
    </row>
    <row r="315" spans="2:29">
      <c r="B315" t="s">
        <v>212</v>
      </c>
      <c r="C315" s="182">
        <f>SUM(D315:AM315)</f>
        <v>479.51384035864913</v>
      </c>
      <c r="K315" s="182">
        <f t="shared" ref="K315" si="1753">K$299/(K314^K313)</f>
        <v>4.5404891280565538</v>
      </c>
      <c r="L315" s="182">
        <f t="shared" ref="L315" si="1754">L$299/(L314^L313)</f>
        <v>4.4670514041806237</v>
      </c>
      <c r="M315" s="182">
        <f t="shared" ref="M315" si="1755">M$299/(M314^M313)</f>
        <v>4.3948014596685407</v>
      </c>
      <c r="N315" s="182">
        <f t="shared" ref="N315" si="1756">N$299/(N314^N313)</f>
        <v>4.3237200834154033</v>
      </c>
      <c r="O315" s="182">
        <f t="shared" ref="O315" si="1757">O$299/(O314^O313)</f>
        <v>4.2537883750360947</v>
      </c>
      <c r="P315" s="182">
        <f t="shared" ref="P315" si="1758">P$299/(P314^P313)</f>
        <v>4.1849877398397162</v>
      </c>
      <c r="Q315" s="182">
        <f t="shared" ref="Q315" si="1759">Q$299/(Q314^Q313)</f>
        <v>4.0883217371201424</v>
      </c>
      <c r="R315" s="182">
        <f t="shared" ref="R315" si="1760">R$299/(R314^R313)</f>
        <v>4.0186010287438734</v>
      </c>
      <c r="S315" s="182">
        <f t="shared" ref="S315" si="1761">S$299/(S314^S313)</f>
        <v>3.9153192342271872</v>
      </c>
      <c r="T315" s="182">
        <f t="shared" ref="T315" si="1762">T$299/(T314^T313)</f>
        <v>3.8451139255373254</v>
      </c>
      <c r="U315" s="182">
        <f t="shared" ref="U315" si="1763">U$299/(U314^U313)</f>
        <v>3.7384799222955336</v>
      </c>
      <c r="V315" s="182">
        <f t="shared" ref="V315" si="1764">V$299/(V314^V313)</f>
        <v>3.6683510822216512</v>
      </c>
      <c r="W315" s="182">
        <f t="shared" ref="W315" si="1765">W$299/(W314^W313)</f>
        <v>3.5576786834085579</v>
      </c>
      <c r="X315" s="182">
        <f t="shared" ref="X315" si="1766">X$299/(X314^X313)</f>
        <v>3.4880040928746165</v>
      </c>
      <c r="Y315" s="182">
        <f t="shared" ref="Y315" si="1767">Y$299/(Y314^Y313)</f>
        <v>3.3901212537561034</v>
      </c>
      <c r="Z315" s="182">
        <f t="shared" ref="Z315" si="1768">Z$299/(Z314^Z313)</f>
        <v>3.3219125919151229</v>
      </c>
      <c r="AA315" s="182">
        <f t="shared" ref="AA315" si="1769">AA$299/(AA314^AA313)</f>
        <v>3.1921394035411348</v>
      </c>
      <c r="AB315" s="182">
        <f t="shared" ref="AB315" si="1770">AB$299/(AB314^AB313)</f>
        <v>206.56247960640547</v>
      </c>
      <c r="AC315" s="182">
        <f t="shared" ref="AC315" si="1771">AC$299/(AC314^AC313)</f>
        <v>206.56247960640547</v>
      </c>
    </row>
    <row r="316" spans="2:29">
      <c r="B316" s="135">
        <v>43646</v>
      </c>
    </row>
    <row r="317" spans="2:29">
      <c r="B317" t="s">
        <v>210</v>
      </c>
      <c r="M317" s="182">
        <f t="shared" ref="M317" si="1772">(M$298-$B316)/365</f>
        <v>0.94794520547945205</v>
      </c>
      <c r="N317" s="182">
        <f t="shared" ref="N317" si="1773">(N$298-$B316)/365</f>
        <v>1.4479452054794522</v>
      </c>
      <c r="O317" s="182">
        <f t="shared" ref="O317" si="1774">(O$298-$B316)/365</f>
        <v>1.9479452054794522</v>
      </c>
      <c r="P317" s="182">
        <f t="shared" ref="P317" si="1775">(P$298-$B316)/365</f>
        <v>2.4479452054794519</v>
      </c>
      <c r="Q317" s="182">
        <f t="shared" ref="Q317" si="1776">(Q$298-$B316)/365</f>
        <v>2.9479452054794519</v>
      </c>
      <c r="R317" s="182">
        <f t="shared" ref="R317" si="1777">(R$298-$B316)/365</f>
        <v>3.4479452054794519</v>
      </c>
      <c r="S317" s="182">
        <f t="shared" ref="S317" si="1778">(S$298-$B316)/365</f>
        <v>3.9479452054794519</v>
      </c>
      <c r="T317" s="182">
        <f t="shared" ref="T317" si="1779">(T$298-$B316)/365</f>
        <v>4.4479452054794519</v>
      </c>
      <c r="U317" s="182">
        <f t="shared" ref="U317" si="1780">(U$298-$B316)/365</f>
        <v>4.9479452054794519</v>
      </c>
      <c r="V317" s="182">
        <f t="shared" ref="V317" si="1781">(V$298-$B316)/365</f>
        <v>5.4479452054794519</v>
      </c>
      <c r="W317" s="182">
        <f t="shared" ref="W317" si="1782">(W$298-$B316)/365</f>
        <v>5.9479452054794519</v>
      </c>
      <c r="X317" s="182">
        <f t="shared" ref="X317" si="1783">(X$298-$B316)/365</f>
        <v>6.4479452054794519</v>
      </c>
      <c r="Y317" s="182">
        <f t="shared" ref="Y317" si="1784">(Y$298-$B316)/365</f>
        <v>6.9479452054794519</v>
      </c>
      <c r="Z317" s="182">
        <f t="shared" ref="Z317" si="1785">(Z$298-$B316)/365</f>
        <v>7.4479452054794519</v>
      </c>
      <c r="AA317" s="182">
        <f t="shared" ref="AA317" si="1786">(AA$298-$B316)/365</f>
        <v>7.9479452054794519</v>
      </c>
      <c r="AB317" s="182">
        <f t="shared" ref="AB317" si="1787">(AB$298-$B316)/365</f>
        <v>7.9534246575342467</v>
      </c>
      <c r="AC317" s="182">
        <f t="shared" ref="AC317" si="1788">(AC$298-$B316)/365</f>
        <v>7.9534246575342467</v>
      </c>
    </row>
    <row r="318" spans="2:29">
      <c r="B318" t="s">
        <v>211</v>
      </c>
      <c r="M318" s="183">
        <f>1+((INDEX('Yield Curve'!$B$48:$P$91,MATCH(ROUND(M317,0),'Yield Curve'!$B$48:$B$91,0),MATCH(YEAR($B316),'Yield Curve'!$B$48:$P$48,0)))/100)</f>
        <v>1.02305</v>
      </c>
      <c r="N318" s="183">
        <f>1+((INDEX('Yield Curve'!$B$48:$P$91,MATCH(ROUND(N317,0),'Yield Curve'!$B$48:$B$91,0),MATCH(YEAR($B316),'Yield Curve'!$B$48:$P$48,0)))/100)</f>
        <v>1.02305</v>
      </c>
      <c r="O318" s="183">
        <f>1+((INDEX('Yield Curve'!$B$48:$P$91,MATCH(ROUND(O317,0),'Yield Curve'!$B$48:$B$91,0),MATCH(YEAR($B316),'Yield Curve'!$B$48:$P$48,0)))/100)</f>
        <v>1.02305</v>
      </c>
      <c r="P318" s="183">
        <f>1+((INDEX('Yield Curve'!$B$48:$P$91,MATCH(ROUND(P317,0),'Yield Curve'!$B$48:$B$91,0),MATCH(YEAR($B316),'Yield Curve'!$B$48:$P$48,0)))/100)</f>
        <v>1.02305</v>
      </c>
      <c r="Q318" s="183">
        <f>1+((INDEX('Yield Curve'!$B$48:$P$91,MATCH(ROUND(Q317,0),'Yield Curve'!$B$48:$B$91,0),MATCH(YEAR($B316),'Yield Curve'!$B$48:$P$48,0)))/100)</f>
        <v>1.02305</v>
      </c>
      <c r="R318" s="183">
        <f>1+((INDEX('Yield Curve'!$B$48:$P$91,MATCH(ROUND(R317,0),'Yield Curve'!$B$48:$B$91,0),MATCH(YEAR($B316),'Yield Curve'!$B$48:$P$48,0)))/100)</f>
        <v>1.02305</v>
      </c>
      <c r="S318" s="183">
        <f>1+((INDEX('Yield Curve'!$B$48:$P$91,MATCH(ROUND(S317,0),'Yield Curve'!$B$48:$B$91,0),MATCH(YEAR($B316),'Yield Curve'!$B$48:$P$48,0)))/100)</f>
        <v>1.024575</v>
      </c>
      <c r="T318" s="183">
        <f>1+((INDEX('Yield Curve'!$B$48:$P$91,MATCH(ROUND(T317,0),'Yield Curve'!$B$48:$B$91,0),MATCH(YEAR($B316),'Yield Curve'!$B$48:$P$48,0)))/100)</f>
        <v>1.024575</v>
      </c>
      <c r="U318" s="183">
        <f>1+((INDEX('Yield Curve'!$B$48:$P$91,MATCH(ROUND(U317,0),'Yield Curve'!$B$48:$B$91,0),MATCH(YEAR($B316),'Yield Curve'!$B$48:$P$48,0)))/100)</f>
        <v>1.0261</v>
      </c>
      <c r="V318" s="183">
        <f>1+((INDEX('Yield Curve'!$B$48:$P$91,MATCH(ROUND(V317,0),'Yield Curve'!$B$48:$B$91,0),MATCH(YEAR($B316),'Yield Curve'!$B$48:$P$48,0)))/100)</f>
        <v>1.0261</v>
      </c>
      <c r="W318" s="183">
        <f>1+((INDEX('Yield Curve'!$B$48:$P$91,MATCH(ROUND(W317,0),'Yield Curve'!$B$48:$B$91,0),MATCH(YEAR($B316),'Yield Curve'!$B$48:$P$48,0)))/100)</f>
        <v>1.028375</v>
      </c>
      <c r="X318" s="183">
        <f>1+((INDEX('Yield Curve'!$B$48:$P$91,MATCH(ROUND(X317,0),'Yield Curve'!$B$48:$B$91,0),MATCH(YEAR($B316),'Yield Curve'!$B$48:$P$48,0)))/100)</f>
        <v>1.028375</v>
      </c>
      <c r="Y318" s="183">
        <f>1+((INDEX('Yield Curve'!$B$48:$P$91,MATCH(ROUND(Y317,0),'Yield Curve'!$B$48:$B$91,0),MATCH(YEAR($B316),'Yield Curve'!$B$48:$P$48,0)))/100)</f>
        <v>1.0306500000000001</v>
      </c>
      <c r="Z318" s="183">
        <f>1+((INDEX('Yield Curve'!$B$48:$P$91,MATCH(ROUND(Z317,0),'Yield Curve'!$B$48:$B$91,0),MATCH(YEAR($B316),'Yield Curve'!$B$48:$P$48,0)))/100)</f>
        <v>1.0306500000000001</v>
      </c>
      <c r="AA318" s="183">
        <f>1+((INDEX('Yield Curve'!$B$48:$P$91,MATCH(ROUND(AA317,0),'Yield Curve'!$B$48:$B$91,0),MATCH(YEAR($B316),'Yield Curve'!$B$48:$P$48,0)))/100)</f>
        <v>1.0318624999999999</v>
      </c>
      <c r="AB318" s="183">
        <f>1+((INDEX('Yield Curve'!$B$48:$P$91,MATCH(ROUND(AB317,0),'Yield Curve'!$B$48:$B$91,0),MATCH(YEAR($B316),'Yield Curve'!$B$48:$P$48,0)))/100)</f>
        <v>1.0318624999999999</v>
      </c>
      <c r="AC318" s="183">
        <f>1+((INDEX('Yield Curve'!$B$48:$P$91,MATCH(ROUND(AC317,0),'Yield Curve'!$B$48:$B$91,0),MATCH(YEAR($B316),'Yield Curve'!$B$48:$P$48,0)))/100)</f>
        <v>1.0318624999999999</v>
      </c>
    </row>
    <row r="319" spans="2:29">
      <c r="B319" t="s">
        <v>212</v>
      </c>
      <c r="C319" s="182">
        <f>SUM(D319:AM319)</f>
        <v>534.82188624537014</v>
      </c>
      <c r="M319" s="182">
        <f t="shared" ref="M319" si="1789">M$299/(M318^M317)</f>
        <v>4.5829705617329903</v>
      </c>
      <c r="N319" s="182">
        <f t="shared" ref="N319" si="1790">N$299/(N318^N317)</f>
        <v>4.5310477372560962</v>
      </c>
      <c r="O319" s="182">
        <f t="shared" ref="O319" si="1791">O$299/(O318^O317)</f>
        <v>4.4797131730931925</v>
      </c>
      <c r="P319" s="182">
        <f t="shared" ref="P319" si="1792">P$299/(P318^P317)</f>
        <v>4.4289602045414158</v>
      </c>
      <c r="Q319" s="182">
        <f t="shared" ref="Q319" si="1793">Q$299/(Q318^Q317)</f>
        <v>4.3787822424057401</v>
      </c>
      <c r="R319" s="182">
        <f t="shared" ref="R319" si="1794">R$299/(R318^R317)</f>
        <v>4.329172772143508</v>
      </c>
      <c r="S319" s="182">
        <f t="shared" ref="S319" si="1795">S$299/(S318^S317)</f>
        <v>4.2550295686629021</v>
      </c>
      <c r="T319" s="182">
        <f t="shared" ref="T319" si="1796">T$299/(T318^T317)</f>
        <v>4.2036902266986136</v>
      </c>
      <c r="U319" s="182">
        <f t="shared" ref="U319" si="1797">U$299/(U318^U317)</f>
        <v>4.1225201508845721</v>
      </c>
      <c r="V319" s="182">
        <f t="shared" ref="V319" si="1798">V$299/(V318^V317)</f>
        <v>4.0697519820319821</v>
      </c>
      <c r="W319" s="182">
        <f t="shared" ref="W319" si="1799">W$299/(W318^W317)</f>
        <v>3.9650825260181901</v>
      </c>
      <c r="X319" s="182">
        <f t="shared" ref="X319" si="1800">X$299/(X318^X317)</f>
        <v>3.9099974633617864</v>
      </c>
      <c r="Y319" s="182">
        <f t="shared" ref="Y319" si="1801">Y$299/(Y318^Y317)</f>
        <v>3.7969317990156495</v>
      </c>
      <c r="Z319" s="182">
        <f t="shared" ref="Z319" si="1802">Z$299/(Z318^Z317)</f>
        <v>3.740048142609171</v>
      </c>
      <c r="AA319" s="182">
        <f t="shared" ref="AA319" si="1803">AA$299/(AA318^AA317)</f>
        <v>3.6497506379438627</v>
      </c>
      <c r="AB319" s="182">
        <f t="shared" ref="AB319" si="1804">AB$299/(AB318^AB317)</f>
        <v>236.18921852848521</v>
      </c>
      <c r="AC319" s="182">
        <f t="shared" ref="AC319" si="1805">AC$299/(AC318^AC317)</f>
        <v>236.18921852848521</v>
      </c>
    </row>
    <row r="320" spans="2:29">
      <c r="B320" s="135">
        <v>44012</v>
      </c>
    </row>
    <row r="321" spans="2:29">
      <c r="B321" t="s">
        <v>210</v>
      </c>
      <c r="O321" s="182">
        <f t="shared" ref="O321" si="1806">(O$298-$B320)/365</f>
        <v>0.9452054794520548</v>
      </c>
      <c r="P321" s="182">
        <f t="shared" ref="P321" si="1807">(P$298-$B320)/365</f>
        <v>1.4452054794520548</v>
      </c>
      <c r="Q321" s="182">
        <f t="shared" ref="Q321" si="1808">(Q$298-$B320)/365</f>
        <v>1.9452054794520548</v>
      </c>
      <c r="R321" s="182">
        <f t="shared" ref="R321" si="1809">(R$298-$B320)/365</f>
        <v>2.4452054794520546</v>
      </c>
      <c r="S321" s="182">
        <f t="shared" ref="S321" si="1810">(S$298-$B320)/365</f>
        <v>2.9452054794520546</v>
      </c>
      <c r="T321" s="182">
        <f t="shared" ref="T321" si="1811">(T$298-$B320)/365</f>
        <v>3.4452054794520546</v>
      </c>
      <c r="U321" s="182">
        <f t="shared" ref="U321" si="1812">(U$298-$B320)/365</f>
        <v>3.9452054794520546</v>
      </c>
      <c r="V321" s="182">
        <f t="shared" ref="V321" si="1813">(V$298-$B320)/365</f>
        <v>4.4452054794520546</v>
      </c>
      <c r="W321" s="182">
        <f t="shared" ref="W321" si="1814">(W$298-$B320)/365</f>
        <v>4.9452054794520546</v>
      </c>
      <c r="X321" s="182">
        <f t="shared" ref="X321" si="1815">(X$298-$B320)/365</f>
        <v>5.4452054794520546</v>
      </c>
      <c r="Y321" s="182">
        <f t="shared" ref="Y321" si="1816">(Y$298-$B320)/365</f>
        <v>5.9452054794520546</v>
      </c>
      <c r="Z321" s="182">
        <f t="shared" ref="Z321" si="1817">(Z$298-$B320)/365</f>
        <v>6.4452054794520546</v>
      </c>
      <c r="AA321" s="182">
        <f t="shared" ref="AA321" si="1818">(AA$298-$B320)/365</f>
        <v>6.9452054794520546</v>
      </c>
      <c r="AB321" s="182">
        <f t="shared" ref="AB321" si="1819">(AB$298-$B320)/365</f>
        <v>6.9506849315068493</v>
      </c>
      <c r="AC321" s="182">
        <f t="shared" ref="AC321" si="1820">(AC$298-$B320)/365</f>
        <v>6.9506849315068493</v>
      </c>
    </row>
    <row r="322" spans="2:29">
      <c r="B322" t="s">
        <v>211</v>
      </c>
      <c r="O322" s="183">
        <f>1+((INDEX('Yield Curve'!$B$48:$P$91,MATCH(ROUND(O321,0),'Yield Curve'!$B$48:$B$91,0),MATCH(YEAR($B320),'Yield Curve'!$B$48:$P$48,0)))/100)</f>
        <v>1.02105</v>
      </c>
      <c r="P322" s="183">
        <f>1+((INDEX('Yield Curve'!$B$48:$P$91,MATCH(ROUND(P321,0),'Yield Curve'!$B$48:$B$91,0),MATCH(YEAR($B320),'Yield Curve'!$B$48:$P$48,0)))/100)</f>
        <v>1.02105</v>
      </c>
      <c r="Q322" s="183">
        <f>1+((INDEX('Yield Curve'!$B$48:$P$91,MATCH(ROUND(Q321,0),'Yield Curve'!$B$48:$B$91,0),MATCH(YEAR($B320),'Yield Curve'!$B$48:$P$48,0)))/100)</f>
        <v>1.02105</v>
      </c>
      <c r="R322" s="183">
        <f>1+((INDEX('Yield Curve'!$B$48:$P$91,MATCH(ROUND(R321,0),'Yield Curve'!$B$48:$B$91,0),MATCH(YEAR($B320),'Yield Curve'!$B$48:$P$48,0)))/100)</f>
        <v>1.02105</v>
      </c>
      <c r="S322" s="183">
        <f>1+((INDEX('Yield Curve'!$B$48:$P$91,MATCH(ROUND(S321,0),'Yield Curve'!$B$48:$B$91,0),MATCH(YEAR($B320),'Yield Curve'!$B$48:$P$48,0)))/100)</f>
        <v>1.02105</v>
      </c>
      <c r="T322" s="183">
        <f>1+((INDEX('Yield Curve'!$B$48:$P$91,MATCH(ROUND(T321,0),'Yield Curve'!$B$48:$B$91,0),MATCH(YEAR($B320),'Yield Curve'!$B$48:$P$48,0)))/100)</f>
        <v>1.02105</v>
      </c>
      <c r="U322" s="183">
        <f>1+((INDEX('Yield Curve'!$B$48:$P$91,MATCH(ROUND(U321,0),'Yield Curve'!$B$48:$B$91,0),MATCH(YEAR($B320),'Yield Curve'!$B$48:$P$48,0)))/100)</f>
        <v>1.0229999999999999</v>
      </c>
      <c r="V322" s="183">
        <f>1+((INDEX('Yield Curve'!$B$48:$P$91,MATCH(ROUND(V321,0),'Yield Curve'!$B$48:$B$91,0),MATCH(YEAR($B320),'Yield Curve'!$B$48:$P$48,0)))/100)</f>
        <v>1.0229999999999999</v>
      </c>
      <c r="W322" s="183">
        <f>1+((INDEX('Yield Curve'!$B$48:$P$91,MATCH(ROUND(W321,0),'Yield Curve'!$B$48:$B$91,0),MATCH(YEAR($B320),'Yield Curve'!$B$48:$P$48,0)))/100)</f>
        <v>1.02495</v>
      </c>
      <c r="X322" s="183">
        <f>1+((INDEX('Yield Curve'!$B$48:$P$91,MATCH(ROUND(X321,0),'Yield Curve'!$B$48:$B$91,0),MATCH(YEAR($B320),'Yield Curve'!$B$48:$P$48,0)))/100)</f>
        <v>1.02495</v>
      </c>
      <c r="Y322" s="183">
        <f>1+((INDEX('Yield Curve'!$B$48:$P$91,MATCH(ROUND(Y321,0),'Yield Curve'!$B$48:$B$91,0),MATCH(YEAR($B320),'Yield Curve'!$B$48:$P$48,0)))/100)</f>
        <v>1.0282249999999999</v>
      </c>
      <c r="Z322" s="183">
        <f>1+((INDEX('Yield Curve'!$B$48:$P$91,MATCH(ROUND(Z321,0),'Yield Curve'!$B$48:$B$91,0),MATCH(YEAR($B320),'Yield Curve'!$B$48:$P$48,0)))/100)</f>
        <v>1.0282249999999999</v>
      </c>
      <c r="AA322" s="183">
        <f>1+((INDEX('Yield Curve'!$B$48:$P$91,MATCH(ROUND(AA321,0),'Yield Curve'!$B$48:$B$91,0),MATCH(YEAR($B320),'Yield Curve'!$B$48:$P$48,0)))/100)</f>
        <v>1.0315000000000001</v>
      </c>
      <c r="AB322" s="183">
        <f>1+((INDEX('Yield Curve'!$B$48:$P$91,MATCH(ROUND(AB321,0),'Yield Curve'!$B$48:$B$91,0),MATCH(YEAR($B320),'Yield Curve'!$B$48:$P$48,0)))/100)</f>
        <v>1.0315000000000001</v>
      </c>
      <c r="AC322" s="183">
        <f>1+((INDEX('Yield Curve'!$B$48:$P$91,MATCH(ROUND(AC321,0),'Yield Curve'!$B$48:$B$91,0),MATCH(YEAR($B320),'Yield Curve'!$B$48:$P$48,0)))/100)</f>
        <v>1.0315000000000001</v>
      </c>
    </row>
    <row r="323" spans="2:29">
      <c r="B323" t="s">
        <v>212</v>
      </c>
      <c r="C323" s="182">
        <f>SUM(D323:AM323)</f>
        <v>543.92313540309192</v>
      </c>
      <c r="O323" s="182">
        <f t="shared" ref="O323" si="1821">O$299/(O322^O321)</f>
        <v>4.5917418646483679</v>
      </c>
      <c r="P323" s="182">
        <f t="shared" ref="P323" si="1822">P$299/(P322^P321)</f>
        <v>4.5441636191347436</v>
      </c>
      <c r="Q323" s="182">
        <f t="shared" ref="Q323" si="1823">Q$299/(Q322^Q321)</f>
        <v>4.4970783650637749</v>
      </c>
      <c r="R323" s="182">
        <f t="shared" ref="R323" si="1824">R$299/(R322^R321)</f>
        <v>4.4504809942066927</v>
      </c>
      <c r="S323" s="182">
        <f t="shared" ref="S323" si="1825">S$299/(S322^S321)</f>
        <v>4.4043664512646536</v>
      </c>
      <c r="T323" s="182">
        <f t="shared" ref="T323" si="1826">T$299/(T322^T321)</f>
        <v>4.3587297333202999</v>
      </c>
      <c r="U323" s="182">
        <f t="shared" ref="U323" si="1827">U$299/(U322^U321)</f>
        <v>4.2812180134987443</v>
      </c>
      <c r="V323" s="182">
        <f t="shared" ref="V323" si="1828">V$299/(V322^V321)</f>
        <v>4.2328173359267147</v>
      </c>
      <c r="W323" s="182">
        <f t="shared" ref="W323" si="1829">W$299/(W322^W321)</f>
        <v>4.1457374778487814</v>
      </c>
      <c r="X323" s="182">
        <f t="shared" ref="X323" si="1830">X$299/(X322^X321)</f>
        <v>4.0949674852844478</v>
      </c>
      <c r="Y323" s="182">
        <f t="shared" ref="Y323" si="1831">Y$299/(Y322^Y321)</f>
        <v>3.9688269153061868</v>
      </c>
      <c r="Z323" s="182">
        <f t="shared" ref="Z323" si="1832">Z$299/(Z322^Z321)</f>
        <v>3.9139752925307043</v>
      </c>
      <c r="AA323" s="182">
        <f t="shared" ref="AA323" si="1833">AA$299/(AA322^AA321)</f>
        <v>3.7755668326830407</v>
      </c>
      <c r="AB323" s="182">
        <f t="shared" ref="AB323" si="1834">AB$299/(AB322^AB321)</f>
        <v>244.33173251118734</v>
      </c>
      <c r="AC323" s="182">
        <f t="shared" ref="AC323" si="1835">AC$299/(AC322^AC321)</f>
        <v>244.33173251118734</v>
      </c>
    </row>
    <row r="324" spans="2:29">
      <c r="B324" s="135">
        <v>44377</v>
      </c>
    </row>
    <row r="325" spans="2:29">
      <c r="B325" t="s">
        <v>210</v>
      </c>
      <c r="Q325" s="182">
        <f t="shared" ref="Q325" si="1836">(Q$298-$B324)/365</f>
        <v>0.9452054794520548</v>
      </c>
      <c r="R325" s="182">
        <f t="shared" ref="R325" si="1837">(R$298-$B324)/365</f>
        <v>1.4452054794520548</v>
      </c>
      <c r="S325" s="182">
        <f t="shared" ref="S325" si="1838">(S$298-$B324)/365</f>
        <v>1.9452054794520548</v>
      </c>
      <c r="T325" s="182">
        <f t="shared" ref="T325" si="1839">(T$298-$B324)/365</f>
        <v>2.4452054794520546</v>
      </c>
      <c r="U325" s="182">
        <f t="shared" ref="U325" si="1840">(U$298-$B324)/365</f>
        <v>2.9452054794520546</v>
      </c>
      <c r="V325" s="182">
        <f t="shared" ref="V325" si="1841">(V$298-$B324)/365</f>
        <v>3.4452054794520546</v>
      </c>
      <c r="W325" s="182">
        <f t="shared" ref="W325" si="1842">(W$298-$B324)/365</f>
        <v>3.9452054794520546</v>
      </c>
      <c r="X325" s="182">
        <f t="shared" ref="X325" si="1843">(X$298-$B324)/365</f>
        <v>4.4452054794520546</v>
      </c>
      <c r="Y325" s="182">
        <f t="shared" ref="Y325" si="1844">(Y$298-$B324)/365</f>
        <v>4.9452054794520546</v>
      </c>
      <c r="Z325" s="182">
        <f t="shared" ref="Z325" si="1845">(Z$298-$B324)/365</f>
        <v>5.4452054794520546</v>
      </c>
      <c r="AA325" s="182">
        <f t="shared" ref="AA325" si="1846">(AA$298-$B324)/365</f>
        <v>5.9452054794520546</v>
      </c>
      <c r="AB325" s="182">
        <f t="shared" ref="AB325" si="1847">(AB$298-$B324)/365</f>
        <v>5.9506849315068493</v>
      </c>
      <c r="AC325" s="182">
        <f t="shared" ref="AC325" si="1848">(AC$298-$B324)/365</f>
        <v>5.9506849315068493</v>
      </c>
    </row>
    <row r="326" spans="2:29">
      <c r="B326" t="s">
        <v>211</v>
      </c>
      <c r="Q326" s="183">
        <f>1+((INDEX('Yield Curve'!$B$48:$P$91,MATCH(ROUND(Q325,0),'Yield Curve'!$B$48:$B$91,0),MATCH(YEAR($B324),'Yield Curve'!$B$48:$P$48,0)))/100)</f>
        <v>1.0129999999999999</v>
      </c>
      <c r="R326" s="183">
        <f>1+((INDEX('Yield Curve'!$B$48:$P$91,MATCH(ROUND(R325,0),'Yield Curve'!$B$48:$B$91,0),MATCH(YEAR($B324),'Yield Curve'!$B$48:$P$48,0)))/100)</f>
        <v>1.0129999999999999</v>
      </c>
      <c r="S326" s="183">
        <f>1+((INDEX('Yield Curve'!$B$48:$P$91,MATCH(ROUND(S325,0),'Yield Curve'!$B$48:$B$91,0),MATCH(YEAR($B324),'Yield Curve'!$B$48:$P$48,0)))/100)</f>
        <v>1.0129999999999999</v>
      </c>
      <c r="T326" s="183">
        <f>1+((INDEX('Yield Curve'!$B$48:$P$91,MATCH(ROUND(T325,0),'Yield Curve'!$B$48:$B$91,0),MATCH(YEAR($B324),'Yield Curve'!$B$48:$P$48,0)))/100)</f>
        <v>1.0129999999999999</v>
      </c>
      <c r="U326" s="183">
        <f>1+((INDEX('Yield Curve'!$B$48:$P$91,MATCH(ROUND(U325,0),'Yield Curve'!$B$48:$B$91,0),MATCH(YEAR($B324),'Yield Curve'!$B$48:$P$48,0)))/100)</f>
        <v>1.0129999999999999</v>
      </c>
      <c r="V326" s="183">
        <f>1+((INDEX('Yield Curve'!$B$48:$P$91,MATCH(ROUND(V325,0),'Yield Curve'!$B$48:$B$91,0),MATCH(YEAR($B324),'Yield Curve'!$B$48:$P$48,0)))/100)</f>
        <v>1.0129999999999999</v>
      </c>
      <c r="W326" s="183">
        <f>1+((INDEX('Yield Curve'!$B$48:$P$91,MATCH(ROUND(W325,0),'Yield Curve'!$B$48:$B$91,0),MATCH(YEAR($B324),'Yield Curve'!$B$48:$P$48,0)))/100)</f>
        <v>1.0161249999999999</v>
      </c>
      <c r="X326" s="183">
        <f>1+((INDEX('Yield Curve'!$B$48:$P$91,MATCH(ROUND(X325,0),'Yield Curve'!$B$48:$B$91,0),MATCH(YEAR($B324),'Yield Curve'!$B$48:$P$48,0)))/100)</f>
        <v>1.0161249999999999</v>
      </c>
      <c r="Y326" s="183">
        <f>1+((INDEX('Yield Curve'!$B$48:$P$91,MATCH(ROUND(Y325,0),'Yield Curve'!$B$48:$B$91,0),MATCH(YEAR($B324),'Yield Curve'!$B$48:$P$48,0)))/100)</f>
        <v>1.01925</v>
      </c>
      <c r="Z326" s="183">
        <f>1+((INDEX('Yield Curve'!$B$48:$P$91,MATCH(ROUND(Z325,0),'Yield Curve'!$B$48:$B$91,0),MATCH(YEAR($B324),'Yield Curve'!$B$48:$P$48,0)))/100)</f>
        <v>1.01925</v>
      </c>
      <c r="AA326" s="183">
        <f>1+((INDEX('Yield Curve'!$B$48:$P$91,MATCH(ROUND(AA325,0),'Yield Curve'!$B$48:$B$91,0),MATCH(YEAR($B324),'Yield Curve'!$B$48:$P$48,0)))/100)</f>
        <v>1.022775</v>
      </c>
      <c r="AB326" s="183">
        <f>1+((INDEX('Yield Curve'!$B$48:$P$91,MATCH(ROUND(AB325,0),'Yield Curve'!$B$48:$B$91,0),MATCH(YEAR($B324),'Yield Curve'!$B$48:$P$48,0)))/100)</f>
        <v>1.022775</v>
      </c>
      <c r="AC326" s="183">
        <f>1+((INDEX('Yield Curve'!$B$48:$P$91,MATCH(ROUND(AC325,0),'Yield Curve'!$B$48:$B$91,0),MATCH(YEAR($B324),'Yield Curve'!$B$48:$P$48,0)))/100)</f>
        <v>1.022775</v>
      </c>
    </row>
    <row r="327" spans="2:29">
      <c r="B327" t="s">
        <v>212</v>
      </c>
      <c r="C327" s="182">
        <f>SUM(D327:AM327)</f>
        <v>578.84232371741973</v>
      </c>
      <c r="Q327" s="182">
        <f t="shared" ref="Q327" si="1849">Q$299/(Q326^Q325)</f>
        <v>4.626224133222971</v>
      </c>
      <c r="R327" s="182">
        <f t="shared" ref="R327" si="1850">R$299/(R326^R325)</f>
        <v>4.5964437228309087</v>
      </c>
      <c r="S327" s="182">
        <f t="shared" ref="S327" si="1851">S$299/(S326^S325)</f>
        <v>4.5668550179891128</v>
      </c>
      <c r="T327" s="182">
        <f t="shared" ref="T327" si="1852">T$299/(T326^T325)</f>
        <v>4.5374567846307094</v>
      </c>
      <c r="U327" s="182">
        <f t="shared" ref="U327" si="1853">U$299/(U326^U325)</f>
        <v>4.5082477966328858</v>
      </c>
      <c r="V327" s="182">
        <f t="shared" ref="V327" si="1854">V$299/(V326^V325)</f>
        <v>4.479226835765755</v>
      </c>
      <c r="W327" s="182">
        <f t="shared" ref="W327" si="1855">W$299/(W326^W325)</f>
        <v>4.396639598614712</v>
      </c>
      <c r="X327" s="182">
        <f t="shared" ref="X327" si="1856">X$299/(X326^X325)</f>
        <v>4.3616147094588085</v>
      </c>
      <c r="Y327" s="182">
        <f t="shared" ref="Y327" si="1857">Y$299/(Y326^Y325)</f>
        <v>4.2616608588353291</v>
      </c>
      <c r="Z327" s="182">
        <f t="shared" ref="Z327" si="1858">Z$299/(Z326^Z325)</f>
        <v>4.2212252348024055</v>
      </c>
      <c r="AA327" s="182">
        <f t="shared" ref="AA327" si="1859">AA$299/(AA326^AA325)</f>
        <v>4.0962270490315325</v>
      </c>
      <c r="AB327" s="182">
        <f t="shared" ref="AB327" si="1860">AB$299/(AB326^AB325)</f>
        <v>265.09525098780227</v>
      </c>
      <c r="AC327" s="182">
        <f t="shared" ref="AC327" si="1861">AC$299/(AC326^AC325)</f>
        <v>265.09525098780227</v>
      </c>
    </row>
    <row r="328" spans="2:29">
      <c r="B328" s="135">
        <v>44552</v>
      </c>
    </row>
    <row r="329" spans="2:29">
      <c r="B329" t="s">
        <v>210</v>
      </c>
      <c r="R329" s="182">
        <f t="shared" ref="R329" si="1862">(R$298-$B328)/365</f>
        <v>0.96575342465753422</v>
      </c>
      <c r="S329" s="182">
        <f t="shared" ref="S329" si="1863">(S$298-$B328)/365</f>
        <v>1.4657534246575343</v>
      </c>
      <c r="T329" s="182">
        <f t="shared" ref="T329" si="1864">(T$298-$B328)/365</f>
        <v>1.9657534246575343</v>
      </c>
      <c r="U329" s="182">
        <f t="shared" ref="U329" si="1865">(U$298-$B328)/365</f>
        <v>2.4657534246575343</v>
      </c>
      <c r="V329" s="182">
        <f t="shared" ref="V329" si="1866">(V$298-$B328)/365</f>
        <v>2.9657534246575343</v>
      </c>
      <c r="W329" s="182">
        <f t="shared" ref="W329" si="1867">(W$298-$B328)/365</f>
        <v>3.4657534246575343</v>
      </c>
      <c r="X329" s="182">
        <f t="shared" ref="X329" si="1868">(X$298-$B328)/365</f>
        <v>3.9657534246575343</v>
      </c>
      <c r="Y329" s="182">
        <f t="shared" ref="Y329" si="1869">(Y$298-$B328)/365</f>
        <v>4.4657534246575343</v>
      </c>
      <c r="Z329" s="182">
        <f t="shared" ref="Z329" si="1870">(Z$298-$B328)/365</f>
        <v>4.9657534246575343</v>
      </c>
      <c r="AA329" s="182">
        <f t="shared" ref="AA329" si="1871">(AA$298-$B328)/365</f>
        <v>5.4657534246575343</v>
      </c>
      <c r="AB329" s="182">
        <f t="shared" ref="AB329" si="1872">(AB$298-$B328)/365</f>
        <v>5.4712328767123291</v>
      </c>
      <c r="AC329" s="182">
        <f t="shared" ref="AC329" si="1873">(AC$298-$B328)/365</f>
        <v>5.4712328767123291</v>
      </c>
    </row>
    <row r="330" spans="2:29">
      <c r="B330" t="s">
        <v>211</v>
      </c>
      <c r="R330" s="183">
        <f>1+((INDEX('Yield Curve'!$B$48:$P$91,MATCH(ROUND(R329,0),'Yield Curve'!$B$48:$B$91,0),MATCH(YEAR($B328)+1,'Yield Curve'!$B$48:$P$48,0)))/100)</f>
        <v>1.0212000000000001</v>
      </c>
      <c r="S330" s="183">
        <f>1+((INDEX('Yield Curve'!$B$48:$P$91,MATCH(ROUND(S329,0),'Yield Curve'!$B$48:$B$91,0),MATCH(YEAR($B328)+1,'Yield Curve'!$B$48:$P$48,0)))/100)</f>
        <v>1.0212000000000001</v>
      </c>
      <c r="T330" s="183">
        <f>1+((INDEX('Yield Curve'!$B$48:$P$91,MATCH(ROUND(T329,0),'Yield Curve'!$B$48:$B$91,0),MATCH(YEAR($B328)+1,'Yield Curve'!$B$48:$P$48,0)))/100)</f>
        <v>1.0212000000000001</v>
      </c>
      <c r="U330" s="183">
        <f>1+((INDEX('Yield Curve'!$B$48:$P$91,MATCH(ROUND(U329,0),'Yield Curve'!$B$48:$B$91,0),MATCH(YEAR($B328)+1,'Yield Curve'!$B$48:$P$48,0)))/100)</f>
        <v>1.0212000000000001</v>
      </c>
      <c r="V330" s="183">
        <f>1+((INDEX('Yield Curve'!$B$48:$P$91,MATCH(ROUND(V329,0),'Yield Curve'!$B$48:$B$91,0),MATCH(YEAR($B328)+1,'Yield Curve'!$B$48:$P$48,0)))/100)</f>
        <v>1.0212000000000001</v>
      </c>
      <c r="W330" s="183">
        <f>1+((INDEX('Yield Curve'!$B$48:$P$91,MATCH(ROUND(W329,0),'Yield Curve'!$B$48:$B$91,0),MATCH(YEAR($B328)+1,'Yield Curve'!$B$48:$P$48,0)))/100)</f>
        <v>1.0212000000000001</v>
      </c>
      <c r="X330" s="183">
        <f>1+((INDEX('Yield Curve'!$B$48:$P$91,MATCH(ROUND(X329,0),'Yield Curve'!$B$48:$B$91,0),MATCH(YEAR($B328)+1,'Yield Curve'!$B$48:$P$48,0)))/100)</f>
        <v>1.0245</v>
      </c>
      <c r="Y330" s="183">
        <f>1+((INDEX('Yield Curve'!$B$48:$P$91,MATCH(ROUND(Y329,0),'Yield Curve'!$B$48:$B$91,0),MATCH(YEAR($B328)+1,'Yield Curve'!$B$48:$P$48,0)))/100)</f>
        <v>1.0245</v>
      </c>
      <c r="Z330" s="183">
        <f>1+((INDEX('Yield Curve'!$B$48:$P$91,MATCH(ROUND(Z329,0),'Yield Curve'!$B$48:$B$91,0),MATCH(YEAR($B328)+1,'Yield Curve'!$B$48:$P$48,0)))/100)</f>
        <v>1.0278</v>
      </c>
      <c r="AA330" s="183">
        <f>1+((INDEX('Yield Curve'!$B$48:$P$91,MATCH(ROUND(AA329,0),'Yield Curve'!$B$48:$B$91,0),MATCH(YEAR($B328)+1,'Yield Curve'!$B$48:$P$48,0)))/100)</f>
        <v>1.0278</v>
      </c>
      <c r="AB330" s="183">
        <f>1+((INDEX('Yield Curve'!$B$48:$P$91,MATCH(ROUND(AB329,0),'Yield Curve'!$B$48:$B$91,0),MATCH(YEAR($B328)+1,'Yield Curve'!$B$48:$P$48,0)))/100)</f>
        <v>1.0278</v>
      </c>
      <c r="AC330" s="183">
        <f>1+((INDEX('Yield Curve'!$B$48:$P$91,MATCH(ROUND(AC329,0),'Yield Curve'!$B$48:$B$91,0),MATCH(YEAR($B328)+1,'Yield Curve'!$B$48:$P$48,0)))/100)</f>
        <v>1.0278</v>
      </c>
    </row>
    <row r="331" spans="2:29">
      <c r="B331" t="s">
        <v>212</v>
      </c>
      <c r="C331" s="182">
        <f>SUM(D331:AM331)</f>
        <v>565.16783646035594</v>
      </c>
      <c r="R331" s="182">
        <f t="shared" ref="R331" si="1874">R$299/(R330^R329)</f>
        <v>4.5891257268757144</v>
      </c>
      <c r="S331" s="182">
        <f t="shared" ref="S331" si="1875">S$299/(S330^S329)</f>
        <v>4.5412410298441959</v>
      </c>
      <c r="T331" s="182">
        <f t="shared" ref="T331" si="1876">T$299/(T330^T329)</f>
        <v>4.4938559800976439</v>
      </c>
      <c r="U331" s="182">
        <f t="shared" ref="U331" si="1877">U$299/(U330^U329)</f>
        <v>4.4469653641247513</v>
      </c>
      <c r="V331" s="182">
        <f t="shared" ref="V331" si="1878">V$299/(V330^V329)</f>
        <v>4.4005640228139864</v>
      </c>
      <c r="W331" s="182">
        <f t="shared" ref="W331" si="1879">W$299/(W330^W329)</f>
        <v>4.3546468508859677</v>
      </c>
      <c r="X331" s="182">
        <f t="shared" ref="X331" si="1880">X$299/(X330^X329)</f>
        <v>4.2544252358741881</v>
      </c>
      <c r="Y331" s="182">
        <f t="shared" ref="Y331" si="1881">Y$299/(Y330^Y329)</f>
        <v>4.2032470294608766</v>
      </c>
      <c r="Z331" s="182">
        <f t="shared" ref="Z331" si="1882">Z$299/(Z330^Z329)</f>
        <v>4.0868952896349304</v>
      </c>
      <c r="AA331" s="182">
        <f t="shared" ref="AA331" si="1883">AA$299/(AA330^AA329)</f>
        <v>4.0312451002415646</v>
      </c>
      <c r="AB331" s="182">
        <f t="shared" ref="AB331" si="1884">AB$299/(AB330^AB329)</f>
        <v>260.88281241525107</v>
      </c>
      <c r="AC331" s="182">
        <f t="shared" ref="AC331" si="1885">AC$299/(AC330^AC329)</f>
        <v>260.88281241525107</v>
      </c>
    </row>
    <row r="333" spans="2:29">
      <c r="B333" s="5" t="str">
        <f>'SA Power Bonds'!A63</f>
        <v>24692120961</v>
      </c>
    </row>
    <row r="334" spans="2:29">
      <c r="B334" t="s">
        <v>66</v>
      </c>
      <c r="D334" s="180">
        <f>VLOOKUP(B333,'SA Power Bonds'!$A$54:$K$64,4,FALSE)</f>
        <v>41240</v>
      </c>
      <c r="E334" s="180">
        <f>VLOOKUP(B333,'SA Power Bonds'!$A$54:$K$64,10,FALSE)</f>
        <v>41373</v>
      </c>
      <c r="F334" s="180">
        <f>IF(E334+VLOOKUP($B333,'SA Power Bonds'!$A$54:$K$64,9,FALSE)*365 &lt; VLOOKUP($B333,'SA Power Bonds'!$A$54:$K$64,5,FALSE), E334+VLOOKUP($B333,'SA Power Bonds'!$A$54:$K$64,9,FALSE)*365, VLOOKUP($B333,'SA Power Bonds'!$A$54:$K$64,5,FALSE))</f>
        <v>41555.5</v>
      </c>
      <c r="G334" s="180">
        <f>IF(F334+VLOOKUP($B333,'SA Power Bonds'!$A$54:$K$64,9,FALSE)*365 &lt; VLOOKUP($B333,'SA Power Bonds'!$A$54:$K$64,5,FALSE), F334+VLOOKUP($B333,'SA Power Bonds'!$A$54:$K$64,9,FALSE)*365, VLOOKUP($B333,'SA Power Bonds'!$A$54:$K$64,5,FALSE))</f>
        <v>41738</v>
      </c>
      <c r="H334" s="180">
        <f>IF(G334+VLOOKUP($B333,'SA Power Bonds'!$A$54:$K$64,9,FALSE)*365 &lt; VLOOKUP($B333,'SA Power Bonds'!$A$54:$K$64,5,FALSE), G334+VLOOKUP($B333,'SA Power Bonds'!$A$54:$K$64,9,FALSE)*365, VLOOKUP($B333,'SA Power Bonds'!$A$54:$K$64,5,FALSE))</f>
        <v>41920.5</v>
      </c>
      <c r="I334" s="180">
        <f>IF(H334+VLOOKUP($B333,'SA Power Bonds'!$A$54:$K$64,9,FALSE)*365 &lt; VLOOKUP($B333,'SA Power Bonds'!$A$54:$K$64,5,FALSE), H334+VLOOKUP($B333,'SA Power Bonds'!$A$54:$K$64,9,FALSE)*365, VLOOKUP($B333,'SA Power Bonds'!$A$54:$K$64,5,FALSE))</f>
        <v>42103</v>
      </c>
      <c r="J334" s="180">
        <f>IF(I334+VLOOKUP($B333,'SA Power Bonds'!$A$54:$K$64,9,FALSE)*365 &lt; VLOOKUP($B333,'SA Power Bonds'!$A$54:$K$64,5,FALSE), I334+VLOOKUP($B333,'SA Power Bonds'!$A$54:$K$64,9,FALSE)*365, VLOOKUP($B333,'SA Power Bonds'!$A$54:$K$64,5,FALSE))</f>
        <v>42285.5</v>
      </c>
      <c r="K334" s="180">
        <f>IF(J334+VLOOKUP($B333,'SA Power Bonds'!$A$54:$K$64,9,FALSE)*365 &lt; VLOOKUP($B333,'SA Power Bonds'!$A$54:$K$64,5,FALSE), J334+VLOOKUP($B333,'SA Power Bonds'!$A$54:$K$64,9,FALSE)*365, VLOOKUP($B333,'SA Power Bonds'!$A$54:$K$64,5,FALSE))</f>
        <v>42468</v>
      </c>
      <c r="L334" s="180">
        <f>IF(K334+VLOOKUP($B333,'SA Power Bonds'!$A$54:$K$64,9,FALSE)*365 &lt; VLOOKUP($B333,'SA Power Bonds'!$A$54:$K$64,5,FALSE), K334+VLOOKUP($B333,'SA Power Bonds'!$A$54:$K$64,9,FALSE)*365, VLOOKUP($B333,'SA Power Bonds'!$A$54:$K$64,5,FALSE))</f>
        <v>42650.5</v>
      </c>
      <c r="M334" s="180">
        <f>IF(L334+VLOOKUP($B333,'SA Power Bonds'!$A$54:$K$64,9,FALSE)*365 &lt; VLOOKUP($B333,'SA Power Bonds'!$A$54:$K$64,5,FALSE), L334+VLOOKUP($B333,'SA Power Bonds'!$A$54:$K$64,9,FALSE)*365, VLOOKUP($B333,'SA Power Bonds'!$A$54:$K$64,5,FALSE))</f>
        <v>42833</v>
      </c>
      <c r="N334" s="180">
        <f>IF(M334+VLOOKUP($B333,'SA Power Bonds'!$A$54:$K$64,9,FALSE)*365 &lt; VLOOKUP($B333,'SA Power Bonds'!$A$54:$K$64,5,FALSE), M334+VLOOKUP($B333,'SA Power Bonds'!$A$54:$K$64,9,FALSE)*365, VLOOKUP($B333,'SA Power Bonds'!$A$54:$K$64,5,FALSE))</f>
        <v>42985</v>
      </c>
      <c r="O334" s="27"/>
      <c r="P334" s="27"/>
      <c r="Q334" s="27"/>
      <c r="R334" s="27"/>
      <c r="S334" s="27"/>
      <c r="T334" s="27"/>
      <c r="U334" s="27"/>
      <c r="V334" s="27"/>
      <c r="W334" s="27"/>
      <c r="X334" s="27"/>
      <c r="Y334" s="27"/>
      <c r="Z334" s="27"/>
      <c r="AA334" s="27"/>
      <c r="AB334" s="27"/>
      <c r="AC334" s="27"/>
    </row>
    <row r="335" spans="2:29">
      <c r="B335" t="s">
        <v>209</v>
      </c>
      <c r="E335" s="182">
        <f>IF(E334&lt;VLOOKUP($B333,'SA Power Bonds'!$A$54:$K$64,5,FALSE),(VLOOKUP($B333,'SA Power Bonds'!$A$54:$K$64,8,FALSE)/100)*(VLOOKUP($B333,'SA Power Bonds'!$A$54:$K$64,9,FALSE))*(VLOOKUP($B333,'SA Power Bonds'!$A$54:$K$64,6,FALSE)),(VLOOKUP($B333,'SA Power Bonds'!$A$54:$K$64,6,FALSE)))</f>
        <v>4.6875</v>
      </c>
      <c r="F335" s="182">
        <f>IF(F334&lt;VLOOKUP($B333,'SA Power Bonds'!$A$54:$K$64,5,FALSE),(VLOOKUP($B333,'SA Power Bonds'!$A$54:$K$64,8,FALSE)/100)*(VLOOKUP($B333,'SA Power Bonds'!$A$54:$K$64,9,FALSE))*(VLOOKUP($B333,'SA Power Bonds'!$A$54:$K$64,6,FALSE)),(VLOOKUP($B333,'SA Power Bonds'!$A$54:$K$64,6,FALSE)))</f>
        <v>4.6875</v>
      </c>
      <c r="G335" s="182">
        <f>IF(G334&lt;VLOOKUP($B333,'SA Power Bonds'!$A$54:$K$64,5,FALSE),(VLOOKUP($B333,'SA Power Bonds'!$A$54:$K$64,8,FALSE)/100)*(VLOOKUP($B333,'SA Power Bonds'!$A$54:$K$64,9,FALSE))*(VLOOKUP($B333,'SA Power Bonds'!$A$54:$K$64,6,FALSE)),(VLOOKUP($B333,'SA Power Bonds'!$A$54:$K$64,6,FALSE)))</f>
        <v>4.6875</v>
      </c>
      <c r="H335" s="182">
        <f>IF(H334&lt;VLOOKUP($B333,'SA Power Bonds'!$A$54:$K$64,5,FALSE),(VLOOKUP($B333,'SA Power Bonds'!$A$54:$K$64,8,FALSE)/100)*(VLOOKUP($B333,'SA Power Bonds'!$A$54:$K$64,9,FALSE))*(VLOOKUP($B333,'SA Power Bonds'!$A$54:$K$64,6,FALSE)),(VLOOKUP($B333,'SA Power Bonds'!$A$54:$K$64,6,FALSE)))</f>
        <v>4.6875</v>
      </c>
      <c r="I335" s="182">
        <f>IF(I334&lt;VLOOKUP($B333,'SA Power Bonds'!$A$54:$K$64,5,FALSE),(VLOOKUP($B333,'SA Power Bonds'!$A$54:$K$64,8,FALSE)/100)*(VLOOKUP($B333,'SA Power Bonds'!$A$54:$K$64,9,FALSE))*(VLOOKUP($B333,'SA Power Bonds'!$A$54:$K$64,6,FALSE)),(VLOOKUP($B333,'SA Power Bonds'!$A$54:$K$64,6,FALSE)))</f>
        <v>4.6875</v>
      </c>
      <c r="J335" s="182">
        <f>IF(J334&lt;VLOOKUP($B333,'SA Power Bonds'!$A$54:$K$64,5,FALSE),(VLOOKUP($B333,'SA Power Bonds'!$A$54:$K$64,8,FALSE)/100)*(VLOOKUP($B333,'SA Power Bonds'!$A$54:$K$64,9,FALSE))*(VLOOKUP($B333,'SA Power Bonds'!$A$54:$K$64,6,FALSE)),(VLOOKUP($B333,'SA Power Bonds'!$A$54:$K$64,6,FALSE)))</f>
        <v>4.6875</v>
      </c>
      <c r="K335" s="182">
        <f>IF(K334&lt;VLOOKUP($B333,'SA Power Bonds'!$A$54:$K$64,5,FALSE),(VLOOKUP($B333,'SA Power Bonds'!$A$54:$K$64,8,FALSE)/100)*(VLOOKUP($B333,'SA Power Bonds'!$A$54:$K$64,9,FALSE))*(VLOOKUP($B333,'SA Power Bonds'!$A$54:$K$64,6,FALSE)),(VLOOKUP($B333,'SA Power Bonds'!$A$54:$K$64,6,FALSE)))</f>
        <v>4.6875</v>
      </c>
      <c r="L335" s="182">
        <f>IF(L334&lt;VLOOKUP($B333,'SA Power Bonds'!$A$54:$K$64,5,FALSE),(VLOOKUP($B333,'SA Power Bonds'!$A$54:$K$64,8,FALSE)/100)*(VLOOKUP($B333,'SA Power Bonds'!$A$54:$K$64,9,FALSE))*(VLOOKUP($B333,'SA Power Bonds'!$A$54:$K$64,6,FALSE)),(VLOOKUP($B333,'SA Power Bonds'!$A$54:$K$64,6,FALSE)))</f>
        <v>4.6875</v>
      </c>
      <c r="M335" s="182">
        <f>IF(M334&lt;VLOOKUP($B333,'SA Power Bonds'!$A$54:$K$64,5,FALSE),(VLOOKUP($B333,'SA Power Bonds'!$A$54:$K$64,8,FALSE)/100)*(VLOOKUP($B333,'SA Power Bonds'!$A$54:$K$64,9,FALSE))*(VLOOKUP($B333,'SA Power Bonds'!$A$54:$K$64,6,FALSE)),(VLOOKUP($B333,'SA Power Bonds'!$A$54:$K$64,6,FALSE)))</f>
        <v>4.6875</v>
      </c>
      <c r="N335" s="182">
        <f>IF(N334&lt;VLOOKUP($B333,'SA Power Bonds'!$A$54:$K$64,5,FALSE),(VLOOKUP($B333,'SA Power Bonds'!$A$54:$K$64,8,FALSE)/100)*(VLOOKUP($B333,'SA Power Bonds'!$A$54:$K$64,9,FALSE))*(VLOOKUP($B333,'SA Power Bonds'!$A$54:$K$64,6,FALSE)),(VLOOKUP($B333,'SA Power Bonds'!$A$54:$K$64,6,FALSE)))</f>
        <v>150</v>
      </c>
    </row>
    <row r="336" spans="2:29">
      <c r="B336" s="135">
        <v>41455</v>
      </c>
    </row>
    <row r="337" spans="2:14">
      <c r="B337" t="s">
        <v>210</v>
      </c>
      <c r="F337" s="182">
        <f t="shared" ref="F337:N337" si="1886">(F$334-$B336)/365</f>
        <v>0.27534246575342464</v>
      </c>
      <c r="G337" s="182">
        <f t="shared" si="1886"/>
        <v>0.77534246575342469</v>
      </c>
      <c r="H337" s="182">
        <f t="shared" si="1886"/>
        <v>1.2753424657534247</v>
      </c>
      <c r="I337" s="182">
        <f t="shared" si="1886"/>
        <v>1.7753424657534247</v>
      </c>
      <c r="J337" s="182">
        <f t="shared" si="1886"/>
        <v>2.2753424657534245</v>
      </c>
      <c r="K337" s="182">
        <f t="shared" si="1886"/>
        <v>2.7753424657534245</v>
      </c>
      <c r="L337" s="182">
        <f t="shared" si="1886"/>
        <v>3.2753424657534245</v>
      </c>
      <c r="M337" s="182">
        <f t="shared" si="1886"/>
        <v>3.7753424657534245</v>
      </c>
      <c r="N337" s="182">
        <f t="shared" si="1886"/>
        <v>4.1917808219178081</v>
      </c>
    </row>
    <row r="338" spans="2:14">
      <c r="B338" t="s">
        <v>211</v>
      </c>
      <c r="F338" s="183">
        <f>1+((INDEX('Yield Curve'!$B$48:$P$91,MATCH(ROUND(F337,0),'Yield Curve'!$B$48:$B$91,0),MATCH(YEAR($B336),'Yield Curve'!$B$48:$P$48,0)))/100)</f>
        <v>1.0463499999999999</v>
      </c>
      <c r="G338" s="183">
        <f>1+((INDEX('Yield Curve'!$B$48:$P$91,MATCH(ROUND(G337,0),'Yield Curve'!$B$48:$B$91,0),MATCH(YEAR($B336),'Yield Curve'!$B$48:$P$48,0)))/100)</f>
        <v>1.0463499999999999</v>
      </c>
      <c r="H338" s="183">
        <f>1+((INDEX('Yield Curve'!$B$48:$P$91,MATCH(ROUND(H337,0),'Yield Curve'!$B$48:$B$91,0),MATCH(YEAR($B336),'Yield Curve'!$B$48:$P$48,0)))/100)</f>
        <v>1.0463499999999999</v>
      </c>
      <c r="I338" s="183">
        <f>1+((INDEX('Yield Curve'!$B$48:$P$91,MATCH(ROUND(I337,0),'Yield Curve'!$B$48:$B$91,0),MATCH(YEAR($B336),'Yield Curve'!$B$48:$P$48,0)))/100)</f>
        <v>1.0463499999999999</v>
      </c>
      <c r="J338" s="183">
        <f>1+((INDEX('Yield Curve'!$B$48:$P$91,MATCH(ROUND(J337,0),'Yield Curve'!$B$48:$B$91,0),MATCH(YEAR($B336),'Yield Curve'!$B$48:$P$48,0)))/100)</f>
        <v>1.0463499999999999</v>
      </c>
      <c r="K338" s="183">
        <f>1+((INDEX('Yield Curve'!$B$48:$P$91,MATCH(ROUND(K337,0),'Yield Curve'!$B$48:$B$91,0),MATCH(YEAR($B336),'Yield Curve'!$B$48:$P$48,0)))/100)</f>
        <v>1.0463499999999999</v>
      </c>
      <c r="L338" s="183">
        <f>1+((INDEX('Yield Curve'!$B$48:$P$91,MATCH(ROUND(L337,0),'Yield Curve'!$B$48:$B$91,0),MATCH(YEAR($B336),'Yield Curve'!$B$48:$P$48,0)))/100)</f>
        <v>1.0463499999999999</v>
      </c>
      <c r="M338" s="183">
        <f>1+((INDEX('Yield Curve'!$B$48:$P$91,MATCH(ROUND(M337,0),'Yield Curve'!$B$48:$B$91,0),MATCH(YEAR($B336),'Yield Curve'!$B$48:$P$48,0)))/100)</f>
        <v>1.0499499999999999</v>
      </c>
      <c r="N338" s="183">
        <f>1+((INDEX('Yield Curve'!$B$48:$P$91,MATCH(ROUND(N337,0),'Yield Curve'!$B$48:$B$91,0),MATCH(YEAR($B336),'Yield Curve'!$B$48:$P$48,0)))/100)</f>
        <v>1.0499499999999999</v>
      </c>
    </row>
    <row r="339" spans="2:14">
      <c r="B339" t="s">
        <v>212</v>
      </c>
      <c r="C339" s="182">
        <f>SUM(D339:AM339)</f>
        <v>156.48768320861345</v>
      </c>
      <c r="F339" s="182">
        <f t="shared" ref="F339:N339" si="1887">F$335/(F338^F337)</f>
        <v>4.6293857759577532</v>
      </c>
      <c r="G339" s="182">
        <f t="shared" si="1887"/>
        <v>4.5256908460798115</v>
      </c>
      <c r="H339" s="182">
        <f t="shared" si="1887"/>
        <v>4.4243186084558266</v>
      </c>
      <c r="I339" s="182">
        <f t="shared" si="1887"/>
        <v>4.3252170364407814</v>
      </c>
      <c r="J339" s="182">
        <f t="shared" si="1887"/>
        <v>4.228335268749297</v>
      </c>
      <c r="K339" s="182">
        <f t="shared" si="1887"/>
        <v>4.1336235833523984</v>
      </c>
      <c r="L339" s="182">
        <f t="shared" si="1887"/>
        <v>4.0410333719589975</v>
      </c>
      <c r="M339" s="182">
        <f t="shared" si="1887"/>
        <v>3.899621881952529</v>
      </c>
      <c r="N339" s="182">
        <f t="shared" si="1887"/>
        <v>122.28045683566606</v>
      </c>
    </row>
    <row r="340" spans="2:14">
      <c r="B340" s="135">
        <v>41820</v>
      </c>
    </row>
    <row r="341" spans="2:14">
      <c r="B341" t="s">
        <v>210</v>
      </c>
      <c r="H341" s="182">
        <f t="shared" ref="H341:N341" si="1888">(H$334-$B340)/365</f>
        <v>0.27534246575342464</v>
      </c>
      <c r="I341" s="182">
        <f t="shared" si="1888"/>
        <v>0.77534246575342469</v>
      </c>
      <c r="J341" s="182">
        <f t="shared" si="1888"/>
        <v>1.2753424657534247</v>
      </c>
      <c r="K341" s="182">
        <f t="shared" si="1888"/>
        <v>1.7753424657534247</v>
      </c>
      <c r="L341" s="182">
        <f t="shared" si="1888"/>
        <v>2.2753424657534245</v>
      </c>
      <c r="M341" s="182">
        <f t="shared" si="1888"/>
        <v>2.7753424657534245</v>
      </c>
      <c r="N341" s="182">
        <f t="shared" si="1888"/>
        <v>3.1917808219178081</v>
      </c>
    </row>
    <row r="342" spans="2:14">
      <c r="B342" t="s">
        <v>211</v>
      </c>
      <c r="H342" s="183">
        <f>1+((INDEX('Yield Curve'!$B$48:$P$91,MATCH(ROUND(H341,0),'Yield Curve'!$B$48:$B$91,0),MATCH(YEAR($B340),'Yield Curve'!$B$48:$P$48,0)))/100)</f>
        <v>1.04335</v>
      </c>
      <c r="I342" s="183">
        <f>1+((INDEX('Yield Curve'!$B$48:$P$91,MATCH(ROUND(I341,0),'Yield Curve'!$B$48:$B$91,0),MATCH(YEAR($B340),'Yield Curve'!$B$48:$P$48,0)))/100)</f>
        <v>1.04335</v>
      </c>
      <c r="J342" s="183">
        <f>1+((INDEX('Yield Curve'!$B$48:$P$91,MATCH(ROUND(J341,0),'Yield Curve'!$B$48:$B$91,0),MATCH(YEAR($B340),'Yield Curve'!$B$48:$P$48,0)))/100)</f>
        <v>1.04335</v>
      </c>
      <c r="K342" s="183">
        <f>1+((INDEX('Yield Curve'!$B$48:$P$91,MATCH(ROUND(K341,0),'Yield Curve'!$B$48:$B$91,0),MATCH(YEAR($B340),'Yield Curve'!$B$48:$P$48,0)))/100)</f>
        <v>1.04335</v>
      </c>
      <c r="L342" s="183">
        <f>1+((INDEX('Yield Curve'!$B$48:$P$91,MATCH(ROUND(L341,0),'Yield Curve'!$B$48:$B$91,0),MATCH(YEAR($B340),'Yield Curve'!$B$48:$P$48,0)))/100)</f>
        <v>1.04335</v>
      </c>
      <c r="M342" s="183">
        <f>1+((INDEX('Yield Curve'!$B$48:$P$91,MATCH(ROUND(M341,0),'Yield Curve'!$B$48:$B$91,0),MATCH(YEAR($B340),'Yield Curve'!$B$48:$P$48,0)))/100)</f>
        <v>1.04335</v>
      </c>
      <c r="N342" s="183">
        <f>1+((INDEX('Yield Curve'!$B$48:$P$91,MATCH(ROUND(N341,0),'Yield Curve'!$B$48:$B$91,0),MATCH(YEAR($B340),'Yield Curve'!$B$48:$P$48,0)))/100)</f>
        <v>1.04335</v>
      </c>
    </row>
    <row r="343" spans="2:14">
      <c r="B343" t="s">
        <v>212</v>
      </c>
      <c r="C343" s="182">
        <f>SUM(D343:AM343)</f>
        <v>157.37804400523285</v>
      </c>
      <c r="H343" s="182">
        <f t="shared" ref="H343:N343" si="1889">H$335/(H342^H341)</f>
        <v>4.6330470805289679</v>
      </c>
      <c r="I343" s="182">
        <f t="shared" si="1889"/>
        <v>4.5357770921720793</v>
      </c>
      <c r="J343" s="182">
        <f t="shared" si="1889"/>
        <v>4.4405492696879936</v>
      </c>
      <c r="K343" s="182">
        <f t="shared" si="1889"/>
        <v>4.3473207381723098</v>
      </c>
      <c r="L343" s="182">
        <f t="shared" si="1889"/>
        <v>4.2560495228715141</v>
      </c>
      <c r="M343" s="182">
        <f t="shared" si="1889"/>
        <v>4.1666945302844773</v>
      </c>
      <c r="N343" s="182">
        <f t="shared" si="1889"/>
        <v>130.99860577151551</v>
      </c>
    </row>
    <row r="344" spans="2:14">
      <c r="B344" s="135">
        <v>42185</v>
      </c>
    </row>
    <row r="345" spans="2:14">
      <c r="B345" t="s">
        <v>210</v>
      </c>
      <c r="J345" s="182">
        <f t="shared" ref="J345:N345" si="1890">(J$334-$B344)/365</f>
        <v>0.27534246575342464</v>
      </c>
      <c r="K345" s="182">
        <f t="shared" si="1890"/>
        <v>0.77534246575342469</v>
      </c>
      <c r="L345" s="182">
        <f t="shared" si="1890"/>
        <v>1.2753424657534247</v>
      </c>
      <c r="M345" s="182">
        <f t="shared" si="1890"/>
        <v>1.7753424657534247</v>
      </c>
      <c r="N345" s="182">
        <f t="shared" si="1890"/>
        <v>2.1917808219178081</v>
      </c>
    </row>
    <row r="346" spans="2:14">
      <c r="B346" t="s">
        <v>211</v>
      </c>
      <c r="J346" s="183">
        <f>1+((INDEX('Yield Curve'!$B$48:$P$91,MATCH(ROUND(J345,0),'Yield Curve'!$B$48:$B$91,0),MATCH(YEAR($B344),'Yield Curve'!$B$48:$P$48,0)))/100)</f>
        <v>1.0388500000000001</v>
      </c>
      <c r="K346" s="183">
        <f>1+((INDEX('Yield Curve'!$B$48:$P$91,MATCH(ROUND(K345,0),'Yield Curve'!$B$48:$B$91,0),MATCH(YEAR($B344),'Yield Curve'!$B$48:$P$48,0)))/100)</f>
        <v>1.0388500000000001</v>
      </c>
      <c r="L346" s="183">
        <f>1+((INDEX('Yield Curve'!$B$48:$P$91,MATCH(ROUND(L345,0),'Yield Curve'!$B$48:$B$91,0),MATCH(YEAR($B344),'Yield Curve'!$B$48:$P$48,0)))/100)</f>
        <v>1.0388500000000001</v>
      </c>
      <c r="M346" s="183">
        <f>1+((INDEX('Yield Curve'!$B$48:$P$91,MATCH(ROUND(M345,0),'Yield Curve'!$B$48:$B$91,0),MATCH(YEAR($B344),'Yield Curve'!$B$48:$P$48,0)))/100)</f>
        <v>1.0388500000000001</v>
      </c>
      <c r="N346" s="183">
        <f>1+((INDEX('Yield Curve'!$B$48:$P$91,MATCH(ROUND(N345,0),'Yield Curve'!$B$48:$B$91,0),MATCH(YEAR($B344),'Yield Curve'!$B$48:$P$48,0)))/100)</f>
        <v>1.0388500000000001</v>
      </c>
    </row>
    <row r="347" spans="2:14">
      <c r="B347" t="s">
        <v>212</v>
      </c>
      <c r="C347" s="182">
        <f>SUM(D347:AM347)</f>
        <v>156.01385549269506</v>
      </c>
      <c r="J347" s="182">
        <f t="shared" ref="J347:N347" si="1891">J$335/(J346^J345)</f>
        <v>4.638564285426229</v>
      </c>
      <c r="K347" s="182">
        <f t="shared" si="1891"/>
        <v>4.551003376954081</v>
      </c>
      <c r="L347" s="182">
        <f t="shared" si="1891"/>
        <v>4.4650953317863298</v>
      </c>
      <c r="M347" s="182">
        <f t="shared" si="1891"/>
        <v>4.3808089492747566</v>
      </c>
      <c r="N347" s="182">
        <f t="shared" si="1891"/>
        <v>137.97838354925366</v>
      </c>
    </row>
    <row r="348" spans="2:14">
      <c r="B348" s="135">
        <v>42551</v>
      </c>
    </row>
    <row r="349" spans="2:14">
      <c r="B349" t="s">
        <v>210</v>
      </c>
      <c r="L349" s="182">
        <f t="shared" ref="L349:N349" si="1892">(L$334-$B348)/365</f>
        <v>0.27260273972602739</v>
      </c>
      <c r="M349" s="182">
        <f t="shared" si="1892"/>
        <v>0.77260273972602744</v>
      </c>
      <c r="N349" s="182">
        <f t="shared" si="1892"/>
        <v>1.189041095890411</v>
      </c>
    </row>
    <row r="350" spans="2:14">
      <c r="B350" t="s">
        <v>211</v>
      </c>
      <c r="L350" s="183">
        <f>1+((INDEX('Yield Curve'!$B$48:$P$91,MATCH(ROUND(L349,0),'Yield Curve'!$B$48:$B$91,0),MATCH(YEAR($B348),'Yield Curve'!$B$48:$P$48,0)))/100)</f>
        <v>1.0406</v>
      </c>
      <c r="M350" s="183">
        <f>1+((INDEX('Yield Curve'!$B$48:$P$91,MATCH(ROUND(M349,0),'Yield Curve'!$B$48:$B$91,0),MATCH(YEAR($B348),'Yield Curve'!$B$48:$P$48,0)))/100)</f>
        <v>1.0406</v>
      </c>
      <c r="N350" s="183">
        <f>1+((INDEX('Yield Curve'!$B$48:$P$91,MATCH(ROUND(N349,0),'Yield Curve'!$B$48:$B$91,0),MATCH(YEAR($B348),'Yield Curve'!$B$48:$P$48,0)))/100)</f>
        <v>1.0406</v>
      </c>
    </row>
    <row r="351" spans="2:14">
      <c r="B351" t="s">
        <v>212</v>
      </c>
      <c r="C351" s="182">
        <f>SUM(D351:AM351)</f>
        <v>152.24968682018601</v>
      </c>
      <c r="L351" s="182">
        <f t="shared" ref="L351:N351" si="1893">L$335/(L350^L349)</f>
        <v>4.6369206456826397</v>
      </c>
      <c r="M351" s="182">
        <f t="shared" si="1893"/>
        <v>4.5455637486203395</v>
      </c>
      <c r="N351" s="182">
        <f t="shared" si="1893"/>
        <v>143.06720242588304</v>
      </c>
    </row>
    <row r="352" spans="2:14">
      <c r="B352" s="135">
        <v>42916</v>
      </c>
    </row>
    <row r="353" spans="2:31">
      <c r="B353" t="s">
        <v>210</v>
      </c>
      <c r="N353" s="182">
        <f t="shared" ref="N353" si="1894">(N$334-$B352)/365</f>
        <v>0.18904109589041096</v>
      </c>
    </row>
    <row r="354" spans="2:31">
      <c r="B354" t="s">
        <v>211</v>
      </c>
      <c r="N354" s="183">
        <f>1+((INDEX('Yield Curve'!$B$48:$P$91,MATCH(ROUND(N353,0),'Yield Curve'!$B$48:$B$91,0),MATCH(YEAR($B352),'Yield Curve'!$B$48:$P$48,0)))/100)</f>
        <v>1.0326500000000001</v>
      </c>
    </row>
    <row r="355" spans="2:31">
      <c r="B355" t="s">
        <v>212</v>
      </c>
      <c r="C355" s="182">
        <f>SUM(D355:AM355)</f>
        <v>149.09172528173599</v>
      </c>
      <c r="N355" s="182">
        <f t="shared" ref="N355" si="1895">N$335/(N354^N353)</f>
        <v>149.09172528173599</v>
      </c>
    </row>
    <row r="357" spans="2:31" ht="15" thickBot="1">
      <c r="B357" s="137" t="s">
        <v>73</v>
      </c>
      <c r="C357" s="137"/>
    </row>
    <row r="358" spans="2:31">
      <c r="D358" s="27"/>
      <c r="E358" s="27"/>
      <c r="F358" s="27"/>
      <c r="G358" s="27"/>
      <c r="H358" s="27"/>
      <c r="I358" s="27"/>
      <c r="J358" s="27"/>
      <c r="K358" s="27"/>
      <c r="L358" s="27"/>
      <c r="M358" s="27"/>
      <c r="N358" s="27"/>
    </row>
    <row r="359" spans="2:31">
      <c r="B359" s="5" t="str">
        <f>'VPN Bonds'!A86</f>
        <v>27199260111</v>
      </c>
    </row>
    <row r="360" spans="2:31">
      <c r="B360" t="s">
        <v>66</v>
      </c>
      <c r="D360" s="180">
        <f>VLOOKUP(B359,'VPN Bonds'!$A$85:$K$104,4,FALSE)</f>
        <v>41968</v>
      </c>
      <c r="E360" s="180">
        <f>VLOOKUP(B359,'VPN Bonds'!$A$85:$K$104,10,FALSE)</f>
        <v>42136</v>
      </c>
      <c r="F360" s="180">
        <f>IF(E360+VLOOKUP($B359,'VPN Bonds'!$A$85:$K$104,9,FALSE)*365 &lt; VLOOKUP($B359,'VPN Bonds'!$A$85:$K$104,5,FALSE), E360+VLOOKUP($B359,'VPN Bonds'!$A$85:$K$104,9,FALSE)*365, VLOOKUP($B359,'VPN Bonds'!$A$85:$K$104,5,FALSE))</f>
        <v>42318.5</v>
      </c>
      <c r="G360" s="180">
        <f>IF(F360+VLOOKUP($B359,'VPN Bonds'!$A$85:$K$104,9,FALSE)*365 &lt; VLOOKUP($B359,'VPN Bonds'!$A$85:$K$104,5,FALSE), F360+VLOOKUP($B359,'VPN Bonds'!$A$85:$K$104,9,FALSE)*365, VLOOKUP($B359,'VPN Bonds'!$A$85:$K$104,5,FALSE))</f>
        <v>42501</v>
      </c>
      <c r="H360" s="180">
        <f>IF(G360+VLOOKUP($B359,'VPN Bonds'!$A$85:$K$104,9,FALSE)*365 &lt; VLOOKUP($B359,'VPN Bonds'!$A$85:$K$104,5,FALSE), G360+VLOOKUP($B359,'VPN Bonds'!$A$85:$K$104,9,FALSE)*365, VLOOKUP($B359,'VPN Bonds'!$A$85:$K$104,5,FALSE))</f>
        <v>42683.5</v>
      </c>
      <c r="I360" s="180">
        <f>IF(H360+VLOOKUP($B359,'VPN Bonds'!$A$85:$K$104,9,FALSE)*365 &lt; VLOOKUP($B359,'VPN Bonds'!$A$85:$K$104,5,FALSE), H360+VLOOKUP($B359,'VPN Bonds'!$A$85:$K$104,9,FALSE)*365, VLOOKUP($B359,'VPN Bonds'!$A$85:$K$104,5,FALSE))</f>
        <v>42866</v>
      </c>
      <c r="J360" s="180">
        <f>IF(I360+VLOOKUP($B359,'VPN Bonds'!$A$85:$K$104,9,FALSE)*365 &lt; VLOOKUP($B359,'VPN Bonds'!$A$85:$K$104,5,FALSE), I360+VLOOKUP($B359,'VPN Bonds'!$A$85:$K$104,9,FALSE)*365, VLOOKUP($B359,'VPN Bonds'!$A$85:$K$104,5,FALSE))</f>
        <v>43048.5</v>
      </c>
      <c r="K360" s="180">
        <f>IF(J360+VLOOKUP($B359,'VPN Bonds'!$A$85:$K$104,9,FALSE)*365 &lt; VLOOKUP($B359,'VPN Bonds'!$A$85:$K$104,5,FALSE), J360+VLOOKUP($B359,'VPN Bonds'!$A$85:$K$104,9,FALSE)*365, VLOOKUP($B359,'VPN Bonds'!$A$85:$K$104,5,FALSE))</f>
        <v>43231</v>
      </c>
      <c r="L360" s="180">
        <f>IF(K360+VLOOKUP($B359,'VPN Bonds'!$A$85:$K$104,9,FALSE)*365 &lt; VLOOKUP($B359,'VPN Bonds'!$A$85:$K$104,5,FALSE), K360+VLOOKUP($B359,'VPN Bonds'!$A$85:$K$104,9,FALSE)*365, VLOOKUP($B359,'VPN Bonds'!$A$85:$K$104,5,FALSE))</f>
        <v>43413.5</v>
      </c>
      <c r="M360" s="180">
        <f>IF(L360+VLOOKUP($B359,'VPN Bonds'!$A$85:$K$104,9,FALSE)*365 &lt; VLOOKUP($B359,'VPN Bonds'!$A$85:$K$104,5,FALSE), L360+VLOOKUP($B359,'VPN Bonds'!$A$85:$K$104,9,FALSE)*365, VLOOKUP($B359,'VPN Bonds'!$A$85:$K$104,5,FALSE))</f>
        <v>43596</v>
      </c>
      <c r="N360" s="180">
        <f>IF(M360+VLOOKUP($B359,'VPN Bonds'!$A$85:$K$104,9,FALSE)*365 &lt; VLOOKUP($B359,'VPN Bonds'!$A$85:$K$104,5,FALSE), M360+VLOOKUP($B359,'VPN Bonds'!$A$85:$K$104,9,FALSE)*365, VLOOKUP($B359,'VPN Bonds'!$A$85:$K$104,5,FALSE))</f>
        <v>43778.5</v>
      </c>
      <c r="O360" s="180">
        <f>IF(N360+VLOOKUP($B359,'VPN Bonds'!$A$85:$K$104,9,FALSE)*365 &lt; VLOOKUP($B359,'VPN Bonds'!$A$85:$K$104,5,FALSE), N360+VLOOKUP($B359,'VPN Bonds'!$A$85:$K$104,9,FALSE)*365, VLOOKUP($B359,'VPN Bonds'!$A$85:$K$104,5,FALSE))</f>
        <v>43961</v>
      </c>
      <c r="P360" s="180">
        <f>IF(O360+VLOOKUP($B359,'VPN Bonds'!$A$85:$K$104,9,FALSE)*365 &lt; VLOOKUP($B359,'VPN Bonds'!$A$85:$K$104,5,FALSE), O360+VLOOKUP($B359,'VPN Bonds'!$A$85:$K$104,9,FALSE)*365, VLOOKUP($B359,'VPN Bonds'!$A$85:$K$104,5,FALSE))</f>
        <v>44143.5</v>
      </c>
      <c r="Q360" s="180">
        <f>IF(P360+VLOOKUP($B359,'VPN Bonds'!$A$85:$K$104,9,FALSE)*365 &lt; VLOOKUP($B359,'VPN Bonds'!$A$85:$K$104,5,FALSE), P360+VLOOKUP($B359,'VPN Bonds'!$A$85:$K$104,9,FALSE)*365, VLOOKUP($B359,'VPN Bonds'!$A$85:$K$104,5,FALSE))</f>
        <v>44326</v>
      </c>
      <c r="R360" s="180">
        <f>IF(Q360+VLOOKUP($B359,'VPN Bonds'!$A$85:$K$104,9,FALSE)*365 &lt; VLOOKUP($B359,'VPN Bonds'!$A$85:$K$104,5,FALSE), Q360+VLOOKUP($B359,'VPN Bonds'!$A$85:$K$104,9,FALSE)*365, VLOOKUP($B359,'VPN Bonds'!$A$85:$K$104,5,FALSE))</f>
        <v>44508.5</v>
      </c>
      <c r="S360" s="180">
        <f>IF(R360+VLOOKUP($B359,'VPN Bonds'!$A$85:$K$104,9,FALSE)*365 &lt; VLOOKUP($B359,'VPN Bonds'!$A$85:$K$104,5,FALSE), R360+VLOOKUP($B359,'VPN Bonds'!$A$85:$K$104,9,FALSE)*365, VLOOKUP($B359,'VPN Bonds'!$A$85:$K$104,5,FALSE))</f>
        <v>44691</v>
      </c>
      <c r="T360" s="180">
        <f>IF(S360+VLOOKUP($B359,'VPN Bonds'!$A$85:$K$104,9,FALSE)*365 &lt; VLOOKUP($B359,'VPN Bonds'!$A$85:$K$104,5,FALSE), S360+VLOOKUP($B359,'VPN Bonds'!$A$85:$K$104,9,FALSE)*365, VLOOKUP($B359,'VPN Bonds'!$A$85:$K$104,5,FALSE))</f>
        <v>44873.5</v>
      </c>
      <c r="U360" s="180">
        <f>IF(T360+VLOOKUP($B359,'VPN Bonds'!$A$85:$K$104,9,FALSE)*365 &lt; VLOOKUP($B359,'VPN Bonds'!$A$85:$K$104,5,FALSE), T360+VLOOKUP($B359,'VPN Bonds'!$A$85:$K$104,9,FALSE)*365, VLOOKUP($B359,'VPN Bonds'!$A$85:$K$104,5,FALSE))</f>
        <v>45056</v>
      </c>
      <c r="V360" s="180">
        <f>IF(U360+VLOOKUP($B359,'VPN Bonds'!$A$85:$K$104,9,FALSE)*365 &lt; VLOOKUP($B359,'VPN Bonds'!$A$85:$K$104,5,FALSE), U360+VLOOKUP($B359,'VPN Bonds'!$A$85:$K$104,9,FALSE)*365, VLOOKUP($B359,'VPN Bonds'!$A$85:$K$104,5,FALSE))</f>
        <v>45238.5</v>
      </c>
      <c r="W360" s="180">
        <f>IF(V360+VLOOKUP($B359,'VPN Bonds'!$A$85:$K$104,9,FALSE)*365 &lt; VLOOKUP($B359,'VPN Bonds'!$A$85:$K$104,5,FALSE), V360+VLOOKUP($B359,'VPN Bonds'!$A$85:$K$104,9,FALSE)*365, VLOOKUP($B359,'VPN Bonds'!$A$85:$K$104,5,FALSE))</f>
        <v>45421</v>
      </c>
      <c r="X360" s="180">
        <f>IF(W360+VLOOKUP($B359,'VPN Bonds'!$A$85:$K$104,9,FALSE)*365 &lt; VLOOKUP($B359,'VPN Bonds'!$A$85:$K$104,5,FALSE), W360+VLOOKUP($B359,'VPN Bonds'!$A$85:$K$104,9,FALSE)*365, VLOOKUP($B359,'VPN Bonds'!$A$85:$K$104,5,FALSE))</f>
        <v>45603.5</v>
      </c>
      <c r="Y360" s="27"/>
      <c r="Z360" s="27"/>
      <c r="AA360" s="27"/>
      <c r="AB360" s="27"/>
      <c r="AC360" s="27"/>
      <c r="AD360" s="27"/>
      <c r="AE360" s="27"/>
    </row>
    <row r="361" spans="2:31">
      <c r="B361" t="s">
        <v>209</v>
      </c>
      <c r="E361" s="182">
        <f>IF(E360&lt;VLOOKUP($B359,'VPN Bonds'!$A$85:$K$104,5,FALSE),(VLOOKUP($B359,'VPN Bonds'!$A$85:$K$104,8,FALSE)/100)*(VLOOKUP($B359,'VPN Bonds'!$A$85:$K$104,9,FALSE))*(VLOOKUP($B359,'VPN Bonds'!$A$85:$K$104,6,FALSE)),(VLOOKUP($B359,'VPN Bonds'!$A$85:$K$104,6,FALSE)))</f>
        <v>2.5686874999999998</v>
      </c>
      <c r="F361" s="182">
        <f>IF(F360&lt;VLOOKUP($B359,'VPN Bonds'!$A$85:$K$104,5,FALSE),(VLOOKUP($B359,'VPN Bonds'!$A$85:$K$104,8,FALSE)/100)*(VLOOKUP($B359,'VPN Bonds'!$A$85:$K$104,9,FALSE))*(VLOOKUP($B359,'VPN Bonds'!$A$85:$K$104,6,FALSE)),(VLOOKUP($B359,'VPN Bonds'!$A$85:$K$104,6,FALSE)))</f>
        <v>2.5686874999999998</v>
      </c>
      <c r="G361" s="182">
        <f>IF(G360&lt;VLOOKUP($B359,'VPN Bonds'!$A$85:$K$104,5,FALSE),(VLOOKUP($B359,'VPN Bonds'!$A$85:$K$104,8,FALSE)/100)*(VLOOKUP($B359,'VPN Bonds'!$A$85:$K$104,9,FALSE))*(VLOOKUP($B359,'VPN Bonds'!$A$85:$K$104,6,FALSE)),(VLOOKUP($B359,'VPN Bonds'!$A$85:$K$104,6,FALSE)))</f>
        <v>2.5686874999999998</v>
      </c>
      <c r="H361" s="182">
        <f>IF(H360&lt;VLOOKUP($B359,'VPN Bonds'!$A$85:$K$104,5,FALSE),(VLOOKUP($B359,'VPN Bonds'!$A$85:$K$104,8,FALSE)/100)*(VLOOKUP($B359,'VPN Bonds'!$A$85:$K$104,9,FALSE))*(VLOOKUP($B359,'VPN Bonds'!$A$85:$K$104,6,FALSE)),(VLOOKUP($B359,'VPN Bonds'!$A$85:$K$104,6,FALSE)))</f>
        <v>2.5686874999999998</v>
      </c>
      <c r="I361" s="182">
        <f>IF(I360&lt;VLOOKUP($B359,'VPN Bonds'!$A$85:$K$104,5,FALSE),(VLOOKUP($B359,'VPN Bonds'!$A$85:$K$104,8,FALSE)/100)*(VLOOKUP($B359,'VPN Bonds'!$A$85:$K$104,9,FALSE))*(VLOOKUP($B359,'VPN Bonds'!$A$85:$K$104,6,FALSE)),(VLOOKUP($B359,'VPN Bonds'!$A$85:$K$104,6,FALSE)))</f>
        <v>2.5686874999999998</v>
      </c>
      <c r="J361" s="182">
        <f>IF(J360&lt;VLOOKUP($B359,'VPN Bonds'!$A$85:$K$104,5,FALSE),(VLOOKUP($B359,'VPN Bonds'!$A$85:$K$104,8,FALSE)/100)*(VLOOKUP($B359,'VPN Bonds'!$A$85:$K$104,9,FALSE))*(VLOOKUP($B359,'VPN Bonds'!$A$85:$K$104,6,FALSE)),(VLOOKUP($B359,'VPN Bonds'!$A$85:$K$104,6,FALSE)))</f>
        <v>2.5686874999999998</v>
      </c>
      <c r="K361" s="182">
        <f>IF(K360&lt;VLOOKUP($B359,'VPN Bonds'!$A$85:$K$104,5,FALSE),(VLOOKUP($B359,'VPN Bonds'!$A$85:$K$104,8,FALSE)/100)*(VLOOKUP($B359,'VPN Bonds'!$A$85:$K$104,9,FALSE))*(VLOOKUP($B359,'VPN Bonds'!$A$85:$K$104,6,FALSE)),(VLOOKUP($B359,'VPN Bonds'!$A$85:$K$104,6,FALSE)))</f>
        <v>2.5686874999999998</v>
      </c>
      <c r="L361" s="182">
        <f>IF(L360&lt;VLOOKUP($B359,'VPN Bonds'!$A$85:$K$104,5,FALSE),(VLOOKUP($B359,'VPN Bonds'!$A$85:$K$104,8,FALSE)/100)*(VLOOKUP($B359,'VPN Bonds'!$A$85:$K$104,9,FALSE))*(VLOOKUP($B359,'VPN Bonds'!$A$85:$K$104,6,FALSE)),(VLOOKUP($B359,'VPN Bonds'!$A$85:$K$104,6,FALSE)))</f>
        <v>2.5686874999999998</v>
      </c>
      <c r="M361" s="182">
        <f>IF(M360&lt;VLOOKUP($B359,'VPN Bonds'!$A$85:$K$104,5,FALSE),(VLOOKUP($B359,'VPN Bonds'!$A$85:$K$104,8,FALSE)/100)*(VLOOKUP($B359,'VPN Bonds'!$A$85:$K$104,9,FALSE))*(VLOOKUP($B359,'VPN Bonds'!$A$85:$K$104,6,FALSE)),(VLOOKUP($B359,'VPN Bonds'!$A$85:$K$104,6,FALSE)))</f>
        <v>2.5686874999999998</v>
      </c>
      <c r="N361" s="182">
        <f>IF(N360&lt;VLOOKUP($B359,'VPN Bonds'!$A$85:$K$104,5,FALSE),(VLOOKUP($B359,'VPN Bonds'!$A$85:$K$104,8,FALSE)/100)*(VLOOKUP($B359,'VPN Bonds'!$A$85:$K$104,9,FALSE))*(VLOOKUP($B359,'VPN Bonds'!$A$85:$K$104,6,FALSE)),(VLOOKUP($B359,'VPN Bonds'!$A$85:$K$104,6,FALSE)))</f>
        <v>2.5686874999999998</v>
      </c>
      <c r="O361" s="182">
        <f>IF(O360&lt;VLOOKUP($B359,'VPN Bonds'!$A$85:$K$104,5,FALSE),(VLOOKUP($B359,'VPN Bonds'!$A$85:$K$104,8,FALSE)/100)*(VLOOKUP($B359,'VPN Bonds'!$A$85:$K$104,9,FALSE))*(VLOOKUP($B359,'VPN Bonds'!$A$85:$K$104,6,FALSE)),(VLOOKUP($B359,'VPN Bonds'!$A$85:$K$104,6,FALSE)))</f>
        <v>2.5686874999999998</v>
      </c>
      <c r="P361" s="182">
        <f>IF(P360&lt;VLOOKUP($B359,'VPN Bonds'!$A$85:$K$104,5,FALSE),(VLOOKUP($B359,'VPN Bonds'!$A$85:$K$104,8,FALSE)/100)*(VLOOKUP($B359,'VPN Bonds'!$A$85:$K$104,9,FALSE))*(VLOOKUP($B359,'VPN Bonds'!$A$85:$K$104,6,FALSE)),(VLOOKUP($B359,'VPN Bonds'!$A$85:$K$104,6,FALSE)))</f>
        <v>2.5686874999999998</v>
      </c>
      <c r="Q361" s="182">
        <f>IF(Q360&lt;VLOOKUP($B359,'VPN Bonds'!$A$85:$K$104,5,FALSE),(VLOOKUP($B359,'VPN Bonds'!$A$85:$K$104,8,FALSE)/100)*(VLOOKUP($B359,'VPN Bonds'!$A$85:$K$104,9,FALSE))*(VLOOKUP($B359,'VPN Bonds'!$A$85:$K$104,6,FALSE)),(VLOOKUP($B359,'VPN Bonds'!$A$85:$K$104,6,FALSE)))</f>
        <v>2.5686874999999998</v>
      </c>
      <c r="R361" s="182">
        <f>IF(R360&lt;VLOOKUP($B359,'VPN Bonds'!$A$85:$K$104,5,FALSE),(VLOOKUP($B359,'VPN Bonds'!$A$85:$K$104,8,FALSE)/100)*(VLOOKUP($B359,'VPN Bonds'!$A$85:$K$104,9,FALSE))*(VLOOKUP($B359,'VPN Bonds'!$A$85:$K$104,6,FALSE)),(VLOOKUP($B359,'VPN Bonds'!$A$85:$K$104,6,FALSE)))</f>
        <v>2.5686874999999998</v>
      </c>
      <c r="S361" s="182">
        <f>IF(S360&lt;VLOOKUP($B359,'VPN Bonds'!$A$85:$K$104,5,FALSE),(VLOOKUP($B359,'VPN Bonds'!$A$85:$K$104,8,FALSE)/100)*(VLOOKUP($B359,'VPN Bonds'!$A$85:$K$104,9,FALSE))*(VLOOKUP($B359,'VPN Bonds'!$A$85:$K$104,6,FALSE)),(VLOOKUP($B359,'VPN Bonds'!$A$85:$K$104,6,FALSE)))</f>
        <v>2.5686874999999998</v>
      </c>
      <c r="T361" s="182">
        <f>IF(T360&lt;VLOOKUP($B359,'VPN Bonds'!$A$85:$K$104,5,FALSE),(VLOOKUP($B359,'VPN Bonds'!$A$85:$K$104,8,FALSE)/100)*(VLOOKUP($B359,'VPN Bonds'!$A$85:$K$104,9,FALSE))*(VLOOKUP($B359,'VPN Bonds'!$A$85:$K$104,6,FALSE)),(VLOOKUP($B359,'VPN Bonds'!$A$85:$K$104,6,FALSE)))</f>
        <v>2.5686874999999998</v>
      </c>
      <c r="U361" s="182">
        <f>IF(U360&lt;VLOOKUP($B359,'VPN Bonds'!$A$85:$K$104,5,FALSE),(VLOOKUP($B359,'VPN Bonds'!$A$85:$K$104,8,FALSE)/100)*(VLOOKUP($B359,'VPN Bonds'!$A$85:$K$104,9,FALSE))*(VLOOKUP($B359,'VPN Bonds'!$A$85:$K$104,6,FALSE)),(VLOOKUP($B359,'VPN Bonds'!$A$85:$K$104,6,FALSE)))</f>
        <v>2.5686874999999998</v>
      </c>
      <c r="V361" s="182">
        <f>IF(V360&lt;VLOOKUP($B359,'VPN Bonds'!$A$85:$K$104,5,FALSE),(VLOOKUP($B359,'VPN Bonds'!$A$85:$K$104,8,FALSE)/100)*(VLOOKUP($B359,'VPN Bonds'!$A$85:$K$104,9,FALSE))*(VLOOKUP($B359,'VPN Bonds'!$A$85:$K$104,6,FALSE)),(VLOOKUP($B359,'VPN Bonds'!$A$85:$K$104,6,FALSE)))</f>
        <v>2.5686874999999998</v>
      </c>
      <c r="W361" s="182">
        <f>IF(W360&lt;VLOOKUP($B359,'VPN Bonds'!$A$85:$K$104,5,FALSE),(VLOOKUP($B359,'VPN Bonds'!$A$85:$K$104,8,FALSE)/100)*(VLOOKUP($B359,'VPN Bonds'!$A$85:$K$104,9,FALSE))*(VLOOKUP($B359,'VPN Bonds'!$A$85:$K$104,6,FALSE)),(VLOOKUP($B359,'VPN Bonds'!$A$85:$K$104,6,FALSE)))</f>
        <v>2.5686874999999998</v>
      </c>
      <c r="X361" s="182">
        <f>IF(X360&lt;VLOOKUP($B359,'VPN Bonds'!$A$85:$K$104,5,FALSE),(VLOOKUP($B359,'VPN Bonds'!$A$85:$K$104,8,FALSE)/100)*(VLOOKUP($B359,'VPN Bonds'!$A$85:$K$104,9,FALSE))*(VLOOKUP($B359,'VPN Bonds'!$A$85:$K$104,6,FALSE)),(VLOOKUP($B359,'VPN Bonds'!$A$85:$K$104,6,FALSE)))</f>
        <v>2.5686874999999998</v>
      </c>
    </row>
    <row r="362" spans="2:31">
      <c r="B362" s="135">
        <v>42185</v>
      </c>
    </row>
    <row r="363" spans="2:31">
      <c r="B363" t="s">
        <v>210</v>
      </c>
      <c r="F363" s="182">
        <f t="shared" ref="F363:X363" si="1896">(F$360-$B362)/365</f>
        <v>0.36575342465753424</v>
      </c>
      <c r="G363" s="182">
        <f t="shared" si="1896"/>
        <v>0.86575342465753424</v>
      </c>
      <c r="H363" s="182">
        <f t="shared" si="1896"/>
        <v>1.3657534246575342</v>
      </c>
      <c r="I363" s="182">
        <f t="shared" si="1896"/>
        <v>1.8657534246575342</v>
      </c>
      <c r="J363" s="182">
        <f t="shared" si="1896"/>
        <v>2.3657534246575342</v>
      </c>
      <c r="K363" s="182">
        <f t="shared" si="1896"/>
        <v>2.8657534246575342</v>
      </c>
      <c r="L363" s="182">
        <f t="shared" si="1896"/>
        <v>3.3657534246575342</v>
      </c>
      <c r="M363" s="182">
        <f t="shared" si="1896"/>
        <v>3.8657534246575342</v>
      </c>
      <c r="N363" s="182">
        <f t="shared" si="1896"/>
        <v>4.3657534246575347</v>
      </c>
      <c r="O363" s="182">
        <f t="shared" si="1896"/>
        <v>4.8657534246575347</v>
      </c>
      <c r="P363" s="182">
        <f t="shared" si="1896"/>
        <v>5.3657534246575347</v>
      </c>
      <c r="Q363" s="182">
        <f t="shared" si="1896"/>
        <v>5.8657534246575347</v>
      </c>
      <c r="R363" s="182">
        <f t="shared" si="1896"/>
        <v>6.3657534246575347</v>
      </c>
      <c r="S363" s="182">
        <f t="shared" si="1896"/>
        <v>6.8657534246575347</v>
      </c>
      <c r="T363" s="182">
        <f t="shared" si="1896"/>
        <v>7.3657534246575347</v>
      </c>
      <c r="U363" s="182">
        <f t="shared" si="1896"/>
        <v>7.8657534246575347</v>
      </c>
      <c r="V363" s="182">
        <f t="shared" si="1896"/>
        <v>8.3657534246575338</v>
      </c>
      <c r="W363" s="182">
        <f t="shared" si="1896"/>
        <v>8.8657534246575338</v>
      </c>
      <c r="X363" s="182">
        <f t="shared" si="1896"/>
        <v>9.3657534246575338</v>
      </c>
    </row>
    <row r="364" spans="2:31">
      <c r="B364" t="s">
        <v>211</v>
      </c>
      <c r="F364" s="183">
        <f>1+((INDEX('Yield Curve'!$B$48:$P$91,MATCH(ROUND(F363,0),'Yield Curve'!$B$48:$B$91,0),MATCH(YEAR($B362),'Yield Curve'!$B$48:$P$48,0)))/100)</f>
        <v>1.0388500000000001</v>
      </c>
      <c r="G364" s="183">
        <f>1+((INDEX('Yield Curve'!$B$48:$P$91,MATCH(ROUND(G363,0),'Yield Curve'!$B$48:$B$91,0),MATCH(YEAR($B362),'Yield Curve'!$B$48:$P$48,0)))/100)</f>
        <v>1.0388500000000001</v>
      </c>
      <c r="H364" s="183">
        <f>1+((INDEX('Yield Curve'!$B$48:$P$91,MATCH(ROUND(H363,0),'Yield Curve'!$B$48:$B$91,0),MATCH(YEAR($B362),'Yield Curve'!$B$48:$P$48,0)))/100)</f>
        <v>1.0388500000000001</v>
      </c>
      <c r="I364" s="183">
        <f>1+((INDEX('Yield Curve'!$B$48:$P$91,MATCH(ROUND(I363,0),'Yield Curve'!$B$48:$B$91,0),MATCH(YEAR($B362),'Yield Curve'!$B$48:$P$48,0)))/100)</f>
        <v>1.0388500000000001</v>
      </c>
      <c r="J364" s="183">
        <f>1+((INDEX('Yield Curve'!$B$48:$P$91,MATCH(ROUND(J363,0),'Yield Curve'!$B$48:$B$91,0),MATCH(YEAR($B362),'Yield Curve'!$B$48:$P$48,0)))/100)</f>
        <v>1.0388500000000001</v>
      </c>
      <c r="K364" s="183">
        <f>1+((INDEX('Yield Curve'!$B$48:$P$91,MATCH(ROUND(K363,0),'Yield Curve'!$B$48:$B$91,0),MATCH(YEAR($B362),'Yield Curve'!$B$48:$P$48,0)))/100)</f>
        <v>1.0388500000000001</v>
      </c>
      <c r="L364" s="183">
        <f>1+((INDEX('Yield Curve'!$B$48:$P$91,MATCH(ROUND(L363,0),'Yield Curve'!$B$48:$B$91,0),MATCH(YEAR($B362),'Yield Curve'!$B$48:$P$48,0)))/100)</f>
        <v>1.0388500000000001</v>
      </c>
      <c r="M364" s="183">
        <f>1+((INDEX('Yield Curve'!$B$48:$P$91,MATCH(ROUND(M363,0),'Yield Curve'!$B$48:$B$91,0),MATCH(YEAR($B362),'Yield Curve'!$B$48:$P$48,0)))/100)</f>
        <v>1.040575</v>
      </c>
      <c r="N364" s="183">
        <f>1+((INDEX('Yield Curve'!$B$48:$P$91,MATCH(ROUND(N363,0),'Yield Curve'!$B$48:$B$91,0),MATCH(YEAR($B362),'Yield Curve'!$B$48:$P$48,0)))/100)</f>
        <v>1.040575</v>
      </c>
      <c r="O364" s="183">
        <f>1+((INDEX('Yield Curve'!$B$48:$P$91,MATCH(ROUND(O363,0),'Yield Curve'!$B$48:$B$91,0),MATCH(YEAR($B362),'Yield Curve'!$B$48:$P$48,0)))/100)</f>
        <v>1.0423</v>
      </c>
      <c r="P364" s="183">
        <f>1+((INDEX('Yield Curve'!$B$48:$P$91,MATCH(ROUND(P363,0),'Yield Curve'!$B$48:$B$91,0),MATCH(YEAR($B362),'Yield Curve'!$B$48:$P$48,0)))/100)</f>
        <v>1.0423</v>
      </c>
      <c r="Q364" s="183">
        <f>1+((INDEX('Yield Curve'!$B$48:$P$91,MATCH(ROUND(Q363,0),'Yield Curve'!$B$48:$B$91,0),MATCH(YEAR($B362),'Yield Curve'!$B$48:$P$48,0)))/100)</f>
        <v>1.0443500000000001</v>
      </c>
      <c r="R364" s="183">
        <f>1+((INDEX('Yield Curve'!$B$48:$P$91,MATCH(ROUND(R363,0),'Yield Curve'!$B$48:$B$91,0),MATCH(YEAR($B362),'Yield Curve'!$B$48:$P$48,0)))/100)</f>
        <v>1.0443500000000001</v>
      </c>
      <c r="S364" s="183">
        <f>1+((INDEX('Yield Curve'!$B$48:$P$91,MATCH(ROUND(S363,0),'Yield Curve'!$B$48:$B$91,0),MATCH(YEAR($B362),'Yield Curve'!$B$48:$P$48,0)))/100)</f>
        <v>1.0464</v>
      </c>
      <c r="T364" s="183">
        <f>1+((INDEX('Yield Curve'!$B$48:$P$91,MATCH(ROUND(T363,0),'Yield Curve'!$B$48:$B$91,0),MATCH(YEAR($B362),'Yield Curve'!$B$48:$P$48,0)))/100)</f>
        <v>1.0464</v>
      </c>
      <c r="U364" s="183">
        <f>1+((INDEX('Yield Curve'!$B$48:$P$91,MATCH(ROUND(U363,0),'Yield Curve'!$B$48:$B$91,0),MATCH(YEAR($B362),'Yield Curve'!$B$48:$P$48,0)))/100)</f>
        <v>1.0472999999999999</v>
      </c>
      <c r="V364" s="183">
        <f>1+((INDEX('Yield Curve'!$B$48:$P$91,MATCH(ROUND(V363,0),'Yield Curve'!$B$48:$B$91,0),MATCH(YEAR($B362),'Yield Curve'!$B$48:$P$48,0)))/100)</f>
        <v>1.0472999999999999</v>
      </c>
      <c r="W364" s="183">
        <f>1+((INDEX('Yield Curve'!$B$48:$P$91,MATCH(ROUND(W363,0),'Yield Curve'!$B$48:$B$91,0),MATCH(YEAR($B362),'Yield Curve'!$B$48:$P$48,0)))/100)</f>
        <v>1.0490999999999999</v>
      </c>
      <c r="X364" s="183">
        <f>1+((INDEX('Yield Curve'!$B$48:$P$91,MATCH(ROUND(X363,0),'Yield Curve'!$B$48:$B$91,0),MATCH(YEAR($B362),'Yield Curve'!$B$48:$P$48,0)))/100)</f>
        <v>1.0490999999999999</v>
      </c>
    </row>
    <row r="365" spans="2:31">
      <c r="B365" t="s">
        <v>212</v>
      </c>
      <c r="C365" s="182">
        <f>SUM(D365:AM365)</f>
        <v>39.787495818219504</v>
      </c>
      <c r="F365" s="182">
        <f t="shared" ref="F365:X365" si="1897">F$361/(F364^F363)</f>
        <v>2.5331272853064877</v>
      </c>
      <c r="G365" s="182">
        <f t="shared" si="1897"/>
        <v>2.4853101348416557</v>
      </c>
      <c r="H365" s="182">
        <f t="shared" si="1897"/>
        <v>2.4383956156389157</v>
      </c>
      <c r="I365" s="182">
        <f t="shared" si="1897"/>
        <v>2.392366688974978</v>
      </c>
      <c r="J365" s="182">
        <f t="shared" si="1897"/>
        <v>2.3472066377618672</v>
      </c>
      <c r="K365" s="182">
        <f t="shared" si="1897"/>
        <v>2.3028990604755042</v>
      </c>
      <c r="L365" s="182">
        <f t="shared" si="1897"/>
        <v>2.2594278651988904</v>
      </c>
      <c r="M365" s="182">
        <f t="shared" si="1897"/>
        <v>2.2026049694215328</v>
      </c>
      <c r="N365" s="182">
        <f t="shared" si="1897"/>
        <v>2.1592350477580413</v>
      </c>
      <c r="O365" s="182">
        <f t="shared" si="1897"/>
        <v>2.0997280352698375</v>
      </c>
      <c r="P365" s="182">
        <f t="shared" si="1897"/>
        <v>2.0566797783646535</v>
      </c>
      <c r="Q365" s="182">
        <f t="shared" si="1897"/>
        <v>1.9914291795380419</v>
      </c>
      <c r="R365" s="182">
        <f t="shared" si="1897"/>
        <v>1.9486858464346082</v>
      </c>
      <c r="S365" s="182">
        <f t="shared" si="1897"/>
        <v>1.8813582768300809</v>
      </c>
      <c r="T365" s="182">
        <f t="shared" si="1897"/>
        <v>1.8391732551395832</v>
      </c>
      <c r="U365" s="182">
        <f t="shared" si="1897"/>
        <v>1.7858168686790099</v>
      </c>
      <c r="V365" s="182">
        <f t="shared" si="1897"/>
        <v>1.7450238586936315</v>
      </c>
      <c r="W365" s="182">
        <f t="shared" si="1897"/>
        <v>1.6793989791179702</v>
      </c>
      <c r="X365" s="182">
        <f t="shared" si="1897"/>
        <v>1.6396284347742265</v>
      </c>
    </row>
    <row r="366" spans="2:31">
      <c r="B366" s="135">
        <v>42551</v>
      </c>
    </row>
    <row r="367" spans="2:31">
      <c r="B367" t="s">
        <v>210</v>
      </c>
      <c r="H367" s="182">
        <f t="shared" ref="H367" si="1898">(H$360-$B366)/365</f>
        <v>0.36301369863013699</v>
      </c>
      <c r="I367" s="182">
        <f t="shared" ref="I367" si="1899">(I$360-$B366)/365</f>
        <v>0.86301369863013699</v>
      </c>
      <c r="J367" s="182">
        <f t="shared" ref="J367" si="1900">(J$360-$B366)/365</f>
        <v>1.3630136986301369</v>
      </c>
      <c r="K367" s="182">
        <f t="shared" ref="K367" si="1901">(K$360-$B366)/365</f>
        <v>1.8630136986301369</v>
      </c>
      <c r="L367" s="182">
        <f t="shared" ref="L367" si="1902">(L$360-$B366)/365</f>
        <v>2.3630136986301369</v>
      </c>
      <c r="M367" s="182">
        <f t="shared" ref="M367" si="1903">(M$360-$B366)/365</f>
        <v>2.8630136986301369</v>
      </c>
      <c r="N367" s="182">
        <f t="shared" ref="N367" si="1904">(N$360-$B366)/365</f>
        <v>3.3630136986301369</v>
      </c>
      <c r="O367" s="182">
        <f t="shared" ref="O367" si="1905">(O$360-$B366)/365</f>
        <v>3.8630136986301369</v>
      </c>
      <c r="P367" s="182">
        <f t="shared" ref="P367" si="1906">(P$360-$B366)/365</f>
        <v>4.3630136986301373</v>
      </c>
      <c r="Q367" s="182">
        <f t="shared" ref="Q367" si="1907">(Q$360-$B366)/365</f>
        <v>4.8630136986301373</v>
      </c>
      <c r="R367" s="182">
        <f t="shared" ref="R367" si="1908">(R$360-$B366)/365</f>
        <v>5.3630136986301373</v>
      </c>
      <c r="S367" s="182">
        <f t="shared" ref="S367" si="1909">(S$360-$B366)/365</f>
        <v>5.8630136986301373</v>
      </c>
      <c r="T367" s="182">
        <f t="shared" ref="T367" si="1910">(T$360-$B366)/365</f>
        <v>6.3630136986301373</v>
      </c>
      <c r="U367" s="182">
        <f t="shared" ref="U367" si="1911">(U$360-$B366)/365</f>
        <v>6.8630136986301373</v>
      </c>
      <c r="V367" s="182">
        <f t="shared" ref="V367" si="1912">(V$360-$B366)/365</f>
        <v>7.3630136986301373</v>
      </c>
      <c r="W367" s="182">
        <f t="shared" ref="W367" si="1913">(W$360-$B366)/365</f>
        <v>7.8630136986301373</v>
      </c>
      <c r="X367" s="182">
        <f t="shared" ref="X367" si="1914">(X$360-$B366)/365</f>
        <v>8.3630136986301373</v>
      </c>
    </row>
    <row r="368" spans="2:31">
      <c r="B368" t="s">
        <v>211</v>
      </c>
      <c r="H368" s="183">
        <f>1+((INDEX('Yield Curve'!$B$48:$P$91,MATCH(ROUND(H367,0),'Yield Curve'!$B$48:$B$91,0),MATCH(YEAR($B366),'Yield Curve'!$B$48:$P$48,0)))/100)</f>
        <v>1.0406</v>
      </c>
      <c r="I368" s="183">
        <f>1+((INDEX('Yield Curve'!$B$48:$P$91,MATCH(ROUND(I367,0),'Yield Curve'!$B$48:$B$91,0),MATCH(YEAR($B366),'Yield Curve'!$B$48:$P$48,0)))/100)</f>
        <v>1.0406</v>
      </c>
      <c r="J368" s="183">
        <f>1+((INDEX('Yield Curve'!$B$48:$P$91,MATCH(ROUND(J367,0),'Yield Curve'!$B$48:$B$91,0),MATCH(YEAR($B366),'Yield Curve'!$B$48:$P$48,0)))/100)</f>
        <v>1.0406</v>
      </c>
      <c r="K368" s="183">
        <f>1+((INDEX('Yield Curve'!$B$48:$P$91,MATCH(ROUND(K367,0),'Yield Curve'!$B$48:$B$91,0),MATCH(YEAR($B366),'Yield Curve'!$B$48:$P$48,0)))/100)</f>
        <v>1.0406</v>
      </c>
      <c r="L368" s="183">
        <f>1+((INDEX('Yield Curve'!$B$48:$P$91,MATCH(ROUND(L367,0),'Yield Curve'!$B$48:$B$91,0),MATCH(YEAR($B366),'Yield Curve'!$B$48:$P$48,0)))/100)</f>
        <v>1.0406</v>
      </c>
      <c r="M368" s="183">
        <f>1+((INDEX('Yield Curve'!$B$48:$P$91,MATCH(ROUND(M367,0),'Yield Curve'!$B$48:$B$91,0),MATCH(YEAR($B366),'Yield Curve'!$B$48:$P$48,0)))/100)</f>
        <v>1.0406</v>
      </c>
      <c r="N368" s="183">
        <f>1+((INDEX('Yield Curve'!$B$48:$P$91,MATCH(ROUND(N367,0),'Yield Curve'!$B$48:$B$91,0),MATCH(YEAR($B366),'Yield Curve'!$B$48:$P$48,0)))/100)</f>
        <v>1.0406</v>
      </c>
      <c r="O368" s="183">
        <f>1+((INDEX('Yield Curve'!$B$48:$P$91,MATCH(ROUND(O367,0),'Yield Curve'!$B$48:$B$91,0),MATCH(YEAR($B366),'Yield Curve'!$B$48:$P$48,0)))/100)</f>
        <v>1.042025</v>
      </c>
      <c r="P368" s="183">
        <f>1+((INDEX('Yield Curve'!$B$48:$P$91,MATCH(ROUND(P367,0),'Yield Curve'!$B$48:$B$91,0),MATCH(YEAR($B366),'Yield Curve'!$B$48:$P$48,0)))/100)</f>
        <v>1.042025</v>
      </c>
      <c r="Q368" s="183">
        <f>1+((INDEX('Yield Curve'!$B$48:$P$91,MATCH(ROUND(Q367,0),'Yield Curve'!$B$48:$B$91,0),MATCH(YEAR($B366),'Yield Curve'!$B$48:$P$48,0)))/100)</f>
        <v>1.04345</v>
      </c>
      <c r="R368" s="183">
        <f>1+((INDEX('Yield Curve'!$B$48:$P$91,MATCH(ROUND(R367,0),'Yield Curve'!$B$48:$B$91,0),MATCH(YEAR($B366),'Yield Curve'!$B$48:$P$48,0)))/100)</f>
        <v>1.04345</v>
      </c>
      <c r="S368" s="183">
        <f>1+((INDEX('Yield Curve'!$B$48:$P$91,MATCH(ROUND(S367,0),'Yield Curve'!$B$48:$B$91,0),MATCH(YEAR($B366),'Yield Curve'!$B$48:$P$48,0)))/100)</f>
        <v>1.0443500000000001</v>
      </c>
      <c r="T368" s="183">
        <f>1+((INDEX('Yield Curve'!$B$48:$P$91,MATCH(ROUND(T367,0),'Yield Curve'!$B$48:$B$91,0),MATCH(YEAR($B366),'Yield Curve'!$B$48:$P$48,0)))/100)</f>
        <v>1.0443500000000001</v>
      </c>
      <c r="U368" s="183">
        <f>1+((INDEX('Yield Curve'!$B$48:$P$91,MATCH(ROUND(U367,0),'Yield Curve'!$B$48:$B$91,0),MATCH(YEAR($B366),'Yield Curve'!$B$48:$P$48,0)))/100)</f>
        <v>1.04525</v>
      </c>
      <c r="V368" s="183">
        <f>1+((INDEX('Yield Curve'!$B$48:$P$91,MATCH(ROUND(V367,0),'Yield Curve'!$B$48:$B$91,0),MATCH(YEAR($B366),'Yield Curve'!$B$48:$P$48,0)))/100)</f>
        <v>1.04525</v>
      </c>
      <c r="W368" s="183">
        <f>1+((INDEX('Yield Curve'!$B$48:$P$91,MATCH(ROUND(W367,0),'Yield Curve'!$B$48:$B$91,0),MATCH(YEAR($B366),'Yield Curve'!$B$48:$P$48,0)))/100)</f>
        <v>1.0457375</v>
      </c>
      <c r="X368" s="183">
        <f>1+((INDEX('Yield Curve'!$B$48:$P$91,MATCH(ROUND(X367,0),'Yield Curve'!$B$48:$B$91,0),MATCH(YEAR($B366),'Yield Curve'!$B$48:$P$48,0)))/100)</f>
        <v>1.0457375</v>
      </c>
    </row>
    <row r="369" spans="2:24">
      <c r="B369" t="s">
        <v>212</v>
      </c>
      <c r="C369" s="182">
        <f>SUM(D369:AM369)</f>
        <v>36.445134074233493</v>
      </c>
      <c r="H369" s="182">
        <f t="shared" ref="H369" si="1915">H$361/(H368^H367)</f>
        <v>2.531844380590853</v>
      </c>
      <c r="I369" s="182">
        <f t="shared" ref="I369" si="1916">I$361/(I368^I367)</f>
        <v>2.4819618261695768</v>
      </c>
      <c r="J369" s="182">
        <f t="shared" ref="J369" si="1917">J$361/(J368^J367)</f>
        <v>2.4330620609175986</v>
      </c>
      <c r="K369" s="182">
        <f t="shared" ref="K369" si="1918">K$361/(K368^K367)</f>
        <v>2.3851257218619808</v>
      </c>
      <c r="L369" s="182">
        <f t="shared" ref="L369" si="1919">L$361/(L368^L367)</f>
        <v>2.3381338275202754</v>
      </c>
      <c r="M369" s="182">
        <f t="shared" ref="M369" si="1920">M$361/(M368^M367)</f>
        <v>2.2920677703843753</v>
      </c>
      <c r="N369" s="182">
        <f t="shared" ref="N369" si="1921">N$361/(N368^N367)</f>
        <v>2.2469093095524464</v>
      </c>
      <c r="O369" s="182">
        <f t="shared" ref="O369" si="1922">O$361/(O368^O367)</f>
        <v>2.1910272457314823</v>
      </c>
      <c r="P369" s="182">
        <f t="shared" ref="P369" si="1923">P$361/(P368^P367)</f>
        <v>2.1463903584333934</v>
      </c>
      <c r="Q369" s="182">
        <f t="shared" ref="Q369" si="1924">Q$361/(Q368^Q367)</f>
        <v>2.0887353529347754</v>
      </c>
      <c r="R369" s="182">
        <f t="shared" ref="R369" si="1925">R$361/(R368^R367)</f>
        <v>2.0447847417251315</v>
      </c>
      <c r="S369" s="182">
        <f t="shared" ref="S369" si="1926">S$361/(S368^S367)</f>
        <v>1.9916659537130434</v>
      </c>
      <c r="T369" s="182">
        <f t="shared" ref="T369" si="1927">T$361/(T368^T367)</f>
        <v>1.9489175385722783</v>
      </c>
      <c r="U369" s="182">
        <f t="shared" ref="U369" si="1928">U$361/(U368^U367)</f>
        <v>1.8958454893219607</v>
      </c>
      <c r="V369" s="182">
        <f t="shared" ref="V369" si="1929">V$361/(V368^V367)</f>
        <v>1.8543548798589651</v>
      </c>
      <c r="W369" s="182">
        <f t="shared" ref="W369" si="1930">W$361/(W368^W367)</f>
        <v>1.8071344180138305</v>
      </c>
      <c r="X369" s="182">
        <f t="shared" ref="X369" si="1931">X$361/(X368^X367)</f>
        <v>1.7671731989315231</v>
      </c>
    </row>
    <row r="370" spans="2:24">
      <c r="B370" s="135">
        <v>42916</v>
      </c>
    </row>
    <row r="371" spans="2:24">
      <c r="B371" t="s">
        <v>210</v>
      </c>
      <c r="J371" s="182">
        <f t="shared" ref="J371" si="1932">(J$360-$B370)/365</f>
        <v>0.36301369863013699</v>
      </c>
      <c r="K371" s="182">
        <f t="shared" ref="K371" si="1933">(K$360-$B370)/365</f>
        <v>0.86301369863013699</v>
      </c>
      <c r="L371" s="182">
        <f t="shared" ref="L371" si="1934">(L$360-$B370)/365</f>
        <v>1.3630136986301369</v>
      </c>
      <c r="M371" s="182">
        <f t="shared" ref="M371" si="1935">(M$360-$B370)/365</f>
        <v>1.8630136986301369</v>
      </c>
      <c r="N371" s="182">
        <f t="shared" ref="N371" si="1936">(N$360-$B370)/365</f>
        <v>2.3630136986301369</v>
      </c>
      <c r="O371" s="182">
        <f t="shared" ref="O371" si="1937">(O$360-$B370)/365</f>
        <v>2.8630136986301369</v>
      </c>
      <c r="P371" s="182">
        <f t="shared" ref="P371" si="1938">(P$360-$B370)/365</f>
        <v>3.3630136986301369</v>
      </c>
      <c r="Q371" s="182">
        <f t="shared" ref="Q371" si="1939">(Q$360-$B370)/365</f>
        <v>3.8630136986301369</v>
      </c>
      <c r="R371" s="182">
        <f t="shared" ref="R371" si="1940">(R$360-$B370)/365</f>
        <v>4.3630136986301373</v>
      </c>
      <c r="S371" s="182">
        <f t="shared" ref="S371" si="1941">(S$360-$B370)/365</f>
        <v>4.8630136986301373</v>
      </c>
      <c r="T371" s="182">
        <f t="shared" ref="T371" si="1942">(T$360-$B370)/365</f>
        <v>5.3630136986301373</v>
      </c>
      <c r="U371" s="182">
        <f t="shared" ref="U371" si="1943">(U$360-$B370)/365</f>
        <v>5.8630136986301373</v>
      </c>
      <c r="V371" s="182">
        <f t="shared" ref="V371" si="1944">(V$360-$B370)/365</f>
        <v>6.3630136986301373</v>
      </c>
      <c r="W371" s="182">
        <f t="shared" ref="W371" si="1945">(W$360-$B370)/365</f>
        <v>6.8630136986301373</v>
      </c>
      <c r="X371" s="182">
        <f t="shared" ref="X371" si="1946">(X$360-$B370)/365</f>
        <v>7.3630136986301373</v>
      </c>
    </row>
    <row r="372" spans="2:24">
      <c r="B372" t="s">
        <v>211</v>
      </c>
      <c r="J372" s="183">
        <f>1+((INDEX('Yield Curve'!$B$48:$P$91,MATCH(ROUND(J371,0),'Yield Curve'!$B$48:$B$91,0),MATCH(YEAR($B370),'Yield Curve'!$B$48:$P$48,0)))/100)</f>
        <v>1.0326500000000001</v>
      </c>
      <c r="K372" s="183">
        <f>1+((INDEX('Yield Curve'!$B$48:$P$91,MATCH(ROUND(K371,0),'Yield Curve'!$B$48:$B$91,0),MATCH(YEAR($B370),'Yield Curve'!$B$48:$P$48,0)))/100)</f>
        <v>1.0326500000000001</v>
      </c>
      <c r="L372" s="183">
        <f>1+((INDEX('Yield Curve'!$B$48:$P$91,MATCH(ROUND(L371,0),'Yield Curve'!$B$48:$B$91,0),MATCH(YEAR($B370),'Yield Curve'!$B$48:$P$48,0)))/100)</f>
        <v>1.0326500000000001</v>
      </c>
      <c r="M372" s="183">
        <f>1+((INDEX('Yield Curve'!$B$48:$P$91,MATCH(ROUND(M371,0),'Yield Curve'!$B$48:$B$91,0),MATCH(YEAR($B370),'Yield Curve'!$B$48:$P$48,0)))/100)</f>
        <v>1.0326500000000001</v>
      </c>
      <c r="N372" s="183">
        <f>1+((INDEX('Yield Curve'!$B$48:$P$91,MATCH(ROUND(N371,0),'Yield Curve'!$B$48:$B$91,0),MATCH(YEAR($B370),'Yield Curve'!$B$48:$P$48,0)))/100)</f>
        <v>1.0326500000000001</v>
      </c>
      <c r="O372" s="183">
        <f>1+((INDEX('Yield Curve'!$B$48:$P$91,MATCH(ROUND(O371,0),'Yield Curve'!$B$48:$B$91,0),MATCH(YEAR($B370),'Yield Curve'!$B$48:$P$48,0)))/100)</f>
        <v>1.0326500000000001</v>
      </c>
      <c r="P372" s="183">
        <f>1+((INDEX('Yield Curve'!$B$48:$P$91,MATCH(ROUND(P371,0),'Yield Curve'!$B$48:$B$91,0),MATCH(YEAR($B370),'Yield Curve'!$B$48:$P$48,0)))/100)</f>
        <v>1.0326500000000001</v>
      </c>
      <c r="Q372" s="183">
        <f>1+((INDEX('Yield Curve'!$B$48:$P$91,MATCH(ROUND(Q371,0),'Yield Curve'!$B$48:$B$91,0),MATCH(YEAR($B370),'Yield Curve'!$B$48:$P$48,0)))/100)</f>
        <v>1.034025</v>
      </c>
      <c r="R372" s="183">
        <f>1+((INDEX('Yield Curve'!$B$48:$P$91,MATCH(ROUND(R371,0),'Yield Curve'!$B$48:$B$91,0),MATCH(YEAR($B370),'Yield Curve'!$B$48:$P$48,0)))/100)</f>
        <v>1.034025</v>
      </c>
      <c r="S372" s="183">
        <f>1+((INDEX('Yield Curve'!$B$48:$P$91,MATCH(ROUND(S371,0),'Yield Curve'!$B$48:$B$91,0),MATCH(YEAR($B370),'Yield Curve'!$B$48:$P$48,0)))/100)</f>
        <v>1.0354000000000001</v>
      </c>
      <c r="T372" s="183">
        <f>1+((INDEX('Yield Curve'!$B$48:$P$91,MATCH(ROUND(T371,0),'Yield Curve'!$B$48:$B$91,0),MATCH(YEAR($B370),'Yield Curve'!$B$48:$P$48,0)))/100)</f>
        <v>1.0354000000000001</v>
      </c>
      <c r="U372" s="183">
        <f>1+((INDEX('Yield Curve'!$B$48:$P$91,MATCH(ROUND(U371,0),'Yield Curve'!$B$48:$B$91,0),MATCH(YEAR($B370),'Yield Curve'!$B$48:$P$48,0)))/100)</f>
        <v>1.0375000000000001</v>
      </c>
      <c r="V372" s="183">
        <f>1+((INDEX('Yield Curve'!$B$48:$P$91,MATCH(ROUND(V371,0),'Yield Curve'!$B$48:$B$91,0),MATCH(YEAR($B370),'Yield Curve'!$B$48:$P$48,0)))/100)</f>
        <v>1.0375000000000001</v>
      </c>
      <c r="W372" s="183">
        <f>1+((INDEX('Yield Curve'!$B$48:$P$91,MATCH(ROUND(W371,0),'Yield Curve'!$B$48:$B$91,0),MATCH(YEAR($B370),'Yield Curve'!$B$48:$P$48,0)))/100)</f>
        <v>1.0396000000000001</v>
      </c>
      <c r="X372" s="183">
        <f>1+((INDEX('Yield Curve'!$B$48:$P$91,MATCH(ROUND(X371,0),'Yield Curve'!$B$48:$B$91,0),MATCH(YEAR($B370),'Yield Curve'!$B$48:$P$48,0)))/100)</f>
        <v>1.0396000000000001</v>
      </c>
    </row>
    <row r="373" spans="2:24">
      <c r="B373" t="s">
        <v>212</v>
      </c>
      <c r="C373" s="182">
        <f>SUM(D373:AM373)</f>
        <v>33.722137475978634</v>
      </c>
      <c r="J373" s="182">
        <f t="shared" ref="J373" si="1947">J$361/(J372^J371)</f>
        <v>2.5389028783486025</v>
      </c>
      <c r="K373" s="182">
        <f t="shared" ref="K373" si="1948">K$361/(K372^K371)</f>
        <v>2.4984433880857777</v>
      </c>
      <c r="L373" s="182">
        <f t="shared" ref="L373" si="1949">L$361/(L372^L371)</f>
        <v>2.4586286528335859</v>
      </c>
      <c r="M373" s="182">
        <f t="shared" ref="M373" si="1950">M$361/(M372^M371)</f>
        <v>2.4194483978945214</v>
      </c>
      <c r="N373" s="182">
        <f t="shared" ref="N373" si="1951">N$361/(N372^N371)</f>
        <v>2.3808925123067697</v>
      </c>
      <c r="O373" s="182">
        <f t="shared" ref="O373" si="1952">O$361/(O372^O371)</f>
        <v>2.3429510462349499</v>
      </c>
      <c r="P373" s="182">
        <f t="shared" ref="P373" si="1953">P$361/(P372^P371)</f>
        <v>2.3056142084024303</v>
      </c>
      <c r="Q373" s="182">
        <f t="shared" ref="Q373" si="1954">Q$361/(Q372^Q371)</f>
        <v>2.2572396464854725</v>
      </c>
      <c r="R373" s="182">
        <f t="shared" ref="R373" si="1955">R$361/(R372^R371)</f>
        <v>2.2197913268254323</v>
      </c>
      <c r="S373" s="182">
        <f t="shared" ref="S373" si="1956">S$361/(S372^S371)</f>
        <v>2.1689027536315488</v>
      </c>
      <c r="T373" s="182">
        <f t="shared" ref="T373" si="1957">T$361/(T372^T371)</f>
        <v>2.1315032531358602</v>
      </c>
      <c r="U373" s="182">
        <f t="shared" ref="U373" si="1958">U$361/(U372^U371)</f>
        <v>2.0700116584164836</v>
      </c>
      <c r="V373" s="182">
        <f t="shared" ref="V373" si="1959">V$361/(V372^V371)</f>
        <v>2.0322575175927389</v>
      </c>
      <c r="W373" s="182">
        <f t="shared" ref="W373" si="1960">W$361/(W372^W371)</f>
        <v>1.9676951926045834</v>
      </c>
      <c r="X373" s="182">
        <f t="shared" ref="X373" si="1961">X$361/(X372^X371)</f>
        <v>1.9298550431798733</v>
      </c>
    </row>
    <row r="374" spans="2:24">
      <c r="B374" s="135">
        <v>43281</v>
      </c>
    </row>
    <row r="375" spans="2:24">
      <c r="B375" t="s">
        <v>210</v>
      </c>
      <c r="L375" s="182">
        <f t="shared" ref="L375" si="1962">(L$360-$B374)/365</f>
        <v>0.36301369863013699</v>
      </c>
      <c r="M375" s="182">
        <f t="shared" ref="M375" si="1963">(M$360-$B374)/365</f>
        <v>0.86301369863013699</v>
      </c>
      <c r="N375" s="182">
        <f t="shared" ref="N375" si="1964">(N$360-$B374)/365</f>
        <v>1.3630136986301369</v>
      </c>
      <c r="O375" s="182">
        <f t="shared" ref="O375" si="1965">(O$360-$B374)/365</f>
        <v>1.8630136986301369</v>
      </c>
      <c r="P375" s="182">
        <f t="shared" ref="P375" si="1966">(P$360-$B374)/365</f>
        <v>2.3630136986301369</v>
      </c>
      <c r="Q375" s="182">
        <f t="shared" ref="Q375" si="1967">(Q$360-$B374)/365</f>
        <v>2.8630136986301369</v>
      </c>
      <c r="R375" s="182">
        <f t="shared" ref="R375" si="1968">(R$360-$B374)/365</f>
        <v>3.3630136986301369</v>
      </c>
      <c r="S375" s="182">
        <f t="shared" ref="S375" si="1969">(S$360-$B374)/365</f>
        <v>3.8630136986301369</v>
      </c>
      <c r="T375" s="182">
        <f t="shared" ref="T375" si="1970">(T$360-$B374)/365</f>
        <v>4.3630136986301373</v>
      </c>
      <c r="U375" s="182">
        <f t="shared" ref="U375" si="1971">(U$360-$B374)/365</f>
        <v>4.8630136986301373</v>
      </c>
      <c r="V375" s="182">
        <f t="shared" ref="V375" si="1972">(V$360-$B374)/365</f>
        <v>5.3630136986301373</v>
      </c>
      <c r="W375" s="182">
        <f t="shared" ref="W375" si="1973">(W$360-$B374)/365</f>
        <v>5.8630136986301373</v>
      </c>
      <c r="X375" s="182">
        <f t="shared" ref="X375" si="1974">(X$360-$B374)/365</f>
        <v>6.3630136986301373</v>
      </c>
    </row>
    <row r="376" spans="2:24">
      <c r="B376" t="s">
        <v>211</v>
      </c>
      <c r="L376" s="183">
        <f>1+((INDEX('Yield Curve'!$B$48:$P$91,MATCH(ROUND(L375,0),'Yield Curve'!$B$48:$B$91,0),MATCH(YEAR($B374),'Yield Curve'!$B$48:$P$48,0)))/100)</f>
        <v>1.03315</v>
      </c>
      <c r="M376" s="183">
        <f>1+((INDEX('Yield Curve'!$B$48:$P$91,MATCH(ROUND(M375,0),'Yield Curve'!$B$48:$B$91,0),MATCH(YEAR($B374),'Yield Curve'!$B$48:$P$48,0)))/100)</f>
        <v>1.03315</v>
      </c>
      <c r="N376" s="183">
        <f>1+((INDEX('Yield Curve'!$B$48:$P$91,MATCH(ROUND(N375,0),'Yield Curve'!$B$48:$B$91,0),MATCH(YEAR($B374),'Yield Curve'!$B$48:$P$48,0)))/100)</f>
        <v>1.03315</v>
      </c>
      <c r="O376" s="183">
        <f>1+((INDEX('Yield Curve'!$B$48:$P$91,MATCH(ROUND(O375,0),'Yield Curve'!$B$48:$B$91,0),MATCH(YEAR($B374),'Yield Curve'!$B$48:$P$48,0)))/100)</f>
        <v>1.03315</v>
      </c>
      <c r="P376" s="183">
        <f>1+((INDEX('Yield Curve'!$B$48:$P$91,MATCH(ROUND(P375,0),'Yield Curve'!$B$48:$B$91,0),MATCH(YEAR($B374),'Yield Curve'!$B$48:$P$48,0)))/100)</f>
        <v>1.03315</v>
      </c>
      <c r="Q376" s="183">
        <f>1+((INDEX('Yield Curve'!$B$48:$P$91,MATCH(ROUND(Q375,0),'Yield Curve'!$B$48:$B$91,0),MATCH(YEAR($B374),'Yield Curve'!$B$48:$P$48,0)))/100)</f>
        <v>1.03315</v>
      </c>
      <c r="R376" s="183">
        <f>1+((INDEX('Yield Curve'!$B$48:$P$91,MATCH(ROUND(R375,0),'Yield Curve'!$B$48:$B$91,0),MATCH(YEAR($B374),'Yield Curve'!$B$48:$P$48,0)))/100)</f>
        <v>1.03315</v>
      </c>
      <c r="S376" s="183">
        <f>1+((INDEX('Yield Curve'!$B$48:$P$91,MATCH(ROUND(S375,0),'Yield Curve'!$B$48:$B$91,0),MATCH(YEAR($B374),'Yield Curve'!$B$48:$P$48,0)))/100)</f>
        <v>1.0349999999999999</v>
      </c>
      <c r="T376" s="183">
        <f>1+((INDEX('Yield Curve'!$B$48:$P$91,MATCH(ROUND(T375,0),'Yield Curve'!$B$48:$B$91,0),MATCH(YEAR($B374),'Yield Curve'!$B$48:$P$48,0)))/100)</f>
        <v>1.0349999999999999</v>
      </c>
      <c r="U376" s="183">
        <f>1+((INDEX('Yield Curve'!$B$48:$P$91,MATCH(ROUND(U375,0),'Yield Curve'!$B$48:$B$91,0),MATCH(YEAR($B374),'Yield Curve'!$B$48:$P$48,0)))/100)</f>
        <v>1.03685</v>
      </c>
      <c r="V376" s="183">
        <f>1+((INDEX('Yield Curve'!$B$48:$P$91,MATCH(ROUND(V375,0),'Yield Curve'!$B$48:$B$91,0),MATCH(YEAR($B374),'Yield Curve'!$B$48:$P$48,0)))/100)</f>
        <v>1.03685</v>
      </c>
      <c r="W376" s="183">
        <f>1+((INDEX('Yield Curve'!$B$48:$P$91,MATCH(ROUND(W375,0),'Yield Curve'!$B$48:$B$91,0),MATCH(YEAR($B374),'Yield Curve'!$B$48:$P$48,0)))/100)</f>
        <v>1.0386</v>
      </c>
      <c r="X376" s="183">
        <f>1+((INDEX('Yield Curve'!$B$48:$P$91,MATCH(ROUND(X375,0),'Yield Curve'!$B$48:$B$91,0),MATCH(YEAR($B374),'Yield Curve'!$B$48:$P$48,0)))/100)</f>
        <v>1.0386</v>
      </c>
    </row>
    <row r="377" spans="2:24">
      <c r="B377" t="s">
        <v>212</v>
      </c>
      <c r="C377" s="182">
        <f>SUM(D377:AM377)</f>
        <v>29.735139741807188</v>
      </c>
      <c r="L377" s="182">
        <f t="shared" ref="L377" si="1975">L$361/(L376^L375)</f>
        <v>2.538456767608066</v>
      </c>
      <c r="M377" s="182">
        <f t="shared" ref="M377" si="1976">M$361/(M376^M375)</f>
        <v>2.4973998501894843</v>
      </c>
      <c r="N377" s="182">
        <f t="shared" ref="N377" si="1977">N$361/(N376^N375)</f>
        <v>2.457006986021455</v>
      </c>
      <c r="O377" s="182">
        <f t="shared" ref="O377" si="1978">O$361/(O376^O375)</f>
        <v>2.4172674347282426</v>
      </c>
      <c r="P377" s="182">
        <f t="shared" ref="P377" si="1979">P$361/(P376^P375)</f>
        <v>2.3781706296486034</v>
      </c>
      <c r="Q377" s="182">
        <f t="shared" ref="Q377" si="1980">Q$361/(Q376^Q375)</f>
        <v>2.339706175026127</v>
      </c>
      <c r="R377" s="182">
        <f t="shared" ref="R377" si="1981">R$361/(R376^R375)</f>
        <v>2.3018638432450302</v>
      </c>
      <c r="S377" s="182">
        <f t="shared" ref="S377" si="1982">S$361/(S376^S375)</f>
        <v>2.2490364620450363</v>
      </c>
      <c r="T377" s="182">
        <f t="shared" ref="T377" si="1983">T$361/(T376^T375)</f>
        <v>2.2106822361840615</v>
      </c>
      <c r="U377" s="182">
        <f t="shared" ref="U377" si="1984">U$361/(U376^U375)</f>
        <v>2.1541923519603001</v>
      </c>
      <c r="V377" s="182">
        <f t="shared" ref="V377" si="1985">V$361/(V376^V375)</f>
        <v>2.1155656832267189</v>
      </c>
      <c r="W377" s="182">
        <f t="shared" ref="W377" si="1986">W$361/(W376^W375)</f>
        <v>2.0571907223462698</v>
      </c>
      <c r="X377" s="182">
        <f t="shared" ref="X377" si="1987">X$361/(X376^X375)</f>
        <v>2.0186005995777863</v>
      </c>
    </row>
    <row r="378" spans="2:24">
      <c r="B378" s="135">
        <v>43646</v>
      </c>
    </row>
    <row r="379" spans="2:24">
      <c r="B379" t="s">
        <v>210</v>
      </c>
      <c r="N379" s="182">
        <f t="shared" ref="N379" si="1988">(N$360-$B378)/365</f>
        <v>0.36301369863013699</v>
      </c>
      <c r="O379" s="182">
        <f t="shared" ref="O379" si="1989">(O$360-$B378)/365</f>
        <v>0.86301369863013699</v>
      </c>
      <c r="P379" s="182">
        <f t="shared" ref="P379" si="1990">(P$360-$B378)/365</f>
        <v>1.3630136986301369</v>
      </c>
      <c r="Q379" s="182">
        <f t="shared" ref="Q379" si="1991">(Q$360-$B378)/365</f>
        <v>1.8630136986301369</v>
      </c>
      <c r="R379" s="182">
        <f t="shared" ref="R379" si="1992">(R$360-$B378)/365</f>
        <v>2.3630136986301369</v>
      </c>
      <c r="S379" s="182">
        <f t="shared" ref="S379" si="1993">(S$360-$B378)/365</f>
        <v>2.8630136986301369</v>
      </c>
      <c r="T379" s="182">
        <f t="shared" ref="T379" si="1994">(T$360-$B378)/365</f>
        <v>3.3630136986301369</v>
      </c>
      <c r="U379" s="182">
        <f t="shared" ref="U379" si="1995">(U$360-$B378)/365</f>
        <v>3.8630136986301369</v>
      </c>
      <c r="V379" s="182">
        <f t="shared" ref="V379" si="1996">(V$360-$B378)/365</f>
        <v>4.3630136986301373</v>
      </c>
      <c r="W379" s="182">
        <f t="shared" ref="W379" si="1997">(W$360-$B378)/365</f>
        <v>4.8630136986301373</v>
      </c>
      <c r="X379" s="182">
        <f t="shared" ref="X379" si="1998">(X$360-$B378)/365</f>
        <v>5.3630136986301373</v>
      </c>
    </row>
    <row r="380" spans="2:24">
      <c r="B380" t="s">
        <v>211</v>
      </c>
      <c r="N380" s="183">
        <f>1+((INDEX('Yield Curve'!$B$48:$P$91,MATCH(ROUND(N379,0),'Yield Curve'!$B$48:$B$91,0),MATCH(YEAR($B378),'Yield Curve'!$B$48:$P$48,0)))/100)</f>
        <v>1.02305</v>
      </c>
      <c r="O380" s="183">
        <f>1+((INDEX('Yield Curve'!$B$48:$P$91,MATCH(ROUND(O379,0),'Yield Curve'!$B$48:$B$91,0),MATCH(YEAR($B378),'Yield Curve'!$B$48:$P$48,0)))/100)</f>
        <v>1.02305</v>
      </c>
      <c r="P380" s="183">
        <f>1+((INDEX('Yield Curve'!$B$48:$P$91,MATCH(ROUND(P379,0),'Yield Curve'!$B$48:$B$91,0),MATCH(YEAR($B378),'Yield Curve'!$B$48:$P$48,0)))/100)</f>
        <v>1.02305</v>
      </c>
      <c r="Q380" s="183">
        <f>1+((INDEX('Yield Curve'!$B$48:$P$91,MATCH(ROUND(Q379,0),'Yield Curve'!$B$48:$B$91,0),MATCH(YEAR($B378),'Yield Curve'!$B$48:$P$48,0)))/100)</f>
        <v>1.02305</v>
      </c>
      <c r="R380" s="183">
        <f>1+((INDEX('Yield Curve'!$B$48:$P$91,MATCH(ROUND(R379,0),'Yield Curve'!$B$48:$B$91,0),MATCH(YEAR($B378),'Yield Curve'!$B$48:$P$48,0)))/100)</f>
        <v>1.02305</v>
      </c>
      <c r="S380" s="183">
        <f>1+((INDEX('Yield Curve'!$B$48:$P$91,MATCH(ROUND(S379,0),'Yield Curve'!$B$48:$B$91,0),MATCH(YEAR($B378),'Yield Curve'!$B$48:$P$48,0)))/100)</f>
        <v>1.02305</v>
      </c>
      <c r="T380" s="183">
        <f>1+((INDEX('Yield Curve'!$B$48:$P$91,MATCH(ROUND(T379,0),'Yield Curve'!$B$48:$B$91,0),MATCH(YEAR($B378),'Yield Curve'!$B$48:$P$48,0)))/100)</f>
        <v>1.02305</v>
      </c>
      <c r="U380" s="183">
        <f>1+((INDEX('Yield Curve'!$B$48:$P$91,MATCH(ROUND(U379,0),'Yield Curve'!$B$48:$B$91,0),MATCH(YEAR($B378),'Yield Curve'!$B$48:$P$48,0)))/100)</f>
        <v>1.024575</v>
      </c>
      <c r="V380" s="183">
        <f>1+((INDEX('Yield Curve'!$B$48:$P$91,MATCH(ROUND(V379,0),'Yield Curve'!$B$48:$B$91,0),MATCH(YEAR($B378),'Yield Curve'!$B$48:$P$48,0)))/100)</f>
        <v>1.024575</v>
      </c>
      <c r="W380" s="183">
        <f>1+((INDEX('Yield Curve'!$B$48:$P$91,MATCH(ROUND(W379,0),'Yield Curve'!$B$48:$B$91,0),MATCH(YEAR($B378),'Yield Curve'!$B$48:$P$48,0)))/100)</f>
        <v>1.0261</v>
      </c>
      <c r="X380" s="183">
        <f>1+((INDEX('Yield Curve'!$B$48:$P$91,MATCH(ROUND(X379,0),'Yield Curve'!$B$48:$B$91,0),MATCH(YEAR($B378),'Yield Curve'!$B$48:$P$48,0)))/100)</f>
        <v>1.0261</v>
      </c>
    </row>
    <row r="381" spans="2:24">
      <c r="B381" t="s">
        <v>212</v>
      </c>
      <c r="C381" s="182">
        <f>SUM(D381:AM381)</f>
        <v>26.390502810082069</v>
      </c>
      <c r="N381" s="182">
        <f t="shared" ref="N381" si="1999">N$361/(N380^N379)</f>
        <v>2.5475257158946216</v>
      </c>
      <c r="O381" s="182">
        <f t="shared" ref="O381" si="2000">O$361/(O380^O379)</f>
        <v>2.5186634902235157</v>
      </c>
      <c r="P381" s="182">
        <f t="shared" ref="P381" si="2001">P$361/(P380^P379)</f>
        <v>2.4901282595128507</v>
      </c>
      <c r="Q381" s="182">
        <f t="shared" ref="Q381" si="2002">Q$361/(Q380^Q379)</f>
        <v>2.4619163190689761</v>
      </c>
      <c r="R381" s="182">
        <f t="shared" ref="R381" si="2003">R$361/(R380^R379)</f>
        <v>2.4340240061706173</v>
      </c>
      <c r="S381" s="182">
        <f t="shared" ref="S381" si="2004">S$361/(S380^S379)</f>
        <v>2.406447699593349</v>
      </c>
      <c r="T381" s="182">
        <f t="shared" ref="T381" si="2005">T$361/(T380^T379)</f>
        <v>2.3791838191394534</v>
      </c>
      <c r="U381" s="182">
        <f t="shared" ref="U381" si="2006">U$361/(U380^U379)</f>
        <v>2.3387327829225617</v>
      </c>
      <c r="V381" s="182">
        <f t="shared" ref="V381" si="2007">V$361/(V380^V379)</f>
        <v>2.3105146471451206</v>
      </c>
      <c r="W381" s="182">
        <f t="shared" ref="W381" si="2008">W$361/(W380^W379)</f>
        <v>2.2661866049937704</v>
      </c>
      <c r="X381" s="182">
        <f t="shared" ref="X381" si="2009">X$361/(X380^X379)</f>
        <v>2.2371794654172343</v>
      </c>
    </row>
    <row r="382" spans="2:24">
      <c r="B382" s="135">
        <v>44012</v>
      </c>
    </row>
    <row r="383" spans="2:24">
      <c r="B383" t="s">
        <v>210</v>
      </c>
      <c r="P383" s="182">
        <f t="shared" ref="P383" si="2010">(P$360-$B382)/365</f>
        <v>0.36027397260273974</v>
      </c>
      <c r="Q383" s="182">
        <f t="shared" ref="Q383" si="2011">(Q$360-$B382)/365</f>
        <v>0.86027397260273974</v>
      </c>
      <c r="R383" s="182">
        <f t="shared" ref="R383" si="2012">(R$360-$B382)/365</f>
        <v>1.3602739726027397</v>
      </c>
      <c r="S383" s="182">
        <f t="shared" ref="S383" si="2013">(S$360-$B382)/365</f>
        <v>1.8602739726027397</v>
      </c>
      <c r="T383" s="182">
        <f t="shared" ref="T383" si="2014">(T$360-$B382)/365</f>
        <v>2.3602739726027395</v>
      </c>
      <c r="U383" s="182">
        <f t="shared" ref="U383" si="2015">(U$360-$B382)/365</f>
        <v>2.8602739726027395</v>
      </c>
      <c r="V383" s="182">
        <f t="shared" ref="V383" si="2016">(V$360-$B382)/365</f>
        <v>3.3602739726027395</v>
      </c>
      <c r="W383" s="182">
        <f t="shared" ref="W383" si="2017">(W$360-$B382)/365</f>
        <v>3.8602739726027395</v>
      </c>
      <c r="X383" s="182">
        <f t="shared" ref="X383" si="2018">(X$360-$B382)/365</f>
        <v>4.36027397260274</v>
      </c>
    </row>
    <row r="384" spans="2:24">
      <c r="B384" t="s">
        <v>211</v>
      </c>
      <c r="P384" s="183">
        <f>1+((INDEX('Yield Curve'!$B$48:$P$91,MATCH(ROUND(P383,0),'Yield Curve'!$B$48:$B$91,0),MATCH(YEAR($B382),'Yield Curve'!$B$48:$P$48,0)))/100)</f>
        <v>1.02105</v>
      </c>
      <c r="Q384" s="183">
        <f>1+((INDEX('Yield Curve'!$B$48:$P$91,MATCH(ROUND(Q383,0),'Yield Curve'!$B$48:$B$91,0),MATCH(YEAR($B382),'Yield Curve'!$B$48:$P$48,0)))/100)</f>
        <v>1.02105</v>
      </c>
      <c r="R384" s="183">
        <f>1+((INDEX('Yield Curve'!$B$48:$P$91,MATCH(ROUND(R383,0),'Yield Curve'!$B$48:$B$91,0),MATCH(YEAR($B382),'Yield Curve'!$B$48:$P$48,0)))/100)</f>
        <v>1.02105</v>
      </c>
      <c r="S384" s="183">
        <f>1+((INDEX('Yield Curve'!$B$48:$P$91,MATCH(ROUND(S383,0),'Yield Curve'!$B$48:$B$91,0),MATCH(YEAR($B382),'Yield Curve'!$B$48:$P$48,0)))/100)</f>
        <v>1.02105</v>
      </c>
      <c r="T384" s="183">
        <f>1+((INDEX('Yield Curve'!$B$48:$P$91,MATCH(ROUND(T383,0),'Yield Curve'!$B$48:$B$91,0),MATCH(YEAR($B382),'Yield Curve'!$B$48:$P$48,0)))/100)</f>
        <v>1.02105</v>
      </c>
      <c r="U384" s="183">
        <f>1+((INDEX('Yield Curve'!$B$48:$P$91,MATCH(ROUND(U383,0),'Yield Curve'!$B$48:$B$91,0),MATCH(YEAR($B382),'Yield Curve'!$B$48:$P$48,0)))/100)</f>
        <v>1.02105</v>
      </c>
      <c r="V384" s="183">
        <f>1+((INDEX('Yield Curve'!$B$48:$P$91,MATCH(ROUND(V383,0),'Yield Curve'!$B$48:$B$91,0),MATCH(YEAR($B382),'Yield Curve'!$B$48:$P$48,0)))/100)</f>
        <v>1.02105</v>
      </c>
      <c r="W384" s="183">
        <f>1+((INDEX('Yield Curve'!$B$48:$P$91,MATCH(ROUND(W383,0),'Yield Curve'!$B$48:$B$91,0),MATCH(YEAR($B382),'Yield Curve'!$B$48:$P$48,0)))/100)</f>
        <v>1.0229999999999999</v>
      </c>
      <c r="X384" s="183">
        <f>1+((INDEX('Yield Curve'!$B$48:$P$91,MATCH(ROUND(X383,0),'Yield Curve'!$B$48:$B$91,0),MATCH(YEAR($B382),'Yield Curve'!$B$48:$P$48,0)))/100)</f>
        <v>1.0229999999999999</v>
      </c>
    </row>
    <row r="385" spans="2:35">
      <c r="B385" t="s">
        <v>212</v>
      </c>
      <c r="C385" s="182">
        <f>SUM(D385:AM385)</f>
        <v>21.980135927809293</v>
      </c>
      <c r="P385" s="182">
        <f t="shared" ref="P385" si="2019">P$361/(P384^P383)</f>
        <v>2.5494815310845844</v>
      </c>
      <c r="Q385" s="182">
        <f t="shared" ref="Q385" si="2020">Q$361/(Q384^Q383)</f>
        <v>2.5230645717271178</v>
      </c>
      <c r="R385" s="182">
        <f t="shared" ref="R385" si="2021">R$361/(R384^R383)</f>
        <v>2.4969213369419561</v>
      </c>
      <c r="S385" s="182">
        <f t="shared" ref="S385" si="2022">S$361/(S384^S383)</f>
        <v>2.471048990477565</v>
      </c>
      <c r="T385" s="182">
        <f t="shared" ref="T385" si="2023">T$361/(T384^T383)</f>
        <v>2.4454447254707956</v>
      </c>
      <c r="U385" s="182">
        <f t="shared" ref="U385" si="2024">U$361/(U384^U383)</f>
        <v>2.4201057641423684</v>
      </c>
      <c r="V385" s="182">
        <f t="shared" ref="V385" si="2025">V$361/(V384^V383)</f>
        <v>2.395029357495515</v>
      </c>
      <c r="W385" s="182">
        <f t="shared" ref="W385" si="2026">W$361/(W384^W383)</f>
        <v>2.3528195521077091</v>
      </c>
      <c r="X385" s="182">
        <f t="shared" ref="X385" si="2027">X$361/(X384^X383)</f>
        <v>2.3262200983616794</v>
      </c>
    </row>
    <row r="386" spans="2:35">
      <c r="B386" s="135">
        <v>44377</v>
      </c>
    </row>
    <row r="387" spans="2:35">
      <c r="B387" t="s">
        <v>210</v>
      </c>
      <c r="R387" s="182">
        <f t="shared" ref="R387" si="2028">(R$360-$B386)/365</f>
        <v>0.36027397260273974</v>
      </c>
      <c r="S387" s="182">
        <f t="shared" ref="S387" si="2029">(S$360-$B386)/365</f>
        <v>0.86027397260273974</v>
      </c>
      <c r="T387" s="182">
        <f t="shared" ref="T387" si="2030">(T$360-$B386)/365</f>
        <v>1.3602739726027397</v>
      </c>
      <c r="U387" s="182">
        <f t="shared" ref="U387" si="2031">(U$360-$B386)/365</f>
        <v>1.8602739726027397</v>
      </c>
      <c r="V387" s="182">
        <f t="shared" ref="V387" si="2032">(V$360-$B386)/365</f>
        <v>2.3602739726027395</v>
      </c>
      <c r="W387" s="182">
        <f t="shared" ref="W387" si="2033">(W$360-$B386)/365</f>
        <v>2.8602739726027395</v>
      </c>
      <c r="X387" s="182">
        <f t="shared" ref="X387" si="2034">(X$360-$B386)/365</f>
        <v>3.3602739726027395</v>
      </c>
    </row>
    <row r="388" spans="2:35">
      <c r="B388" t="s">
        <v>211</v>
      </c>
      <c r="R388" s="183">
        <f>1+((INDEX('Yield Curve'!$B$48:$P$91,MATCH(ROUND(R387,0),'Yield Curve'!$B$48:$B$91,0),MATCH(YEAR($B386),'Yield Curve'!$B$48:$P$48,0)))/100)</f>
        <v>1.0129999999999999</v>
      </c>
      <c r="S388" s="183">
        <f>1+((INDEX('Yield Curve'!$B$48:$P$91,MATCH(ROUND(S387,0),'Yield Curve'!$B$48:$B$91,0),MATCH(YEAR($B386),'Yield Curve'!$B$48:$P$48,0)))/100)</f>
        <v>1.0129999999999999</v>
      </c>
      <c r="T388" s="183">
        <f>1+((INDEX('Yield Curve'!$B$48:$P$91,MATCH(ROUND(T387,0),'Yield Curve'!$B$48:$B$91,0),MATCH(YEAR($B386),'Yield Curve'!$B$48:$P$48,0)))/100)</f>
        <v>1.0129999999999999</v>
      </c>
      <c r="U388" s="183">
        <f>1+((INDEX('Yield Curve'!$B$48:$P$91,MATCH(ROUND(U387,0),'Yield Curve'!$B$48:$B$91,0),MATCH(YEAR($B386),'Yield Curve'!$B$48:$P$48,0)))/100)</f>
        <v>1.0129999999999999</v>
      </c>
      <c r="V388" s="183">
        <f>1+((INDEX('Yield Curve'!$B$48:$P$91,MATCH(ROUND(V387,0),'Yield Curve'!$B$48:$B$91,0),MATCH(YEAR($B386),'Yield Curve'!$B$48:$P$48,0)))/100)</f>
        <v>1.0129999999999999</v>
      </c>
      <c r="W388" s="183">
        <f>1+((INDEX('Yield Curve'!$B$48:$P$91,MATCH(ROUND(W387,0),'Yield Curve'!$B$48:$B$91,0),MATCH(YEAR($B386),'Yield Curve'!$B$48:$P$48,0)))/100)</f>
        <v>1.0129999999999999</v>
      </c>
      <c r="X388" s="183">
        <f>1+((INDEX('Yield Curve'!$B$48:$P$91,MATCH(ROUND(X387,0),'Yield Curve'!$B$48:$B$91,0),MATCH(YEAR($B386),'Yield Curve'!$B$48:$P$48,0)))/100)</f>
        <v>1.0129999999999999</v>
      </c>
    </row>
    <row r="389" spans="2:35">
      <c r="B389" t="s">
        <v>212</v>
      </c>
      <c r="C389" s="182">
        <f>SUM(D389:AM389)</f>
        <v>17.555388018968284</v>
      </c>
      <c r="R389" s="182">
        <f t="shared" ref="R389" si="2035">R$361/(R388^R387)</f>
        <v>2.5567621895248216</v>
      </c>
      <c r="S389" s="182">
        <f t="shared" ref="S389" si="2036">S$361/(S388^S387)</f>
        <v>2.5403035344561764</v>
      </c>
      <c r="T389" s="182">
        <f t="shared" ref="T389" si="2037">T$361/(T388^T387)</f>
        <v>2.5239508287510577</v>
      </c>
      <c r="U389" s="182">
        <f t="shared" ref="U389" si="2038">U$361/(U388^U387)</f>
        <v>2.5077033903812205</v>
      </c>
      <c r="V389" s="182">
        <f t="shared" ref="V389" si="2039">V$361/(V388^V387)</f>
        <v>2.4915605417088429</v>
      </c>
      <c r="W389" s="182">
        <f t="shared" ref="W389" si="2040">W$361/(W388^W387)</f>
        <v>2.4755216094582635</v>
      </c>
      <c r="X389" s="182">
        <f t="shared" ref="X389" si="2041">X$361/(X388^X387)</f>
        <v>2.459585924687901</v>
      </c>
    </row>
    <row r="390" spans="2:35">
      <c r="B390" s="135">
        <v>44552</v>
      </c>
    </row>
    <row r="391" spans="2:35">
      <c r="B391" t="s">
        <v>210</v>
      </c>
      <c r="S391" s="182">
        <f t="shared" ref="S391" si="2042">(S$360-$B390)/365</f>
        <v>0.38082191780821917</v>
      </c>
      <c r="T391" s="182">
        <f t="shared" ref="T391" si="2043">(T$360-$B390)/365</f>
        <v>0.88082191780821917</v>
      </c>
      <c r="U391" s="182">
        <f t="shared" ref="U391" si="2044">(U$360-$B390)/365</f>
        <v>1.3808219178082193</v>
      </c>
      <c r="V391" s="182">
        <f t="shared" ref="V391" si="2045">(V$360-$B390)/365</f>
        <v>1.8808219178082193</v>
      </c>
      <c r="W391" s="182">
        <f t="shared" ref="W391" si="2046">(W$360-$B390)/365</f>
        <v>2.3808219178082193</v>
      </c>
      <c r="X391" s="182">
        <f t="shared" ref="X391" si="2047">(X$360-$B390)/365</f>
        <v>2.8808219178082193</v>
      </c>
    </row>
    <row r="392" spans="2:35">
      <c r="B392" t="s">
        <v>211</v>
      </c>
      <c r="S392" s="183">
        <f>1+((INDEX('Yield Curve'!$B$48:$P$91,MATCH(ROUND(S391,0),'Yield Curve'!$B$48:$B$91,0),MATCH(YEAR($B390)+1,'Yield Curve'!$B$48:$P$48,0)))/100)</f>
        <v>1.0212000000000001</v>
      </c>
      <c r="T392" s="183">
        <f>1+((INDEX('Yield Curve'!$B$48:$P$91,MATCH(ROUND(T391,0),'Yield Curve'!$B$48:$B$91,0),MATCH(YEAR($B390)+1,'Yield Curve'!$B$48:$P$48,0)))/100)</f>
        <v>1.0212000000000001</v>
      </c>
      <c r="U392" s="183">
        <f>1+((INDEX('Yield Curve'!$B$48:$P$91,MATCH(ROUND(U391,0),'Yield Curve'!$B$48:$B$91,0),MATCH(YEAR($B390)+1,'Yield Curve'!$B$48:$P$48,0)))/100)</f>
        <v>1.0212000000000001</v>
      </c>
      <c r="V392" s="183">
        <f>1+((INDEX('Yield Curve'!$B$48:$P$91,MATCH(ROUND(V391,0),'Yield Curve'!$B$48:$B$91,0),MATCH(YEAR($B390)+1,'Yield Curve'!$B$48:$P$48,0)))/100)</f>
        <v>1.0212000000000001</v>
      </c>
      <c r="W392" s="183">
        <f>1+((INDEX('Yield Curve'!$B$48:$P$91,MATCH(ROUND(W391,0),'Yield Curve'!$B$48:$B$91,0),MATCH(YEAR($B390)+1,'Yield Curve'!$B$48:$P$48,0)))/100)</f>
        <v>1.0212000000000001</v>
      </c>
      <c r="X392" s="183">
        <f>1+((INDEX('Yield Curve'!$B$48:$P$91,MATCH(ROUND(X391,0),'Yield Curve'!$B$48:$B$91,0),MATCH(YEAR($B390)+1,'Yield Curve'!$B$48:$P$48,0)))/100)</f>
        <v>1.0212000000000001</v>
      </c>
    </row>
    <row r="393" spans="2:35">
      <c r="B393" t="s">
        <v>212</v>
      </c>
      <c r="C393" s="182">
        <f>SUM(D393:AM393)</f>
        <v>14.89615219545658</v>
      </c>
      <c r="S393" s="182">
        <f t="shared" ref="S393" si="2048">S$361/(S392^S391)</f>
        <v>2.5482479156536719</v>
      </c>
      <c r="T393" s="182">
        <f t="shared" ref="T393" si="2049">T$361/(T392^T391)</f>
        <v>2.5216585200553636</v>
      </c>
      <c r="U393" s="182">
        <f t="shared" ref="U393" si="2050">U$361/(U392^U391)</f>
        <v>2.4953465684035172</v>
      </c>
      <c r="V393" s="182">
        <f t="shared" ref="V393" si="2051">V$361/(V392^V391)</f>
        <v>2.4693091657416404</v>
      </c>
      <c r="W393" s="182">
        <f t="shared" ref="W393" si="2052">W$361/(W392^W391)</f>
        <v>2.4435434473203261</v>
      </c>
      <c r="X393" s="182">
        <f t="shared" ref="X393" si="2053">X$361/(X392^X391)</f>
        <v>2.4180465782820608</v>
      </c>
    </row>
    <row r="395" spans="2:35">
      <c r="B395" s="5" t="str">
        <f>'VPN Bonds'!A87</f>
        <v>27199260112</v>
      </c>
    </row>
    <row r="396" spans="2:35">
      <c r="B396" t="s">
        <v>66</v>
      </c>
      <c r="D396" s="180">
        <f>VLOOKUP(B395,'VPN Bonds'!$A$85:$K$104,4,FALSE)</f>
        <v>41968</v>
      </c>
      <c r="E396" s="180">
        <f>VLOOKUP(B395,'VPN Bonds'!$A$85:$K$104,10,FALSE)</f>
        <v>42136</v>
      </c>
      <c r="F396" s="180">
        <f>IF(E396+VLOOKUP($B395,'VPN Bonds'!$A$85:$K$104,9,FALSE)*365 &lt; VLOOKUP($B395,'VPN Bonds'!$A$85:$K$104,5,FALSE), E396+VLOOKUP($B395,'VPN Bonds'!$A$85:$K$104,9,FALSE)*365, VLOOKUP($B395,'VPN Bonds'!$A$85:$K$104,5,FALSE))</f>
        <v>42318.5</v>
      </c>
      <c r="G396" s="180">
        <f>IF(F396+VLOOKUP($B395,'VPN Bonds'!$A$85:$K$104,9,FALSE)*365 &lt; VLOOKUP($B395,'VPN Bonds'!$A$85:$K$104,5,FALSE), F396+VLOOKUP($B395,'VPN Bonds'!$A$85:$K$104,9,FALSE)*365, VLOOKUP($B395,'VPN Bonds'!$A$85:$K$104,5,FALSE))</f>
        <v>42501</v>
      </c>
      <c r="H396" s="180">
        <f>IF(G396+VLOOKUP($B395,'VPN Bonds'!$A$85:$K$104,9,FALSE)*365 &lt; VLOOKUP($B395,'VPN Bonds'!$A$85:$K$104,5,FALSE), G396+VLOOKUP($B395,'VPN Bonds'!$A$85:$K$104,9,FALSE)*365, VLOOKUP($B395,'VPN Bonds'!$A$85:$K$104,5,FALSE))</f>
        <v>42683.5</v>
      </c>
      <c r="I396" s="180">
        <f>IF(H396+VLOOKUP($B395,'VPN Bonds'!$A$85:$K$104,9,FALSE)*365 &lt; VLOOKUP($B395,'VPN Bonds'!$A$85:$K$104,5,FALSE), H396+VLOOKUP($B395,'VPN Bonds'!$A$85:$K$104,9,FALSE)*365, VLOOKUP($B395,'VPN Bonds'!$A$85:$K$104,5,FALSE))</f>
        <v>42866</v>
      </c>
      <c r="J396" s="180">
        <f>IF(I396+VLOOKUP($B395,'VPN Bonds'!$A$85:$K$104,9,FALSE)*365 &lt; VLOOKUP($B395,'VPN Bonds'!$A$85:$K$104,5,FALSE), I396+VLOOKUP($B395,'VPN Bonds'!$A$85:$K$104,9,FALSE)*365, VLOOKUP($B395,'VPN Bonds'!$A$85:$K$104,5,FALSE))</f>
        <v>43048.5</v>
      </c>
      <c r="K396" s="180">
        <f>IF(J396+VLOOKUP($B395,'VPN Bonds'!$A$85:$K$104,9,FALSE)*365 &lt; VLOOKUP($B395,'VPN Bonds'!$A$85:$K$104,5,FALSE), J396+VLOOKUP($B395,'VPN Bonds'!$A$85:$K$104,9,FALSE)*365, VLOOKUP($B395,'VPN Bonds'!$A$85:$K$104,5,FALSE))</f>
        <v>43231</v>
      </c>
      <c r="L396" s="180">
        <f>IF(K396+VLOOKUP($B395,'VPN Bonds'!$A$85:$K$104,9,FALSE)*365 &lt; VLOOKUP($B395,'VPN Bonds'!$A$85:$K$104,5,FALSE), K396+VLOOKUP($B395,'VPN Bonds'!$A$85:$K$104,9,FALSE)*365, VLOOKUP($B395,'VPN Bonds'!$A$85:$K$104,5,FALSE))</f>
        <v>43413.5</v>
      </c>
      <c r="M396" s="180">
        <f>IF(L396+VLOOKUP($B395,'VPN Bonds'!$A$85:$K$104,9,FALSE)*365 &lt; VLOOKUP($B395,'VPN Bonds'!$A$85:$K$104,5,FALSE), L396+VLOOKUP($B395,'VPN Bonds'!$A$85:$K$104,9,FALSE)*365, VLOOKUP($B395,'VPN Bonds'!$A$85:$K$104,5,FALSE))</f>
        <v>43596</v>
      </c>
      <c r="N396" s="180">
        <f>IF(M396+VLOOKUP($B395,'VPN Bonds'!$A$85:$K$104,9,FALSE)*365 &lt; VLOOKUP($B395,'VPN Bonds'!$A$85:$K$104,5,FALSE), M396+VLOOKUP($B395,'VPN Bonds'!$A$85:$K$104,9,FALSE)*365, VLOOKUP($B395,'VPN Bonds'!$A$85:$K$104,5,FALSE))</f>
        <v>43778.5</v>
      </c>
      <c r="O396" s="180">
        <f>IF(N396+VLOOKUP($B395,'VPN Bonds'!$A$85:$K$104,9,FALSE)*365 &lt; VLOOKUP($B395,'VPN Bonds'!$A$85:$K$104,5,FALSE), N396+VLOOKUP($B395,'VPN Bonds'!$A$85:$K$104,9,FALSE)*365, VLOOKUP($B395,'VPN Bonds'!$A$85:$K$104,5,FALSE))</f>
        <v>43961</v>
      </c>
      <c r="P396" s="180">
        <f>IF(O396+VLOOKUP($B395,'VPN Bonds'!$A$85:$K$104,9,FALSE)*365 &lt; VLOOKUP($B395,'VPN Bonds'!$A$85:$K$104,5,FALSE), O396+VLOOKUP($B395,'VPN Bonds'!$A$85:$K$104,9,FALSE)*365, VLOOKUP($B395,'VPN Bonds'!$A$85:$K$104,5,FALSE))</f>
        <v>44143.5</v>
      </c>
      <c r="Q396" s="180">
        <f>IF(P396+VLOOKUP($B395,'VPN Bonds'!$A$85:$K$104,9,FALSE)*365 &lt; VLOOKUP($B395,'VPN Bonds'!$A$85:$K$104,5,FALSE), P396+VLOOKUP($B395,'VPN Bonds'!$A$85:$K$104,9,FALSE)*365, VLOOKUP($B395,'VPN Bonds'!$A$85:$K$104,5,FALSE))</f>
        <v>44326</v>
      </c>
      <c r="R396" s="180">
        <f>IF(Q396+VLOOKUP($B395,'VPN Bonds'!$A$85:$K$104,9,FALSE)*365 &lt; VLOOKUP($B395,'VPN Bonds'!$A$85:$K$104,5,FALSE), Q396+VLOOKUP($B395,'VPN Bonds'!$A$85:$K$104,9,FALSE)*365, VLOOKUP($B395,'VPN Bonds'!$A$85:$K$104,5,FALSE))</f>
        <v>44508.5</v>
      </c>
      <c r="S396" s="180">
        <f>IF(R396+VLOOKUP($B395,'VPN Bonds'!$A$85:$K$104,9,FALSE)*365 &lt; VLOOKUP($B395,'VPN Bonds'!$A$85:$K$104,5,FALSE), R396+VLOOKUP($B395,'VPN Bonds'!$A$85:$K$104,9,FALSE)*365, VLOOKUP($B395,'VPN Bonds'!$A$85:$K$104,5,FALSE))</f>
        <v>44691</v>
      </c>
      <c r="T396" s="180">
        <f>IF(S396+VLOOKUP($B395,'VPN Bonds'!$A$85:$K$104,9,FALSE)*365 &lt; VLOOKUP($B395,'VPN Bonds'!$A$85:$K$104,5,FALSE), S396+VLOOKUP($B395,'VPN Bonds'!$A$85:$K$104,9,FALSE)*365, VLOOKUP($B395,'VPN Bonds'!$A$85:$K$104,5,FALSE))</f>
        <v>44873.5</v>
      </c>
      <c r="U396" s="180">
        <f>IF(T396+VLOOKUP($B395,'VPN Bonds'!$A$85:$K$104,9,FALSE)*365 &lt; VLOOKUP($B395,'VPN Bonds'!$A$85:$K$104,5,FALSE), T396+VLOOKUP($B395,'VPN Bonds'!$A$85:$K$104,9,FALSE)*365, VLOOKUP($B395,'VPN Bonds'!$A$85:$K$104,5,FALSE))</f>
        <v>45056</v>
      </c>
      <c r="V396" s="180">
        <f>IF(U396+VLOOKUP($B395,'VPN Bonds'!$A$85:$K$104,9,FALSE)*365 &lt; VLOOKUP($B395,'VPN Bonds'!$A$85:$K$104,5,FALSE), U396+VLOOKUP($B395,'VPN Bonds'!$A$85:$K$104,9,FALSE)*365, VLOOKUP($B395,'VPN Bonds'!$A$85:$K$104,5,FALSE))</f>
        <v>45238.5</v>
      </c>
      <c r="W396" s="180">
        <f>IF(V396+VLOOKUP($B395,'VPN Bonds'!$A$85:$K$104,9,FALSE)*365 &lt; VLOOKUP($B395,'VPN Bonds'!$A$85:$K$104,5,FALSE), V396+VLOOKUP($B395,'VPN Bonds'!$A$85:$K$104,9,FALSE)*365, VLOOKUP($B395,'VPN Bonds'!$A$85:$K$104,5,FALSE))</f>
        <v>45421</v>
      </c>
      <c r="X396" s="180">
        <f>IF(W396+VLOOKUP($B395,'VPN Bonds'!$A$85:$K$104,9,FALSE)*365 &lt; VLOOKUP($B395,'VPN Bonds'!$A$85:$K$104,5,FALSE), W396+VLOOKUP($B395,'VPN Bonds'!$A$85:$K$104,9,FALSE)*365, VLOOKUP($B395,'VPN Bonds'!$A$85:$K$104,5,FALSE))</f>
        <v>45603.5</v>
      </c>
      <c r="Y396" s="180">
        <f>IF(X396+VLOOKUP($B395,'VPN Bonds'!$A$85:$K$104,9,FALSE)*365 &lt; VLOOKUP($B395,'VPN Bonds'!$A$85:$K$104,5,FALSE), X396+VLOOKUP($B395,'VPN Bonds'!$A$85:$K$104,9,FALSE)*365, VLOOKUP($B395,'VPN Bonds'!$A$85:$K$104,5,FALSE))</f>
        <v>45786</v>
      </c>
      <c r="Z396" s="180">
        <f>IF(Y396+VLOOKUP($B395,'VPN Bonds'!$A$85:$K$104,9,FALSE)*365 &lt; VLOOKUP($B395,'VPN Bonds'!$A$85:$K$104,5,FALSE), Y396+VLOOKUP($B395,'VPN Bonds'!$A$85:$K$104,9,FALSE)*365, VLOOKUP($B395,'VPN Bonds'!$A$85:$K$104,5,FALSE))</f>
        <v>45968.5</v>
      </c>
      <c r="AA396" s="180">
        <f>IF(Z396+VLOOKUP($B395,'VPN Bonds'!$A$85:$K$104,9,FALSE)*365 &lt; VLOOKUP($B395,'VPN Bonds'!$A$85:$K$104,5,FALSE), Z396+VLOOKUP($B395,'VPN Bonds'!$A$85:$K$104,9,FALSE)*365, VLOOKUP($B395,'VPN Bonds'!$A$85:$K$104,5,FALSE))</f>
        <v>46151</v>
      </c>
      <c r="AB396" s="180">
        <f>IF(AA396+VLOOKUP($B395,'VPN Bonds'!$A$85:$K$104,9,FALSE)*365 &lt; VLOOKUP($B395,'VPN Bonds'!$A$85:$K$104,5,FALSE), AA396+VLOOKUP($B395,'VPN Bonds'!$A$85:$K$104,9,FALSE)*365, VLOOKUP($B395,'VPN Bonds'!$A$85:$K$104,5,FALSE))</f>
        <v>46333.5</v>
      </c>
      <c r="AC396" s="27"/>
      <c r="AD396" s="27"/>
      <c r="AE396" s="27"/>
      <c r="AF396" s="27"/>
      <c r="AG396" s="27"/>
      <c r="AH396" s="27"/>
      <c r="AI396" s="27"/>
    </row>
    <row r="397" spans="2:35">
      <c r="B397" t="s">
        <v>209</v>
      </c>
      <c r="E397" s="182">
        <f>IF(E396&lt;VLOOKUP($B395,'VPN Bonds'!$A$85:$K$104,5,FALSE),(VLOOKUP($B395,'VPN Bonds'!$A$85:$K$104,8,FALSE)/100)*(VLOOKUP($B395,'VPN Bonds'!$A$85:$K$104,9,FALSE))*(VLOOKUP($B395,'VPN Bonds'!$A$85:$K$104,6,FALSE)),(VLOOKUP($B395,'VPN Bonds'!$A$85:$K$104,6,FALSE)))</f>
        <v>3.6946875000000001</v>
      </c>
      <c r="F397" s="182">
        <f>IF(F396&lt;VLOOKUP($B395,'VPN Bonds'!$A$85:$K$104,5,FALSE),(VLOOKUP($B395,'VPN Bonds'!$A$85:$K$104,8,FALSE)/100)*(VLOOKUP($B395,'VPN Bonds'!$A$85:$K$104,9,FALSE))*(VLOOKUP($B395,'VPN Bonds'!$A$85:$K$104,6,FALSE)),(VLOOKUP($B395,'VPN Bonds'!$A$85:$K$104,6,FALSE)))</f>
        <v>3.6946875000000001</v>
      </c>
      <c r="G397" s="182">
        <f>IF(G396&lt;VLOOKUP($B395,'VPN Bonds'!$A$85:$K$104,5,FALSE),(VLOOKUP($B395,'VPN Bonds'!$A$85:$K$104,8,FALSE)/100)*(VLOOKUP($B395,'VPN Bonds'!$A$85:$K$104,9,FALSE))*(VLOOKUP($B395,'VPN Bonds'!$A$85:$K$104,6,FALSE)),(VLOOKUP($B395,'VPN Bonds'!$A$85:$K$104,6,FALSE)))</f>
        <v>3.6946875000000001</v>
      </c>
      <c r="H397" s="182">
        <f>IF(H396&lt;VLOOKUP($B395,'VPN Bonds'!$A$85:$K$104,5,FALSE),(VLOOKUP($B395,'VPN Bonds'!$A$85:$K$104,8,FALSE)/100)*(VLOOKUP($B395,'VPN Bonds'!$A$85:$K$104,9,FALSE))*(VLOOKUP($B395,'VPN Bonds'!$A$85:$K$104,6,FALSE)),(VLOOKUP($B395,'VPN Bonds'!$A$85:$K$104,6,FALSE)))</f>
        <v>3.6946875000000001</v>
      </c>
      <c r="I397" s="182">
        <f>IF(I396&lt;VLOOKUP($B395,'VPN Bonds'!$A$85:$K$104,5,FALSE),(VLOOKUP($B395,'VPN Bonds'!$A$85:$K$104,8,FALSE)/100)*(VLOOKUP($B395,'VPN Bonds'!$A$85:$K$104,9,FALSE))*(VLOOKUP($B395,'VPN Bonds'!$A$85:$K$104,6,FALSE)),(VLOOKUP($B395,'VPN Bonds'!$A$85:$K$104,6,FALSE)))</f>
        <v>3.6946875000000001</v>
      </c>
      <c r="J397" s="182">
        <f>IF(J396&lt;VLOOKUP($B395,'VPN Bonds'!$A$85:$K$104,5,FALSE),(VLOOKUP($B395,'VPN Bonds'!$A$85:$K$104,8,FALSE)/100)*(VLOOKUP($B395,'VPN Bonds'!$A$85:$K$104,9,FALSE))*(VLOOKUP($B395,'VPN Bonds'!$A$85:$K$104,6,FALSE)),(VLOOKUP($B395,'VPN Bonds'!$A$85:$K$104,6,FALSE)))</f>
        <v>3.6946875000000001</v>
      </c>
      <c r="K397" s="182">
        <f>IF(K396&lt;VLOOKUP($B395,'VPN Bonds'!$A$85:$K$104,5,FALSE),(VLOOKUP($B395,'VPN Bonds'!$A$85:$K$104,8,FALSE)/100)*(VLOOKUP($B395,'VPN Bonds'!$A$85:$K$104,9,FALSE))*(VLOOKUP($B395,'VPN Bonds'!$A$85:$K$104,6,FALSE)),(VLOOKUP($B395,'VPN Bonds'!$A$85:$K$104,6,FALSE)))</f>
        <v>3.6946875000000001</v>
      </c>
      <c r="L397" s="182">
        <f>IF(L396&lt;VLOOKUP($B395,'VPN Bonds'!$A$85:$K$104,5,FALSE),(VLOOKUP($B395,'VPN Bonds'!$A$85:$K$104,8,FALSE)/100)*(VLOOKUP($B395,'VPN Bonds'!$A$85:$K$104,9,FALSE))*(VLOOKUP($B395,'VPN Bonds'!$A$85:$K$104,6,FALSE)),(VLOOKUP($B395,'VPN Bonds'!$A$85:$K$104,6,FALSE)))</f>
        <v>3.6946875000000001</v>
      </c>
      <c r="M397" s="182">
        <f>IF(M396&lt;VLOOKUP($B395,'VPN Bonds'!$A$85:$K$104,5,FALSE),(VLOOKUP($B395,'VPN Bonds'!$A$85:$K$104,8,FALSE)/100)*(VLOOKUP($B395,'VPN Bonds'!$A$85:$K$104,9,FALSE))*(VLOOKUP($B395,'VPN Bonds'!$A$85:$K$104,6,FALSE)),(VLOOKUP($B395,'VPN Bonds'!$A$85:$K$104,6,FALSE)))</f>
        <v>3.6946875000000001</v>
      </c>
      <c r="N397" s="182">
        <f>IF(N396&lt;VLOOKUP($B395,'VPN Bonds'!$A$85:$K$104,5,FALSE),(VLOOKUP($B395,'VPN Bonds'!$A$85:$K$104,8,FALSE)/100)*(VLOOKUP($B395,'VPN Bonds'!$A$85:$K$104,9,FALSE))*(VLOOKUP($B395,'VPN Bonds'!$A$85:$K$104,6,FALSE)),(VLOOKUP($B395,'VPN Bonds'!$A$85:$K$104,6,FALSE)))</f>
        <v>3.6946875000000001</v>
      </c>
      <c r="O397" s="182">
        <f>IF(O396&lt;VLOOKUP($B395,'VPN Bonds'!$A$85:$K$104,5,FALSE),(VLOOKUP($B395,'VPN Bonds'!$A$85:$K$104,8,FALSE)/100)*(VLOOKUP($B395,'VPN Bonds'!$A$85:$K$104,9,FALSE))*(VLOOKUP($B395,'VPN Bonds'!$A$85:$K$104,6,FALSE)),(VLOOKUP($B395,'VPN Bonds'!$A$85:$K$104,6,FALSE)))</f>
        <v>3.6946875000000001</v>
      </c>
      <c r="P397" s="182">
        <f>IF(P396&lt;VLOOKUP($B395,'VPN Bonds'!$A$85:$K$104,5,FALSE),(VLOOKUP($B395,'VPN Bonds'!$A$85:$K$104,8,FALSE)/100)*(VLOOKUP($B395,'VPN Bonds'!$A$85:$K$104,9,FALSE))*(VLOOKUP($B395,'VPN Bonds'!$A$85:$K$104,6,FALSE)),(VLOOKUP($B395,'VPN Bonds'!$A$85:$K$104,6,FALSE)))</f>
        <v>3.6946875000000001</v>
      </c>
      <c r="Q397" s="182">
        <f>IF(Q396&lt;VLOOKUP($B395,'VPN Bonds'!$A$85:$K$104,5,FALSE),(VLOOKUP($B395,'VPN Bonds'!$A$85:$K$104,8,FALSE)/100)*(VLOOKUP($B395,'VPN Bonds'!$A$85:$K$104,9,FALSE))*(VLOOKUP($B395,'VPN Bonds'!$A$85:$K$104,6,FALSE)),(VLOOKUP($B395,'VPN Bonds'!$A$85:$K$104,6,FALSE)))</f>
        <v>3.6946875000000001</v>
      </c>
      <c r="R397" s="182">
        <f>IF(R396&lt;VLOOKUP($B395,'VPN Bonds'!$A$85:$K$104,5,FALSE),(VLOOKUP($B395,'VPN Bonds'!$A$85:$K$104,8,FALSE)/100)*(VLOOKUP($B395,'VPN Bonds'!$A$85:$K$104,9,FALSE))*(VLOOKUP($B395,'VPN Bonds'!$A$85:$K$104,6,FALSE)),(VLOOKUP($B395,'VPN Bonds'!$A$85:$K$104,6,FALSE)))</f>
        <v>3.6946875000000001</v>
      </c>
      <c r="S397" s="182">
        <f>IF(S396&lt;VLOOKUP($B395,'VPN Bonds'!$A$85:$K$104,5,FALSE),(VLOOKUP($B395,'VPN Bonds'!$A$85:$K$104,8,FALSE)/100)*(VLOOKUP($B395,'VPN Bonds'!$A$85:$K$104,9,FALSE))*(VLOOKUP($B395,'VPN Bonds'!$A$85:$K$104,6,FALSE)),(VLOOKUP($B395,'VPN Bonds'!$A$85:$K$104,6,FALSE)))</f>
        <v>3.6946875000000001</v>
      </c>
      <c r="T397" s="182">
        <f>IF(T396&lt;VLOOKUP($B395,'VPN Bonds'!$A$85:$K$104,5,FALSE),(VLOOKUP($B395,'VPN Bonds'!$A$85:$K$104,8,FALSE)/100)*(VLOOKUP($B395,'VPN Bonds'!$A$85:$K$104,9,FALSE))*(VLOOKUP($B395,'VPN Bonds'!$A$85:$K$104,6,FALSE)),(VLOOKUP($B395,'VPN Bonds'!$A$85:$K$104,6,FALSE)))</f>
        <v>3.6946875000000001</v>
      </c>
      <c r="U397" s="182">
        <f>IF(U396&lt;VLOOKUP($B395,'VPN Bonds'!$A$85:$K$104,5,FALSE),(VLOOKUP($B395,'VPN Bonds'!$A$85:$K$104,8,FALSE)/100)*(VLOOKUP($B395,'VPN Bonds'!$A$85:$K$104,9,FALSE))*(VLOOKUP($B395,'VPN Bonds'!$A$85:$K$104,6,FALSE)),(VLOOKUP($B395,'VPN Bonds'!$A$85:$K$104,6,FALSE)))</f>
        <v>3.6946875000000001</v>
      </c>
      <c r="V397" s="182">
        <f>IF(V396&lt;VLOOKUP($B395,'VPN Bonds'!$A$85:$K$104,5,FALSE),(VLOOKUP($B395,'VPN Bonds'!$A$85:$K$104,8,FALSE)/100)*(VLOOKUP($B395,'VPN Bonds'!$A$85:$K$104,9,FALSE))*(VLOOKUP($B395,'VPN Bonds'!$A$85:$K$104,6,FALSE)),(VLOOKUP($B395,'VPN Bonds'!$A$85:$K$104,6,FALSE)))</f>
        <v>3.6946875000000001</v>
      </c>
      <c r="W397" s="182">
        <f>IF(W396&lt;VLOOKUP($B395,'VPN Bonds'!$A$85:$K$104,5,FALSE),(VLOOKUP($B395,'VPN Bonds'!$A$85:$K$104,8,FALSE)/100)*(VLOOKUP($B395,'VPN Bonds'!$A$85:$K$104,9,FALSE))*(VLOOKUP($B395,'VPN Bonds'!$A$85:$K$104,6,FALSE)),(VLOOKUP($B395,'VPN Bonds'!$A$85:$K$104,6,FALSE)))</f>
        <v>3.6946875000000001</v>
      </c>
      <c r="X397" s="182">
        <f>IF(X396&lt;VLOOKUP($B395,'VPN Bonds'!$A$85:$K$104,5,FALSE),(VLOOKUP($B395,'VPN Bonds'!$A$85:$K$104,8,FALSE)/100)*(VLOOKUP($B395,'VPN Bonds'!$A$85:$K$104,9,FALSE))*(VLOOKUP($B395,'VPN Bonds'!$A$85:$K$104,6,FALSE)),(VLOOKUP($B395,'VPN Bonds'!$A$85:$K$104,6,FALSE)))</f>
        <v>3.6946875000000001</v>
      </c>
      <c r="Y397" s="182">
        <f>IF(Y396&lt;VLOOKUP($B395,'VPN Bonds'!$A$85:$K$104,5,FALSE),(VLOOKUP($B395,'VPN Bonds'!$A$85:$K$104,8,FALSE)/100)*(VLOOKUP($B395,'VPN Bonds'!$A$85:$K$104,9,FALSE))*(VLOOKUP($B395,'VPN Bonds'!$A$85:$K$104,6,FALSE)),(VLOOKUP($B395,'VPN Bonds'!$A$85:$K$104,6,FALSE)))</f>
        <v>3.6946875000000001</v>
      </c>
      <c r="Z397" s="182">
        <f>IF(Z396&lt;VLOOKUP($B395,'VPN Bonds'!$A$85:$K$104,5,FALSE),(VLOOKUP($B395,'VPN Bonds'!$A$85:$K$104,8,FALSE)/100)*(VLOOKUP($B395,'VPN Bonds'!$A$85:$K$104,9,FALSE))*(VLOOKUP($B395,'VPN Bonds'!$A$85:$K$104,6,FALSE)),(VLOOKUP($B395,'VPN Bonds'!$A$85:$K$104,6,FALSE)))</f>
        <v>3.6946875000000001</v>
      </c>
      <c r="AA397" s="182">
        <f>IF(AA396&lt;VLOOKUP($B395,'VPN Bonds'!$A$85:$K$104,5,FALSE),(VLOOKUP($B395,'VPN Bonds'!$A$85:$K$104,8,FALSE)/100)*(VLOOKUP($B395,'VPN Bonds'!$A$85:$K$104,9,FALSE))*(VLOOKUP($B395,'VPN Bonds'!$A$85:$K$104,6,FALSE)),(VLOOKUP($B395,'VPN Bonds'!$A$85:$K$104,6,FALSE)))</f>
        <v>3.6946875000000001</v>
      </c>
      <c r="AB397" s="182">
        <f>IF(AB396&lt;VLOOKUP($B395,'VPN Bonds'!$A$85:$K$104,5,FALSE),(VLOOKUP($B395,'VPN Bonds'!$A$85:$K$104,8,FALSE)/100)*(VLOOKUP($B395,'VPN Bonds'!$A$85:$K$104,9,FALSE))*(VLOOKUP($B395,'VPN Bonds'!$A$85:$K$104,6,FALSE)),(VLOOKUP($B395,'VPN Bonds'!$A$85:$K$104,6,FALSE)))</f>
        <v>3.6946875000000001</v>
      </c>
    </row>
    <row r="398" spans="2:35">
      <c r="B398" s="135">
        <v>42185</v>
      </c>
    </row>
    <row r="399" spans="2:35">
      <c r="B399" t="s">
        <v>210</v>
      </c>
      <c r="F399" s="182">
        <f>(F$396-$B398)/365</f>
        <v>0.36575342465753424</v>
      </c>
      <c r="G399" s="182">
        <f t="shared" ref="G399:X399" si="2054">(G$396-$B398)/365</f>
        <v>0.86575342465753424</v>
      </c>
      <c r="H399" s="182">
        <f t="shared" si="2054"/>
        <v>1.3657534246575342</v>
      </c>
      <c r="I399" s="182">
        <f t="shared" si="2054"/>
        <v>1.8657534246575342</v>
      </c>
      <c r="J399" s="182">
        <f t="shared" si="2054"/>
        <v>2.3657534246575342</v>
      </c>
      <c r="K399" s="182">
        <f t="shared" si="2054"/>
        <v>2.8657534246575342</v>
      </c>
      <c r="L399" s="182">
        <f t="shared" si="2054"/>
        <v>3.3657534246575342</v>
      </c>
      <c r="M399" s="182">
        <f t="shared" si="2054"/>
        <v>3.8657534246575342</v>
      </c>
      <c r="N399" s="182">
        <f t="shared" si="2054"/>
        <v>4.3657534246575347</v>
      </c>
      <c r="O399" s="182">
        <f t="shared" si="2054"/>
        <v>4.8657534246575347</v>
      </c>
      <c r="P399" s="182">
        <f t="shared" si="2054"/>
        <v>5.3657534246575347</v>
      </c>
      <c r="Q399" s="182">
        <f t="shared" si="2054"/>
        <v>5.8657534246575347</v>
      </c>
      <c r="R399" s="182">
        <f t="shared" si="2054"/>
        <v>6.3657534246575347</v>
      </c>
      <c r="S399" s="182">
        <f t="shared" si="2054"/>
        <v>6.8657534246575347</v>
      </c>
      <c r="T399" s="182">
        <f t="shared" si="2054"/>
        <v>7.3657534246575347</v>
      </c>
      <c r="U399" s="182">
        <f t="shared" si="2054"/>
        <v>7.8657534246575347</v>
      </c>
      <c r="V399" s="182">
        <f t="shared" si="2054"/>
        <v>8.3657534246575338</v>
      </c>
      <c r="W399" s="182">
        <f t="shared" si="2054"/>
        <v>8.8657534246575338</v>
      </c>
      <c r="X399" s="182">
        <f t="shared" si="2054"/>
        <v>9.3657534246575338</v>
      </c>
      <c r="Y399" s="182">
        <f t="shared" ref="Y399" si="2055">(Y$396-$B398)/365</f>
        <v>9.8657534246575338</v>
      </c>
      <c r="Z399" s="182">
        <f t="shared" ref="Z399" si="2056">(Z$396-$B398)/365</f>
        <v>10.365753424657534</v>
      </c>
      <c r="AA399" s="182">
        <f t="shared" ref="AA399" si="2057">(AA$396-$B398)/365</f>
        <v>10.865753424657534</v>
      </c>
      <c r="AB399" s="182">
        <f t="shared" ref="AB399" si="2058">(AB$396-$B398)/365</f>
        <v>11.365753424657534</v>
      </c>
    </row>
    <row r="400" spans="2:35">
      <c r="B400" t="s">
        <v>211</v>
      </c>
      <c r="F400" s="183">
        <f>1+((INDEX('Yield Curve'!$B$48:$P$91,MATCH(ROUND(F399,0),'Yield Curve'!$B$48:$B$91,0),MATCH(YEAR($B398),'Yield Curve'!$B$48:$P$48,0)))/100)</f>
        <v>1.0388500000000001</v>
      </c>
      <c r="G400" s="183">
        <f>1+((INDEX('Yield Curve'!$B$48:$P$91,MATCH(ROUND(G399,0),'Yield Curve'!$B$48:$B$91,0),MATCH(YEAR($B398),'Yield Curve'!$B$48:$P$48,0)))/100)</f>
        <v>1.0388500000000001</v>
      </c>
      <c r="H400" s="183">
        <f>1+((INDEX('Yield Curve'!$B$48:$P$91,MATCH(ROUND(H399,0),'Yield Curve'!$B$48:$B$91,0),MATCH(YEAR($B398),'Yield Curve'!$B$48:$P$48,0)))/100)</f>
        <v>1.0388500000000001</v>
      </c>
      <c r="I400" s="183">
        <f>1+((INDEX('Yield Curve'!$B$48:$P$91,MATCH(ROUND(I399,0),'Yield Curve'!$B$48:$B$91,0),MATCH(YEAR($B398),'Yield Curve'!$B$48:$P$48,0)))/100)</f>
        <v>1.0388500000000001</v>
      </c>
      <c r="J400" s="183">
        <f>1+((INDEX('Yield Curve'!$B$48:$P$91,MATCH(ROUND(J399,0),'Yield Curve'!$B$48:$B$91,0),MATCH(YEAR($B398),'Yield Curve'!$B$48:$P$48,0)))/100)</f>
        <v>1.0388500000000001</v>
      </c>
      <c r="K400" s="183">
        <f>1+((INDEX('Yield Curve'!$B$48:$P$91,MATCH(ROUND(K399,0),'Yield Curve'!$B$48:$B$91,0),MATCH(YEAR($B398),'Yield Curve'!$B$48:$P$48,0)))/100)</f>
        <v>1.0388500000000001</v>
      </c>
      <c r="L400" s="183">
        <f>1+((INDEX('Yield Curve'!$B$48:$P$91,MATCH(ROUND(L399,0),'Yield Curve'!$B$48:$B$91,0),MATCH(YEAR($B398),'Yield Curve'!$B$48:$P$48,0)))/100)</f>
        <v>1.0388500000000001</v>
      </c>
      <c r="M400" s="183">
        <f>1+((INDEX('Yield Curve'!$B$48:$P$91,MATCH(ROUND(M399,0),'Yield Curve'!$B$48:$B$91,0),MATCH(YEAR($B398),'Yield Curve'!$B$48:$P$48,0)))/100)</f>
        <v>1.040575</v>
      </c>
      <c r="N400" s="183">
        <f>1+((INDEX('Yield Curve'!$B$48:$P$91,MATCH(ROUND(N399,0),'Yield Curve'!$B$48:$B$91,0),MATCH(YEAR($B398),'Yield Curve'!$B$48:$P$48,0)))/100)</f>
        <v>1.040575</v>
      </c>
      <c r="O400" s="183">
        <f>1+((INDEX('Yield Curve'!$B$48:$P$91,MATCH(ROUND(O399,0),'Yield Curve'!$B$48:$B$91,0),MATCH(YEAR($B398),'Yield Curve'!$B$48:$P$48,0)))/100)</f>
        <v>1.0423</v>
      </c>
      <c r="P400" s="183">
        <f>1+((INDEX('Yield Curve'!$B$48:$P$91,MATCH(ROUND(P399,0),'Yield Curve'!$B$48:$B$91,0),MATCH(YEAR($B398),'Yield Curve'!$B$48:$P$48,0)))/100)</f>
        <v>1.0423</v>
      </c>
      <c r="Q400" s="183">
        <f>1+((INDEX('Yield Curve'!$B$48:$P$91,MATCH(ROUND(Q399,0),'Yield Curve'!$B$48:$B$91,0),MATCH(YEAR($B398),'Yield Curve'!$B$48:$P$48,0)))/100)</f>
        <v>1.0443500000000001</v>
      </c>
      <c r="R400" s="183">
        <f>1+((INDEX('Yield Curve'!$B$48:$P$91,MATCH(ROUND(R399,0),'Yield Curve'!$B$48:$B$91,0),MATCH(YEAR($B398),'Yield Curve'!$B$48:$P$48,0)))/100)</f>
        <v>1.0443500000000001</v>
      </c>
      <c r="S400" s="183">
        <f>1+((INDEX('Yield Curve'!$B$48:$P$91,MATCH(ROUND(S399,0),'Yield Curve'!$B$48:$B$91,0),MATCH(YEAR($B398),'Yield Curve'!$B$48:$P$48,0)))/100)</f>
        <v>1.0464</v>
      </c>
      <c r="T400" s="183">
        <f>1+((INDEX('Yield Curve'!$B$48:$P$91,MATCH(ROUND(T399,0),'Yield Curve'!$B$48:$B$91,0),MATCH(YEAR($B398),'Yield Curve'!$B$48:$P$48,0)))/100)</f>
        <v>1.0464</v>
      </c>
      <c r="U400" s="183">
        <f>1+((INDEX('Yield Curve'!$B$48:$P$91,MATCH(ROUND(U399,0),'Yield Curve'!$B$48:$B$91,0),MATCH(YEAR($B398),'Yield Curve'!$B$48:$P$48,0)))/100)</f>
        <v>1.0472999999999999</v>
      </c>
      <c r="V400" s="183">
        <f>1+((INDEX('Yield Curve'!$B$48:$P$91,MATCH(ROUND(V399,0),'Yield Curve'!$B$48:$B$91,0),MATCH(YEAR($B398),'Yield Curve'!$B$48:$P$48,0)))/100)</f>
        <v>1.0472999999999999</v>
      </c>
      <c r="W400" s="183">
        <f>1+((INDEX('Yield Curve'!$B$48:$P$91,MATCH(ROUND(W399,0),'Yield Curve'!$B$48:$B$91,0),MATCH(YEAR($B398),'Yield Curve'!$B$48:$P$48,0)))/100)</f>
        <v>1.0490999999999999</v>
      </c>
      <c r="X400" s="183">
        <f>1+((INDEX('Yield Curve'!$B$48:$P$91,MATCH(ROUND(X399,0),'Yield Curve'!$B$48:$B$91,0),MATCH(YEAR($B398),'Yield Curve'!$B$48:$P$48,0)))/100)</f>
        <v>1.0490999999999999</v>
      </c>
      <c r="Y400" s="183">
        <f>1+((INDEX('Yield Curve'!$B$48:$P$91,MATCH(ROUND(Y399,0),'Yield Curve'!$B$48:$B$91,0),MATCH(YEAR($B398),'Yield Curve'!$B$48:$P$48,0)))/100)</f>
        <v>1.05</v>
      </c>
      <c r="Z400" s="183">
        <f>1+((INDEX('Yield Curve'!$B$48:$P$91,MATCH(ROUND(Z399,0),'Yield Curve'!$B$48:$B$91,0),MATCH(YEAR($B398),'Yield Curve'!$B$48:$P$48,0)))/100)</f>
        <v>1.05</v>
      </c>
      <c r="AA400" s="183">
        <f>1+((INDEX('Yield Curve'!$B$48:$P$91,MATCH(ROUND(AA399,0),'Yield Curve'!$B$48:$B$91,0),MATCH(YEAR($B398),'Yield Curve'!$B$48:$P$48,0)))/100)</f>
        <v>1.05</v>
      </c>
      <c r="AB400" s="183">
        <f>1+((INDEX('Yield Curve'!$B$48:$P$91,MATCH(ROUND(AB399,0),'Yield Curve'!$B$48:$B$91,0),MATCH(YEAR($B398),'Yield Curve'!$B$48:$P$48,0)))/100)</f>
        <v>1.05</v>
      </c>
    </row>
    <row r="401" spans="2:28">
      <c r="B401" t="s">
        <v>212</v>
      </c>
      <c r="C401" s="182">
        <f>SUM(D401:AM401)</f>
        <v>66.036215588116406</v>
      </c>
      <c r="F401" s="182">
        <f>F$397/(F400^F399)</f>
        <v>3.6435392459887841</v>
      </c>
      <c r="G401" s="182">
        <f t="shared" ref="G401:X401" si="2059">G$397/(G400^G399)</f>
        <v>3.5747611528544367</v>
      </c>
      <c r="H401" s="182">
        <f t="shared" si="2059"/>
        <v>3.5072813649600847</v>
      </c>
      <c r="I401" s="182">
        <f t="shared" si="2059"/>
        <v>3.4410753745530509</v>
      </c>
      <c r="J401" s="182">
        <f t="shared" si="2059"/>
        <v>3.3761191365067957</v>
      </c>
      <c r="K401" s="182">
        <f t="shared" si="2059"/>
        <v>3.3123890595880545</v>
      </c>
      <c r="L401" s="182">
        <f t="shared" si="2059"/>
        <v>3.2498619978888152</v>
      </c>
      <c r="M401" s="182">
        <f t="shared" si="2059"/>
        <v>3.1681304354693283</v>
      </c>
      <c r="N401" s="182">
        <f t="shared" si="2059"/>
        <v>3.1057490412958133</v>
      </c>
      <c r="O401" s="182">
        <f t="shared" si="2059"/>
        <v>3.0201567630593558</v>
      </c>
      <c r="P401" s="182">
        <f t="shared" si="2059"/>
        <v>2.9582380373738171</v>
      </c>
      <c r="Q401" s="182">
        <f t="shared" si="2059"/>
        <v>2.8643844363218416</v>
      </c>
      <c r="R401" s="182">
        <f t="shared" si="2059"/>
        <v>2.8029042996662175</v>
      </c>
      <c r="S401" s="182">
        <f t="shared" si="2059"/>
        <v>2.7060632748925824</v>
      </c>
      <c r="T401" s="182">
        <f t="shared" si="2059"/>
        <v>2.6453861888994008</v>
      </c>
      <c r="U401" s="182">
        <f t="shared" si="2059"/>
        <v>2.5686407015246036</v>
      </c>
      <c r="V401" s="182">
        <f t="shared" si="2059"/>
        <v>2.5099658241483747</v>
      </c>
      <c r="W401" s="182">
        <f t="shared" si="2059"/>
        <v>2.4155738740737931</v>
      </c>
      <c r="X401" s="182">
        <f t="shared" si="2059"/>
        <v>2.3583696664560794</v>
      </c>
      <c r="Y401" s="182">
        <f t="shared" ref="Y401" si="2060">Y$397/(Y400^Y399)</f>
        <v>2.2831230120010688</v>
      </c>
      <c r="Z401" s="182">
        <f t="shared" ref="Z401" si="2061">Z$397/(Z400^Z399)</f>
        <v>2.2280999139623181</v>
      </c>
      <c r="AA401" s="182">
        <f t="shared" ref="AA401" si="2062">AA$397/(AA400^AA399)</f>
        <v>2.1744028685724466</v>
      </c>
      <c r="AB401" s="182">
        <f t="shared" ref="AB401" si="2063">AB$397/(AB400^AB399)</f>
        <v>2.1219999180593505</v>
      </c>
    </row>
    <row r="402" spans="2:28">
      <c r="B402" s="135">
        <v>42551</v>
      </c>
    </row>
    <row r="403" spans="2:28">
      <c r="B403" t="s">
        <v>210</v>
      </c>
      <c r="H403" s="182">
        <f t="shared" ref="H403" si="2064">(H$396-$B402)/365</f>
        <v>0.36301369863013699</v>
      </c>
      <c r="I403" s="182">
        <f t="shared" ref="I403" si="2065">(I$396-$B402)/365</f>
        <v>0.86301369863013699</v>
      </c>
      <c r="J403" s="182">
        <f t="shared" ref="J403" si="2066">(J$396-$B402)/365</f>
        <v>1.3630136986301369</v>
      </c>
      <c r="K403" s="182">
        <f t="shared" ref="K403" si="2067">(K$396-$B402)/365</f>
        <v>1.8630136986301369</v>
      </c>
      <c r="L403" s="182">
        <f t="shared" ref="L403" si="2068">(L$396-$B402)/365</f>
        <v>2.3630136986301369</v>
      </c>
      <c r="M403" s="182">
        <f t="shared" ref="M403" si="2069">(M$396-$B402)/365</f>
        <v>2.8630136986301369</v>
      </c>
      <c r="N403" s="182">
        <f t="shared" ref="N403" si="2070">(N$396-$B402)/365</f>
        <v>3.3630136986301369</v>
      </c>
      <c r="O403" s="182">
        <f t="shared" ref="O403" si="2071">(O$396-$B402)/365</f>
        <v>3.8630136986301369</v>
      </c>
      <c r="P403" s="182">
        <f t="shared" ref="P403" si="2072">(P$396-$B402)/365</f>
        <v>4.3630136986301373</v>
      </c>
      <c r="Q403" s="182">
        <f t="shared" ref="Q403" si="2073">(Q$396-$B402)/365</f>
        <v>4.8630136986301373</v>
      </c>
      <c r="R403" s="182">
        <f t="shared" ref="R403" si="2074">(R$396-$B402)/365</f>
        <v>5.3630136986301373</v>
      </c>
      <c r="S403" s="182">
        <f t="shared" ref="S403" si="2075">(S$396-$B402)/365</f>
        <v>5.8630136986301373</v>
      </c>
      <c r="T403" s="182">
        <f t="shared" ref="T403" si="2076">(T$396-$B402)/365</f>
        <v>6.3630136986301373</v>
      </c>
      <c r="U403" s="182">
        <f t="shared" ref="U403" si="2077">(U$396-$B402)/365</f>
        <v>6.8630136986301373</v>
      </c>
      <c r="V403" s="182">
        <f t="shared" ref="V403" si="2078">(V$396-$B402)/365</f>
        <v>7.3630136986301373</v>
      </c>
      <c r="W403" s="182">
        <f t="shared" ref="W403" si="2079">(W$396-$B402)/365</f>
        <v>7.8630136986301373</v>
      </c>
      <c r="X403" s="182">
        <f t="shared" ref="X403" si="2080">(X$396-$B402)/365</f>
        <v>8.3630136986301373</v>
      </c>
      <c r="Y403" s="182">
        <f t="shared" ref="Y403" si="2081">(Y$396-$B402)/365</f>
        <v>8.8630136986301373</v>
      </c>
      <c r="Z403" s="182">
        <f t="shared" ref="Z403" si="2082">(Z$396-$B402)/365</f>
        <v>9.3630136986301373</v>
      </c>
      <c r="AA403" s="182">
        <f t="shared" ref="AA403" si="2083">(AA$396-$B402)/365</f>
        <v>9.8630136986301373</v>
      </c>
      <c r="AB403" s="182">
        <f t="shared" ref="AB403" si="2084">(AB$396-$B402)/365</f>
        <v>10.363013698630137</v>
      </c>
    </row>
    <row r="404" spans="2:28">
      <c r="B404" t="s">
        <v>211</v>
      </c>
      <c r="H404" s="183">
        <f>1+((INDEX('Yield Curve'!$B$48:$P$91,MATCH(ROUND(H403,0),'Yield Curve'!$B$48:$B$91,0),MATCH(YEAR($B402),'Yield Curve'!$B$48:$P$48,0)))/100)</f>
        <v>1.0406</v>
      </c>
      <c r="I404" s="183">
        <f>1+((INDEX('Yield Curve'!$B$48:$P$91,MATCH(ROUND(I403,0),'Yield Curve'!$B$48:$B$91,0),MATCH(YEAR($B402),'Yield Curve'!$B$48:$P$48,0)))/100)</f>
        <v>1.0406</v>
      </c>
      <c r="J404" s="183">
        <f>1+((INDEX('Yield Curve'!$B$48:$P$91,MATCH(ROUND(J403,0),'Yield Curve'!$B$48:$B$91,0),MATCH(YEAR($B402),'Yield Curve'!$B$48:$P$48,0)))/100)</f>
        <v>1.0406</v>
      </c>
      <c r="K404" s="183">
        <f>1+((INDEX('Yield Curve'!$B$48:$P$91,MATCH(ROUND(K403,0),'Yield Curve'!$B$48:$B$91,0),MATCH(YEAR($B402),'Yield Curve'!$B$48:$P$48,0)))/100)</f>
        <v>1.0406</v>
      </c>
      <c r="L404" s="183">
        <f>1+((INDEX('Yield Curve'!$B$48:$P$91,MATCH(ROUND(L403,0),'Yield Curve'!$B$48:$B$91,0),MATCH(YEAR($B402),'Yield Curve'!$B$48:$P$48,0)))/100)</f>
        <v>1.0406</v>
      </c>
      <c r="M404" s="183">
        <f>1+((INDEX('Yield Curve'!$B$48:$P$91,MATCH(ROUND(M403,0),'Yield Curve'!$B$48:$B$91,0),MATCH(YEAR($B402),'Yield Curve'!$B$48:$P$48,0)))/100)</f>
        <v>1.0406</v>
      </c>
      <c r="N404" s="183">
        <f>1+((INDEX('Yield Curve'!$B$48:$P$91,MATCH(ROUND(N403,0),'Yield Curve'!$B$48:$B$91,0),MATCH(YEAR($B402),'Yield Curve'!$B$48:$P$48,0)))/100)</f>
        <v>1.0406</v>
      </c>
      <c r="O404" s="183">
        <f>1+((INDEX('Yield Curve'!$B$48:$P$91,MATCH(ROUND(O403,0),'Yield Curve'!$B$48:$B$91,0),MATCH(YEAR($B402),'Yield Curve'!$B$48:$P$48,0)))/100)</f>
        <v>1.042025</v>
      </c>
      <c r="P404" s="183">
        <f>1+((INDEX('Yield Curve'!$B$48:$P$91,MATCH(ROUND(P403,0),'Yield Curve'!$B$48:$B$91,0),MATCH(YEAR($B402),'Yield Curve'!$B$48:$P$48,0)))/100)</f>
        <v>1.042025</v>
      </c>
      <c r="Q404" s="183">
        <f>1+((INDEX('Yield Curve'!$B$48:$P$91,MATCH(ROUND(Q403,0),'Yield Curve'!$B$48:$B$91,0),MATCH(YEAR($B402),'Yield Curve'!$B$48:$P$48,0)))/100)</f>
        <v>1.04345</v>
      </c>
      <c r="R404" s="183">
        <f>1+((INDEX('Yield Curve'!$B$48:$P$91,MATCH(ROUND(R403,0),'Yield Curve'!$B$48:$B$91,0),MATCH(YEAR($B402),'Yield Curve'!$B$48:$P$48,0)))/100)</f>
        <v>1.04345</v>
      </c>
      <c r="S404" s="183">
        <f>1+((INDEX('Yield Curve'!$B$48:$P$91,MATCH(ROUND(S403,0),'Yield Curve'!$B$48:$B$91,0),MATCH(YEAR($B402),'Yield Curve'!$B$48:$P$48,0)))/100)</f>
        <v>1.0443500000000001</v>
      </c>
      <c r="T404" s="183">
        <f>1+((INDEX('Yield Curve'!$B$48:$P$91,MATCH(ROUND(T403,0),'Yield Curve'!$B$48:$B$91,0),MATCH(YEAR($B402),'Yield Curve'!$B$48:$P$48,0)))/100)</f>
        <v>1.0443500000000001</v>
      </c>
      <c r="U404" s="183">
        <f>1+((INDEX('Yield Curve'!$B$48:$P$91,MATCH(ROUND(U403,0),'Yield Curve'!$B$48:$B$91,0),MATCH(YEAR($B402),'Yield Curve'!$B$48:$P$48,0)))/100)</f>
        <v>1.04525</v>
      </c>
      <c r="V404" s="183">
        <f>1+((INDEX('Yield Curve'!$B$48:$P$91,MATCH(ROUND(V403,0),'Yield Curve'!$B$48:$B$91,0),MATCH(YEAR($B402),'Yield Curve'!$B$48:$P$48,0)))/100)</f>
        <v>1.04525</v>
      </c>
      <c r="W404" s="183">
        <f>1+((INDEX('Yield Curve'!$B$48:$P$91,MATCH(ROUND(W403,0),'Yield Curve'!$B$48:$B$91,0),MATCH(YEAR($B402),'Yield Curve'!$B$48:$P$48,0)))/100)</f>
        <v>1.0457375</v>
      </c>
      <c r="X404" s="183">
        <f>1+((INDEX('Yield Curve'!$B$48:$P$91,MATCH(ROUND(X403,0),'Yield Curve'!$B$48:$B$91,0),MATCH(YEAR($B402),'Yield Curve'!$B$48:$P$48,0)))/100)</f>
        <v>1.0457375</v>
      </c>
      <c r="Y404" s="183">
        <f>1+((INDEX('Yield Curve'!$B$48:$P$91,MATCH(ROUND(Y403,0),'Yield Curve'!$B$48:$B$91,0),MATCH(YEAR($B402),'Yield Curve'!$B$48:$P$48,0)))/100)</f>
        <v>1.0467124999999999</v>
      </c>
      <c r="Z404" s="183">
        <f>1+((INDEX('Yield Curve'!$B$48:$P$91,MATCH(ROUND(Z403,0),'Yield Curve'!$B$48:$B$91,0),MATCH(YEAR($B402),'Yield Curve'!$B$48:$P$48,0)))/100)</f>
        <v>1.0467124999999999</v>
      </c>
      <c r="AA404" s="183">
        <f>1+((INDEX('Yield Curve'!$B$48:$P$91,MATCH(ROUND(AA403,0),'Yield Curve'!$B$48:$B$91,0),MATCH(YEAR($B402),'Yield Curve'!$B$48:$P$48,0)))/100)</f>
        <v>1.0471999999999999</v>
      </c>
      <c r="AB404" s="183">
        <f>1+((INDEX('Yield Curve'!$B$48:$P$91,MATCH(ROUND(AB403,0),'Yield Curve'!$B$48:$B$91,0),MATCH(YEAR($B402),'Yield Curve'!$B$48:$P$48,0)))/100)</f>
        <v>1.0471999999999999</v>
      </c>
    </row>
    <row r="405" spans="2:28">
      <c r="B405" t="s">
        <v>212</v>
      </c>
      <c r="C405" s="182">
        <f>SUM(D405:AM405)</f>
        <v>61.931077251688741</v>
      </c>
      <c r="H405" s="182">
        <f t="shared" ref="H405" si="2085">H$397/(H404^H403)</f>
        <v>3.6416939720827344</v>
      </c>
      <c r="I405" s="182">
        <f t="shared" ref="I405" si="2086">I$397/(I404^I403)</f>
        <v>3.569945092435693</v>
      </c>
      <c r="J405" s="182">
        <f t="shared" ref="J405" si="2087">J$397/(J404^J403)</f>
        <v>3.4996098136486009</v>
      </c>
      <c r="K405" s="182">
        <f t="shared" ref="K405" si="2088">K$397/(K404^K403)</f>
        <v>3.430660284869973</v>
      </c>
      <c r="L405" s="182">
        <f t="shared" ref="L405" si="2089">L$397/(L404^L403)</f>
        <v>3.3630692039675196</v>
      </c>
      <c r="M405" s="182">
        <f t="shared" ref="M405" si="2090">M$397/(M404^M403)</f>
        <v>3.2968098067172527</v>
      </c>
      <c r="N405" s="182">
        <f t="shared" ref="N405" si="2091">N$397/(N404^N403)</f>
        <v>3.2318558562055744</v>
      </c>
      <c r="O405" s="182">
        <f t="shared" ref="O405" si="2092">O$397/(O404^O403)</f>
        <v>3.1514775452302151</v>
      </c>
      <c r="P405" s="182">
        <f t="shared" ref="P405" si="2093">P$397/(P404^P403)</f>
        <v>3.0872738032261142</v>
      </c>
      <c r="Q405" s="182">
        <f t="shared" ref="Q405" si="2094">Q$397/(Q404^Q403)</f>
        <v>3.0043453706596086</v>
      </c>
      <c r="R405" s="182">
        <f t="shared" ref="R405" si="2095">R$397/(R404^R403)</f>
        <v>2.9411287380977917</v>
      </c>
      <c r="S405" s="182">
        <f t="shared" ref="S405" si="2096">S$397/(S404^S403)</f>
        <v>2.8647250019160215</v>
      </c>
      <c r="T405" s="182">
        <f t="shared" ref="T405" si="2097">T$397/(T404^T403)</f>
        <v>2.8032375554806745</v>
      </c>
      <c r="U405" s="182">
        <f t="shared" ref="U405" si="2098">U$397/(U404^U403)</f>
        <v>2.7269010462850125</v>
      </c>
      <c r="V405" s="182">
        <f t="shared" ref="V405" si="2099">V$397/(V404^V403)</f>
        <v>2.6672227723998816</v>
      </c>
      <c r="W405" s="182">
        <f t="shared" ref="W405" si="2100">W$397/(W404^W403)</f>
        <v>2.5993029300198933</v>
      </c>
      <c r="X405" s="182">
        <f t="shared" ref="X405" si="2101">X$397/(X404^X403)</f>
        <v>2.5418244642165746</v>
      </c>
      <c r="Y405" s="182">
        <f t="shared" ref="Y405" si="2102">Y$397/(Y404^Y403)</f>
        <v>2.4651712800004915</v>
      </c>
      <c r="Z405" s="182">
        <f t="shared" ref="Z405" si="2103">Z$397/(Z404^Z403)</f>
        <v>2.409535860177201</v>
      </c>
      <c r="AA405" s="182">
        <f t="shared" ref="AA405" si="2104">AA$397/(AA404^AA403)</f>
        <v>2.3443646343333766</v>
      </c>
      <c r="AB405" s="182">
        <f t="shared" ref="AB405" si="2105">AB$397/(AB404^AB403)</f>
        <v>2.2909222197185355</v>
      </c>
    </row>
    <row r="406" spans="2:28">
      <c r="B406" s="135">
        <v>42916</v>
      </c>
    </row>
    <row r="407" spans="2:28">
      <c r="B407" t="s">
        <v>210</v>
      </c>
      <c r="J407" s="182">
        <f t="shared" ref="J407" si="2106">(J$396-$B406)/365</f>
        <v>0.36301369863013699</v>
      </c>
      <c r="K407" s="182">
        <f t="shared" ref="K407" si="2107">(K$396-$B406)/365</f>
        <v>0.86301369863013699</v>
      </c>
      <c r="L407" s="182">
        <f t="shared" ref="L407" si="2108">(L$396-$B406)/365</f>
        <v>1.3630136986301369</v>
      </c>
      <c r="M407" s="182">
        <f t="shared" ref="M407" si="2109">(M$396-$B406)/365</f>
        <v>1.8630136986301369</v>
      </c>
      <c r="N407" s="182">
        <f t="shared" ref="N407" si="2110">(N$396-$B406)/365</f>
        <v>2.3630136986301369</v>
      </c>
      <c r="O407" s="182">
        <f t="shared" ref="O407" si="2111">(O$396-$B406)/365</f>
        <v>2.8630136986301369</v>
      </c>
      <c r="P407" s="182">
        <f t="shared" ref="P407" si="2112">(P$396-$B406)/365</f>
        <v>3.3630136986301369</v>
      </c>
      <c r="Q407" s="182">
        <f t="shared" ref="Q407" si="2113">(Q$396-$B406)/365</f>
        <v>3.8630136986301369</v>
      </c>
      <c r="R407" s="182">
        <f t="shared" ref="R407" si="2114">(R$396-$B406)/365</f>
        <v>4.3630136986301373</v>
      </c>
      <c r="S407" s="182">
        <f t="shared" ref="S407" si="2115">(S$396-$B406)/365</f>
        <v>4.8630136986301373</v>
      </c>
      <c r="T407" s="182">
        <f t="shared" ref="T407" si="2116">(T$396-$B406)/365</f>
        <v>5.3630136986301373</v>
      </c>
      <c r="U407" s="182">
        <f t="shared" ref="U407" si="2117">(U$396-$B406)/365</f>
        <v>5.8630136986301373</v>
      </c>
      <c r="V407" s="182">
        <f t="shared" ref="V407" si="2118">(V$396-$B406)/365</f>
        <v>6.3630136986301373</v>
      </c>
      <c r="W407" s="182">
        <f t="shared" ref="W407" si="2119">(W$396-$B406)/365</f>
        <v>6.8630136986301373</v>
      </c>
      <c r="X407" s="182">
        <f t="shared" ref="X407" si="2120">(X$396-$B406)/365</f>
        <v>7.3630136986301373</v>
      </c>
      <c r="Y407" s="182">
        <f t="shared" ref="Y407" si="2121">(Y$396-$B406)/365</f>
        <v>7.8630136986301373</v>
      </c>
      <c r="Z407" s="182">
        <f t="shared" ref="Z407" si="2122">(Z$396-$B406)/365</f>
        <v>8.3630136986301373</v>
      </c>
      <c r="AA407" s="182">
        <f t="shared" ref="AA407" si="2123">(AA$396-$B406)/365</f>
        <v>8.8630136986301373</v>
      </c>
      <c r="AB407" s="182">
        <f t="shared" ref="AB407" si="2124">(AB$396-$B406)/365</f>
        <v>9.3630136986301373</v>
      </c>
    </row>
    <row r="408" spans="2:28">
      <c r="B408" t="s">
        <v>211</v>
      </c>
      <c r="J408" s="183">
        <f>1+((INDEX('Yield Curve'!$B$48:$P$91,MATCH(ROUND(J407,0),'Yield Curve'!$B$48:$B$91,0),MATCH(YEAR($B406),'Yield Curve'!$B$48:$P$48,0)))/100)</f>
        <v>1.0326500000000001</v>
      </c>
      <c r="K408" s="183">
        <f>1+((INDEX('Yield Curve'!$B$48:$P$91,MATCH(ROUND(K407,0),'Yield Curve'!$B$48:$B$91,0),MATCH(YEAR($B406),'Yield Curve'!$B$48:$P$48,0)))/100)</f>
        <v>1.0326500000000001</v>
      </c>
      <c r="L408" s="183">
        <f>1+((INDEX('Yield Curve'!$B$48:$P$91,MATCH(ROUND(L407,0),'Yield Curve'!$B$48:$B$91,0),MATCH(YEAR($B406),'Yield Curve'!$B$48:$P$48,0)))/100)</f>
        <v>1.0326500000000001</v>
      </c>
      <c r="M408" s="183">
        <f>1+((INDEX('Yield Curve'!$B$48:$P$91,MATCH(ROUND(M407,0),'Yield Curve'!$B$48:$B$91,0),MATCH(YEAR($B406),'Yield Curve'!$B$48:$P$48,0)))/100)</f>
        <v>1.0326500000000001</v>
      </c>
      <c r="N408" s="183">
        <f>1+((INDEX('Yield Curve'!$B$48:$P$91,MATCH(ROUND(N407,0),'Yield Curve'!$B$48:$B$91,0),MATCH(YEAR($B406),'Yield Curve'!$B$48:$P$48,0)))/100)</f>
        <v>1.0326500000000001</v>
      </c>
      <c r="O408" s="183">
        <f>1+((INDEX('Yield Curve'!$B$48:$P$91,MATCH(ROUND(O407,0),'Yield Curve'!$B$48:$B$91,0),MATCH(YEAR($B406),'Yield Curve'!$B$48:$P$48,0)))/100)</f>
        <v>1.0326500000000001</v>
      </c>
      <c r="P408" s="183">
        <f>1+((INDEX('Yield Curve'!$B$48:$P$91,MATCH(ROUND(P407,0),'Yield Curve'!$B$48:$B$91,0),MATCH(YEAR($B406),'Yield Curve'!$B$48:$P$48,0)))/100)</f>
        <v>1.0326500000000001</v>
      </c>
      <c r="Q408" s="183">
        <f>1+((INDEX('Yield Curve'!$B$48:$P$91,MATCH(ROUND(Q407,0),'Yield Curve'!$B$48:$B$91,0),MATCH(YEAR($B406),'Yield Curve'!$B$48:$P$48,0)))/100)</f>
        <v>1.034025</v>
      </c>
      <c r="R408" s="183">
        <f>1+((INDEX('Yield Curve'!$B$48:$P$91,MATCH(ROUND(R407,0),'Yield Curve'!$B$48:$B$91,0),MATCH(YEAR($B406),'Yield Curve'!$B$48:$P$48,0)))/100)</f>
        <v>1.034025</v>
      </c>
      <c r="S408" s="183">
        <f>1+((INDEX('Yield Curve'!$B$48:$P$91,MATCH(ROUND(S407,0),'Yield Curve'!$B$48:$B$91,0),MATCH(YEAR($B406),'Yield Curve'!$B$48:$P$48,0)))/100)</f>
        <v>1.0354000000000001</v>
      </c>
      <c r="T408" s="183">
        <f>1+((INDEX('Yield Curve'!$B$48:$P$91,MATCH(ROUND(T407,0),'Yield Curve'!$B$48:$B$91,0),MATCH(YEAR($B406),'Yield Curve'!$B$48:$P$48,0)))/100)</f>
        <v>1.0354000000000001</v>
      </c>
      <c r="U408" s="183">
        <f>1+((INDEX('Yield Curve'!$B$48:$P$91,MATCH(ROUND(U407,0),'Yield Curve'!$B$48:$B$91,0),MATCH(YEAR($B406),'Yield Curve'!$B$48:$P$48,0)))/100)</f>
        <v>1.0375000000000001</v>
      </c>
      <c r="V408" s="183">
        <f>1+((INDEX('Yield Curve'!$B$48:$P$91,MATCH(ROUND(V407,0),'Yield Curve'!$B$48:$B$91,0),MATCH(YEAR($B406),'Yield Curve'!$B$48:$P$48,0)))/100)</f>
        <v>1.0375000000000001</v>
      </c>
      <c r="W408" s="183">
        <f>1+((INDEX('Yield Curve'!$B$48:$P$91,MATCH(ROUND(W407,0),'Yield Curve'!$B$48:$B$91,0),MATCH(YEAR($B406),'Yield Curve'!$B$48:$P$48,0)))/100)</f>
        <v>1.0396000000000001</v>
      </c>
      <c r="X408" s="183">
        <f>1+((INDEX('Yield Curve'!$B$48:$P$91,MATCH(ROUND(X407,0),'Yield Curve'!$B$48:$B$91,0),MATCH(YEAR($B406),'Yield Curve'!$B$48:$P$48,0)))/100)</f>
        <v>1.0396000000000001</v>
      </c>
      <c r="Y408" s="183">
        <f>1+((INDEX('Yield Curve'!$B$48:$P$91,MATCH(ROUND(Y407,0),'Yield Curve'!$B$48:$B$91,0),MATCH(YEAR($B406),'Yield Curve'!$B$48:$P$48,0)))/100)</f>
        <v>1.0405249999999999</v>
      </c>
      <c r="Z408" s="183">
        <f>1+((INDEX('Yield Curve'!$B$48:$P$91,MATCH(ROUND(Z407,0),'Yield Curve'!$B$48:$B$91,0),MATCH(YEAR($B406),'Yield Curve'!$B$48:$P$48,0)))/100)</f>
        <v>1.0405249999999999</v>
      </c>
      <c r="AA408" s="183">
        <f>1+((INDEX('Yield Curve'!$B$48:$P$91,MATCH(ROUND(AA407,0),'Yield Curve'!$B$48:$B$91,0),MATCH(YEAR($B406),'Yield Curve'!$B$48:$P$48,0)))/100)</f>
        <v>1.0423750000000001</v>
      </c>
      <c r="AB408" s="183">
        <f>1+((INDEX('Yield Curve'!$B$48:$P$91,MATCH(ROUND(AB407,0),'Yield Curve'!$B$48:$B$91,0),MATCH(YEAR($B406),'Yield Curve'!$B$48:$P$48,0)))/100)</f>
        <v>1.0423750000000001</v>
      </c>
    </row>
    <row r="409" spans="2:28">
      <c r="B409" t="s">
        <v>212</v>
      </c>
      <c r="C409" s="182">
        <f>SUM(D409:AM409)</f>
        <v>58.920861982839455</v>
      </c>
      <c r="J409" s="182">
        <f t="shared" ref="J409" si="2125">J$397/(J408^J407)</f>
        <v>3.6518466058438808</v>
      </c>
      <c r="K409" s="182">
        <f t="shared" ref="K409" si="2126">K$397/(K408^K407)</f>
        <v>3.5936514486165301</v>
      </c>
      <c r="L409" s="182">
        <f t="shared" ref="L409" si="2127">L$397/(L408^L407)</f>
        <v>3.5363836787332401</v>
      </c>
      <c r="M409" s="182">
        <f t="shared" ref="M409" si="2128">M$397/(M408^M407)</f>
        <v>3.4800285175195174</v>
      </c>
      <c r="N409" s="182">
        <f t="shared" ref="N409" si="2129">N$397/(N408^N407)</f>
        <v>3.4245714218111076</v>
      </c>
      <c r="O409" s="182">
        <f t="shared" ref="O409" si="2130">O$397/(O408^O407)</f>
        <v>3.3699980802009555</v>
      </c>
      <c r="P409" s="182">
        <f t="shared" ref="P409" si="2131">P$397/(P408^P407)</f>
        <v>3.3162944093459616</v>
      </c>
      <c r="Q409" s="182">
        <f t="shared" ref="Q409" si="2132">Q$397/(Q408^Q407)</f>
        <v>3.2467145600133511</v>
      </c>
      <c r="R409" s="182">
        <f t="shared" ref="R409" si="2133">R$397/(R408^R407)</f>
        <v>3.1928505385845263</v>
      </c>
      <c r="S409" s="182">
        <f t="shared" ref="S409" si="2134">S$397/(S408^S407)</f>
        <v>3.1196546456344199</v>
      </c>
      <c r="T409" s="182">
        <f t="shared" ref="T409" si="2135">T$397/(T408^T407)</f>
        <v>3.0658608435515804</v>
      </c>
      <c r="U409" s="182">
        <f t="shared" ref="U409" si="2136">U$397/(U408^U407)</f>
        <v>2.9774140292291889</v>
      </c>
      <c r="V409" s="182">
        <f t="shared" ref="V409" si="2137">V$397/(V408^V407)</f>
        <v>2.9231101280443506</v>
      </c>
      <c r="W409" s="182">
        <f t="shared" ref="W409" si="2138">W$397/(W408^W407)</f>
        <v>2.8302465099107024</v>
      </c>
      <c r="X409" s="182">
        <f t="shared" ref="X409" si="2139">X$397/(X408^X407)</f>
        <v>2.7758188977244758</v>
      </c>
      <c r="Y409" s="182">
        <f t="shared" ref="Y409" si="2140">Y$397/(Y408^Y407)</f>
        <v>2.7034660285009853</v>
      </c>
      <c r="Z409" s="182">
        <f t="shared" ref="Z409" si="2141">Z$397/(Z408^Z407)</f>
        <v>2.6502976840069339</v>
      </c>
      <c r="AA409" s="182">
        <f t="shared" ref="AA409" si="2142">AA$397/(AA408^AA407)</f>
        <v>2.5575896687455635</v>
      </c>
      <c r="AB409" s="182">
        <f t="shared" ref="AB409" si="2143">AB$397/(AB408^AB407)</f>
        <v>2.5050642868221811</v>
      </c>
    </row>
    <row r="410" spans="2:28">
      <c r="B410" s="135">
        <v>43281</v>
      </c>
    </row>
    <row r="411" spans="2:28">
      <c r="B411" t="s">
        <v>210</v>
      </c>
      <c r="L411" s="182">
        <f t="shared" ref="L411" si="2144">(L$396-$B410)/365</f>
        <v>0.36301369863013699</v>
      </c>
      <c r="M411" s="182">
        <f t="shared" ref="M411" si="2145">(M$396-$B410)/365</f>
        <v>0.86301369863013699</v>
      </c>
      <c r="N411" s="182">
        <f t="shared" ref="N411" si="2146">(N$396-$B410)/365</f>
        <v>1.3630136986301369</v>
      </c>
      <c r="O411" s="182">
        <f t="shared" ref="O411" si="2147">(O$396-$B410)/365</f>
        <v>1.8630136986301369</v>
      </c>
      <c r="P411" s="182">
        <f t="shared" ref="P411" si="2148">(P$396-$B410)/365</f>
        <v>2.3630136986301369</v>
      </c>
      <c r="Q411" s="182">
        <f t="shared" ref="Q411" si="2149">(Q$396-$B410)/365</f>
        <v>2.8630136986301369</v>
      </c>
      <c r="R411" s="182">
        <f t="shared" ref="R411" si="2150">(R$396-$B410)/365</f>
        <v>3.3630136986301369</v>
      </c>
      <c r="S411" s="182">
        <f t="shared" ref="S411" si="2151">(S$396-$B410)/365</f>
        <v>3.8630136986301369</v>
      </c>
      <c r="T411" s="182">
        <f t="shared" ref="T411" si="2152">(T$396-$B410)/365</f>
        <v>4.3630136986301373</v>
      </c>
      <c r="U411" s="182">
        <f t="shared" ref="U411" si="2153">(U$396-$B410)/365</f>
        <v>4.8630136986301373</v>
      </c>
      <c r="V411" s="182">
        <f t="shared" ref="V411" si="2154">(V$396-$B410)/365</f>
        <v>5.3630136986301373</v>
      </c>
      <c r="W411" s="182">
        <f t="shared" ref="W411" si="2155">(W$396-$B410)/365</f>
        <v>5.8630136986301373</v>
      </c>
      <c r="X411" s="182">
        <f t="shared" ref="X411" si="2156">(X$396-$B410)/365</f>
        <v>6.3630136986301373</v>
      </c>
      <c r="Y411" s="182">
        <f t="shared" ref="Y411" si="2157">(Y$396-$B410)/365</f>
        <v>6.8630136986301373</v>
      </c>
      <c r="Z411" s="182">
        <f t="shared" ref="Z411" si="2158">(Z$396-$B410)/365</f>
        <v>7.3630136986301373</v>
      </c>
      <c r="AA411" s="182">
        <f t="shared" ref="AA411" si="2159">(AA$396-$B410)/365</f>
        <v>7.8630136986301373</v>
      </c>
      <c r="AB411" s="182">
        <f t="shared" ref="AB411" si="2160">(AB$396-$B410)/365</f>
        <v>8.3630136986301373</v>
      </c>
    </row>
    <row r="412" spans="2:28">
      <c r="B412" t="s">
        <v>211</v>
      </c>
      <c r="L412" s="183">
        <f>1+((INDEX('Yield Curve'!$B$48:$P$91,MATCH(ROUND(L411,0),'Yield Curve'!$B$48:$B$91,0),MATCH(YEAR($B410),'Yield Curve'!$B$48:$P$48,0)))/100)</f>
        <v>1.03315</v>
      </c>
      <c r="M412" s="183">
        <f>1+((INDEX('Yield Curve'!$B$48:$P$91,MATCH(ROUND(M411,0),'Yield Curve'!$B$48:$B$91,0),MATCH(YEAR($B410),'Yield Curve'!$B$48:$P$48,0)))/100)</f>
        <v>1.03315</v>
      </c>
      <c r="N412" s="183">
        <f>1+((INDEX('Yield Curve'!$B$48:$P$91,MATCH(ROUND(N411,0),'Yield Curve'!$B$48:$B$91,0),MATCH(YEAR($B410),'Yield Curve'!$B$48:$P$48,0)))/100)</f>
        <v>1.03315</v>
      </c>
      <c r="O412" s="183">
        <f>1+((INDEX('Yield Curve'!$B$48:$P$91,MATCH(ROUND(O411,0),'Yield Curve'!$B$48:$B$91,0),MATCH(YEAR($B410),'Yield Curve'!$B$48:$P$48,0)))/100)</f>
        <v>1.03315</v>
      </c>
      <c r="P412" s="183">
        <f>1+((INDEX('Yield Curve'!$B$48:$P$91,MATCH(ROUND(P411,0),'Yield Curve'!$B$48:$B$91,0),MATCH(YEAR($B410),'Yield Curve'!$B$48:$P$48,0)))/100)</f>
        <v>1.03315</v>
      </c>
      <c r="Q412" s="183">
        <f>1+((INDEX('Yield Curve'!$B$48:$P$91,MATCH(ROUND(Q411,0),'Yield Curve'!$B$48:$B$91,0),MATCH(YEAR($B410),'Yield Curve'!$B$48:$P$48,0)))/100)</f>
        <v>1.03315</v>
      </c>
      <c r="R412" s="183">
        <f>1+((INDEX('Yield Curve'!$B$48:$P$91,MATCH(ROUND(R411,0),'Yield Curve'!$B$48:$B$91,0),MATCH(YEAR($B410),'Yield Curve'!$B$48:$P$48,0)))/100)</f>
        <v>1.03315</v>
      </c>
      <c r="S412" s="183">
        <f>1+((INDEX('Yield Curve'!$B$48:$P$91,MATCH(ROUND(S411,0),'Yield Curve'!$B$48:$B$91,0),MATCH(YEAR($B410),'Yield Curve'!$B$48:$P$48,0)))/100)</f>
        <v>1.0349999999999999</v>
      </c>
      <c r="T412" s="183">
        <f>1+((INDEX('Yield Curve'!$B$48:$P$91,MATCH(ROUND(T411,0),'Yield Curve'!$B$48:$B$91,0),MATCH(YEAR($B410),'Yield Curve'!$B$48:$P$48,0)))/100)</f>
        <v>1.0349999999999999</v>
      </c>
      <c r="U412" s="183">
        <f>1+((INDEX('Yield Curve'!$B$48:$P$91,MATCH(ROUND(U411,0),'Yield Curve'!$B$48:$B$91,0),MATCH(YEAR($B410),'Yield Curve'!$B$48:$P$48,0)))/100)</f>
        <v>1.03685</v>
      </c>
      <c r="V412" s="183">
        <f>1+((INDEX('Yield Curve'!$B$48:$P$91,MATCH(ROUND(V411,0),'Yield Curve'!$B$48:$B$91,0),MATCH(YEAR($B410),'Yield Curve'!$B$48:$P$48,0)))/100)</f>
        <v>1.03685</v>
      </c>
      <c r="W412" s="183">
        <f>1+((INDEX('Yield Curve'!$B$48:$P$91,MATCH(ROUND(W411,0),'Yield Curve'!$B$48:$B$91,0),MATCH(YEAR($B410),'Yield Curve'!$B$48:$P$48,0)))/100)</f>
        <v>1.0386</v>
      </c>
      <c r="X412" s="183">
        <f>1+((INDEX('Yield Curve'!$B$48:$P$91,MATCH(ROUND(X411,0),'Yield Curve'!$B$48:$B$91,0),MATCH(YEAR($B410),'Yield Curve'!$B$48:$P$48,0)))/100)</f>
        <v>1.0386</v>
      </c>
      <c r="Y412" s="183">
        <f>1+((INDEX('Yield Curve'!$B$48:$P$91,MATCH(ROUND(Y411,0),'Yield Curve'!$B$48:$B$91,0),MATCH(YEAR($B410),'Yield Curve'!$B$48:$P$48,0)))/100)</f>
        <v>1.0403500000000001</v>
      </c>
      <c r="Z412" s="183">
        <f>1+((INDEX('Yield Curve'!$B$48:$P$91,MATCH(ROUND(Z411,0),'Yield Curve'!$B$48:$B$91,0),MATCH(YEAR($B410),'Yield Curve'!$B$48:$P$48,0)))/100)</f>
        <v>1.0403500000000001</v>
      </c>
      <c r="AA412" s="183">
        <f>1+((INDEX('Yield Curve'!$B$48:$P$91,MATCH(ROUND(AA411,0),'Yield Curve'!$B$48:$B$91,0),MATCH(YEAR($B410),'Yield Curve'!$B$48:$P$48,0)))/100)</f>
        <v>1.0414874999999999</v>
      </c>
      <c r="AB412" s="183">
        <f>1+((INDEX('Yield Curve'!$B$48:$P$91,MATCH(ROUND(AB411,0),'Yield Curve'!$B$48:$B$91,0),MATCH(YEAR($B410),'Yield Curve'!$B$48:$P$48,0)))/100)</f>
        <v>1.0414874999999999</v>
      </c>
    </row>
    <row r="413" spans="2:28">
      <c r="B413" t="s">
        <v>212</v>
      </c>
      <c r="C413" s="182">
        <f>SUM(D413:AM413)</f>
        <v>53.660879750328824</v>
      </c>
      <c r="L413" s="182">
        <f t="shared" ref="L413" si="2161">L$397/(L412^L411)</f>
        <v>3.6512049397102322</v>
      </c>
      <c r="M413" s="182">
        <f t="shared" ref="M413" si="2162">M$397/(M412^M411)</f>
        <v>3.5921504694506283</v>
      </c>
      <c r="N413" s="182">
        <f t="shared" ref="N413" si="2163">N$397/(N412^N411)</f>
        <v>3.5340511442774352</v>
      </c>
      <c r="O413" s="182">
        <f t="shared" ref="O413" si="2164">O$397/(O412^O411)</f>
        <v>3.4768915157050069</v>
      </c>
      <c r="P413" s="182">
        <f t="shared" ref="P413" si="2165">P$397/(P412^P411)</f>
        <v>3.420656385111005</v>
      </c>
      <c r="Q413" s="182">
        <f t="shared" ref="Q413" si="2166">Q$397/(Q412^Q411)</f>
        <v>3.3653307996951143</v>
      </c>
      <c r="R413" s="182">
        <f t="shared" ref="R413" si="2167">R$397/(R412^R411)</f>
        <v>3.3109000485031266</v>
      </c>
      <c r="S413" s="182">
        <f t="shared" ref="S413" si="2168">S$397/(S412^S411)</f>
        <v>3.2349154591058742</v>
      </c>
      <c r="T413" s="182">
        <f t="shared" ref="T413" si="2169">T$397/(T412^T411)</f>
        <v>3.1797484219085819</v>
      </c>
      <c r="U413" s="182">
        <f t="shared" ref="U413" si="2170">U$397/(U412^U411)</f>
        <v>3.0984958487100211</v>
      </c>
      <c r="V413" s="182">
        <f t="shared" ref="V413" si="2171">V$397/(V412^V411)</f>
        <v>3.042936941627473</v>
      </c>
      <c r="W413" s="182">
        <f t="shared" ref="W413" si="2172">W$397/(W412^W411)</f>
        <v>2.9589729567994296</v>
      </c>
      <c r="X413" s="182">
        <f t="shared" ref="X413" si="2173">X$397/(X412^X411)</f>
        <v>2.9034666158310625</v>
      </c>
      <c r="Y413" s="182">
        <f t="shared" ref="Y413" si="2174">Y$397/(Y412^Y411)</f>
        <v>2.8162730740735058</v>
      </c>
      <c r="Z413" s="182">
        <f t="shared" ref="Z413" si="2175">Z$397/(Z412^Z411)</f>
        <v>2.761118381722302</v>
      </c>
      <c r="AA413" s="182">
        <f t="shared" ref="AA413" si="2176">AA$397/(AA412^AA411)</f>
        <v>2.6838830084039977</v>
      </c>
      <c r="AB413" s="182">
        <f t="shared" ref="AB413" si="2177">AB$397/(AB412^AB411)</f>
        <v>2.6298837396940207</v>
      </c>
    </row>
    <row r="414" spans="2:28">
      <c r="B414" s="135">
        <v>43646</v>
      </c>
    </row>
    <row r="415" spans="2:28">
      <c r="B415" t="s">
        <v>210</v>
      </c>
      <c r="N415" s="182">
        <f t="shared" ref="N415" si="2178">(N$396-$B414)/365</f>
        <v>0.36301369863013699</v>
      </c>
      <c r="O415" s="182">
        <f t="shared" ref="O415" si="2179">(O$396-$B414)/365</f>
        <v>0.86301369863013699</v>
      </c>
      <c r="P415" s="182">
        <f t="shared" ref="P415" si="2180">(P$396-$B414)/365</f>
        <v>1.3630136986301369</v>
      </c>
      <c r="Q415" s="182">
        <f t="shared" ref="Q415" si="2181">(Q$396-$B414)/365</f>
        <v>1.8630136986301369</v>
      </c>
      <c r="R415" s="182">
        <f t="shared" ref="R415" si="2182">(R$396-$B414)/365</f>
        <v>2.3630136986301369</v>
      </c>
      <c r="S415" s="182">
        <f t="shared" ref="S415" si="2183">(S$396-$B414)/365</f>
        <v>2.8630136986301369</v>
      </c>
      <c r="T415" s="182">
        <f t="shared" ref="T415" si="2184">(T$396-$B414)/365</f>
        <v>3.3630136986301369</v>
      </c>
      <c r="U415" s="182">
        <f t="shared" ref="U415" si="2185">(U$396-$B414)/365</f>
        <v>3.8630136986301369</v>
      </c>
      <c r="V415" s="182">
        <f t="shared" ref="V415" si="2186">(V$396-$B414)/365</f>
        <v>4.3630136986301373</v>
      </c>
      <c r="W415" s="182">
        <f t="shared" ref="W415" si="2187">(W$396-$B414)/365</f>
        <v>4.8630136986301373</v>
      </c>
      <c r="X415" s="182">
        <f t="shared" ref="X415" si="2188">(X$396-$B414)/365</f>
        <v>5.3630136986301373</v>
      </c>
      <c r="Y415" s="182">
        <f t="shared" ref="Y415" si="2189">(Y$396-$B414)/365</f>
        <v>5.8630136986301373</v>
      </c>
      <c r="Z415" s="182">
        <f t="shared" ref="Z415" si="2190">(Z$396-$B414)/365</f>
        <v>6.3630136986301373</v>
      </c>
      <c r="AA415" s="182">
        <f t="shared" ref="AA415" si="2191">(AA$396-$B414)/365</f>
        <v>6.8630136986301373</v>
      </c>
      <c r="AB415" s="182">
        <f t="shared" ref="AB415" si="2192">(AB$396-$B414)/365</f>
        <v>7.3630136986301373</v>
      </c>
    </row>
    <row r="416" spans="2:28">
      <c r="B416" t="s">
        <v>211</v>
      </c>
      <c r="N416" s="183">
        <f>1+((INDEX('Yield Curve'!$B$48:$P$91,MATCH(ROUND(N415,0),'Yield Curve'!$B$48:$B$91,0),MATCH(YEAR($B414),'Yield Curve'!$B$48:$P$48,0)))/100)</f>
        <v>1.02305</v>
      </c>
      <c r="O416" s="183">
        <f>1+((INDEX('Yield Curve'!$B$48:$P$91,MATCH(ROUND(O415,0),'Yield Curve'!$B$48:$B$91,0),MATCH(YEAR($B414),'Yield Curve'!$B$48:$P$48,0)))/100)</f>
        <v>1.02305</v>
      </c>
      <c r="P416" s="183">
        <f>1+((INDEX('Yield Curve'!$B$48:$P$91,MATCH(ROUND(P415,0),'Yield Curve'!$B$48:$B$91,0),MATCH(YEAR($B414),'Yield Curve'!$B$48:$P$48,0)))/100)</f>
        <v>1.02305</v>
      </c>
      <c r="Q416" s="183">
        <f>1+((INDEX('Yield Curve'!$B$48:$P$91,MATCH(ROUND(Q415,0),'Yield Curve'!$B$48:$B$91,0),MATCH(YEAR($B414),'Yield Curve'!$B$48:$P$48,0)))/100)</f>
        <v>1.02305</v>
      </c>
      <c r="R416" s="183">
        <f>1+((INDEX('Yield Curve'!$B$48:$P$91,MATCH(ROUND(R415,0),'Yield Curve'!$B$48:$B$91,0),MATCH(YEAR($B414),'Yield Curve'!$B$48:$P$48,0)))/100)</f>
        <v>1.02305</v>
      </c>
      <c r="S416" s="183">
        <f>1+((INDEX('Yield Curve'!$B$48:$P$91,MATCH(ROUND(S415,0),'Yield Curve'!$B$48:$B$91,0),MATCH(YEAR($B414),'Yield Curve'!$B$48:$P$48,0)))/100)</f>
        <v>1.02305</v>
      </c>
      <c r="T416" s="183">
        <f>1+((INDEX('Yield Curve'!$B$48:$P$91,MATCH(ROUND(T415,0),'Yield Curve'!$B$48:$B$91,0),MATCH(YEAR($B414),'Yield Curve'!$B$48:$P$48,0)))/100)</f>
        <v>1.02305</v>
      </c>
      <c r="U416" s="183">
        <f>1+((INDEX('Yield Curve'!$B$48:$P$91,MATCH(ROUND(U415,0),'Yield Curve'!$B$48:$B$91,0),MATCH(YEAR($B414),'Yield Curve'!$B$48:$P$48,0)))/100)</f>
        <v>1.024575</v>
      </c>
      <c r="V416" s="183">
        <f>1+((INDEX('Yield Curve'!$B$48:$P$91,MATCH(ROUND(V415,0),'Yield Curve'!$B$48:$B$91,0),MATCH(YEAR($B414),'Yield Curve'!$B$48:$P$48,0)))/100)</f>
        <v>1.024575</v>
      </c>
      <c r="W416" s="183">
        <f>1+((INDEX('Yield Curve'!$B$48:$P$91,MATCH(ROUND(W415,0),'Yield Curve'!$B$48:$B$91,0),MATCH(YEAR($B414),'Yield Curve'!$B$48:$P$48,0)))/100)</f>
        <v>1.0261</v>
      </c>
      <c r="X416" s="183">
        <f>1+((INDEX('Yield Curve'!$B$48:$P$91,MATCH(ROUND(X415,0),'Yield Curve'!$B$48:$B$91,0),MATCH(YEAR($B414),'Yield Curve'!$B$48:$P$48,0)))/100)</f>
        <v>1.0261</v>
      </c>
      <c r="Y416" s="183">
        <f>1+((INDEX('Yield Curve'!$B$48:$P$91,MATCH(ROUND(Y415,0),'Yield Curve'!$B$48:$B$91,0),MATCH(YEAR($B414),'Yield Curve'!$B$48:$P$48,0)))/100)</f>
        <v>1.028375</v>
      </c>
      <c r="Z416" s="183">
        <f>1+((INDEX('Yield Curve'!$B$48:$P$91,MATCH(ROUND(Z415,0),'Yield Curve'!$B$48:$B$91,0),MATCH(YEAR($B414),'Yield Curve'!$B$48:$P$48,0)))/100)</f>
        <v>1.028375</v>
      </c>
      <c r="AA416" s="183">
        <f>1+((INDEX('Yield Curve'!$B$48:$P$91,MATCH(ROUND(AA415,0),'Yield Curve'!$B$48:$B$91,0),MATCH(YEAR($B414),'Yield Curve'!$B$48:$P$48,0)))/100)</f>
        <v>1.0306500000000001</v>
      </c>
      <c r="AB416" s="183">
        <f>1+((INDEX('Yield Curve'!$B$48:$P$91,MATCH(ROUND(AB415,0),'Yield Curve'!$B$48:$B$91,0),MATCH(YEAR($B414),'Yield Curve'!$B$48:$P$48,0)))/100)</f>
        <v>1.0306500000000001</v>
      </c>
    </row>
    <row r="417" spans="2:28">
      <c r="B417" t="s">
        <v>212</v>
      </c>
      <c r="C417" s="182">
        <f>SUM(D417:AM417)</f>
        <v>50.148320827848273</v>
      </c>
      <c r="N417" s="182">
        <f t="shared" ref="N417" si="2193">N$397/(N416^N415)</f>
        <v>3.6642493173826751</v>
      </c>
      <c r="O417" s="182">
        <f t="shared" ref="O417" si="2194">O$397/(O416^O415)</f>
        <v>3.6227351571708106</v>
      </c>
      <c r="P417" s="182">
        <f t="shared" ref="P417" si="2195">P$397/(P416^P415)</f>
        <v>3.5816913321760184</v>
      </c>
      <c r="Q417" s="182">
        <f t="shared" ref="Q417" si="2196">Q$397/(Q416^Q415)</f>
        <v>3.5411125137293493</v>
      </c>
      <c r="R417" s="182">
        <f t="shared" ref="R417" si="2197">R$397/(R416^R415)</f>
        <v>3.5009934335330803</v>
      </c>
      <c r="S417" s="182">
        <f t="shared" ref="S417" si="2198">S$397/(S416^S415)</f>
        <v>3.4613288829767352</v>
      </c>
      <c r="T417" s="182">
        <f t="shared" ref="T417" si="2199">T$397/(T416^T415)</f>
        <v>3.4221137124608578</v>
      </c>
      <c r="U417" s="182">
        <f t="shared" ref="U417" si="2200">U$397/(U416^U415)</f>
        <v>3.363930715162589</v>
      </c>
      <c r="V417" s="182">
        <f t="shared" ref="V417" si="2201">V$397/(V416^V415)</f>
        <v>3.3233429856196941</v>
      </c>
      <c r="W417" s="182">
        <f t="shared" ref="W417" si="2202">W$397/(W416^W415)</f>
        <v>3.2595834729362454</v>
      </c>
      <c r="X417" s="182">
        <f t="shared" ref="X417" si="2203">X$397/(X416^X415)</f>
        <v>3.2178608749152007</v>
      </c>
      <c r="Y417" s="182">
        <f t="shared" ref="Y417" si="2204">Y$397/(Y416^Y415)</f>
        <v>3.1356908580432044</v>
      </c>
      <c r="Z417" s="182">
        <f t="shared" ref="Z417" si="2205">Z$397/(Z416^Z415)</f>
        <v>3.0921281512765733</v>
      </c>
      <c r="AA417" s="182">
        <f t="shared" ref="AA417" si="2206">AA$397/(AA416^AA415)</f>
        <v>3.0032764728847043</v>
      </c>
      <c r="AB417" s="182">
        <f t="shared" ref="AB417" si="2207">AB$397/(AB416^AB415)</f>
        <v>2.9582829475805306</v>
      </c>
    </row>
    <row r="418" spans="2:28">
      <c r="B418" s="135">
        <v>44012</v>
      </c>
    </row>
    <row r="419" spans="2:28">
      <c r="B419" t="s">
        <v>210</v>
      </c>
      <c r="P419" s="182">
        <f t="shared" ref="P419" si="2208">(P$396-$B418)/365</f>
        <v>0.36027397260273974</v>
      </c>
      <c r="Q419" s="182">
        <f t="shared" ref="Q419" si="2209">(Q$396-$B418)/365</f>
        <v>0.86027397260273974</v>
      </c>
      <c r="R419" s="182">
        <f t="shared" ref="R419" si="2210">(R$396-$B418)/365</f>
        <v>1.3602739726027397</v>
      </c>
      <c r="S419" s="182">
        <f t="shared" ref="S419" si="2211">(S$396-$B418)/365</f>
        <v>1.8602739726027397</v>
      </c>
      <c r="T419" s="182">
        <f t="shared" ref="T419" si="2212">(T$396-$B418)/365</f>
        <v>2.3602739726027395</v>
      </c>
      <c r="U419" s="182">
        <f t="shared" ref="U419" si="2213">(U$396-$B418)/365</f>
        <v>2.8602739726027395</v>
      </c>
      <c r="V419" s="182">
        <f t="shared" ref="V419" si="2214">(V$396-$B418)/365</f>
        <v>3.3602739726027395</v>
      </c>
      <c r="W419" s="182">
        <f t="shared" ref="W419" si="2215">(W$396-$B418)/365</f>
        <v>3.8602739726027395</v>
      </c>
      <c r="X419" s="182">
        <f t="shared" ref="X419" si="2216">(X$396-$B418)/365</f>
        <v>4.36027397260274</v>
      </c>
      <c r="Y419" s="182">
        <f t="shared" ref="Y419" si="2217">(Y$396-$B418)/365</f>
        <v>4.86027397260274</v>
      </c>
      <c r="Z419" s="182">
        <f t="shared" ref="Z419" si="2218">(Z$396-$B418)/365</f>
        <v>5.36027397260274</v>
      </c>
      <c r="AA419" s="182">
        <f t="shared" ref="AA419" si="2219">(AA$396-$B418)/365</f>
        <v>5.86027397260274</v>
      </c>
      <c r="AB419" s="182">
        <f t="shared" ref="AB419" si="2220">(AB$396-$B418)/365</f>
        <v>6.36027397260274</v>
      </c>
    </row>
    <row r="420" spans="2:28">
      <c r="B420" t="s">
        <v>211</v>
      </c>
      <c r="P420" s="183">
        <f>1+((INDEX('Yield Curve'!$B$48:$P$91,MATCH(ROUND(P419,0),'Yield Curve'!$B$48:$B$91,0),MATCH(YEAR($B418),'Yield Curve'!$B$48:$P$48,0)))/100)</f>
        <v>1.02105</v>
      </c>
      <c r="Q420" s="183">
        <f>1+((INDEX('Yield Curve'!$B$48:$P$91,MATCH(ROUND(Q419,0),'Yield Curve'!$B$48:$B$91,0),MATCH(YEAR($B418),'Yield Curve'!$B$48:$P$48,0)))/100)</f>
        <v>1.02105</v>
      </c>
      <c r="R420" s="183">
        <f>1+((INDEX('Yield Curve'!$B$48:$P$91,MATCH(ROUND(R419,0),'Yield Curve'!$B$48:$B$91,0),MATCH(YEAR($B418),'Yield Curve'!$B$48:$P$48,0)))/100)</f>
        <v>1.02105</v>
      </c>
      <c r="S420" s="183">
        <f>1+((INDEX('Yield Curve'!$B$48:$P$91,MATCH(ROUND(S419,0),'Yield Curve'!$B$48:$B$91,0),MATCH(YEAR($B418),'Yield Curve'!$B$48:$P$48,0)))/100)</f>
        <v>1.02105</v>
      </c>
      <c r="T420" s="183">
        <f>1+((INDEX('Yield Curve'!$B$48:$P$91,MATCH(ROUND(T419,0),'Yield Curve'!$B$48:$B$91,0),MATCH(YEAR($B418),'Yield Curve'!$B$48:$P$48,0)))/100)</f>
        <v>1.02105</v>
      </c>
      <c r="U420" s="183">
        <f>1+((INDEX('Yield Curve'!$B$48:$P$91,MATCH(ROUND(U419,0),'Yield Curve'!$B$48:$B$91,0),MATCH(YEAR($B418),'Yield Curve'!$B$48:$P$48,0)))/100)</f>
        <v>1.02105</v>
      </c>
      <c r="V420" s="183">
        <f>1+((INDEX('Yield Curve'!$B$48:$P$91,MATCH(ROUND(V419,0),'Yield Curve'!$B$48:$B$91,0),MATCH(YEAR($B418),'Yield Curve'!$B$48:$P$48,0)))/100)</f>
        <v>1.02105</v>
      </c>
      <c r="W420" s="183">
        <f>1+((INDEX('Yield Curve'!$B$48:$P$91,MATCH(ROUND(W419,0),'Yield Curve'!$B$48:$B$91,0),MATCH(YEAR($B418),'Yield Curve'!$B$48:$P$48,0)))/100)</f>
        <v>1.0229999999999999</v>
      </c>
      <c r="X420" s="183">
        <f>1+((INDEX('Yield Curve'!$B$48:$P$91,MATCH(ROUND(X419,0),'Yield Curve'!$B$48:$B$91,0),MATCH(YEAR($B418),'Yield Curve'!$B$48:$P$48,0)))/100)</f>
        <v>1.0229999999999999</v>
      </c>
      <c r="Y420" s="183">
        <f>1+((INDEX('Yield Curve'!$B$48:$P$91,MATCH(ROUND(Y419,0),'Yield Curve'!$B$48:$B$91,0),MATCH(YEAR($B418),'Yield Curve'!$B$48:$P$48,0)))/100)</f>
        <v>1.02495</v>
      </c>
      <c r="Z420" s="183">
        <f>1+((INDEX('Yield Curve'!$B$48:$P$91,MATCH(ROUND(Z419,0),'Yield Curve'!$B$48:$B$91,0),MATCH(YEAR($B418),'Yield Curve'!$B$48:$P$48,0)))/100)</f>
        <v>1.02495</v>
      </c>
      <c r="AA420" s="183">
        <f>1+((INDEX('Yield Curve'!$B$48:$P$91,MATCH(ROUND(AA419,0),'Yield Curve'!$B$48:$B$91,0),MATCH(YEAR($B418),'Yield Curve'!$B$48:$P$48,0)))/100)</f>
        <v>1.0282249999999999</v>
      </c>
      <c r="AB420" s="183">
        <f>1+((INDEX('Yield Curve'!$B$48:$P$91,MATCH(ROUND(AB419,0),'Yield Curve'!$B$48:$B$91,0),MATCH(YEAR($B418),'Yield Curve'!$B$48:$P$48,0)))/100)</f>
        <v>1.0282249999999999</v>
      </c>
    </row>
    <row r="421" spans="2:28">
      <c r="B421" t="s">
        <v>212</v>
      </c>
      <c r="C421" s="182">
        <f>SUM(D421:AM421)</f>
        <v>44.364231275503123</v>
      </c>
      <c r="P421" s="182">
        <f t="shared" ref="P421" si="2221">P$397/(P420^P419)</f>
        <v>3.6670624762175534</v>
      </c>
      <c r="Q421" s="182">
        <f t="shared" ref="Q421" si="2222">Q$397/(Q420^Q419)</f>
        <v>3.6290654798814712</v>
      </c>
      <c r="R421" s="182">
        <f t="shared" ref="R421" si="2223">R$397/(R420^R419)</f>
        <v>3.5914621969713068</v>
      </c>
      <c r="S421" s="182">
        <f t="shared" ref="S421" si="2224">S$397/(S420^S419)</f>
        <v>3.5542485479471826</v>
      </c>
      <c r="T421" s="182">
        <f t="shared" ref="T421" si="2225">T$397/(T420^T419)</f>
        <v>3.5174204955401858</v>
      </c>
      <c r="U421" s="182">
        <f t="shared" ref="U421" si="2226">U$397/(U420^U419)</f>
        <v>3.4809740443143657</v>
      </c>
      <c r="V421" s="182">
        <f t="shared" ref="V421" si="2227">V$397/(V420^V419)</f>
        <v>3.4449052402332754</v>
      </c>
      <c r="W421" s="182">
        <f t="shared" ref="W421" si="2228">W$397/(W420^W419)</f>
        <v>3.3841925064562943</v>
      </c>
      <c r="X421" s="182">
        <f t="shared" ref="X421" si="2229">X$397/(X420^X419)</f>
        <v>3.3459330181914568</v>
      </c>
      <c r="Y421" s="182">
        <f t="shared" ref="Y421" si="2230">Y$397/(Y420^Y419)</f>
        <v>3.2776287114240801</v>
      </c>
      <c r="Z421" s="182">
        <f t="shared" ref="Z421" si="2231">Z$397/(Z420^Z419)</f>
        <v>3.2374898492320643</v>
      </c>
      <c r="AA421" s="182">
        <f t="shared" ref="AA421" si="2232">AA$397/(AA420^AA419)</f>
        <v>3.1386131340453538</v>
      </c>
      <c r="AB421" s="182">
        <f t="shared" ref="AB421" si="2233">AB$397/(AB420^AB419)</f>
        <v>3.0952355750485419</v>
      </c>
    </row>
    <row r="422" spans="2:28">
      <c r="B422" s="135">
        <v>44377</v>
      </c>
    </row>
    <row r="423" spans="2:28">
      <c r="B423" t="s">
        <v>210</v>
      </c>
      <c r="R423" s="182">
        <f t="shared" ref="R423" si="2234">(R$396-$B422)/365</f>
        <v>0.36027397260273974</v>
      </c>
      <c r="S423" s="182">
        <f t="shared" ref="S423" si="2235">(S$396-$B422)/365</f>
        <v>0.86027397260273974</v>
      </c>
      <c r="T423" s="182">
        <f t="shared" ref="T423" si="2236">(T$396-$B422)/365</f>
        <v>1.3602739726027397</v>
      </c>
      <c r="U423" s="182">
        <f t="shared" ref="U423" si="2237">(U$396-$B422)/365</f>
        <v>1.8602739726027397</v>
      </c>
      <c r="V423" s="182">
        <f t="shared" ref="V423" si="2238">(V$396-$B422)/365</f>
        <v>2.3602739726027395</v>
      </c>
      <c r="W423" s="182">
        <f t="shared" ref="W423" si="2239">(W$396-$B422)/365</f>
        <v>2.8602739726027395</v>
      </c>
      <c r="X423" s="182">
        <f t="shared" ref="X423" si="2240">(X$396-$B422)/365</f>
        <v>3.3602739726027395</v>
      </c>
      <c r="Y423" s="182">
        <f t="shared" ref="Y423" si="2241">(Y$396-$B422)/365</f>
        <v>3.8602739726027395</v>
      </c>
      <c r="Z423" s="182">
        <f t="shared" ref="Z423" si="2242">(Z$396-$B422)/365</f>
        <v>4.36027397260274</v>
      </c>
      <c r="AA423" s="182">
        <f t="shared" ref="AA423" si="2243">(AA$396-$B422)/365</f>
        <v>4.86027397260274</v>
      </c>
      <c r="AB423" s="182">
        <f t="shared" ref="AB423" si="2244">(AB$396-$B422)/365</f>
        <v>5.36027397260274</v>
      </c>
    </row>
    <row r="424" spans="2:28">
      <c r="B424" t="s">
        <v>211</v>
      </c>
      <c r="R424" s="183">
        <f>1+((INDEX('Yield Curve'!$B$48:$P$91,MATCH(ROUND(R423,0),'Yield Curve'!$B$48:$B$91,0),MATCH(YEAR($B422),'Yield Curve'!$B$48:$P$48,0)))/100)</f>
        <v>1.0129999999999999</v>
      </c>
      <c r="S424" s="183">
        <f>1+((INDEX('Yield Curve'!$B$48:$P$91,MATCH(ROUND(S423,0),'Yield Curve'!$B$48:$B$91,0),MATCH(YEAR($B422),'Yield Curve'!$B$48:$P$48,0)))/100)</f>
        <v>1.0129999999999999</v>
      </c>
      <c r="T424" s="183">
        <f>1+((INDEX('Yield Curve'!$B$48:$P$91,MATCH(ROUND(T423,0),'Yield Curve'!$B$48:$B$91,0),MATCH(YEAR($B422),'Yield Curve'!$B$48:$P$48,0)))/100)</f>
        <v>1.0129999999999999</v>
      </c>
      <c r="U424" s="183">
        <f>1+((INDEX('Yield Curve'!$B$48:$P$91,MATCH(ROUND(U423,0),'Yield Curve'!$B$48:$B$91,0),MATCH(YEAR($B422),'Yield Curve'!$B$48:$P$48,0)))/100)</f>
        <v>1.0129999999999999</v>
      </c>
      <c r="V424" s="183">
        <f>1+((INDEX('Yield Curve'!$B$48:$P$91,MATCH(ROUND(V423,0),'Yield Curve'!$B$48:$B$91,0),MATCH(YEAR($B422),'Yield Curve'!$B$48:$P$48,0)))/100)</f>
        <v>1.0129999999999999</v>
      </c>
      <c r="W424" s="183">
        <f>1+((INDEX('Yield Curve'!$B$48:$P$91,MATCH(ROUND(W423,0),'Yield Curve'!$B$48:$B$91,0),MATCH(YEAR($B422),'Yield Curve'!$B$48:$P$48,0)))/100)</f>
        <v>1.0129999999999999</v>
      </c>
      <c r="X424" s="183">
        <f>1+((INDEX('Yield Curve'!$B$48:$P$91,MATCH(ROUND(X423,0),'Yield Curve'!$B$48:$B$91,0),MATCH(YEAR($B422),'Yield Curve'!$B$48:$P$48,0)))/100)</f>
        <v>1.0129999999999999</v>
      </c>
      <c r="Y424" s="183">
        <f>1+((INDEX('Yield Curve'!$B$48:$P$91,MATCH(ROUND(Y423,0),'Yield Curve'!$B$48:$B$91,0),MATCH(YEAR($B422),'Yield Curve'!$B$48:$P$48,0)))/100)</f>
        <v>1.0161249999999999</v>
      </c>
      <c r="Z424" s="183">
        <f>1+((INDEX('Yield Curve'!$B$48:$P$91,MATCH(ROUND(Z423,0),'Yield Curve'!$B$48:$B$91,0),MATCH(YEAR($B422),'Yield Curve'!$B$48:$P$48,0)))/100)</f>
        <v>1.0161249999999999</v>
      </c>
      <c r="AA424" s="183">
        <f>1+((INDEX('Yield Curve'!$B$48:$P$91,MATCH(ROUND(AA423,0),'Yield Curve'!$B$48:$B$91,0),MATCH(YEAR($B422),'Yield Curve'!$B$48:$P$48,0)))/100)</f>
        <v>1.01925</v>
      </c>
      <c r="AB424" s="183">
        <f>1+((INDEX('Yield Curve'!$B$48:$P$91,MATCH(ROUND(AB423,0),'Yield Curve'!$B$48:$B$91,0),MATCH(YEAR($B422),'Yield Curve'!$B$48:$P$48,0)))/100)</f>
        <v>1.01925</v>
      </c>
    </row>
    <row r="425" spans="2:28">
      <c r="B425" t="s">
        <v>212</v>
      </c>
      <c r="C425" s="182">
        <f>SUM(D425:AM425)</f>
        <v>38.873522796641105</v>
      </c>
      <c r="R425" s="182">
        <f t="shared" ref="R425" si="2245">R$397/(R424^R423)</f>
        <v>3.6775346561658395</v>
      </c>
      <c r="S425" s="182">
        <f t="shared" ref="S425" si="2246">S$397/(S424^S423)</f>
        <v>3.6538612481903909</v>
      </c>
      <c r="T425" s="182">
        <f t="shared" ref="T425" si="2247">T$397/(T424^T423)</f>
        <v>3.6303402331350836</v>
      </c>
      <c r="U425" s="182">
        <f t="shared" ref="U425" si="2248">U$397/(U424^U423)</f>
        <v>3.6069706300003861</v>
      </c>
      <c r="V425" s="182">
        <f t="shared" ref="V425" si="2249">V$397/(V424^V423)</f>
        <v>3.5837514641017609</v>
      </c>
      <c r="W425" s="182">
        <f t="shared" ref="W425" si="2250">W$397/(W424^W423)</f>
        <v>3.5606817670290098</v>
      </c>
      <c r="X425" s="182">
        <f t="shared" ref="X425" si="2251">X$397/(X424^X423)</f>
        <v>3.5377605766058853</v>
      </c>
      <c r="Y425" s="182">
        <f t="shared" ref="Y425" si="2252">Y$397/(Y424^Y423)</f>
        <v>3.4734404760088147</v>
      </c>
      <c r="Z425" s="182">
        <f t="shared" ref="Z425" si="2253">Z$397/(Z424^Z423)</f>
        <v>3.4457700552401502</v>
      </c>
      <c r="AA425" s="182">
        <f t="shared" ref="AA425" si="2254">AA$397/(AA424^AA423)</f>
        <v>3.3676825204639118</v>
      </c>
      <c r="AB425" s="182">
        <f t="shared" ref="AB425" si="2255">AB$397/(AB424^AB423)</f>
        <v>3.3357291696998757</v>
      </c>
    </row>
    <row r="426" spans="2:28">
      <c r="B426" s="135">
        <v>44552</v>
      </c>
    </row>
    <row r="427" spans="2:28">
      <c r="B427" t="s">
        <v>210</v>
      </c>
      <c r="S427" s="182">
        <f t="shared" ref="S427" si="2256">(S$396-$B426)/365</f>
        <v>0.38082191780821917</v>
      </c>
      <c r="T427" s="182">
        <f t="shared" ref="T427" si="2257">(T$396-$B426)/365</f>
        <v>0.88082191780821917</v>
      </c>
      <c r="U427" s="182">
        <f t="shared" ref="U427" si="2258">(U$396-$B426)/365</f>
        <v>1.3808219178082193</v>
      </c>
      <c r="V427" s="182">
        <f t="shared" ref="V427" si="2259">(V$396-$B426)/365</f>
        <v>1.8808219178082193</v>
      </c>
      <c r="W427" s="182">
        <f t="shared" ref="W427" si="2260">(W$396-$B426)/365</f>
        <v>2.3808219178082193</v>
      </c>
      <c r="X427" s="182">
        <f t="shared" ref="X427" si="2261">(X$396-$B426)/365</f>
        <v>2.8808219178082193</v>
      </c>
      <c r="Y427" s="182">
        <f t="shared" ref="Y427" si="2262">(Y$396-$B426)/365</f>
        <v>3.3808219178082193</v>
      </c>
      <c r="Z427" s="182">
        <f t="shared" ref="Z427" si="2263">(Z$396-$B426)/365</f>
        <v>3.8808219178082193</v>
      </c>
      <c r="AA427" s="182">
        <f t="shared" ref="AA427" si="2264">(AA$396-$B426)/365</f>
        <v>4.3808219178082188</v>
      </c>
      <c r="AB427" s="182">
        <f t="shared" ref="AB427" si="2265">(AB$396-$B426)/365</f>
        <v>4.8808219178082188</v>
      </c>
    </row>
    <row r="428" spans="2:28">
      <c r="B428" t="s">
        <v>211</v>
      </c>
      <c r="S428" s="183">
        <f>1+((INDEX('Yield Curve'!$B$48:$P$91,MATCH(ROUND(S427,0),'Yield Curve'!$B$48:$B$91,0),MATCH(YEAR($B426)+1,'Yield Curve'!$B$48:$P$48,0)))/100)</f>
        <v>1.0212000000000001</v>
      </c>
      <c r="T428" s="183">
        <f>1+((INDEX('Yield Curve'!$B$48:$P$91,MATCH(ROUND(T427,0),'Yield Curve'!$B$48:$B$91,0),MATCH(YEAR($B426)+1,'Yield Curve'!$B$48:$P$48,0)))/100)</f>
        <v>1.0212000000000001</v>
      </c>
      <c r="U428" s="183">
        <f>1+((INDEX('Yield Curve'!$B$48:$P$91,MATCH(ROUND(U427,0),'Yield Curve'!$B$48:$B$91,0),MATCH(YEAR($B426)+1,'Yield Curve'!$B$48:$P$48,0)))/100)</f>
        <v>1.0212000000000001</v>
      </c>
      <c r="V428" s="183">
        <f>1+((INDEX('Yield Curve'!$B$48:$P$91,MATCH(ROUND(V427,0),'Yield Curve'!$B$48:$B$91,0),MATCH(YEAR($B426)+1,'Yield Curve'!$B$48:$P$48,0)))/100)</f>
        <v>1.0212000000000001</v>
      </c>
      <c r="W428" s="183">
        <f>1+((INDEX('Yield Curve'!$B$48:$P$91,MATCH(ROUND(W427,0),'Yield Curve'!$B$48:$B$91,0),MATCH(YEAR($B426)+1,'Yield Curve'!$B$48:$P$48,0)))/100)</f>
        <v>1.0212000000000001</v>
      </c>
      <c r="X428" s="183">
        <f>1+((INDEX('Yield Curve'!$B$48:$P$91,MATCH(ROUND(X427,0),'Yield Curve'!$B$48:$B$91,0),MATCH(YEAR($B426)+1,'Yield Curve'!$B$48:$P$48,0)))/100)</f>
        <v>1.0212000000000001</v>
      </c>
      <c r="Y428" s="183">
        <f>1+((INDEX('Yield Curve'!$B$48:$P$91,MATCH(ROUND(Y427,0),'Yield Curve'!$B$48:$B$91,0),MATCH(YEAR($B426)+1,'Yield Curve'!$B$48:$P$48,0)))/100)</f>
        <v>1.0212000000000001</v>
      </c>
      <c r="Z428" s="183">
        <f>1+((INDEX('Yield Curve'!$B$48:$P$91,MATCH(ROUND(Z427,0),'Yield Curve'!$B$48:$B$91,0),MATCH(YEAR($B426)+1,'Yield Curve'!$B$48:$P$48,0)))/100)</f>
        <v>1.0245</v>
      </c>
      <c r="AA428" s="183">
        <f>1+((INDEX('Yield Curve'!$B$48:$P$91,MATCH(ROUND(AA427,0),'Yield Curve'!$B$48:$B$91,0),MATCH(YEAR($B426)+1,'Yield Curve'!$B$48:$P$48,0)))/100)</f>
        <v>1.0245</v>
      </c>
      <c r="AB428" s="183">
        <f>1+((INDEX('Yield Curve'!$B$48:$P$91,MATCH(ROUND(AB427,0),'Yield Curve'!$B$48:$B$91,0),MATCH(YEAR($B426)+1,'Yield Curve'!$B$48:$P$48,0)))/100)</f>
        <v>1.0278</v>
      </c>
    </row>
    <row r="429" spans="2:28">
      <c r="B429" t="s">
        <v>212</v>
      </c>
      <c r="C429" s="182">
        <f>SUM(D429:AM429)</f>
        <v>34.785967652609585</v>
      </c>
      <c r="S429" s="182">
        <f t="shared" ref="S429" si="2266">S$397/(S428^S427)</f>
        <v>3.665288097858022</v>
      </c>
      <c r="T429" s="182">
        <f t="shared" ref="T429" si="2267">T$397/(T428^T427)</f>
        <v>3.6270430767919617</v>
      </c>
      <c r="U429" s="182">
        <f t="shared" ref="U429" si="2268">U$397/(U428^U427)</f>
        <v>3.5891971189365663</v>
      </c>
      <c r="V429" s="182">
        <f t="shared" ref="V429" si="2269">V$397/(V428^V427)</f>
        <v>3.5517460603133189</v>
      </c>
      <c r="W429" s="182">
        <f t="shared" ref="W429" si="2270">W$397/(W428^W427)</f>
        <v>3.5146857803922504</v>
      </c>
      <c r="X429" s="182">
        <f t="shared" ref="X429" si="2271">X$397/(X428^X427)</f>
        <v>3.478012201638581</v>
      </c>
      <c r="Y429" s="182">
        <f t="shared" ref="Y429" si="2272">Y$397/(Y428^Y427)</f>
        <v>3.4417212890640911</v>
      </c>
      <c r="Z429" s="182">
        <f t="shared" ref="Z429" si="2273">Z$397/(Z428^Z427)</f>
        <v>3.3634320316957429</v>
      </c>
      <c r="AA429" s="182">
        <f t="shared" ref="AA429" si="2274">AA$397/(AA428^AA427)</f>
        <v>3.3229719438503169</v>
      </c>
      <c r="AB429" s="182">
        <f t="shared" ref="AB429" si="2275">AB$397/(AB428^AB427)</f>
        <v>3.2318700520687331</v>
      </c>
    </row>
    <row r="431" spans="2:28">
      <c r="B431" s="5" t="str">
        <f>'VPN Bonds'!A88</f>
        <v>38290700961</v>
      </c>
    </row>
    <row r="432" spans="2:28">
      <c r="B432" t="s">
        <v>66</v>
      </c>
      <c r="D432" s="180">
        <f>VLOOKUP(B431,'VPN Bonds'!$A$85:$K$104,4,FALSE)</f>
        <v>44518</v>
      </c>
      <c r="E432" s="180">
        <f>VLOOKUP(B431,'VPN Bonds'!$A$85:$K$104,10,FALSE)</f>
        <v>44672</v>
      </c>
      <c r="F432" s="180">
        <f>IF(E432+VLOOKUP($B431,'VPN Bonds'!$A$85:$K$104,9,FALSE)*365 &lt; VLOOKUP($B431,'VPN Bonds'!$A$85:$K$104,5,FALSE), E432+VLOOKUP($B431,'VPN Bonds'!$A$85:$K$104,9,FALSE)*365, VLOOKUP($B431,'VPN Bonds'!$A$85:$K$104,5,FALSE))</f>
        <v>45037</v>
      </c>
      <c r="G432" s="180">
        <f>IF(F432+VLOOKUP($B431,'VPN Bonds'!$A$85:$K$104,9,FALSE)*365 &lt; VLOOKUP($B431,'VPN Bonds'!$A$85:$K$104,5,FALSE), F432+VLOOKUP($B431,'VPN Bonds'!$A$85:$K$104,9,FALSE)*365, VLOOKUP($B431,'VPN Bonds'!$A$85:$K$104,5,FALSE))</f>
        <v>45402</v>
      </c>
      <c r="H432" s="180">
        <f>IF(G432+VLOOKUP($B431,'VPN Bonds'!$A$85:$K$104,9,FALSE)*365 &lt; VLOOKUP($B431,'VPN Bonds'!$A$85:$K$104,5,FALSE), G432+VLOOKUP($B431,'VPN Bonds'!$A$85:$K$104,9,FALSE)*365, VLOOKUP($B431,'VPN Bonds'!$A$85:$K$104,5,FALSE))</f>
        <v>45767</v>
      </c>
      <c r="I432" s="180">
        <f>IF(H432+VLOOKUP($B431,'VPN Bonds'!$A$85:$K$104,9,FALSE)*365 &lt; VLOOKUP($B431,'VPN Bonds'!$A$85:$K$104,5,FALSE), H432+VLOOKUP($B431,'VPN Bonds'!$A$85:$K$104,9,FALSE)*365, VLOOKUP($B431,'VPN Bonds'!$A$85:$K$104,5,FALSE))</f>
        <v>46132</v>
      </c>
      <c r="J432" s="27"/>
      <c r="K432" s="27"/>
      <c r="L432" s="27"/>
      <c r="M432" s="27"/>
      <c r="N432" s="27"/>
      <c r="O432" s="27"/>
      <c r="P432" s="27"/>
      <c r="Q432" s="27"/>
      <c r="R432" s="27"/>
      <c r="S432" s="27"/>
      <c r="T432" s="27"/>
      <c r="U432" s="27"/>
      <c r="V432" s="27"/>
      <c r="W432" s="27"/>
      <c r="X432" s="27"/>
      <c r="Y432" s="27"/>
      <c r="Z432" s="27"/>
      <c r="AA432" s="27"/>
      <c r="AB432" s="27"/>
    </row>
    <row r="433" spans="2:43">
      <c r="B433" t="s">
        <v>209</v>
      </c>
      <c r="E433" s="182">
        <f>IF(E432&lt;VLOOKUP($B431,'VPN Bonds'!$A$85:$K$104,5,FALSE),(VLOOKUP($B431,'VPN Bonds'!$A$85:$K$104,8,FALSE)/100)*(VLOOKUP($B431,'VPN Bonds'!$A$85:$K$104,9,FALSE))*(VLOOKUP($B431,'VPN Bonds'!$A$85:$K$104,6,FALSE)),(VLOOKUP($B431,'VPN Bonds'!$A$85:$K$104,6,FALSE)))</f>
        <v>0.24045</v>
      </c>
      <c r="F433" s="182">
        <f>IF(F432&lt;VLOOKUP($B431,'VPN Bonds'!$A$85:$K$104,5,FALSE),(VLOOKUP($B431,'VPN Bonds'!$A$85:$K$104,8,FALSE)/100)*(VLOOKUP($B431,'VPN Bonds'!$A$85:$K$104,9,FALSE))*(VLOOKUP($B431,'VPN Bonds'!$A$85:$K$104,6,FALSE)),(VLOOKUP($B431,'VPN Bonds'!$A$85:$K$104,6,FALSE)))</f>
        <v>0.24045</v>
      </c>
      <c r="G433" s="182">
        <f>IF(G432&lt;VLOOKUP($B431,'VPN Bonds'!$A$85:$K$104,5,FALSE),(VLOOKUP($B431,'VPN Bonds'!$A$85:$K$104,8,FALSE)/100)*(VLOOKUP($B431,'VPN Bonds'!$A$85:$K$104,9,FALSE))*(VLOOKUP($B431,'VPN Bonds'!$A$85:$K$104,6,FALSE)),(VLOOKUP($B431,'VPN Bonds'!$A$85:$K$104,6,FALSE)))</f>
        <v>0.24045</v>
      </c>
      <c r="H433" s="182">
        <f>IF(H432&lt;VLOOKUP($B431,'VPN Bonds'!$A$85:$K$104,5,FALSE),(VLOOKUP($B431,'VPN Bonds'!$A$85:$K$104,8,FALSE)/100)*(VLOOKUP($B431,'VPN Bonds'!$A$85:$K$104,9,FALSE))*(VLOOKUP($B431,'VPN Bonds'!$A$85:$K$104,6,FALSE)),(VLOOKUP($B431,'VPN Bonds'!$A$85:$K$104,6,FALSE)))</f>
        <v>0.24045</v>
      </c>
      <c r="I433" s="182">
        <f>IF(I432&lt;VLOOKUP($B431,'VPN Bonds'!$A$85:$K$104,5,FALSE),(VLOOKUP($B431,'VPN Bonds'!$A$85:$K$104,8,FALSE)/100)*(VLOOKUP($B431,'VPN Bonds'!$A$85:$K$104,9,FALSE))*(VLOOKUP($B431,'VPN Bonds'!$A$85:$K$104,6,FALSE)),(VLOOKUP($B431,'VPN Bonds'!$A$85:$K$104,6,FALSE)))</f>
        <v>0.24045</v>
      </c>
    </row>
    <row r="434" spans="2:43">
      <c r="B434" s="135">
        <v>44552</v>
      </c>
    </row>
    <row r="435" spans="2:43">
      <c r="B435" t="s">
        <v>210</v>
      </c>
      <c r="E435" s="182">
        <f>(E$432-$B434)/365</f>
        <v>0.32876712328767121</v>
      </c>
      <c r="F435" s="182">
        <f>(F$432-$B434)/365</f>
        <v>1.3287671232876712</v>
      </c>
      <c r="G435" s="182">
        <f t="shared" ref="G435:I435" si="2276">(G$432-$B434)/365</f>
        <v>2.3287671232876712</v>
      </c>
      <c r="H435" s="182">
        <f t="shared" si="2276"/>
        <v>3.3287671232876712</v>
      </c>
      <c r="I435" s="182">
        <f t="shared" si="2276"/>
        <v>4.3287671232876717</v>
      </c>
    </row>
    <row r="436" spans="2:43">
      <c r="B436" t="s">
        <v>211</v>
      </c>
      <c r="E436" s="183">
        <f>1+((INDEX('Yield Curve'!$B$48:$P$91,MATCH(ROUND(E435,0),'Yield Curve'!$B$48:$B$91,0),MATCH(YEAR($B434)+1,'Yield Curve'!$B$48:$P$48,0)))/100)</f>
        <v>1.0212000000000001</v>
      </c>
      <c r="F436" s="183">
        <f>1+((INDEX('Yield Curve'!$B$48:$P$91,MATCH(ROUND(F435,0),'Yield Curve'!$B$48:$B$91,0),MATCH(YEAR($B434)+1,'Yield Curve'!$B$48:$P$48,0)))/100)</f>
        <v>1.0212000000000001</v>
      </c>
      <c r="G436" s="183">
        <f>1+((INDEX('Yield Curve'!$B$48:$P$91,MATCH(ROUND(G435,0),'Yield Curve'!$B$48:$B$91,0),MATCH(YEAR($B434)+1,'Yield Curve'!$B$48:$P$48,0)))/100)</f>
        <v>1.0212000000000001</v>
      </c>
      <c r="H436" s="183">
        <f>1+((INDEX('Yield Curve'!$B$48:$P$91,MATCH(ROUND(H435,0),'Yield Curve'!$B$48:$B$91,0),MATCH(YEAR($B434)+1,'Yield Curve'!$B$48:$P$48,0)))/100)</f>
        <v>1.0212000000000001</v>
      </c>
      <c r="I436" s="183">
        <f>1+((INDEX('Yield Curve'!$B$48:$P$91,MATCH(ROUND(I435,0),'Yield Curve'!$B$48:$B$91,0),MATCH(YEAR($B434)+1,'Yield Curve'!$B$48:$P$48,0)))/100)</f>
        <v>1.0245</v>
      </c>
    </row>
    <row r="437" spans="2:43">
      <c r="B437" t="s">
        <v>212</v>
      </c>
      <c r="C437" s="182">
        <f>SUM(D437:AM437)</f>
        <v>1.142385795450088</v>
      </c>
      <c r="E437" s="182">
        <f>E$433/(E436^E435)</f>
        <v>0.2387973196968112</v>
      </c>
      <c r="F437" s="182">
        <f>F$433/(F436^F435)</f>
        <v>0.23383991352997566</v>
      </c>
      <c r="G437" s="182">
        <f t="shared" ref="G437:I437" si="2277">G$433/(G436^G435)</f>
        <v>0.22898542257146065</v>
      </c>
      <c r="H437" s="182">
        <f t="shared" si="2277"/>
        <v>0.22423171031282868</v>
      </c>
      <c r="I437" s="182">
        <f t="shared" si="2277"/>
        <v>0.21653142933901193</v>
      </c>
    </row>
    <row r="439" spans="2:43">
      <c r="B439" s="5" t="str">
        <f>'VPN Bonds'!A89</f>
        <v>32828360961</v>
      </c>
    </row>
    <row r="440" spans="2:43">
      <c r="B440" t="s">
        <v>66</v>
      </c>
      <c r="D440" s="180">
        <f>VLOOKUP(B439,'VPN Bonds'!$A$85:$K$104,4,FALSE)</f>
        <v>44518</v>
      </c>
      <c r="E440" s="180">
        <f>VLOOKUP(B439,'VPN Bonds'!$A$85:$K$104,10,FALSE)</f>
        <v>44672</v>
      </c>
      <c r="F440" s="180">
        <f>IF(E440+VLOOKUP($B439,'VPN Bonds'!$A$85:$K$104,9,FALSE)*365 &lt; VLOOKUP($B439,'VPN Bonds'!$A$85:$K$104,5,FALSE), E440+VLOOKUP($B439,'VPN Bonds'!$A$85:$K$104,9,FALSE)*365, VLOOKUP($B439,'VPN Bonds'!$A$85:$K$104,5,FALSE))</f>
        <v>45037</v>
      </c>
      <c r="G440" s="180">
        <f>IF(F440+VLOOKUP($B439,'VPN Bonds'!$A$85:$K$104,9,FALSE)*365 &lt; VLOOKUP($B439,'VPN Bonds'!$A$85:$K$104,5,FALSE), F440+VLOOKUP($B439,'VPN Bonds'!$A$85:$K$104,9,FALSE)*365, VLOOKUP($B439,'VPN Bonds'!$A$85:$K$104,5,FALSE))</f>
        <v>45402</v>
      </c>
      <c r="H440" s="180">
        <f>IF(G440+VLOOKUP($B439,'VPN Bonds'!$A$85:$K$104,9,FALSE)*365 &lt; VLOOKUP($B439,'VPN Bonds'!$A$85:$K$104,5,FALSE), G440+VLOOKUP($B439,'VPN Bonds'!$A$85:$K$104,9,FALSE)*365, VLOOKUP($B439,'VPN Bonds'!$A$85:$K$104,5,FALSE))</f>
        <v>45767</v>
      </c>
      <c r="I440" s="180">
        <f>IF(H440+VLOOKUP($B439,'VPN Bonds'!$A$85:$K$104,9,FALSE)*365 &lt; VLOOKUP($B439,'VPN Bonds'!$A$85:$K$104,5,FALSE), H440+VLOOKUP($B439,'VPN Bonds'!$A$85:$K$104,9,FALSE)*365, VLOOKUP($B439,'VPN Bonds'!$A$85:$K$104,5,FALSE))</f>
        <v>46132</v>
      </c>
    </row>
    <row r="441" spans="2:43">
      <c r="B441" t="s">
        <v>209</v>
      </c>
      <c r="E441" s="182">
        <f>IF(E440&lt;VLOOKUP($B439,'VPN Bonds'!$A$85:$K$104,5,FALSE),(VLOOKUP($B439,'VPN Bonds'!$A$85:$K$104,8,FALSE)/100)*(VLOOKUP($B439,'VPN Bonds'!$A$85:$K$104,9,FALSE))*(VLOOKUP($B439,'VPN Bonds'!$A$85:$K$104,6,FALSE)),(VLOOKUP($B439,'VPN Bonds'!$A$85:$K$104,6,FALSE)))</f>
        <v>1.0419499999999999</v>
      </c>
      <c r="F441" s="182">
        <f>IF(F440&lt;VLOOKUP($B439,'VPN Bonds'!$A$85:$K$104,5,FALSE),(VLOOKUP($B439,'VPN Bonds'!$A$85:$K$104,8,FALSE)/100)*(VLOOKUP($B439,'VPN Bonds'!$A$85:$K$104,9,FALSE))*(VLOOKUP($B439,'VPN Bonds'!$A$85:$K$104,6,FALSE)),(VLOOKUP($B439,'VPN Bonds'!$A$85:$K$104,6,FALSE)))</f>
        <v>1.0419499999999999</v>
      </c>
      <c r="G441" s="182">
        <f>IF(G440&lt;VLOOKUP($B439,'VPN Bonds'!$A$85:$K$104,5,FALSE),(VLOOKUP($B439,'VPN Bonds'!$A$85:$K$104,8,FALSE)/100)*(VLOOKUP($B439,'VPN Bonds'!$A$85:$K$104,9,FALSE))*(VLOOKUP($B439,'VPN Bonds'!$A$85:$K$104,6,FALSE)),(VLOOKUP($B439,'VPN Bonds'!$A$85:$K$104,6,FALSE)))</f>
        <v>1.0419499999999999</v>
      </c>
      <c r="H441" s="182">
        <f>IF(H440&lt;VLOOKUP($B439,'VPN Bonds'!$A$85:$K$104,5,FALSE),(VLOOKUP($B439,'VPN Bonds'!$A$85:$K$104,8,FALSE)/100)*(VLOOKUP($B439,'VPN Bonds'!$A$85:$K$104,9,FALSE))*(VLOOKUP($B439,'VPN Bonds'!$A$85:$K$104,6,FALSE)),(VLOOKUP($B439,'VPN Bonds'!$A$85:$K$104,6,FALSE)))</f>
        <v>1.0419499999999999</v>
      </c>
      <c r="I441" s="182">
        <f>IF(I440&lt;VLOOKUP($B439,'VPN Bonds'!$A$85:$K$104,5,FALSE),(VLOOKUP($B439,'VPN Bonds'!$A$85:$K$104,8,FALSE)/100)*(VLOOKUP($B439,'VPN Bonds'!$A$85:$K$104,9,FALSE))*(VLOOKUP($B439,'VPN Bonds'!$A$85:$K$104,6,FALSE)),(VLOOKUP($B439,'VPN Bonds'!$A$85:$K$104,6,FALSE)))</f>
        <v>1.0419499999999999</v>
      </c>
    </row>
    <row r="442" spans="2:43">
      <c r="B442" s="135">
        <v>44552</v>
      </c>
    </row>
    <row r="443" spans="2:43">
      <c r="B443" t="s">
        <v>210</v>
      </c>
      <c r="E443" s="182">
        <f>(E$440-$B442)/365</f>
        <v>0.32876712328767121</v>
      </c>
      <c r="F443" s="182">
        <f>(F$440-$B442)/365</f>
        <v>1.3287671232876712</v>
      </c>
      <c r="G443" s="182">
        <f t="shared" ref="G443:I443" si="2278">(G$440-$B442)/365</f>
        <v>2.3287671232876712</v>
      </c>
      <c r="H443" s="182">
        <f t="shared" si="2278"/>
        <v>3.3287671232876712</v>
      </c>
      <c r="I443" s="182">
        <f t="shared" si="2278"/>
        <v>4.3287671232876717</v>
      </c>
    </row>
    <row r="444" spans="2:43">
      <c r="B444" t="s">
        <v>211</v>
      </c>
      <c r="E444" s="183">
        <f>1+((INDEX('Yield Curve'!$B$48:$P$91,MATCH(ROUND(E443,0),'Yield Curve'!$B$48:$B$91,0),MATCH(YEAR($B442)+1,'Yield Curve'!$B$48:$P$48,0)))/100)</f>
        <v>1.0212000000000001</v>
      </c>
      <c r="F444" s="183">
        <f>1+((INDEX('Yield Curve'!$B$48:$P$91,MATCH(ROUND(F443,0),'Yield Curve'!$B$48:$B$91,0),MATCH(YEAR($B442)+1,'Yield Curve'!$B$48:$P$48,0)))/100)</f>
        <v>1.0212000000000001</v>
      </c>
      <c r="G444" s="183">
        <f>1+((INDEX('Yield Curve'!$B$48:$P$91,MATCH(ROUND(G443,0),'Yield Curve'!$B$48:$B$91,0),MATCH(YEAR($B442)+1,'Yield Curve'!$B$48:$P$48,0)))/100)</f>
        <v>1.0212000000000001</v>
      </c>
      <c r="H444" s="183">
        <f>1+((INDEX('Yield Curve'!$B$48:$P$91,MATCH(ROUND(H443,0),'Yield Curve'!$B$48:$B$91,0),MATCH(YEAR($B442)+1,'Yield Curve'!$B$48:$P$48,0)))/100)</f>
        <v>1.0212000000000001</v>
      </c>
      <c r="I444" s="183">
        <f>1+((INDEX('Yield Curve'!$B$48:$P$91,MATCH(ROUND(I443,0),'Yield Curve'!$B$48:$B$91,0),MATCH(YEAR($B442)+1,'Yield Curve'!$B$48:$P$48,0)))/100)</f>
        <v>1.0245</v>
      </c>
    </row>
    <row r="445" spans="2:43">
      <c r="B445" t="s">
        <v>212</v>
      </c>
      <c r="C445" s="182">
        <f>SUM(D445:AM445)</f>
        <v>4.9503384469503811</v>
      </c>
      <c r="E445" s="182">
        <f>E$441/(E444^E443)</f>
        <v>1.0347883853528483</v>
      </c>
      <c r="F445" s="182">
        <f>F$441/(F444^F443)</f>
        <v>1.0133062919632279</v>
      </c>
      <c r="G445" s="182">
        <f t="shared" ref="G445:I445" si="2279">G$441/(G444^G443)</f>
        <v>0.99227016447632943</v>
      </c>
      <c r="H445" s="182">
        <f t="shared" si="2279"/>
        <v>0.97167074468892423</v>
      </c>
      <c r="I445" s="182">
        <f t="shared" si="2279"/>
        <v>0.93830286046905154</v>
      </c>
    </row>
    <row r="447" spans="2:43">
      <c r="B447" s="5" t="str">
        <f>'VPN Bonds'!A91</f>
        <v>37948310961</v>
      </c>
    </row>
    <row r="448" spans="2:43">
      <c r="B448" t="s">
        <v>66</v>
      </c>
      <c r="D448" s="180">
        <f>VLOOKUP(B447,'VPN Bonds'!$A$85:$K$104,4,FALSE)</f>
        <v>44426</v>
      </c>
      <c r="E448" s="180">
        <f>VLOOKUP(B447,'VPN Bonds'!$A$85:$K$104,10,FALSE)</f>
        <v>44610</v>
      </c>
      <c r="F448" s="180">
        <f>IF(E448+VLOOKUP($B447,'VPN Bonds'!$A$85:$K$104,9,FALSE)*365 &lt; VLOOKUP($B447,'VPN Bonds'!$A$85:$K$104,5,FALSE), E448+VLOOKUP($B447,'VPN Bonds'!$A$85:$K$104,9,FALSE)*365, VLOOKUP($B447,'VPN Bonds'!$A$85:$K$104,5,FALSE))</f>
        <v>44792.5</v>
      </c>
      <c r="G448" s="180">
        <f>IF(F448+VLOOKUP($B447,'VPN Bonds'!$A$85:$K$104,9,FALSE)*365 &lt; VLOOKUP($B447,'VPN Bonds'!$A$85:$K$104,5,FALSE), F448+VLOOKUP($B447,'VPN Bonds'!$A$85:$K$104,9,FALSE)*365, VLOOKUP($B447,'VPN Bonds'!$A$85:$K$104,5,FALSE))</f>
        <v>44975</v>
      </c>
      <c r="H448" s="180">
        <f>IF(G448+VLOOKUP($B447,'VPN Bonds'!$A$85:$K$104,9,FALSE)*365 &lt; VLOOKUP($B447,'VPN Bonds'!$A$85:$K$104,5,FALSE), G448+VLOOKUP($B447,'VPN Bonds'!$A$85:$K$104,9,FALSE)*365, VLOOKUP($B447,'VPN Bonds'!$A$85:$K$104,5,FALSE))</f>
        <v>45157.5</v>
      </c>
      <c r="I448" s="180">
        <f>IF(H448+VLOOKUP($B447,'VPN Bonds'!$A$85:$K$104,9,FALSE)*365 &lt; VLOOKUP($B447,'VPN Bonds'!$A$85:$K$104,5,FALSE), H448+VLOOKUP($B447,'VPN Bonds'!$A$85:$K$104,9,FALSE)*365, VLOOKUP($B447,'VPN Bonds'!$A$85:$K$104,5,FALSE))</f>
        <v>45340</v>
      </c>
      <c r="J448" s="180">
        <f>IF(I448+VLOOKUP($B447,'VPN Bonds'!$A$85:$K$104,9,FALSE)*365 &lt; VLOOKUP($B447,'VPN Bonds'!$A$85:$K$104,5,FALSE), I448+VLOOKUP($B447,'VPN Bonds'!$A$85:$K$104,9,FALSE)*365, VLOOKUP($B447,'VPN Bonds'!$A$85:$K$104,5,FALSE))</f>
        <v>45522.5</v>
      </c>
      <c r="K448" s="180">
        <f>IF(J448+VLOOKUP($B447,'VPN Bonds'!$A$85:$K$104,9,FALSE)*365 &lt; VLOOKUP($B447,'VPN Bonds'!$A$85:$K$104,5,FALSE), J448+VLOOKUP($B447,'VPN Bonds'!$A$85:$K$104,9,FALSE)*365, VLOOKUP($B447,'VPN Bonds'!$A$85:$K$104,5,FALSE))</f>
        <v>45705</v>
      </c>
      <c r="L448" s="180">
        <f>IF(K448+VLOOKUP($B447,'VPN Bonds'!$A$85:$K$104,9,FALSE)*365 &lt; VLOOKUP($B447,'VPN Bonds'!$A$85:$K$104,5,FALSE), K448+VLOOKUP($B447,'VPN Bonds'!$A$85:$K$104,9,FALSE)*365, VLOOKUP($B447,'VPN Bonds'!$A$85:$K$104,5,FALSE))</f>
        <v>45887.5</v>
      </c>
      <c r="M448" s="180">
        <f>IF(L448+VLOOKUP($B447,'VPN Bonds'!$A$85:$K$104,9,FALSE)*365 &lt; VLOOKUP($B447,'VPN Bonds'!$A$85:$K$104,5,FALSE), L448+VLOOKUP($B447,'VPN Bonds'!$A$85:$K$104,9,FALSE)*365, VLOOKUP($B447,'VPN Bonds'!$A$85:$K$104,5,FALSE))</f>
        <v>46070</v>
      </c>
      <c r="N448" s="180">
        <f>IF(M448+VLOOKUP($B447,'VPN Bonds'!$A$85:$K$104,9,FALSE)*365 &lt; VLOOKUP($B447,'VPN Bonds'!$A$85:$K$104,5,FALSE), M448+VLOOKUP($B447,'VPN Bonds'!$A$85:$K$104,9,FALSE)*365, VLOOKUP($B447,'VPN Bonds'!$A$85:$K$104,5,FALSE))</f>
        <v>46252.5</v>
      </c>
      <c r="O448" s="180">
        <f>IF(N448+VLOOKUP($B447,'VPN Bonds'!$A$85:$K$104,9,FALSE)*365 &lt; VLOOKUP($B447,'VPN Bonds'!$A$85:$K$104,5,FALSE), N448+VLOOKUP($B447,'VPN Bonds'!$A$85:$K$104,9,FALSE)*365, VLOOKUP($B447,'VPN Bonds'!$A$85:$K$104,5,FALSE))</f>
        <v>46435</v>
      </c>
      <c r="P448" s="180">
        <f>IF(O448+VLOOKUP($B447,'VPN Bonds'!$A$85:$K$104,9,FALSE)*365 &lt; VLOOKUP($B447,'VPN Bonds'!$A$85:$K$104,5,FALSE), O448+VLOOKUP($B447,'VPN Bonds'!$A$85:$K$104,9,FALSE)*365, VLOOKUP($B447,'VPN Bonds'!$A$85:$K$104,5,FALSE))</f>
        <v>46617.5</v>
      </c>
      <c r="Q448" s="180">
        <f>IF(P448+VLOOKUP($B447,'VPN Bonds'!$A$85:$K$104,9,FALSE)*365 &lt; VLOOKUP($B447,'VPN Bonds'!$A$85:$K$104,5,FALSE), P448+VLOOKUP($B447,'VPN Bonds'!$A$85:$K$104,9,FALSE)*365, VLOOKUP($B447,'VPN Bonds'!$A$85:$K$104,5,FALSE))</f>
        <v>46800</v>
      </c>
      <c r="R448" s="180">
        <f>IF(Q448+VLOOKUP($B447,'VPN Bonds'!$A$85:$K$104,9,FALSE)*365 &lt; VLOOKUP($B447,'VPN Bonds'!$A$85:$K$104,5,FALSE), Q448+VLOOKUP($B447,'VPN Bonds'!$A$85:$K$104,9,FALSE)*365, VLOOKUP($B447,'VPN Bonds'!$A$85:$K$104,5,FALSE))</f>
        <v>46982.5</v>
      </c>
      <c r="S448" s="180">
        <f>IF(R448+VLOOKUP($B447,'VPN Bonds'!$A$85:$K$104,9,FALSE)*365 &lt; VLOOKUP($B447,'VPN Bonds'!$A$85:$K$104,5,FALSE), R448+VLOOKUP($B447,'VPN Bonds'!$A$85:$K$104,9,FALSE)*365, VLOOKUP($B447,'VPN Bonds'!$A$85:$K$104,5,FALSE))</f>
        <v>47165</v>
      </c>
      <c r="T448" s="180">
        <f>IF(S448+VLOOKUP($B447,'VPN Bonds'!$A$85:$K$104,9,FALSE)*365 &lt; VLOOKUP($B447,'VPN Bonds'!$A$85:$K$104,5,FALSE), S448+VLOOKUP($B447,'VPN Bonds'!$A$85:$K$104,9,FALSE)*365, VLOOKUP($B447,'VPN Bonds'!$A$85:$K$104,5,FALSE))</f>
        <v>47347.5</v>
      </c>
      <c r="U448" s="180">
        <f>IF(T448+VLOOKUP($B447,'VPN Bonds'!$A$85:$K$104,9,FALSE)*365 &lt; VLOOKUP($B447,'VPN Bonds'!$A$85:$K$104,5,FALSE), T448+VLOOKUP($B447,'VPN Bonds'!$A$85:$K$104,9,FALSE)*365, VLOOKUP($B447,'VPN Bonds'!$A$85:$K$104,5,FALSE))</f>
        <v>47530</v>
      </c>
      <c r="V448" s="180">
        <f>IF(U448+VLOOKUP($B447,'VPN Bonds'!$A$85:$K$104,9,FALSE)*365 &lt; VLOOKUP($B447,'VPN Bonds'!$A$85:$K$104,5,FALSE), U448+VLOOKUP($B447,'VPN Bonds'!$A$85:$K$104,9,FALSE)*365, VLOOKUP($B447,'VPN Bonds'!$A$85:$K$104,5,FALSE))</f>
        <v>47712.5</v>
      </c>
      <c r="W448" s="180">
        <f>IF(V448+VLOOKUP($B447,'VPN Bonds'!$A$85:$K$104,9,FALSE)*365 &lt; VLOOKUP($B447,'VPN Bonds'!$A$85:$K$104,5,FALSE), V448+VLOOKUP($B447,'VPN Bonds'!$A$85:$K$104,9,FALSE)*365, VLOOKUP($B447,'VPN Bonds'!$A$85:$K$104,5,FALSE))</f>
        <v>47895</v>
      </c>
      <c r="X448" s="180">
        <f>IF(W448+VLOOKUP($B447,'VPN Bonds'!$A$85:$K$104,9,FALSE)*365 &lt; VLOOKUP($B447,'VPN Bonds'!$A$85:$K$104,5,FALSE), W448+VLOOKUP($B447,'VPN Bonds'!$A$85:$K$104,9,FALSE)*365, VLOOKUP($B447,'VPN Bonds'!$A$85:$K$104,5,FALSE))</f>
        <v>48077.5</v>
      </c>
      <c r="Y448" s="180">
        <f>IF(X448+VLOOKUP($B447,'VPN Bonds'!$A$85:$K$104,9,FALSE)*365 &lt; VLOOKUP($B447,'VPN Bonds'!$A$85:$K$104,5,FALSE), X448+VLOOKUP($B447,'VPN Bonds'!$A$85:$K$104,9,FALSE)*365, VLOOKUP($B447,'VPN Bonds'!$A$85:$K$104,5,FALSE))</f>
        <v>48078</v>
      </c>
      <c r="Z448" s="27"/>
      <c r="AA448" s="27"/>
      <c r="AB448" s="27"/>
      <c r="AC448" s="27"/>
      <c r="AD448" s="27"/>
      <c r="AE448" s="27"/>
      <c r="AF448" s="27"/>
      <c r="AG448" s="27"/>
      <c r="AH448" s="27"/>
      <c r="AI448" s="27"/>
      <c r="AJ448" s="27"/>
      <c r="AK448" s="27"/>
      <c r="AL448" s="27"/>
      <c r="AM448" s="27"/>
      <c r="AN448" s="27"/>
      <c r="AO448" s="27"/>
      <c r="AP448" s="27"/>
      <c r="AQ448" s="27"/>
    </row>
    <row r="449" spans="2:43">
      <c r="B449" t="s">
        <v>209</v>
      </c>
      <c r="E449" s="182">
        <f>IF(E448&lt;VLOOKUP($B447,'VPN Bonds'!$A$85:$K$104,5,FALSE),(VLOOKUP($B447,'VPN Bonds'!$A$85:$K$104,8,FALSE)/100)*(VLOOKUP($B447,'VPN Bonds'!$A$85:$K$104,9,FALSE))*(VLOOKUP($B447,'VPN Bonds'!$A$85:$K$104,6,FALSE)),(VLOOKUP($B447,'VPN Bonds'!$A$85:$K$104,6,FALSE)))</f>
        <v>0.54874999999999996</v>
      </c>
      <c r="F449" s="182">
        <f>IF(F448&lt;VLOOKUP($B447,'VPN Bonds'!$A$85:$K$104,5,FALSE),(VLOOKUP($B447,'VPN Bonds'!$A$85:$K$104,8,FALSE)/100)*(VLOOKUP($B447,'VPN Bonds'!$A$85:$K$104,9,FALSE))*(VLOOKUP($B447,'VPN Bonds'!$A$85:$K$104,6,FALSE)),(VLOOKUP($B447,'VPN Bonds'!$A$85:$K$104,6,FALSE)))</f>
        <v>0.54874999999999996</v>
      </c>
      <c r="G449" s="182">
        <f>IF(G448&lt;VLOOKUP($B447,'VPN Bonds'!$A$85:$K$104,5,FALSE),(VLOOKUP($B447,'VPN Bonds'!$A$85:$K$104,8,FALSE)/100)*(VLOOKUP($B447,'VPN Bonds'!$A$85:$K$104,9,FALSE))*(VLOOKUP($B447,'VPN Bonds'!$A$85:$K$104,6,FALSE)),(VLOOKUP($B447,'VPN Bonds'!$A$85:$K$104,6,FALSE)))</f>
        <v>0.54874999999999996</v>
      </c>
      <c r="H449" s="182">
        <f>IF(H448&lt;VLOOKUP($B447,'VPN Bonds'!$A$85:$K$104,5,FALSE),(VLOOKUP($B447,'VPN Bonds'!$A$85:$K$104,8,FALSE)/100)*(VLOOKUP($B447,'VPN Bonds'!$A$85:$K$104,9,FALSE))*(VLOOKUP($B447,'VPN Bonds'!$A$85:$K$104,6,FALSE)),(VLOOKUP($B447,'VPN Bonds'!$A$85:$K$104,6,FALSE)))</f>
        <v>0.54874999999999996</v>
      </c>
      <c r="I449" s="182">
        <f>IF(I448&lt;VLOOKUP($B447,'VPN Bonds'!$A$85:$K$104,5,FALSE),(VLOOKUP($B447,'VPN Bonds'!$A$85:$K$104,8,FALSE)/100)*(VLOOKUP($B447,'VPN Bonds'!$A$85:$K$104,9,FALSE))*(VLOOKUP($B447,'VPN Bonds'!$A$85:$K$104,6,FALSE)),(VLOOKUP($B447,'VPN Bonds'!$A$85:$K$104,6,FALSE)))</f>
        <v>0.54874999999999996</v>
      </c>
      <c r="J449" s="182">
        <f>IF(J448&lt;VLOOKUP($B447,'VPN Bonds'!$A$85:$K$104,5,FALSE),(VLOOKUP($B447,'VPN Bonds'!$A$85:$K$104,8,FALSE)/100)*(VLOOKUP($B447,'VPN Bonds'!$A$85:$K$104,9,FALSE))*(VLOOKUP($B447,'VPN Bonds'!$A$85:$K$104,6,FALSE)),(VLOOKUP($B447,'VPN Bonds'!$A$85:$K$104,6,FALSE)))</f>
        <v>0.54874999999999996</v>
      </c>
      <c r="K449" s="182">
        <f>IF(K448&lt;VLOOKUP($B447,'VPN Bonds'!$A$85:$K$104,5,FALSE),(VLOOKUP($B447,'VPN Bonds'!$A$85:$K$104,8,FALSE)/100)*(VLOOKUP($B447,'VPN Bonds'!$A$85:$K$104,9,FALSE))*(VLOOKUP($B447,'VPN Bonds'!$A$85:$K$104,6,FALSE)),(VLOOKUP($B447,'VPN Bonds'!$A$85:$K$104,6,FALSE)))</f>
        <v>0.54874999999999996</v>
      </c>
      <c r="L449" s="182">
        <f>IF(L448&lt;VLOOKUP($B447,'VPN Bonds'!$A$85:$K$104,5,FALSE),(VLOOKUP($B447,'VPN Bonds'!$A$85:$K$104,8,FALSE)/100)*(VLOOKUP($B447,'VPN Bonds'!$A$85:$K$104,9,FALSE))*(VLOOKUP($B447,'VPN Bonds'!$A$85:$K$104,6,FALSE)),(VLOOKUP($B447,'VPN Bonds'!$A$85:$K$104,6,FALSE)))</f>
        <v>0.54874999999999996</v>
      </c>
      <c r="M449" s="182">
        <f>IF(M448&lt;VLOOKUP($B447,'VPN Bonds'!$A$85:$K$104,5,FALSE),(VLOOKUP($B447,'VPN Bonds'!$A$85:$K$104,8,FALSE)/100)*(VLOOKUP($B447,'VPN Bonds'!$A$85:$K$104,9,FALSE))*(VLOOKUP($B447,'VPN Bonds'!$A$85:$K$104,6,FALSE)),(VLOOKUP($B447,'VPN Bonds'!$A$85:$K$104,6,FALSE)))</f>
        <v>0.54874999999999996</v>
      </c>
      <c r="N449" s="182">
        <f>IF(N448&lt;VLOOKUP($B447,'VPN Bonds'!$A$85:$K$104,5,FALSE),(VLOOKUP($B447,'VPN Bonds'!$A$85:$K$104,8,FALSE)/100)*(VLOOKUP($B447,'VPN Bonds'!$A$85:$K$104,9,FALSE))*(VLOOKUP($B447,'VPN Bonds'!$A$85:$K$104,6,FALSE)),(VLOOKUP($B447,'VPN Bonds'!$A$85:$K$104,6,FALSE)))</f>
        <v>0.54874999999999996</v>
      </c>
      <c r="O449" s="182">
        <f>IF(O448&lt;VLOOKUP($B447,'VPN Bonds'!$A$85:$K$104,5,FALSE),(VLOOKUP($B447,'VPN Bonds'!$A$85:$K$104,8,FALSE)/100)*(VLOOKUP($B447,'VPN Bonds'!$A$85:$K$104,9,FALSE))*(VLOOKUP($B447,'VPN Bonds'!$A$85:$K$104,6,FALSE)),(VLOOKUP($B447,'VPN Bonds'!$A$85:$K$104,6,FALSE)))</f>
        <v>0.54874999999999996</v>
      </c>
      <c r="P449" s="182">
        <f>IF(P448&lt;VLOOKUP($B447,'VPN Bonds'!$A$85:$K$104,5,FALSE),(VLOOKUP($B447,'VPN Bonds'!$A$85:$K$104,8,FALSE)/100)*(VLOOKUP($B447,'VPN Bonds'!$A$85:$K$104,9,FALSE))*(VLOOKUP($B447,'VPN Bonds'!$A$85:$K$104,6,FALSE)),(VLOOKUP($B447,'VPN Bonds'!$A$85:$K$104,6,FALSE)))</f>
        <v>0.54874999999999996</v>
      </c>
      <c r="Q449" s="182">
        <f>IF(Q448&lt;VLOOKUP($B447,'VPN Bonds'!$A$85:$K$104,5,FALSE),(VLOOKUP($B447,'VPN Bonds'!$A$85:$K$104,8,FALSE)/100)*(VLOOKUP($B447,'VPN Bonds'!$A$85:$K$104,9,FALSE))*(VLOOKUP($B447,'VPN Bonds'!$A$85:$K$104,6,FALSE)),(VLOOKUP($B447,'VPN Bonds'!$A$85:$K$104,6,FALSE)))</f>
        <v>0.54874999999999996</v>
      </c>
      <c r="R449" s="182">
        <f>IF(R448&lt;VLOOKUP($B447,'VPN Bonds'!$A$85:$K$104,5,FALSE),(VLOOKUP($B447,'VPN Bonds'!$A$85:$K$104,8,FALSE)/100)*(VLOOKUP($B447,'VPN Bonds'!$A$85:$K$104,9,FALSE))*(VLOOKUP($B447,'VPN Bonds'!$A$85:$K$104,6,FALSE)),(VLOOKUP($B447,'VPN Bonds'!$A$85:$K$104,6,FALSE)))</f>
        <v>0.54874999999999996</v>
      </c>
      <c r="S449" s="182">
        <f>IF(S448&lt;VLOOKUP($B447,'VPN Bonds'!$A$85:$K$104,5,FALSE),(VLOOKUP($B447,'VPN Bonds'!$A$85:$K$104,8,FALSE)/100)*(VLOOKUP($B447,'VPN Bonds'!$A$85:$K$104,9,FALSE))*(VLOOKUP($B447,'VPN Bonds'!$A$85:$K$104,6,FALSE)),(VLOOKUP($B447,'VPN Bonds'!$A$85:$K$104,6,FALSE)))</f>
        <v>0.54874999999999996</v>
      </c>
      <c r="T449" s="182">
        <f>IF(T448&lt;VLOOKUP($B447,'VPN Bonds'!$A$85:$K$104,5,FALSE),(VLOOKUP($B447,'VPN Bonds'!$A$85:$K$104,8,FALSE)/100)*(VLOOKUP($B447,'VPN Bonds'!$A$85:$K$104,9,FALSE))*(VLOOKUP($B447,'VPN Bonds'!$A$85:$K$104,6,FALSE)),(VLOOKUP($B447,'VPN Bonds'!$A$85:$K$104,6,FALSE)))</f>
        <v>0.54874999999999996</v>
      </c>
      <c r="U449" s="182">
        <f>IF(U448&lt;VLOOKUP($B447,'VPN Bonds'!$A$85:$K$104,5,FALSE),(VLOOKUP($B447,'VPN Bonds'!$A$85:$K$104,8,FALSE)/100)*(VLOOKUP($B447,'VPN Bonds'!$A$85:$K$104,9,FALSE))*(VLOOKUP($B447,'VPN Bonds'!$A$85:$K$104,6,FALSE)),(VLOOKUP($B447,'VPN Bonds'!$A$85:$K$104,6,FALSE)))</f>
        <v>0.54874999999999996</v>
      </c>
      <c r="V449" s="182">
        <f>IF(V448&lt;VLOOKUP($B447,'VPN Bonds'!$A$85:$K$104,5,FALSE),(VLOOKUP($B447,'VPN Bonds'!$A$85:$K$104,8,FALSE)/100)*(VLOOKUP($B447,'VPN Bonds'!$A$85:$K$104,9,FALSE))*(VLOOKUP($B447,'VPN Bonds'!$A$85:$K$104,6,FALSE)),(VLOOKUP($B447,'VPN Bonds'!$A$85:$K$104,6,FALSE)))</f>
        <v>0.54874999999999996</v>
      </c>
      <c r="W449" s="182">
        <f>IF(W448&lt;VLOOKUP($B447,'VPN Bonds'!$A$85:$K$104,5,FALSE),(VLOOKUP($B447,'VPN Bonds'!$A$85:$K$104,8,FALSE)/100)*(VLOOKUP($B447,'VPN Bonds'!$A$85:$K$104,9,FALSE))*(VLOOKUP($B447,'VPN Bonds'!$A$85:$K$104,6,FALSE)),(VLOOKUP($B447,'VPN Bonds'!$A$85:$K$104,6,FALSE)))</f>
        <v>0.54874999999999996</v>
      </c>
      <c r="X449" s="182">
        <f>IF(X448&lt;VLOOKUP($B447,'VPN Bonds'!$A$85:$K$104,5,FALSE),(VLOOKUP($B447,'VPN Bonds'!$A$85:$K$104,8,FALSE)/100)*(VLOOKUP($B447,'VPN Bonds'!$A$85:$K$104,9,FALSE))*(VLOOKUP($B447,'VPN Bonds'!$A$85:$K$104,6,FALSE)),(VLOOKUP($B447,'VPN Bonds'!$A$85:$K$104,6,FALSE)))</f>
        <v>0.54874999999999996</v>
      </c>
      <c r="Y449" s="182">
        <f>IF(Y448&lt;VLOOKUP($B447,'VPN Bonds'!$A$85:$K$104,5,FALSE),(VLOOKUP($B447,'VPN Bonds'!$A$85:$K$104,8,FALSE)/100)*(VLOOKUP($B447,'VPN Bonds'!$A$85:$K$104,9,FALSE))*(VLOOKUP($B447,'VPN Bonds'!$A$85:$K$104,6,FALSE)),(VLOOKUP($B447,'VPN Bonds'!$A$85:$K$104,6,FALSE)))</f>
        <v>50</v>
      </c>
    </row>
    <row r="450" spans="2:43">
      <c r="B450" s="135">
        <v>44552</v>
      </c>
    </row>
    <row r="451" spans="2:43">
      <c r="B451" t="s">
        <v>210</v>
      </c>
      <c r="E451" s="182">
        <f>(E$448-$B450)/365</f>
        <v>0.15890410958904111</v>
      </c>
      <c r="F451" s="182">
        <f>(F$448-$B450)/365</f>
        <v>0.65890410958904111</v>
      </c>
      <c r="G451" s="182">
        <f t="shared" ref="G451:O451" si="2280">(G$448-$B450)/365</f>
        <v>1.1589041095890411</v>
      </c>
      <c r="H451" s="182">
        <f t="shared" si="2280"/>
        <v>1.6589041095890411</v>
      </c>
      <c r="I451" s="182">
        <f t="shared" si="2280"/>
        <v>2.1589041095890411</v>
      </c>
      <c r="J451" s="182">
        <f t="shared" si="2280"/>
        <v>2.6589041095890411</v>
      </c>
      <c r="K451" s="182">
        <f t="shared" si="2280"/>
        <v>3.1589041095890411</v>
      </c>
      <c r="L451" s="182">
        <f t="shared" si="2280"/>
        <v>3.6589041095890411</v>
      </c>
      <c r="M451" s="182">
        <f t="shared" si="2280"/>
        <v>4.1589041095890407</v>
      </c>
      <c r="N451" s="182">
        <f t="shared" si="2280"/>
        <v>4.6589041095890407</v>
      </c>
      <c r="O451" s="182">
        <f t="shared" si="2280"/>
        <v>5.1589041095890407</v>
      </c>
      <c r="P451" s="182">
        <f t="shared" ref="P451" si="2281">(P$448-$B450)/365</f>
        <v>5.6589041095890407</v>
      </c>
      <c r="Q451" s="182">
        <f t="shared" ref="Q451" si="2282">(Q$448-$B450)/365</f>
        <v>6.1589041095890407</v>
      </c>
      <c r="R451" s="182">
        <f t="shared" ref="R451" si="2283">(R$448-$B450)/365</f>
        <v>6.6589041095890407</v>
      </c>
      <c r="S451" s="182">
        <f t="shared" ref="S451" si="2284">(S$448-$B450)/365</f>
        <v>7.1589041095890407</v>
      </c>
      <c r="T451" s="182">
        <f t="shared" ref="T451" si="2285">(T$448-$B450)/365</f>
        <v>7.6589041095890407</v>
      </c>
      <c r="U451" s="182">
        <f t="shared" ref="U451" si="2286">(U$448-$B450)/365</f>
        <v>8.1589041095890416</v>
      </c>
      <c r="V451" s="182">
        <f t="shared" ref="V451" si="2287">(V$448-$B450)/365</f>
        <v>8.6589041095890416</v>
      </c>
      <c r="W451" s="182">
        <f t="shared" ref="W451" si="2288">(W$448-$B450)/365</f>
        <v>9.1589041095890416</v>
      </c>
      <c r="X451" s="182">
        <f t="shared" ref="X451" si="2289">(X$448-$B450)/365</f>
        <v>9.6589041095890416</v>
      </c>
      <c r="Y451" s="182">
        <f t="shared" ref="Y451" si="2290">(Y$448-$B450)/365</f>
        <v>9.6602739726027398</v>
      </c>
    </row>
    <row r="452" spans="2:43">
      <c r="B452" t="s">
        <v>211</v>
      </c>
      <c r="E452" s="183">
        <f>1+((INDEX('Yield Curve'!$B$48:$P$91,MATCH(ROUND(E451,0),'Yield Curve'!$B$48:$B$91,0),MATCH(YEAR($B450)+1,'Yield Curve'!$B$48:$P$48,0)))/100)</f>
        <v>1.0212000000000001</v>
      </c>
      <c r="F452" s="183">
        <f>1+((INDEX('Yield Curve'!$B$48:$P$91,MATCH(ROUND(F451,0),'Yield Curve'!$B$48:$B$91,0),MATCH(YEAR($B450)+1,'Yield Curve'!$B$48:$P$48,0)))/100)</f>
        <v>1.0212000000000001</v>
      </c>
      <c r="G452" s="183">
        <f>1+((INDEX('Yield Curve'!$B$48:$P$91,MATCH(ROUND(G451,0),'Yield Curve'!$B$48:$B$91,0),MATCH(YEAR($B450)+1,'Yield Curve'!$B$48:$P$48,0)))/100)</f>
        <v>1.0212000000000001</v>
      </c>
      <c r="H452" s="183">
        <f>1+((INDEX('Yield Curve'!$B$48:$P$91,MATCH(ROUND(H451,0),'Yield Curve'!$B$48:$B$91,0),MATCH(YEAR($B450)+1,'Yield Curve'!$B$48:$P$48,0)))/100)</f>
        <v>1.0212000000000001</v>
      </c>
      <c r="I452" s="183">
        <f>1+((INDEX('Yield Curve'!$B$48:$P$91,MATCH(ROUND(I451,0),'Yield Curve'!$B$48:$B$91,0),MATCH(YEAR($B450)+1,'Yield Curve'!$B$48:$P$48,0)))/100)</f>
        <v>1.0212000000000001</v>
      </c>
      <c r="J452" s="183">
        <f>1+((INDEX('Yield Curve'!$B$48:$P$91,MATCH(ROUND(J451,0),'Yield Curve'!$B$48:$B$91,0),MATCH(YEAR($B450)+1,'Yield Curve'!$B$48:$P$48,0)))/100)</f>
        <v>1.0212000000000001</v>
      </c>
      <c r="K452" s="183">
        <f>1+((INDEX('Yield Curve'!$B$48:$P$91,MATCH(ROUND(K451,0),'Yield Curve'!$B$48:$B$91,0),MATCH(YEAR($B450)+1,'Yield Curve'!$B$48:$P$48,0)))/100)</f>
        <v>1.0212000000000001</v>
      </c>
      <c r="L452" s="183">
        <f>1+((INDEX('Yield Curve'!$B$48:$P$91,MATCH(ROUND(L451,0),'Yield Curve'!$B$48:$B$91,0),MATCH(YEAR($B450)+1,'Yield Curve'!$B$48:$P$48,0)))/100)</f>
        <v>1.0245</v>
      </c>
      <c r="M452" s="183">
        <f>1+((INDEX('Yield Curve'!$B$48:$P$91,MATCH(ROUND(M451,0),'Yield Curve'!$B$48:$B$91,0),MATCH(YEAR($B450)+1,'Yield Curve'!$B$48:$P$48,0)))/100)</f>
        <v>1.0245</v>
      </c>
      <c r="N452" s="183">
        <f>1+((INDEX('Yield Curve'!$B$48:$P$91,MATCH(ROUND(N451,0),'Yield Curve'!$B$48:$B$91,0),MATCH(YEAR($B450)+1,'Yield Curve'!$B$48:$P$48,0)))/100)</f>
        <v>1.0278</v>
      </c>
      <c r="O452" s="183">
        <f>1+((INDEX('Yield Curve'!$B$48:$P$91,MATCH(ROUND(O451,0),'Yield Curve'!$B$48:$B$91,0),MATCH(YEAR($B450)+1,'Yield Curve'!$B$48:$P$48,0)))/100)</f>
        <v>1.0278</v>
      </c>
      <c r="P452" s="183">
        <f>1+((INDEX('Yield Curve'!$B$48:$P$91,MATCH(ROUND(P451,0),'Yield Curve'!$B$48:$B$91,0),MATCH(YEAR($B450)+1,'Yield Curve'!$B$48:$P$48,0)))/100)</f>
        <v>1.030375</v>
      </c>
      <c r="Q452" s="183">
        <f>1+((INDEX('Yield Curve'!$B$48:$P$91,MATCH(ROUND(Q451,0),'Yield Curve'!$B$48:$B$91,0),MATCH(YEAR($B450)+1,'Yield Curve'!$B$48:$P$48,0)))/100)</f>
        <v>1.030375</v>
      </c>
      <c r="R452" s="183">
        <f>1+((INDEX('Yield Curve'!$B$48:$P$91,MATCH(ROUND(R451,0),'Yield Curve'!$B$48:$B$91,0),MATCH(YEAR($B450)+1,'Yield Curve'!$B$48:$P$48,0)))/100)</f>
        <v>1.03295</v>
      </c>
      <c r="S452" s="183">
        <f>1+((INDEX('Yield Curve'!$B$48:$P$91,MATCH(ROUND(S451,0),'Yield Curve'!$B$48:$B$91,0),MATCH(YEAR($B450)+1,'Yield Curve'!$B$48:$P$48,0)))/100)</f>
        <v>1.03295</v>
      </c>
      <c r="T452" s="183">
        <f>1+((INDEX('Yield Curve'!$B$48:$P$91,MATCH(ROUND(T451,0),'Yield Curve'!$B$48:$B$91,0),MATCH(YEAR($B450)+1,'Yield Curve'!$B$48:$P$48,0)))/100)</f>
        <v>1.0341499999999999</v>
      </c>
      <c r="U452" s="183">
        <f>1+((INDEX('Yield Curve'!$B$48:$P$91,MATCH(ROUND(U451,0),'Yield Curve'!$B$48:$B$91,0),MATCH(YEAR($B450)+1,'Yield Curve'!$B$48:$P$48,0)))/100)</f>
        <v>1.0341499999999999</v>
      </c>
      <c r="V452" s="183">
        <f>1+((INDEX('Yield Curve'!$B$48:$P$91,MATCH(ROUND(V451,0),'Yield Curve'!$B$48:$B$91,0),MATCH(YEAR($B450)+1,'Yield Curve'!$B$48:$P$48,0)))/100)</f>
        <v>1.0365500000000001</v>
      </c>
      <c r="W452" s="183">
        <f>1+((INDEX('Yield Curve'!$B$48:$P$91,MATCH(ROUND(W451,0),'Yield Curve'!$B$48:$B$91,0),MATCH(YEAR($B450)+1,'Yield Curve'!$B$48:$P$48,0)))/100)</f>
        <v>1.0365500000000001</v>
      </c>
      <c r="X452" s="183">
        <f>1+((INDEX('Yield Curve'!$B$48:$P$91,MATCH(ROUND(X451,0),'Yield Curve'!$B$48:$B$91,0),MATCH(YEAR($B450)+1,'Yield Curve'!$B$48:$P$48,0)))/100)</f>
        <v>1.03775</v>
      </c>
      <c r="Y452" s="183">
        <f>1+((INDEX('Yield Curve'!$B$48:$P$91,MATCH(ROUND(Y451,0),'Yield Curve'!$B$48:$B$91,0),MATCH(YEAR($B450)+1,'Yield Curve'!$B$48:$P$48,0)))/100)</f>
        <v>1.03775</v>
      </c>
    </row>
    <row r="453" spans="2:43">
      <c r="B453" t="s">
        <v>212</v>
      </c>
      <c r="C453" s="182">
        <f>SUM(D453:AM453)</f>
        <v>44.4427547600365</v>
      </c>
      <c r="E453" s="182">
        <f>E$449/(E452^E451)</f>
        <v>0.54692375733212095</v>
      </c>
      <c r="F453" s="182">
        <f>F$449/(F452^F451)</f>
        <v>0.54121694519014507</v>
      </c>
      <c r="G453" s="182">
        <f t="shared" ref="G453:O453" si="2291">G$449/(G452^G451)</f>
        <v>0.53556968011371031</v>
      </c>
      <c r="H453" s="182">
        <f t="shared" si="2291"/>
        <v>0.52998134076590786</v>
      </c>
      <c r="I453" s="182">
        <f t="shared" si="2291"/>
        <v>0.52445131229309649</v>
      </c>
      <c r="J453" s="182">
        <f t="shared" si="2291"/>
        <v>0.51897898625725403</v>
      </c>
      <c r="K453" s="182">
        <f t="shared" si="2291"/>
        <v>0.51356376056903297</v>
      </c>
      <c r="L453" s="182">
        <f t="shared" si="2291"/>
        <v>0.50224112318649816</v>
      </c>
      <c r="M453" s="182">
        <f t="shared" si="2291"/>
        <v>0.49619946104728557</v>
      </c>
      <c r="N453" s="182">
        <f t="shared" si="2291"/>
        <v>0.48294029779988229</v>
      </c>
      <c r="O453" s="182">
        <f t="shared" si="2291"/>
        <v>0.47636422546780827</v>
      </c>
      <c r="P453" s="182">
        <f t="shared" ref="P453" si="2292">P$449/(P452^P451)</f>
        <v>0.46327120162280733</v>
      </c>
      <c r="Q453" s="182">
        <f t="shared" ref="Q453" si="2293">Q$449/(Q452^Q451)</f>
        <v>0.45639160525381101</v>
      </c>
      <c r="R453" s="182">
        <f t="shared" ref="R453" si="2294">R$449/(R452^R451)</f>
        <v>0.44220314270065131</v>
      </c>
      <c r="S453" s="182">
        <f t="shared" ref="S453" si="2295">S$449/(S452^S451)</f>
        <v>0.4350930787063052</v>
      </c>
      <c r="T453" s="182">
        <f t="shared" ref="T453" si="2296">T$449/(T452^T451)</f>
        <v>0.42430742073342675</v>
      </c>
      <c r="U453" s="182">
        <f t="shared" ref="U453" si="2297">U$449/(U452^U451)</f>
        <v>0.41724280760539395</v>
      </c>
      <c r="V453" s="182">
        <f t="shared" ref="V453" si="2298">V$449/(V452^V451)</f>
        <v>0.40214252617601798</v>
      </c>
      <c r="W453" s="182">
        <f t="shared" ref="W453" si="2299">W$449/(W452^W451)</f>
        <v>0.39498888411001942</v>
      </c>
      <c r="X453" s="182">
        <f t="shared" ref="X453" si="2300">X$449/(X452^X451)</f>
        <v>0.38365095263376686</v>
      </c>
      <c r="Y453" s="182">
        <f t="shared" ref="Y453" si="2301">Y$449/(Y452^Y451)</f>
        <v>34.955032250471561</v>
      </c>
    </row>
    <row r="455" spans="2:43">
      <c r="B455" s="5" t="str">
        <f>'VPN Bonds'!A93</f>
        <v>37284850962</v>
      </c>
      <c r="C455" t="s">
        <v>213</v>
      </c>
    </row>
    <row r="456" spans="2:43">
      <c r="B456" t="s">
        <v>66</v>
      </c>
      <c r="D456" s="180">
        <f>VLOOKUP(B455,'VPN Bonds'!$A$85:$K$104,4,FALSE)</f>
        <v>44307</v>
      </c>
      <c r="E456" s="180">
        <f>VLOOKUP(B455,'VPN Bonds'!$A$85:$K$104,10,FALSE)</f>
        <v>44672</v>
      </c>
      <c r="F456" s="180">
        <f>IF(E456+VLOOKUP($B455,'VPN Bonds'!$A$85:$K$104,9,FALSE)*365 &lt; VLOOKUP($B455,'VPN Bonds'!$A$85:$K$104,5,FALSE), E456+VLOOKUP($B455,'VPN Bonds'!$A$85:$K$104,9,FALSE)*365, VLOOKUP($B455,'VPN Bonds'!$A$85:$K$104,5,FALSE))</f>
        <v>45037</v>
      </c>
      <c r="G456" s="180">
        <f>IF(F456+VLOOKUP($B455,'VPN Bonds'!$A$85:$K$104,9,FALSE)*365 &lt; VLOOKUP($B455,'VPN Bonds'!$A$85:$K$104,5,FALSE), F456+VLOOKUP($B455,'VPN Bonds'!$A$85:$K$104,9,FALSE)*365, VLOOKUP($B455,'VPN Bonds'!$A$85:$K$104,5,FALSE))</f>
        <v>45402</v>
      </c>
      <c r="H456" s="180">
        <f>IF(G456+VLOOKUP($B455,'VPN Bonds'!$A$85:$K$104,9,FALSE)*365 &lt; VLOOKUP($B455,'VPN Bonds'!$A$85:$K$104,5,FALSE), G456+VLOOKUP($B455,'VPN Bonds'!$A$85:$K$104,9,FALSE)*365, VLOOKUP($B455,'VPN Bonds'!$A$85:$K$104,5,FALSE))</f>
        <v>45767</v>
      </c>
      <c r="I456" s="180">
        <f>IF(H456+VLOOKUP($B455,'VPN Bonds'!$A$85:$K$104,9,FALSE)*365 &lt; VLOOKUP($B455,'VPN Bonds'!$A$85:$K$104,5,FALSE), H456+VLOOKUP($B455,'VPN Bonds'!$A$85:$K$104,9,FALSE)*365, VLOOKUP($B455,'VPN Bonds'!$A$85:$K$104,5,FALSE))</f>
        <v>46132</v>
      </c>
      <c r="J456" s="180">
        <f>IF(I456+VLOOKUP($B455,'VPN Bonds'!$A$85:$K$104,9,FALSE)*365 &lt; VLOOKUP($B455,'VPN Bonds'!$A$85:$K$104,5,FALSE), I456+VLOOKUP($B455,'VPN Bonds'!$A$85:$K$104,9,FALSE)*365, VLOOKUP($B455,'VPN Bonds'!$A$85:$K$104,5,FALSE))</f>
        <v>46133</v>
      </c>
      <c r="K456" s="27"/>
      <c r="L456" s="27"/>
      <c r="M456" s="27"/>
      <c r="N456" s="27"/>
      <c r="O456" s="27"/>
      <c r="P456" s="27"/>
      <c r="Q456" s="27"/>
      <c r="R456" s="27"/>
      <c r="S456" s="27"/>
      <c r="T456" s="27"/>
      <c r="U456" s="27"/>
      <c r="V456" s="27"/>
      <c r="W456" s="27"/>
      <c r="X456" s="27"/>
      <c r="Y456" s="27"/>
      <c r="Z456" s="27"/>
      <c r="AA456" s="27"/>
      <c r="AB456" s="27"/>
      <c r="AC456" s="27"/>
      <c r="AD456" s="27"/>
      <c r="AE456" s="27"/>
      <c r="AF456" s="27"/>
      <c r="AG456" s="27"/>
      <c r="AH456" s="27"/>
      <c r="AI456" s="27"/>
      <c r="AJ456" s="27"/>
      <c r="AK456" s="27"/>
      <c r="AL456" s="27"/>
      <c r="AM456" s="27"/>
      <c r="AN456" s="27"/>
      <c r="AO456" s="27"/>
      <c r="AP456" s="27"/>
      <c r="AQ456" s="27"/>
    </row>
    <row r="457" spans="2:43">
      <c r="B457" t="s">
        <v>209</v>
      </c>
      <c r="E457" s="182">
        <f>IF(E456&lt;VLOOKUP($B455,'VPN Bonds'!$A$85:$K$104,5,FALSE),(VLOOKUP($B455,'VPN Bonds'!$A$85:$K$104,8,FALSE)/100)*(VLOOKUP($B455,'VPN Bonds'!$A$85:$K$104,9,FALSE))*(VLOOKUP($B455,'VPN Bonds'!$A$85:$K$104,6,FALSE)),(VLOOKUP($B455,'VPN Bonds'!$A$85:$K$104,6,FALSE)))</f>
        <v>5.2097499999999997</v>
      </c>
      <c r="F457" s="182">
        <f>IF(F456&lt;VLOOKUP($B455,'VPN Bonds'!$A$85:$K$104,5,FALSE),(VLOOKUP($B455,'VPN Bonds'!$A$85:$K$104,8,FALSE)/100)*(VLOOKUP($B455,'VPN Bonds'!$A$85:$K$104,9,FALSE))*(VLOOKUP($B455,'VPN Bonds'!$A$85:$K$104,6,FALSE)),(VLOOKUP($B455,'VPN Bonds'!$A$85:$K$104,6,FALSE)))</f>
        <v>5.2097499999999997</v>
      </c>
      <c r="G457" s="182">
        <f>IF(G456&lt;VLOOKUP($B455,'VPN Bonds'!$A$85:$K$104,5,FALSE),(VLOOKUP($B455,'VPN Bonds'!$A$85:$K$104,8,FALSE)/100)*(VLOOKUP($B455,'VPN Bonds'!$A$85:$K$104,9,FALSE))*(VLOOKUP($B455,'VPN Bonds'!$A$85:$K$104,6,FALSE)),(VLOOKUP($B455,'VPN Bonds'!$A$85:$K$104,6,FALSE)))</f>
        <v>5.2097499999999997</v>
      </c>
      <c r="H457" s="182">
        <f>IF(H456&lt;VLOOKUP($B455,'VPN Bonds'!$A$85:$K$104,5,FALSE),(VLOOKUP($B455,'VPN Bonds'!$A$85:$K$104,8,FALSE)/100)*(VLOOKUP($B455,'VPN Bonds'!$A$85:$K$104,9,FALSE))*(VLOOKUP($B455,'VPN Bonds'!$A$85:$K$104,6,FALSE)),(VLOOKUP($B455,'VPN Bonds'!$A$85:$K$104,6,FALSE)))</f>
        <v>5.2097499999999997</v>
      </c>
      <c r="I457" s="182">
        <f>IF(I456&lt;VLOOKUP($B455,'VPN Bonds'!$A$85:$K$104,5,FALSE),(VLOOKUP($B455,'VPN Bonds'!$A$85:$K$104,8,FALSE)/100)*(VLOOKUP($B455,'VPN Bonds'!$A$85:$K$104,9,FALSE))*(VLOOKUP($B455,'VPN Bonds'!$A$85:$K$104,6,FALSE)),(VLOOKUP($B455,'VPN Bonds'!$A$85:$K$104,6,FALSE)))</f>
        <v>5.2097499999999997</v>
      </c>
      <c r="J457" s="182">
        <f>IF(J456&lt;VLOOKUP($B455,'VPN Bonds'!$A$85:$K$104,5,FALSE),(VLOOKUP($B455,'VPN Bonds'!$A$85:$K$104,8,FALSE)/100)*(VLOOKUP($B455,'VPN Bonds'!$A$85:$K$104,9,FALSE))*(VLOOKUP($B455,'VPN Bonds'!$A$85:$K$104,6,FALSE)),(VLOOKUP($B455,'VPN Bonds'!$A$85:$K$104,6,FALSE)))</f>
        <v>325</v>
      </c>
    </row>
    <row r="458" spans="2:43">
      <c r="B458" s="135">
        <v>44377</v>
      </c>
    </row>
    <row r="459" spans="2:43">
      <c r="B459" t="s">
        <v>210</v>
      </c>
      <c r="E459" s="182">
        <f>(E$456-$B458)/365</f>
        <v>0.80821917808219179</v>
      </c>
      <c r="F459" s="182">
        <f>(F$456-$B458)/365</f>
        <v>1.8082191780821917</v>
      </c>
      <c r="G459" s="182">
        <f t="shared" ref="G459:J459" si="2302">(G$456-$B458)/365</f>
        <v>2.8082191780821919</v>
      </c>
      <c r="H459" s="182">
        <f t="shared" si="2302"/>
        <v>3.8082191780821919</v>
      </c>
      <c r="I459" s="182">
        <f t="shared" si="2302"/>
        <v>4.8082191780821919</v>
      </c>
      <c r="J459" s="182">
        <f t="shared" si="2302"/>
        <v>4.8109589041095893</v>
      </c>
    </row>
    <row r="460" spans="2:43">
      <c r="B460" t="s">
        <v>211</v>
      </c>
      <c r="E460" s="183">
        <f>1+((INDEX('Yield Curve'!$B$48:$P$91,MATCH(ROUND(E459,0),'Yield Curve'!$B$48:$B$91,0),MATCH(YEAR($B458),'Yield Curve'!$B$48:$P$48,0)))/100)</f>
        <v>1.0129999999999999</v>
      </c>
      <c r="F460" s="183">
        <f>1+((INDEX('Yield Curve'!$B$48:$P$91,MATCH(ROUND(F459,0),'Yield Curve'!$B$48:$B$91,0),MATCH(YEAR($B458),'Yield Curve'!$B$48:$P$48,0)))/100)</f>
        <v>1.0129999999999999</v>
      </c>
      <c r="G460" s="183">
        <f>1+((INDEX('Yield Curve'!$B$48:$P$91,MATCH(ROUND(G459,0),'Yield Curve'!$B$48:$B$91,0),MATCH(YEAR($B458),'Yield Curve'!$B$48:$P$48,0)))/100)</f>
        <v>1.0129999999999999</v>
      </c>
      <c r="H460" s="183">
        <f>1+((INDEX('Yield Curve'!$B$48:$P$91,MATCH(ROUND(H459,0),'Yield Curve'!$B$48:$B$91,0),MATCH(YEAR($B458),'Yield Curve'!$B$48:$P$48,0)))/100)</f>
        <v>1.0161249999999999</v>
      </c>
      <c r="I460" s="183">
        <f>1+((INDEX('Yield Curve'!$B$48:$P$91,MATCH(ROUND(I459,0),'Yield Curve'!$B$48:$B$91,0),MATCH(YEAR($B458),'Yield Curve'!$B$48:$P$48,0)))/100)</f>
        <v>1.01925</v>
      </c>
      <c r="J460" s="183">
        <f>1+((INDEX('Yield Curve'!$B$48:$P$91,MATCH(ROUND(J459,0),'Yield Curve'!$B$48:$B$91,0),MATCH(YEAR($B458),'Yield Curve'!$B$48:$P$48,0)))/100)</f>
        <v>1.01925</v>
      </c>
    </row>
    <row r="461" spans="2:43">
      <c r="B461" t="s">
        <v>212</v>
      </c>
      <c r="E461" s="182">
        <f>E$457/(E460^E459)</f>
        <v>5.15564756811394</v>
      </c>
      <c r="F461" s="182">
        <f>F$457/(F460^F459)</f>
        <v>5.0894842725705249</v>
      </c>
      <c r="G461" s="182">
        <f t="shared" ref="G461:J461" si="2303">G$457/(G460^G459)</f>
        <v>5.0241700617675464</v>
      </c>
      <c r="H461" s="182">
        <f t="shared" si="2303"/>
        <v>4.901857305359929</v>
      </c>
      <c r="I461" s="182">
        <f t="shared" si="2303"/>
        <v>4.7533672105765179</v>
      </c>
      <c r="J461" s="182">
        <f t="shared" si="2303"/>
        <v>296.51396806961719</v>
      </c>
    </row>
    <row r="462" spans="2:43">
      <c r="B462" s="135">
        <v>44552</v>
      </c>
    </row>
    <row r="463" spans="2:43">
      <c r="B463" t="s">
        <v>210</v>
      </c>
      <c r="E463" s="182">
        <f>(E$456-$B462)/365</f>
        <v>0.32876712328767121</v>
      </c>
      <c r="F463" s="182">
        <f>(F$456-$B462)/365</f>
        <v>1.3287671232876712</v>
      </c>
      <c r="G463" s="182">
        <f t="shared" ref="G463" si="2304">(G$456-$B462)/365</f>
        <v>2.3287671232876712</v>
      </c>
      <c r="H463" s="182">
        <f t="shared" ref="H463" si="2305">(H$456-$B462)/365</f>
        <v>3.3287671232876712</v>
      </c>
      <c r="I463" s="182">
        <f t="shared" ref="I463" si="2306">(I$456-$B462)/365</f>
        <v>4.3287671232876717</v>
      </c>
      <c r="J463" s="182">
        <f t="shared" ref="J463" si="2307">(J$456-$B462)/365</f>
        <v>4.3315068493150681</v>
      </c>
    </row>
    <row r="464" spans="2:43">
      <c r="B464" t="s">
        <v>211</v>
      </c>
      <c r="E464" s="183">
        <f>1+((INDEX('Yield Curve'!$B$48:$P$91,MATCH(ROUND(E463,0),'Yield Curve'!$B$48:$B$91,0),MATCH(YEAR($B462)+1,'Yield Curve'!$B$48:$P$48,0)))/100)</f>
        <v>1.0212000000000001</v>
      </c>
      <c r="F464" s="183">
        <f>1+((INDEX('Yield Curve'!$B$48:$P$91,MATCH(ROUND(F463,0),'Yield Curve'!$B$48:$B$91,0),MATCH(YEAR($B462)+1,'Yield Curve'!$B$48:$P$48,0)))/100)</f>
        <v>1.0212000000000001</v>
      </c>
      <c r="G464" s="183">
        <f>1+((INDEX('Yield Curve'!$B$48:$P$91,MATCH(ROUND(G463,0),'Yield Curve'!$B$48:$B$91,0),MATCH(YEAR($B462)+1,'Yield Curve'!$B$48:$P$48,0)))/100)</f>
        <v>1.0212000000000001</v>
      </c>
      <c r="H464" s="183">
        <f>1+((INDEX('Yield Curve'!$B$48:$P$91,MATCH(ROUND(H463,0),'Yield Curve'!$B$48:$B$91,0),MATCH(YEAR($B462)+1,'Yield Curve'!$B$48:$P$48,0)))/100)</f>
        <v>1.0212000000000001</v>
      </c>
      <c r="I464" s="183">
        <f>1+((INDEX('Yield Curve'!$B$48:$P$91,MATCH(ROUND(I463,0),'Yield Curve'!$B$48:$B$91,0),MATCH(YEAR($B462)+1,'Yield Curve'!$B$48:$P$48,0)))/100)</f>
        <v>1.0245</v>
      </c>
      <c r="J464" s="183">
        <f>1+((INDEX('Yield Curve'!$B$48:$P$91,MATCH(ROUND(J463,0),'Yield Curve'!$B$48:$B$91,0),MATCH(YEAR($B462)+1,'Yield Curve'!$B$48:$P$48,0)))/100)</f>
        <v>1.0245</v>
      </c>
    </row>
    <row r="465" spans="2:15">
      <c r="B465" t="s">
        <v>212</v>
      </c>
      <c r="E465" s="182">
        <f>E$457/(E464^E463)</f>
        <v>5.1739419267642424</v>
      </c>
      <c r="F465" s="182">
        <f>F$457/(F464^F463)</f>
        <v>5.0665314598161393</v>
      </c>
      <c r="G465" s="182">
        <f t="shared" ref="G465" si="2308">G$457/(G464^G463)</f>
        <v>4.9613508223816476</v>
      </c>
      <c r="H465" s="182">
        <f t="shared" ref="H465" si="2309">H$457/(H464^H463)</f>
        <v>4.8583537234446208</v>
      </c>
      <c r="I465" s="182">
        <f t="shared" ref="I465" si="2310">I$457/(I464^I463)</f>
        <v>4.6915143023452579</v>
      </c>
      <c r="J465" s="182">
        <f t="shared" ref="J465" si="2311">J$457/(J464^J463)</f>
        <v>292.65147838862765</v>
      </c>
    </row>
    <row r="467" spans="2:15">
      <c r="B467" s="5" t="str">
        <f>'VPN Bonds'!A94</f>
        <v>37284850963</v>
      </c>
      <c r="C467" t="s">
        <v>213</v>
      </c>
    </row>
    <row r="468" spans="2:15">
      <c r="B468" t="s">
        <v>66</v>
      </c>
      <c r="D468" s="180">
        <f>VLOOKUP(B467,'VPN Bonds'!$A$85:$K$104,4,FALSE)</f>
        <v>44307</v>
      </c>
      <c r="E468" s="180">
        <f>VLOOKUP(B467,'VPN Bonds'!$A$85:$K$104,10,FALSE)</f>
        <v>44672</v>
      </c>
      <c r="F468" s="180">
        <f>IF(E468+VLOOKUP($B467,'VPN Bonds'!$A$85:$K$104,9,FALSE)*365 &lt; VLOOKUP($B467,'VPN Bonds'!$A$85:$K$104,5,FALSE), E468+VLOOKUP($B467,'VPN Bonds'!$A$85:$K$104,9,FALSE)*365, VLOOKUP($B467,'VPN Bonds'!$A$85:$K$104,5,FALSE))</f>
        <v>45037</v>
      </c>
      <c r="G468" s="180">
        <f>IF(F468+VLOOKUP($B467,'VPN Bonds'!$A$85:$K$104,9,FALSE)*365 &lt; VLOOKUP($B467,'VPN Bonds'!$A$85:$K$104,5,FALSE), F468+VLOOKUP($B467,'VPN Bonds'!$A$85:$K$104,9,FALSE)*365, VLOOKUP($B467,'VPN Bonds'!$A$85:$K$104,5,FALSE))</f>
        <v>45402</v>
      </c>
      <c r="H468" s="180">
        <f>IF(G468+VLOOKUP($B467,'VPN Bonds'!$A$85:$K$104,9,FALSE)*365 &lt; VLOOKUP($B467,'VPN Bonds'!$A$85:$K$104,5,FALSE), G468+VLOOKUP($B467,'VPN Bonds'!$A$85:$K$104,9,FALSE)*365, VLOOKUP($B467,'VPN Bonds'!$A$85:$K$104,5,FALSE))</f>
        <v>45767</v>
      </c>
      <c r="I468" s="180">
        <f>IF(H468+VLOOKUP($B467,'VPN Bonds'!$A$85:$K$104,9,FALSE)*365 &lt; VLOOKUP($B467,'VPN Bonds'!$A$85:$K$104,5,FALSE), H468+VLOOKUP($B467,'VPN Bonds'!$A$85:$K$104,9,FALSE)*365, VLOOKUP($B467,'VPN Bonds'!$A$85:$K$104,5,FALSE))</f>
        <v>46132</v>
      </c>
      <c r="J468" s="180">
        <f>IF(I468+VLOOKUP($B467,'VPN Bonds'!$A$85:$K$104,9,FALSE)*365 &lt; VLOOKUP($B467,'VPN Bonds'!$A$85:$K$104,5,FALSE), I468+VLOOKUP($B467,'VPN Bonds'!$A$85:$K$104,9,FALSE)*365, VLOOKUP($B467,'VPN Bonds'!$A$85:$K$104,5,FALSE))</f>
        <v>46497</v>
      </c>
      <c r="K468" s="180">
        <f>IF(J468+VLOOKUP($B467,'VPN Bonds'!$A$85:$K$104,9,FALSE)*365 &lt; VLOOKUP($B467,'VPN Bonds'!$A$85:$K$104,5,FALSE), J468+VLOOKUP($B467,'VPN Bonds'!$A$85:$K$104,9,FALSE)*365, VLOOKUP($B467,'VPN Bonds'!$A$85:$K$104,5,FALSE))</f>
        <v>46862</v>
      </c>
      <c r="L468" s="180">
        <f>IF(K468+VLOOKUP($B467,'VPN Bonds'!$A$85:$K$104,9,FALSE)*365 &lt; VLOOKUP($B467,'VPN Bonds'!$A$85:$K$104,5,FALSE), K468+VLOOKUP($B467,'VPN Bonds'!$A$85:$K$104,9,FALSE)*365, VLOOKUP($B467,'VPN Bonds'!$A$85:$K$104,5,FALSE))</f>
        <v>46864</v>
      </c>
      <c r="M468" s="27"/>
      <c r="N468" s="27"/>
      <c r="O468" s="27"/>
    </row>
    <row r="469" spans="2:15">
      <c r="B469" t="s">
        <v>209</v>
      </c>
      <c r="E469" s="182">
        <f>IF(E468&lt;VLOOKUP($B467,'VPN Bonds'!$A$85:$K$104,5,FALSE),(VLOOKUP($B467,'VPN Bonds'!$A$85:$K$104,8,FALSE)/100)*(VLOOKUP($B467,'VPN Bonds'!$A$85:$K$104,9,FALSE))*(VLOOKUP($B467,'VPN Bonds'!$A$85:$K$104,6,FALSE)),(VLOOKUP($B467,'VPN Bonds'!$A$85:$K$104,6,FALSE)))</f>
        <v>4.2640000000000002</v>
      </c>
      <c r="F469" s="182">
        <f>IF(F468&lt;VLOOKUP($B467,'VPN Bonds'!$A$85:$K$104,5,FALSE),(VLOOKUP($B467,'VPN Bonds'!$A$85:$K$104,8,FALSE)/100)*(VLOOKUP($B467,'VPN Bonds'!$A$85:$K$104,9,FALSE))*(VLOOKUP($B467,'VPN Bonds'!$A$85:$K$104,6,FALSE)),(VLOOKUP($B467,'VPN Bonds'!$A$85:$K$104,6,FALSE)))</f>
        <v>4.2640000000000002</v>
      </c>
      <c r="G469" s="182">
        <f>IF(G468&lt;VLOOKUP($B467,'VPN Bonds'!$A$85:$K$104,5,FALSE),(VLOOKUP($B467,'VPN Bonds'!$A$85:$K$104,8,FALSE)/100)*(VLOOKUP($B467,'VPN Bonds'!$A$85:$K$104,9,FALSE))*(VLOOKUP($B467,'VPN Bonds'!$A$85:$K$104,6,FALSE)),(VLOOKUP($B467,'VPN Bonds'!$A$85:$K$104,6,FALSE)))</f>
        <v>4.2640000000000002</v>
      </c>
      <c r="H469" s="182">
        <f>IF(H468&lt;VLOOKUP($B467,'VPN Bonds'!$A$85:$K$104,5,FALSE),(VLOOKUP($B467,'VPN Bonds'!$A$85:$K$104,8,FALSE)/100)*(VLOOKUP($B467,'VPN Bonds'!$A$85:$K$104,9,FALSE))*(VLOOKUP($B467,'VPN Bonds'!$A$85:$K$104,6,FALSE)),(VLOOKUP($B467,'VPN Bonds'!$A$85:$K$104,6,FALSE)))</f>
        <v>4.2640000000000002</v>
      </c>
      <c r="I469" s="182">
        <f>IF(I468&lt;VLOOKUP($B467,'VPN Bonds'!$A$85:$K$104,5,FALSE),(VLOOKUP($B467,'VPN Bonds'!$A$85:$K$104,8,FALSE)/100)*(VLOOKUP($B467,'VPN Bonds'!$A$85:$K$104,9,FALSE))*(VLOOKUP($B467,'VPN Bonds'!$A$85:$K$104,6,FALSE)),(VLOOKUP($B467,'VPN Bonds'!$A$85:$K$104,6,FALSE)))</f>
        <v>4.2640000000000002</v>
      </c>
      <c r="J469" s="182">
        <f>IF(J468&lt;VLOOKUP($B467,'VPN Bonds'!$A$85:$K$104,5,FALSE),(VLOOKUP($B467,'VPN Bonds'!$A$85:$K$104,8,FALSE)/100)*(VLOOKUP($B467,'VPN Bonds'!$A$85:$K$104,9,FALSE))*(VLOOKUP($B467,'VPN Bonds'!$A$85:$K$104,6,FALSE)),(VLOOKUP($B467,'VPN Bonds'!$A$85:$K$104,6,FALSE)))</f>
        <v>4.2640000000000002</v>
      </c>
      <c r="K469" s="182">
        <f>IF(K468&lt;VLOOKUP($B467,'VPN Bonds'!$A$85:$K$104,5,FALSE),(VLOOKUP($B467,'VPN Bonds'!$A$85:$K$104,8,FALSE)/100)*(VLOOKUP($B467,'VPN Bonds'!$A$85:$K$104,9,FALSE))*(VLOOKUP($B467,'VPN Bonds'!$A$85:$K$104,6,FALSE)),(VLOOKUP($B467,'VPN Bonds'!$A$85:$K$104,6,FALSE)))</f>
        <v>4.2640000000000002</v>
      </c>
      <c r="L469" s="182">
        <f>IF(L468&lt;VLOOKUP($B467,'VPN Bonds'!$A$85:$K$104,5,FALSE),(VLOOKUP($B467,'VPN Bonds'!$A$85:$K$104,8,FALSE)/100)*(VLOOKUP($B467,'VPN Bonds'!$A$85:$K$104,9,FALSE))*(VLOOKUP($B467,'VPN Bonds'!$A$85:$K$104,6,FALSE)),(VLOOKUP($B467,'VPN Bonds'!$A$85:$K$104,6,FALSE)))</f>
        <v>200</v>
      </c>
    </row>
    <row r="470" spans="2:15">
      <c r="B470" s="135">
        <v>44377</v>
      </c>
    </row>
    <row r="471" spans="2:15">
      <c r="B471" t="s">
        <v>210</v>
      </c>
      <c r="E471" s="182">
        <f>(E$468-$B470)/365</f>
        <v>0.80821917808219179</v>
      </c>
      <c r="F471" s="182">
        <f>(F$468-$B470)/365</f>
        <v>1.8082191780821917</v>
      </c>
      <c r="G471" s="182">
        <f t="shared" ref="G471:J471" si="2312">(G$468-$B470)/365</f>
        <v>2.8082191780821919</v>
      </c>
      <c r="H471" s="182">
        <f t="shared" si="2312"/>
        <v>3.8082191780821919</v>
      </c>
      <c r="I471" s="182">
        <f t="shared" si="2312"/>
        <v>4.8082191780821919</v>
      </c>
      <c r="J471" s="182">
        <f t="shared" si="2312"/>
        <v>5.8082191780821919</v>
      </c>
      <c r="K471" s="182">
        <f t="shared" ref="K471" si="2313">(K$468-$B470)/365</f>
        <v>6.8082191780821919</v>
      </c>
      <c r="L471" s="182">
        <f t="shared" ref="L471" si="2314">(L$468-$B470)/365</f>
        <v>6.8136986301369866</v>
      </c>
    </row>
    <row r="472" spans="2:15">
      <c r="B472" t="s">
        <v>211</v>
      </c>
      <c r="E472" s="183">
        <f>1+((INDEX('Yield Curve'!$B$48:$P$91,MATCH(ROUND(E471,0),'Yield Curve'!$B$48:$B$91,0),MATCH(YEAR($B470),'Yield Curve'!$B$48:$P$48,0)))/100)</f>
        <v>1.0129999999999999</v>
      </c>
      <c r="F472" s="183">
        <f>1+((INDEX('Yield Curve'!$B$48:$P$91,MATCH(ROUND(F471,0),'Yield Curve'!$B$48:$B$91,0),MATCH(YEAR($B470),'Yield Curve'!$B$48:$P$48,0)))/100)</f>
        <v>1.0129999999999999</v>
      </c>
      <c r="G472" s="183">
        <f>1+((INDEX('Yield Curve'!$B$48:$P$91,MATCH(ROUND(G471,0),'Yield Curve'!$B$48:$B$91,0),MATCH(YEAR($B470),'Yield Curve'!$B$48:$P$48,0)))/100)</f>
        <v>1.0129999999999999</v>
      </c>
      <c r="H472" s="183">
        <f>1+((INDEX('Yield Curve'!$B$48:$P$91,MATCH(ROUND(H471,0),'Yield Curve'!$B$48:$B$91,0),MATCH(YEAR($B470),'Yield Curve'!$B$48:$P$48,0)))/100)</f>
        <v>1.0161249999999999</v>
      </c>
      <c r="I472" s="183">
        <f>1+((INDEX('Yield Curve'!$B$48:$P$91,MATCH(ROUND(I471,0),'Yield Curve'!$B$48:$B$91,0),MATCH(YEAR($B470),'Yield Curve'!$B$48:$P$48,0)))/100)</f>
        <v>1.01925</v>
      </c>
      <c r="J472" s="183">
        <f>1+((INDEX('Yield Curve'!$B$48:$P$91,MATCH(ROUND(J471,0),'Yield Curve'!$B$48:$B$91,0),MATCH(YEAR($B470),'Yield Curve'!$B$48:$P$48,0)))/100)</f>
        <v>1.022775</v>
      </c>
      <c r="K472" s="183">
        <f>1+((INDEX('Yield Curve'!$B$48:$P$91,MATCH(ROUND(K471,0),'Yield Curve'!$B$48:$B$91,0),MATCH(YEAR($B470),'Yield Curve'!$B$48:$P$48,0)))/100)</f>
        <v>1.0263</v>
      </c>
      <c r="L472" s="183">
        <f>1+((INDEX('Yield Curve'!$B$48:$P$91,MATCH(ROUND(L471,0),'Yield Curve'!$B$48:$B$91,0),MATCH(YEAR($B470),'Yield Curve'!$B$48:$P$48,0)))/100)</f>
        <v>1.0263</v>
      </c>
    </row>
    <row r="473" spans="2:15">
      <c r="B473" t="s">
        <v>212</v>
      </c>
      <c r="E473" s="182">
        <f>E$469/(E472^E471)</f>
        <v>4.2197190326671805</v>
      </c>
      <c r="F473" s="182">
        <f>F$469/(F472^F471)</f>
        <v>4.165566666009064</v>
      </c>
      <c r="G473" s="182">
        <f t="shared" ref="G473:J473" si="2315">G$469/(G472^G471)</f>
        <v>4.1121092458134889</v>
      </c>
      <c r="H473" s="182">
        <f t="shared" si="2315"/>
        <v>4.012000489477372</v>
      </c>
      <c r="I473" s="182">
        <f t="shared" si="2315"/>
        <v>3.8904664880077306</v>
      </c>
      <c r="J473" s="182">
        <f t="shared" si="2315"/>
        <v>3.741211055393574</v>
      </c>
      <c r="K473" s="182">
        <f t="shared" ref="K473" si="2316">K$469/(K472^K471)</f>
        <v>3.5732145499804204</v>
      </c>
      <c r="L473" s="182">
        <f t="shared" ref="L473" si="2317">L$469/(L472^L471)</f>
        <v>167.57534271135302</v>
      </c>
    </row>
    <row r="474" spans="2:15">
      <c r="B474" s="135">
        <v>44552</v>
      </c>
    </row>
    <row r="475" spans="2:15">
      <c r="B475" t="s">
        <v>210</v>
      </c>
      <c r="E475" s="182">
        <f>(E$468-$B474)/365</f>
        <v>0.32876712328767121</v>
      </c>
      <c r="F475" s="182">
        <f>(F$468-$B474)/365</f>
        <v>1.3287671232876712</v>
      </c>
      <c r="G475" s="182">
        <f t="shared" ref="G475" si="2318">(G$468-$B474)/365</f>
        <v>2.3287671232876712</v>
      </c>
      <c r="H475" s="182">
        <f t="shared" ref="H475" si="2319">(H$468-$B474)/365</f>
        <v>3.3287671232876712</v>
      </c>
      <c r="I475" s="182">
        <f t="shared" ref="I475" si="2320">(I$468-$B474)/365</f>
        <v>4.3287671232876717</v>
      </c>
      <c r="J475" s="182">
        <f t="shared" ref="J475" si="2321">(J$468-$B474)/365</f>
        <v>5.3287671232876717</v>
      </c>
      <c r="K475" s="182">
        <f t="shared" ref="K475" si="2322">(K$468-$B474)/365</f>
        <v>6.3287671232876717</v>
      </c>
      <c r="L475" s="182">
        <f t="shared" ref="L475" si="2323">(L$468-$B474)/365</f>
        <v>6.3342465753424655</v>
      </c>
    </row>
    <row r="476" spans="2:15">
      <c r="B476" t="s">
        <v>211</v>
      </c>
      <c r="E476" s="183">
        <f>1+((INDEX('Yield Curve'!$B$48:$P$91,MATCH(ROUND(E475,0),'Yield Curve'!$B$48:$B$91,0),MATCH(YEAR($B474)+1,'Yield Curve'!$B$48:$P$48,0)))/100)</f>
        <v>1.0212000000000001</v>
      </c>
      <c r="F476" s="183">
        <f>1+((INDEX('Yield Curve'!$B$48:$P$91,MATCH(ROUND(F475,0),'Yield Curve'!$B$48:$B$91,0),MATCH(YEAR($B474)+1,'Yield Curve'!$B$48:$P$48,0)))/100)</f>
        <v>1.0212000000000001</v>
      </c>
      <c r="G476" s="183">
        <f>1+((INDEX('Yield Curve'!$B$48:$P$91,MATCH(ROUND(G475,0),'Yield Curve'!$B$48:$B$91,0),MATCH(YEAR($B474)+1,'Yield Curve'!$B$48:$P$48,0)))/100)</f>
        <v>1.0212000000000001</v>
      </c>
      <c r="H476" s="183">
        <f>1+((INDEX('Yield Curve'!$B$48:$P$91,MATCH(ROUND(H475,0),'Yield Curve'!$B$48:$B$91,0),MATCH(YEAR($B474)+1,'Yield Curve'!$B$48:$P$48,0)))/100)</f>
        <v>1.0212000000000001</v>
      </c>
      <c r="I476" s="183">
        <f>1+((INDEX('Yield Curve'!$B$48:$P$91,MATCH(ROUND(I475,0),'Yield Curve'!$B$48:$B$91,0),MATCH(YEAR($B474)+1,'Yield Curve'!$B$48:$P$48,0)))/100)</f>
        <v>1.0245</v>
      </c>
      <c r="J476" s="183">
        <f>1+((INDEX('Yield Curve'!$B$48:$P$91,MATCH(ROUND(J475,0),'Yield Curve'!$B$48:$B$91,0),MATCH(YEAR($B474)+1,'Yield Curve'!$B$48:$P$48,0)))/100)</f>
        <v>1.0278</v>
      </c>
      <c r="K476" s="183">
        <f>1+((INDEX('Yield Curve'!$B$48:$P$91,MATCH(ROUND(K475,0),'Yield Curve'!$B$48:$B$91,0),MATCH(YEAR($B474)+1,'Yield Curve'!$B$48:$P$48,0)))/100)</f>
        <v>1.030375</v>
      </c>
      <c r="L476" s="183">
        <f>1+((INDEX('Yield Curve'!$B$48:$P$91,MATCH(ROUND(L475,0),'Yield Curve'!$B$48:$B$91,0),MATCH(YEAR($B474)+1,'Yield Curve'!$B$48:$P$48,0)))/100)</f>
        <v>1.030375</v>
      </c>
    </row>
    <row r="477" spans="2:15">
      <c r="B477" t="s">
        <v>212</v>
      </c>
      <c r="E477" s="182">
        <f>E$469/(E476^E475)</f>
        <v>4.2346923318245082</v>
      </c>
      <c r="F477" s="182">
        <f>F$469/(F476^F475)</f>
        <v>4.1467805834552562</v>
      </c>
      <c r="G477" s="182">
        <f t="shared" ref="G477" si="2324">G$469/(G476^G475)</f>
        <v>4.0606938733404379</v>
      </c>
      <c r="H477" s="182">
        <f t="shared" ref="H477" si="2325">H$469/(H476^H475)</f>
        <v>3.9763943138860536</v>
      </c>
      <c r="I477" s="182">
        <f t="shared" ref="I477" si="2326">I$469/(I476^I475)</f>
        <v>3.8398420241278721</v>
      </c>
      <c r="J477" s="182">
        <f t="shared" ref="J477" si="2327">J$469/(J476^J475)</f>
        <v>3.6843337864935397</v>
      </c>
      <c r="K477" s="182">
        <f t="shared" ref="K477" si="2328">K$469/(K476^K475)</f>
        <v>3.5283599782517485</v>
      </c>
      <c r="L477" s="182">
        <f t="shared" ref="L477" si="2329">L$469/(L476^L475)</f>
        <v>165.46817605893293</v>
      </c>
    </row>
    <row r="479" spans="2:15">
      <c r="B479" s="5" t="str">
        <f>'VPN Bonds'!A95</f>
        <v>36756870061</v>
      </c>
      <c r="C479" t="s">
        <v>213</v>
      </c>
    </row>
    <row r="480" spans="2:15">
      <c r="B480" t="s">
        <v>66</v>
      </c>
      <c r="D480" s="180">
        <f>VLOOKUP(B479,'VPN Bonds'!$A$85:$K$104,4,FALSE)</f>
        <v>44102</v>
      </c>
      <c r="E480" s="180">
        <f>VLOOKUP(B479,'VPN Bonds'!$A$85:$K$104,10,FALSE)</f>
        <v>44467</v>
      </c>
      <c r="F480" s="180">
        <f>IF(E480+VLOOKUP($B479,'VPN Bonds'!$A$85:$K$104,9,FALSE)*365 &lt; VLOOKUP($B479,'VPN Bonds'!$A$85:$K$104,5,FALSE), E480+VLOOKUP($B479,'VPN Bonds'!$A$85:$K$104,9,FALSE)*365, VLOOKUP($B479,'VPN Bonds'!$A$85:$K$104,5,FALSE))</f>
        <v>44832</v>
      </c>
      <c r="G480" s="180">
        <f>IF(F480+VLOOKUP($B479,'VPN Bonds'!$A$85:$K$104,9,FALSE)*365 &lt; VLOOKUP($B479,'VPN Bonds'!$A$85:$K$104,5,FALSE), F480+VLOOKUP($B479,'VPN Bonds'!$A$85:$K$104,9,FALSE)*365, VLOOKUP($B479,'VPN Bonds'!$A$85:$K$104,5,FALSE))</f>
        <v>45197</v>
      </c>
      <c r="H480" s="180">
        <f>IF(G480+VLOOKUP($B479,'VPN Bonds'!$A$85:$K$104,9,FALSE)*365 &lt; VLOOKUP($B479,'VPN Bonds'!$A$85:$K$104,5,FALSE), G480+VLOOKUP($B479,'VPN Bonds'!$A$85:$K$104,9,FALSE)*365, VLOOKUP($B479,'VPN Bonds'!$A$85:$K$104,5,FALSE))</f>
        <v>45562</v>
      </c>
      <c r="I480" s="180">
        <f>IF(H480+VLOOKUP($B479,'VPN Bonds'!$A$85:$K$104,9,FALSE)*365 &lt; VLOOKUP($B479,'VPN Bonds'!$A$85:$K$104,5,FALSE), H480+VLOOKUP($B479,'VPN Bonds'!$A$85:$K$104,9,FALSE)*365, VLOOKUP($B479,'VPN Bonds'!$A$85:$K$104,5,FALSE))</f>
        <v>45927</v>
      </c>
      <c r="J480" s="180">
        <f>IF(I480+VLOOKUP($B479,'VPN Bonds'!$A$85:$K$104,9,FALSE)*365 &lt; VLOOKUP($B479,'VPN Bonds'!$A$85:$K$104,5,FALSE), I480+VLOOKUP($B479,'VPN Bonds'!$A$85:$K$104,9,FALSE)*365, VLOOKUP($B479,'VPN Bonds'!$A$85:$K$104,5,FALSE))</f>
        <v>45928</v>
      </c>
      <c r="K480" s="27"/>
      <c r="L480" s="27"/>
    </row>
    <row r="481" spans="2:28">
      <c r="B481" t="s">
        <v>209</v>
      </c>
      <c r="E481" s="182">
        <f>IF(E480&lt;VLOOKUP($B479,'VPN Bonds'!$A$85:$K$104,5,FALSE),(VLOOKUP($B479,'VPN Bonds'!$A$85:$K$104,8,FALSE)/100)*(VLOOKUP($B479,'VPN Bonds'!$A$85:$K$104,9,FALSE))*(VLOOKUP($B479,'VPN Bonds'!$A$85:$K$104,6,FALSE)),(VLOOKUP($B479,'VPN Bonds'!$A$85:$K$104,6,FALSE)))</f>
        <v>1.5541780000000001</v>
      </c>
      <c r="F481" s="182">
        <f>IF(F480&lt;VLOOKUP($B479,'VPN Bonds'!$A$85:$K$104,5,FALSE),(VLOOKUP($B479,'VPN Bonds'!$A$85:$K$104,8,FALSE)/100)*(VLOOKUP($B479,'VPN Bonds'!$A$85:$K$104,9,FALSE))*(VLOOKUP($B479,'VPN Bonds'!$A$85:$K$104,6,FALSE)),(VLOOKUP($B479,'VPN Bonds'!$A$85:$K$104,6,FALSE)))</f>
        <v>1.5541780000000001</v>
      </c>
      <c r="G481" s="182">
        <f>IF(G480&lt;VLOOKUP($B479,'VPN Bonds'!$A$85:$K$104,5,FALSE),(VLOOKUP($B479,'VPN Bonds'!$A$85:$K$104,8,FALSE)/100)*(VLOOKUP($B479,'VPN Bonds'!$A$85:$K$104,9,FALSE))*(VLOOKUP($B479,'VPN Bonds'!$A$85:$K$104,6,FALSE)),(VLOOKUP($B479,'VPN Bonds'!$A$85:$K$104,6,FALSE)))</f>
        <v>1.5541780000000001</v>
      </c>
      <c r="H481" s="182">
        <f>IF(H480&lt;VLOOKUP($B479,'VPN Bonds'!$A$85:$K$104,5,FALSE),(VLOOKUP($B479,'VPN Bonds'!$A$85:$K$104,8,FALSE)/100)*(VLOOKUP($B479,'VPN Bonds'!$A$85:$K$104,9,FALSE))*(VLOOKUP($B479,'VPN Bonds'!$A$85:$K$104,6,FALSE)),(VLOOKUP($B479,'VPN Bonds'!$A$85:$K$104,6,FALSE)))</f>
        <v>1.5541780000000001</v>
      </c>
      <c r="I481" s="182">
        <f>IF(I480&lt;VLOOKUP($B479,'VPN Bonds'!$A$85:$K$104,5,FALSE),(VLOOKUP($B479,'VPN Bonds'!$A$85:$K$104,8,FALSE)/100)*(VLOOKUP($B479,'VPN Bonds'!$A$85:$K$104,9,FALSE))*(VLOOKUP($B479,'VPN Bonds'!$A$85:$K$104,6,FALSE)),(VLOOKUP($B479,'VPN Bonds'!$A$85:$K$104,6,FALSE)))</f>
        <v>1.5541780000000001</v>
      </c>
      <c r="J481" s="182">
        <f>IF(J480&lt;VLOOKUP($B479,'VPN Bonds'!$A$85:$K$104,5,FALSE),(VLOOKUP($B479,'VPN Bonds'!$A$85:$K$104,8,FALSE)/100)*(VLOOKUP($B479,'VPN Bonds'!$A$85:$K$104,9,FALSE))*(VLOOKUP($B479,'VPN Bonds'!$A$85:$K$104,6,FALSE)),(VLOOKUP($B479,'VPN Bonds'!$A$85:$K$104,6,FALSE)))</f>
        <v>131.71</v>
      </c>
    </row>
    <row r="482" spans="2:28">
      <c r="B482" s="135">
        <v>44377</v>
      </c>
    </row>
    <row r="483" spans="2:28">
      <c r="B483" t="s">
        <v>210</v>
      </c>
      <c r="E483" s="182">
        <f>(E$480-$B482)/365</f>
        <v>0.24657534246575341</v>
      </c>
      <c r="F483" s="182">
        <f t="shared" ref="F483:J483" si="2330">(F$480-$B482)/365</f>
        <v>1.2465753424657535</v>
      </c>
      <c r="G483" s="182">
        <f t="shared" si="2330"/>
        <v>2.2465753424657535</v>
      </c>
      <c r="H483" s="182">
        <f t="shared" si="2330"/>
        <v>3.2465753424657535</v>
      </c>
      <c r="I483" s="182">
        <f t="shared" si="2330"/>
        <v>4.2465753424657535</v>
      </c>
      <c r="J483" s="182">
        <f t="shared" si="2330"/>
        <v>4.2493150684931509</v>
      </c>
    </row>
    <row r="484" spans="2:28">
      <c r="B484" t="s">
        <v>211</v>
      </c>
      <c r="E484" s="183">
        <f>1+((INDEX('Yield Curve'!$B$48:$P$91,MATCH(ROUND(E483,0),'Yield Curve'!$B$48:$B$91,0),MATCH(YEAR($B482),'Yield Curve'!$B$48:$P$48,0)))/100)</f>
        <v>1.0129999999999999</v>
      </c>
      <c r="F484" s="183">
        <f>1+((INDEX('Yield Curve'!$B$48:$P$91,MATCH(ROUND(F483,0),'Yield Curve'!$B$48:$B$91,0),MATCH(YEAR($B482),'Yield Curve'!$B$48:$P$48,0)))/100)</f>
        <v>1.0129999999999999</v>
      </c>
      <c r="G484" s="183">
        <f>1+((INDEX('Yield Curve'!$B$48:$P$91,MATCH(ROUND(G483,0),'Yield Curve'!$B$48:$B$91,0),MATCH(YEAR($B482),'Yield Curve'!$B$48:$P$48,0)))/100)</f>
        <v>1.0129999999999999</v>
      </c>
      <c r="H484" s="183">
        <f>1+((INDEX('Yield Curve'!$B$48:$P$91,MATCH(ROUND(H483,0),'Yield Curve'!$B$48:$B$91,0),MATCH(YEAR($B482),'Yield Curve'!$B$48:$P$48,0)))/100)</f>
        <v>1.0129999999999999</v>
      </c>
      <c r="I484" s="183">
        <f>1+((INDEX('Yield Curve'!$B$48:$P$91,MATCH(ROUND(I483,0),'Yield Curve'!$B$48:$B$91,0),MATCH(YEAR($B482),'Yield Curve'!$B$48:$P$48,0)))/100)</f>
        <v>1.0161249999999999</v>
      </c>
      <c r="J484" s="183">
        <f>1+((INDEX('Yield Curve'!$B$48:$P$91,MATCH(ROUND(J483,0),'Yield Curve'!$B$48:$B$91,0),MATCH(YEAR($B482),'Yield Curve'!$B$48:$P$48,0)))/100)</f>
        <v>1.0161249999999999</v>
      </c>
    </row>
    <row r="485" spans="2:28">
      <c r="B485" t="s">
        <v>212</v>
      </c>
      <c r="E485" s="182">
        <f>E$481/(E484^E483)</f>
        <v>1.5492360924016313</v>
      </c>
      <c r="F485" s="182">
        <f t="shared" ref="F485:J485" si="2331">F$481/(F484^F483)</f>
        <v>1.5293544841082245</v>
      </c>
      <c r="G485" s="182">
        <f t="shared" si="2331"/>
        <v>1.5097280198501724</v>
      </c>
      <c r="H485" s="182">
        <f t="shared" si="2331"/>
        <v>1.4903534253209993</v>
      </c>
      <c r="I485" s="182">
        <f t="shared" si="2331"/>
        <v>1.4521090036809423</v>
      </c>
      <c r="J485" s="182">
        <f t="shared" si="2331"/>
        <v>123.05469198401579</v>
      </c>
    </row>
    <row r="486" spans="2:28">
      <c r="B486" s="135">
        <v>44552</v>
      </c>
    </row>
    <row r="487" spans="2:28">
      <c r="B487" t="s">
        <v>210</v>
      </c>
      <c r="F487" s="182">
        <f t="shared" ref="F487" si="2332">(F$480-$B486)/365</f>
        <v>0.76712328767123283</v>
      </c>
      <c r="G487" s="182">
        <f t="shared" ref="G487" si="2333">(G$480-$B486)/365</f>
        <v>1.7671232876712328</v>
      </c>
      <c r="H487" s="182">
        <f t="shared" ref="H487" si="2334">(H$480-$B486)/365</f>
        <v>2.7671232876712328</v>
      </c>
      <c r="I487" s="182">
        <f t="shared" ref="I487" si="2335">(I$480-$B486)/365</f>
        <v>3.7671232876712328</v>
      </c>
      <c r="J487" s="182">
        <f t="shared" ref="J487" si="2336">(J$480-$B486)/365</f>
        <v>3.7698630136986302</v>
      </c>
    </row>
    <row r="488" spans="2:28">
      <c r="B488" t="s">
        <v>211</v>
      </c>
      <c r="F488" s="183">
        <f>1+((INDEX('Yield Curve'!$B$48:$P$91,MATCH(ROUND(F487,0),'Yield Curve'!$B$48:$B$91,0),MATCH(YEAR($B486)+1,'Yield Curve'!$B$48:$P$48,0)))/100)</f>
        <v>1.0212000000000001</v>
      </c>
      <c r="G488" s="183">
        <f>1+((INDEX('Yield Curve'!$B$48:$P$91,MATCH(ROUND(G487,0),'Yield Curve'!$B$48:$B$91,0),MATCH(YEAR($B486)+1,'Yield Curve'!$B$48:$P$48,0)))/100)</f>
        <v>1.0212000000000001</v>
      </c>
      <c r="H488" s="183">
        <f>1+((INDEX('Yield Curve'!$B$48:$P$91,MATCH(ROUND(H487,0),'Yield Curve'!$B$48:$B$91,0),MATCH(YEAR($B486)+1,'Yield Curve'!$B$48:$P$48,0)))/100)</f>
        <v>1.0212000000000001</v>
      </c>
      <c r="I488" s="183">
        <f>1+((INDEX('Yield Curve'!$B$48:$P$91,MATCH(ROUND(I487,0),'Yield Curve'!$B$48:$B$91,0),MATCH(YEAR($B486)+1,'Yield Curve'!$B$48:$P$48,0)))/100)</f>
        <v>1.0245</v>
      </c>
      <c r="J488" s="183">
        <f>1+((INDEX('Yield Curve'!$B$48:$P$91,MATCH(ROUND(J487,0),'Yield Curve'!$B$48:$B$91,0),MATCH(YEAR($B486)+1,'Yield Curve'!$B$48:$P$48,0)))/100)</f>
        <v>1.0245</v>
      </c>
    </row>
    <row r="489" spans="2:28">
      <c r="B489" t="s">
        <v>212</v>
      </c>
      <c r="F489" s="182">
        <f t="shared" ref="F489" si="2337">F$481/(F488^F487)</f>
        <v>1.5293667554817363</v>
      </c>
      <c r="G489" s="182">
        <f t="shared" ref="G489" si="2338">G$481/(G488^G487)</f>
        <v>1.4976172693710692</v>
      </c>
      <c r="H489" s="182">
        <f t="shared" ref="H489" si="2339">H$481/(H488^H487)</f>
        <v>1.4665268991099385</v>
      </c>
      <c r="I489" s="182">
        <f t="shared" ref="I489" si="2340">I$481/(I488^I487)</f>
        <v>1.4187337409234184</v>
      </c>
      <c r="J489" s="182">
        <f t="shared" ref="J489" si="2341">J$481/(J488^J487)</f>
        <v>120.22370015488627</v>
      </c>
    </row>
    <row r="491" spans="2:28">
      <c r="B491" s="5" t="str">
        <f>'VPN Bonds'!A96</f>
        <v>35151640111</v>
      </c>
    </row>
    <row r="492" spans="2:28">
      <c r="B492" t="s">
        <v>66</v>
      </c>
      <c r="D492" s="180">
        <f>VLOOKUP(B491,'VPN Bonds'!$A$85:$K$104,4,FALSE)</f>
        <v>43656</v>
      </c>
      <c r="E492" s="180">
        <f>VLOOKUP(B491,'VPN Bonds'!$A$85:$K$104,10,FALSE)</f>
        <v>43900</v>
      </c>
      <c r="F492" s="180">
        <f>IF(E492+VLOOKUP($B491,'VPN Bonds'!$A$85:$K$104,9,FALSE)*365 &lt; VLOOKUP($B491,'VPN Bonds'!$A$85:$K$104,5,FALSE), E492+VLOOKUP($B491,'VPN Bonds'!$A$85:$K$104,9,FALSE)*365, VLOOKUP($B491,'VPN Bonds'!$A$85:$K$104,5,FALSE))</f>
        <v>44082.5</v>
      </c>
      <c r="G492" s="180">
        <f>IF(F492+VLOOKUP($B491,'VPN Bonds'!$A$85:$K$104,9,FALSE)*365 &lt; VLOOKUP($B491,'VPN Bonds'!$A$85:$K$104,5,FALSE), F492+VLOOKUP($B491,'VPN Bonds'!$A$85:$K$104,9,FALSE)*365, VLOOKUP($B491,'VPN Bonds'!$A$85:$K$104,5,FALSE))</f>
        <v>44265</v>
      </c>
      <c r="H492" s="180">
        <f>IF(G492+VLOOKUP($B491,'VPN Bonds'!$A$85:$K$104,9,FALSE)*365 &lt; VLOOKUP($B491,'VPN Bonds'!$A$85:$K$104,5,FALSE), G492+VLOOKUP($B491,'VPN Bonds'!$A$85:$K$104,9,FALSE)*365, VLOOKUP($B491,'VPN Bonds'!$A$85:$K$104,5,FALSE))</f>
        <v>44447.5</v>
      </c>
      <c r="I492" s="180">
        <f>IF(H492+VLOOKUP($B491,'VPN Bonds'!$A$85:$K$104,9,FALSE)*365 &lt; VLOOKUP($B491,'VPN Bonds'!$A$85:$K$104,5,FALSE), H492+VLOOKUP($B491,'VPN Bonds'!$A$85:$K$104,9,FALSE)*365, VLOOKUP($B491,'VPN Bonds'!$A$85:$K$104,5,FALSE))</f>
        <v>44630</v>
      </c>
      <c r="J492" s="180">
        <f>IF(I492+VLOOKUP($B491,'VPN Bonds'!$A$85:$K$104,9,FALSE)*365 &lt; VLOOKUP($B491,'VPN Bonds'!$A$85:$K$104,5,FALSE), I492+VLOOKUP($B491,'VPN Bonds'!$A$85:$K$104,9,FALSE)*365, VLOOKUP($B491,'VPN Bonds'!$A$85:$K$104,5,FALSE))</f>
        <v>44812.5</v>
      </c>
      <c r="K492" s="180">
        <f>IF(J492+VLOOKUP($B491,'VPN Bonds'!$A$85:$K$104,9,FALSE)*365 &lt; VLOOKUP($B491,'VPN Bonds'!$A$85:$K$104,5,FALSE), J492+VLOOKUP($B491,'VPN Bonds'!$A$85:$K$104,9,FALSE)*365, VLOOKUP($B491,'VPN Bonds'!$A$85:$K$104,5,FALSE))</f>
        <v>44995</v>
      </c>
      <c r="L492" s="180">
        <f>IF(K492+VLOOKUP($B491,'VPN Bonds'!$A$85:$K$104,9,FALSE)*365 &lt; VLOOKUP($B491,'VPN Bonds'!$A$85:$K$104,5,FALSE), K492+VLOOKUP($B491,'VPN Bonds'!$A$85:$K$104,9,FALSE)*365, VLOOKUP($B491,'VPN Bonds'!$A$85:$K$104,5,FALSE))</f>
        <v>45177.5</v>
      </c>
      <c r="M492" s="180">
        <f>IF(L492+VLOOKUP($B491,'VPN Bonds'!$A$85:$K$104,9,FALSE)*365 &lt; VLOOKUP($B491,'VPN Bonds'!$A$85:$K$104,5,FALSE), L492+VLOOKUP($B491,'VPN Bonds'!$A$85:$K$104,9,FALSE)*365, VLOOKUP($B491,'VPN Bonds'!$A$85:$K$104,5,FALSE))</f>
        <v>45360</v>
      </c>
      <c r="N492" s="180">
        <f>IF(M492+VLOOKUP($B491,'VPN Bonds'!$A$85:$K$104,9,FALSE)*365 &lt; VLOOKUP($B491,'VPN Bonds'!$A$85:$K$104,5,FALSE), M492+VLOOKUP($B491,'VPN Bonds'!$A$85:$K$104,9,FALSE)*365, VLOOKUP($B491,'VPN Bonds'!$A$85:$K$104,5,FALSE))</f>
        <v>45542.5</v>
      </c>
      <c r="O492" s="180">
        <f>IF(N492+VLOOKUP($B491,'VPN Bonds'!$A$85:$K$104,9,FALSE)*365 &lt; VLOOKUP($B491,'VPN Bonds'!$A$85:$K$104,5,FALSE), N492+VLOOKUP($B491,'VPN Bonds'!$A$85:$K$104,9,FALSE)*365, VLOOKUP($B491,'VPN Bonds'!$A$85:$K$104,5,FALSE))</f>
        <v>45725</v>
      </c>
      <c r="P492" s="180">
        <f>IF(O492+VLOOKUP($B491,'VPN Bonds'!$A$85:$K$104,9,FALSE)*365 &lt; VLOOKUP($B491,'VPN Bonds'!$A$85:$K$104,5,FALSE), O492+VLOOKUP($B491,'VPN Bonds'!$A$85:$K$104,9,FALSE)*365, VLOOKUP($B491,'VPN Bonds'!$A$85:$K$104,5,FALSE))</f>
        <v>45907.5</v>
      </c>
      <c r="Q492" s="180">
        <f>IF(P492+VLOOKUP($B491,'VPN Bonds'!$A$85:$K$104,9,FALSE)*365 &lt; VLOOKUP($B491,'VPN Bonds'!$A$85:$K$104,5,FALSE), P492+VLOOKUP($B491,'VPN Bonds'!$A$85:$K$104,9,FALSE)*365, VLOOKUP($B491,'VPN Bonds'!$A$85:$K$104,5,FALSE))</f>
        <v>46090</v>
      </c>
      <c r="R492" s="180">
        <f>IF(Q492+VLOOKUP($B491,'VPN Bonds'!$A$85:$K$104,9,FALSE)*365 &lt; VLOOKUP($B491,'VPN Bonds'!$A$85:$K$104,5,FALSE), Q492+VLOOKUP($B491,'VPN Bonds'!$A$85:$K$104,9,FALSE)*365, VLOOKUP($B491,'VPN Bonds'!$A$85:$K$104,5,FALSE))</f>
        <v>46272.5</v>
      </c>
      <c r="S492" s="180">
        <f>IF(R492+VLOOKUP($B491,'VPN Bonds'!$A$85:$K$104,9,FALSE)*365 &lt; VLOOKUP($B491,'VPN Bonds'!$A$85:$K$104,5,FALSE), R492+VLOOKUP($B491,'VPN Bonds'!$A$85:$K$104,9,FALSE)*365, VLOOKUP($B491,'VPN Bonds'!$A$85:$K$104,5,FALSE))</f>
        <v>46455</v>
      </c>
      <c r="T492" s="180">
        <f>IF(S492+VLOOKUP($B491,'VPN Bonds'!$A$85:$K$104,9,FALSE)*365 &lt; VLOOKUP($B491,'VPN Bonds'!$A$85:$K$104,5,FALSE), S492+VLOOKUP($B491,'VPN Bonds'!$A$85:$K$104,9,FALSE)*365, VLOOKUP($B491,'VPN Bonds'!$A$85:$K$104,5,FALSE))</f>
        <v>46637.5</v>
      </c>
      <c r="U492" s="180">
        <f>IF(T492+VLOOKUP($B491,'VPN Bonds'!$A$85:$K$104,9,FALSE)*365 &lt; VLOOKUP($B491,'VPN Bonds'!$A$85:$K$104,5,FALSE), T492+VLOOKUP($B491,'VPN Bonds'!$A$85:$K$104,9,FALSE)*365, VLOOKUP($B491,'VPN Bonds'!$A$85:$K$104,5,FALSE))</f>
        <v>46820</v>
      </c>
      <c r="V492" s="180">
        <f>IF(U492+VLOOKUP($B491,'VPN Bonds'!$A$85:$K$104,9,FALSE)*365 &lt; VLOOKUP($B491,'VPN Bonds'!$A$85:$K$104,5,FALSE), U492+VLOOKUP($B491,'VPN Bonds'!$A$85:$K$104,9,FALSE)*365, VLOOKUP($B491,'VPN Bonds'!$A$85:$K$104,5,FALSE))</f>
        <v>47002.5</v>
      </c>
      <c r="W492" s="180">
        <f>IF(V492+VLOOKUP($B491,'VPN Bonds'!$A$85:$K$104,9,FALSE)*365 &lt; VLOOKUP($B491,'VPN Bonds'!$A$85:$K$104,5,FALSE), V492+VLOOKUP($B491,'VPN Bonds'!$A$85:$K$104,9,FALSE)*365, VLOOKUP($B491,'VPN Bonds'!$A$85:$K$104,5,FALSE))</f>
        <v>47185</v>
      </c>
      <c r="X492" s="180">
        <f>IF(W492+VLOOKUP($B491,'VPN Bonds'!$A$85:$K$104,9,FALSE)*365 &lt; VLOOKUP($B491,'VPN Bonds'!$A$85:$K$104,5,FALSE), W492+VLOOKUP($B491,'VPN Bonds'!$A$85:$K$104,9,FALSE)*365, VLOOKUP($B491,'VPN Bonds'!$A$85:$K$104,5,FALSE))</f>
        <v>47362</v>
      </c>
      <c r="Y492" s="180">
        <f>IF(X492+VLOOKUP($B491,'VPN Bonds'!$A$85:$K$104,9,FALSE)*365 &lt; VLOOKUP($B491,'VPN Bonds'!$A$85:$K$104,5,FALSE), X492+VLOOKUP($B491,'VPN Bonds'!$A$85:$K$104,9,FALSE)*365, VLOOKUP($B491,'VPN Bonds'!$A$85:$K$104,5,FALSE))</f>
        <v>47362</v>
      </c>
      <c r="Z492" s="27"/>
      <c r="AA492" s="27"/>
      <c r="AB492" s="27"/>
    </row>
    <row r="493" spans="2:28">
      <c r="B493" t="s">
        <v>209</v>
      </c>
      <c r="E493" s="182">
        <f>IF(E492&lt;VLOOKUP($B491,'VPN Bonds'!$A$85:$K$104,5,FALSE),(VLOOKUP($B491,'VPN Bonds'!$A$85:$K$104,8,FALSE)/100)*(VLOOKUP($B491,'VPN Bonds'!$A$85:$K$104,9,FALSE))*(VLOOKUP($B491,'VPN Bonds'!$A$85:$K$104,6,FALSE)),(VLOOKUP($B491,'VPN Bonds'!$A$85:$K$104,6,FALSE)))</f>
        <v>7.485911999999999</v>
      </c>
      <c r="F493" s="182">
        <f>IF(F492&lt;VLOOKUP($B491,'VPN Bonds'!$A$85:$K$104,5,FALSE),(VLOOKUP($B491,'VPN Bonds'!$A$85:$K$104,8,FALSE)/100)*(VLOOKUP($B491,'VPN Bonds'!$A$85:$K$104,9,FALSE))*(VLOOKUP($B491,'VPN Bonds'!$A$85:$K$104,6,FALSE)),(VLOOKUP($B491,'VPN Bonds'!$A$85:$K$104,6,FALSE)))</f>
        <v>7.485911999999999</v>
      </c>
      <c r="G493" s="182">
        <f>IF(G492&lt;VLOOKUP($B491,'VPN Bonds'!$A$85:$K$104,5,FALSE),(VLOOKUP($B491,'VPN Bonds'!$A$85:$K$104,8,FALSE)/100)*(VLOOKUP($B491,'VPN Bonds'!$A$85:$K$104,9,FALSE))*(VLOOKUP($B491,'VPN Bonds'!$A$85:$K$104,6,FALSE)),(VLOOKUP($B491,'VPN Bonds'!$A$85:$K$104,6,FALSE)))</f>
        <v>7.485911999999999</v>
      </c>
      <c r="H493" s="182">
        <f>IF(H492&lt;VLOOKUP($B491,'VPN Bonds'!$A$85:$K$104,5,FALSE),(VLOOKUP($B491,'VPN Bonds'!$A$85:$K$104,8,FALSE)/100)*(VLOOKUP($B491,'VPN Bonds'!$A$85:$K$104,9,FALSE))*(VLOOKUP($B491,'VPN Bonds'!$A$85:$K$104,6,FALSE)),(VLOOKUP($B491,'VPN Bonds'!$A$85:$K$104,6,FALSE)))</f>
        <v>7.485911999999999</v>
      </c>
      <c r="I493" s="182">
        <f>IF(I492&lt;VLOOKUP($B491,'VPN Bonds'!$A$85:$K$104,5,FALSE),(VLOOKUP($B491,'VPN Bonds'!$A$85:$K$104,8,FALSE)/100)*(VLOOKUP($B491,'VPN Bonds'!$A$85:$K$104,9,FALSE))*(VLOOKUP($B491,'VPN Bonds'!$A$85:$K$104,6,FALSE)),(VLOOKUP($B491,'VPN Bonds'!$A$85:$K$104,6,FALSE)))</f>
        <v>7.485911999999999</v>
      </c>
      <c r="J493" s="182">
        <f>IF(J492&lt;VLOOKUP($B491,'VPN Bonds'!$A$85:$K$104,5,FALSE),(VLOOKUP($B491,'VPN Bonds'!$A$85:$K$104,8,FALSE)/100)*(VLOOKUP($B491,'VPN Bonds'!$A$85:$K$104,9,FALSE))*(VLOOKUP($B491,'VPN Bonds'!$A$85:$K$104,6,FALSE)),(VLOOKUP($B491,'VPN Bonds'!$A$85:$K$104,6,FALSE)))</f>
        <v>7.485911999999999</v>
      </c>
      <c r="K493" s="182">
        <f>IF(K492&lt;VLOOKUP($B491,'VPN Bonds'!$A$85:$K$104,5,FALSE),(VLOOKUP($B491,'VPN Bonds'!$A$85:$K$104,8,FALSE)/100)*(VLOOKUP($B491,'VPN Bonds'!$A$85:$K$104,9,FALSE))*(VLOOKUP($B491,'VPN Bonds'!$A$85:$K$104,6,FALSE)),(VLOOKUP($B491,'VPN Bonds'!$A$85:$K$104,6,FALSE)))</f>
        <v>7.485911999999999</v>
      </c>
      <c r="L493" s="182">
        <f>IF(L492&lt;VLOOKUP($B491,'VPN Bonds'!$A$85:$K$104,5,FALSE),(VLOOKUP($B491,'VPN Bonds'!$A$85:$K$104,8,FALSE)/100)*(VLOOKUP($B491,'VPN Bonds'!$A$85:$K$104,9,FALSE))*(VLOOKUP($B491,'VPN Bonds'!$A$85:$K$104,6,FALSE)),(VLOOKUP($B491,'VPN Bonds'!$A$85:$K$104,6,FALSE)))</f>
        <v>7.485911999999999</v>
      </c>
      <c r="M493" s="182">
        <f>IF(M492&lt;VLOOKUP($B491,'VPN Bonds'!$A$85:$K$104,5,FALSE),(VLOOKUP($B491,'VPN Bonds'!$A$85:$K$104,8,FALSE)/100)*(VLOOKUP($B491,'VPN Bonds'!$A$85:$K$104,9,FALSE))*(VLOOKUP($B491,'VPN Bonds'!$A$85:$K$104,6,FALSE)),(VLOOKUP($B491,'VPN Bonds'!$A$85:$K$104,6,FALSE)))</f>
        <v>7.485911999999999</v>
      </c>
      <c r="N493" s="182">
        <f>IF(N492&lt;VLOOKUP($B491,'VPN Bonds'!$A$85:$K$104,5,FALSE),(VLOOKUP($B491,'VPN Bonds'!$A$85:$K$104,8,FALSE)/100)*(VLOOKUP($B491,'VPN Bonds'!$A$85:$K$104,9,FALSE))*(VLOOKUP($B491,'VPN Bonds'!$A$85:$K$104,6,FALSE)),(VLOOKUP($B491,'VPN Bonds'!$A$85:$K$104,6,FALSE)))</f>
        <v>7.485911999999999</v>
      </c>
      <c r="O493" s="182">
        <f>IF(O492&lt;VLOOKUP($B491,'VPN Bonds'!$A$85:$K$104,5,FALSE),(VLOOKUP($B491,'VPN Bonds'!$A$85:$K$104,8,FALSE)/100)*(VLOOKUP($B491,'VPN Bonds'!$A$85:$K$104,9,FALSE))*(VLOOKUP($B491,'VPN Bonds'!$A$85:$K$104,6,FALSE)),(VLOOKUP($B491,'VPN Bonds'!$A$85:$K$104,6,FALSE)))</f>
        <v>7.485911999999999</v>
      </c>
      <c r="P493" s="182">
        <f>IF(P492&lt;VLOOKUP($B491,'VPN Bonds'!$A$85:$K$104,5,FALSE),(VLOOKUP($B491,'VPN Bonds'!$A$85:$K$104,8,FALSE)/100)*(VLOOKUP($B491,'VPN Bonds'!$A$85:$K$104,9,FALSE))*(VLOOKUP($B491,'VPN Bonds'!$A$85:$K$104,6,FALSE)),(VLOOKUP($B491,'VPN Bonds'!$A$85:$K$104,6,FALSE)))</f>
        <v>7.485911999999999</v>
      </c>
      <c r="Q493" s="182">
        <f>IF(Q492&lt;VLOOKUP($B491,'VPN Bonds'!$A$85:$K$104,5,FALSE),(VLOOKUP($B491,'VPN Bonds'!$A$85:$K$104,8,FALSE)/100)*(VLOOKUP($B491,'VPN Bonds'!$A$85:$K$104,9,FALSE))*(VLOOKUP($B491,'VPN Bonds'!$A$85:$K$104,6,FALSE)),(VLOOKUP($B491,'VPN Bonds'!$A$85:$K$104,6,FALSE)))</f>
        <v>7.485911999999999</v>
      </c>
      <c r="R493" s="182">
        <f>IF(R492&lt;VLOOKUP($B491,'VPN Bonds'!$A$85:$K$104,5,FALSE),(VLOOKUP($B491,'VPN Bonds'!$A$85:$K$104,8,FALSE)/100)*(VLOOKUP($B491,'VPN Bonds'!$A$85:$K$104,9,FALSE))*(VLOOKUP($B491,'VPN Bonds'!$A$85:$K$104,6,FALSE)),(VLOOKUP($B491,'VPN Bonds'!$A$85:$K$104,6,FALSE)))</f>
        <v>7.485911999999999</v>
      </c>
      <c r="S493" s="182">
        <f>IF(S492&lt;VLOOKUP($B491,'VPN Bonds'!$A$85:$K$104,5,FALSE),(VLOOKUP($B491,'VPN Bonds'!$A$85:$K$104,8,FALSE)/100)*(VLOOKUP($B491,'VPN Bonds'!$A$85:$K$104,9,FALSE))*(VLOOKUP($B491,'VPN Bonds'!$A$85:$K$104,6,FALSE)),(VLOOKUP($B491,'VPN Bonds'!$A$85:$K$104,6,FALSE)))</f>
        <v>7.485911999999999</v>
      </c>
      <c r="T493" s="182">
        <f>IF(T492&lt;VLOOKUP($B491,'VPN Bonds'!$A$85:$K$104,5,FALSE),(VLOOKUP($B491,'VPN Bonds'!$A$85:$K$104,8,FALSE)/100)*(VLOOKUP($B491,'VPN Bonds'!$A$85:$K$104,9,FALSE))*(VLOOKUP($B491,'VPN Bonds'!$A$85:$K$104,6,FALSE)),(VLOOKUP($B491,'VPN Bonds'!$A$85:$K$104,6,FALSE)))</f>
        <v>7.485911999999999</v>
      </c>
      <c r="U493" s="182">
        <f>IF(U492&lt;VLOOKUP($B491,'VPN Bonds'!$A$85:$K$104,5,FALSE),(VLOOKUP($B491,'VPN Bonds'!$A$85:$K$104,8,FALSE)/100)*(VLOOKUP($B491,'VPN Bonds'!$A$85:$K$104,9,FALSE))*(VLOOKUP($B491,'VPN Bonds'!$A$85:$K$104,6,FALSE)),(VLOOKUP($B491,'VPN Bonds'!$A$85:$K$104,6,FALSE)))</f>
        <v>7.485911999999999</v>
      </c>
      <c r="V493" s="182">
        <f>IF(V492&lt;VLOOKUP($B491,'VPN Bonds'!$A$85:$K$104,5,FALSE),(VLOOKUP($B491,'VPN Bonds'!$A$85:$K$104,8,FALSE)/100)*(VLOOKUP($B491,'VPN Bonds'!$A$85:$K$104,9,FALSE))*(VLOOKUP($B491,'VPN Bonds'!$A$85:$K$104,6,FALSE)),(VLOOKUP($B491,'VPN Bonds'!$A$85:$K$104,6,FALSE)))</f>
        <v>7.485911999999999</v>
      </c>
      <c r="W493" s="182">
        <f>IF(W492&lt;VLOOKUP($B491,'VPN Bonds'!$A$85:$K$104,5,FALSE),(VLOOKUP($B491,'VPN Bonds'!$A$85:$K$104,8,FALSE)/100)*(VLOOKUP($B491,'VPN Bonds'!$A$85:$K$104,9,FALSE))*(VLOOKUP($B491,'VPN Bonds'!$A$85:$K$104,6,FALSE)),(VLOOKUP($B491,'VPN Bonds'!$A$85:$K$104,6,FALSE)))</f>
        <v>7.485911999999999</v>
      </c>
      <c r="X493" s="182">
        <f>IF(X492&lt;VLOOKUP($B491,'VPN Bonds'!$A$85:$K$104,5,FALSE),(VLOOKUP($B491,'VPN Bonds'!$A$85:$K$104,8,FALSE)/100)*(VLOOKUP($B491,'VPN Bonds'!$A$85:$K$104,9,FALSE))*(VLOOKUP($B491,'VPN Bonds'!$A$85:$K$104,6,FALSE)),(VLOOKUP($B491,'VPN Bonds'!$A$85:$K$104,6,FALSE)))</f>
        <v>445.59</v>
      </c>
      <c r="Y493" s="182">
        <f>IF(Y492&lt;VLOOKUP($B491,'VPN Bonds'!$A$85:$K$104,5,FALSE),(VLOOKUP($B491,'VPN Bonds'!$A$85:$K$104,8,FALSE)/100)*(VLOOKUP($B491,'VPN Bonds'!$A$85:$K$104,9,FALSE))*(VLOOKUP($B491,'VPN Bonds'!$A$85:$K$104,6,FALSE)),(VLOOKUP($B491,'VPN Bonds'!$A$85:$K$104,6,FALSE)))</f>
        <v>445.59</v>
      </c>
    </row>
    <row r="494" spans="2:28">
      <c r="B494" s="135">
        <v>44012</v>
      </c>
    </row>
    <row r="495" spans="2:28">
      <c r="B495" t="s">
        <v>210</v>
      </c>
      <c r="F495" s="182">
        <f t="shared" ref="F495:J495" si="2342">(F$492-$B494)/365</f>
        <v>0.19315068493150686</v>
      </c>
      <c r="G495" s="182">
        <f t="shared" si="2342"/>
        <v>0.69315068493150689</v>
      </c>
      <c r="H495" s="182">
        <f t="shared" si="2342"/>
        <v>1.1931506849315068</v>
      </c>
      <c r="I495" s="182">
        <f t="shared" si="2342"/>
        <v>1.6931506849315068</v>
      </c>
      <c r="J495" s="182">
        <f t="shared" si="2342"/>
        <v>2.1931506849315068</v>
      </c>
      <c r="K495" s="182">
        <f t="shared" ref="K495" si="2343">(K$492-$B494)/365</f>
        <v>2.6931506849315068</v>
      </c>
      <c r="L495" s="182">
        <f t="shared" ref="L495" si="2344">(L$492-$B494)/365</f>
        <v>3.1931506849315068</v>
      </c>
      <c r="M495" s="182">
        <f t="shared" ref="M495" si="2345">(M$492-$B494)/365</f>
        <v>3.6931506849315068</v>
      </c>
      <c r="N495" s="182">
        <f t="shared" ref="N495" si="2346">(N$492-$B494)/365</f>
        <v>4.1931506849315072</v>
      </c>
      <c r="O495" s="182">
        <f t="shared" ref="O495" si="2347">(O$492-$B494)/365</f>
        <v>4.6931506849315072</v>
      </c>
      <c r="P495" s="182">
        <f t="shared" ref="P495" si="2348">(P$492-$B494)/365</f>
        <v>5.1931506849315072</v>
      </c>
      <c r="Q495" s="182">
        <f t="shared" ref="Q495" si="2349">(Q$492-$B494)/365</f>
        <v>5.6931506849315072</v>
      </c>
      <c r="R495" s="182">
        <f t="shared" ref="R495" si="2350">(R$492-$B494)/365</f>
        <v>6.1931506849315072</v>
      </c>
      <c r="S495" s="182">
        <f t="shared" ref="S495" si="2351">(S$492-$B494)/365</f>
        <v>6.6931506849315072</v>
      </c>
      <c r="T495" s="182">
        <f t="shared" ref="T495" si="2352">(T$492-$B494)/365</f>
        <v>7.1931506849315072</v>
      </c>
      <c r="U495" s="182">
        <f t="shared" ref="U495" si="2353">(U$492-$B494)/365</f>
        <v>7.6931506849315072</v>
      </c>
      <c r="V495" s="182">
        <f t="shared" ref="V495" si="2354">(V$492-$B494)/365</f>
        <v>8.1931506849315063</v>
      </c>
      <c r="W495" s="182">
        <f t="shared" ref="W495" si="2355">(W$492-$B494)/365</f>
        <v>8.6931506849315063</v>
      </c>
      <c r="X495" s="182">
        <f t="shared" ref="X495" si="2356">(X$492-$B494)/365</f>
        <v>9.1780821917808222</v>
      </c>
      <c r="Y495" s="182">
        <f t="shared" ref="Y495" si="2357">(Y$492-$B494)/365</f>
        <v>9.1780821917808222</v>
      </c>
    </row>
    <row r="496" spans="2:28">
      <c r="B496" t="s">
        <v>211</v>
      </c>
      <c r="F496" s="183">
        <f>1+((INDEX('Yield Curve'!$B$48:$P$91,MATCH(ROUND(F495,0),'Yield Curve'!$B$48:$B$91,0),MATCH(YEAR($B494),'Yield Curve'!$B$48:$P$48,0)))/100)</f>
        <v>1.02105</v>
      </c>
      <c r="G496" s="183">
        <f>1+((INDEX('Yield Curve'!$B$48:$P$91,MATCH(ROUND(G495,0),'Yield Curve'!$B$48:$B$91,0),MATCH(YEAR($B494),'Yield Curve'!$B$48:$P$48,0)))/100)</f>
        <v>1.02105</v>
      </c>
      <c r="H496" s="183">
        <f>1+((INDEX('Yield Curve'!$B$48:$P$91,MATCH(ROUND(H495,0),'Yield Curve'!$B$48:$B$91,0),MATCH(YEAR($B494),'Yield Curve'!$B$48:$P$48,0)))/100)</f>
        <v>1.02105</v>
      </c>
      <c r="I496" s="183">
        <f>1+((INDEX('Yield Curve'!$B$48:$P$91,MATCH(ROUND(I495,0),'Yield Curve'!$B$48:$B$91,0),MATCH(YEAR($B494),'Yield Curve'!$B$48:$P$48,0)))/100)</f>
        <v>1.02105</v>
      </c>
      <c r="J496" s="183">
        <f>1+((INDEX('Yield Curve'!$B$48:$P$91,MATCH(ROUND(J495,0),'Yield Curve'!$B$48:$B$91,0),MATCH(YEAR($B494),'Yield Curve'!$B$48:$P$48,0)))/100)</f>
        <v>1.02105</v>
      </c>
      <c r="K496" s="183">
        <f>1+((INDEX('Yield Curve'!$B$48:$P$91,MATCH(ROUND(K495,0),'Yield Curve'!$B$48:$B$91,0),MATCH(YEAR($B494),'Yield Curve'!$B$48:$P$48,0)))/100)</f>
        <v>1.02105</v>
      </c>
      <c r="L496" s="183">
        <f>1+((INDEX('Yield Curve'!$B$48:$P$91,MATCH(ROUND(L495,0),'Yield Curve'!$B$48:$B$91,0),MATCH(YEAR($B494),'Yield Curve'!$B$48:$P$48,0)))/100)</f>
        <v>1.02105</v>
      </c>
      <c r="M496" s="183">
        <f>1+((INDEX('Yield Curve'!$B$48:$P$91,MATCH(ROUND(M495,0),'Yield Curve'!$B$48:$B$91,0),MATCH(YEAR($B494),'Yield Curve'!$B$48:$P$48,0)))/100)</f>
        <v>1.0229999999999999</v>
      </c>
      <c r="N496" s="183">
        <f>1+((INDEX('Yield Curve'!$B$48:$P$91,MATCH(ROUND(N495,0),'Yield Curve'!$B$48:$B$91,0),MATCH(YEAR($B494),'Yield Curve'!$B$48:$P$48,0)))/100)</f>
        <v>1.0229999999999999</v>
      </c>
      <c r="O496" s="183">
        <f>1+((INDEX('Yield Curve'!$B$48:$P$91,MATCH(ROUND(O495,0),'Yield Curve'!$B$48:$B$91,0),MATCH(YEAR($B494),'Yield Curve'!$B$48:$P$48,0)))/100)</f>
        <v>1.02495</v>
      </c>
      <c r="P496" s="183">
        <f>1+((INDEX('Yield Curve'!$B$48:$P$91,MATCH(ROUND(P495,0),'Yield Curve'!$B$48:$B$91,0),MATCH(YEAR($B494),'Yield Curve'!$B$48:$P$48,0)))/100)</f>
        <v>1.02495</v>
      </c>
      <c r="Q496" s="183">
        <f>1+((INDEX('Yield Curve'!$B$48:$P$91,MATCH(ROUND(Q495,0),'Yield Curve'!$B$48:$B$91,0),MATCH(YEAR($B494),'Yield Curve'!$B$48:$P$48,0)))/100)</f>
        <v>1.0282249999999999</v>
      </c>
      <c r="R496" s="183">
        <f>1+((INDEX('Yield Curve'!$B$48:$P$91,MATCH(ROUND(R495,0),'Yield Curve'!$B$48:$B$91,0),MATCH(YEAR($B494),'Yield Curve'!$B$48:$P$48,0)))/100)</f>
        <v>1.0282249999999999</v>
      </c>
      <c r="S496" s="183">
        <f>1+((INDEX('Yield Curve'!$B$48:$P$91,MATCH(ROUND(S495,0),'Yield Curve'!$B$48:$B$91,0),MATCH(YEAR($B494),'Yield Curve'!$B$48:$P$48,0)))/100)</f>
        <v>1.0315000000000001</v>
      </c>
      <c r="T496" s="183">
        <f>1+((INDEX('Yield Curve'!$B$48:$P$91,MATCH(ROUND(T495,0),'Yield Curve'!$B$48:$B$91,0),MATCH(YEAR($B494),'Yield Curve'!$B$48:$P$48,0)))/100)</f>
        <v>1.0315000000000001</v>
      </c>
      <c r="U496" s="183">
        <f>1+((INDEX('Yield Curve'!$B$48:$P$91,MATCH(ROUND(U495,0),'Yield Curve'!$B$48:$B$91,0),MATCH(YEAR($B494),'Yield Curve'!$B$48:$P$48,0)))/100)</f>
        <v>1.0322499999999999</v>
      </c>
      <c r="V496" s="183">
        <f>1+((INDEX('Yield Curve'!$B$48:$P$91,MATCH(ROUND(V495,0),'Yield Curve'!$B$48:$B$91,0),MATCH(YEAR($B494),'Yield Curve'!$B$48:$P$48,0)))/100)</f>
        <v>1.0322499999999999</v>
      </c>
      <c r="W496" s="183">
        <f>1+((INDEX('Yield Curve'!$B$48:$P$91,MATCH(ROUND(W495,0),'Yield Curve'!$B$48:$B$91,0),MATCH(YEAR($B494),'Yield Curve'!$B$48:$P$48,0)))/100)</f>
        <v>1.0337499999999999</v>
      </c>
      <c r="X496" s="183">
        <f>1+((INDEX('Yield Curve'!$B$48:$P$91,MATCH(ROUND(X495,0),'Yield Curve'!$B$48:$B$91,0),MATCH(YEAR($B494),'Yield Curve'!$B$48:$P$48,0)))/100)</f>
        <v>1.0337499999999999</v>
      </c>
      <c r="Y496" s="183">
        <f>1+((INDEX('Yield Curve'!$B$48:$P$91,MATCH(ROUND(Y495,0),'Yield Curve'!$B$48:$B$91,0),MATCH(YEAR($B494),'Yield Curve'!$B$48:$P$48,0)))/100)</f>
        <v>1.0337499999999999</v>
      </c>
    </row>
    <row r="497" spans="2:25">
      <c r="B497" t="s">
        <v>212</v>
      </c>
      <c r="C497" s="182">
        <f>SUM(D497:AM497)</f>
        <v>776.68677053251417</v>
      </c>
      <c r="F497" s="182">
        <f t="shared" ref="F497:J497" si="2358">F$493/(F496^F495)</f>
        <v>7.455852047659544</v>
      </c>
      <c r="G497" s="182">
        <f t="shared" si="2358"/>
        <v>7.3785967555082346</v>
      </c>
      <c r="H497" s="182">
        <f t="shared" si="2358"/>
        <v>7.3021419594138823</v>
      </c>
      <c r="I497" s="182">
        <f t="shared" si="2358"/>
        <v>7.2264793648775623</v>
      </c>
      <c r="J497" s="182">
        <f t="shared" si="2358"/>
        <v>7.1516007633454599</v>
      </c>
      <c r="K497" s="182">
        <f t="shared" ref="K497" si="2359">K$493/(K496^K495)</f>
        <v>7.0774980313183127</v>
      </c>
      <c r="L497" s="182">
        <f t="shared" ref="L497" si="2360">L$493/(L496^L495)</f>
        <v>7.004163129470113</v>
      </c>
      <c r="M497" s="182">
        <f t="shared" ref="M497" si="2361">M$493/(M496^M495)</f>
        <v>6.8829167082474871</v>
      </c>
      <c r="N497" s="182">
        <f t="shared" ref="N497" si="2362">N$493/(N496^N495)</f>
        <v>6.8051029105617289</v>
      </c>
      <c r="O497" s="182">
        <f t="shared" ref="O497" si="2363">O$493/(O496^O495)</f>
        <v>6.6683045833294763</v>
      </c>
      <c r="P497" s="182">
        <f t="shared" ref="P497" si="2364">P$493/(P496^P495)</f>
        <v>6.5866424482036336</v>
      </c>
      <c r="Q497" s="182">
        <f t="shared" ref="Q497" si="2365">Q$493/(Q496^Q495)</f>
        <v>6.3888840584630442</v>
      </c>
      <c r="R497" s="182">
        <f t="shared" ref="R497" si="2366">R$493/(R496^R495)</f>
        <v>6.3005857613063707</v>
      </c>
      <c r="S497" s="182">
        <f t="shared" ref="S497" si="2367">S$493/(S496^S495)</f>
        <v>6.0826540402887384</v>
      </c>
      <c r="T497" s="182">
        <f t="shared" ref="T497" si="2368">T$493/(T496^T495)</f>
        <v>5.9890577370438729</v>
      </c>
      <c r="U497" s="182">
        <f t="shared" ref="U497" si="2369">U$493/(U496^U495)</f>
        <v>5.8640203618505051</v>
      </c>
      <c r="V497" s="182">
        <f t="shared" ref="V497" si="2370">V$493/(V496^V495)</f>
        <v>5.771690358531556</v>
      </c>
      <c r="W497" s="182">
        <f t="shared" ref="W497" si="2371">W$493/(W496^W495)</f>
        <v>5.6095549634408846</v>
      </c>
      <c r="X497" s="182">
        <f t="shared" ref="X497" si="2372">X$493/(X496^X495)</f>
        <v>328.57051227482691</v>
      </c>
      <c r="Y497" s="182">
        <f t="shared" ref="Y497" si="2373">Y$493/(Y496^Y495)</f>
        <v>328.57051227482691</v>
      </c>
    </row>
    <row r="498" spans="2:25">
      <c r="B498" s="135">
        <v>44377</v>
      </c>
    </row>
    <row r="499" spans="2:25">
      <c r="B499" t="s">
        <v>210</v>
      </c>
      <c r="H499" s="182">
        <f t="shared" ref="H499" si="2374">(H$492-$B498)/365</f>
        <v>0.19315068493150686</v>
      </c>
      <c r="I499" s="182">
        <f t="shared" ref="I499" si="2375">(I$492-$B498)/365</f>
        <v>0.69315068493150689</v>
      </c>
      <c r="J499" s="182">
        <f t="shared" ref="J499" si="2376">(J$492-$B498)/365</f>
        <v>1.1931506849315068</v>
      </c>
      <c r="K499" s="182">
        <f t="shared" ref="K499" si="2377">(K$492-$B498)/365</f>
        <v>1.6931506849315068</v>
      </c>
      <c r="L499" s="182">
        <f t="shared" ref="L499" si="2378">(L$492-$B498)/365</f>
        <v>2.1931506849315068</v>
      </c>
      <c r="M499" s="182">
        <f t="shared" ref="M499" si="2379">(M$492-$B498)/365</f>
        <v>2.6931506849315068</v>
      </c>
      <c r="N499" s="182">
        <f t="shared" ref="N499" si="2380">(N$492-$B498)/365</f>
        <v>3.1931506849315068</v>
      </c>
      <c r="O499" s="182">
        <f t="shared" ref="O499" si="2381">(O$492-$B498)/365</f>
        <v>3.6931506849315068</v>
      </c>
      <c r="P499" s="182">
        <f t="shared" ref="P499" si="2382">(P$492-$B498)/365</f>
        <v>4.1931506849315072</v>
      </c>
      <c r="Q499" s="182">
        <f t="shared" ref="Q499" si="2383">(Q$492-$B498)/365</f>
        <v>4.6931506849315072</v>
      </c>
      <c r="R499" s="182">
        <f t="shared" ref="R499" si="2384">(R$492-$B498)/365</f>
        <v>5.1931506849315072</v>
      </c>
      <c r="S499" s="182">
        <f t="shared" ref="S499" si="2385">(S$492-$B498)/365</f>
        <v>5.6931506849315072</v>
      </c>
      <c r="T499" s="182">
        <f t="shared" ref="T499" si="2386">(T$492-$B498)/365</f>
        <v>6.1931506849315072</v>
      </c>
      <c r="U499" s="182">
        <f t="shared" ref="U499" si="2387">(U$492-$B498)/365</f>
        <v>6.6931506849315072</v>
      </c>
      <c r="V499" s="182">
        <f t="shared" ref="V499" si="2388">(V$492-$B498)/365</f>
        <v>7.1931506849315072</v>
      </c>
      <c r="W499" s="182">
        <f t="shared" ref="W499" si="2389">(W$492-$B498)/365</f>
        <v>7.6931506849315072</v>
      </c>
      <c r="X499" s="182">
        <f t="shared" ref="X499" si="2390">(X$492-$B498)/365</f>
        <v>8.1780821917808222</v>
      </c>
      <c r="Y499" s="182">
        <f t="shared" ref="Y499" si="2391">(Y$492-$B498)/365</f>
        <v>8.1780821917808222</v>
      </c>
    </row>
    <row r="500" spans="2:25">
      <c r="B500" t="s">
        <v>211</v>
      </c>
      <c r="H500" s="183">
        <f>1+((INDEX('Yield Curve'!$B$48:$P$91,MATCH(ROUND(H499,0),'Yield Curve'!$B$48:$B$91,0),MATCH(YEAR($B498),'Yield Curve'!$B$48:$P$48,0)))/100)</f>
        <v>1.0129999999999999</v>
      </c>
      <c r="I500" s="183">
        <f>1+((INDEX('Yield Curve'!$B$48:$P$91,MATCH(ROUND(I499,0),'Yield Curve'!$B$48:$B$91,0),MATCH(YEAR($B498),'Yield Curve'!$B$48:$P$48,0)))/100)</f>
        <v>1.0129999999999999</v>
      </c>
      <c r="J500" s="183">
        <f>1+((INDEX('Yield Curve'!$B$48:$P$91,MATCH(ROUND(J499,0),'Yield Curve'!$B$48:$B$91,0),MATCH(YEAR($B498),'Yield Curve'!$B$48:$P$48,0)))/100)</f>
        <v>1.0129999999999999</v>
      </c>
      <c r="K500" s="183">
        <f>1+((INDEX('Yield Curve'!$B$48:$P$91,MATCH(ROUND(K499,0),'Yield Curve'!$B$48:$B$91,0),MATCH(YEAR($B498),'Yield Curve'!$B$48:$P$48,0)))/100)</f>
        <v>1.0129999999999999</v>
      </c>
      <c r="L500" s="183">
        <f>1+((INDEX('Yield Curve'!$B$48:$P$91,MATCH(ROUND(L499,0),'Yield Curve'!$B$48:$B$91,0),MATCH(YEAR($B498),'Yield Curve'!$B$48:$P$48,0)))/100)</f>
        <v>1.0129999999999999</v>
      </c>
      <c r="M500" s="183">
        <f>1+((INDEX('Yield Curve'!$B$48:$P$91,MATCH(ROUND(M499,0),'Yield Curve'!$B$48:$B$91,0),MATCH(YEAR($B498),'Yield Curve'!$B$48:$P$48,0)))/100)</f>
        <v>1.0129999999999999</v>
      </c>
      <c r="N500" s="183">
        <f>1+((INDEX('Yield Curve'!$B$48:$P$91,MATCH(ROUND(N499,0),'Yield Curve'!$B$48:$B$91,0),MATCH(YEAR($B498),'Yield Curve'!$B$48:$P$48,0)))/100)</f>
        <v>1.0129999999999999</v>
      </c>
      <c r="O500" s="183">
        <f>1+((INDEX('Yield Curve'!$B$48:$P$91,MATCH(ROUND(O499,0),'Yield Curve'!$B$48:$B$91,0),MATCH(YEAR($B498),'Yield Curve'!$B$48:$P$48,0)))/100)</f>
        <v>1.0161249999999999</v>
      </c>
      <c r="P500" s="183">
        <f>1+((INDEX('Yield Curve'!$B$48:$P$91,MATCH(ROUND(P499,0),'Yield Curve'!$B$48:$B$91,0),MATCH(YEAR($B498),'Yield Curve'!$B$48:$P$48,0)))/100)</f>
        <v>1.0161249999999999</v>
      </c>
      <c r="Q500" s="183">
        <f>1+((INDEX('Yield Curve'!$B$48:$P$91,MATCH(ROUND(Q499,0),'Yield Curve'!$B$48:$B$91,0),MATCH(YEAR($B498),'Yield Curve'!$B$48:$P$48,0)))/100)</f>
        <v>1.01925</v>
      </c>
      <c r="R500" s="183">
        <f>1+((INDEX('Yield Curve'!$B$48:$P$91,MATCH(ROUND(R499,0),'Yield Curve'!$B$48:$B$91,0),MATCH(YEAR($B498),'Yield Curve'!$B$48:$P$48,0)))/100)</f>
        <v>1.01925</v>
      </c>
      <c r="S500" s="183">
        <f>1+((INDEX('Yield Curve'!$B$48:$P$91,MATCH(ROUND(S499,0),'Yield Curve'!$B$48:$B$91,0),MATCH(YEAR($B498),'Yield Curve'!$B$48:$P$48,0)))/100)</f>
        <v>1.022775</v>
      </c>
      <c r="T500" s="183">
        <f>1+((INDEX('Yield Curve'!$B$48:$P$91,MATCH(ROUND(T499,0),'Yield Curve'!$B$48:$B$91,0),MATCH(YEAR($B498),'Yield Curve'!$B$48:$P$48,0)))/100)</f>
        <v>1.022775</v>
      </c>
      <c r="U500" s="183">
        <f>1+((INDEX('Yield Curve'!$B$48:$P$91,MATCH(ROUND(U499,0),'Yield Curve'!$B$48:$B$91,0),MATCH(YEAR($B498),'Yield Curve'!$B$48:$P$48,0)))/100)</f>
        <v>1.0263</v>
      </c>
      <c r="V500" s="183">
        <f>1+((INDEX('Yield Curve'!$B$48:$P$91,MATCH(ROUND(V499,0),'Yield Curve'!$B$48:$B$91,0),MATCH(YEAR($B498),'Yield Curve'!$B$48:$P$48,0)))/100)</f>
        <v>1.0263</v>
      </c>
      <c r="W500" s="183">
        <f>1+((INDEX('Yield Curve'!$B$48:$P$91,MATCH(ROUND(W499,0),'Yield Curve'!$B$48:$B$91,0),MATCH(YEAR($B498),'Yield Curve'!$B$48:$P$48,0)))/100)</f>
        <v>1.027525</v>
      </c>
      <c r="X500" s="183">
        <f>1+((INDEX('Yield Curve'!$B$48:$P$91,MATCH(ROUND(X499,0),'Yield Curve'!$B$48:$B$91,0),MATCH(YEAR($B498),'Yield Curve'!$B$48:$P$48,0)))/100)</f>
        <v>1.027525</v>
      </c>
      <c r="Y500" s="183">
        <f>1+((INDEX('Yield Curve'!$B$48:$P$91,MATCH(ROUND(Y499,0),'Yield Curve'!$B$48:$B$91,0),MATCH(YEAR($B498),'Yield Curve'!$B$48:$P$48,0)))/100)</f>
        <v>1.027525</v>
      </c>
    </row>
    <row r="501" spans="2:25">
      <c r="B501" t="s">
        <v>212</v>
      </c>
      <c r="C501" s="182">
        <f>SUM(D501:AM501)</f>
        <v>824.34547357252495</v>
      </c>
      <c r="H501" s="182">
        <f t="shared" ref="H501" si="2392">H$493/(H500^H499)</f>
        <v>7.4672595897351899</v>
      </c>
      <c r="I501" s="182">
        <f t="shared" ref="I501" si="2393">I$493/(I500^I499)</f>
        <v>7.4191905708804002</v>
      </c>
      <c r="J501" s="182">
        <f t="shared" ref="J501" si="2394">J$493/(J500^J499)</f>
        <v>7.3714309869054206</v>
      </c>
      <c r="K501" s="182">
        <f t="shared" ref="K501" si="2395">K$493/(K500^K499)</f>
        <v>7.3239788458839099</v>
      </c>
      <c r="L501" s="182">
        <f t="shared" ref="L501" si="2396">L$493/(L500^L499)</f>
        <v>7.2768321687121622</v>
      </c>
      <c r="M501" s="182">
        <f t="shared" ref="M501" si="2397">M$493/(M500^M499)</f>
        <v>7.2299889890265643</v>
      </c>
      <c r="N501" s="182">
        <f t="shared" ref="N501" si="2398">N$493/(N500^N499)</f>
        <v>7.1834473531215828</v>
      </c>
      <c r="O501" s="182">
        <f t="shared" ref="O501" si="2399">O$493/(O500^O499)</f>
        <v>7.0564764316884983</v>
      </c>
      <c r="P501" s="182">
        <f t="shared" ref="P501" si="2400">P$493/(P500^P499)</f>
        <v>7.0002625211989908</v>
      </c>
      <c r="Q501" s="182">
        <f t="shared" ref="Q501" si="2401">Q$493/(Q500^Q499)</f>
        <v>6.8451355114314847</v>
      </c>
      <c r="R501" s="182">
        <f t="shared" ref="R501" si="2402">R$493/(R500^R499)</f>
        <v>6.7801872822872493</v>
      </c>
      <c r="S501" s="182">
        <f t="shared" ref="S501" si="2403">S$493/(S500^S499)</f>
        <v>6.5851415137539133</v>
      </c>
      <c r="T501" s="182">
        <f t="shared" ref="T501" si="2404">T$493/(T500^T499)</f>
        <v>6.5114102730811521</v>
      </c>
      <c r="U501" s="182">
        <f t="shared" ref="U501" si="2405">U$493/(U500^U499)</f>
        <v>6.291930767430288</v>
      </c>
      <c r="V501" s="182">
        <f t="shared" ref="V501" si="2406">V$493/(V500^V499)</f>
        <v>6.2107889379953756</v>
      </c>
      <c r="W501" s="182">
        <f t="shared" ref="W501" si="2407">W$493/(W500^W499)</f>
        <v>6.0746887237966627</v>
      </c>
      <c r="X501" s="182">
        <f t="shared" ref="X501" si="2408">X$493/(X500^X499)</f>
        <v>356.85866155279803</v>
      </c>
      <c r="Y501" s="182">
        <f t="shared" ref="Y501" si="2409">Y$493/(Y500^Y499)</f>
        <v>356.85866155279803</v>
      </c>
    </row>
    <row r="502" spans="2:25">
      <c r="B502" s="135">
        <v>44552</v>
      </c>
    </row>
    <row r="503" spans="2:25">
      <c r="B503" t="s">
        <v>210</v>
      </c>
      <c r="I503" s="182">
        <f t="shared" ref="I503" si="2410">(I$492-$B502)/365</f>
        <v>0.21369863013698631</v>
      </c>
      <c r="J503" s="182">
        <f t="shared" ref="J503" si="2411">(J$492-$B502)/365</f>
        <v>0.71369863013698631</v>
      </c>
      <c r="K503" s="182">
        <f t="shared" ref="K503" si="2412">(K$492-$B502)/365</f>
        <v>1.2136986301369863</v>
      </c>
      <c r="L503" s="182">
        <f t="shared" ref="L503" si="2413">(L$492-$B502)/365</f>
        <v>1.7136986301369863</v>
      </c>
      <c r="M503" s="182">
        <f t="shared" ref="M503" si="2414">(M$492-$B502)/365</f>
        <v>2.2136986301369861</v>
      </c>
      <c r="N503" s="182">
        <f t="shared" ref="N503" si="2415">(N$492-$B502)/365</f>
        <v>2.7136986301369861</v>
      </c>
      <c r="O503" s="182">
        <f t="shared" ref="O503" si="2416">(O$492-$B502)/365</f>
        <v>3.2136986301369861</v>
      </c>
      <c r="P503" s="182">
        <f t="shared" ref="P503" si="2417">(P$492-$B502)/365</f>
        <v>3.7136986301369861</v>
      </c>
      <c r="Q503" s="182">
        <f t="shared" ref="Q503" si="2418">(Q$492-$B502)/365</f>
        <v>4.2136986301369861</v>
      </c>
      <c r="R503" s="182">
        <f t="shared" ref="R503" si="2419">(R$492-$B502)/365</f>
        <v>4.7136986301369861</v>
      </c>
      <c r="S503" s="182">
        <f t="shared" ref="S503" si="2420">(S$492-$B502)/365</f>
        <v>5.2136986301369861</v>
      </c>
      <c r="T503" s="182">
        <f t="shared" ref="T503" si="2421">(T$492-$B502)/365</f>
        <v>5.7136986301369861</v>
      </c>
      <c r="U503" s="182">
        <f t="shared" ref="U503" si="2422">(U$492-$B502)/365</f>
        <v>6.2136986301369861</v>
      </c>
      <c r="V503" s="182">
        <f t="shared" ref="V503" si="2423">(V$492-$B502)/365</f>
        <v>6.7136986301369861</v>
      </c>
      <c r="W503" s="182">
        <f t="shared" ref="W503" si="2424">(W$492-$B502)/365</f>
        <v>7.2136986301369861</v>
      </c>
      <c r="X503" s="182">
        <f t="shared" ref="X503" si="2425">(X$492-$B502)/365</f>
        <v>7.6986301369863011</v>
      </c>
      <c r="Y503" s="182">
        <f t="shared" ref="Y503" si="2426">(Y$492-$B502)/365</f>
        <v>7.6986301369863011</v>
      </c>
    </row>
    <row r="504" spans="2:25">
      <c r="B504" t="s">
        <v>211</v>
      </c>
      <c r="I504" s="183">
        <f>1+((INDEX('Yield Curve'!$B$48:$P$91,MATCH(ROUND(I503,0),'Yield Curve'!$B$48:$B$91,0),MATCH(YEAR($B502)+1,'Yield Curve'!$B$48:$P$48,0)))/100)</f>
        <v>1.0212000000000001</v>
      </c>
      <c r="J504" s="183">
        <f>1+((INDEX('Yield Curve'!$B$48:$P$91,MATCH(ROUND(J503,0),'Yield Curve'!$B$48:$B$91,0),MATCH(YEAR($B502)+1,'Yield Curve'!$B$48:$P$48,0)))/100)</f>
        <v>1.0212000000000001</v>
      </c>
      <c r="K504" s="183">
        <f>1+((INDEX('Yield Curve'!$B$48:$P$91,MATCH(ROUND(K503,0),'Yield Curve'!$B$48:$B$91,0),MATCH(YEAR($B502)+1,'Yield Curve'!$B$48:$P$48,0)))/100)</f>
        <v>1.0212000000000001</v>
      </c>
      <c r="L504" s="183">
        <f>1+((INDEX('Yield Curve'!$B$48:$P$91,MATCH(ROUND(L503,0),'Yield Curve'!$B$48:$B$91,0),MATCH(YEAR($B502)+1,'Yield Curve'!$B$48:$P$48,0)))/100)</f>
        <v>1.0212000000000001</v>
      </c>
      <c r="M504" s="183">
        <f>1+((INDEX('Yield Curve'!$B$48:$P$91,MATCH(ROUND(M503,0),'Yield Curve'!$B$48:$B$91,0),MATCH(YEAR($B502)+1,'Yield Curve'!$B$48:$P$48,0)))/100)</f>
        <v>1.0212000000000001</v>
      </c>
      <c r="N504" s="183">
        <f>1+((INDEX('Yield Curve'!$B$48:$P$91,MATCH(ROUND(N503,0),'Yield Curve'!$B$48:$B$91,0),MATCH(YEAR($B502)+1,'Yield Curve'!$B$48:$P$48,0)))/100)</f>
        <v>1.0212000000000001</v>
      </c>
      <c r="O504" s="183">
        <f>1+((INDEX('Yield Curve'!$B$48:$P$91,MATCH(ROUND(O503,0),'Yield Curve'!$B$48:$B$91,0),MATCH(YEAR($B502)+1,'Yield Curve'!$B$48:$P$48,0)))/100)</f>
        <v>1.0212000000000001</v>
      </c>
      <c r="P504" s="183">
        <f>1+((INDEX('Yield Curve'!$B$48:$P$91,MATCH(ROUND(P503,0),'Yield Curve'!$B$48:$B$91,0),MATCH(YEAR($B502)+1,'Yield Curve'!$B$48:$P$48,0)))/100)</f>
        <v>1.0245</v>
      </c>
      <c r="Q504" s="183">
        <f>1+((INDEX('Yield Curve'!$B$48:$P$91,MATCH(ROUND(Q503,0),'Yield Curve'!$B$48:$B$91,0),MATCH(YEAR($B502)+1,'Yield Curve'!$B$48:$P$48,0)))/100)</f>
        <v>1.0245</v>
      </c>
      <c r="R504" s="183">
        <f>1+((INDEX('Yield Curve'!$B$48:$P$91,MATCH(ROUND(R503,0),'Yield Curve'!$B$48:$B$91,0),MATCH(YEAR($B502)+1,'Yield Curve'!$B$48:$P$48,0)))/100)</f>
        <v>1.0278</v>
      </c>
      <c r="S504" s="183">
        <f>1+((INDEX('Yield Curve'!$B$48:$P$91,MATCH(ROUND(S503,0),'Yield Curve'!$B$48:$B$91,0),MATCH(YEAR($B502)+1,'Yield Curve'!$B$48:$P$48,0)))/100)</f>
        <v>1.0278</v>
      </c>
      <c r="T504" s="183">
        <f>1+((INDEX('Yield Curve'!$B$48:$P$91,MATCH(ROUND(T503,0),'Yield Curve'!$B$48:$B$91,0),MATCH(YEAR($B502)+1,'Yield Curve'!$B$48:$P$48,0)))/100)</f>
        <v>1.030375</v>
      </c>
      <c r="U504" s="183">
        <f>1+((INDEX('Yield Curve'!$B$48:$P$91,MATCH(ROUND(U503,0),'Yield Curve'!$B$48:$B$91,0),MATCH(YEAR($B502)+1,'Yield Curve'!$B$48:$P$48,0)))/100)</f>
        <v>1.030375</v>
      </c>
      <c r="V504" s="183">
        <f>1+((INDEX('Yield Curve'!$B$48:$P$91,MATCH(ROUND(V503,0),'Yield Curve'!$B$48:$B$91,0),MATCH(YEAR($B502)+1,'Yield Curve'!$B$48:$P$48,0)))/100)</f>
        <v>1.03295</v>
      </c>
      <c r="W504" s="183">
        <f>1+((INDEX('Yield Curve'!$B$48:$P$91,MATCH(ROUND(W503,0),'Yield Curve'!$B$48:$B$91,0),MATCH(YEAR($B502)+1,'Yield Curve'!$B$48:$P$48,0)))/100)</f>
        <v>1.03295</v>
      </c>
      <c r="X504" s="183">
        <f>1+((INDEX('Yield Curve'!$B$48:$P$91,MATCH(ROUND(X503,0),'Yield Curve'!$B$48:$B$91,0),MATCH(YEAR($B502)+1,'Yield Curve'!$B$48:$P$48,0)))/100)</f>
        <v>1.0341499999999999</v>
      </c>
      <c r="Y504" s="183">
        <f>1+((INDEX('Yield Curve'!$B$48:$P$91,MATCH(ROUND(Y503,0),'Yield Curve'!$B$48:$B$91,0),MATCH(YEAR($B502)+1,'Yield Curve'!$B$48:$P$48,0)))/100)</f>
        <v>1.0341499999999999</v>
      </c>
    </row>
    <row r="505" spans="2:25">
      <c r="B505" t="s">
        <v>212</v>
      </c>
      <c r="C505" s="182">
        <f>SUM(D505:AM505)</f>
        <v>789.86772115903557</v>
      </c>
      <c r="I505" s="182">
        <f t="shared" ref="I505" si="2427">I$493/(I504^I503)</f>
        <v>7.4524273448850717</v>
      </c>
      <c r="J505" s="182">
        <f t="shared" ref="J505" si="2428">J$493/(J504^J503)</f>
        <v>7.3746658611520539</v>
      </c>
      <c r="K505" s="182">
        <f t="shared" ref="K505" si="2429">K$493/(K504^K503)</f>
        <v>7.2977157705494244</v>
      </c>
      <c r="L505" s="182">
        <f t="shared" ref="L505" si="2430">L$493/(L504^L503)</f>
        <v>7.2215686066902194</v>
      </c>
      <c r="M505" s="182">
        <f t="shared" ref="M505" si="2431">M$493/(M504^M503)</f>
        <v>7.1462159915290071</v>
      </c>
      <c r="N505" s="182">
        <f t="shared" ref="N505" si="2432">N$493/(N504^N503)</f>
        <v>7.0716496344400888</v>
      </c>
      <c r="O505" s="182">
        <f t="shared" ref="O505" si="2433">O$493/(O504^O503)</f>
        <v>6.9978613313053337</v>
      </c>
      <c r="P505" s="182">
        <f t="shared" ref="P505" si="2434">P$493/(P504^P503)</f>
        <v>6.8423684401591709</v>
      </c>
      <c r="Q505" s="182">
        <f t="shared" ref="Q505" si="2435">Q$493/(Q504^Q503)</f>
        <v>6.7600588154809413</v>
      </c>
      <c r="R505" s="182">
        <f t="shared" ref="R505" si="2436">R$493/(R504^R503)</f>
        <v>6.5782610370962349</v>
      </c>
      <c r="S505" s="182">
        <f t="shared" ref="S505" si="2437">S$493/(S504^S503)</f>
        <v>6.4886865687897304</v>
      </c>
      <c r="T505" s="182">
        <f t="shared" ref="T505" si="2438">T$493/(T504^T503)</f>
        <v>6.3094777947430352</v>
      </c>
      <c r="U505" s="182">
        <f t="shared" ref="U505" si="2439">U$493/(U504^U503)</f>
        <v>6.2157817903833292</v>
      </c>
      <c r="V505" s="182">
        <f t="shared" ref="V505" si="2440">V$493/(V504^V503)</f>
        <v>6.0217197619281588</v>
      </c>
      <c r="W505" s="182">
        <f t="shared" ref="W505" si="2441">W$493/(W504^W503)</f>
        <v>5.9248981685721143</v>
      </c>
      <c r="X505" s="182">
        <f t="shared" ref="X505" si="2442">X$493/(X504^X503)</f>
        <v>344.08218212066583</v>
      </c>
      <c r="Y505" s="182">
        <f t="shared" ref="Y505" si="2443">Y$493/(Y504^Y503)</f>
        <v>344.08218212066583</v>
      </c>
    </row>
    <row r="507" spans="2:25">
      <c r="B507" s="5" t="str">
        <f>'VPN Bonds'!A97</f>
        <v>32617810061</v>
      </c>
    </row>
    <row r="508" spans="2:25">
      <c r="B508" t="s">
        <v>66</v>
      </c>
      <c r="D508" s="180">
        <f>VLOOKUP(B507,'VPN Bonds'!$A$85:$K$104,4,FALSE)</f>
        <v>43216</v>
      </c>
      <c r="E508" s="180">
        <f>VLOOKUP(B507,'VPN Bonds'!$A$85:$K$104,10,FALSE)</f>
        <v>43581</v>
      </c>
      <c r="F508" s="180">
        <f>IF(E508+VLOOKUP($B507,'VPN Bonds'!$A$85:$K$104,9,FALSE)*365 &lt; VLOOKUP($B507,'VPN Bonds'!$A$85:$K$104,5,FALSE), E508+VLOOKUP($B507,'VPN Bonds'!$A$85:$K$104,9,FALSE)*365, VLOOKUP($B507,'VPN Bonds'!$A$85:$K$104,5,FALSE))</f>
        <v>43946</v>
      </c>
      <c r="G508" s="180">
        <f>IF(F508+VLOOKUP($B507,'VPN Bonds'!$A$85:$K$104,9,FALSE)*365 &lt; VLOOKUP($B507,'VPN Bonds'!$A$85:$K$104,5,FALSE), F508+VLOOKUP($B507,'VPN Bonds'!$A$85:$K$104,9,FALSE)*365, VLOOKUP($B507,'VPN Bonds'!$A$85:$K$104,5,FALSE))</f>
        <v>44311</v>
      </c>
      <c r="H508" s="180">
        <f>IF(G508+VLOOKUP($B507,'VPN Bonds'!$A$85:$K$104,9,FALSE)*365 &lt; VLOOKUP($B507,'VPN Bonds'!$A$85:$K$104,5,FALSE), G508+VLOOKUP($B507,'VPN Bonds'!$A$85:$K$104,9,FALSE)*365, VLOOKUP($B507,'VPN Bonds'!$A$85:$K$104,5,FALSE))</f>
        <v>44676</v>
      </c>
      <c r="I508" s="180">
        <f>IF(H508+VLOOKUP($B507,'VPN Bonds'!$A$85:$K$104,9,FALSE)*365 &lt; VLOOKUP($B507,'VPN Bonds'!$A$85:$K$104,5,FALSE), H508+VLOOKUP($B507,'VPN Bonds'!$A$85:$K$104,9,FALSE)*365, VLOOKUP($B507,'VPN Bonds'!$A$85:$K$104,5,FALSE))</f>
        <v>45041</v>
      </c>
      <c r="J508" s="180">
        <f>IF(I508+VLOOKUP($B507,'VPN Bonds'!$A$85:$K$104,9,FALSE)*365 &lt; VLOOKUP($B507,'VPN Bonds'!$A$85:$K$104,5,FALSE), I508+VLOOKUP($B507,'VPN Bonds'!$A$85:$K$104,9,FALSE)*365, VLOOKUP($B507,'VPN Bonds'!$A$85:$K$104,5,FALSE))</f>
        <v>45406</v>
      </c>
      <c r="K508" s="180">
        <f>IF(J508+VLOOKUP($B507,'VPN Bonds'!$A$85:$K$104,9,FALSE)*365 &lt; VLOOKUP($B507,'VPN Bonds'!$A$85:$K$104,5,FALSE), J508+VLOOKUP($B507,'VPN Bonds'!$A$85:$K$104,9,FALSE)*365, VLOOKUP($B507,'VPN Bonds'!$A$85:$K$104,5,FALSE))</f>
        <v>45771</v>
      </c>
      <c r="L508" s="180">
        <f>IF(K508+VLOOKUP($B507,'VPN Bonds'!$A$85:$K$104,9,FALSE)*365 &lt; VLOOKUP($B507,'VPN Bonds'!$A$85:$K$104,5,FALSE), K508+VLOOKUP($B507,'VPN Bonds'!$A$85:$K$104,9,FALSE)*365, VLOOKUP($B507,'VPN Bonds'!$A$85:$K$104,5,FALSE))</f>
        <v>46136</v>
      </c>
      <c r="M508" s="180">
        <f>IF(L508+VLOOKUP($B507,'VPN Bonds'!$A$85:$K$104,9,FALSE)*365 &lt; VLOOKUP($B507,'VPN Bonds'!$A$85:$K$104,5,FALSE), L508+VLOOKUP($B507,'VPN Bonds'!$A$85:$K$104,9,FALSE)*365, VLOOKUP($B507,'VPN Bonds'!$A$85:$K$104,5,FALSE))</f>
        <v>46501</v>
      </c>
      <c r="N508" s="180">
        <f>IF(M508+VLOOKUP($B507,'VPN Bonds'!$A$85:$K$104,9,FALSE)*365 &lt; VLOOKUP($B507,'VPN Bonds'!$A$85:$K$104,5,FALSE), M508+VLOOKUP($B507,'VPN Bonds'!$A$85:$K$104,9,FALSE)*365, VLOOKUP($B507,'VPN Bonds'!$A$85:$K$104,5,FALSE))</f>
        <v>46866</v>
      </c>
      <c r="O508" s="180">
        <f>IF(N508+VLOOKUP($B507,'VPN Bonds'!$A$85:$K$104,9,FALSE)*365 &lt; VLOOKUP($B507,'VPN Bonds'!$A$85:$K$104,5,FALSE), N508+VLOOKUP($B507,'VPN Bonds'!$A$85:$K$104,9,FALSE)*365, VLOOKUP($B507,'VPN Bonds'!$A$85:$K$104,5,FALSE))</f>
        <v>46869</v>
      </c>
      <c r="P508" s="27"/>
      <c r="Q508" s="27"/>
      <c r="R508" s="27"/>
      <c r="S508" s="27"/>
      <c r="T508" s="27"/>
      <c r="U508" s="27"/>
      <c r="V508" s="27"/>
      <c r="W508" s="27"/>
      <c r="X508" s="27"/>
      <c r="Y508" s="27"/>
    </row>
    <row r="509" spans="2:25">
      <c r="B509" t="s">
        <v>209</v>
      </c>
      <c r="E509" s="182">
        <f>IF(E508&lt;VLOOKUP($B507,'VPN Bonds'!$A$85:$K$104,5,FALSE),(VLOOKUP($B507,'VPN Bonds'!$A$85:$K$104,8,FALSE)/100)*(VLOOKUP($B507,'VPN Bonds'!$A$85:$K$104,9,FALSE))*(VLOOKUP($B507,'VPN Bonds'!$A$85:$K$104,6,FALSE)),(VLOOKUP($B507,'VPN Bonds'!$A$85:$K$104,6,FALSE)))</f>
        <v>2.583548</v>
      </c>
      <c r="F509" s="182">
        <f>IF(F508&lt;VLOOKUP($B507,'VPN Bonds'!$A$85:$K$104,5,FALSE),(VLOOKUP($B507,'VPN Bonds'!$A$85:$K$104,8,FALSE)/100)*(VLOOKUP($B507,'VPN Bonds'!$A$85:$K$104,9,FALSE))*(VLOOKUP($B507,'VPN Bonds'!$A$85:$K$104,6,FALSE)),(VLOOKUP($B507,'VPN Bonds'!$A$85:$K$104,6,FALSE)))</f>
        <v>2.583548</v>
      </c>
      <c r="G509" s="182">
        <f>IF(G508&lt;VLOOKUP($B507,'VPN Bonds'!$A$85:$K$104,5,FALSE),(VLOOKUP($B507,'VPN Bonds'!$A$85:$K$104,8,FALSE)/100)*(VLOOKUP($B507,'VPN Bonds'!$A$85:$K$104,9,FALSE))*(VLOOKUP($B507,'VPN Bonds'!$A$85:$K$104,6,FALSE)),(VLOOKUP($B507,'VPN Bonds'!$A$85:$K$104,6,FALSE)))</f>
        <v>2.583548</v>
      </c>
      <c r="H509" s="182">
        <f>IF(H508&lt;VLOOKUP($B507,'VPN Bonds'!$A$85:$K$104,5,FALSE),(VLOOKUP($B507,'VPN Bonds'!$A$85:$K$104,8,FALSE)/100)*(VLOOKUP($B507,'VPN Bonds'!$A$85:$K$104,9,FALSE))*(VLOOKUP($B507,'VPN Bonds'!$A$85:$K$104,6,FALSE)),(VLOOKUP($B507,'VPN Bonds'!$A$85:$K$104,6,FALSE)))</f>
        <v>2.583548</v>
      </c>
      <c r="I509" s="182">
        <f>IF(I508&lt;VLOOKUP($B507,'VPN Bonds'!$A$85:$K$104,5,FALSE),(VLOOKUP($B507,'VPN Bonds'!$A$85:$K$104,8,FALSE)/100)*(VLOOKUP($B507,'VPN Bonds'!$A$85:$K$104,9,FALSE))*(VLOOKUP($B507,'VPN Bonds'!$A$85:$K$104,6,FALSE)),(VLOOKUP($B507,'VPN Bonds'!$A$85:$K$104,6,FALSE)))</f>
        <v>2.583548</v>
      </c>
      <c r="J509" s="182">
        <f>IF(J508&lt;VLOOKUP($B507,'VPN Bonds'!$A$85:$K$104,5,FALSE),(VLOOKUP($B507,'VPN Bonds'!$A$85:$K$104,8,FALSE)/100)*(VLOOKUP($B507,'VPN Bonds'!$A$85:$K$104,9,FALSE))*(VLOOKUP($B507,'VPN Bonds'!$A$85:$K$104,6,FALSE)),(VLOOKUP($B507,'VPN Bonds'!$A$85:$K$104,6,FALSE)))</f>
        <v>2.583548</v>
      </c>
      <c r="K509" s="182">
        <f>IF(K508&lt;VLOOKUP($B507,'VPN Bonds'!$A$85:$K$104,5,FALSE),(VLOOKUP($B507,'VPN Bonds'!$A$85:$K$104,8,FALSE)/100)*(VLOOKUP($B507,'VPN Bonds'!$A$85:$K$104,9,FALSE))*(VLOOKUP($B507,'VPN Bonds'!$A$85:$K$104,6,FALSE)),(VLOOKUP($B507,'VPN Bonds'!$A$85:$K$104,6,FALSE)))</f>
        <v>2.583548</v>
      </c>
      <c r="L509" s="182">
        <f>IF(L508&lt;VLOOKUP($B507,'VPN Bonds'!$A$85:$K$104,5,FALSE),(VLOOKUP($B507,'VPN Bonds'!$A$85:$K$104,8,FALSE)/100)*(VLOOKUP($B507,'VPN Bonds'!$A$85:$K$104,9,FALSE))*(VLOOKUP($B507,'VPN Bonds'!$A$85:$K$104,6,FALSE)),(VLOOKUP($B507,'VPN Bonds'!$A$85:$K$104,6,FALSE)))</f>
        <v>2.583548</v>
      </c>
      <c r="M509" s="182">
        <f>IF(M508&lt;VLOOKUP($B507,'VPN Bonds'!$A$85:$K$104,5,FALSE),(VLOOKUP($B507,'VPN Bonds'!$A$85:$K$104,8,FALSE)/100)*(VLOOKUP($B507,'VPN Bonds'!$A$85:$K$104,9,FALSE))*(VLOOKUP($B507,'VPN Bonds'!$A$85:$K$104,6,FALSE)),(VLOOKUP($B507,'VPN Bonds'!$A$85:$K$104,6,FALSE)))</f>
        <v>2.583548</v>
      </c>
      <c r="N509" s="182">
        <f>IF(N508&lt;VLOOKUP($B507,'VPN Bonds'!$A$85:$K$104,5,FALSE),(VLOOKUP($B507,'VPN Bonds'!$A$85:$K$104,8,FALSE)/100)*(VLOOKUP($B507,'VPN Bonds'!$A$85:$K$104,9,FALSE))*(VLOOKUP($B507,'VPN Bonds'!$A$85:$K$104,6,FALSE)),(VLOOKUP($B507,'VPN Bonds'!$A$85:$K$104,6,FALSE)))</f>
        <v>2.583548</v>
      </c>
      <c r="O509" s="182">
        <f>IF(O508&lt;VLOOKUP($B507,'VPN Bonds'!$A$85:$K$104,5,FALSE),(VLOOKUP($B507,'VPN Bonds'!$A$85:$K$104,8,FALSE)/100)*(VLOOKUP($B507,'VPN Bonds'!$A$85:$K$104,9,FALSE))*(VLOOKUP($B507,'VPN Bonds'!$A$85:$K$104,6,FALSE)),(VLOOKUP($B507,'VPN Bonds'!$A$85:$K$104,6,FALSE)))</f>
        <v>90.97</v>
      </c>
    </row>
    <row r="510" spans="2:25">
      <c r="B510" s="135">
        <v>43281</v>
      </c>
    </row>
    <row r="511" spans="2:25">
      <c r="B511" t="s">
        <v>210</v>
      </c>
      <c r="E511" s="182">
        <f>(E$508-$B510)/365</f>
        <v>0.82191780821917804</v>
      </c>
      <c r="F511" s="182">
        <f>(F$508-$B510)/365</f>
        <v>1.821917808219178</v>
      </c>
      <c r="G511" s="182">
        <f t="shared" ref="G511:O511" si="2444">(G$508-$B510)/365</f>
        <v>2.8219178082191783</v>
      </c>
      <c r="H511" s="182">
        <f t="shared" si="2444"/>
        <v>3.8219178082191783</v>
      </c>
      <c r="I511" s="182">
        <f t="shared" si="2444"/>
        <v>4.8219178082191778</v>
      </c>
      <c r="J511" s="182">
        <f t="shared" si="2444"/>
        <v>5.8219178082191778</v>
      </c>
      <c r="K511" s="182">
        <f t="shared" si="2444"/>
        <v>6.8219178082191778</v>
      </c>
      <c r="L511" s="182">
        <f t="shared" si="2444"/>
        <v>7.8219178082191778</v>
      </c>
      <c r="M511" s="182">
        <f t="shared" si="2444"/>
        <v>8.8219178082191778</v>
      </c>
      <c r="N511" s="182">
        <f t="shared" si="2444"/>
        <v>9.8219178082191778</v>
      </c>
      <c r="O511" s="182">
        <f t="shared" si="2444"/>
        <v>9.830136986301369</v>
      </c>
    </row>
    <row r="512" spans="2:25">
      <c r="B512" t="s">
        <v>211</v>
      </c>
      <c r="E512" s="183">
        <f>1+((INDEX('Yield Curve'!$B$48:$P$91,MATCH(ROUND(E511,0),'Yield Curve'!$B$48:$B$91,0),MATCH(YEAR($B510),'Yield Curve'!$B$48:$P$48,0)))/100)</f>
        <v>1.03315</v>
      </c>
      <c r="F512" s="183">
        <f>1+((INDEX('Yield Curve'!$B$48:$P$91,MATCH(ROUND(F511,0),'Yield Curve'!$B$48:$B$91,0),MATCH(YEAR($B510),'Yield Curve'!$B$48:$P$48,0)))/100)</f>
        <v>1.03315</v>
      </c>
      <c r="G512" s="183">
        <f>1+((INDEX('Yield Curve'!$B$48:$P$91,MATCH(ROUND(G511,0),'Yield Curve'!$B$48:$B$91,0),MATCH(YEAR($B510),'Yield Curve'!$B$48:$P$48,0)))/100)</f>
        <v>1.03315</v>
      </c>
      <c r="H512" s="183">
        <f>1+((INDEX('Yield Curve'!$B$48:$P$91,MATCH(ROUND(H511,0),'Yield Curve'!$B$48:$B$91,0),MATCH(YEAR($B510),'Yield Curve'!$B$48:$P$48,0)))/100)</f>
        <v>1.0349999999999999</v>
      </c>
      <c r="I512" s="183">
        <f>1+((INDEX('Yield Curve'!$B$48:$P$91,MATCH(ROUND(I511,0),'Yield Curve'!$B$48:$B$91,0),MATCH(YEAR($B510),'Yield Curve'!$B$48:$P$48,0)))/100)</f>
        <v>1.03685</v>
      </c>
      <c r="J512" s="183">
        <f>1+((INDEX('Yield Curve'!$B$48:$P$91,MATCH(ROUND(J511,0),'Yield Curve'!$B$48:$B$91,0),MATCH(YEAR($B510),'Yield Curve'!$B$48:$P$48,0)))/100)</f>
        <v>1.0386</v>
      </c>
      <c r="K512" s="183">
        <f>1+((INDEX('Yield Curve'!$B$48:$P$91,MATCH(ROUND(K511,0),'Yield Curve'!$B$48:$B$91,0),MATCH(YEAR($B510),'Yield Curve'!$B$48:$P$48,0)))/100)</f>
        <v>1.0403500000000001</v>
      </c>
      <c r="L512" s="183">
        <f>1+((INDEX('Yield Curve'!$B$48:$P$91,MATCH(ROUND(L511,0),'Yield Curve'!$B$48:$B$91,0),MATCH(YEAR($B510),'Yield Curve'!$B$48:$P$48,0)))/100)</f>
        <v>1.0414874999999999</v>
      </c>
      <c r="M512" s="183">
        <f>1+((INDEX('Yield Curve'!$B$48:$P$91,MATCH(ROUND(M511,0),'Yield Curve'!$B$48:$B$91,0),MATCH(YEAR($B510),'Yield Curve'!$B$48:$P$48,0)))/100)</f>
        <v>1.0437624999999999</v>
      </c>
      <c r="N512" s="183">
        <f>1+((INDEX('Yield Curve'!$B$48:$P$91,MATCH(ROUND(N511,0),'Yield Curve'!$B$48:$B$91,0),MATCH(YEAR($B510),'Yield Curve'!$B$48:$P$48,0)))/100)</f>
        <v>1.0448999999999999</v>
      </c>
      <c r="O512" s="183">
        <f>1+((INDEX('Yield Curve'!$B$48:$P$91,MATCH(ROUND(O511,0),'Yield Curve'!$B$48:$B$91,0),MATCH(YEAR($B510),'Yield Curve'!$B$48:$P$48,0)))/100)</f>
        <v>1.0448999999999999</v>
      </c>
    </row>
    <row r="513" spans="2:15">
      <c r="B513" t="s">
        <v>212</v>
      </c>
      <c r="C513" s="182">
        <f>SUM(D513:AM513)</f>
        <v>80.188079335000296</v>
      </c>
      <c r="E513" s="182">
        <f>E$509/(E512^E511)</f>
        <v>2.5152166570287324</v>
      </c>
      <c r="F513" s="182">
        <f>F$509/(F512^F511)</f>
        <v>2.4345125654829718</v>
      </c>
      <c r="G513" s="182">
        <f t="shared" ref="G513:O513" si="2445">G$509/(G512^G511)</f>
        <v>2.3563979726883528</v>
      </c>
      <c r="H513" s="182">
        <f t="shared" si="2445"/>
        <v>2.2652479488166941</v>
      </c>
      <c r="I513" s="182">
        <f t="shared" si="2445"/>
        <v>2.1698794276250535</v>
      </c>
      <c r="J513" s="182">
        <f t="shared" si="2445"/>
        <v>2.0723150344342423</v>
      </c>
      <c r="K513" s="182">
        <f t="shared" si="2445"/>
        <v>1.9725117192055712</v>
      </c>
      <c r="L513" s="182">
        <f t="shared" si="2445"/>
        <v>1.8798704176644614</v>
      </c>
      <c r="M513" s="182">
        <f t="shared" si="2445"/>
        <v>1.7705734926353693</v>
      </c>
      <c r="N513" s="182">
        <f t="shared" si="2445"/>
        <v>1.6782865440564636</v>
      </c>
      <c r="O513" s="182">
        <f t="shared" si="2445"/>
        <v>59.073267555362385</v>
      </c>
    </row>
    <row r="514" spans="2:15">
      <c r="B514" s="135">
        <v>43646</v>
      </c>
    </row>
    <row r="515" spans="2:15">
      <c r="B515" t="s">
        <v>210</v>
      </c>
      <c r="F515" s="182">
        <f>(F$508-$B514)/365</f>
        <v>0.82191780821917804</v>
      </c>
      <c r="G515" s="182">
        <f t="shared" ref="G515" si="2446">(G$508-$B514)/365</f>
        <v>1.821917808219178</v>
      </c>
      <c r="H515" s="182">
        <f t="shared" ref="H515" si="2447">(H$508-$B514)/365</f>
        <v>2.8219178082191783</v>
      </c>
      <c r="I515" s="182">
        <f t="shared" ref="I515" si="2448">(I$508-$B514)/365</f>
        <v>3.8219178082191783</v>
      </c>
      <c r="J515" s="182">
        <f t="shared" ref="J515" si="2449">(J$508-$B514)/365</f>
        <v>4.8219178082191778</v>
      </c>
      <c r="K515" s="182">
        <f t="shared" ref="K515" si="2450">(K$508-$B514)/365</f>
        <v>5.8219178082191778</v>
      </c>
      <c r="L515" s="182">
        <f t="shared" ref="L515" si="2451">(L$508-$B514)/365</f>
        <v>6.8219178082191778</v>
      </c>
      <c r="M515" s="182">
        <f t="shared" ref="M515" si="2452">(M$508-$B514)/365</f>
        <v>7.8219178082191778</v>
      </c>
      <c r="N515" s="182">
        <f t="shared" ref="N515" si="2453">(N$508-$B514)/365</f>
        <v>8.8219178082191778</v>
      </c>
      <c r="O515" s="182">
        <f t="shared" ref="O515" si="2454">(O$508-$B514)/365</f>
        <v>8.830136986301369</v>
      </c>
    </row>
    <row r="516" spans="2:15">
      <c r="B516" t="s">
        <v>211</v>
      </c>
      <c r="F516" s="183">
        <f>1+((INDEX('Yield Curve'!$B$48:$P$91,MATCH(ROUND(F515,0),'Yield Curve'!$B$48:$B$91,0),MATCH(YEAR($B514),'Yield Curve'!$B$48:$P$48,0)))/100)</f>
        <v>1.02305</v>
      </c>
      <c r="G516" s="183">
        <f>1+((INDEX('Yield Curve'!$B$48:$P$91,MATCH(ROUND(G515,0),'Yield Curve'!$B$48:$B$91,0),MATCH(YEAR($B514),'Yield Curve'!$B$48:$P$48,0)))/100)</f>
        <v>1.02305</v>
      </c>
      <c r="H516" s="183">
        <f>1+((INDEX('Yield Curve'!$B$48:$P$91,MATCH(ROUND(H515,0),'Yield Curve'!$B$48:$B$91,0),MATCH(YEAR($B514),'Yield Curve'!$B$48:$P$48,0)))/100)</f>
        <v>1.02305</v>
      </c>
      <c r="I516" s="183">
        <f>1+((INDEX('Yield Curve'!$B$48:$P$91,MATCH(ROUND(I515,0),'Yield Curve'!$B$48:$B$91,0),MATCH(YEAR($B514),'Yield Curve'!$B$48:$P$48,0)))/100)</f>
        <v>1.024575</v>
      </c>
      <c r="J516" s="183">
        <f>1+((INDEX('Yield Curve'!$B$48:$P$91,MATCH(ROUND(J515,0),'Yield Curve'!$B$48:$B$91,0),MATCH(YEAR($B514),'Yield Curve'!$B$48:$P$48,0)))/100)</f>
        <v>1.0261</v>
      </c>
      <c r="K516" s="183">
        <f>1+((INDEX('Yield Curve'!$B$48:$P$91,MATCH(ROUND(K515,0),'Yield Curve'!$B$48:$B$91,0),MATCH(YEAR($B514),'Yield Curve'!$B$48:$P$48,0)))/100)</f>
        <v>1.028375</v>
      </c>
      <c r="L516" s="183">
        <f>1+((INDEX('Yield Curve'!$B$48:$P$91,MATCH(ROUND(L515,0),'Yield Curve'!$B$48:$B$91,0),MATCH(YEAR($B514),'Yield Curve'!$B$48:$P$48,0)))/100)</f>
        <v>1.0306500000000001</v>
      </c>
      <c r="M516" s="183">
        <f>1+((INDEX('Yield Curve'!$B$48:$P$91,MATCH(ROUND(M515,0),'Yield Curve'!$B$48:$B$91,0),MATCH(YEAR($B514),'Yield Curve'!$B$48:$P$48,0)))/100)</f>
        <v>1.0318624999999999</v>
      </c>
      <c r="N516" s="183">
        <f>1+((INDEX('Yield Curve'!$B$48:$P$91,MATCH(ROUND(N515,0),'Yield Curve'!$B$48:$B$91,0),MATCH(YEAR($B514),'Yield Curve'!$B$48:$P$48,0)))/100)</f>
        <v>1.0342875</v>
      </c>
      <c r="O516" s="183">
        <f>1+((INDEX('Yield Curve'!$B$48:$P$91,MATCH(ROUND(O515,0),'Yield Curve'!$B$48:$B$91,0),MATCH(YEAR($B514),'Yield Curve'!$B$48:$P$48,0)))/100)</f>
        <v>1.0342875</v>
      </c>
    </row>
    <row r="517" spans="2:15">
      <c r="B517" t="s">
        <v>212</v>
      </c>
      <c r="C517" s="182">
        <f>SUM(D517:AM517)</f>
        <v>87.859475867663974</v>
      </c>
      <c r="F517" s="182">
        <f>F$509/(F516^F515)</f>
        <v>2.5356080945277943</v>
      </c>
      <c r="G517" s="182">
        <f t="shared" ref="G517" si="2455">G$509/(G516^G515)</f>
        <v>2.4784791501175847</v>
      </c>
      <c r="H517" s="182">
        <f t="shared" ref="H517" si="2456">H$509/(H516^H515)</f>
        <v>2.4226373589928003</v>
      </c>
      <c r="I517" s="182">
        <f t="shared" ref="I517" si="2457">I$509/(I516^I515)</f>
        <v>2.354611012066008</v>
      </c>
      <c r="J517" s="182">
        <f t="shared" ref="J517" si="2458">J$509/(J516^J515)</f>
        <v>2.2817117601665307</v>
      </c>
      <c r="K517" s="182">
        <f t="shared" ref="K517" si="2459">K$509/(K516^K515)</f>
        <v>2.1951865872433194</v>
      </c>
      <c r="L517" s="182">
        <f t="shared" ref="L517" si="2460">L$509/(L516^L515)</f>
        <v>2.1026788879365408</v>
      </c>
      <c r="M517" s="182">
        <f t="shared" ref="M517" si="2461">M$509/(M516^M515)</f>
        <v>2.0214718750326082</v>
      </c>
      <c r="N517" s="182">
        <f t="shared" ref="N517" si="2462">N$509/(N516^N515)</f>
        <v>1.9189002581397705</v>
      </c>
      <c r="O517" s="182">
        <f t="shared" ref="O517" si="2463">O$509/(O516^O515)</f>
        <v>67.548190883441023</v>
      </c>
    </row>
    <row r="518" spans="2:15">
      <c r="B518" s="135">
        <v>44012</v>
      </c>
    </row>
    <row r="519" spans="2:15">
      <c r="B519" t="s">
        <v>210</v>
      </c>
      <c r="G519" s="182">
        <f t="shared" ref="G519" si="2464">(G$508-$B518)/365</f>
        <v>0.81917808219178079</v>
      </c>
      <c r="H519" s="182">
        <f t="shared" ref="H519" si="2465">(H$508-$B518)/365</f>
        <v>1.8191780821917809</v>
      </c>
      <c r="I519" s="182">
        <f t="shared" ref="I519" si="2466">(I$508-$B518)/365</f>
        <v>2.8191780821917809</v>
      </c>
      <c r="J519" s="182">
        <f t="shared" ref="J519" si="2467">(J$508-$B518)/365</f>
        <v>3.8191780821917809</v>
      </c>
      <c r="K519" s="182">
        <f t="shared" ref="K519" si="2468">(K$508-$B518)/365</f>
        <v>4.8191780821917805</v>
      </c>
      <c r="L519" s="182">
        <f t="shared" ref="L519" si="2469">(L$508-$B518)/365</f>
        <v>5.8191780821917805</v>
      </c>
      <c r="M519" s="182">
        <f t="shared" ref="M519" si="2470">(M$508-$B518)/365</f>
        <v>6.8191780821917805</v>
      </c>
      <c r="N519" s="182">
        <f t="shared" ref="N519" si="2471">(N$508-$B518)/365</f>
        <v>7.8191780821917805</v>
      </c>
      <c r="O519" s="182">
        <f t="shared" ref="O519" si="2472">(O$508-$B518)/365</f>
        <v>7.8273972602739725</v>
      </c>
    </row>
    <row r="520" spans="2:15">
      <c r="B520" t="s">
        <v>211</v>
      </c>
      <c r="G520" s="183">
        <f>1+((INDEX('Yield Curve'!$B$48:$P$91,MATCH(ROUND(G519,0),'Yield Curve'!$B$48:$B$91,0),MATCH(YEAR($B518),'Yield Curve'!$B$48:$P$48,0)))/100)</f>
        <v>1.02105</v>
      </c>
      <c r="H520" s="183">
        <f>1+((INDEX('Yield Curve'!$B$48:$P$91,MATCH(ROUND(H519,0),'Yield Curve'!$B$48:$B$91,0),MATCH(YEAR($B518),'Yield Curve'!$B$48:$P$48,0)))/100)</f>
        <v>1.02105</v>
      </c>
      <c r="I520" s="183">
        <f>1+((INDEX('Yield Curve'!$B$48:$P$91,MATCH(ROUND(I519,0),'Yield Curve'!$B$48:$B$91,0),MATCH(YEAR($B518),'Yield Curve'!$B$48:$P$48,0)))/100)</f>
        <v>1.02105</v>
      </c>
      <c r="J520" s="183">
        <f>1+((INDEX('Yield Curve'!$B$48:$P$91,MATCH(ROUND(J519,0),'Yield Curve'!$B$48:$B$91,0),MATCH(YEAR($B518),'Yield Curve'!$B$48:$P$48,0)))/100)</f>
        <v>1.0229999999999999</v>
      </c>
      <c r="K520" s="183">
        <f>1+((INDEX('Yield Curve'!$B$48:$P$91,MATCH(ROUND(K519,0),'Yield Curve'!$B$48:$B$91,0),MATCH(YEAR($B518),'Yield Curve'!$B$48:$P$48,0)))/100)</f>
        <v>1.02495</v>
      </c>
      <c r="L520" s="183">
        <f>1+((INDEX('Yield Curve'!$B$48:$P$91,MATCH(ROUND(L519,0),'Yield Curve'!$B$48:$B$91,0),MATCH(YEAR($B518),'Yield Curve'!$B$48:$P$48,0)))/100)</f>
        <v>1.0282249999999999</v>
      </c>
      <c r="M520" s="183">
        <f>1+((INDEX('Yield Curve'!$B$48:$P$91,MATCH(ROUND(M519,0),'Yield Curve'!$B$48:$B$91,0),MATCH(YEAR($B518),'Yield Curve'!$B$48:$P$48,0)))/100)</f>
        <v>1.0315000000000001</v>
      </c>
      <c r="N520" s="183">
        <f>1+((INDEX('Yield Curve'!$B$48:$P$91,MATCH(ROUND(N519,0),'Yield Curve'!$B$48:$B$91,0),MATCH(YEAR($B518),'Yield Curve'!$B$48:$P$48,0)))/100)</f>
        <v>1.0322499999999999</v>
      </c>
      <c r="O520" s="183">
        <f>1+((INDEX('Yield Curve'!$B$48:$P$91,MATCH(ROUND(O519,0),'Yield Curve'!$B$48:$B$91,0),MATCH(YEAR($B518),'Yield Curve'!$B$48:$P$48,0)))/100)</f>
        <v>1.0322499999999999</v>
      </c>
    </row>
    <row r="521" spans="2:15">
      <c r="B521" t="s">
        <v>212</v>
      </c>
      <c r="C521" s="182">
        <f>SUM(D521:AM521)</f>
        <v>89.387894239887686</v>
      </c>
      <c r="G521" s="182">
        <f t="shared" ref="G521" si="2473">G$509/(G520^G519)</f>
        <v>2.5398345267313904</v>
      </c>
      <c r="H521" s="182">
        <f t="shared" ref="H521" si="2474">H$509/(H520^H519)</f>
        <v>2.4874732155441848</v>
      </c>
      <c r="I521" s="182">
        <f t="shared" ref="I521" si="2475">I$509/(I520^I519)</f>
        <v>2.4361913868509721</v>
      </c>
      <c r="J521" s="182">
        <f t="shared" ref="J521" si="2476">J$509/(J520^J519)</f>
        <v>2.3686436643107887</v>
      </c>
      <c r="K521" s="182">
        <f t="shared" ref="K521" si="2477">K$509/(K520^K519)</f>
        <v>2.2942377154850182</v>
      </c>
      <c r="L521" s="182">
        <f t="shared" ref="L521" si="2478">L$509/(L520^L519)</f>
        <v>2.1972191978350648</v>
      </c>
      <c r="M521" s="182">
        <f t="shared" ref="M521" si="2479">M$509/(M520^M519)</f>
        <v>2.0910645574985645</v>
      </c>
      <c r="N521" s="182">
        <f t="shared" ref="N521" si="2480">N$509/(N520^N519)</f>
        <v>2.0157191088758264</v>
      </c>
      <c r="O521" s="182">
        <f t="shared" ref="O521" si="2481">O$509/(O520^O519)</f>
        <v>70.957510866755868</v>
      </c>
    </row>
    <row r="522" spans="2:15">
      <c r="B522" s="135">
        <v>44377</v>
      </c>
    </row>
    <row r="523" spans="2:15">
      <c r="B523" t="s">
        <v>210</v>
      </c>
      <c r="H523" s="182">
        <f t="shared" ref="H523" si="2482">(H$508-$B522)/365</f>
        <v>0.81917808219178079</v>
      </c>
      <c r="I523" s="182">
        <f t="shared" ref="I523" si="2483">(I$508-$B522)/365</f>
        <v>1.8191780821917809</v>
      </c>
      <c r="J523" s="182">
        <f t="shared" ref="J523" si="2484">(J$508-$B522)/365</f>
        <v>2.8191780821917809</v>
      </c>
      <c r="K523" s="182">
        <f t="shared" ref="K523" si="2485">(K$508-$B522)/365</f>
        <v>3.8191780821917809</v>
      </c>
      <c r="L523" s="182">
        <f t="shared" ref="L523" si="2486">(L$508-$B522)/365</f>
        <v>4.8191780821917805</v>
      </c>
      <c r="M523" s="182">
        <f t="shared" ref="M523" si="2487">(M$508-$B522)/365</f>
        <v>5.8191780821917805</v>
      </c>
      <c r="N523" s="182">
        <f t="shared" ref="N523" si="2488">(N$508-$B522)/365</f>
        <v>6.8191780821917805</v>
      </c>
      <c r="O523" s="182">
        <f t="shared" ref="O523" si="2489">(O$508-$B522)/365</f>
        <v>6.8273972602739725</v>
      </c>
    </row>
    <row r="524" spans="2:15">
      <c r="B524" t="s">
        <v>211</v>
      </c>
      <c r="H524" s="183">
        <f>1+((INDEX('Yield Curve'!$B$48:$P$91,MATCH(ROUND(H523,0),'Yield Curve'!$B$48:$B$91,0),MATCH(YEAR($B522),'Yield Curve'!$B$48:$P$48,0)))/100)</f>
        <v>1.0129999999999999</v>
      </c>
      <c r="I524" s="183">
        <f>1+((INDEX('Yield Curve'!$B$48:$P$91,MATCH(ROUND(I523,0),'Yield Curve'!$B$48:$B$91,0),MATCH(YEAR($B522),'Yield Curve'!$B$48:$P$48,0)))/100)</f>
        <v>1.0129999999999999</v>
      </c>
      <c r="J524" s="183">
        <f>1+((INDEX('Yield Curve'!$B$48:$P$91,MATCH(ROUND(J523,0),'Yield Curve'!$B$48:$B$91,0),MATCH(YEAR($B522),'Yield Curve'!$B$48:$P$48,0)))/100)</f>
        <v>1.0129999999999999</v>
      </c>
      <c r="K524" s="183">
        <f>1+((INDEX('Yield Curve'!$B$48:$P$91,MATCH(ROUND(K523,0),'Yield Curve'!$B$48:$B$91,0),MATCH(YEAR($B522),'Yield Curve'!$B$48:$P$48,0)))/100)</f>
        <v>1.0161249999999999</v>
      </c>
      <c r="L524" s="183">
        <f>1+((INDEX('Yield Curve'!$B$48:$P$91,MATCH(ROUND(L523,0),'Yield Curve'!$B$48:$B$91,0),MATCH(YEAR($B522),'Yield Curve'!$B$48:$P$48,0)))/100)</f>
        <v>1.01925</v>
      </c>
      <c r="M524" s="183">
        <f>1+((INDEX('Yield Curve'!$B$48:$P$91,MATCH(ROUND(M523,0),'Yield Curve'!$B$48:$B$91,0),MATCH(YEAR($B522),'Yield Curve'!$B$48:$P$48,0)))/100)</f>
        <v>1.022775</v>
      </c>
      <c r="N524" s="183">
        <f>1+((INDEX('Yield Curve'!$B$48:$P$91,MATCH(ROUND(N523,0),'Yield Curve'!$B$48:$B$91,0),MATCH(YEAR($B522),'Yield Curve'!$B$48:$P$48,0)))/100)</f>
        <v>1.0263</v>
      </c>
      <c r="O524" s="183">
        <f>1+((INDEX('Yield Curve'!$B$48:$P$91,MATCH(ROUND(O523,0),'Yield Curve'!$B$48:$B$91,0),MATCH(YEAR($B522),'Yield Curve'!$B$48:$P$48,0)))/100)</f>
        <v>1.0263</v>
      </c>
    </row>
    <row r="525" spans="2:15">
      <c r="B525" t="s">
        <v>212</v>
      </c>
      <c r="C525" s="182">
        <f>SUM(D525:AM525)</f>
        <v>92.983402554863659</v>
      </c>
      <c r="H525" s="182">
        <f t="shared" ref="H525" si="2490">H$509/(H524^H523)</f>
        <v>2.5563563896758033</v>
      </c>
      <c r="I525" s="182">
        <f t="shared" ref="I525" si="2491">I$509/(I524^I523)</f>
        <v>2.5235502366000033</v>
      </c>
      <c r="J525" s="182">
        <f t="shared" ref="J525" si="2492">J$509/(J524^J523)</f>
        <v>2.4911650904244858</v>
      </c>
      <c r="K525" s="182">
        <f t="shared" ref="K525" si="2493">K$509/(K524^K523)</f>
        <v>2.4304359645484381</v>
      </c>
      <c r="L525" s="182">
        <f t="shared" ref="L525" si="2494">L$509/(L524^L523)</f>
        <v>2.3567323856838982</v>
      </c>
      <c r="M525" s="182">
        <f t="shared" ref="M525" si="2495">M$509/(M524^M523)</f>
        <v>2.2662320047001154</v>
      </c>
      <c r="N525" s="182">
        <f t="shared" ref="N525" si="2496">N$509/(N524^N523)</f>
        <v>2.1643868078408497</v>
      </c>
      <c r="O525" s="182">
        <f t="shared" ref="O525" si="2497">O$509/(O524^O523)</f>
        <v>76.194543675390065</v>
      </c>
    </row>
    <row r="526" spans="2:15">
      <c r="B526" s="135">
        <v>44552</v>
      </c>
    </row>
    <row r="527" spans="2:15">
      <c r="B527" t="s">
        <v>210</v>
      </c>
      <c r="H527" s="182">
        <f t="shared" ref="H527" si="2498">(H$508-$B526)/365</f>
        <v>0.33972602739726027</v>
      </c>
      <c r="I527" s="182">
        <f t="shared" ref="I527" si="2499">(I$508-$B526)/365</f>
        <v>1.3397260273972602</v>
      </c>
      <c r="J527" s="182">
        <f t="shared" ref="J527" si="2500">(J$508-$B526)/365</f>
        <v>2.3397260273972602</v>
      </c>
      <c r="K527" s="182">
        <f t="shared" ref="K527" si="2501">(K$508-$B526)/365</f>
        <v>3.3397260273972602</v>
      </c>
      <c r="L527" s="182">
        <f t="shared" ref="L527" si="2502">(L$508-$B526)/365</f>
        <v>4.3397260273972602</v>
      </c>
      <c r="M527" s="182">
        <f t="shared" ref="M527" si="2503">(M$508-$B526)/365</f>
        <v>5.3397260273972602</v>
      </c>
      <c r="N527" s="182">
        <f t="shared" ref="N527" si="2504">(N$508-$B526)/365</f>
        <v>6.3397260273972602</v>
      </c>
      <c r="O527" s="182">
        <f t="shared" ref="O527" si="2505">(O$508-$B526)/365</f>
        <v>6.3479452054794523</v>
      </c>
    </row>
    <row r="528" spans="2:15">
      <c r="B528" t="s">
        <v>211</v>
      </c>
      <c r="H528" s="183">
        <f>1+((INDEX('Yield Curve'!$B$48:$P$91,MATCH(ROUND(H527,0),'Yield Curve'!$B$48:$B$91,0),MATCH(YEAR($B526)+1,'Yield Curve'!$B$48:$P$48,0)))/100)</f>
        <v>1.0212000000000001</v>
      </c>
      <c r="I528" s="183">
        <f>1+((INDEX('Yield Curve'!$B$48:$P$91,MATCH(ROUND(I527,0),'Yield Curve'!$B$48:$B$91,0),MATCH(YEAR($B526)+1,'Yield Curve'!$B$48:$P$48,0)))/100)</f>
        <v>1.0212000000000001</v>
      </c>
      <c r="J528" s="183">
        <f>1+((INDEX('Yield Curve'!$B$48:$P$91,MATCH(ROUND(J527,0),'Yield Curve'!$B$48:$B$91,0),MATCH(YEAR($B526)+1,'Yield Curve'!$B$48:$P$48,0)))/100)</f>
        <v>1.0212000000000001</v>
      </c>
      <c r="K528" s="183">
        <f>1+((INDEX('Yield Curve'!$B$48:$P$91,MATCH(ROUND(K527,0),'Yield Curve'!$B$48:$B$91,0),MATCH(YEAR($B526)+1,'Yield Curve'!$B$48:$P$48,0)))/100)</f>
        <v>1.0212000000000001</v>
      </c>
      <c r="L528" s="183">
        <f>1+((INDEX('Yield Curve'!$B$48:$P$91,MATCH(ROUND(L527,0),'Yield Curve'!$B$48:$B$91,0),MATCH(YEAR($B526)+1,'Yield Curve'!$B$48:$P$48,0)))/100)</f>
        <v>1.0245</v>
      </c>
      <c r="M528" s="183">
        <f>1+((INDEX('Yield Curve'!$B$48:$P$91,MATCH(ROUND(M527,0),'Yield Curve'!$B$48:$B$91,0),MATCH(YEAR($B526)+1,'Yield Curve'!$B$48:$P$48,0)))/100)</f>
        <v>1.0278</v>
      </c>
      <c r="N528" s="183">
        <f>1+((INDEX('Yield Curve'!$B$48:$P$91,MATCH(ROUND(N527,0),'Yield Curve'!$B$48:$B$91,0),MATCH(YEAR($B526)+1,'Yield Curve'!$B$48:$P$48,0)))/100)</f>
        <v>1.030375</v>
      </c>
      <c r="O528" s="183">
        <f>1+((INDEX('Yield Curve'!$B$48:$P$91,MATCH(ROUND(O527,0),'Yield Curve'!$B$48:$B$91,0),MATCH(YEAR($B526)+1,'Yield Curve'!$B$48:$P$48,0)))/100)</f>
        <v>1.030375</v>
      </c>
    </row>
    <row r="529" spans="2:26">
      <c r="B529" t="s">
        <v>212</v>
      </c>
      <c r="C529" s="182">
        <f>SUM(D529:AM529)</f>
        <v>91.872755989865965</v>
      </c>
      <c r="H529" s="182">
        <f t="shared" ref="H529" si="2506">H$509/(H528^H527)</f>
        <v>2.5652007415072249</v>
      </c>
      <c r="I529" s="182">
        <f t="shared" ref="I529" si="2507">I$509/(I528^I527)</f>
        <v>2.5119474554516499</v>
      </c>
      <c r="J529" s="182">
        <f t="shared" ref="J529" si="2508">J$509/(J528^J527)</f>
        <v>2.4597997017740396</v>
      </c>
      <c r="K529" s="182">
        <f t="shared" ref="K529" si="2509">K$509/(K528^K527)</f>
        <v>2.4087345297434775</v>
      </c>
      <c r="L529" s="182">
        <f t="shared" ref="L529" si="2510">L$509/(L528^L527)</f>
        <v>2.3259345854260056</v>
      </c>
      <c r="M529" s="182">
        <f t="shared" ref="M529" si="2511">M$509/(M528^M527)</f>
        <v>2.2316588327718905</v>
      </c>
      <c r="N529" s="182">
        <f t="shared" ref="N529" si="2512">N$509/(N528^N527)</f>
        <v>2.1371244436210373</v>
      </c>
      <c r="O529" s="182">
        <f t="shared" ref="O529" si="2513">O$509/(O528^O527)</f>
        <v>75.232355699570647</v>
      </c>
    </row>
    <row r="531" spans="2:26">
      <c r="B531" s="5" t="str">
        <f>'VPN Bonds'!A98</f>
        <v>32273450961</v>
      </c>
      <c r="C531" t="s">
        <v>213</v>
      </c>
    </row>
    <row r="532" spans="2:26">
      <c r="B532" t="s">
        <v>66</v>
      </c>
      <c r="D532" s="180">
        <f>VLOOKUP(B531,'VPN Bonds'!$A$85:$K$104,4,FALSE)</f>
        <v>43188</v>
      </c>
      <c r="E532" s="180">
        <f>VLOOKUP(B531,'VPN Bonds'!$A$85:$K$104,10,FALSE)</f>
        <v>43372</v>
      </c>
      <c r="F532" s="180">
        <f>IF(E532+VLOOKUP($B531,'VPN Bonds'!$A$85:$K$104,9,FALSE)*365 &lt; VLOOKUP($B531,'VPN Bonds'!$A$85:$K$104,5,FALSE), E532+VLOOKUP($B531,'VPN Bonds'!$A$85:$K$104,9,FALSE)*365, VLOOKUP($B531,'VPN Bonds'!$A$85:$K$104,5,FALSE))</f>
        <v>43554.5</v>
      </c>
      <c r="G532" s="180">
        <f>IF(F532+VLOOKUP($B531,'VPN Bonds'!$A$85:$K$104,9,FALSE)*365 &lt; VLOOKUP($B531,'VPN Bonds'!$A$85:$K$104,5,FALSE), F532+VLOOKUP($B531,'VPN Bonds'!$A$85:$K$104,9,FALSE)*365, VLOOKUP($B531,'VPN Bonds'!$A$85:$K$104,5,FALSE))</f>
        <v>43737</v>
      </c>
      <c r="H532" s="180">
        <f>IF(G532+VLOOKUP($B531,'VPN Bonds'!$A$85:$K$104,9,FALSE)*365 &lt; VLOOKUP($B531,'VPN Bonds'!$A$85:$K$104,5,FALSE), G532+VLOOKUP($B531,'VPN Bonds'!$A$85:$K$104,9,FALSE)*365, VLOOKUP($B531,'VPN Bonds'!$A$85:$K$104,5,FALSE))</f>
        <v>43919.5</v>
      </c>
      <c r="I532" s="180">
        <f>IF(H532+VLOOKUP($B531,'VPN Bonds'!$A$85:$K$104,9,FALSE)*365 &lt; VLOOKUP($B531,'VPN Bonds'!$A$85:$K$104,5,FALSE), H532+VLOOKUP($B531,'VPN Bonds'!$A$85:$K$104,9,FALSE)*365, VLOOKUP($B531,'VPN Bonds'!$A$85:$K$104,5,FALSE))</f>
        <v>44102</v>
      </c>
      <c r="J532" s="180">
        <f>IF(I532+VLOOKUP($B531,'VPN Bonds'!$A$85:$K$104,9,FALSE)*365 &lt; VLOOKUP($B531,'VPN Bonds'!$A$85:$K$104,5,FALSE), I532+VLOOKUP($B531,'VPN Bonds'!$A$85:$K$104,9,FALSE)*365, VLOOKUP($B531,'VPN Bonds'!$A$85:$K$104,5,FALSE))</f>
        <v>44284.5</v>
      </c>
      <c r="K532" s="180">
        <f>IF(J532+VLOOKUP($B531,'VPN Bonds'!$A$85:$K$104,9,FALSE)*365 &lt; VLOOKUP($B531,'VPN Bonds'!$A$85:$K$104,5,FALSE), J532+VLOOKUP($B531,'VPN Bonds'!$A$85:$K$104,9,FALSE)*365, VLOOKUP($B531,'VPN Bonds'!$A$85:$K$104,5,FALSE))</f>
        <v>44467</v>
      </c>
      <c r="L532" s="180">
        <f>IF(K532+VLOOKUP($B531,'VPN Bonds'!$A$85:$K$104,9,FALSE)*365 &lt; VLOOKUP($B531,'VPN Bonds'!$A$85:$K$104,5,FALSE), K532+VLOOKUP($B531,'VPN Bonds'!$A$85:$K$104,9,FALSE)*365, VLOOKUP($B531,'VPN Bonds'!$A$85:$K$104,5,FALSE))</f>
        <v>44649.5</v>
      </c>
      <c r="M532" s="180">
        <f>IF(L532+VLOOKUP($B531,'VPN Bonds'!$A$85:$K$104,9,FALSE)*365 &lt; VLOOKUP($B531,'VPN Bonds'!$A$85:$K$104,5,FALSE), L532+VLOOKUP($B531,'VPN Bonds'!$A$85:$K$104,9,FALSE)*365, VLOOKUP($B531,'VPN Bonds'!$A$85:$K$104,5,FALSE))</f>
        <v>44832</v>
      </c>
      <c r="N532" s="180">
        <f>IF(M532+VLOOKUP($B531,'VPN Bonds'!$A$85:$K$104,9,FALSE)*365 &lt; VLOOKUP($B531,'VPN Bonds'!$A$85:$K$104,5,FALSE), M532+VLOOKUP($B531,'VPN Bonds'!$A$85:$K$104,9,FALSE)*365, VLOOKUP($B531,'VPN Bonds'!$A$85:$K$104,5,FALSE))</f>
        <v>45014.5</v>
      </c>
      <c r="O532" s="180">
        <f>IF(N532+VLOOKUP($B531,'VPN Bonds'!$A$85:$K$104,9,FALSE)*365 &lt; VLOOKUP($B531,'VPN Bonds'!$A$85:$K$104,5,FALSE), N532+VLOOKUP($B531,'VPN Bonds'!$A$85:$K$104,9,FALSE)*365, VLOOKUP($B531,'VPN Bonds'!$A$85:$K$104,5,FALSE))</f>
        <v>45197</v>
      </c>
      <c r="P532" s="180">
        <f>IF(O532+VLOOKUP($B531,'VPN Bonds'!$A$85:$K$104,9,FALSE)*365 &lt; VLOOKUP($B531,'VPN Bonds'!$A$85:$K$104,5,FALSE), O532+VLOOKUP($B531,'VPN Bonds'!$A$85:$K$104,9,FALSE)*365, VLOOKUP($B531,'VPN Bonds'!$A$85:$K$104,5,FALSE))</f>
        <v>45379.5</v>
      </c>
      <c r="Q532" s="180">
        <f>IF(P532+VLOOKUP($B531,'VPN Bonds'!$A$85:$K$104,9,FALSE)*365 &lt; VLOOKUP($B531,'VPN Bonds'!$A$85:$K$104,5,FALSE), P532+VLOOKUP($B531,'VPN Bonds'!$A$85:$K$104,9,FALSE)*365, VLOOKUP($B531,'VPN Bonds'!$A$85:$K$104,5,FALSE))</f>
        <v>45562</v>
      </c>
      <c r="R532" s="180">
        <f>IF(Q532+VLOOKUP($B531,'VPN Bonds'!$A$85:$K$104,9,FALSE)*365 &lt; VLOOKUP($B531,'VPN Bonds'!$A$85:$K$104,5,FALSE), Q532+VLOOKUP($B531,'VPN Bonds'!$A$85:$K$104,9,FALSE)*365, VLOOKUP($B531,'VPN Bonds'!$A$85:$K$104,5,FALSE))</f>
        <v>45744.5</v>
      </c>
      <c r="S532" s="180">
        <f>IF(R532+VLOOKUP($B531,'VPN Bonds'!$A$85:$K$104,9,FALSE)*365 &lt; VLOOKUP($B531,'VPN Bonds'!$A$85:$K$104,5,FALSE), R532+VLOOKUP($B531,'VPN Bonds'!$A$85:$K$104,9,FALSE)*365, VLOOKUP($B531,'VPN Bonds'!$A$85:$K$104,5,FALSE))</f>
        <v>45927</v>
      </c>
      <c r="T532" s="180">
        <f>IF(S532+VLOOKUP($B531,'VPN Bonds'!$A$85:$K$104,9,FALSE)*365 &lt; VLOOKUP($B531,'VPN Bonds'!$A$85:$K$104,5,FALSE), S532+VLOOKUP($B531,'VPN Bonds'!$A$85:$K$104,9,FALSE)*365, VLOOKUP($B531,'VPN Bonds'!$A$85:$K$104,5,FALSE))</f>
        <v>46109.5</v>
      </c>
      <c r="U532" s="180">
        <f>IF(T532+VLOOKUP($B531,'VPN Bonds'!$A$85:$K$104,9,FALSE)*365 &lt; VLOOKUP($B531,'VPN Bonds'!$A$85:$K$104,5,FALSE), T532+VLOOKUP($B531,'VPN Bonds'!$A$85:$K$104,9,FALSE)*365, VLOOKUP($B531,'VPN Bonds'!$A$85:$K$104,5,FALSE))</f>
        <v>46292</v>
      </c>
      <c r="V532" s="180">
        <f>IF(U532+VLOOKUP($B531,'VPN Bonds'!$A$85:$K$104,9,FALSE)*365 &lt; VLOOKUP($B531,'VPN Bonds'!$A$85:$K$104,5,FALSE), U532+VLOOKUP($B531,'VPN Bonds'!$A$85:$K$104,9,FALSE)*365, VLOOKUP($B531,'VPN Bonds'!$A$85:$K$104,5,FALSE))</f>
        <v>46474.5</v>
      </c>
      <c r="W532" s="180">
        <f>IF(V532+VLOOKUP($B531,'VPN Bonds'!$A$85:$K$104,9,FALSE)*365 &lt; VLOOKUP($B531,'VPN Bonds'!$A$85:$K$104,5,FALSE), V532+VLOOKUP($B531,'VPN Bonds'!$A$85:$K$104,9,FALSE)*365, VLOOKUP($B531,'VPN Bonds'!$A$85:$K$104,5,FALSE))</f>
        <v>46657</v>
      </c>
      <c r="X532" s="180">
        <f>IF(W532+VLOOKUP($B531,'VPN Bonds'!$A$85:$K$104,9,FALSE)*365 &lt; VLOOKUP($B531,'VPN Bonds'!$A$85:$K$104,5,FALSE), W532+VLOOKUP($B531,'VPN Bonds'!$A$85:$K$104,9,FALSE)*365, VLOOKUP($B531,'VPN Bonds'!$A$85:$K$104,5,FALSE))</f>
        <v>46839.5</v>
      </c>
      <c r="Y532" s="180">
        <f>IF(X532+VLOOKUP($B531,'VPN Bonds'!$A$85:$K$104,9,FALSE)*365 &lt; VLOOKUP($B531,'VPN Bonds'!$A$85:$K$104,5,FALSE), X532+VLOOKUP($B531,'VPN Bonds'!$A$85:$K$104,9,FALSE)*365, VLOOKUP($B531,'VPN Bonds'!$A$85:$K$104,5,FALSE))</f>
        <v>46841</v>
      </c>
      <c r="Z532" s="27"/>
    </row>
    <row r="533" spans="2:26">
      <c r="B533" t="s">
        <v>209</v>
      </c>
      <c r="E533" s="182">
        <f>IF(E532&lt;VLOOKUP($B531,'VPN Bonds'!$A$85:$K$104,5,FALSE),(VLOOKUP($B531,'VPN Bonds'!$A$85:$K$104,8,FALSE)/100)*(VLOOKUP($B531,'VPN Bonds'!$A$85:$K$104,9,FALSE))*(VLOOKUP($B531,'VPN Bonds'!$A$85:$K$104,6,FALSE)),(VLOOKUP($B531,'VPN Bonds'!$A$85:$K$104,6,FALSE)))</f>
        <v>4.5</v>
      </c>
      <c r="F533" s="182">
        <f>IF(F532&lt;VLOOKUP($B531,'VPN Bonds'!$A$85:$K$104,5,FALSE),(VLOOKUP($B531,'VPN Bonds'!$A$85:$K$104,8,FALSE)/100)*(VLOOKUP($B531,'VPN Bonds'!$A$85:$K$104,9,FALSE))*(VLOOKUP($B531,'VPN Bonds'!$A$85:$K$104,6,FALSE)),(VLOOKUP($B531,'VPN Bonds'!$A$85:$K$104,6,FALSE)))</f>
        <v>4.5</v>
      </c>
      <c r="G533" s="182">
        <f>IF(G532&lt;VLOOKUP($B531,'VPN Bonds'!$A$85:$K$104,5,FALSE),(VLOOKUP($B531,'VPN Bonds'!$A$85:$K$104,8,FALSE)/100)*(VLOOKUP($B531,'VPN Bonds'!$A$85:$K$104,9,FALSE))*(VLOOKUP($B531,'VPN Bonds'!$A$85:$K$104,6,FALSE)),(VLOOKUP($B531,'VPN Bonds'!$A$85:$K$104,6,FALSE)))</f>
        <v>4.5</v>
      </c>
      <c r="H533" s="182">
        <f>IF(H532&lt;VLOOKUP($B531,'VPN Bonds'!$A$85:$K$104,5,FALSE),(VLOOKUP($B531,'VPN Bonds'!$A$85:$K$104,8,FALSE)/100)*(VLOOKUP($B531,'VPN Bonds'!$A$85:$K$104,9,FALSE))*(VLOOKUP($B531,'VPN Bonds'!$A$85:$K$104,6,FALSE)),(VLOOKUP($B531,'VPN Bonds'!$A$85:$K$104,6,FALSE)))</f>
        <v>4.5</v>
      </c>
      <c r="I533" s="182">
        <f>IF(I532&lt;VLOOKUP($B531,'VPN Bonds'!$A$85:$K$104,5,FALSE),(VLOOKUP($B531,'VPN Bonds'!$A$85:$K$104,8,FALSE)/100)*(VLOOKUP($B531,'VPN Bonds'!$A$85:$K$104,9,FALSE))*(VLOOKUP($B531,'VPN Bonds'!$A$85:$K$104,6,FALSE)),(VLOOKUP($B531,'VPN Bonds'!$A$85:$K$104,6,FALSE)))</f>
        <v>4.5</v>
      </c>
      <c r="J533" s="182">
        <f>IF(J532&lt;VLOOKUP($B531,'VPN Bonds'!$A$85:$K$104,5,FALSE),(VLOOKUP($B531,'VPN Bonds'!$A$85:$K$104,8,FALSE)/100)*(VLOOKUP($B531,'VPN Bonds'!$A$85:$K$104,9,FALSE))*(VLOOKUP($B531,'VPN Bonds'!$A$85:$K$104,6,FALSE)),(VLOOKUP($B531,'VPN Bonds'!$A$85:$K$104,6,FALSE)))</f>
        <v>4.5</v>
      </c>
      <c r="K533" s="182">
        <f>IF(K532&lt;VLOOKUP($B531,'VPN Bonds'!$A$85:$K$104,5,FALSE),(VLOOKUP($B531,'VPN Bonds'!$A$85:$K$104,8,FALSE)/100)*(VLOOKUP($B531,'VPN Bonds'!$A$85:$K$104,9,FALSE))*(VLOOKUP($B531,'VPN Bonds'!$A$85:$K$104,6,FALSE)),(VLOOKUP($B531,'VPN Bonds'!$A$85:$K$104,6,FALSE)))</f>
        <v>4.5</v>
      </c>
      <c r="L533" s="182">
        <f>IF(L532&lt;VLOOKUP($B531,'VPN Bonds'!$A$85:$K$104,5,FALSE),(VLOOKUP($B531,'VPN Bonds'!$A$85:$K$104,8,FALSE)/100)*(VLOOKUP($B531,'VPN Bonds'!$A$85:$K$104,9,FALSE))*(VLOOKUP($B531,'VPN Bonds'!$A$85:$K$104,6,FALSE)),(VLOOKUP($B531,'VPN Bonds'!$A$85:$K$104,6,FALSE)))</f>
        <v>4.5</v>
      </c>
      <c r="M533" s="182">
        <f>IF(M532&lt;VLOOKUP($B531,'VPN Bonds'!$A$85:$K$104,5,FALSE),(VLOOKUP($B531,'VPN Bonds'!$A$85:$K$104,8,FALSE)/100)*(VLOOKUP($B531,'VPN Bonds'!$A$85:$K$104,9,FALSE))*(VLOOKUP($B531,'VPN Bonds'!$A$85:$K$104,6,FALSE)),(VLOOKUP($B531,'VPN Bonds'!$A$85:$K$104,6,FALSE)))</f>
        <v>4.5</v>
      </c>
      <c r="N533" s="182">
        <f>IF(N532&lt;VLOOKUP($B531,'VPN Bonds'!$A$85:$K$104,5,FALSE),(VLOOKUP($B531,'VPN Bonds'!$A$85:$K$104,8,FALSE)/100)*(VLOOKUP($B531,'VPN Bonds'!$A$85:$K$104,9,FALSE))*(VLOOKUP($B531,'VPN Bonds'!$A$85:$K$104,6,FALSE)),(VLOOKUP($B531,'VPN Bonds'!$A$85:$K$104,6,FALSE)))</f>
        <v>4.5</v>
      </c>
      <c r="O533" s="182">
        <f>IF(O532&lt;VLOOKUP($B531,'VPN Bonds'!$A$85:$K$104,5,FALSE),(VLOOKUP($B531,'VPN Bonds'!$A$85:$K$104,8,FALSE)/100)*(VLOOKUP($B531,'VPN Bonds'!$A$85:$K$104,9,FALSE))*(VLOOKUP($B531,'VPN Bonds'!$A$85:$K$104,6,FALSE)),(VLOOKUP($B531,'VPN Bonds'!$A$85:$K$104,6,FALSE)))</f>
        <v>4.5</v>
      </c>
      <c r="P533" s="182">
        <f>IF(P532&lt;VLOOKUP($B531,'VPN Bonds'!$A$85:$K$104,5,FALSE),(VLOOKUP($B531,'VPN Bonds'!$A$85:$K$104,8,FALSE)/100)*(VLOOKUP($B531,'VPN Bonds'!$A$85:$K$104,9,FALSE))*(VLOOKUP($B531,'VPN Bonds'!$A$85:$K$104,6,FALSE)),(VLOOKUP($B531,'VPN Bonds'!$A$85:$K$104,6,FALSE)))</f>
        <v>4.5</v>
      </c>
      <c r="Q533" s="182">
        <f>IF(Q532&lt;VLOOKUP($B531,'VPN Bonds'!$A$85:$K$104,5,FALSE),(VLOOKUP($B531,'VPN Bonds'!$A$85:$K$104,8,FALSE)/100)*(VLOOKUP($B531,'VPN Bonds'!$A$85:$K$104,9,FALSE))*(VLOOKUP($B531,'VPN Bonds'!$A$85:$K$104,6,FALSE)),(VLOOKUP($B531,'VPN Bonds'!$A$85:$K$104,6,FALSE)))</f>
        <v>4.5</v>
      </c>
      <c r="R533" s="182">
        <f>IF(R532&lt;VLOOKUP($B531,'VPN Bonds'!$A$85:$K$104,5,FALSE),(VLOOKUP($B531,'VPN Bonds'!$A$85:$K$104,8,FALSE)/100)*(VLOOKUP($B531,'VPN Bonds'!$A$85:$K$104,9,FALSE))*(VLOOKUP($B531,'VPN Bonds'!$A$85:$K$104,6,FALSE)),(VLOOKUP($B531,'VPN Bonds'!$A$85:$K$104,6,FALSE)))</f>
        <v>4.5</v>
      </c>
      <c r="S533" s="182">
        <f>IF(S532&lt;VLOOKUP($B531,'VPN Bonds'!$A$85:$K$104,5,FALSE),(VLOOKUP($B531,'VPN Bonds'!$A$85:$K$104,8,FALSE)/100)*(VLOOKUP($B531,'VPN Bonds'!$A$85:$K$104,9,FALSE))*(VLOOKUP($B531,'VPN Bonds'!$A$85:$K$104,6,FALSE)),(VLOOKUP($B531,'VPN Bonds'!$A$85:$K$104,6,FALSE)))</f>
        <v>4.5</v>
      </c>
      <c r="T533" s="182">
        <f>IF(T532&lt;VLOOKUP($B531,'VPN Bonds'!$A$85:$K$104,5,FALSE),(VLOOKUP($B531,'VPN Bonds'!$A$85:$K$104,8,FALSE)/100)*(VLOOKUP($B531,'VPN Bonds'!$A$85:$K$104,9,FALSE))*(VLOOKUP($B531,'VPN Bonds'!$A$85:$K$104,6,FALSE)),(VLOOKUP($B531,'VPN Bonds'!$A$85:$K$104,6,FALSE)))</f>
        <v>4.5</v>
      </c>
      <c r="U533" s="182">
        <f>IF(U532&lt;VLOOKUP($B531,'VPN Bonds'!$A$85:$K$104,5,FALSE),(VLOOKUP($B531,'VPN Bonds'!$A$85:$K$104,8,FALSE)/100)*(VLOOKUP($B531,'VPN Bonds'!$A$85:$K$104,9,FALSE))*(VLOOKUP($B531,'VPN Bonds'!$A$85:$K$104,6,FALSE)),(VLOOKUP($B531,'VPN Bonds'!$A$85:$K$104,6,FALSE)))</f>
        <v>4.5</v>
      </c>
      <c r="V533" s="182">
        <f>IF(V532&lt;VLOOKUP($B531,'VPN Bonds'!$A$85:$K$104,5,FALSE),(VLOOKUP($B531,'VPN Bonds'!$A$85:$K$104,8,FALSE)/100)*(VLOOKUP($B531,'VPN Bonds'!$A$85:$K$104,9,FALSE))*(VLOOKUP($B531,'VPN Bonds'!$A$85:$K$104,6,FALSE)),(VLOOKUP($B531,'VPN Bonds'!$A$85:$K$104,6,FALSE)))</f>
        <v>4.5</v>
      </c>
      <c r="W533" s="182">
        <f>IF(W532&lt;VLOOKUP($B531,'VPN Bonds'!$A$85:$K$104,5,FALSE),(VLOOKUP($B531,'VPN Bonds'!$A$85:$K$104,8,FALSE)/100)*(VLOOKUP($B531,'VPN Bonds'!$A$85:$K$104,9,FALSE))*(VLOOKUP($B531,'VPN Bonds'!$A$85:$K$104,6,FALSE)),(VLOOKUP($B531,'VPN Bonds'!$A$85:$K$104,6,FALSE)))</f>
        <v>4.5</v>
      </c>
      <c r="X533" s="182">
        <f>IF(X532&lt;VLOOKUP($B531,'VPN Bonds'!$A$85:$K$104,5,FALSE),(VLOOKUP($B531,'VPN Bonds'!$A$85:$K$104,8,FALSE)/100)*(VLOOKUP($B531,'VPN Bonds'!$A$85:$K$104,9,FALSE))*(VLOOKUP($B531,'VPN Bonds'!$A$85:$K$104,6,FALSE)),(VLOOKUP($B531,'VPN Bonds'!$A$85:$K$104,6,FALSE)))</f>
        <v>4.5</v>
      </c>
      <c r="Y533" s="182">
        <f>IF(Y532&lt;VLOOKUP($B531,'VPN Bonds'!$A$85:$K$104,5,FALSE),(VLOOKUP($B531,'VPN Bonds'!$A$85:$K$104,8,FALSE)/100)*(VLOOKUP($B531,'VPN Bonds'!$A$85:$K$104,9,FALSE))*(VLOOKUP($B531,'VPN Bonds'!$A$85:$K$104,6,FALSE)),(VLOOKUP($B531,'VPN Bonds'!$A$85:$K$104,6,FALSE)))</f>
        <v>225</v>
      </c>
    </row>
    <row r="534" spans="2:26">
      <c r="B534" s="135">
        <v>43281</v>
      </c>
    </row>
    <row r="535" spans="2:26">
      <c r="B535" t="s">
        <v>210</v>
      </c>
      <c r="E535" s="182">
        <f>(E$532-$B534)/365</f>
        <v>0.24931506849315069</v>
      </c>
      <c r="F535" s="182">
        <f t="shared" ref="F535:O535" si="2514">(F$532-$B534)/365</f>
        <v>0.74931506849315066</v>
      </c>
      <c r="G535" s="182">
        <f t="shared" si="2514"/>
        <v>1.2493150684931507</v>
      </c>
      <c r="H535" s="182">
        <f t="shared" si="2514"/>
        <v>1.7493150684931507</v>
      </c>
      <c r="I535" s="182">
        <f t="shared" si="2514"/>
        <v>2.2493150684931509</v>
      </c>
      <c r="J535" s="182">
        <f t="shared" si="2514"/>
        <v>2.7493150684931509</v>
      </c>
      <c r="K535" s="182">
        <f t="shared" si="2514"/>
        <v>3.2493150684931509</v>
      </c>
      <c r="L535" s="182">
        <f t="shared" si="2514"/>
        <v>3.7493150684931509</v>
      </c>
      <c r="M535" s="182">
        <f t="shared" si="2514"/>
        <v>4.2493150684931509</v>
      </c>
      <c r="N535" s="182">
        <f t="shared" si="2514"/>
        <v>4.7493150684931509</v>
      </c>
      <c r="O535" s="182">
        <f t="shared" si="2514"/>
        <v>5.2493150684931509</v>
      </c>
      <c r="P535" s="182">
        <f t="shared" ref="P535" si="2515">(P$532-$B534)/365</f>
        <v>5.7493150684931509</v>
      </c>
      <c r="Q535" s="182">
        <f t="shared" ref="Q535" si="2516">(Q$532-$B534)/365</f>
        <v>6.2493150684931509</v>
      </c>
      <c r="R535" s="182">
        <f t="shared" ref="R535" si="2517">(R$532-$B534)/365</f>
        <v>6.7493150684931509</v>
      </c>
      <c r="S535" s="182">
        <f t="shared" ref="S535" si="2518">(S$532-$B534)/365</f>
        <v>7.2493150684931509</v>
      </c>
      <c r="T535" s="182">
        <f t="shared" ref="T535" si="2519">(T$532-$B534)/365</f>
        <v>7.7493150684931509</v>
      </c>
      <c r="U535" s="182">
        <f t="shared" ref="U535" si="2520">(U$532-$B534)/365</f>
        <v>8.24931506849315</v>
      </c>
      <c r="V535" s="182">
        <f t="shared" ref="V535" si="2521">(V$532-$B534)/365</f>
        <v>8.74931506849315</v>
      </c>
      <c r="W535" s="182">
        <f t="shared" ref="W535" si="2522">(W$532-$B534)/365</f>
        <v>9.24931506849315</v>
      </c>
      <c r="X535" s="182">
        <f t="shared" ref="X535" si="2523">(X$532-$B534)/365</f>
        <v>9.74931506849315</v>
      </c>
      <c r="Y535" s="182">
        <f t="shared" ref="Y535" si="2524">(Y$532-$B534)/365</f>
        <v>9.7534246575342465</v>
      </c>
    </row>
    <row r="536" spans="2:26">
      <c r="B536" t="s">
        <v>211</v>
      </c>
      <c r="E536" s="183">
        <f>1+((INDEX('Yield Curve'!$B$48:$P$91,MATCH(ROUND(E535,0),'Yield Curve'!$B$48:$B$91,0),MATCH(YEAR($B534),'Yield Curve'!$B$48:$P$48,0)))/100)</f>
        <v>1.03315</v>
      </c>
      <c r="F536" s="183">
        <f>1+((INDEX('Yield Curve'!$B$48:$P$91,MATCH(ROUND(F535,0),'Yield Curve'!$B$48:$B$91,0),MATCH(YEAR($B534),'Yield Curve'!$B$48:$P$48,0)))/100)</f>
        <v>1.03315</v>
      </c>
      <c r="G536" s="183">
        <f>1+((INDEX('Yield Curve'!$B$48:$P$91,MATCH(ROUND(G535,0),'Yield Curve'!$B$48:$B$91,0),MATCH(YEAR($B534),'Yield Curve'!$B$48:$P$48,0)))/100)</f>
        <v>1.03315</v>
      </c>
      <c r="H536" s="183">
        <f>1+((INDEX('Yield Curve'!$B$48:$P$91,MATCH(ROUND(H535,0),'Yield Curve'!$B$48:$B$91,0),MATCH(YEAR($B534),'Yield Curve'!$B$48:$P$48,0)))/100)</f>
        <v>1.03315</v>
      </c>
      <c r="I536" s="183">
        <f>1+((INDEX('Yield Curve'!$B$48:$P$91,MATCH(ROUND(I535,0),'Yield Curve'!$B$48:$B$91,0),MATCH(YEAR($B534),'Yield Curve'!$B$48:$P$48,0)))/100)</f>
        <v>1.03315</v>
      </c>
      <c r="J536" s="183">
        <f>1+((INDEX('Yield Curve'!$B$48:$P$91,MATCH(ROUND(J535,0),'Yield Curve'!$B$48:$B$91,0),MATCH(YEAR($B534),'Yield Curve'!$B$48:$P$48,0)))/100)</f>
        <v>1.03315</v>
      </c>
      <c r="K536" s="183">
        <f>1+((INDEX('Yield Curve'!$B$48:$P$91,MATCH(ROUND(K535,0),'Yield Curve'!$B$48:$B$91,0),MATCH(YEAR($B534),'Yield Curve'!$B$48:$P$48,0)))/100)</f>
        <v>1.03315</v>
      </c>
      <c r="L536" s="183">
        <f>1+((INDEX('Yield Curve'!$B$48:$P$91,MATCH(ROUND(L535,0),'Yield Curve'!$B$48:$B$91,0),MATCH(YEAR($B534),'Yield Curve'!$B$48:$P$48,0)))/100)</f>
        <v>1.0349999999999999</v>
      </c>
      <c r="M536" s="183">
        <f>1+((INDEX('Yield Curve'!$B$48:$P$91,MATCH(ROUND(M535,0),'Yield Curve'!$B$48:$B$91,0),MATCH(YEAR($B534),'Yield Curve'!$B$48:$P$48,0)))/100)</f>
        <v>1.0349999999999999</v>
      </c>
      <c r="N536" s="183">
        <f>1+((INDEX('Yield Curve'!$B$48:$P$91,MATCH(ROUND(N535,0),'Yield Curve'!$B$48:$B$91,0),MATCH(YEAR($B534),'Yield Curve'!$B$48:$P$48,0)))/100)</f>
        <v>1.03685</v>
      </c>
      <c r="O536" s="183">
        <f>1+((INDEX('Yield Curve'!$B$48:$P$91,MATCH(ROUND(O535,0),'Yield Curve'!$B$48:$B$91,0),MATCH(YEAR($B534),'Yield Curve'!$B$48:$P$48,0)))/100)</f>
        <v>1.03685</v>
      </c>
      <c r="P536" s="183">
        <f>1+((INDEX('Yield Curve'!$B$48:$P$91,MATCH(ROUND(P535,0),'Yield Curve'!$B$48:$B$91,0),MATCH(YEAR($B534),'Yield Curve'!$B$48:$P$48,0)))/100)</f>
        <v>1.0386</v>
      </c>
      <c r="Q536" s="183">
        <f>1+((INDEX('Yield Curve'!$B$48:$P$91,MATCH(ROUND(Q535,0),'Yield Curve'!$B$48:$B$91,0),MATCH(YEAR($B534),'Yield Curve'!$B$48:$P$48,0)))/100)</f>
        <v>1.0386</v>
      </c>
      <c r="R536" s="183">
        <f>1+((INDEX('Yield Curve'!$B$48:$P$91,MATCH(ROUND(R535,0),'Yield Curve'!$B$48:$B$91,0),MATCH(YEAR($B534),'Yield Curve'!$B$48:$P$48,0)))/100)</f>
        <v>1.0403500000000001</v>
      </c>
      <c r="S536" s="183">
        <f>1+((INDEX('Yield Curve'!$B$48:$P$91,MATCH(ROUND(S535,0),'Yield Curve'!$B$48:$B$91,0),MATCH(YEAR($B534),'Yield Curve'!$B$48:$P$48,0)))/100)</f>
        <v>1.0403500000000001</v>
      </c>
      <c r="T536" s="183">
        <f>1+((INDEX('Yield Curve'!$B$48:$P$91,MATCH(ROUND(T535,0),'Yield Curve'!$B$48:$B$91,0),MATCH(YEAR($B534),'Yield Curve'!$B$48:$P$48,0)))/100)</f>
        <v>1.0414874999999999</v>
      </c>
      <c r="U536" s="183">
        <f>1+((INDEX('Yield Curve'!$B$48:$P$91,MATCH(ROUND(U535,0),'Yield Curve'!$B$48:$B$91,0),MATCH(YEAR($B534),'Yield Curve'!$B$48:$P$48,0)))/100)</f>
        <v>1.0414874999999999</v>
      </c>
      <c r="V536" s="183">
        <f>1+((INDEX('Yield Curve'!$B$48:$P$91,MATCH(ROUND(V535,0),'Yield Curve'!$B$48:$B$91,0),MATCH(YEAR($B534),'Yield Curve'!$B$48:$P$48,0)))/100)</f>
        <v>1.0437624999999999</v>
      </c>
      <c r="W536" s="183">
        <f>1+((INDEX('Yield Curve'!$B$48:$P$91,MATCH(ROUND(W535,0),'Yield Curve'!$B$48:$B$91,0),MATCH(YEAR($B534),'Yield Curve'!$B$48:$P$48,0)))/100)</f>
        <v>1.0437624999999999</v>
      </c>
      <c r="X536" s="183">
        <f>1+((INDEX('Yield Curve'!$B$48:$P$91,MATCH(ROUND(X535,0),'Yield Curve'!$B$48:$B$91,0),MATCH(YEAR($B534),'Yield Curve'!$B$48:$P$48,0)))/100)</f>
        <v>1.0448999999999999</v>
      </c>
      <c r="Y536" s="183">
        <f>1+((INDEX('Yield Curve'!$B$48:$P$91,MATCH(ROUND(Y535,0),'Yield Curve'!$B$48:$B$91,0),MATCH(YEAR($B534),'Yield Curve'!$B$48:$P$48,0)))/100)</f>
        <v>1.0448999999999999</v>
      </c>
    </row>
    <row r="537" spans="2:26">
      <c r="B537" t="s">
        <v>212</v>
      </c>
      <c r="E537" s="182">
        <f>E$533/(E536^E535)</f>
        <v>4.4635599249384761</v>
      </c>
      <c r="F537" s="182">
        <f t="shared" ref="F537:O537" si="2525">F$533/(F536^F535)</f>
        <v>4.391366451498401</v>
      </c>
      <c r="G537" s="182">
        <f t="shared" si="2525"/>
        <v>4.3203406329559844</v>
      </c>
      <c r="H537" s="182">
        <f t="shared" si="2525"/>
        <v>4.2504635836987861</v>
      </c>
      <c r="I537" s="182">
        <f t="shared" si="2525"/>
        <v>4.1817167235696511</v>
      </c>
      <c r="J537" s="182">
        <f t="shared" si="2525"/>
        <v>4.11408177292628</v>
      </c>
      <c r="K537" s="182">
        <f t="shared" si="2525"/>
        <v>4.0475407477807206</v>
      </c>
      <c r="L537" s="182">
        <f t="shared" si="2525"/>
        <v>3.9554548827484264</v>
      </c>
      <c r="M537" s="182">
        <f t="shared" si="2525"/>
        <v>3.8880000359657823</v>
      </c>
      <c r="N537" s="182">
        <f t="shared" si="2525"/>
        <v>3.7894187622901097</v>
      </c>
      <c r="O537" s="182">
        <f t="shared" si="2525"/>
        <v>3.7214709659428618</v>
      </c>
      <c r="P537" s="182">
        <f t="shared" ref="P537" si="2526">P$533/(P536^P535)</f>
        <v>3.619478071041816</v>
      </c>
      <c r="Q537" s="182">
        <f t="shared" ref="Q537" si="2527">Q$533/(Q536^Q535)</f>
        <v>3.5515815451620787</v>
      </c>
      <c r="R537" s="182">
        <f t="shared" ref="R537" si="2528">R$533/(R536^R535)</f>
        <v>3.4455840460410707</v>
      </c>
      <c r="S537" s="182">
        <f t="shared" ref="S537" si="2529">S$533/(S536^S535)</f>
        <v>3.3781047487459634</v>
      </c>
      <c r="T537" s="182">
        <f t="shared" ref="T537" si="2530">T$533/(T536^T535)</f>
        <v>3.2840187344758531</v>
      </c>
      <c r="U537" s="182">
        <f t="shared" ref="U537" si="2531">U$533/(U536^U535)</f>
        <v>3.2179448372395445</v>
      </c>
      <c r="V537" s="182">
        <f t="shared" ref="V537" si="2532">V$533/(V536^V535)</f>
        <v>3.0935737270668189</v>
      </c>
      <c r="W537" s="182">
        <f t="shared" ref="W537" si="2533">W$533/(W536^W535)</f>
        <v>3.0280261815550946</v>
      </c>
      <c r="X537" s="182">
        <f t="shared" ref="X537" si="2534">X$533/(X536^X535)</f>
        <v>2.9325604230865321</v>
      </c>
      <c r="Y537" s="182">
        <f t="shared" ref="Y537" si="2535">Y$533/(Y536^Y535)</f>
        <v>146.60155747390425</v>
      </c>
    </row>
    <row r="538" spans="2:26">
      <c r="B538" s="135">
        <v>43646</v>
      </c>
    </row>
    <row r="539" spans="2:26">
      <c r="B539" t="s">
        <v>210</v>
      </c>
      <c r="G539" s="182">
        <f t="shared" ref="G539" si="2536">(G$532-$B538)/365</f>
        <v>0.24931506849315069</v>
      </c>
      <c r="H539" s="182">
        <f t="shared" ref="H539" si="2537">(H$532-$B538)/365</f>
        <v>0.74931506849315066</v>
      </c>
      <c r="I539" s="182">
        <f t="shared" ref="I539" si="2538">(I$532-$B538)/365</f>
        <v>1.2493150684931507</v>
      </c>
      <c r="J539" s="182">
        <f t="shared" ref="J539" si="2539">(J$532-$B538)/365</f>
        <v>1.7493150684931507</v>
      </c>
      <c r="K539" s="182">
        <f t="shared" ref="K539" si="2540">(K$532-$B538)/365</f>
        <v>2.2493150684931509</v>
      </c>
      <c r="L539" s="182">
        <f t="shared" ref="L539" si="2541">(L$532-$B538)/365</f>
        <v>2.7493150684931509</v>
      </c>
      <c r="M539" s="182">
        <f t="shared" ref="M539" si="2542">(M$532-$B538)/365</f>
        <v>3.2493150684931509</v>
      </c>
      <c r="N539" s="182">
        <f t="shared" ref="N539" si="2543">(N$532-$B538)/365</f>
        <v>3.7493150684931509</v>
      </c>
      <c r="O539" s="182">
        <f t="shared" ref="O539" si="2544">(O$532-$B538)/365</f>
        <v>4.2493150684931509</v>
      </c>
      <c r="P539" s="182">
        <f t="shared" ref="P539" si="2545">(P$532-$B538)/365</f>
        <v>4.7493150684931509</v>
      </c>
      <c r="Q539" s="182">
        <f t="shared" ref="Q539" si="2546">(Q$532-$B538)/365</f>
        <v>5.2493150684931509</v>
      </c>
      <c r="R539" s="182">
        <f t="shared" ref="R539" si="2547">(R$532-$B538)/365</f>
        <v>5.7493150684931509</v>
      </c>
      <c r="S539" s="182">
        <f t="shared" ref="S539" si="2548">(S$532-$B538)/365</f>
        <v>6.2493150684931509</v>
      </c>
      <c r="T539" s="182">
        <f t="shared" ref="T539" si="2549">(T$532-$B538)/365</f>
        <v>6.7493150684931509</v>
      </c>
      <c r="U539" s="182">
        <f t="shared" ref="U539" si="2550">(U$532-$B538)/365</f>
        <v>7.2493150684931509</v>
      </c>
      <c r="V539" s="182">
        <f t="shared" ref="V539" si="2551">(V$532-$B538)/365</f>
        <v>7.7493150684931509</v>
      </c>
      <c r="W539" s="182">
        <f t="shared" ref="W539" si="2552">(W$532-$B538)/365</f>
        <v>8.24931506849315</v>
      </c>
      <c r="X539" s="182">
        <f t="shared" ref="X539" si="2553">(X$532-$B538)/365</f>
        <v>8.74931506849315</v>
      </c>
      <c r="Y539" s="182">
        <f t="shared" ref="Y539" si="2554">(Y$532-$B538)/365</f>
        <v>8.7534246575342465</v>
      </c>
    </row>
    <row r="540" spans="2:26">
      <c r="B540" t="s">
        <v>211</v>
      </c>
      <c r="G540" s="183">
        <f>1+((INDEX('Yield Curve'!$B$48:$P$91,MATCH(ROUND(G539,0),'Yield Curve'!$B$48:$B$91,0),MATCH(YEAR($B538),'Yield Curve'!$B$48:$P$48,0)))/100)</f>
        <v>1.02305</v>
      </c>
      <c r="H540" s="183">
        <f>1+((INDEX('Yield Curve'!$B$48:$P$91,MATCH(ROUND(H539,0),'Yield Curve'!$B$48:$B$91,0),MATCH(YEAR($B538),'Yield Curve'!$B$48:$P$48,0)))/100)</f>
        <v>1.02305</v>
      </c>
      <c r="I540" s="183">
        <f>1+((INDEX('Yield Curve'!$B$48:$P$91,MATCH(ROUND(I539,0),'Yield Curve'!$B$48:$B$91,0),MATCH(YEAR($B538),'Yield Curve'!$B$48:$P$48,0)))/100)</f>
        <v>1.02305</v>
      </c>
      <c r="J540" s="183">
        <f>1+((INDEX('Yield Curve'!$B$48:$P$91,MATCH(ROUND(J539,0),'Yield Curve'!$B$48:$B$91,0),MATCH(YEAR($B538),'Yield Curve'!$B$48:$P$48,0)))/100)</f>
        <v>1.02305</v>
      </c>
      <c r="K540" s="183">
        <f>1+((INDEX('Yield Curve'!$B$48:$P$91,MATCH(ROUND(K539,0),'Yield Curve'!$B$48:$B$91,0),MATCH(YEAR($B538),'Yield Curve'!$B$48:$P$48,0)))/100)</f>
        <v>1.02305</v>
      </c>
      <c r="L540" s="183">
        <f>1+((INDEX('Yield Curve'!$B$48:$P$91,MATCH(ROUND(L539,0),'Yield Curve'!$B$48:$B$91,0),MATCH(YEAR($B538),'Yield Curve'!$B$48:$P$48,0)))/100)</f>
        <v>1.02305</v>
      </c>
      <c r="M540" s="183">
        <f>1+((INDEX('Yield Curve'!$B$48:$P$91,MATCH(ROUND(M539,0),'Yield Curve'!$B$48:$B$91,0),MATCH(YEAR($B538),'Yield Curve'!$B$48:$P$48,0)))/100)</f>
        <v>1.02305</v>
      </c>
      <c r="N540" s="183">
        <f>1+((INDEX('Yield Curve'!$B$48:$P$91,MATCH(ROUND(N539,0),'Yield Curve'!$B$48:$B$91,0),MATCH(YEAR($B538),'Yield Curve'!$B$48:$P$48,0)))/100)</f>
        <v>1.024575</v>
      </c>
      <c r="O540" s="183">
        <f>1+((INDEX('Yield Curve'!$B$48:$P$91,MATCH(ROUND(O539,0),'Yield Curve'!$B$48:$B$91,0),MATCH(YEAR($B538),'Yield Curve'!$B$48:$P$48,0)))/100)</f>
        <v>1.024575</v>
      </c>
      <c r="P540" s="183">
        <f>1+((INDEX('Yield Curve'!$B$48:$P$91,MATCH(ROUND(P539,0),'Yield Curve'!$B$48:$B$91,0),MATCH(YEAR($B538),'Yield Curve'!$B$48:$P$48,0)))/100)</f>
        <v>1.0261</v>
      </c>
      <c r="Q540" s="183">
        <f>1+((INDEX('Yield Curve'!$B$48:$P$91,MATCH(ROUND(Q539,0),'Yield Curve'!$B$48:$B$91,0),MATCH(YEAR($B538),'Yield Curve'!$B$48:$P$48,0)))/100)</f>
        <v>1.0261</v>
      </c>
      <c r="R540" s="183">
        <f>1+((INDEX('Yield Curve'!$B$48:$P$91,MATCH(ROUND(R539,0),'Yield Curve'!$B$48:$B$91,0),MATCH(YEAR($B538),'Yield Curve'!$B$48:$P$48,0)))/100)</f>
        <v>1.028375</v>
      </c>
      <c r="S540" s="183">
        <f>1+((INDEX('Yield Curve'!$B$48:$P$91,MATCH(ROUND(S539,0),'Yield Curve'!$B$48:$B$91,0),MATCH(YEAR($B538),'Yield Curve'!$B$48:$P$48,0)))/100)</f>
        <v>1.028375</v>
      </c>
      <c r="T540" s="183">
        <f>1+((INDEX('Yield Curve'!$B$48:$P$91,MATCH(ROUND(T539,0),'Yield Curve'!$B$48:$B$91,0),MATCH(YEAR($B538),'Yield Curve'!$B$48:$P$48,0)))/100)</f>
        <v>1.0306500000000001</v>
      </c>
      <c r="U540" s="183">
        <f>1+((INDEX('Yield Curve'!$B$48:$P$91,MATCH(ROUND(U539,0),'Yield Curve'!$B$48:$B$91,0),MATCH(YEAR($B538),'Yield Curve'!$B$48:$P$48,0)))/100)</f>
        <v>1.0306500000000001</v>
      </c>
      <c r="V540" s="183">
        <f>1+((INDEX('Yield Curve'!$B$48:$P$91,MATCH(ROUND(V539,0),'Yield Curve'!$B$48:$B$91,0),MATCH(YEAR($B538),'Yield Curve'!$B$48:$P$48,0)))/100)</f>
        <v>1.0318624999999999</v>
      </c>
      <c r="W540" s="183">
        <f>1+((INDEX('Yield Curve'!$B$48:$P$91,MATCH(ROUND(W539,0),'Yield Curve'!$B$48:$B$91,0),MATCH(YEAR($B538),'Yield Curve'!$B$48:$P$48,0)))/100)</f>
        <v>1.0318624999999999</v>
      </c>
      <c r="X540" s="183">
        <f>1+((INDEX('Yield Curve'!$B$48:$P$91,MATCH(ROUND(X539,0),'Yield Curve'!$B$48:$B$91,0),MATCH(YEAR($B538),'Yield Curve'!$B$48:$P$48,0)))/100)</f>
        <v>1.0342875</v>
      </c>
      <c r="Y540" s="183">
        <f>1+((INDEX('Yield Curve'!$B$48:$P$91,MATCH(ROUND(Y539,0),'Yield Curve'!$B$48:$B$91,0),MATCH(YEAR($B538),'Yield Curve'!$B$48:$P$48,0)))/100)</f>
        <v>1.0342875</v>
      </c>
    </row>
    <row r="541" spans="2:26">
      <c r="B541" t="s">
        <v>212</v>
      </c>
      <c r="G541" s="182">
        <f t="shared" ref="G541" si="2555">G$533/(G540^G539)</f>
        <v>4.4745058221997445</v>
      </c>
      <c r="H541" s="182">
        <f t="shared" ref="H541" si="2556">H$533/(H540^H539)</f>
        <v>4.4238118503975183</v>
      </c>
      <c r="I541" s="182">
        <f t="shared" ref="I541" si="2557">I$533/(I540^I539)</f>
        <v>4.3736922166069538</v>
      </c>
      <c r="J541" s="182">
        <f t="shared" ref="J541" si="2558">J$533/(J540^J539)</f>
        <v>4.324140413858089</v>
      </c>
      <c r="K541" s="182">
        <f t="shared" ref="K541" si="2559">K$533/(K540^K539)</f>
        <v>4.2751500089017673</v>
      </c>
      <c r="L541" s="182">
        <f t="shared" ref="L541" si="2560">L$533/(L540^L539)</f>
        <v>4.2267146413744099</v>
      </c>
      <c r="M541" s="182">
        <f t="shared" ref="M541" si="2561">M$533/(M540^M539)</f>
        <v>4.1788280229722572</v>
      </c>
      <c r="N541" s="182">
        <f t="shared" ref="N541" si="2562">N$533/(N540^N539)</f>
        <v>4.108475062949144</v>
      </c>
      <c r="O541" s="182">
        <f t="shared" ref="O541" si="2563">O$533/(O540^O539)</f>
        <v>4.0589039841106054</v>
      </c>
      <c r="P541" s="182">
        <f t="shared" ref="P541" si="2564">P$533/(P540^P539)</f>
        <v>3.9817057453664968</v>
      </c>
      <c r="Q541" s="182">
        <f t="shared" ref="Q541" si="2565">Q$533/(Q540^Q539)</f>
        <v>3.9307399978618438</v>
      </c>
      <c r="R541" s="182">
        <f t="shared" ref="R541" si="2566">R$533/(R540^R539)</f>
        <v>3.8313308132733432</v>
      </c>
      <c r="S541" s="182">
        <f t="shared" ref="S541" si="2567">S$533/(S540^S539)</f>
        <v>3.7781039014696916</v>
      </c>
      <c r="T541" s="182">
        <f t="shared" ref="T541" si="2568">T$533/(T540^T539)</f>
        <v>3.6704629344280075</v>
      </c>
      <c r="U541" s="182">
        <f t="shared" ref="U541" si="2569">U$533/(U540^U539)</f>
        <v>3.6154739687402797</v>
      </c>
      <c r="V541" s="182">
        <f t="shared" ref="V541" si="2570">V$533/(V540^V539)</f>
        <v>3.5290081756361671</v>
      </c>
      <c r="W541" s="182">
        <f t="shared" ref="W541" si="2571">W$533/(W540^W539)</f>
        <v>3.4740954762041762</v>
      </c>
      <c r="X541" s="182">
        <f t="shared" ref="X541" si="2572">X$533/(X540^X539)</f>
        <v>3.3505135377783857</v>
      </c>
      <c r="Y541" s="182">
        <f t="shared" ref="Y541" si="2573">Y$533/(Y540^Y539)</f>
        <v>167.50246853665408</v>
      </c>
    </row>
    <row r="542" spans="2:26">
      <c r="B542" s="135">
        <v>44012</v>
      </c>
    </row>
    <row r="543" spans="2:26">
      <c r="B543" t="s">
        <v>210</v>
      </c>
      <c r="I543" s="182">
        <f t="shared" ref="I543" si="2574">(I$532-$B542)/365</f>
        <v>0.24657534246575341</v>
      </c>
      <c r="J543" s="182">
        <f t="shared" ref="J543" si="2575">(J$532-$B542)/365</f>
        <v>0.74657534246575341</v>
      </c>
      <c r="K543" s="182">
        <f t="shared" ref="K543" si="2576">(K$532-$B542)/365</f>
        <v>1.2465753424657535</v>
      </c>
      <c r="L543" s="182">
        <f t="shared" ref="L543" si="2577">(L$532-$B542)/365</f>
        <v>1.7465753424657535</v>
      </c>
      <c r="M543" s="182">
        <f t="shared" ref="M543" si="2578">(M$532-$B542)/365</f>
        <v>2.2465753424657535</v>
      </c>
      <c r="N543" s="182">
        <f t="shared" ref="N543" si="2579">(N$532-$B542)/365</f>
        <v>2.7465753424657535</v>
      </c>
      <c r="O543" s="182">
        <f t="shared" ref="O543" si="2580">(O$532-$B542)/365</f>
        <v>3.2465753424657535</v>
      </c>
      <c r="P543" s="182">
        <f t="shared" ref="P543" si="2581">(P$532-$B542)/365</f>
        <v>3.7465753424657535</v>
      </c>
      <c r="Q543" s="182">
        <f t="shared" ref="Q543" si="2582">(Q$532-$B542)/365</f>
        <v>4.2465753424657535</v>
      </c>
      <c r="R543" s="182">
        <f t="shared" ref="R543" si="2583">(R$532-$B542)/365</f>
        <v>4.7465753424657535</v>
      </c>
      <c r="S543" s="182">
        <f t="shared" ref="S543" si="2584">(S$532-$B542)/365</f>
        <v>5.2465753424657535</v>
      </c>
      <c r="T543" s="182">
        <f t="shared" ref="T543" si="2585">(T$532-$B542)/365</f>
        <v>5.7465753424657535</v>
      </c>
      <c r="U543" s="182">
        <f t="shared" ref="U543" si="2586">(U$532-$B542)/365</f>
        <v>6.2465753424657535</v>
      </c>
      <c r="V543" s="182">
        <f t="shared" ref="V543" si="2587">(V$532-$B542)/365</f>
        <v>6.7465753424657535</v>
      </c>
      <c r="W543" s="182">
        <f t="shared" ref="W543" si="2588">(W$532-$B542)/365</f>
        <v>7.2465753424657535</v>
      </c>
      <c r="X543" s="182">
        <f t="shared" ref="X543" si="2589">(X$532-$B542)/365</f>
        <v>7.7465753424657535</v>
      </c>
      <c r="Y543" s="182">
        <f t="shared" ref="Y543" si="2590">(Y$532-$B542)/365</f>
        <v>7.7506849315068491</v>
      </c>
    </row>
    <row r="544" spans="2:26">
      <c r="B544" t="s">
        <v>211</v>
      </c>
      <c r="I544" s="183">
        <f>1+((INDEX('Yield Curve'!$B$48:$P$91,MATCH(ROUND(I543,0),'Yield Curve'!$B$48:$B$91,0),MATCH(YEAR($B542),'Yield Curve'!$B$48:$P$48,0)))/100)</f>
        <v>1.02105</v>
      </c>
      <c r="J544" s="183">
        <f>1+((INDEX('Yield Curve'!$B$48:$P$91,MATCH(ROUND(J543,0),'Yield Curve'!$B$48:$B$91,0),MATCH(YEAR($B542),'Yield Curve'!$B$48:$P$48,0)))/100)</f>
        <v>1.02105</v>
      </c>
      <c r="K544" s="183">
        <f>1+((INDEX('Yield Curve'!$B$48:$P$91,MATCH(ROUND(K543,0),'Yield Curve'!$B$48:$B$91,0),MATCH(YEAR($B542),'Yield Curve'!$B$48:$P$48,0)))/100)</f>
        <v>1.02105</v>
      </c>
      <c r="L544" s="183">
        <f>1+((INDEX('Yield Curve'!$B$48:$P$91,MATCH(ROUND(L543,0),'Yield Curve'!$B$48:$B$91,0),MATCH(YEAR($B542),'Yield Curve'!$B$48:$P$48,0)))/100)</f>
        <v>1.02105</v>
      </c>
      <c r="M544" s="183">
        <f>1+((INDEX('Yield Curve'!$B$48:$P$91,MATCH(ROUND(M543,0),'Yield Curve'!$B$48:$B$91,0),MATCH(YEAR($B542),'Yield Curve'!$B$48:$P$48,0)))/100)</f>
        <v>1.02105</v>
      </c>
      <c r="N544" s="183">
        <f>1+((INDEX('Yield Curve'!$B$48:$P$91,MATCH(ROUND(N543,0),'Yield Curve'!$B$48:$B$91,0),MATCH(YEAR($B542),'Yield Curve'!$B$48:$P$48,0)))/100)</f>
        <v>1.02105</v>
      </c>
      <c r="O544" s="183">
        <f>1+((INDEX('Yield Curve'!$B$48:$P$91,MATCH(ROUND(O543,0),'Yield Curve'!$B$48:$B$91,0),MATCH(YEAR($B542),'Yield Curve'!$B$48:$P$48,0)))/100)</f>
        <v>1.02105</v>
      </c>
      <c r="P544" s="183">
        <f>1+((INDEX('Yield Curve'!$B$48:$P$91,MATCH(ROUND(P543,0),'Yield Curve'!$B$48:$B$91,0),MATCH(YEAR($B542),'Yield Curve'!$B$48:$P$48,0)))/100)</f>
        <v>1.0229999999999999</v>
      </c>
      <c r="Q544" s="183">
        <f>1+((INDEX('Yield Curve'!$B$48:$P$91,MATCH(ROUND(Q543,0),'Yield Curve'!$B$48:$B$91,0),MATCH(YEAR($B542),'Yield Curve'!$B$48:$P$48,0)))/100)</f>
        <v>1.0229999999999999</v>
      </c>
      <c r="R544" s="183">
        <f>1+((INDEX('Yield Curve'!$B$48:$P$91,MATCH(ROUND(R543,0),'Yield Curve'!$B$48:$B$91,0),MATCH(YEAR($B542),'Yield Curve'!$B$48:$P$48,0)))/100)</f>
        <v>1.02495</v>
      </c>
      <c r="S544" s="183">
        <f>1+((INDEX('Yield Curve'!$B$48:$P$91,MATCH(ROUND(S543,0),'Yield Curve'!$B$48:$B$91,0),MATCH(YEAR($B542),'Yield Curve'!$B$48:$P$48,0)))/100)</f>
        <v>1.02495</v>
      </c>
      <c r="T544" s="183">
        <f>1+((INDEX('Yield Curve'!$B$48:$P$91,MATCH(ROUND(T543,0),'Yield Curve'!$B$48:$B$91,0),MATCH(YEAR($B542),'Yield Curve'!$B$48:$P$48,0)))/100)</f>
        <v>1.0282249999999999</v>
      </c>
      <c r="U544" s="183">
        <f>1+((INDEX('Yield Curve'!$B$48:$P$91,MATCH(ROUND(U543,0),'Yield Curve'!$B$48:$B$91,0),MATCH(YEAR($B542),'Yield Curve'!$B$48:$P$48,0)))/100)</f>
        <v>1.0282249999999999</v>
      </c>
      <c r="V544" s="183">
        <f>1+((INDEX('Yield Curve'!$B$48:$P$91,MATCH(ROUND(V543,0),'Yield Curve'!$B$48:$B$91,0),MATCH(YEAR($B542),'Yield Curve'!$B$48:$P$48,0)))/100)</f>
        <v>1.0315000000000001</v>
      </c>
      <c r="W544" s="183">
        <f>1+((INDEX('Yield Curve'!$B$48:$P$91,MATCH(ROUND(W543,0),'Yield Curve'!$B$48:$B$91,0),MATCH(YEAR($B542),'Yield Curve'!$B$48:$P$48,0)))/100)</f>
        <v>1.0315000000000001</v>
      </c>
      <c r="X544" s="183">
        <f>1+((INDEX('Yield Curve'!$B$48:$P$91,MATCH(ROUND(X543,0),'Yield Curve'!$B$48:$B$91,0),MATCH(YEAR($B542),'Yield Curve'!$B$48:$P$48,0)))/100)</f>
        <v>1.0322499999999999</v>
      </c>
      <c r="Y544" s="183">
        <f>1+((INDEX('Yield Curve'!$B$48:$P$91,MATCH(ROUND(Y543,0),'Yield Curve'!$B$48:$B$91,0),MATCH(YEAR($B542),'Yield Curve'!$B$48:$P$48,0)))/100)</f>
        <v>1.0322499999999999</v>
      </c>
    </row>
    <row r="545" spans="2:25">
      <c r="B545" t="s">
        <v>212</v>
      </c>
      <c r="I545" s="182">
        <f t="shared" ref="I545" si="2591">I$533/(I544^I543)</f>
        <v>4.4769448477679408</v>
      </c>
      <c r="J545" s="182">
        <f t="shared" ref="J545" si="2592">J$533/(J544^J543)</f>
        <v>4.4305560943499893</v>
      </c>
      <c r="K545" s="182">
        <f t="shared" ref="K545" si="2593">K$533/(K544^K543)</f>
        <v>4.3846480072160432</v>
      </c>
      <c r="L545" s="182">
        <f t="shared" ref="L545" si="2594">L$533/(L544^L543)</f>
        <v>4.3392156058469116</v>
      </c>
      <c r="M545" s="182">
        <f t="shared" ref="M545" si="2595">M$533/(M544^M543)</f>
        <v>4.2942539613300452</v>
      </c>
      <c r="N545" s="182">
        <f t="shared" ref="N545" si="2596">N$533/(N544^N543)</f>
        <v>4.2497581958247999</v>
      </c>
      <c r="O545" s="182">
        <f t="shared" ref="O545" si="2597">O$533/(O544^O543)</f>
        <v>4.2057234820332452</v>
      </c>
      <c r="P545" s="182">
        <f t="shared" ref="P545" si="2598">P$533/(P544^P543)</f>
        <v>4.1324985324793486</v>
      </c>
      <c r="Q545" s="182">
        <f t="shared" ref="Q545" si="2599">Q$533/(Q544^Q543)</f>
        <v>4.0857791810221782</v>
      </c>
      <c r="R545" s="182">
        <f t="shared" ref="R545" si="2600">R$533/(R544^R543)</f>
        <v>4.0032382520854854</v>
      </c>
      <c r="S545" s="182">
        <f t="shared" ref="S545" si="2601">S$533/(S544^S543)</f>
        <v>3.9542133494288176</v>
      </c>
      <c r="T545" s="182">
        <f t="shared" ref="T545" si="2602">T$533/(T544^T543)</f>
        <v>3.8348377810845262</v>
      </c>
      <c r="U545" s="182">
        <f t="shared" ref="U545" si="2603">U$533/(U544^U543)</f>
        <v>3.7818379703439788</v>
      </c>
      <c r="V545" s="182">
        <f t="shared" ref="V545" si="2604">V$533/(V544^V543)</f>
        <v>3.6504072910804624</v>
      </c>
      <c r="W545" s="182">
        <f t="shared" ref="W545" si="2605">W$533/(W544^W543)</f>
        <v>3.5942369704407877</v>
      </c>
      <c r="X545" s="182">
        <f t="shared" ref="X545" si="2606">X$533/(X544^X543)</f>
        <v>3.5190611441203532</v>
      </c>
      <c r="Y545" s="182">
        <f t="shared" ref="Y545" si="2607">Y$533/(Y544^Y543)</f>
        <v>175.93010703483341</v>
      </c>
    </row>
    <row r="546" spans="2:25">
      <c r="B546" s="135">
        <v>44377</v>
      </c>
    </row>
    <row r="547" spans="2:25">
      <c r="B547" t="s">
        <v>210</v>
      </c>
      <c r="K547" s="182">
        <f t="shared" ref="K547" si="2608">(K$532-$B546)/365</f>
        <v>0.24657534246575341</v>
      </c>
      <c r="L547" s="182">
        <f t="shared" ref="L547" si="2609">(L$532-$B546)/365</f>
        <v>0.74657534246575341</v>
      </c>
      <c r="M547" s="182">
        <f t="shared" ref="M547" si="2610">(M$532-$B546)/365</f>
        <v>1.2465753424657535</v>
      </c>
      <c r="N547" s="182">
        <f t="shared" ref="N547" si="2611">(N$532-$B546)/365</f>
        <v>1.7465753424657535</v>
      </c>
      <c r="O547" s="182">
        <f t="shared" ref="O547" si="2612">(O$532-$B546)/365</f>
        <v>2.2465753424657535</v>
      </c>
      <c r="P547" s="182">
        <f t="shared" ref="P547" si="2613">(P$532-$B546)/365</f>
        <v>2.7465753424657535</v>
      </c>
      <c r="Q547" s="182">
        <f t="shared" ref="Q547" si="2614">(Q$532-$B546)/365</f>
        <v>3.2465753424657535</v>
      </c>
      <c r="R547" s="182">
        <f t="shared" ref="R547" si="2615">(R$532-$B546)/365</f>
        <v>3.7465753424657535</v>
      </c>
      <c r="S547" s="182">
        <f t="shared" ref="S547" si="2616">(S$532-$B546)/365</f>
        <v>4.2465753424657535</v>
      </c>
      <c r="T547" s="182">
        <f t="shared" ref="T547" si="2617">(T$532-$B546)/365</f>
        <v>4.7465753424657535</v>
      </c>
      <c r="U547" s="182">
        <f t="shared" ref="U547" si="2618">(U$532-$B546)/365</f>
        <v>5.2465753424657535</v>
      </c>
      <c r="V547" s="182">
        <f t="shared" ref="V547" si="2619">(V$532-$B546)/365</f>
        <v>5.7465753424657535</v>
      </c>
      <c r="W547" s="182">
        <f t="shared" ref="W547" si="2620">(W$532-$B546)/365</f>
        <v>6.2465753424657535</v>
      </c>
      <c r="X547" s="182">
        <f t="shared" ref="X547" si="2621">(X$532-$B546)/365</f>
        <v>6.7465753424657535</v>
      </c>
      <c r="Y547" s="182">
        <f t="shared" ref="Y547" si="2622">(Y$532-$B546)/365</f>
        <v>6.7506849315068491</v>
      </c>
    </row>
    <row r="548" spans="2:25">
      <c r="B548" t="s">
        <v>211</v>
      </c>
      <c r="K548" s="183">
        <f>1+((INDEX('Yield Curve'!$B$48:$P$91,MATCH(ROUND(K547,0),'Yield Curve'!$B$48:$B$91,0),MATCH(YEAR($B546),'Yield Curve'!$B$48:$P$48,0)))/100)</f>
        <v>1.0129999999999999</v>
      </c>
      <c r="L548" s="183">
        <f>1+((INDEX('Yield Curve'!$B$48:$P$91,MATCH(ROUND(L547,0),'Yield Curve'!$B$48:$B$91,0),MATCH(YEAR($B546),'Yield Curve'!$B$48:$P$48,0)))/100)</f>
        <v>1.0129999999999999</v>
      </c>
      <c r="M548" s="183">
        <f>1+((INDEX('Yield Curve'!$B$48:$P$91,MATCH(ROUND(M547,0),'Yield Curve'!$B$48:$B$91,0),MATCH(YEAR($B546),'Yield Curve'!$B$48:$P$48,0)))/100)</f>
        <v>1.0129999999999999</v>
      </c>
      <c r="N548" s="183">
        <f>1+((INDEX('Yield Curve'!$B$48:$P$91,MATCH(ROUND(N547,0),'Yield Curve'!$B$48:$B$91,0),MATCH(YEAR($B546),'Yield Curve'!$B$48:$P$48,0)))/100)</f>
        <v>1.0129999999999999</v>
      </c>
      <c r="O548" s="183">
        <f>1+((INDEX('Yield Curve'!$B$48:$P$91,MATCH(ROUND(O547,0),'Yield Curve'!$B$48:$B$91,0),MATCH(YEAR($B546),'Yield Curve'!$B$48:$P$48,0)))/100)</f>
        <v>1.0129999999999999</v>
      </c>
      <c r="P548" s="183">
        <f>1+((INDEX('Yield Curve'!$B$48:$P$91,MATCH(ROUND(P547,0),'Yield Curve'!$B$48:$B$91,0),MATCH(YEAR($B546),'Yield Curve'!$B$48:$P$48,0)))/100)</f>
        <v>1.0129999999999999</v>
      </c>
      <c r="Q548" s="183">
        <f>1+((INDEX('Yield Curve'!$B$48:$P$91,MATCH(ROUND(Q547,0),'Yield Curve'!$B$48:$B$91,0),MATCH(YEAR($B546),'Yield Curve'!$B$48:$P$48,0)))/100)</f>
        <v>1.0129999999999999</v>
      </c>
      <c r="R548" s="183">
        <f>1+((INDEX('Yield Curve'!$B$48:$P$91,MATCH(ROUND(R547,0),'Yield Curve'!$B$48:$B$91,0),MATCH(YEAR($B546),'Yield Curve'!$B$48:$P$48,0)))/100)</f>
        <v>1.0161249999999999</v>
      </c>
      <c r="S548" s="183">
        <f>1+((INDEX('Yield Curve'!$B$48:$P$91,MATCH(ROUND(S547,0),'Yield Curve'!$B$48:$B$91,0),MATCH(YEAR($B546),'Yield Curve'!$B$48:$P$48,0)))/100)</f>
        <v>1.0161249999999999</v>
      </c>
      <c r="T548" s="183">
        <f>1+((INDEX('Yield Curve'!$B$48:$P$91,MATCH(ROUND(T547,0),'Yield Curve'!$B$48:$B$91,0),MATCH(YEAR($B546),'Yield Curve'!$B$48:$P$48,0)))/100)</f>
        <v>1.01925</v>
      </c>
      <c r="U548" s="183">
        <f>1+((INDEX('Yield Curve'!$B$48:$P$91,MATCH(ROUND(U547,0),'Yield Curve'!$B$48:$B$91,0),MATCH(YEAR($B546),'Yield Curve'!$B$48:$P$48,0)))/100)</f>
        <v>1.01925</v>
      </c>
      <c r="V548" s="183">
        <f>1+((INDEX('Yield Curve'!$B$48:$P$91,MATCH(ROUND(V547,0),'Yield Curve'!$B$48:$B$91,0),MATCH(YEAR($B546),'Yield Curve'!$B$48:$P$48,0)))/100)</f>
        <v>1.022775</v>
      </c>
      <c r="W548" s="183">
        <f>1+((INDEX('Yield Curve'!$B$48:$P$91,MATCH(ROUND(W547,0),'Yield Curve'!$B$48:$B$91,0),MATCH(YEAR($B546),'Yield Curve'!$B$48:$P$48,0)))/100)</f>
        <v>1.022775</v>
      </c>
      <c r="X548" s="183">
        <f>1+((INDEX('Yield Curve'!$B$48:$P$91,MATCH(ROUND(X547,0),'Yield Curve'!$B$48:$B$91,0),MATCH(YEAR($B546),'Yield Curve'!$B$48:$P$48,0)))/100)</f>
        <v>1.0263</v>
      </c>
      <c r="Y548" s="183">
        <f>1+((INDEX('Yield Curve'!$B$48:$P$91,MATCH(ROUND(Y547,0),'Yield Curve'!$B$48:$B$91,0),MATCH(YEAR($B546),'Yield Curve'!$B$48:$P$48,0)))/100)</f>
        <v>1.0263</v>
      </c>
    </row>
    <row r="549" spans="2:25">
      <c r="B549" t="s">
        <v>212</v>
      </c>
      <c r="K549" s="182">
        <f t="shared" ref="K549" si="2623">K$533/(K548^K547)</f>
        <v>4.4856910957479394</v>
      </c>
      <c r="L549" s="182">
        <f t="shared" ref="L549" si="2624">L$533/(L548^L547)</f>
        <v>4.4568153392181031</v>
      </c>
      <c r="M549" s="182">
        <f t="shared" ref="M549" si="2625">M$533/(M548^M547)</f>
        <v>4.4281254647067518</v>
      </c>
      <c r="N549" s="182">
        <f t="shared" ref="N549" si="2626">N$533/(N548^N547)</f>
        <v>4.3996202756348515</v>
      </c>
      <c r="O549" s="182">
        <f t="shared" ref="O549" si="2627">O$533/(O548^O547)</f>
        <v>4.3712985831261131</v>
      </c>
      <c r="P549" s="182">
        <f t="shared" ref="P549" si="2628">P$533/(P548^P547)</f>
        <v>4.3431592059574058</v>
      </c>
      <c r="Q549" s="182">
        <f t="shared" ref="Q549" si="2629">Q$533/(Q548^Q547)</f>
        <v>4.3152009705094896</v>
      </c>
      <c r="R549" s="182">
        <f t="shared" ref="R549" si="2630">R$533/(R548^R547)</f>
        <v>4.2382302142537354</v>
      </c>
      <c r="S549" s="182">
        <f t="shared" ref="S549" si="2631">S$533/(S548^S547)</f>
        <v>4.2044672595830335</v>
      </c>
      <c r="T549" s="182">
        <f t="shared" ref="T549" si="2632">T$533/(T548^T547)</f>
        <v>4.1106211440545426</v>
      </c>
      <c r="U549" s="182">
        <f t="shared" ref="U549" si="2633">U$533/(U548^U547)</f>
        <v>4.0716186197738562</v>
      </c>
      <c r="V549" s="182">
        <f t="shared" ref="V549" si="2634">V$533/(V548^V547)</f>
        <v>3.9537609699536871</v>
      </c>
      <c r="W549" s="182">
        <f t="shared" ref="W549" si="2635">W$533/(W548^W547)</f>
        <v>3.9094922627392172</v>
      </c>
      <c r="X549" s="182">
        <f t="shared" ref="X549" si="2636">X$533/(X548^X547)</f>
        <v>3.777021042610901</v>
      </c>
      <c r="Y549" s="182">
        <f t="shared" ref="Y549" si="2637">Y$533/(Y548^Y547)</f>
        <v>188.83090556476856</v>
      </c>
    </row>
    <row r="550" spans="2:25">
      <c r="B550" s="135">
        <v>44552</v>
      </c>
    </row>
    <row r="551" spans="2:25">
      <c r="B551" t="s">
        <v>210</v>
      </c>
      <c r="L551" s="182">
        <f t="shared" ref="L551:M551" si="2638">(L$532-$B550)/365</f>
        <v>0.26712328767123289</v>
      </c>
      <c r="M551" s="182">
        <f t="shared" si="2638"/>
        <v>0.76712328767123283</v>
      </c>
      <c r="N551" s="182">
        <f t="shared" ref="N551" si="2639">(N$532-$B550)/365</f>
        <v>1.2671232876712328</v>
      </c>
      <c r="O551" s="182">
        <f t="shared" ref="O551" si="2640">(O$532-$B550)/365</f>
        <v>1.7671232876712328</v>
      </c>
      <c r="P551" s="182">
        <f t="shared" ref="P551" si="2641">(P$532-$B550)/365</f>
        <v>2.2671232876712328</v>
      </c>
      <c r="Q551" s="182">
        <f t="shared" ref="Q551" si="2642">(Q$532-$B550)/365</f>
        <v>2.7671232876712328</v>
      </c>
      <c r="R551" s="182">
        <f t="shared" ref="R551" si="2643">(R$532-$B550)/365</f>
        <v>3.2671232876712328</v>
      </c>
      <c r="S551" s="182">
        <f t="shared" ref="S551" si="2644">(S$532-$B550)/365</f>
        <v>3.7671232876712328</v>
      </c>
      <c r="T551" s="182">
        <f t="shared" ref="T551" si="2645">(T$532-$B550)/365</f>
        <v>4.2671232876712333</v>
      </c>
      <c r="U551" s="182">
        <f t="shared" ref="U551" si="2646">(U$532-$B550)/365</f>
        <v>4.7671232876712333</v>
      </c>
      <c r="V551" s="182">
        <f t="shared" ref="V551" si="2647">(V$532-$B550)/365</f>
        <v>5.2671232876712333</v>
      </c>
      <c r="W551" s="182">
        <f t="shared" ref="W551" si="2648">(W$532-$B550)/365</f>
        <v>5.7671232876712333</v>
      </c>
      <c r="X551" s="182">
        <f t="shared" ref="X551" si="2649">(X$532-$B550)/365</f>
        <v>6.2671232876712333</v>
      </c>
      <c r="Y551" s="182">
        <f t="shared" ref="Y551" si="2650">(Y$532-$B550)/365</f>
        <v>6.2712328767123289</v>
      </c>
    </row>
    <row r="552" spans="2:25">
      <c r="B552" t="s">
        <v>211</v>
      </c>
      <c r="L552" s="183">
        <f>1+((INDEX('Yield Curve'!$B$48:$P$91,MATCH(ROUND(L551,0),'Yield Curve'!$B$48:$B$91,0),MATCH(YEAR($B550)+1,'Yield Curve'!$B$48:$P$48,0)))/100)</f>
        <v>1.0212000000000001</v>
      </c>
      <c r="M552" s="183">
        <f>1+((INDEX('Yield Curve'!$B$48:$P$91,MATCH(ROUND(M551,0),'Yield Curve'!$B$48:$B$91,0),MATCH(YEAR($B550)+1,'Yield Curve'!$B$48:$P$48,0)))/100)</f>
        <v>1.0212000000000001</v>
      </c>
      <c r="N552" s="183">
        <f>1+((INDEX('Yield Curve'!$B$48:$P$91,MATCH(ROUND(N551,0),'Yield Curve'!$B$48:$B$91,0),MATCH(YEAR($B550)+1,'Yield Curve'!$B$48:$P$48,0)))/100)</f>
        <v>1.0212000000000001</v>
      </c>
      <c r="O552" s="183">
        <f>1+((INDEX('Yield Curve'!$B$48:$P$91,MATCH(ROUND(O551,0),'Yield Curve'!$B$48:$B$91,0),MATCH(YEAR($B550)+1,'Yield Curve'!$B$48:$P$48,0)))/100)</f>
        <v>1.0212000000000001</v>
      </c>
      <c r="P552" s="183">
        <f>1+((INDEX('Yield Curve'!$B$48:$P$91,MATCH(ROUND(P551,0),'Yield Curve'!$B$48:$B$91,0),MATCH(YEAR($B550)+1,'Yield Curve'!$B$48:$P$48,0)))/100)</f>
        <v>1.0212000000000001</v>
      </c>
      <c r="Q552" s="183">
        <f>1+((INDEX('Yield Curve'!$B$48:$P$91,MATCH(ROUND(Q551,0),'Yield Curve'!$B$48:$B$91,0),MATCH(YEAR($B550)+1,'Yield Curve'!$B$48:$P$48,0)))/100)</f>
        <v>1.0212000000000001</v>
      </c>
      <c r="R552" s="183">
        <f>1+((INDEX('Yield Curve'!$B$48:$P$91,MATCH(ROUND(R551,0),'Yield Curve'!$B$48:$B$91,0),MATCH(YEAR($B550)+1,'Yield Curve'!$B$48:$P$48,0)))/100)</f>
        <v>1.0212000000000001</v>
      </c>
      <c r="S552" s="183">
        <f>1+((INDEX('Yield Curve'!$B$48:$P$91,MATCH(ROUND(S551,0),'Yield Curve'!$B$48:$B$91,0),MATCH(YEAR($B550)+1,'Yield Curve'!$B$48:$P$48,0)))/100)</f>
        <v>1.0245</v>
      </c>
      <c r="T552" s="183">
        <f>1+((INDEX('Yield Curve'!$B$48:$P$91,MATCH(ROUND(T551,0),'Yield Curve'!$B$48:$B$91,0),MATCH(YEAR($B550)+1,'Yield Curve'!$B$48:$P$48,0)))/100)</f>
        <v>1.0245</v>
      </c>
      <c r="U552" s="183">
        <f>1+((INDEX('Yield Curve'!$B$48:$P$91,MATCH(ROUND(U551,0),'Yield Curve'!$B$48:$B$91,0),MATCH(YEAR($B550)+1,'Yield Curve'!$B$48:$P$48,0)))/100)</f>
        <v>1.0278</v>
      </c>
      <c r="V552" s="183">
        <f>1+((INDEX('Yield Curve'!$B$48:$P$91,MATCH(ROUND(V551,0),'Yield Curve'!$B$48:$B$91,0),MATCH(YEAR($B550)+1,'Yield Curve'!$B$48:$P$48,0)))/100)</f>
        <v>1.0278</v>
      </c>
      <c r="W552" s="183">
        <f>1+((INDEX('Yield Curve'!$B$48:$P$91,MATCH(ROUND(W551,0),'Yield Curve'!$B$48:$B$91,0),MATCH(YEAR($B550)+1,'Yield Curve'!$B$48:$P$48,0)))/100)</f>
        <v>1.030375</v>
      </c>
      <c r="X552" s="183">
        <f>1+((INDEX('Yield Curve'!$B$48:$P$91,MATCH(ROUND(X551,0),'Yield Curve'!$B$48:$B$91,0),MATCH(YEAR($B550)+1,'Yield Curve'!$B$48:$P$48,0)))/100)</f>
        <v>1.030375</v>
      </c>
      <c r="Y552" s="183">
        <f>1+((INDEX('Yield Curve'!$B$48:$P$91,MATCH(ROUND(Y551,0),'Yield Curve'!$B$48:$B$91,0),MATCH(YEAR($B550)+1,'Yield Curve'!$B$48:$P$48,0)))/100)</f>
        <v>1.030375</v>
      </c>
    </row>
    <row r="553" spans="2:25">
      <c r="B553" t="s">
        <v>212</v>
      </c>
      <c r="L553" s="182">
        <f t="shared" ref="L553:M553" si="2651">L$533/(L552^L551)</f>
        <v>4.4748533305453053</v>
      </c>
      <c r="M553" s="182">
        <f t="shared" si="2651"/>
        <v>4.4281609955023251</v>
      </c>
      <c r="N553" s="182">
        <f t="shared" ref="N553" si="2652">N$533/(N552^N551)</f>
        <v>4.381955866182242</v>
      </c>
      <c r="O553" s="182">
        <f t="shared" ref="O553" si="2653">O$533/(O552^O551)</f>
        <v>4.3362328588937764</v>
      </c>
      <c r="P553" s="182">
        <f t="shared" ref="P553" si="2654">P$533/(P552^P551)</f>
        <v>4.2909869429908349</v>
      </c>
      <c r="Q553" s="182">
        <f t="shared" ref="Q553" si="2655">Q$533/(Q552^Q551)</f>
        <v>4.2462131403190133</v>
      </c>
      <c r="R553" s="182">
        <f t="shared" ref="R553" si="2656">R$533/(R552^R551)</f>
        <v>4.2019065246678764</v>
      </c>
      <c r="S553" s="182">
        <f t="shared" ref="S553" si="2657">S$533/(S552^S551)</f>
        <v>4.1078318147312487</v>
      </c>
      <c r="T553" s="182">
        <f t="shared" ref="T553" si="2658">T$533/(T552^T551)</f>
        <v>4.0584170400273081</v>
      </c>
      <c r="U553" s="182">
        <f t="shared" ref="U553" si="2659">U$533/(U552^U551)</f>
        <v>3.9485958592481141</v>
      </c>
      <c r="V553" s="182">
        <f t="shared" ref="V553" si="2660">V$533/(V552^V551)</f>
        <v>3.8948288572007859</v>
      </c>
      <c r="W553" s="182">
        <f t="shared" ref="W553" si="2661">W$533/(W552^W551)</f>
        <v>3.7867526882544618</v>
      </c>
      <c r="X553" s="182">
        <f t="shared" ref="X553" si="2662">X$533/(X552^X551)</f>
        <v>3.7305192553254427</v>
      </c>
      <c r="Y553" s="182">
        <f t="shared" ref="Y553" si="2663">Y$533/(Y552^Y551)</f>
        <v>186.50302699175231</v>
      </c>
    </row>
    <row r="555" spans="2:25">
      <c r="B555" s="5" t="str">
        <f>'VPN Bonds'!A99</f>
        <v>31368410961</v>
      </c>
      <c r="C555" t="s">
        <v>213</v>
      </c>
    </row>
    <row r="556" spans="2:25">
      <c r="B556" t="s">
        <v>66</v>
      </c>
      <c r="D556" s="180">
        <f>VLOOKUP(B555,'VPN Bonds'!$A$85:$K$104,4,FALSE)</f>
        <v>42965</v>
      </c>
      <c r="E556" s="180">
        <f>VLOOKUP(B555,'VPN Bonds'!$A$85:$K$104,10,FALSE)</f>
        <v>43149</v>
      </c>
      <c r="F556" s="180">
        <f>IF(E556+VLOOKUP($B555,'VPN Bonds'!$A$85:$K$104,9,FALSE)*365 &lt; VLOOKUP($B555,'VPN Bonds'!$A$85:$K$104,5,FALSE), E556+VLOOKUP($B555,'VPN Bonds'!$A$85:$K$104,9,FALSE)*365, VLOOKUP($B555,'VPN Bonds'!$A$85:$K$104,5,FALSE))</f>
        <v>43331.5</v>
      </c>
      <c r="G556" s="180">
        <f>IF(F556+VLOOKUP($B555,'VPN Bonds'!$A$85:$K$104,9,FALSE)*365 &lt; VLOOKUP($B555,'VPN Bonds'!$A$85:$K$104,5,FALSE), F556+VLOOKUP($B555,'VPN Bonds'!$A$85:$K$104,9,FALSE)*365, VLOOKUP($B555,'VPN Bonds'!$A$85:$K$104,5,FALSE))</f>
        <v>43514</v>
      </c>
      <c r="H556" s="180">
        <f>IF(G556+VLOOKUP($B555,'VPN Bonds'!$A$85:$K$104,9,FALSE)*365 &lt; VLOOKUP($B555,'VPN Bonds'!$A$85:$K$104,5,FALSE), G556+VLOOKUP($B555,'VPN Bonds'!$A$85:$K$104,9,FALSE)*365, VLOOKUP($B555,'VPN Bonds'!$A$85:$K$104,5,FALSE))</f>
        <v>43696.5</v>
      </c>
      <c r="I556" s="180">
        <f>IF(H556+VLOOKUP($B555,'VPN Bonds'!$A$85:$K$104,9,FALSE)*365 &lt; VLOOKUP($B555,'VPN Bonds'!$A$85:$K$104,5,FALSE), H556+VLOOKUP($B555,'VPN Bonds'!$A$85:$K$104,9,FALSE)*365, VLOOKUP($B555,'VPN Bonds'!$A$85:$K$104,5,FALSE))</f>
        <v>43879</v>
      </c>
      <c r="J556" s="180">
        <f>IF(I556+VLOOKUP($B555,'VPN Bonds'!$A$85:$K$104,9,FALSE)*365 &lt; VLOOKUP($B555,'VPN Bonds'!$A$85:$K$104,5,FALSE), I556+VLOOKUP($B555,'VPN Bonds'!$A$85:$K$104,9,FALSE)*365, VLOOKUP($B555,'VPN Bonds'!$A$85:$K$104,5,FALSE))</f>
        <v>44061.5</v>
      </c>
      <c r="K556" s="180">
        <f>IF(J556+VLOOKUP($B555,'VPN Bonds'!$A$85:$K$104,9,FALSE)*365 &lt; VLOOKUP($B555,'VPN Bonds'!$A$85:$K$104,5,FALSE), J556+VLOOKUP($B555,'VPN Bonds'!$A$85:$K$104,9,FALSE)*365, VLOOKUP($B555,'VPN Bonds'!$A$85:$K$104,5,FALSE))</f>
        <v>44244</v>
      </c>
      <c r="L556" s="180">
        <f>IF(K556+VLOOKUP($B555,'VPN Bonds'!$A$85:$K$104,9,FALSE)*365 &lt; VLOOKUP($B555,'VPN Bonds'!$A$85:$K$104,5,FALSE), K556+VLOOKUP($B555,'VPN Bonds'!$A$85:$K$104,9,FALSE)*365, VLOOKUP($B555,'VPN Bonds'!$A$85:$K$104,5,FALSE))</f>
        <v>44426.5</v>
      </c>
      <c r="M556" s="180">
        <f>IF(L556+VLOOKUP($B555,'VPN Bonds'!$A$85:$K$104,9,FALSE)*365 &lt; VLOOKUP($B555,'VPN Bonds'!$A$85:$K$104,5,FALSE), L556+VLOOKUP($B555,'VPN Bonds'!$A$85:$K$104,9,FALSE)*365, VLOOKUP($B555,'VPN Bonds'!$A$85:$K$104,5,FALSE))</f>
        <v>44609</v>
      </c>
      <c r="N556" s="180">
        <f>IF(M556+VLOOKUP($B555,'VPN Bonds'!$A$85:$K$104,9,FALSE)*365 &lt; VLOOKUP($B555,'VPN Bonds'!$A$85:$K$104,5,FALSE), M556+VLOOKUP($B555,'VPN Bonds'!$A$85:$K$104,9,FALSE)*365, VLOOKUP($B555,'VPN Bonds'!$A$85:$K$104,5,FALSE))</f>
        <v>44791.5</v>
      </c>
      <c r="O556" s="180">
        <f>IF(N556+VLOOKUP($B555,'VPN Bonds'!$A$85:$K$104,9,FALSE)*365 &lt; VLOOKUP($B555,'VPN Bonds'!$A$85:$K$104,5,FALSE), N556+VLOOKUP($B555,'VPN Bonds'!$A$85:$K$104,9,FALSE)*365, VLOOKUP($B555,'VPN Bonds'!$A$85:$K$104,5,FALSE))</f>
        <v>44974</v>
      </c>
      <c r="P556" s="180">
        <f>IF(O556+VLOOKUP($B555,'VPN Bonds'!$A$85:$K$104,9,FALSE)*365 &lt; VLOOKUP($B555,'VPN Bonds'!$A$85:$K$104,5,FALSE), O556+VLOOKUP($B555,'VPN Bonds'!$A$85:$K$104,9,FALSE)*365, VLOOKUP($B555,'VPN Bonds'!$A$85:$K$104,5,FALSE))</f>
        <v>45156.5</v>
      </c>
      <c r="Q556" s="180">
        <f>IF(P556+VLOOKUP($B555,'VPN Bonds'!$A$85:$K$104,9,FALSE)*365 &lt; VLOOKUP($B555,'VPN Bonds'!$A$85:$K$104,5,FALSE), P556+VLOOKUP($B555,'VPN Bonds'!$A$85:$K$104,9,FALSE)*365, VLOOKUP($B555,'VPN Bonds'!$A$85:$K$104,5,FALSE))</f>
        <v>45339</v>
      </c>
      <c r="R556" s="180">
        <f>IF(Q556+VLOOKUP($B555,'VPN Bonds'!$A$85:$K$104,9,FALSE)*365 &lt; VLOOKUP($B555,'VPN Bonds'!$A$85:$K$104,5,FALSE), Q556+VLOOKUP($B555,'VPN Bonds'!$A$85:$K$104,9,FALSE)*365, VLOOKUP($B555,'VPN Bonds'!$A$85:$K$104,5,FALSE))</f>
        <v>45521.5</v>
      </c>
      <c r="S556" s="180">
        <f>IF(R556+VLOOKUP($B555,'VPN Bonds'!$A$85:$K$104,9,FALSE)*365 &lt; VLOOKUP($B555,'VPN Bonds'!$A$85:$K$104,5,FALSE), R556+VLOOKUP($B555,'VPN Bonds'!$A$85:$K$104,9,FALSE)*365, VLOOKUP($B555,'VPN Bonds'!$A$85:$K$104,5,FALSE))</f>
        <v>45704</v>
      </c>
      <c r="T556" s="180">
        <f>IF(S556+VLOOKUP($B555,'VPN Bonds'!$A$85:$K$104,9,FALSE)*365 &lt; VLOOKUP($B555,'VPN Bonds'!$A$85:$K$104,5,FALSE), S556+VLOOKUP($B555,'VPN Bonds'!$A$85:$K$104,9,FALSE)*365, VLOOKUP($B555,'VPN Bonds'!$A$85:$K$104,5,FALSE))</f>
        <v>45886.5</v>
      </c>
      <c r="U556" s="180">
        <f>IF(T556+VLOOKUP($B555,'VPN Bonds'!$A$85:$K$104,9,FALSE)*365 &lt; VLOOKUP($B555,'VPN Bonds'!$A$85:$K$104,5,FALSE), T556+VLOOKUP($B555,'VPN Bonds'!$A$85:$K$104,9,FALSE)*365, VLOOKUP($B555,'VPN Bonds'!$A$85:$K$104,5,FALSE))</f>
        <v>46069</v>
      </c>
      <c r="V556" s="180">
        <f>IF(U556+VLOOKUP($B555,'VPN Bonds'!$A$85:$K$104,9,FALSE)*365 &lt; VLOOKUP($B555,'VPN Bonds'!$A$85:$K$104,5,FALSE), U556+VLOOKUP($B555,'VPN Bonds'!$A$85:$K$104,9,FALSE)*365, VLOOKUP($B555,'VPN Bonds'!$A$85:$K$104,5,FALSE))</f>
        <v>46251.5</v>
      </c>
      <c r="W556" s="180">
        <f>IF(V556+VLOOKUP($B555,'VPN Bonds'!$A$85:$K$104,9,FALSE)*365 &lt; VLOOKUP($B555,'VPN Bonds'!$A$85:$K$104,5,FALSE), V556+VLOOKUP($B555,'VPN Bonds'!$A$85:$K$104,9,FALSE)*365, VLOOKUP($B555,'VPN Bonds'!$A$85:$K$104,5,FALSE))</f>
        <v>46434</v>
      </c>
      <c r="X556" s="180">
        <f>IF(W556+VLOOKUP($B555,'VPN Bonds'!$A$85:$K$104,9,FALSE)*365 &lt; VLOOKUP($B555,'VPN Bonds'!$A$85:$K$104,5,FALSE), W556+VLOOKUP($B555,'VPN Bonds'!$A$85:$K$104,9,FALSE)*365, VLOOKUP($B555,'VPN Bonds'!$A$85:$K$104,5,FALSE))</f>
        <v>46616.5</v>
      </c>
      <c r="Y556" s="180">
        <f>IF(X556+VLOOKUP($B555,'VPN Bonds'!$A$85:$K$104,9,FALSE)*365 &lt; VLOOKUP($B555,'VPN Bonds'!$A$85:$K$104,5,FALSE), X556+VLOOKUP($B555,'VPN Bonds'!$A$85:$K$104,9,FALSE)*365, VLOOKUP($B555,'VPN Bonds'!$A$85:$K$104,5,FALSE))</f>
        <v>46617</v>
      </c>
    </row>
    <row r="557" spans="2:25">
      <c r="B557" t="s">
        <v>209</v>
      </c>
      <c r="E557" s="182">
        <f>IF(E556&lt;VLOOKUP($B555,'VPN Bonds'!$A$85:$K$104,5,FALSE),(VLOOKUP($B555,'VPN Bonds'!$A$85:$K$104,8,FALSE)/100)*(VLOOKUP($B555,'VPN Bonds'!$A$85:$K$104,9,FALSE))*(VLOOKUP($B555,'VPN Bonds'!$A$85:$K$104,6,FALSE)),(VLOOKUP($B555,'VPN Bonds'!$A$85:$K$104,6,FALSE)))</f>
        <v>3</v>
      </c>
      <c r="F557" s="182">
        <f>IF(F556&lt;VLOOKUP($B555,'VPN Bonds'!$A$85:$K$104,5,FALSE),(VLOOKUP($B555,'VPN Bonds'!$A$85:$K$104,8,FALSE)/100)*(VLOOKUP($B555,'VPN Bonds'!$A$85:$K$104,9,FALSE))*(VLOOKUP($B555,'VPN Bonds'!$A$85:$K$104,6,FALSE)),(VLOOKUP($B555,'VPN Bonds'!$A$85:$K$104,6,FALSE)))</f>
        <v>3</v>
      </c>
      <c r="G557" s="182">
        <f>IF(G556&lt;VLOOKUP($B555,'VPN Bonds'!$A$85:$K$104,5,FALSE),(VLOOKUP($B555,'VPN Bonds'!$A$85:$K$104,8,FALSE)/100)*(VLOOKUP($B555,'VPN Bonds'!$A$85:$K$104,9,FALSE))*(VLOOKUP($B555,'VPN Bonds'!$A$85:$K$104,6,FALSE)),(VLOOKUP($B555,'VPN Bonds'!$A$85:$K$104,6,FALSE)))</f>
        <v>3</v>
      </c>
      <c r="H557" s="182">
        <f>IF(H556&lt;VLOOKUP($B555,'VPN Bonds'!$A$85:$K$104,5,FALSE),(VLOOKUP($B555,'VPN Bonds'!$A$85:$K$104,8,FALSE)/100)*(VLOOKUP($B555,'VPN Bonds'!$A$85:$K$104,9,FALSE))*(VLOOKUP($B555,'VPN Bonds'!$A$85:$K$104,6,FALSE)),(VLOOKUP($B555,'VPN Bonds'!$A$85:$K$104,6,FALSE)))</f>
        <v>3</v>
      </c>
      <c r="I557" s="182">
        <f>IF(I556&lt;VLOOKUP($B555,'VPN Bonds'!$A$85:$K$104,5,FALSE),(VLOOKUP($B555,'VPN Bonds'!$A$85:$K$104,8,FALSE)/100)*(VLOOKUP($B555,'VPN Bonds'!$A$85:$K$104,9,FALSE))*(VLOOKUP($B555,'VPN Bonds'!$A$85:$K$104,6,FALSE)),(VLOOKUP($B555,'VPN Bonds'!$A$85:$K$104,6,FALSE)))</f>
        <v>3</v>
      </c>
      <c r="J557" s="182">
        <f>IF(J556&lt;VLOOKUP($B555,'VPN Bonds'!$A$85:$K$104,5,FALSE),(VLOOKUP($B555,'VPN Bonds'!$A$85:$K$104,8,FALSE)/100)*(VLOOKUP($B555,'VPN Bonds'!$A$85:$K$104,9,FALSE))*(VLOOKUP($B555,'VPN Bonds'!$A$85:$K$104,6,FALSE)),(VLOOKUP($B555,'VPN Bonds'!$A$85:$K$104,6,FALSE)))</f>
        <v>3</v>
      </c>
      <c r="K557" s="182">
        <f>IF(K556&lt;VLOOKUP($B555,'VPN Bonds'!$A$85:$K$104,5,FALSE),(VLOOKUP($B555,'VPN Bonds'!$A$85:$K$104,8,FALSE)/100)*(VLOOKUP($B555,'VPN Bonds'!$A$85:$K$104,9,FALSE))*(VLOOKUP($B555,'VPN Bonds'!$A$85:$K$104,6,FALSE)),(VLOOKUP($B555,'VPN Bonds'!$A$85:$K$104,6,FALSE)))</f>
        <v>3</v>
      </c>
      <c r="L557" s="182">
        <f>IF(L556&lt;VLOOKUP($B555,'VPN Bonds'!$A$85:$K$104,5,FALSE),(VLOOKUP($B555,'VPN Bonds'!$A$85:$K$104,8,FALSE)/100)*(VLOOKUP($B555,'VPN Bonds'!$A$85:$K$104,9,FALSE))*(VLOOKUP($B555,'VPN Bonds'!$A$85:$K$104,6,FALSE)),(VLOOKUP($B555,'VPN Bonds'!$A$85:$K$104,6,FALSE)))</f>
        <v>3</v>
      </c>
      <c r="M557" s="182">
        <f>IF(M556&lt;VLOOKUP($B555,'VPN Bonds'!$A$85:$K$104,5,FALSE),(VLOOKUP($B555,'VPN Bonds'!$A$85:$K$104,8,FALSE)/100)*(VLOOKUP($B555,'VPN Bonds'!$A$85:$K$104,9,FALSE))*(VLOOKUP($B555,'VPN Bonds'!$A$85:$K$104,6,FALSE)),(VLOOKUP($B555,'VPN Bonds'!$A$85:$K$104,6,FALSE)))</f>
        <v>3</v>
      </c>
      <c r="N557" s="182">
        <f>IF(N556&lt;VLOOKUP($B555,'VPN Bonds'!$A$85:$K$104,5,FALSE),(VLOOKUP($B555,'VPN Bonds'!$A$85:$K$104,8,FALSE)/100)*(VLOOKUP($B555,'VPN Bonds'!$A$85:$K$104,9,FALSE))*(VLOOKUP($B555,'VPN Bonds'!$A$85:$K$104,6,FALSE)),(VLOOKUP($B555,'VPN Bonds'!$A$85:$K$104,6,FALSE)))</f>
        <v>3</v>
      </c>
      <c r="O557" s="182">
        <f>IF(O556&lt;VLOOKUP($B555,'VPN Bonds'!$A$85:$K$104,5,FALSE),(VLOOKUP($B555,'VPN Bonds'!$A$85:$K$104,8,FALSE)/100)*(VLOOKUP($B555,'VPN Bonds'!$A$85:$K$104,9,FALSE))*(VLOOKUP($B555,'VPN Bonds'!$A$85:$K$104,6,FALSE)),(VLOOKUP($B555,'VPN Bonds'!$A$85:$K$104,6,FALSE)))</f>
        <v>3</v>
      </c>
      <c r="P557" s="182">
        <f>IF(P556&lt;VLOOKUP($B555,'VPN Bonds'!$A$85:$K$104,5,FALSE),(VLOOKUP($B555,'VPN Bonds'!$A$85:$K$104,8,FALSE)/100)*(VLOOKUP($B555,'VPN Bonds'!$A$85:$K$104,9,FALSE))*(VLOOKUP($B555,'VPN Bonds'!$A$85:$K$104,6,FALSE)),(VLOOKUP($B555,'VPN Bonds'!$A$85:$K$104,6,FALSE)))</f>
        <v>3</v>
      </c>
      <c r="Q557" s="182">
        <f>IF(Q556&lt;VLOOKUP($B555,'VPN Bonds'!$A$85:$K$104,5,FALSE),(VLOOKUP($B555,'VPN Bonds'!$A$85:$K$104,8,FALSE)/100)*(VLOOKUP($B555,'VPN Bonds'!$A$85:$K$104,9,FALSE))*(VLOOKUP($B555,'VPN Bonds'!$A$85:$K$104,6,FALSE)),(VLOOKUP($B555,'VPN Bonds'!$A$85:$K$104,6,FALSE)))</f>
        <v>3</v>
      </c>
      <c r="R557" s="182">
        <f>IF(R556&lt;VLOOKUP($B555,'VPN Bonds'!$A$85:$K$104,5,FALSE),(VLOOKUP($B555,'VPN Bonds'!$A$85:$K$104,8,FALSE)/100)*(VLOOKUP($B555,'VPN Bonds'!$A$85:$K$104,9,FALSE))*(VLOOKUP($B555,'VPN Bonds'!$A$85:$K$104,6,FALSE)),(VLOOKUP($B555,'VPN Bonds'!$A$85:$K$104,6,FALSE)))</f>
        <v>3</v>
      </c>
      <c r="S557" s="182">
        <f>IF(S556&lt;VLOOKUP($B555,'VPN Bonds'!$A$85:$K$104,5,FALSE),(VLOOKUP($B555,'VPN Bonds'!$A$85:$K$104,8,FALSE)/100)*(VLOOKUP($B555,'VPN Bonds'!$A$85:$K$104,9,FALSE))*(VLOOKUP($B555,'VPN Bonds'!$A$85:$K$104,6,FALSE)),(VLOOKUP($B555,'VPN Bonds'!$A$85:$K$104,6,FALSE)))</f>
        <v>3</v>
      </c>
      <c r="T557" s="182">
        <f>IF(T556&lt;VLOOKUP($B555,'VPN Bonds'!$A$85:$K$104,5,FALSE),(VLOOKUP($B555,'VPN Bonds'!$A$85:$K$104,8,FALSE)/100)*(VLOOKUP($B555,'VPN Bonds'!$A$85:$K$104,9,FALSE))*(VLOOKUP($B555,'VPN Bonds'!$A$85:$K$104,6,FALSE)),(VLOOKUP($B555,'VPN Bonds'!$A$85:$K$104,6,FALSE)))</f>
        <v>3</v>
      </c>
      <c r="U557" s="182">
        <f>IF(U556&lt;VLOOKUP($B555,'VPN Bonds'!$A$85:$K$104,5,FALSE),(VLOOKUP($B555,'VPN Bonds'!$A$85:$K$104,8,FALSE)/100)*(VLOOKUP($B555,'VPN Bonds'!$A$85:$K$104,9,FALSE))*(VLOOKUP($B555,'VPN Bonds'!$A$85:$K$104,6,FALSE)),(VLOOKUP($B555,'VPN Bonds'!$A$85:$K$104,6,FALSE)))</f>
        <v>3</v>
      </c>
      <c r="V557" s="182">
        <f>IF(V556&lt;VLOOKUP($B555,'VPN Bonds'!$A$85:$K$104,5,FALSE),(VLOOKUP($B555,'VPN Bonds'!$A$85:$K$104,8,FALSE)/100)*(VLOOKUP($B555,'VPN Bonds'!$A$85:$K$104,9,FALSE))*(VLOOKUP($B555,'VPN Bonds'!$A$85:$K$104,6,FALSE)),(VLOOKUP($B555,'VPN Bonds'!$A$85:$K$104,6,FALSE)))</f>
        <v>3</v>
      </c>
      <c r="W557" s="182">
        <f>IF(W556&lt;VLOOKUP($B555,'VPN Bonds'!$A$85:$K$104,5,FALSE),(VLOOKUP($B555,'VPN Bonds'!$A$85:$K$104,8,FALSE)/100)*(VLOOKUP($B555,'VPN Bonds'!$A$85:$K$104,9,FALSE))*(VLOOKUP($B555,'VPN Bonds'!$A$85:$K$104,6,FALSE)),(VLOOKUP($B555,'VPN Bonds'!$A$85:$K$104,6,FALSE)))</f>
        <v>3</v>
      </c>
      <c r="X557" s="182">
        <f>IF(X556&lt;VLOOKUP($B555,'VPN Bonds'!$A$85:$K$104,5,FALSE),(VLOOKUP($B555,'VPN Bonds'!$A$85:$K$104,8,FALSE)/100)*(VLOOKUP($B555,'VPN Bonds'!$A$85:$K$104,9,FALSE))*(VLOOKUP($B555,'VPN Bonds'!$A$85:$K$104,6,FALSE)),(VLOOKUP($B555,'VPN Bonds'!$A$85:$K$104,6,FALSE)))</f>
        <v>3</v>
      </c>
      <c r="Y557" s="182">
        <f>IF(Y556&lt;VLOOKUP($B555,'VPN Bonds'!$A$85:$K$104,5,FALSE),(VLOOKUP($B555,'VPN Bonds'!$A$85:$K$104,8,FALSE)/100)*(VLOOKUP($B555,'VPN Bonds'!$A$85:$K$104,9,FALSE))*(VLOOKUP($B555,'VPN Bonds'!$A$85:$K$104,6,FALSE)),(VLOOKUP($B555,'VPN Bonds'!$A$85:$K$104,6,FALSE)))</f>
        <v>150</v>
      </c>
    </row>
    <row r="558" spans="2:25">
      <c r="B558" s="135">
        <v>43281</v>
      </c>
    </row>
    <row r="559" spans="2:25">
      <c r="B559" t="s">
        <v>210</v>
      </c>
      <c r="F559" s="182">
        <f t="shared" ref="F559:Y559" si="2664">(F$556-$B558)/365</f>
        <v>0.13835616438356163</v>
      </c>
      <c r="G559" s="182">
        <f t="shared" si="2664"/>
        <v>0.63835616438356169</v>
      </c>
      <c r="H559" s="182">
        <f t="shared" si="2664"/>
        <v>1.1383561643835616</v>
      </c>
      <c r="I559" s="182">
        <f t="shared" si="2664"/>
        <v>1.6383561643835616</v>
      </c>
      <c r="J559" s="182">
        <f t="shared" si="2664"/>
        <v>2.1383561643835618</v>
      </c>
      <c r="K559" s="182">
        <f t="shared" si="2664"/>
        <v>2.6383561643835618</v>
      </c>
      <c r="L559" s="182">
        <f t="shared" si="2664"/>
        <v>3.1383561643835618</v>
      </c>
      <c r="M559" s="182">
        <f t="shared" si="2664"/>
        <v>3.6383561643835618</v>
      </c>
      <c r="N559" s="182">
        <f t="shared" si="2664"/>
        <v>4.1383561643835618</v>
      </c>
      <c r="O559" s="182">
        <f t="shared" si="2664"/>
        <v>4.6383561643835618</v>
      </c>
      <c r="P559" s="182">
        <f t="shared" si="2664"/>
        <v>5.1383561643835618</v>
      </c>
      <c r="Q559" s="182">
        <f t="shared" si="2664"/>
        <v>5.6383561643835618</v>
      </c>
      <c r="R559" s="182">
        <f t="shared" si="2664"/>
        <v>6.1383561643835618</v>
      </c>
      <c r="S559" s="182">
        <f t="shared" si="2664"/>
        <v>6.6383561643835618</v>
      </c>
      <c r="T559" s="182">
        <f t="shared" si="2664"/>
        <v>7.1383561643835618</v>
      </c>
      <c r="U559" s="182">
        <f t="shared" si="2664"/>
        <v>7.6383561643835618</v>
      </c>
      <c r="V559" s="182">
        <f t="shared" si="2664"/>
        <v>8.1383561643835609</v>
      </c>
      <c r="W559" s="182">
        <f t="shared" si="2664"/>
        <v>8.6383561643835609</v>
      </c>
      <c r="X559" s="182">
        <f t="shared" si="2664"/>
        <v>9.1383561643835609</v>
      </c>
      <c r="Y559" s="182">
        <f t="shared" si="2664"/>
        <v>9.1397260273972609</v>
      </c>
    </row>
    <row r="560" spans="2:25">
      <c r="B560" t="s">
        <v>211</v>
      </c>
      <c r="F560" s="183">
        <f>1+((INDEX('Yield Curve'!$B$48:$P$91,MATCH(ROUND(F559,0),'Yield Curve'!$B$48:$B$91,0),MATCH(YEAR($B558),'Yield Curve'!$B$48:$P$48,0)))/100)</f>
        <v>1.03315</v>
      </c>
      <c r="G560" s="183">
        <f>1+((INDEX('Yield Curve'!$B$48:$P$91,MATCH(ROUND(G559,0),'Yield Curve'!$B$48:$B$91,0),MATCH(YEAR($B558),'Yield Curve'!$B$48:$P$48,0)))/100)</f>
        <v>1.03315</v>
      </c>
      <c r="H560" s="183">
        <f>1+((INDEX('Yield Curve'!$B$48:$P$91,MATCH(ROUND(H559,0),'Yield Curve'!$B$48:$B$91,0),MATCH(YEAR($B558),'Yield Curve'!$B$48:$P$48,0)))/100)</f>
        <v>1.03315</v>
      </c>
      <c r="I560" s="183">
        <f>1+((INDEX('Yield Curve'!$B$48:$P$91,MATCH(ROUND(I559,0),'Yield Curve'!$B$48:$B$91,0),MATCH(YEAR($B558),'Yield Curve'!$B$48:$P$48,0)))/100)</f>
        <v>1.03315</v>
      </c>
      <c r="J560" s="183">
        <f>1+((INDEX('Yield Curve'!$B$48:$P$91,MATCH(ROUND(J559,0),'Yield Curve'!$B$48:$B$91,0),MATCH(YEAR($B558),'Yield Curve'!$B$48:$P$48,0)))/100)</f>
        <v>1.03315</v>
      </c>
      <c r="K560" s="183">
        <f>1+((INDEX('Yield Curve'!$B$48:$P$91,MATCH(ROUND(K559,0),'Yield Curve'!$B$48:$B$91,0),MATCH(YEAR($B558),'Yield Curve'!$B$48:$P$48,0)))/100)</f>
        <v>1.03315</v>
      </c>
      <c r="L560" s="183">
        <f>1+((INDEX('Yield Curve'!$B$48:$P$91,MATCH(ROUND(L559,0),'Yield Curve'!$B$48:$B$91,0),MATCH(YEAR($B558),'Yield Curve'!$B$48:$P$48,0)))/100)</f>
        <v>1.03315</v>
      </c>
      <c r="M560" s="183">
        <f>1+((INDEX('Yield Curve'!$B$48:$P$91,MATCH(ROUND(M559,0),'Yield Curve'!$B$48:$B$91,0),MATCH(YEAR($B558),'Yield Curve'!$B$48:$P$48,0)))/100)</f>
        <v>1.0349999999999999</v>
      </c>
      <c r="N560" s="183">
        <f>1+((INDEX('Yield Curve'!$B$48:$P$91,MATCH(ROUND(N559,0),'Yield Curve'!$B$48:$B$91,0),MATCH(YEAR($B558),'Yield Curve'!$B$48:$P$48,0)))/100)</f>
        <v>1.0349999999999999</v>
      </c>
      <c r="O560" s="183">
        <f>1+((INDEX('Yield Curve'!$B$48:$P$91,MATCH(ROUND(O559,0),'Yield Curve'!$B$48:$B$91,0),MATCH(YEAR($B558),'Yield Curve'!$B$48:$P$48,0)))/100)</f>
        <v>1.03685</v>
      </c>
      <c r="P560" s="183">
        <f>1+((INDEX('Yield Curve'!$B$48:$P$91,MATCH(ROUND(P559,0),'Yield Curve'!$B$48:$B$91,0),MATCH(YEAR($B558),'Yield Curve'!$B$48:$P$48,0)))/100)</f>
        <v>1.03685</v>
      </c>
      <c r="Q560" s="183">
        <f>1+((INDEX('Yield Curve'!$B$48:$P$91,MATCH(ROUND(Q559,0),'Yield Curve'!$B$48:$B$91,0),MATCH(YEAR($B558),'Yield Curve'!$B$48:$P$48,0)))/100)</f>
        <v>1.0386</v>
      </c>
      <c r="R560" s="183">
        <f>1+((INDEX('Yield Curve'!$B$48:$P$91,MATCH(ROUND(R559,0),'Yield Curve'!$B$48:$B$91,0),MATCH(YEAR($B558),'Yield Curve'!$B$48:$P$48,0)))/100)</f>
        <v>1.0386</v>
      </c>
      <c r="S560" s="183">
        <f>1+((INDEX('Yield Curve'!$B$48:$P$91,MATCH(ROUND(S559,0),'Yield Curve'!$B$48:$B$91,0),MATCH(YEAR($B558),'Yield Curve'!$B$48:$P$48,0)))/100)</f>
        <v>1.0403500000000001</v>
      </c>
      <c r="T560" s="183">
        <f>1+((INDEX('Yield Curve'!$B$48:$P$91,MATCH(ROUND(T559,0),'Yield Curve'!$B$48:$B$91,0),MATCH(YEAR($B558),'Yield Curve'!$B$48:$P$48,0)))/100)</f>
        <v>1.0403500000000001</v>
      </c>
      <c r="U560" s="183">
        <f>1+((INDEX('Yield Curve'!$B$48:$P$91,MATCH(ROUND(U559,0),'Yield Curve'!$B$48:$B$91,0),MATCH(YEAR($B558),'Yield Curve'!$B$48:$P$48,0)))/100)</f>
        <v>1.0414874999999999</v>
      </c>
      <c r="V560" s="183">
        <f>1+((INDEX('Yield Curve'!$B$48:$P$91,MATCH(ROUND(V559,0),'Yield Curve'!$B$48:$B$91,0),MATCH(YEAR($B558),'Yield Curve'!$B$48:$P$48,0)))/100)</f>
        <v>1.0414874999999999</v>
      </c>
      <c r="W560" s="183">
        <f>1+((INDEX('Yield Curve'!$B$48:$P$91,MATCH(ROUND(W559,0),'Yield Curve'!$B$48:$B$91,0),MATCH(YEAR($B558),'Yield Curve'!$B$48:$P$48,0)))/100)</f>
        <v>1.0437624999999999</v>
      </c>
      <c r="X560" s="183">
        <f>1+((INDEX('Yield Curve'!$B$48:$P$91,MATCH(ROUND(X559,0),'Yield Curve'!$B$48:$B$91,0),MATCH(YEAR($B558),'Yield Curve'!$B$48:$P$48,0)))/100)</f>
        <v>1.0437624999999999</v>
      </c>
      <c r="Y560" s="183">
        <f>1+((INDEX('Yield Curve'!$B$48:$P$91,MATCH(ROUND(Y559,0),'Yield Curve'!$B$48:$B$91,0),MATCH(YEAR($B558),'Yield Curve'!$B$48:$P$48,0)))/100)</f>
        <v>1.0437624999999999</v>
      </c>
    </row>
    <row r="561" spans="2:25">
      <c r="B561" t="s">
        <v>212</v>
      </c>
      <c r="F561" s="182">
        <f t="shared" ref="F561:Y561" si="2665">F$557/(F560^F559)</f>
        <v>2.9864941183942531</v>
      </c>
      <c r="G561" s="182">
        <f t="shared" si="2665"/>
        <v>2.9381906593971823</v>
      </c>
      <c r="H561" s="182">
        <f t="shared" si="2665"/>
        <v>2.8906684589790963</v>
      </c>
      <c r="I561" s="182">
        <f t="shared" si="2665"/>
        <v>2.8439148810890793</v>
      </c>
      <c r="J561" s="182">
        <f t="shared" si="2665"/>
        <v>2.7979174940512959</v>
      </c>
      <c r="K561" s="182">
        <f t="shared" si="2665"/>
        <v>2.7526640672594294</v>
      </c>
      <c r="L561" s="182">
        <f t="shared" si="2665"/>
        <v>2.7081425679245954</v>
      </c>
      <c r="M561" s="182">
        <f t="shared" si="2665"/>
        <v>2.6470548529267117</v>
      </c>
      <c r="N561" s="182">
        <f t="shared" si="2665"/>
        <v>2.6019129704321862</v>
      </c>
      <c r="O561" s="182">
        <f t="shared" si="2665"/>
        <v>2.5364433358157052</v>
      </c>
      <c r="P561" s="182">
        <f t="shared" si="2665"/>
        <v>2.49096255207562</v>
      </c>
      <c r="Q561" s="182">
        <f t="shared" si="2665"/>
        <v>2.423147093159677</v>
      </c>
      <c r="R561" s="182">
        <f t="shared" si="2665"/>
        <v>2.3776921225556502</v>
      </c>
      <c r="S561" s="182">
        <f t="shared" si="2665"/>
        <v>2.3071604809923749</v>
      </c>
      <c r="T561" s="182">
        <f t="shared" si="2665"/>
        <v>2.2619763943690088</v>
      </c>
      <c r="U561" s="182">
        <f t="shared" si="2665"/>
        <v>2.1992431213968198</v>
      </c>
      <c r="V561" s="182">
        <f t="shared" si="2665"/>
        <v>2.1549947246153605</v>
      </c>
      <c r="W561" s="182">
        <f t="shared" si="2665"/>
        <v>2.0722074691771302</v>
      </c>
      <c r="X561" s="182">
        <f t="shared" si="2665"/>
        <v>2.0283009308563487</v>
      </c>
      <c r="Y561" s="182">
        <f t="shared" si="2665"/>
        <v>101.40909629744779</v>
      </c>
    </row>
    <row r="562" spans="2:25">
      <c r="B562" s="135">
        <v>43646</v>
      </c>
    </row>
    <row r="563" spans="2:25">
      <c r="B563" t="s">
        <v>210</v>
      </c>
      <c r="H563" s="182">
        <f t="shared" ref="H563" si="2666">(H$556-$B562)/365</f>
        <v>0.13835616438356163</v>
      </c>
      <c r="I563" s="182">
        <f t="shared" ref="I563" si="2667">(I$556-$B562)/365</f>
        <v>0.63835616438356169</v>
      </c>
      <c r="J563" s="182">
        <f t="shared" ref="J563" si="2668">(J$556-$B562)/365</f>
        <v>1.1383561643835616</v>
      </c>
      <c r="K563" s="182">
        <f t="shared" ref="K563" si="2669">(K$556-$B562)/365</f>
        <v>1.6383561643835616</v>
      </c>
      <c r="L563" s="182">
        <f t="shared" ref="L563" si="2670">(L$556-$B562)/365</f>
        <v>2.1383561643835618</v>
      </c>
      <c r="M563" s="182">
        <f t="shared" ref="M563" si="2671">(M$556-$B562)/365</f>
        <v>2.6383561643835618</v>
      </c>
      <c r="N563" s="182">
        <f t="shared" ref="N563" si="2672">(N$556-$B562)/365</f>
        <v>3.1383561643835618</v>
      </c>
      <c r="O563" s="182">
        <f t="shared" ref="O563" si="2673">(O$556-$B562)/365</f>
        <v>3.6383561643835618</v>
      </c>
      <c r="P563" s="182">
        <f t="shared" ref="P563" si="2674">(P$556-$B562)/365</f>
        <v>4.1383561643835618</v>
      </c>
      <c r="Q563" s="182">
        <f t="shared" ref="Q563" si="2675">(Q$556-$B562)/365</f>
        <v>4.6383561643835618</v>
      </c>
      <c r="R563" s="182">
        <f t="shared" ref="R563" si="2676">(R$556-$B562)/365</f>
        <v>5.1383561643835618</v>
      </c>
      <c r="S563" s="182">
        <f t="shared" ref="S563" si="2677">(S$556-$B562)/365</f>
        <v>5.6383561643835618</v>
      </c>
      <c r="T563" s="182">
        <f t="shared" ref="T563" si="2678">(T$556-$B562)/365</f>
        <v>6.1383561643835618</v>
      </c>
      <c r="U563" s="182">
        <f t="shared" ref="U563" si="2679">(U$556-$B562)/365</f>
        <v>6.6383561643835618</v>
      </c>
      <c r="V563" s="182">
        <f t="shared" ref="V563" si="2680">(V$556-$B562)/365</f>
        <v>7.1383561643835618</v>
      </c>
      <c r="W563" s="182">
        <f t="shared" ref="W563" si="2681">(W$556-$B562)/365</f>
        <v>7.6383561643835618</v>
      </c>
      <c r="X563" s="182">
        <f t="shared" ref="X563" si="2682">(X$556-$B562)/365</f>
        <v>8.1383561643835609</v>
      </c>
      <c r="Y563" s="182">
        <f t="shared" ref="Y563" si="2683">(Y$556-$B562)/365</f>
        <v>8.1397260273972609</v>
      </c>
    </row>
    <row r="564" spans="2:25">
      <c r="B564" t="s">
        <v>211</v>
      </c>
      <c r="H564" s="183">
        <f>1+((INDEX('Yield Curve'!$B$48:$P$91,MATCH(ROUND(H563,0),'Yield Curve'!$B$48:$B$91,0),MATCH(YEAR($B562),'Yield Curve'!$B$48:$P$48,0)))/100)</f>
        <v>1.02305</v>
      </c>
      <c r="I564" s="183">
        <f>1+((INDEX('Yield Curve'!$B$48:$P$91,MATCH(ROUND(I563,0),'Yield Curve'!$B$48:$B$91,0),MATCH(YEAR($B562),'Yield Curve'!$B$48:$P$48,0)))/100)</f>
        <v>1.02305</v>
      </c>
      <c r="J564" s="183">
        <f>1+((INDEX('Yield Curve'!$B$48:$P$91,MATCH(ROUND(J563,0),'Yield Curve'!$B$48:$B$91,0),MATCH(YEAR($B562),'Yield Curve'!$B$48:$P$48,0)))/100)</f>
        <v>1.02305</v>
      </c>
      <c r="K564" s="183">
        <f>1+((INDEX('Yield Curve'!$B$48:$P$91,MATCH(ROUND(K563,0),'Yield Curve'!$B$48:$B$91,0),MATCH(YEAR($B562),'Yield Curve'!$B$48:$P$48,0)))/100)</f>
        <v>1.02305</v>
      </c>
      <c r="L564" s="183">
        <f>1+((INDEX('Yield Curve'!$B$48:$P$91,MATCH(ROUND(L563,0),'Yield Curve'!$B$48:$B$91,0),MATCH(YEAR($B562),'Yield Curve'!$B$48:$P$48,0)))/100)</f>
        <v>1.02305</v>
      </c>
      <c r="M564" s="183">
        <f>1+((INDEX('Yield Curve'!$B$48:$P$91,MATCH(ROUND(M563,0),'Yield Curve'!$B$48:$B$91,0),MATCH(YEAR($B562),'Yield Curve'!$B$48:$P$48,0)))/100)</f>
        <v>1.02305</v>
      </c>
      <c r="N564" s="183">
        <f>1+((INDEX('Yield Curve'!$B$48:$P$91,MATCH(ROUND(N563,0),'Yield Curve'!$B$48:$B$91,0),MATCH(YEAR($B562),'Yield Curve'!$B$48:$P$48,0)))/100)</f>
        <v>1.02305</v>
      </c>
      <c r="O564" s="183">
        <f>1+((INDEX('Yield Curve'!$B$48:$P$91,MATCH(ROUND(O563,0),'Yield Curve'!$B$48:$B$91,0),MATCH(YEAR($B562),'Yield Curve'!$B$48:$P$48,0)))/100)</f>
        <v>1.024575</v>
      </c>
      <c r="P564" s="183">
        <f>1+((INDEX('Yield Curve'!$B$48:$P$91,MATCH(ROUND(P563,0),'Yield Curve'!$B$48:$B$91,0),MATCH(YEAR($B562),'Yield Curve'!$B$48:$P$48,0)))/100)</f>
        <v>1.024575</v>
      </c>
      <c r="Q564" s="183">
        <f>1+((INDEX('Yield Curve'!$B$48:$P$91,MATCH(ROUND(Q563,0),'Yield Curve'!$B$48:$B$91,0),MATCH(YEAR($B562),'Yield Curve'!$B$48:$P$48,0)))/100)</f>
        <v>1.0261</v>
      </c>
      <c r="R564" s="183">
        <f>1+((INDEX('Yield Curve'!$B$48:$P$91,MATCH(ROUND(R563,0),'Yield Curve'!$B$48:$B$91,0),MATCH(YEAR($B562),'Yield Curve'!$B$48:$P$48,0)))/100)</f>
        <v>1.0261</v>
      </c>
      <c r="S564" s="183">
        <f>1+((INDEX('Yield Curve'!$B$48:$P$91,MATCH(ROUND(S563,0),'Yield Curve'!$B$48:$B$91,0),MATCH(YEAR($B562),'Yield Curve'!$B$48:$P$48,0)))/100)</f>
        <v>1.028375</v>
      </c>
      <c r="T564" s="183">
        <f>1+((INDEX('Yield Curve'!$B$48:$P$91,MATCH(ROUND(T563,0),'Yield Curve'!$B$48:$B$91,0),MATCH(YEAR($B562),'Yield Curve'!$B$48:$P$48,0)))/100)</f>
        <v>1.028375</v>
      </c>
      <c r="U564" s="183">
        <f>1+((INDEX('Yield Curve'!$B$48:$P$91,MATCH(ROUND(U563,0),'Yield Curve'!$B$48:$B$91,0),MATCH(YEAR($B562),'Yield Curve'!$B$48:$P$48,0)))/100)</f>
        <v>1.0306500000000001</v>
      </c>
      <c r="V564" s="183">
        <f>1+((INDEX('Yield Curve'!$B$48:$P$91,MATCH(ROUND(V563,0),'Yield Curve'!$B$48:$B$91,0),MATCH(YEAR($B562),'Yield Curve'!$B$48:$P$48,0)))/100)</f>
        <v>1.0306500000000001</v>
      </c>
      <c r="W564" s="183">
        <f>1+((INDEX('Yield Curve'!$B$48:$P$91,MATCH(ROUND(W563,0),'Yield Curve'!$B$48:$B$91,0),MATCH(YEAR($B562),'Yield Curve'!$B$48:$P$48,0)))/100)</f>
        <v>1.0318624999999999</v>
      </c>
      <c r="X564" s="183">
        <f>1+((INDEX('Yield Curve'!$B$48:$P$91,MATCH(ROUND(X563,0),'Yield Curve'!$B$48:$B$91,0),MATCH(YEAR($B562),'Yield Curve'!$B$48:$P$48,0)))/100)</f>
        <v>1.0318624999999999</v>
      </c>
      <c r="Y564" s="183">
        <f>1+((INDEX('Yield Curve'!$B$48:$P$91,MATCH(ROUND(Y563,0),'Yield Curve'!$B$48:$B$91,0),MATCH(YEAR($B562),'Yield Curve'!$B$48:$P$48,0)))/100)</f>
        <v>1.0318624999999999</v>
      </c>
    </row>
    <row r="565" spans="2:25">
      <c r="B565" t="s">
        <v>212</v>
      </c>
      <c r="H565" s="182">
        <f t="shared" ref="H565" si="2684">H$557/(H564^H563)</f>
        <v>2.9905561646828485</v>
      </c>
      <c r="I565" s="182">
        <f t="shared" ref="I565" si="2685">I$557/(I564^I563)</f>
        <v>2.9566746197906189</v>
      </c>
      <c r="J565" s="182">
        <f t="shared" ref="J565" si="2686">J$557/(J564^J563)</f>
        <v>2.9231769363011075</v>
      </c>
      <c r="K565" s="182">
        <f t="shared" ref="K565" si="2687">K$557/(K564^K563)</f>
        <v>2.8900587652515699</v>
      </c>
      <c r="L565" s="182">
        <f t="shared" ref="L565" si="2688">L$557/(L564^L563)</f>
        <v>2.8573158069508899</v>
      </c>
      <c r="M565" s="182">
        <f t="shared" ref="M565" si="2689">M$557/(M564^M563)</f>
        <v>2.8249438104213573</v>
      </c>
      <c r="N565" s="182">
        <f t="shared" ref="N565" si="2690">N$557/(N564^N563)</f>
        <v>2.7929385728467717</v>
      </c>
      <c r="O565" s="182">
        <f t="shared" ref="O565" si="2691">O$557/(O564^O563)</f>
        <v>2.7463717282052151</v>
      </c>
      <c r="P565" s="182">
        <f t="shared" ref="P565" si="2692">P$557/(P564^P563)</f>
        <v>2.7132351976499902</v>
      </c>
      <c r="Q565" s="182">
        <f t="shared" ref="Q565" si="2693">Q$557/(Q564^Q563)</f>
        <v>2.6620701655757486</v>
      </c>
      <c r="R565" s="182">
        <f t="shared" ref="R565" si="2694">R$557/(R564^R563)</f>
        <v>2.6279957249779504</v>
      </c>
      <c r="S565" s="182">
        <f t="shared" ref="S565" si="2695">S$557/(S564^S563)</f>
        <v>2.56216274245635</v>
      </c>
      <c r="T565" s="182">
        <f t="shared" ref="T565" si="2696">T$557/(T564^T563)</f>
        <v>2.5265677972621465</v>
      </c>
      <c r="U565" s="182">
        <f t="shared" ref="U565" si="2697">U$557/(U564^U563)</f>
        <v>2.4551859432314425</v>
      </c>
      <c r="V565" s="182">
        <f t="shared" ref="V565" si="2698">V$557/(V564^V563)</f>
        <v>2.4184036250331014</v>
      </c>
      <c r="W565" s="182">
        <f t="shared" ref="W565" si="2699">W$557/(W564^W563)</f>
        <v>2.3608743226015281</v>
      </c>
      <c r="X565" s="182">
        <f t="shared" ref="X565" si="2700">X$557/(X564^X563)</f>
        <v>2.3241382268994113</v>
      </c>
      <c r="Y565" s="182">
        <f t="shared" ref="Y565" si="2701">Y$557/(Y564^Y563)</f>
        <v>116.20191846759795</v>
      </c>
    </row>
    <row r="566" spans="2:25">
      <c r="B566" s="135">
        <v>44012</v>
      </c>
    </row>
    <row r="567" spans="2:25">
      <c r="B567" t="s">
        <v>210</v>
      </c>
      <c r="J567" s="182">
        <f t="shared" ref="J567" si="2702">(J$556-$B566)/365</f>
        <v>0.13561643835616438</v>
      </c>
      <c r="K567" s="182">
        <f t="shared" ref="K567" si="2703">(K$556-$B566)/365</f>
        <v>0.63561643835616444</v>
      </c>
      <c r="L567" s="182">
        <f t="shared" ref="L567" si="2704">(L$556-$B566)/365</f>
        <v>1.1356164383561644</v>
      </c>
      <c r="M567" s="182">
        <f t="shared" ref="M567" si="2705">(M$556-$B566)/365</f>
        <v>1.6356164383561644</v>
      </c>
      <c r="N567" s="182">
        <f t="shared" ref="N567" si="2706">(N$556-$B566)/365</f>
        <v>2.1356164383561644</v>
      </c>
      <c r="O567" s="182">
        <f t="shared" ref="O567" si="2707">(O$556-$B566)/365</f>
        <v>2.6356164383561644</v>
      </c>
      <c r="P567" s="182">
        <f t="shared" ref="P567" si="2708">(P$556-$B566)/365</f>
        <v>3.1356164383561644</v>
      </c>
      <c r="Q567" s="182">
        <f t="shared" ref="Q567" si="2709">(Q$556-$B566)/365</f>
        <v>3.6356164383561644</v>
      </c>
      <c r="R567" s="182">
        <f t="shared" ref="R567" si="2710">(R$556-$B566)/365</f>
        <v>4.1356164383561644</v>
      </c>
      <c r="S567" s="182">
        <f t="shared" ref="S567" si="2711">(S$556-$B566)/365</f>
        <v>4.6356164383561644</v>
      </c>
      <c r="T567" s="182">
        <f t="shared" ref="T567" si="2712">(T$556-$B566)/365</f>
        <v>5.1356164383561644</v>
      </c>
      <c r="U567" s="182">
        <f t="shared" ref="U567" si="2713">(U$556-$B566)/365</f>
        <v>5.6356164383561644</v>
      </c>
      <c r="V567" s="182">
        <f t="shared" ref="V567" si="2714">(V$556-$B566)/365</f>
        <v>6.1356164383561644</v>
      </c>
      <c r="W567" s="182">
        <f t="shared" ref="W567" si="2715">(W$556-$B566)/365</f>
        <v>6.6356164383561644</v>
      </c>
      <c r="X567" s="182">
        <f t="shared" ref="X567" si="2716">(X$556-$B566)/365</f>
        <v>7.1356164383561644</v>
      </c>
      <c r="Y567" s="182">
        <f t="shared" ref="Y567" si="2717">(Y$556-$B566)/365</f>
        <v>7.1369863013698627</v>
      </c>
    </row>
    <row r="568" spans="2:25">
      <c r="B568" t="s">
        <v>211</v>
      </c>
      <c r="J568" s="183">
        <f>1+((INDEX('Yield Curve'!$B$48:$P$91,MATCH(ROUND(J567,0),'Yield Curve'!$B$48:$B$91,0),MATCH(YEAR($B566),'Yield Curve'!$B$48:$P$48,0)))/100)</f>
        <v>1.02105</v>
      </c>
      <c r="K568" s="183">
        <f>1+((INDEX('Yield Curve'!$B$48:$P$91,MATCH(ROUND(K567,0),'Yield Curve'!$B$48:$B$91,0),MATCH(YEAR($B566),'Yield Curve'!$B$48:$P$48,0)))/100)</f>
        <v>1.02105</v>
      </c>
      <c r="L568" s="183">
        <f>1+((INDEX('Yield Curve'!$B$48:$P$91,MATCH(ROUND(L567,0),'Yield Curve'!$B$48:$B$91,0),MATCH(YEAR($B566),'Yield Curve'!$B$48:$P$48,0)))/100)</f>
        <v>1.02105</v>
      </c>
      <c r="M568" s="183">
        <f>1+((INDEX('Yield Curve'!$B$48:$P$91,MATCH(ROUND(M567,0),'Yield Curve'!$B$48:$B$91,0),MATCH(YEAR($B566),'Yield Curve'!$B$48:$P$48,0)))/100)</f>
        <v>1.02105</v>
      </c>
      <c r="N568" s="183">
        <f>1+((INDEX('Yield Curve'!$B$48:$P$91,MATCH(ROUND(N567,0),'Yield Curve'!$B$48:$B$91,0),MATCH(YEAR($B566),'Yield Curve'!$B$48:$P$48,0)))/100)</f>
        <v>1.02105</v>
      </c>
      <c r="O568" s="183">
        <f>1+((INDEX('Yield Curve'!$B$48:$P$91,MATCH(ROUND(O567,0),'Yield Curve'!$B$48:$B$91,0),MATCH(YEAR($B566),'Yield Curve'!$B$48:$P$48,0)))/100)</f>
        <v>1.02105</v>
      </c>
      <c r="P568" s="183">
        <f>1+((INDEX('Yield Curve'!$B$48:$P$91,MATCH(ROUND(P567,0),'Yield Curve'!$B$48:$B$91,0),MATCH(YEAR($B566),'Yield Curve'!$B$48:$P$48,0)))/100)</f>
        <v>1.02105</v>
      </c>
      <c r="Q568" s="183">
        <f>1+((INDEX('Yield Curve'!$B$48:$P$91,MATCH(ROUND(Q567,0),'Yield Curve'!$B$48:$B$91,0),MATCH(YEAR($B566),'Yield Curve'!$B$48:$P$48,0)))/100)</f>
        <v>1.0229999999999999</v>
      </c>
      <c r="R568" s="183">
        <f>1+((INDEX('Yield Curve'!$B$48:$P$91,MATCH(ROUND(R567,0),'Yield Curve'!$B$48:$B$91,0),MATCH(YEAR($B566),'Yield Curve'!$B$48:$P$48,0)))/100)</f>
        <v>1.0229999999999999</v>
      </c>
      <c r="S568" s="183">
        <f>1+((INDEX('Yield Curve'!$B$48:$P$91,MATCH(ROUND(S567,0),'Yield Curve'!$B$48:$B$91,0),MATCH(YEAR($B566),'Yield Curve'!$B$48:$P$48,0)))/100)</f>
        <v>1.02495</v>
      </c>
      <c r="T568" s="183">
        <f>1+((INDEX('Yield Curve'!$B$48:$P$91,MATCH(ROUND(T567,0),'Yield Curve'!$B$48:$B$91,0),MATCH(YEAR($B566),'Yield Curve'!$B$48:$P$48,0)))/100)</f>
        <v>1.02495</v>
      </c>
      <c r="U568" s="183">
        <f>1+((INDEX('Yield Curve'!$B$48:$P$91,MATCH(ROUND(U567,0),'Yield Curve'!$B$48:$B$91,0),MATCH(YEAR($B566),'Yield Curve'!$B$48:$P$48,0)))/100)</f>
        <v>1.0282249999999999</v>
      </c>
      <c r="V568" s="183">
        <f>1+((INDEX('Yield Curve'!$B$48:$P$91,MATCH(ROUND(V567,0),'Yield Curve'!$B$48:$B$91,0),MATCH(YEAR($B566),'Yield Curve'!$B$48:$P$48,0)))/100)</f>
        <v>1.0282249999999999</v>
      </c>
      <c r="W568" s="183">
        <f>1+((INDEX('Yield Curve'!$B$48:$P$91,MATCH(ROUND(W567,0),'Yield Curve'!$B$48:$B$91,0),MATCH(YEAR($B566),'Yield Curve'!$B$48:$P$48,0)))/100)</f>
        <v>1.0315000000000001</v>
      </c>
      <c r="X568" s="183">
        <f>1+((INDEX('Yield Curve'!$B$48:$P$91,MATCH(ROUND(X567,0),'Yield Curve'!$B$48:$B$91,0),MATCH(YEAR($B566),'Yield Curve'!$B$48:$P$48,0)))/100)</f>
        <v>1.0315000000000001</v>
      </c>
      <c r="Y568" s="183">
        <f>1+((INDEX('Yield Curve'!$B$48:$P$91,MATCH(ROUND(Y567,0),'Yield Curve'!$B$48:$B$91,0),MATCH(YEAR($B566),'Yield Curve'!$B$48:$P$48,0)))/100)</f>
        <v>1.0315000000000001</v>
      </c>
    </row>
    <row r="569" spans="2:25">
      <c r="B569" t="s">
        <v>212</v>
      </c>
      <c r="J569" s="182">
        <f t="shared" ref="J569" si="2718">J$557/(J568^J567)</f>
        <v>2.9915366750735286</v>
      </c>
      <c r="K569" s="182">
        <f t="shared" ref="K569" si="2719">K$557/(K568^K567)</f>
        <v>2.9605392735241365</v>
      </c>
      <c r="L569" s="182">
        <f t="shared" ref="L569" si="2720">L$557/(L568^L567)</f>
        <v>2.9298630577087592</v>
      </c>
      <c r="M569" s="182">
        <f t="shared" ref="M569" si="2721">M$557/(M568^M567)</f>
        <v>2.8995046995976077</v>
      </c>
      <c r="N569" s="182">
        <f t="shared" ref="N569" si="2722">N$557/(N568^N567)</f>
        <v>2.8694609056449334</v>
      </c>
      <c r="O569" s="182">
        <f t="shared" ref="O569" si="2723">O$557/(O568^O567)</f>
        <v>2.8397284164317194</v>
      </c>
      <c r="P569" s="182">
        <f t="shared" ref="P569" si="2724">P$557/(P568^P567)</f>
        <v>2.8103040063120646</v>
      </c>
      <c r="Q569" s="182">
        <f t="shared" ref="Q569" si="2725">Q$557/(Q568^Q567)</f>
        <v>2.761959070377034</v>
      </c>
      <c r="R569" s="182">
        <f t="shared" ref="R569" si="2726">R$557/(R568^R567)</f>
        <v>2.7307341502699614</v>
      </c>
      <c r="S569" s="182">
        <f t="shared" ref="S569" si="2727">S$557/(S568^S567)</f>
        <v>2.6761332646898679</v>
      </c>
      <c r="T569" s="182">
        <f t="shared" ref="T569" si="2728">T$557/(T568^T567)</f>
        <v>2.6433605031063312</v>
      </c>
      <c r="U569" s="182">
        <f t="shared" ref="U569" si="2729">U$557/(U568^U567)</f>
        <v>2.5644664825840646</v>
      </c>
      <c r="V569" s="182">
        <f t="shared" ref="V569" si="2730">V$557/(V568^V567)</f>
        <v>2.5290239825393841</v>
      </c>
      <c r="W569" s="182">
        <f t="shared" ref="W569" si="2731">W$557/(W568^W567)</f>
        <v>2.441994016036225</v>
      </c>
      <c r="X569" s="182">
        <f t="shared" ref="X569" si="2732">X$557/(X568^X567)</f>
        <v>2.4044180482213231</v>
      </c>
      <c r="Y569" s="182">
        <f t="shared" ref="Y569" si="2733">Y$557/(Y568^Y567)</f>
        <v>120.21579493394239</v>
      </c>
    </row>
    <row r="570" spans="2:25">
      <c r="B570" s="135">
        <v>44377</v>
      </c>
    </row>
    <row r="571" spans="2:25">
      <c r="B571" t="s">
        <v>210</v>
      </c>
      <c r="L571" s="182">
        <f t="shared" ref="L571" si="2734">(L$556-$B570)/365</f>
        <v>0.13561643835616438</v>
      </c>
      <c r="M571" s="182">
        <f t="shared" ref="M571" si="2735">(M$556-$B570)/365</f>
        <v>0.63561643835616444</v>
      </c>
      <c r="N571" s="182">
        <f t="shared" ref="N571" si="2736">(N$556-$B570)/365</f>
        <v>1.1356164383561644</v>
      </c>
      <c r="O571" s="182">
        <f t="shared" ref="O571" si="2737">(O$556-$B570)/365</f>
        <v>1.6356164383561644</v>
      </c>
      <c r="P571" s="182">
        <f t="shared" ref="P571" si="2738">(P$556-$B570)/365</f>
        <v>2.1356164383561644</v>
      </c>
      <c r="Q571" s="182">
        <f t="shared" ref="Q571" si="2739">(Q$556-$B570)/365</f>
        <v>2.6356164383561644</v>
      </c>
      <c r="R571" s="182">
        <f t="shared" ref="R571" si="2740">(R$556-$B570)/365</f>
        <v>3.1356164383561644</v>
      </c>
      <c r="S571" s="182">
        <f t="shared" ref="S571" si="2741">(S$556-$B570)/365</f>
        <v>3.6356164383561644</v>
      </c>
      <c r="T571" s="182">
        <f t="shared" ref="T571" si="2742">(T$556-$B570)/365</f>
        <v>4.1356164383561644</v>
      </c>
      <c r="U571" s="182">
        <f t="shared" ref="U571" si="2743">(U$556-$B570)/365</f>
        <v>4.6356164383561644</v>
      </c>
      <c r="V571" s="182">
        <f t="shared" ref="V571" si="2744">(V$556-$B570)/365</f>
        <v>5.1356164383561644</v>
      </c>
      <c r="W571" s="182">
        <f t="shared" ref="W571" si="2745">(W$556-$B570)/365</f>
        <v>5.6356164383561644</v>
      </c>
      <c r="X571" s="182">
        <f t="shared" ref="X571" si="2746">(X$556-$B570)/365</f>
        <v>6.1356164383561644</v>
      </c>
      <c r="Y571" s="182">
        <f t="shared" ref="Y571" si="2747">(Y$556-$B570)/365</f>
        <v>6.1369863013698627</v>
      </c>
    </row>
    <row r="572" spans="2:25">
      <c r="B572" t="s">
        <v>211</v>
      </c>
      <c r="L572" s="183">
        <f>1+((INDEX('Yield Curve'!$B$48:$P$91,MATCH(ROUND(L571,0),'Yield Curve'!$B$48:$B$91,0),MATCH(YEAR($B570),'Yield Curve'!$B$48:$P$48,0)))/100)</f>
        <v>1.0129999999999999</v>
      </c>
      <c r="M572" s="183">
        <f>1+((INDEX('Yield Curve'!$B$48:$P$91,MATCH(ROUND(M571,0),'Yield Curve'!$B$48:$B$91,0),MATCH(YEAR($B570),'Yield Curve'!$B$48:$P$48,0)))/100)</f>
        <v>1.0129999999999999</v>
      </c>
      <c r="N572" s="183">
        <f>1+((INDEX('Yield Curve'!$B$48:$P$91,MATCH(ROUND(N571,0),'Yield Curve'!$B$48:$B$91,0),MATCH(YEAR($B570),'Yield Curve'!$B$48:$P$48,0)))/100)</f>
        <v>1.0129999999999999</v>
      </c>
      <c r="O572" s="183">
        <f>1+((INDEX('Yield Curve'!$B$48:$P$91,MATCH(ROUND(O571,0),'Yield Curve'!$B$48:$B$91,0),MATCH(YEAR($B570),'Yield Curve'!$B$48:$P$48,0)))/100)</f>
        <v>1.0129999999999999</v>
      </c>
      <c r="P572" s="183">
        <f>1+((INDEX('Yield Curve'!$B$48:$P$91,MATCH(ROUND(P571,0),'Yield Curve'!$B$48:$B$91,0),MATCH(YEAR($B570),'Yield Curve'!$B$48:$P$48,0)))/100)</f>
        <v>1.0129999999999999</v>
      </c>
      <c r="Q572" s="183">
        <f>1+((INDEX('Yield Curve'!$B$48:$P$91,MATCH(ROUND(Q571,0),'Yield Curve'!$B$48:$B$91,0),MATCH(YEAR($B570),'Yield Curve'!$B$48:$P$48,0)))/100)</f>
        <v>1.0129999999999999</v>
      </c>
      <c r="R572" s="183">
        <f>1+((INDEX('Yield Curve'!$B$48:$P$91,MATCH(ROUND(R571,0),'Yield Curve'!$B$48:$B$91,0),MATCH(YEAR($B570),'Yield Curve'!$B$48:$P$48,0)))/100)</f>
        <v>1.0129999999999999</v>
      </c>
      <c r="S572" s="183">
        <f>1+((INDEX('Yield Curve'!$B$48:$P$91,MATCH(ROUND(S571,0),'Yield Curve'!$B$48:$B$91,0),MATCH(YEAR($B570),'Yield Curve'!$B$48:$P$48,0)))/100)</f>
        <v>1.0161249999999999</v>
      </c>
      <c r="T572" s="183">
        <f>1+((INDEX('Yield Curve'!$B$48:$P$91,MATCH(ROUND(T571,0),'Yield Curve'!$B$48:$B$91,0),MATCH(YEAR($B570),'Yield Curve'!$B$48:$P$48,0)))/100)</f>
        <v>1.0161249999999999</v>
      </c>
      <c r="U572" s="183">
        <f>1+((INDEX('Yield Curve'!$B$48:$P$91,MATCH(ROUND(U571,0),'Yield Curve'!$B$48:$B$91,0),MATCH(YEAR($B570),'Yield Curve'!$B$48:$P$48,0)))/100)</f>
        <v>1.01925</v>
      </c>
      <c r="V572" s="183">
        <f>1+((INDEX('Yield Curve'!$B$48:$P$91,MATCH(ROUND(V571,0),'Yield Curve'!$B$48:$B$91,0),MATCH(YEAR($B570),'Yield Curve'!$B$48:$P$48,0)))/100)</f>
        <v>1.01925</v>
      </c>
      <c r="W572" s="183">
        <f>1+((INDEX('Yield Curve'!$B$48:$P$91,MATCH(ROUND(W571,0),'Yield Curve'!$B$48:$B$91,0),MATCH(YEAR($B570),'Yield Curve'!$B$48:$P$48,0)))/100)</f>
        <v>1.022775</v>
      </c>
      <c r="X572" s="183">
        <f>1+((INDEX('Yield Curve'!$B$48:$P$91,MATCH(ROUND(X571,0),'Yield Curve'!$B$48:$B$91,0),MATCH(YEAR($B570),'Yield Curve'!$B$48:$P$48,0)))/100)</f>
        <v>1.022775</v>
      </c>
      <c r="Y572" s="183">
        <f>1+((INDEX('Yield Curve'!$B$48:$P$91,MATCH(ROUND(Y571,0),'Yield Curve'!$B$48:$B$91,0),MATCH(YEAR($B570),'Yield Curve'!$B$48:$P$48,0)))/100)</f>
        <v>1.022775</v>
      </c>
    </row>
    <row r="573" spans="2:25">
      <c r="B573" t="s">
        <v>212</v>
      </c>
      <c r="L573" s="182">
        <f t="shared" ref="L573" si="2748">L$557/(L572^L571)</f>
        <v>2.9947496423404769</v>
      </c>
      <c r="M573" s="182">
        <f t="shared" ref="M573" si="2749">M$557/(M572^M571)</f>
        <v>2.9754715289585709</v>
      </c>
      <c r="N573" s="182">
        <f t="shared" ref="N573" si="2750">N$557/(N572^N571)</f>
        <v>2.9563175146500269</v>
      </c>
      <c r="O573" s="182">
        <f t="shared" ref="O573" si="2751">O$557/(O572^O571)</f>
        <v>2.9372868005514032</v>
      </c>
      <c r="P573" s="182">
        <f t="shared" ref="P573" si="2752">P$557/(P572^P571)</f>
        <v>2.9183785929417843</v>
      </c>
      <c r="Q573" s="182">
        <f t="shared" ref="Q573" si="2753">Q$557/(Q572^Q571)</f>
        <v>2.8995921032096779</v>
      </c>
      <c r="R573" s="182">
        <f t="shared" ref="R573" si="2754">R$557/(R572^R571)</f>
        <v>2.8809265478201227</v>
      </c>
      <c r="S573" s="182">
        <f t="shared" ref="S573" si="2755">S$557/(S572^S571)</f>
        <v>2.8305063324953301</v>
      </c>
      <c r="T573" s="182">
        <f t="shared" ref="T573" si="2756">T$557/(T572^T571)</f>
        <v>2.807957709091681</v>
      </c>
      <c r="U573" s="182">
        <f t="shared" ref="U573" si="2757">U$557/(U572^U571)</f>
        <v>2.7462180189743006</v>
      </c>
      <c r="V573" s="182">
        <f t="shared" ref="V573" si="2758">V$557/(V572^V571)</f>
        <v>2.7201612671571147</v>
      </c>
      <c r="W573" s="182">
        <f t="shared" ref="W573" si="2759">W$557/(W572^W571)</f>
        <v>2.6424351664018926</v>
      </c>
      <c r="X573" s="182">
        <f t="shared" ref="X573" si="2760">X$557/(X572^X571)</f>
        <v>2.6128488586803016</v>
      </c>
      <c r="Y573" s="182">
        <f t="shared" ref="Y573" si="2761">Y$557/(Y572^Y571)</f>
        <v>130.63841285193934</v>
      </c>
    </row>
    <row r="574" spans="2:25">
      <c r="B574" s="135">
        <v>44552</v>
      </c>
    </row>
    <row r="575" spans="2:25">
      <c r="B575" t="s">
        <v>210</v>
      </c>
      <c r="M575" s="182">
        <f t="shared" ref="M575:N575" si="2762">(M$556-$B574)/365</f>
        <v>0.15616438356164383</v>
      </c>
      <c r="N575" s="182">
        <f t="shared" si="2762"/>
        <v>0.65616438356164386</v>
      </c>
      <c r="O575" s="182">
        <f t="shared" ref="O575" si="2763">(O$556-$B574)/365</f>
        <v>1.1561643835616437</v>
      </c>
      <c r="P575" s="182">
        <f t="shared" ref="P575" si="2764">(P$556-$B574)/365</f>
        <v>1.6561643835616437</v>
      </c>
      <c r="Q575" s="182">
        <f t="shared" ref="Q575" si="2765">(Q$556-$B574)/365</f>
        <v>2.1561643835616437</v>
      </c>
      <c r="R575" s="182">
        <f t="shared" ref="R575" si="2766">(R$556-$B574)/365</f>
        <v>2.6561643835616437</v>
      </c>
      <c r="S575" s="182">
        <f t="shared" ref="S575" si="2767">(S$556-$B574)/365</f>
        <v>3.1561643835616437</v>
      </c>
      <c r="T575" s="182">
        <f t="shared" ref="T575" si="2768">(T$556-$B574)/365</f>
        <v>3.6561643835616437</v>
      </c>
      <c r="U575" s="182">
        <f t="shared" ref="U575" si="2769">(U$556-$B574)/365</f>
        <v>4.1561643835616442</v>
      </c>
      <c r="V575" s="182">
        <f t="shared" ref="V575" si="2770">(V$556-$B574)/365</f>
        <v>4.6561643835616442</v>
      </c>
      <c r="W575" s="182">
        <f t="shared" ref="W575" si="2771">(W$556-$B574)/365</f>
        <v>5.1561643835616442</v>
      </c>
      <c r="X575" s="182">
        <f t="shared" ref="X575" si="2772">(X$556-$B574)/365</f>
        <v>5.6561643835616442</v>
      </c>
      <c r="Y575" s="182">
        <f t="shared" ref="Y575" si="2773">(Y$556-$B574)/365</f>
        <v>5.6575342465753424</v>
      </c>
    </row>
    <row r="576" spans="2:25">
      <c r="B576" t="s">
        <v>211</v>
      </c>
      <c r="M576" s="183">
        <f>1+((INDEX('Yield Curve'!$B$48:$P$91,MATCH(ROUND(M575,0),'Yield Curve'!$B$48:$B$91,0),MATCH(YEAR($B574)+1,'Yield Curve'!$B$48:$P$48,0)))/100)</f>
        <v>1.0212000000000001</v>
      </c>
      <c r="N576" s="183">
        <f>1+((INDEX('Yield Curve'!$B$48:$P$91,MATCH(ROUND(N575,0),'Yield Curve'!$B$48:$B$91,0),MATCH(YEAR($B574)+1,'Yield Curve'!$B$48:$P$48,0)))/100)</f>
        <v>1.0212000000000001</v>
      </c>
      <c r="O576" s="183">
        <f>1+((INDEX('Yield Curve'!$B$48:$P$91,MATCH(ROUND(O575,0),'Yield Curve'!$B$48:$B$91,0),MATCH(YEAR($B574)+1,'Yield Curve'!$B$48:$P$48,0)))/100)</f>
        <v>1.0212000000000001</v>
      </c>
      <c r="P576" s="183">
        <f>1+((INDEX('Yield Curve'!$B$48:$P$91,MATCH(ROUND(P575,0),'Yield Curve'!$B$48:$B$91,0),MATCH(YEAR($B574)+1,'Yield Curve'!$B$48:$P$48,0)))/100)</f>
        <v>1.0212000000000001</v>
      </c>
      <c r="Q576" s="183">
        <f>1+((INDEX('Yield Curve'!$B$48:$P$91,MATCH(ROUND(Q575,0),'Yield Curve'!$B$48:$B$91,0),MATCH(YEAR($B574)+1,'Yield Curve'!$B$48:$P$48,0)))/100)</f>
        <v>1.0212000000000001</v>
      </c>
      <c r="R576" s="183">
        <f>1+((INDEX('Yield Curve'!$B$48:$P$91,MATCH(ROUND(R575,0),'Yield Curve'!$B$48:$B$91,0),MATCH(YEAR($B574)+1,'Yield Curve'!$B$48:$P$48,0)))/100)</f>
        <v>1.0212000000000001</v>
      </c>
      <c r="S576" s="183">
        <f>1+((INDEX('Yield Curve'!$B$48:$P$91,MATCH(ROUND(S575,0),'Yield Curve'!$B$48:$B$91,0),MATCH(YEAR($B574)+1,'Yield Curve'!$B$48:$P$48,0)))/100)</f>
        <v>1.0212000000000001</v>
      </c>
      <c r="T576" s="183">
        <f>1+((INDEX('Yield Curve'!$B$48:$P$91,MATCH(ROUND(T575,0),'Yield Curve'!$B$48:$B$91,0),MATCH(YEAR($B574)+1,'Yield Curve'!$B$48:$P$48,0)))/100)</f>
        <v>1.0245</v>
      </c>
      <c r="U576" s="183">
        <f>1+((INDEX('Yield Curve'!$B$48:$P$91,MATCH(ROUND(U575,0),'Yield Curve'!$B$48:$B$91,0),MATCH(YEAR($B574)+1,'Yield Curve'!$B$48:$P$48,0)))/100)</f>
        <v>1.0245</v>
      </c>
      <c r="V576" s="183">
        <f>1+((INDEX('Yield Curve'!$B$48:$P$91,MATCH(ROUND(V575,0),'Yield Curve'!$B$48:$B$91,0),MATCH(YEAR($B574)+1,'Yield Curve'!$B$48:$P$48,0)))/100)</f>
        <v>1.0278</v>
      </c>
      <c r="W576" s="183">
        <f>1+((INDEX('Yield Curve'!$B$48:$P$91,MATCH(ROUND(W575,0),'Yield Curve'!$B$48:$B$91,0),MATCH(YEAR($B574)+1,'Yield Curve'!$B$48:$P$48,0)))/100)</f>
        <v>1.0278</v>
      </c>
      <c r="X576" s="183">
        <f>1+((INDEX('Yield Curve'!$B$48:$P$91,MATCH(ROUND(X575,0),'Yield Curve'!$B$48:$B$91,0),MATCH(YEAR($B574)+1,'Yield Curve'!$B$48:$P$48,0)))/100)</f>
        <v>1.030375</v>
      </c>
      <c r="Y576" s="183">
        <f>1+((INDEX('Yield Curve'!$B$48:$P$91,MATCH(ROUND(Y575,0),'Yield Curve'!$B$48:$B$91,0),MATCH(YEAR($B574)+1,'Yield Curve'!$B$48:$P$48,0)))/100)</f>
        <v>1.030375</v>
      </c>
    </row>
    <row r="577" spans="2:25">
      <c r="B577" t="s">
        <v>212</v>
      </c>
      <c r="M577" s="182">
        <f t="shared" ref="M577:N577" si="2774">M$557/(M576^M575)</f>
        <v>2.9901878417793304</v>
      </c>
      <c r="N577" s="182">
        <f t="shared" si="2774"/>
        <v>2.9589870755783987</v>
      </c>
      <c r="O577" s="182">
        <f t="shared" ref="O577" si="2775">O$557/(O576^O575)</f>
        <v>2.9281118701325206</v>
      </c>
      <c r="P577" s="182">
        <f t="shared" ref="P577" si="2776">P$557/(P576^P575)</f>
        <v>2.8975588284159794</v>
      </c>
      <c r="Q577" s="182">
        <f t="shared" ref="Q577" si="2777">Q$557/(Q576^Q575)</f>
        <v>2.8673245888489234</v>
      </c>
      <c r="R577" s="182">
        <f t="shared" ref="R577" si="2778">R$557/(R576^R575)</f>
        <v>2.837405824927516</v>
      </c>
      <c r="S577" s="182">
        <f t="shared" ref="S577" si="2779">S$557/(S576^S575)</f>
        <v>2.8077992448579345</v>
      </c>
      <c r="T577" s="182">
        <f t="shared" ref="T577" si="2780">T$557/(T576^T575)</f>
        <v>2.745919435172524</v>
      </c>
      <c r="U577" s="182">
        <f t="shared" ref="U577" si="2781">U$557/(U576^U575)</f>
        <v>2.7128876567638702</v>
      </c>
      <c r="V577" s="182">
        <f t="shared" ref="V577" si="2782">V$557/(V576^V575)</f>
        <v>2.6404186606669064</v>
      </c>
      <c r="W577" s="182">
        <f t="shared" ref="W577" si="2783">W$557/(W576^W575)</f>
        <v>2.6044647670311791</v>
      </c>
      <c r="X577" s="182">
        <f t="shared" ref="X577" si="2784">X$557/(X576^X575)</f>
        <v>2.5328975797556947</v>
      </c>
      <c r="Y577" s="182">
        <f t="shared" ref="Y577" si="2785">Y$557/(Y576^Y575)</f>
        <v>126.63968790087057</v>
      </c>
    </row>
    <row r="579" spans="2:25">
      <c r="B579" s="5" t="str">
        <f>'VPN Bonds'!A99</f>
        <v>31368410961</v>
      </c>
      <c r="C579" t="s">
        <v>213</v>
      </c>
    </row>
    <row r="580" spans="2:25">
      <c r="B580" t="s">
        <v>66</v>
      </c>
      <c r="D580" s="180">
        <f>VLOOKUP(B579,'VPN Bonds'!$A$85:$K$104,4,FALSE)</f>
        <v>42965</v>
      </c>
      <c r="E580" s="180">
        <f>VLOOKUP(B579,'VPN Bonds'!$A$85:$K$104,10,FALSE)</f>
        <v>43149</v>
      </c>
      <c r="F580" s="180">
        <f>IF(E580+VLOOKUP($B579,'VPN Bonds'!$A$85:$K$104,9,FALSE)*365 &lt; VLOOKUP($B579,'VPN Bonds'!$A$85:$K$104,5,FALSE), E580+VLOOKUP($B579,'VPN Bonds'!$A$85:$K$104,9,FALSE)*365, VLOOKUP($B579,'VPN Bonds'!$A$85:$K$104,5,FALSE))</f>
        <v>43331.5</v>
      </c>
      <c r="G580" s="180">
        <f>IF(F580+VLOOKUP($B579,'VPN Bonds'!$A$85:$K$104,9,FALSE)*365 &lt; VLOOKUP($B579,'VPN Bonds'!$A$85:$K$104,5,FALSE), F580+VLOOKUP($B579,'VPN Bonds'!$A$85:$K$104,9,FALSE)*365, VLOOKUP($B579,'VPN Bonds'!$A$85:$K$104,5,FALSE))</f>
        <v>43514</v>
      </c>
      <c r="H580" s="180">
        <f>IF(G580+VLOOKUP($B579,'VPN Bonds'!$A$85:$K$104,9,FALSE)*365 &lt; VLOOKUP($B579,'VPN Bonds'!$A$85:$K$104,5,FALSE), G580+VLOOKUP($B579,'VPN Bonds'!$A$85:$K$104,9,FALSE)*365, VLOOKUP($B579,'VPN Bonds'!$A$85:$K$104,5,FALSE))</f>
        <v>43696.5</v>
      </c>
      <c r="I580" s="180">
        <f>IF(H580+VLOOKUP($B579,'VPN Bonds'!$A$85:$K$104,9,FALSE)*365 &lt; VLOOKUP($B579,'VPN Bonds'!$A$85:$K$104,5,FALSE), H580+VLOOKUP($B579,'VPN Bonds'!$A$85:$K$104,9,FALSE)*365, VLOOKUP($B579,'VPN Bonds'!$A$85:$K$104,5,FALSE))</f>
        <v>43879</v>
      </c>
      <c r="J580" s="180">
        <f>IF(I580+VLOOKUP($B579,'VPN Bonds'!$A$85:$K$104,9,FALSE)*365 &lt; VLOOKUP($B579,'VPN Bonds'!$A$85:$K$104,5,FALSE), I580+VLOOKUP($B579,'VPN Bonds'!$A$85:$K$104,9,FALSE)*365, VLOOKUP($B579,'VPN Bonds'!$A$85:$K$104,5,FALSE))</f>
        <v>44061.5</v>
      </c>
      <c r="K580" s="180">
        <f>IF(J580+VLOOKUP($B579,'VPN Bonds'!$A$85:$K$104,9,FALSE)*365 &lt; VLOOKUP($B579,'VPN Bonds'!$A$85:$K$104,5,FALSE), J580+VLOOKUP($B579,'VPN Bonds'!$A$85:$K$104,9,FALSE)*365, VLOOKUP($B579,'VPN Bonds'!$A$85:$K$104,5,FALSE))</f>
        <v>44244</v>
      </c>
      <c r="L580" s="180">
        <f>IF(K580+VLOOKUP($B579,'VPN Bonds'!$A$85:$K$104,9,FALSE)*365 &lt; VLOOKUP($B579,'VPN Bonds'!$A$85:$K$104,5,FALSE), K580+VLOOKUP($B579,'VPN Bonds'!$A$85:$K$104,9,FALSE)*365, VLOOKUP($B579,'VPN Bonds'!$A$85:$K$104,5,FALSE))</f>
        <v>44426.5</v>
      </c>
      <c r="M580" s="180">
        <f>IF(L580+VLOOKUP($B579,'VPN Bonds'!$A$85:$K$104,9,FALSE)*365 &lt; VLOOKUP($B579,'VPN Bonds'!$A$85:$K$104,5,FALSE), L580+VLOOKUP($B579,'VPN Bonds'!$A$85:$K$104,9,FALSE)*365, VLOOKUP($B579,'VPN Bonds'!$A$85:$K$104,5,FALSE))</f>
        <v>44609</v>
      </c>
      <c r="N580" s="180">
        <f>IF(M580+VLOOKUP($B579,'VPN Bonds'!$A$85:$K$104,9,FALSE)*365 &lt; VLOOKUP($B579,'VPN Bonds'!$A$85:$K$104,5,FALSE), M580+VLOOKUP($B579,'VPN Bonds'!$A$85:$K$104,9,FALSE)*365, VLOOKUP($B579,'VPN Bonds'!$A$85:$K$104,5,FALSE))</f>
        <v>44791.5</v>
      </c>
      <c r="O580" s="180">
        <f>IF(N580+VLOOKUP($B579,'VPN Bonds'!$A$85:$K$104,9,FALSE)*365 &lt; VLOOKUP($B579,'VPN Bonds'!$A$85:$K$104,5,FALSE), N580+VLOOKUP($B579,'VPN Bonds'!$A$85:$K$104,9,FALSE)*365, VLOOKUP($B579,'VPN Bonds'!$A$85:$K$104,5,FALSE))</f>
        <v>44974</v>
      </c>
      <c r="P580" s="180">
        <f>IF(O580+VLOOKUP($B579,'VPN Bonds'!$A$85:$K$104,9,FALSE)*365 &lt; VLOOKUP($B579,'VPN Bonds'!$A$85:$K$104,5,FALSE), O580+VLOOKUP($B579,'VPN Bonds'!$A$85:$K$104,9,FALSE)*365, VLOOKUP($B579,'VPN Bonds'!$A$85:$K$104,5,FALSE))</f>
        <v>45156.5</v>
      </c>
      <c r="Q580" s="180">
        <f>IF(P580+VLOOKUP($B579,'VPN Bonds'!$A$85:$K$104,9,FALSE)*365 &lt; VLOOKUP($B579,'VPN Bonds'!$A$85:$K$104,5,FALSE), P580+VLOOKUP($B579,'VPN Bonds'!$A$85:$K$104,9,FALSE)*365, VLOOKUP($B579,'VPN Bonds'!$A$85:$K$104,5,FALSE))</f>
        <v>45339</v>
      </c>
      <c r="R580" s="180">
        <f>IF(Q580+VLOOKUP($B579,'VPN Bonds'!$A$85:$K$104,9,FALSE)*365 &lt; VLOOKUP($B579,'VPN Bonds'!$A$85:$K$104,5,FALSE), Q580+VLOOKUP($B579,'VPN Bonds'!$A$85:$K$104,9,FALSE)*365, VLOOKUP($B579,'VPN Bonds'!$A$85:$K$104,5,FALSE))</f>
        <v>45521.5</v>
      </c>
      <c r="S580" s="180">
        <f>IF(R580+VLOOKUP($B579,'VPN Bonds'!$A$85:$K$104,9,FALSE)*365 &lt; VLOOKUP($B579,'VPN Bonds'!$A$85:$K$104,5,FALSE), R580+VLOOKUP($B579,'VPN Bonds'!$A$85:$K$104,9,FALSE)*365, VLOOKUP($B579,'VPN Bonds'!$A$85:$K$104,5,FALSE))</f>
        <v>45704</v>
      </c>
      <c r="T580" s="180">
        <f>IF(S580+VLOOKUP($B579,'VPN Bonds'!$A$85:$K$104,9,FALSE)*365 &lt; VLOOKUP($B579,'VPN Bonds'!$A$85:$K$104,5,FALSE), S580+VLOOKUP($B579,'VPN Bonds'!$A$85:$K$104,9,FALSE)*365, VLOOKUP($B579,'VPN Bonds'!$A$85:$K$104,5,FALSE))</f>
        <v>45886.5</v>
      </c>
      <c r="U580" s="180">
        <f>IF(T580+VLOOKUP($B579,'VPN Bonds'!$A$85:$K$104,9,FALSE)*365 &lt; VLOOKUP($B579,'VPN Bonds'!$A$85:$K$104,5,FALSE), T580+VLOOKUP($B579,'VPN Bonds'!$A$85:$K$104,9,FALSE)*365, VLOOKUP($B579,'VPN Bonds'!$A$85:$K$104,5,FALSE))</f>
        <v>46069</v>
      </c>
      <c r="V580" s="180">
        <f>IF(U580+VLOOKUP($B579,'VPN Bonds'!$A$85:$K$104,9,FALSE)*365 &lt; VLOOKUP($B579,'VPN Bonds'!$A$85:$K$104,5,FALSE), U580+VLOOKUP($B579,'VPN Bonds'!$A$85:$K$104,9,FALSE)*365, VLOOKUP($B579,'VPN Bonds'!$A$85:$K$104,5,FALSE))</f>
        <v>46251.5</v>
      </c>
      <c r="W580" s="180">
        <f>IF(V580+VLOOKUP($B579,'VPN Bonds'!$A$85:$K$104,9,FALSE)*365 &lt; VLOOKUP($B579,'VPN Bonds'!$A$85:$K$104,5,FALSE), V580+VLOOKUP($B579,'VPN Bonds'!$A$85:$K$104,9,FALSE)*365, VLOOKUP($B579,'VPN Bonds'!$A$85:$K$104,5,FALSE))</f>
        <v>46434</v>
      </c>
      <c r="X580" s="180">
        <f>IF(W580+VLOOKUP($B579,'VPN Bonds'!$A$85:$K$104,9,FALSE)*365 &lt; VLOOKUP($B579,'VPN Bonds'!$A$85:$K$104,5,FALSE), W580+VLOOKUP($B579,'VPN Bonds'!$A$85:$K$104,9,FALSE)*365, VLOOKUP($B579,'VPN Bonds'!$A$85:$K$104,5,FALSE))</f>
        <v>46616.5</v>
      </c>
      <c r="Y580" s="180">
        <f>IF(X580+VLOOKUP($B579,'VPN Bonds'!$A$85:$K$104,9,FALSE)*365 &lt; VLOOKUP($B579,'VPN Bonds'!$A$85:$K$104,5,FALSE), X580+VLOOKUP($B579,'VPN Bonds'!$A$85:$K$104,9,FALSE)*365, VLOOKUP($B579,'VPN Bonds'!$A$85:$K$104,5,FALSE))</f>
        <v>46617</v>
      </c>
    </row>
    <row r="581" spans="2:25">
      <c r="B581" t="s">
        <v>209</v>
      </c>
      <c r="E581" s="182">
        <f>IF(E580&lt;VLOOKUP($B579,'VPN Bonds'!$A$85:$K$104,5,FALSE),(VLOOKUP($B579,'VPN Bonds'!$A$85:$K$104,8,FALSE)/100)*(VLOOKUP($B579,'VPN Bonds'!$A$85:$K$104,9,FALSE))*(VLOOKUP($B579,'VPN Bonds'!$A$85:$K$104,6,FALSE)),(VLOOKUP($B579,'VPN Bonds'!$A$85:$K$104,6,FALSE)))</f>
        <v>3</v>
      </c>
      <c r="F581" s="182">
        <f>IF(F580&lt;VLOOKUP($B579,'VPN Bonds'!$A$85:$K$104,5,FALSE),(VLOOKUP($B579,'VPN Bonds'!$A$85:$K$104,8,FALSE)/100)*(VLOOKUP($B579,'VPN Bonds'!$A$85:$K$104,9,FALSE))*(VLOOKUP($B579,'VPN Bonds'!$A$85:$K$104,6,FALSE)),(VLOOKUP($B579,'VPN Bonds'!$A$85:$K$104,6,FALSE)))</f>
        <v>3</v>
      </c>
      <c r="G581" s="182">
        <f>IF(G580&lt;VLOOKUP($B579,'VPN Bonds'!$A$85:$K$104,5,FALSE),(VLOOKUP($B579,'VPN Bonds'!$A$85:$K$104,8,FALSE)/100)*(VLOOKUP($B579,'VPN Bonds'!$A$85:$K$104,9,FALSE))*(VLOOKUP($B579,'VPN Bonds'!$A$85:$K$104,6,FALSE)),(VLOOKUP($B579,'VPN Bonds'!$A$85:$K$104,6,FALSE)))</f>
        <v>3</v>
      </c>
      <c r="H581" s="182">
        <f>IF(H580&lt;VLOOKUP($B579,'VPN Bonds'!$A$85:$K$104,5,FALSE),(VLOOKUP($B579,'VPN Bonds'!$A$85:$K$104,8,FALSE)/100)*(VLOOKUP($B579,'VPN Bonds'!$A$85:$K$104,9,FALSE))*(VLOOKUP($B579,'VPN Bonds'!$A$85:$K$104,6,FALSE)),(VLOOKUP($B579,'VPN Bonds'!$A$85:$K$104,6,FALSE)))</f>
        <v>3</v>
      </c>
      <c r="I581" s="182">
        <f>IF(I580&lt;VLOOKUP($B579,'VPN Bonds'!$A$85:$K$104,5,FALSE),(VLOOKUP($B579,'VPN Bonds'!$A$85:$K$104,8,FALSE)/100)*(VLOOKUP($B579,'VPN Bonds'!$A$85:$K$104,9,FALSE))*(VLOOKUP($B579,'VPN Bonds'!$A$85:$K$104,6,FALSE)),(VLOOKUP($B579,'VPN Bonds'!$A$85:$K$104,6,FALSE)))</f>
        <v>3</v>
      </c>
      <c r="J581" s="182">
        <f>IF(J580&lt;VLOOKUP($B579,'VPN Bonds'!$A$85:$K$104,5,FALSE),(VLOOKUP($B579,'VPN Bonds'!$A$85:$K$104,8,FALSE)/100)*(VLOOKUP($B579,'VPN Bonds'!$A$85:$K$104,9,FALSE))*(VLOOKUP($B579,'VPN Bonds'!$A$85:$K$104,6,FALSE)),(VLOOKUP($B579,'VPN Bonds'!$A$85:$K$104,6,FALSE)))</f>
        <v>3</v>
      </c>
      <c r="K581" s="182">
        <f>IF(K580&lt;VLOOKUP($B579,'VPN Bonds'!$A$85:$K$104,5,FALSE),(VLOOKUP($B579,'VPN Bonds'!$A$85:$K$104,8,FALSE)/100)*(VLOOKUP($B579,'VPN Bonds'!$A$85:$K$104,9,FALSE))*(VLOOKUP($B579,'VPN Bonds'!$A$85:$K$104,6,FALSE)),(VLOOKUP($B579,'VPN Bonds'!$A$85:$K$104,6,FALSE)))</f>
        <v>3</v>
      </c>
      <c r="L581" s="182">
        <f>IF(L580&lt;VLOOKUP($B579,'VPN Bonds'!$A$85:$K$104,5,FALSE),(VLOOKUP($B579,'VPN Bonds'!$A$85:$K$104,8,FALSE)/100)*(VLOOKUP($B579,'VPN Bonds'!$A$85:$K$104,9,FALSE))*(VLOOKUP($B579,'VPN Bonds'!$A$85:$K$104,6,FALSE)),(VLOOKUP($B579,'VPN Bonds'!$A$85:$K$104,6,FALSE)))</f>
        <v>3</v>
      </c>
      <c r="M581" s="182">
        <f>IF(M580&lt;VLOOKUP($B579,'VPN Bonds'!$A$85:$K$104,5,FALSE),(VLOOKUP($B579,'VPN Bonds'!$A$85:$K$104,8,FALSE)/100)*(VLOOKUP($B579,'VPN Bonds'!$A$85:$K$104,9,FALSE))*(VLOOKUP($B579,'VPN Bonds'!$A$85:$K$104,6,FALSE)),(VLOOKUP($B579,'VPN Bonds'!$A$85:$K$104,6,FALSE)))</f>
        <v>3</v>
      </c>
      <c r="N581" s="182">
        <f>IF(N580&lt;VLOOKUP($B579,'VPN Bonds'!$A$85:$K$104,5,FALSE),(VLOOKUP($B579,'VPN Bonds'!$A$85:$K$104,8,FALSE)/100)*(VLOOKUP($B579,'VPN Bonds'!$A$85:$K$104,9,FALSE))*(VLOOKUP($B579,'VPN Bonds'!$A$85:$K$104,6,FALSE)),(VLOOKUP($B579,'VPN Bonds'!$A$85:$K$104,6,FALSE)))</f>
        <v>3</v>
      </c>
      <c r="O581" s="182">
        <f>IF(O580&lt;VLOOKUP($B579,'VPN Bonds'!$A$85:$K$104,5,FALSE),(VLOOKUP($B579,'VPN Bonds'!$A$85:$K$104,8,FALSE)/100)*(VLOOKUP($B579,'VPN Bonds'!$A$85:$K$104,9,FALSE))*(VLOOKUP($B579,'VPN Bonds'!$A$85:$K$104,6,FALSE)),(VLOOKUP($B579,'VPN Bonds'!$A$85:$K$104,6,FALSE)))</f>
        <v>3</v>
      </c>
      <c r="P581" s="182">
        <f>IF(P580&lt;VLOOKUP($B579,'VPN Bonds'!$A$85:$K$104,5,FALSE),(VLOOKUP($B579,'VPN Bonds'!$A$85:$K$104,8,FALSE)/100)*(VLOOKUP($B579,'VPN Bonds'!$A$85:$K$104,9,FALSE))*(VLOOKUP($B579,'VPN Bonds'!$A$85:$K$104,6,FALSE)),(VLOOKUP($B579,'VPN Bonds'!$A$85:$K$104,6,FALSE)))</f>
        <v>3</v>
      </c>
      <c r="Q581" s="182">
        <f>IF(Q580&lt;VLOOKUP($B579,'VPN Bonds'!$A$85:$K$104,5,FALSE),(VLOOKUP($B579,'VPN Bonds'!$A$85:$K$104,8,FALSE)/100)*(VLOOKUP($B579,'VPN Bonds'!$A$85:$K$104,9,FALSE))*(VLOOKUP($B579,'VPN Bonds'!$A$85:$K$104,6,FALSE)),(VLOOKUP($B579,'VPN Bonds'!$A$85:$K$104,6,FALSE)))</f>
        <v>3</v>
      </c>
      <c r="R581" s="182">
        <f>IF(R580&lt;VLOOKUP($B579,'VPN Bonds'!$A$85:$K$104,5,FALSE),(VLOOKUP($B579,'VPN Bonds'!$A$85:$K$104,8,FALSE)/100)*(VLOOKUP($B579,'VPN Bonds'!$A$85:$K$104,9,FALSE))*(VLOOKUP($B579,'VPN Bonds'!$A$85:$K$104,6,FALSE)),(VLOOKUP($B579,'VPN Bonds'!$A$85:$K$104,6,FALSE)))</f>
        <v>3</v>
      </c>
      <c r="S581" s="182">
        <f>IF(S580&lt;VLOOKUP($B579,'VPN Bonds'!$A$85:$K$104,5,FALSE),(VLOOKUP($B579,'VPN Bonds'!$A$85:$K$104,8,FALSE)/100)*(VLOOKUP($B579,'VPN Bonds'!$A$85:$K$104,9,FALSE))*(VLOOKUP($B579,'VPN Bonds'!$A$85:$K$104,6,FALSE)),(VLOOKUP($B579,'VPN Bonds'!$A$85:$K$104,6,FALSE)))</f>
        <v>3</v>
      </c>
      <c r="T581" s="182">
        <f>IF(T580&lt;VLOOKUP($B579,'VPN Bonds'!$A$85:$K$104,5,FALSE),(VLOOKUP($B579,'VPN Bonds'!$A$85:$K$104,8,FALSE)/100)*(VLOOKUP($B579,'VPN Bonds'!$A$85:$K$104,9,FALSE))*(VLOOKUP($B579,'VPN Bonds'!$A$85:$K$104,6,FALSE)),(VLOOKUP($B579,'VPN Bonds'!$A$85:$K$104,6,FALSE)))</f>
        <v>3</v>
      </c>
      <c r="U581" s="182">
        <f>IF(U580&lt;VLOOKUP($B579,'VPN Bonds'!$A$85:$K$104,5,FALSE),(VLOOKUP($B579,'VPN Bonds'!$A$85:$K$104,8,FALSE)/100)*(VLOOKUP($B579,'VPN Bonds'!$A$85:$K$104,9,FALSE))*(VLOOKUP($B579,'VPN Bonds'!$A$85:$K$104,6,FALSE)),(VLOOKUP($B579,'VPN Bonds'!$A$85:$K$104,6,FALSE)))</f>
        <v>3</v>
      </c>
      <c r="V581" s="182">
        <f>IF(V580&lt;VLOOKUP($B579,'VPN Bonds'!$A$85:$K$104,5,FALSE),(VLOOKUP($B579,'VPN Bonds'!$A$85:$K$104,8,FALSE)/100)*(VLOOKUP($B579,'VPN Bonds'!$A$85:$K$104,9,FALSE))*(VLOOKUP($B579,'VPN Bonds'!$A$85:$K$104,6,FALSE)),(VLOOKUP($B579,'VPN Bonds'!$A$85:$K$104,6,FALSE)))</f>
        <v>3</v>
      </c>
      <c r="W581" s="182">
        <f>IF(W580&lt;VLOOKUP($B579,'VPN Bonds'!$A$85:$K$104,5,FALSE),(VLOOKUP($B579,'VPN Bonds'!$A$85:$K$104,8,FALSE)/100)*(VLOOKUP($B579,'VPN Bonds'!$A$85:$K$104,9,FALSE))*(VLOOKUP($B579,'VPN Bonds'!$A$85:$K$104,6,FALSE)),(VLOOKUP($B579,'VPN Bonds'!$A$85:$K$104,6,FALSE)))</f>
        <v>3</v>
      </c>
      <c r="X581" s="182">
        <f>IF(X580&lt;VLOOKUP($B579,'VPN Bonds'!$A$85:$K$104,5,FALSE),(VLOOKUP($B579,'VPN Bonds'!$A$85:$K$104,8,FALSE)/100)*(VLOOKUP($B579,'VPN Bonds'!$A$85:$K$104,9,FALSE))*(VLOOKUP($B579,'VPN Bonds'!$A$85:$K$104,6,FALSE)),(VLOOKUP($B579,'VPN Bonds'!$A$85:$K$104,6,FALSE)))</f>
        <v>3</v>
      </c>
      <c r="Y581" s="182">
        <f>IF(Y580&lt;VLOOKUP($B579,'VPN Bonds'!$A$85:$K$104,5,FALSE),(VLOOKUP($B579,'VPN Bonds'!$A$85:$K$104,8,FALSE)/100)*(VLOOKUP($B579,'VPN Bonds'!$A$85:$K$104,9,FALSE))*(VLOOKUP($B579,'VPN Bonds'!$A$85:$K$104,6,FALSE)),(VLOOKUP($B579,'VPN Bonds'!$A$85:$K$104,6,FALSE)))</f>
        <v>150</v>
      </c>
    </row>
    <row r="582" spans="2:25">
      <c r="B582" s="135">
        <v>43281</v>
      </c>
    </row>
    <row r="583" spans="2:25">
      <c r="B583" t="s">
        <v>210</v>
      </c>
      <c r="F583" s="182">
        <f>(F$580-$B582)/365</f>
        <v>0.13835616438356163</v>
      </c>
      <c r="G583" s="182">
        <f t="shared" ref="G583:Y583" si="2786">(G$580-$B582)/365</f>
        <v>0.63835616438356169</v>
      </c>
      <c r="H583" s="182">
        <f t="shared" si="2786"/>
        <v>1.1383561643835616</v>
      </c>
      <c r="I583" s="182">
        <f t="shared" si="2786"/>
        <v>1.6383561643835616</v>
      </c>
      <c r="J583" s="182">
        <f t="shared" si="2786"/>
        <v>2.1383561643835618</v>
      </c>
      <c r="K583" s="182">
        <f t="shared" si="2786"/>
        <v>2.6383561643835618</v>
      </c>
      <c r="L583" s="182">
        <f t="shared" si="2786"/>
        <v>3.1383561643835618</v>
      </c>
      <c r="M583" s="182">
        <f t="shared" si="2786"/>
        <v>3.6383561643835618</v>
      </c>
      <c r="N583" s="182">
        <f t="shared" si="2786"/>
        <v>4.1383561643835618</v>
      </c>
      <c r="O583" s="182">
        <f t="shared" si="2786"/>
        <v>4.6383561643835618</v>
      </c>
      <c r="P583" s="182">
        <f t="shared" si="2786"/>
        <v>5.1383561643835618</v>
      </c>
      <c r="Q583" s="182">
        <f t="shared" si="2786"/>
        <v>5.6383561643835618</v>
      </c>
      <c r="R583" s="182">
        <f t="shared" si="2786"/>
        <v>6.1383561643835618</v>
      </c>
      <c r="S583" s="182">
        <f t="shared" si="2786"/>
        <v>6.6383561643835618</v>
      </c>
      <c r="T583" s="182">
        <f t="shared" si="2786"/>
        <v>7.1383561643835618</v>
      </c>
      <c r="U583" s="182">
        <f t="shared" si="2786"/>
        <v>7.6383561643835618</v>
      </c>
      <c r="V583" s="182">
        <f t="shared" si="2786"/>
        <v>8.1383561643835609</v>
      </c>
      <c r="W583" s="182">
        <f t="shared" si="2786"/>
        <v>8.6383561643835609</v>
      </c>
      <c r="X583" s="182">
        <f t="shared" si="2786"/>
        <v>9.1383561643835609</v>
      </c>
      <c r="Y583" s="182">
        <f t="shared" si="2786"/>
        <v>9.1397260273972609</v>
      </c>
    </row>
    <row r="584" spans="2:25">
      <c r="B584" t="s">
        <v>211</v>
      </c>
      <c r="F584" s="183">
        <f>1+((INDEX('Yield Curve'!$B$48:$P$91,MATCH(ROUND(F583,0),'Yield Curve'!$B$48:$B$91,0),MATCH(YEAR($B582),'Yield Curve'!$B$48:$P$48,0)))/100)</f>
        <v>1.03315</v>
      </c>
      <c r="G584" s="183">
        <f>1+((INDEX('Yield Curve'!$B$48:$P$91,MATCH(ROUND(G583,0),'Yield Curve'!$B$48:$B$91,0),MATCH(YEAR($B582),'Yield Curve'!$B$48:$P$48,0)))/100)</f>
        <v>1.03315</v>
      </c>
      <c r="H584" s="183">
        <f>1+((INDEX('Yield Curve'!$B$48:$P$91,MATCH(ROUND(H583,0),'Yield Curve'!$B$48:$B$91,0),MATCH(YEAR($B582),'Yield Curve'!$B$48:$P$48,0)))/100)</f>
        <v>1.03315</v>
      </c>
      <c r="I584" s="183">
        <f>1+((INDEX('Yield Curve'!$B$48:$P$91,MATCH(ROUND(I583,0),'Yield Curve'!$B$48:$B$91,0),MATCH(YEAR($B582),'Yield Curve'!$B$48:$P$48,0)))/100)</f>
        <v>1.03315</v>
      </c>
      <c r="J584" s="183">
        <f>1+((INDEX('Yield Curve'!$B$48:$P$91,MATCH(ROUND(J583,0),'Yield Curve'!$B$48:$B$91,0),MATCH(YEAR($B582),'Yield Curve'!$B$48:$P$48,0)))/100)</f>
        <v>1.03315</v>
      </c>
      <c r="K584" s="183">
        <f>1+((INDEX('Yield Curve'!$B$48:$P$91,MATCH(ROUND(K583,0),'Yield Curve'!$B$48:$B$91,0),MATCH(YEAR($B582),'Yield Curve'!$B$48:$P$48,0)))/100)</f>
        <v>1.03315</v>
      </c>
      <c r="L584" s="183">
        <f>1+((INDEX('Yield Curve'!$B$48:$P$91,MATCH(ROUND(L583,0),'Yield Curve'!$B$48:$B$91,0),MATCH(YEAR($B582),'Yield Curve'!$B$48:$P$48,0)))/100)</f>
        <v>1.03315</v>
      </c>
      <c r="M584" s="183">
        <f>1+((INDEX('Yield Curve'!$B$48:$P$91,MATCH(ROUND(M583,0),'Yield Curve'!$B$48:$B$91,0),MATCH(YEAR($B582),'Yield Curve'!$B$48:$P$48,0)))/100)</f>
        <v>1.0349999999999999</v>
      </c>
      <c r="N584" s="183">
        <f>1+((INDEX('Yield Curve'!$B$48:$P$91,MATCH(ROUND(N583,0),'Yield Curve'!$B$48:$B$91,0),MATCH(YEAR($B582),'Yield Curve'!$B$48:$P$48,0)))/100)</f>
        <v>1.0349999999999999</v>
      </c>
      <c r="O584" s="183">
        <f>1+((INDEX('Yield Curve'!$B$48:$P$91,MATCH(ROUND(O583,0),'Yield Curve'!$B$48:$B$91,0),MATCH(YEAR($B582),'Yield Curve'!$B$48:$P$48,0)))/100)</f>
        <v>1.03685</v>
      </c>
      <c r="P584" s="183">
        <f>1+((INDEX('Yield Curve'!$B$48:$P$91,MATCH(ROUND(P583,0),'Yield Curve'!$B$48:$B$91,0),MATCH(YEAR($B582),'Yield Curve'!$B$48:$P$48,0)))/100)</f>
        <v>1.03685</v>
      </c>
      <c r="Q584" s="183">
        <f>1+((INDEX('Yield Curve'!$B$48:$P$91,MATCH(ROUND(Q583,0),'Yield Curve'!$B$48:$B$91,0),MATCH(YEAR($B582),'Yield Curve'!$B$48:$P$48,0)))/100)</f>
        <v>1.0386</v>
      </c>
      <c r="R584" s="183">
        <f>1+((INDEX('Yield Curve'!$B$48:$P$91,MATCH(ROUND(R583,0),'Yield Curve'!$B$48:$B$91,0),MATCH(YEAR($B582),'Yield Curve'!$B$48:$P$48,0)))/100)</f>
        <v>1.0386</v>
      </c>
      <c r="S584" s="183">
        <f>1+((INDEX('Yield Curve'!$B$48:$P$91,MATCH(ROUND(S583,0),'Yield Curve'!$B$48:$B$91,0),MATCH(YEAR($B582),'Yield Curve'!$B$48:$P$48,0)))/100)</f>
        <v>1.0403500000000001</v>
      </c>
      <c r="T584" s="183">
        <f>1+((INDEX('Yield Curve'!$B$48:$P$91,MATCH(ROUND(T583,0),'Yield Curve'!$B$48:$B$91,0),MATCH(YEAR($B582),'Yield Curve'!$B$48:$P$48,0)))/100)</f>
        <v>1.0403500000000001</v>
      </c>
      <c r="U584" s="183">
        <f>1+((INDEX('Yield Curve'!$B$48:$P$91,MATCH(ROUND(U583,0),'Yield Curve'!$B$48:$B$91,0),MATCH(YEAR($B582),'Yield Curve'!$B$48:$P$48,0)))/100)</f>
        <v>1.0414874999999999</v>
      </c>
      <c r="V584" s="183">
        <f>1+((INDEX('Yield Curve'!$B$48:$P$91,MATCH(ROUND(V583,0),'Yield Curve'!$B$48:$B$91,0),MATCH(YEAR($B582),'Yield Curve'!$B$48:$P$48,0)))/100)</f>
        <v>1.0414874999999999</v>
      </c>
      <c r="W584" s="183">
        <f>1+((INDEX('Yield Curve'!$B$48:$P$91,MATCH(ROUND(W583,0),'Yield Curve'!$B$48:$B$91,0),MATCH(YEAR($B582),'Yield Curve'!$B$48:$P$48,0)))/100)</f>
        <v>1.0437624999999999</v>
      </c>
      <c r="X584" s="183">
        <f>1+((INDEX('Yield Curve'!$B$48:$P$91,MATCH(ROUND(X583,0),'Yield Curve'!$B$48:$B$91,0),MATCH(YEAR($B582),'Yield Curve'!$B$48:$P$48,0)))/100)</f>
        <v>1.0437624999999999</v>
      </c>
      <c r="Y584" s="183">
        <f>1+((INDEX('Yield Curve'!$B$48:$P$91,MATCH(ROUND(Y583,0),'Yield Curve'!$B$48:$B$91,0),MATCH(YEAR($B582),'Yield Curve'!$B$48:$P$48,0)))/100)</f>
        <v>1.0437624999999999</v>
      </c>
    </row>
    <row r="585" spans="2:25">
      <c r="B585" t="s">
        <v>212</v>
      </c>
      <c r="F585" s="182">
        <f>F$557/(F584^F583)</f>
        <v>2.9864941183942531</v>
      </c>
      <c r="G585" s="182">
        <f t="shared" ref="G585:Y585" si="2787">G$557/(G584^G583)</f>
        <v>2.9381906593971823</v>
      </c>
      <c r="H585" s="182">
        <f t="shared" si="2787"/>
        <v>2.8906684589790963</v>
      </c>
      <c r="I585" s="182">
        <f t="shared" si="2787"/>
        <v>2.8439148810890793</v>
      </c>
      <c r="J585" s="182">
        <f t="shared" si="2787"/>
        <v>2.7979174940512959</v>
      </c>
      <c r="K585" s="182">
        <f t="shared" si="2787"/>
        <v>2.7526640672594294</v>
      </c>
      <c r="L585" s="182">
        <f t="shared" si="2787"/>
        <v>2.7081425679245954</v>
      </c>
      <c r="M585" s="182">
        <f t="shared" si="2787"/>
        <v>2.6470548529267117</v>
      </c>
      <c r="N585" s="182">
        <f t="shared" si="2787"/>
        <v>2.6019129704321862</v>
      </c>
      <c r="O585" s="182">
        <f t="shared" si="2787"/>
        <v>2.5364433358157052</v>
      </c>
      <c r="P585" s="182">
        <f t="shared" si="2787"/>
        <v>2.49096255207562</v>
      </c>
      <c r="Q585" s="182">
        <f t="shared" si="2787"/>
        <v>2.423147093159677</v>
      </c>
      <c r="R585" s="182">
        <f t="shared" si="2787"/>
        <v>2.3776921225556502</v>
      </c>
      <c r="S585" s="182">
        <f t="shared" si="2787"/>
        <v>2.3071604809923749</v>
      </c>
      <c r="T585" s="182">
        <f t="shared" si="2787"/>
        <v>2.2619763943690088</v>
      </c>
      <c r="U585" s="182">
        <f t="shared" si="2787"/>
        <v>2.1992431213968198</v>
      </c>
      <c r="V585" s="182">
        <f t="shared" si="2787"/>
        <v>2.1549947246153605</v>
      </c>
      <c r="W585" s="182">
        <f t="shared" si="2787"/>
        <v>2.0722074691771302</v>
      </c>
      <c r="X585" s="182">
        <f t="shared" si="2787"/>
        <v>2.0283009308563487</v>
      </c>
      <c r="Y585" s="182">
        <f t="shared" si="2787"/>
        <v>101.40909629744779</v>
      </c>
    </row>
    <row r="586" spans="2:25">
      <c r="B586" s="135">
        <v>43646</v>
      </c>
    </row>
    <row r="587" spans="2:25">
      <c r="B587" t="s">
        <v>210</v>
      </c>
      <c r="H587" s="182">
        <f t="shared" ref="H587:Y587" si="2788">(H$580-$B586)/365</f>
        <v>0.13835616438356163</v>
      </c>
      <c r="I587" s="182">
        <f t="shared" si="2788"/>
        <v>0.63835616438356169</v>
      </c>
      <c r="J587" s="182">
        <f t="shared" si="2788"/>
        <v>1.1383561643835616</v>
      </c>
      <c r="K587" s="182">
        <f t="shared" si="2788"/>
        <v>1.6383561643835616</v>
      </c>
      <c r="L587" s="182">
        <f t="shared" si="2788"/>
        <v>2.1383561643835618</v>
      </c>
      <c r="M587" s="182">
        <f t="shared" si="2788"/>
        <v>2.6383561643835618</v>
      </c>
      <c r="N587" s="182">
        <f t="shared" si="2788"/>
        <v>3.1383561643835618</v>
      </c>
      <c r="O587" s="182">
        <f t="shared" si="2788"/>
        <v>3.6383561643835618</v>
      </c>
      <c r="P587" s="182">
        <f t="shared" si="2788"/>
        <v>4.1383561643835618</v>
      </c>
      <c r="Q587" s="182">
        <f t="shared" si="2788"/>
        <v>4.6383561643835618</v>
      </c>
      <c r="R587" s="182">
        <f t="shared" si="2788"/>
        <v>5.1383561643835618</v>
      </c>
      <c r="S587" s="182">
        <f t="shared" si="2788"/>
        <v>5.6383561643835618</v>
      </c>
      <c r="T587" s="182">
        <f t="shared" si="2788"/>
        <v>6.1383561643835618</v>
      </c>
      <c r="U587" s="182">
        <f t="shared" si="2788"/>
        <v>6.6383561643835618</v>
      </c>
      <c r="V587" s="182">
        <f t="shared" si="2788"/>
        <v>7.1383561643835618</v>
      </c>
      <c r="W587" s="182">
        <f t="shared" si="2788"/>
        <v>7.6383561643835618</v>
      </c>
      <c r="X587" s="182">
        <f t="shared" si="2788"/>
        <v>8.1383561643835609</v>
      </c>
      <c r="Y587" s="182">
        <f t="shared" si="2788"/>
        <v>8.1397260273972609</v>
      </c>
    </row>
    <row r="588" spans="2:25">
      <c r="B588" t="s">
        <v>211</v>
      </c>
      <c r="H588" s="183">
        <f>1+((INDEX('Yield Curve'!$B$48:$P$91,MATCH(ROUND(H587,0),'Yield Curve'!$B$48:$B$91,0),MATCH(YEAR($B586),'Yield Curve'!$B$48:$P$48,0)))/100)</f>
        <v>1.02305</v>
      </c>
      <c r="I588" s="183">
        <f>1+((INDEX('Yield Curve'!$B$48:$P$91,MATCH(ROUND(I587,0),'Yield Curve'!$B$48:$B$91,0),MATCH(YEAR($B586),'Yield Curve'!$B$48:$P$48,0)))/100)</f>
        <v>1.02305</v>
      </c>
      <c r="J588" s="183">
        <f>1+((INDEX('Yield Curve'!$B$48:$P$91,MATCH(ROUND(J587,0),'Yield Curve'!$B$48:$B$91,0),MATCH(YEAR($B586),'Yield Curve'!$B$48:$P$48,0)))/100)</f>
        <v>1.02305</v>
      </c>
      <c r="K588" s="183">
        <f>1+((INDEX('Yield Curve'!$B$48:$P$91,MATCH(ROUND(K587,0),'Yield Curve'!$B$48:$B$91,0),MATCH(YEAR($B586),'Yield Curve'!$B$48:$P$48,0)))/100)</f>
        <v>1.02305</v>
      </c>
      <c r="L588" s="183">
        <f>1+((INDEX('Yield Curve'!$B$48:$P$91,MATCH(ROUND(L587,0),'Yield Curve'!$B$48:$B$91,0),MATCH(YEAR($B586),'Yield Curve'!$B$48:$P$48,0)))/100)</f>
        <v>1.02305</v>
      </c>
      <c r="M588" s="183">
        <f>1+((INDEX('Yield Curve'!$B$48:$P$91,MATCH(ROUND(M587,0),'Yield Curve'!$B$48:$B$91,0),MATCH(YEAR($B586),'Yield Curve'!$B$48:$P$48,0)))/100)</f>
        <v>1.02305</v>
      </c>
      <c r="N588" s="183">
        <f>1+((INDEX('Yield Curve'!$B$48:$P$91,MATCH(ROUND(N587,0),'Yield Curve'!$B$48:$B$91,0),MATCH(YEAR($B586),'Yield Curve'!$B$48:$P$48,0)))/100)</f>
        <v>1.02305</v>
      </c>
      <c r="O588" s="183">
        <f>1+((INDEX('Yield Curve'!$B$48:$P$91,MATCH(ROUND(O587,0),'Yield Curve'!$B$48:$B$91,0),MATCH(YEAR($B586),'Yield Curve'!$B$48:$P$48,0)))/100)</f>
        <v>1.024575</v>
      </c>
      <c r="P588" s="183">
        <f>1+((INDEX('Yield Curve'!$B$48:$P$91,MATCH(ROUND(P587,0),'Yield Curve'!$B$48:$B$91,0),MATCH(YEAR($B586),'Yield Curve'!$B$48:$P$48,0)))/100)</f>
        <v>1.024575</v>
      </c>
      <c r="Q588" s="183">
        <f>1+((INDEX('Yield Curve'!$B$48:$P$91,MATCH(ROUND(Q587,0),'Yield Curve'!$B$48:$B$91,0),MATCH(YEAR($B586),'Yield Curve'!$B$48:$P$48,0)))/100)</f>
        <v>1.0261</v>
      </c>
      <c r="R588" s="183">
        <f>1+((INDEX('Yield Curve'!$B$48:$P$91,MATCH(ROUND(R587,0),'Yield Curve'!$B$48:$B$91,0),MATCH(YEAR($B586),'Yield Curve'!$B$48:$P$48,0)))/100)</f>
        <v>1.0261</v>
      </c>
      <c r="S588" s="183">
        <f>1+((INDEX('Yield Curve'!$B$48:$P$91,MATCH(ROUND(S587,0),'Yield Curve'!$B$48:$B$91,0),MATCH(YEAR($B586),'Yield Curve'!$B$48:$P$48,0)))/100)</f>
        <v>1.028375</v>
      </c>
      <c r="T588" s="183">
        <f>1+((INDEX('Yield Curve'!$B$48:$P$91,MATCH(ROUND(T587,0),'Yield Curve'!$B$48:$B$91,0),MATCH(YEAR($B586),'Yield Curve'!$B$48:$P$48,0)))/100)</f>
        <v>1.028375</v>
      </c>
      <c r="U588" s="183">
        <f>1+((INDEX('Yield Curve'!$B$48:$P$91,MATCH(ROUND(U587,0),'Yield Curve'!$B$48:$B$91,0),MATCH(YEAR($B586),'Yield Curve'!$B$48:$P$48,0)))/100)</f>
        <v>1.0306500000000001</v>
      </c>
      <c r="V588" s="183">
        <f>1+((INDEX('Yield Curve'!$B$48:$P$91,MATCH(ROUND(V587,0),'Yield Curve'!$B$48:$B$91,0),MATCH(YEAR($B586),'Yield Curve'!$B$48:$P$48,0)))/100)</f>
        <v>1.0306500000000001</v>
      </c>
      <c r="W588" s="183">
        <f>1+((INDEX('Yield Curve'!$B$48:$P$91,MATCH(ROUND(W587,0),'Yield Curve'!$B$48:$B$91,0),MATCH(YEAR($B586),'Yield Curve'!$B$48:$P$48,0)))/100)</f>
        <v>1.0318624999999999</v>
      </c>
      <c r="X588" s="183">
        <f>1+((INDEX('Yield Curve'!$B$48:$P$91,MATCH(ROUND(X587,0),'Yield Curve'!$B$48:$B$91,0),MATCH(YEAR($B586),'Yield Curve'!$B$48:$P$48,0)))/100)</f>
        <v>1.0318624999999999</v>
      </c>
      <c r="Y588" s="183">
        <f>1+((INDEX('Yield Curve'!$B$48:$P$91,MATCH(ROUND(Y587,0),'Yield Curve'!$B$48:$B$91,0),MATCH(YEAR($B586),'Yield Curve'!$B$48:$P$48,0)))/100)</f>
        <v>1.0318624999999999</v>
      </c>
    </row>
    <row r="589" spans="2:25">
      <c r="B589" t="s">
        <v>212</v>
      </c>
      <c r="H589" s="182">
        <f t="shared" ref="H589:Y589" si="2789">H$557/(H588^H587)</f>
        <v>2.9905561646828485</v>
      </c>
      <c r="I589" s="182">
        <f t="shared" si="2789"/>
        <v>2.9566746197906189</v>
      </c>
      <c r="J589" s="182">
        <f t="shared" si="2789"/>
        <v>2.9231769363011075</v>
      </c>
      <c r="K589" s="182">
        <f t="shared" si="2789"/>
        <v>2.8900587652515699</v>
      </c>
      <c r="L589" s="182">
        <f t="shared" si="2789"/>
        <v>2.8573158069508899</v>
      </c>
      <c r="M589" s="182">
        <f t="shared" si="2789"/>
        <v>2.8249438104213573</v>
      </c>
      <c r="N589" s="182">
        <f t="shared" si="2789"/>
        <v>2.7929385728467717</v>
      </c>
      <c r="O589" s="182">
        <f t="shared" si="2789"/>
        <v>2.7463717282052151</v>
      </c>
      <c r="P589" s="182">
        <f t="shared" si="2789"/>
        <v>2.7132351976499902</v>
      </c>
      <c r="Q589" s="182">
        <f t="shared" si="2789"/>
        <v>2.6620701655757486</v>
      </c>
      <c r="R589" s="182">
        <f t="shared" si="2789"/>
        <v>2.6279957249779504</v>
      </c>
      <c r="S589" s="182">
        <f t="shared" si="2789"/>
        <v>2.56216274245635</v>
      </c>
      <c r="T589" s="182">
        <f t="shared" si="2789"/>
        <v>2.5265677972621465</v>
      </c>
      <c r="U589" s="182">
        <f t="shared" si="2789"/>
        <v>2.4551859432314425</v>
      </c>
      <c r="V589" s="182">
        <f t="shared" si="2789"/>
        <v>2.4184036250331014</v>
      </c>
      <c r="W589" s="182">
        <f t="shared" si="2789"/>
        <v>2.3608743226015281</v>
      </c>
      <c r="X589" s="182">
        <f t="shared" si="2789"/>
        <v>2.3241382268994113</v>
      </c>
      <c r="Y589" s="182">
        <f t="shared" si="2789"/>
        <v>116.20191846759795</v>
      </c>
    </row>
    <row r="590" spans="2:25">
      <c r="B590" s="135">
        <v>44012</v>
      </c>
    </row>
    <row r="591" spans="2:25">
      <c r="B591" t="s">
        <v>210</v>
      </c>
      <c r="J591" s="182">
        <f t="shared" ref="J591:Y591" si="2790">(J$580-$B590)/365</f>
        <v>0.13561643835616438</v>
      </c>
      <c r="K591" s="182">
        <f t="shared" si="2790"/>
        <v>0.63561643835616444</v>
      </c>
      <c r="L591" s="182">
        <f t="shared" si="2790"/>
        <v>1.1356164383561644</v>
      </c>
      <c r="M591" s="182">
        <f t="shared" si="2790"/>
        <v>1.6356164383561644</v>
      </c>
      <c r="N591" s="182">
        <f t="shared" si="2790"/>
        <v>2.1356164383561644</v>
      </c>
      <c r="O591" s="182">
        <f t="shared" si="2790"/>
        <v>2.6356164383561644</v>
      </c>
      <c r="P591" s="182">
        <f t="shared" si="2790"/>
        <v>3.1356164383561644</v>
      </c>
      <c r="Q591" s="182">
        <f t="shared" si="2790"/>
        <v>3.6356164383561644</v>
      </c>
      <c r="R591" s="182">
        <f t="shared" si="2790"/>
        <v>4.1356164383561644</v>
      </c>
      <c r="S591" s="182">
        <f t="shared" si="2790"/>
        <v>4.6356164383561644</v>
      </c>
      <c r="T591" s="182">
        <f t="shared" si="2790"/>
        <v>5.1356164383561644</v>
      </c>
      <c r="U591" s="182">
        <f t="shared" si="2790"/>
        <v>5.6356164383561644</v>
      </c>
      <c r="V591" s="182">
        <f t="shared" si="2790"/>
        <v>6.1356164383561644</v>
      </c>
      <c r="W591" s="182">
        <f t="shared" si="2790"/>
        <v>6.6356164383561644</v>
      </c>
      <c r="X591" s="182">
        <f t="shared" si="2790"/>
        <v>7.1356164383561644</v>
      </c>
      <c r="Y591" s="182">
        <f t="shared" si="2790"/>
        <v>7.1369863013698627</v>
      </c>
    </row>
    <row r="592" spans="2:25">
      <c r="B592" t="s">
        <v>211</v>
      </c>
      <c r="J592" s="183">
        <f>1+((INDEX('Yield Curve'!$B$48:$P$91,MATCH(ROUND(J591,0),'Yield Curve'!$B$48:$B$91,0),MATCH(YEAR($B590),'Yield Curve'!$B$48:$P$48,0)))/100)</f>
        <v>1.02105</v>
      </c>
      <c r="K592" s="183">
        <f>1+((INDEX('Yield Curve'!$B$48:$P$91,MATCH(ROUND(K591,0),'Yield Curve'!$B$48:$B$91,0),MATCH(YEAR($B590),'Yield Curve'!$B$48:$P$48,0)))/100)</f>
        <v>1.02105</v>
      </c>
      <c r="L592" s="183">
        <f>1+((INDEX('Yield Curve'!$B$48:$P$91,MATCH(ROUND(L591,0),'Yield Curve'!$B$48:$B$91,0),MATCH(YEAR($B590),'Yield Curve'!$B$48:$P$48,0)))/100)</f>
        <v>1.02105</v>
      </c>
      <c r="M592" s="183">
        <f>1+((INDEX('Yield Curve'!$B$48:$P$91,MATCH(ROUND(M591,0),'Yield Curve'!$B$48:$B$91,0),MATCH(YEAR($B590),'Yield Curve'!$B$48:$P$48,0)))/100)</f>
        <v>1.02105</v>
      </c>
      <c r="N592" s="183">
        <f>1+((INDEX('Yield Curve'!$B$48:$P$91,MATCH(ROUND(N591,0),'Yield Curve'!$B$48:$B$91,0),MATCH(YEAR($B590),'Yield Curve'!$B$48:$P$48,0)))/100)</f>
        <v>1.02105</v>
      </c>
      <c r="O592" s="183">
        <f>1+((INDEX('Yield Curve'!$B$48:$P$91,MATCH(ROUND(O591,0),'Yield Curve'!$B$48:$B$91,0),MATCH(YEAR($B590),'Yield Curve'!$B$48:$P$48,0)))/100)</f>
        <v>1.02105</v>
      </c>
      <c r="P592" s="183">
        <f>1+((INDEX('Yield Curve'!$B$48:$P$91,MATCH(ROUND(P591,0),'Yield Curve'!$B$48:$B$91,0),MATCH(YEAR($B590),'Yield Curve'!$B$48:$P$48,0)))/100)</f>
        <v>1.02105</v>
      </c>
      <c r="Q592" s="183">
        <f>1+((INDEX('Yield Curve'!$B$48:$P$91,MATCH(ROUND(Q591,0),'Yield Curve'!$B$48:$B$91,0),MATCH(YEAR($B590),'Yield Curve'!$B$48:$P$48,0)))/100)</f>
        <v>1.0229999999999999</v>
      </c>
      <c r="R592" s="183">
        <f>1+((INDEX('Yield Curve'!$B$48:$P$91,MATCH(ROUND(R591,0),'Yield Curve'!$B$48:$B$91,0),MATCH(YEAR($B590),'Yield Curve'!$B$48:$P$48,0)))/100)</f>
        <v>1.0229999999999999</v>
      </c>
      <c r="S592" s="183">
        <f>1+((INDEX('Yield Curve'!$B$48:$P$91,MATCH(ROUND(S591,0),'Yield Curve'!$B$48:$B$91,0),MATCH(YEAR($B590),'Yield Curve'!$B$48:$P$48,0)))/100)</f>
        <v>1.02495</v>
      </c>
      <c r="T592" s="183">
        <f>1+((INDEX('Yield Curve'!$B$48:$P$91,MATCH(ROUND(T591,0),'Yield Curve'!$B$48:$B$91,0),MATCH(YEAR($B590),'Yield Curve'!$B$48:$P$48,0)))/100)</f>
        <v>1.02495</v>
      </c>
      <c r="U592" s="183">
        <f>1+((INDEX('Yield Curve'!$B$48:$P$91,MATCH(ROUND(U591,0),'Yield Curve'!$B$48:$B$91,0),MATCH(YEAR($B590),'Yield Curve'!$B$48:$P$48,0)))/100)</f>
        <v>1.0282249999999999</v>
      </c>
      <c r="V592" s="183">
        <f>1+((INDEX('Yield Curve'!$B$48:$P$91,MATCH(ROUND(V591,0),'Yield Curve'!$B$48:$B$91,0),MATCH(YEAR($B590),'Yield Curve'!$B$48:$P$48,0)))/100)</f>
        <v>1.0282249999999999</v>
      </c>
      <c r="W592" s="183">
        <f>1+((INDEX('Yield Curve'!$B$48:$P$91,MATCH(ROUND(W591,0),'Yield Curve'!$B$48:$B$91,0),MATCH(YEAR($B590),'Yield Curve'!$B$48:$P$48,0)))/100)</f>
        <v>1.0315000000000001</v>
      </c>
      <c r="X592" s="183">
        <f>1+((INDEX('Yield Curve'!$B$48:$P$91,MATCH(ROUND(X591,0),'Yield Curve'!$B$48:$B$91,0),MATCH(YEAR($B590),'Yield Curve'!$B$48:$P$48,0)))/100)</f>
        <v>1.0315000000000001</v>
      </c>
      <c r="Y592" s="183">
        <f>1+((INDEX('Yield Curve'!$B$48:$P$91,MATCH(ROUND(Y591,0),'Yield Curve'!$B$48:$B$91,0),MATCH(YEAR($B590),'Yield Curve'!$B$48:$P$48,0)))/100)</f>
        <v>1.0315000000000001</v>
      </c>
    </row>
    <row r="593" spans="2:25">
      <c r="B593" t="s">
        <v>212</v>
      </c>
      <c r="J593" s="182">
        <f t="shared" ref="J593:Y593" si="2791">J$557/(J592^J591)</f>
        <v>2.9915366750735286</v>
      </c>
      <c r="K593" s="182">
        <f t="shared" si="2791"/>
        <v>2.9605392735241365</v>
      </c>
      <c r="L593" s="182">
        <f t="shared" si="2791"/>
        <v>2.9298630577087592</v>
      </c>
      <c r="M593" s="182">
        <f t="shared" si="2791"/>
        <v>2.8995046995976077</v>
      </c>
      <c r="N593" s="182">
        <f t="shared" si="2791"/>
        <v>2.8694609056449334</v>
      </c>
      <c r="O593" s="182">
        <f t="shared" si="2791"/>
        <v>2.8397284164317194</v>
      </c>
      <c r="P593" s="182">
        <f t="shared" si="2791"/>
        <v>2.8103040063120646</v>
      </c>
      <c r="Q593" s="182">
        <f t="shared" si="2791"/>
        <v>2.761959070377034</v>
      </c>
      <c r="R593" s="182">
        <f t="shared" si="2791"/>
        <v>2.7307341502699614</v>
      </c>
      <c r="S593" s="182">
        <f t="shared" si="2791"/>
        <v>2.6761332646898679</v>
      </c>
      <c r="T593" s="182">
        <f t="shared" si="2791"/>
        <v>2.6433605031063312</v>
      </c>
      <c r="U593" s="182">
        <f t="shared" si="2791"/>
        <v>2.5644664825840646</v>
      </c>
      <c r="V593" s="182">
        <f t="shared" si="2791"/>
        <v>2.5290239825393841</v>
      </c>
      <c r="W593" s="182">
        <f t="shared" si="2791"/>
        <v>2.441994016036225</v>
      </c>
      <c r="X593" s="182">
        <f t="shared" si="2791"/>
        <v>2.4044180482213231</v>
      </c>
      <c r="Y593" s="182">
        <f t="shared" si="2791"/>
        <v>120.21579493394239</v>
      </c>
    </row>
    <row r="594" spans="2:25">
      <c r="B594" s="135">
        <v>44377</v>
      </c>
    </row>
    <row r="595" spans="2:25">
      <c r="B595" t="s">
        <v>210</v>
      </c>
      <c r="L595" s="182">
        <f t="shared" ref="L595:Y595" si="2792">(L$580-$B594)/365</f>
        <v>0.13561643835616438</v>
      </c>
      <c r="M595" s="182">
        <f t="shared" si="2792"/>
        <v>0.63561643835616444</v>
      </c>
      <c r="N595" s="182">
        <f t="shared" si="2792"/>
        <v>1.1356164383561644</v>
      </c>
      <c r="O595" s="182">
        <f t="shared" si="2792"/>
        <v>1.6356164383561644</v>
      </c>
      <c r="P595" s="182">
        <f t="shared" si="2792"/>
        <v>2.1356164383561644</v>
      </c>
      <c r="Q595" s="182">
        <f t="shared" si="2792"/>
        <v>2.6356164383561644</v>
      </c>
      <c r="R595" s="182">
        <f t="shared" si="2792"/>
        <v>3.1356164383561644</v>
      </c>
      <c r="S595" s="182">
        <f t="shared" si="2792"/>
        <v>3.6356164383561644</v>
      </c>
      <c r="T595" s="182">
        <f t="shared" si="2792"/>
        <v>4.1356164383561644</v>
      </c>
      <c r="U595" s="182">
        <f t="shared" si="2792"/>
        <v>4.6356164383561644</v>
      </c>
      <c r="V595" s="182">
        <f t="shared" si="2792"/>
        <v>5.1356164383561644</v>
      </c>
      <c r="W595" s="182">
        <f t="shared" si="2792"/>
        <v>5.6356164383561644</v>
      </c>
      <c r="X595" s="182">
        <f t="shared" si="2792"/>
        <v>6.1356164383561644</v>
      </c>
      <c r="Y595" s="182">
        <f t="shared" si="2792"/>
        <v>6.1369863013698627</v>
      </c>
    </row>
    <row r="596" spans="2:25">
      <c r="B596" t="s">
        <v>211</v>
      </c>
      <c r="L596" s="183">
        <f>1+((INDEX('Yield Curve'!$B$48:$P$91,MATCH(ROUND(L595,0),'Yield Curve'!$B$48:$B$91,0),MATCH(YEAR($B594),'Yield Curve'!$B$48:$P$48,0)))/100)</f>
        <v>1.0129999999999999</v>
      </c>
      <c r="M596" s="183">
        <f>1+((INDEX('Yield Curve'!$B$48:$P$91,MATCH(ROUND(M595,0),'Yield Curve'!$B$48:$B$91,0),MATCH(YEAR($B594),'Yield Curve'!$B$48:$P$48,0)))/100)</f>
        <v>1.0129999999999999</v>
      </c>
      <c r="N596" s="183">
        <f>1+((INDEX('Yield Curve'!$B$48:$P$91,MATCH(ROUND(N595,0),'Yield Curve'!$B$48:$B$91,0),MATCH(YEAR($B594),'Yield Curve'!$B$48:$P$48,0)))/100)</f>
        <v>1.0129999999999999</v>
      </c>
      <c r="O596" s="183">
        <f>1+((INDEX('Yield Curve'!$B$48:$P$91,MATCH(ROUND(O595,0),'Yield Curve'!$B$48:$B$91,0),MATCH(YEAR($B594),'Yield Curve'!$B$48:$P$48,0)))/100)</f>
        <v>1.0129999999999999</v>
      </c>
      <c r="P596" s="183">
        <f>1+((INDEX('Yield Curve'!$B$48:$P$91,MATCH(ROUND(P595,0),'Yield Curve'!$B$48:$B$91,0),MATCH(YEAR($B594),'Yield Curve'!$B$48:$P$48,0)))/100)</f>
        <v>1.0129999999999999</v>
      </c>
      <c r="Q596" s="183">
        <f>1+((INDEX('Yield Curve'!$B$48:$P$91,MATCH(ROUND(Q595,0),'Yield Curve'!$B$48:$B$91,0),MATCH(YEAR($B594),'Yield Curve'!$B$48:$P$48,0)))/100)</f>
        <v>1.0129999999999999</v>
      </c>
      <c r="R596" s="183">
        <f>1+((INDEX('Yield Curve'!$B$48:$P$91,MATCH(ROUND(R595,0),'Yield Curve'!$B$48:$B$91,0),MATCH(YEAR($B594),'Yield Curve'!$B$48:$P$48,0)))/100)</f>
        <v>1.0129999999999999</v>
      </c>
      <c r="S596" s="183">
        <f>1+((INDEX('Yield Curve'!$B$48:$P$91,MATCH(ROUND(S595,0),'Yield Curve'!$B$48:$B$91,0),MATCH(YEAR($B594),'Yield Curve'!$B$48:$P$48,0)))/100)</f>
        <v>1.0161249999999999</v>
      </c>
      <c r="T596" s="183">
        <f>1+((INDEX('Yield Curve'!$B$48:$P$91,MATCH(ROUND(T595,0),'Yield Curve'!$B$48:$B$91,0),MATCH(YEAR($B594),'Yield Curve'!$B$48:$P$48,0)))/100)</f>
        <v>1.0161249999999999</v>
      </c>
      <c r="U596" s="183">
        <f>1+((INDEX('Yield Curve'!$B$48:$P$91,MATCH(ROUND(U595,0),'Yield Curve'!$B$48:$B$91,0),MATCH(YEAR($B594),'Yield Curve'!$B$48:$P$48,0)))/100)</f>
        <v>1.01925</v>
      </c>
      <c r="V596" s="183">
        <f>1+((INDEX('Yield Curve'!$B$48:$P$91,MATCH(ROUND(V595,0),'Yield Curve'!$B$48:$B$91,0),MATCH(YEAR($B594),'Yield Curve'!$B$48:$P$48,0)))/100)</f>
        <v>1.01925</v>
      </c>
      <c r="W596" s="183">
        <f>1+((INDEX('Yield Curve'!$B$48:$P$91,MATCH(ROUND(W595,0),'Yield Curve'!$B$48:$B$91,0),MATCH(YEAR($B594),'Yield Curve'!$B$48:$P$48,0)))/100)</f>
        <v>1.022775</v>
      </c>
      <c r="X596" s="183">
        <f>1+((INDEX('Yield Curve'!$B$48:$P$91,MATCH(ROUND(X595,0),'Yield Curve'!$B$48:$B$91,0),MATCH(YEAR($B594),'Yield Curve'!$B$48:$P$48,0)))/100)</f>
        <v>1.022775</v>
      </c>
      <c r="Y596" s="183">
        <f>1+((INDEX('Yield Curve'!$B$48:$P$91,MATCH(ROUND(Y595,0),'Yield Curve'!$B$48:$B$91,0),MATCH(YEAR($B594),'Yield Curve'!$B$48:$P$48,0)))/100)</f>
        <v>1.022775</v>
      </c>
    </row>
    <row r="597" spans="2:25">
      <c r="B597" t="s">
        <v>212</v>
      </c>
      <c r="L597" s="182">
        <f t="shared" ref="L597:Y597" si="2793">L$557/(L596^L595)</f>
        <v>2.9947496423404769</v>
      </c>
      <c r="M597" s="182">
        <f t="shared" si="2793"/>
        <v>2.9754715289585709</v>
      </c>
      <c r="N597" s="182">
        <f t="shared" si="2793"/>
        <v>2.9563175146500269</v>
      </c>
      <c r="O597" s="182">
        <f t="shared" si="2793"/>
        <v>2.9372868005514032</v>
      </c>
      <c r="P597" s="182">
        <f t="shared" si="2793"/>
        <v>2.9183785929417843</v>
      </c>
      <c r="Q597" s="182">
        <f t="shared" si="2793"/>
        <v>2.8995921032096779</v>
      </c>
      <c r="R597" s="182">
        <f t="shared" si="2793"/>
        <v>2.8809265478201227</v>
      </c>
      <c r="S597" s="182">
        <f t="shared" si="2793"/>
        <v>2.8305063324953301</v>
      </c>
      <c r="T597" s="182">
        <f t="shared" si="2793"/>
        <v>2.807957709091681</v>
      </c>
      <c r="U597" s="182">
        <f t="shared" si="2793"/>
        <v>2.7462180189743006</v>
      </c>
      <c r="V597" s="182">
        <f t="shared" si="2793"/>
        <v>2.7201612671571147</v>
      </c>
      <c r="W597" s="182">
        <f t="shared" si="2793"/>
        <v>2.6424351664018926</v>
      </c>
      <c r="X597" s="182">
        <f t="shared" si="2793"/>
        <v>2.6128488586803016</v>
      </c>
      <c r="Y597" s="182">
        <f t="shared" si="2793"/>
        <v>130.63841285193934</v>
      </c>
    </row>
    <row r="598" spans="2:25">
      <c r="B598" s="135">
        <v>44552</v>
      </c>
    </row>
    <row r="599" spans="2:25">
      <c r="B599" t="s">
        <v>210</v>
      </c>
      <c r="M599" s="182">
        <f t="shared" ref="M599:Y599" si="2794">(M$580-$B598)/365</f>
        <v>0.15616438356164383</v>
      </c>
      <c r="N599" s="182">
        <f t="shared" si="2794"/>
        <v>0.65616438356164386</v>
      </c>
      <c r="O599" s="182">
        <f t="shared" si="2794"/>
        <v>1.1561643835616437</v>
      </c>
      <c r="P599" s="182">
        <f t="shared" si="2794"/>
        <v>1.6561643835616437</v>
      </c>
      <c r="Q599" s="182">
        <f t="shared" si="2794"/>
        <v>2.1561643835616437</v>
      </c>
      <c r="R599" s="182">
        <f t="shared" si="2794"/>
        <v>2.6561643835616437</v>
      </c>
      <c r="S599" s="182">
        <f t="shared" si="2794"/>
        <v>3.1561643835616437</v>
      </c>
      <c r="T599" s="182">
        <f t="shared" si="2794"/>
        <v>3.6561643835616437</v>
      </c>
      <c r="U599" s="182">
        <f t="shared" si="2794"/>
        <v>4.1561643835616442</v>
      </c>
      <c r="V599" s="182">
        <f t="shared" si="2794"/>
        <v>4.6561643835616442</v>
      </c>
      <c r="W599" s="182">
        <f t="shared" si="2794"/>
        <v>5.1561643835616442</v>
      </c>
      <c r="X599" s="182">
        <f t="shared" si="2794"/>
        <v>5.6561643835616442</v>
      </c>
      <c r="Y599" s="182">
        <f t="shared" si="2794"/>
        <v>5.6575342465753424</v>
      </c>
    </row>
    <row r="600" spans="2:25">
      <c r="B600" t="s">
        <v>211</v>
      </c>
      <c r="M600" s="183">
        <f>1+((INDEX('Yield Curve'!$B$48:$P$91,MATCH(ROUND(M599,0),'Yield Curve'!$B$48:$B$91,0),MATCH(YEAR($B598)+1,'Yield Curve'!$B$48:$P$48,0)))/100)</f>
        <v>1.0212000000000001</v>
      </c>
      <c r="N600" s="183">
        <f>1+((INDEX('Yield Curve'!$B$48:$P$91,MATCH(ROUND(N599,0),'Yield Curve'!$B$48:$B$91,0),MATCH(YEAR($B598)+1,'Yield Curve'!$B$48:$P$48,0)))/100)</f>
        <v>1.0212000000000001</v>
      </c>
      <c r="O600" s="183">
        <f>1+((INDEX('Yield Curve'!$B$48:$P$91,MATCH(ROUND(O599,0),'Yield Curve'!$B$48:$B$91,0),MATCH(YEAR($B598)+1,'Yield Curve'!$B$48:$P$48,0)))/100)</f>
        <v>1.0212000000000001</v>
      </c>
      <c r="P600" s="183">
        <f>1+((INDEX('Yield Curve'!$B$48:$P$91,MATCH(ROUND(P599,0),'Yield Curve'!$B$48:$B$91,0),MATCH(YEAR($B598)+1,'Yield Curve'!$B$48:$P$48,0)))/100)</f>
        <v>1.0212000000000001</v>
      </c>
      <c r="Q600" s="183">
        <f>1+((INDEX('Yield Curve'!$B$48:$P$91,MATCH(ROUND(Q599,0),'Yield Curve'!$B$48:$B$91,0),MATCH(YEAR($B598)+1,'Yield Curve'!$B$48:$P$48,0)))/100)</f>
        <v>1.0212000000000001</v>
      </c>
      <c r="R600" s="183">
        <f>1+((INDEX('Yield Curve'!$B$48:$P$91,MATCH(ROUND(R599,0),'Yield Curve'!$B$48:$B$91,0),MATCH(YEAR($B598)+1,'Yield Curve'!$B$48:$P$48,0)))/100)</f>
        <v>1.0212000000000001</v>
      </c>
      <c r="S600" s="183">
        <f>1+((INDEX('Yield Curve'!$B$48:$P$91,MATCH(ROUND(S599,0),'Yield Curve'!$B$48:$B$91,0),MATCH(YEAR($B598)+1,'Yield Curve'!$B$48:$P$48,0)))/100)</f>
        <v>1.0212000000000001</v>
      </c>
      <c r="T600" s="183">
        <f>1+((INDEX('Yield Curve'!$B$48:$P$91,MATCH(ROUND(T599,0),'Yield Curve'!$B$48:$B$91,0),MATCH(YEAR($B598)+1,'Yield Curve'!$B$48:$P$48,0)))/100)</f>
        <v>1.0245</v>
      </c>
      <c r="U600" s="183">
        <f>1+((INDEX('Yield Curve'!$B$48:$P$91,MATCH(ROUND(U599,0),'Yield Curve'!$B$48:$B$91,0),MATCH(YEAR($B598)+1,'Yield Curve'!$B$48:$P$48,0)))/100)</f>
        <v>1.0245</v>
      </c>
      <c r="V600" s="183">
        <f>1+((INDEX('Yield Curve'!$B$48:$P$91,MATCH(ROUND(V599,0),'Yield Curve'!$B$48:$B$91,0),MATCH(YEAR($B598)+1,'Yield Curve'!$B$48:$P$48,0)))/100)</f>
        <v>1.0278</v>
      </c>
      <c r="W600" s="183">
        <f>1+((INDEX('Yield Curve'!$B$48:$P$91,MATCH(ROUND(W599,0),'Yield Curve'!$B$48:$B$91,0),MATCH(YEAR($B598)+1,'Yield Curve'!$B$48:$P$48,0)))/100)</f>
        <v>1.0278</v>
      </c>
      <c r="X600" s="183">
        <f>1+((INDEX('Yield Curve'!$B$48:$P$91,MATCH(ROUND(X599,0),'Yield Curve'!$B$48:$B$91,0),MATCH(YEAR($B598)+1,'Yield Curve'!$B$48:$P$48,0)))/100)</f>
        <v>1.030375</v>
      </c>
      <c r="Y600" s="183">
        <f>1+((INDEX('Yield Curve'!$B$48:$P$91,MATCH(ROUND(Y599,0),'Yield Curve'!$B$48:$B$91,0),MATCH(YEAR($B598)+1,'Yield Curve'!$B$48:$P$48,0)))/100)</f>
        <v>1.030375</v>
      </c>
    </row>
    <row r="601" spans="2:25">
      <c r="B601" t="s">
        <v>212</v>
      </c>
      <c r="M601" s="182">
        <f t="shared" ref="M601:Y601" si="2795">M$557/(M600^M599)</f>
        <v>2.9901878417793304</v>
      </c>
      <c r="N601" s="182">
        <f t="shared" si="2795"/>
        <v>2.9589870755783987</v>
      </c>
      <c r="O601" s="182">
        <f t="shared" si="2795"/>
        <v>2.9281118701325206</v>
      </c>
      <c r="P601" s="182">
        <f t="shared" si="2795"/>
        <v>2.8975588284159794</v>
      </c>
      <c r="Q601" s="182">
        <f t="shared" si="2795"/>
        <v>2.8673245888489234</v>
      </c>
      <c r="R601" s="182">
        <f t="shared" si="2795"/>
        <v>2.837405824927516</v>
      </c>
      <c r="S601" s="182">
        <f t="shared" si="2795"/>
        <v>2.8077992448579345</v>
      </c>
      <c r="T601" s="182">
        <f t="shared" si="2795"/>
        <v>2.745919435172524</v>
      </c>
      <c r="U601" s="182">
        <f t="shared" si="2795"/>
        <v>2.7128876567638702</v>
      </c>
      <c r="V601" s="182">
        <f t="shared" si="2795"/>
        <v>2.6404186606669064</v>
      </c>
      <c r="W601" s="182">
        <f t="shared" si="2795"/>
        <v>2.6044647670311791</v>
      </c>
      <c r="X601" s="182">
        <f t="shared" si="2795"/>
        <v>2.5328975797556947</v>
      </c>
      <c r="Y601" s="182">
        <f t="shared" si="2795"/>
        <v>126.63968790087057</v>
      </c>
    </row>
    <row r="603" spans="2:25">
      <c r="B603" s="5" t="str">
        <f>'VPN Bonds'!A100</f>
        <v>30841990061</v>
      </c>
      <c r="C603" t="s">
        <v>213</v>
      </c>
    </row>
    <row r="604" spans="2:25">
      <c r="B604" t="s">
        <v>66</v>
      </c>
      <c r="D604" s="180">
        <f>VLOOKUP(B603,'VPN Bonds'!$A$85:$K$104,4,FALSE)</f>
        <v>42790</v>
      </c>
      <c r="E604" s="180">
        <f>VLOOKUP(B603,'VPN Bonds'!$A$85:$K$104,10,FALSE)</f>
        <v>43155</v>
      </c>
      <c r="F604" s="180">
        <f>IF(E604+VLOOKUP($B603,'VPN Bonds'!$A$85:$K$104,9,FALSE)*365 &lt; VLOOKUP($B603,'VPN Bonds'!$A$85:$K$104,5,FALSE), E604+VLOOKUP($B603,'VPN Bonds'!$A$85:$K$104,9,FALSE)*365, VLOOKUP($B603,'VPN Bonds'!$A$85:$K$104,5,FALSE))</f>
        <v>43520</v>
      </c>
      <c r="G604" s="180">
        <f>IF(F604+VLOOKUP($B603,'VPN Bonds'!$A$85:$K$104,9,FALSE)*365 &lt; VLOOKUP($B603,'VPN Bonds'!$A$85:$K$104,5,FALSE), F604+VLOOKUP($B603,'VPN Bonds'!$A$85:$K$104,9,FALSE)*365, VLOOKUP($B603,'VPN Bonds'!$A$85:$K$104,5,FALSE))</f>
        <v>43885</v>
      </c>
      <c r="H604" s="180">
        <f>IF(G604+VLOOKUP($B603,'VPN Bonds'!$A$85:$K$104,9,FALSE)*365 &lt; VLOOKUP($B603,'VPN Bonds'!$A$85:$K$104,5,FALSE), G604+VLOOKUP($B603,'VPN Bonds'!$A$85:$K$104,9,FALSE)*365, VLOOKUP($B603,'VPN Bonds'!$A$85:$K$104,5,FALSE))</f>
        <v>44250</v>
      </c>
      <c r="I604" s="180">
        <f>IF(H604+VLOOKUP($B603,'VPN Bonds'!$A$85:$K$104,9,FALSE)*365 &lt; VLOOKUP($B603,'VPN Bonds'!$A$85:$K$104,5,FALSE), H604+VLOOKUP($B603,'VPN Bonds'!$A$85:$K$104,9,FALSE)*365, VLOOKUP($B603,'VPN Bonds'!$A$85:$K$104,5,FALSE))</f>
        <v>44615</v>
      </c>
      <c r="J604" s="180">
        <f>IF(I604+VLOOKUP($B603,'VPN Bonds'!$A$85:$K$104,9,FALSE)*365 &lt; VLOOKUP($B603,'VPN Bonds'!$A$85:$K$104,5,FALSE), I604+VLOOKUP($B603,'VPN Bonds'!$A$85:$K$104,9,FALSE)*365, VLOOKUP($B603,'VPN Bonds'!$A$85:$K$104,5,FALSE))</f>
        <v>44980</v>
      </c>
      <c r="K604" s="180">
        <f>IF(J604+VLOOKUP($B603,'VPN Bonds'!$A$85:$K$104,9,FALSE)*365 &lt; VLOOKUP($B603,'VPN Bonds'!$A$85:$K$104,5,FALSE), J604+VLOOKUP($B603,'VPN Bonds'!$A$85:$K$104,9,FALSE)*365, VLOOKUP($B603,'VPN Bonds'!$A$85:$K$104,5,FALSE))</f>
        <v>45345</v>
      </c>
      <c r="L604" s="180">
        <f>IF(K604+VLOOKUP($B603,'VPN Bonds'!$A$85:$K$104,9,FALSE)*365 &lt; VLOOKUP($B603,'VPN Bonds'!$A$85:$K$104,5,FALSE), K604+VLOOKUP($B603,'VPN Bonds'!$A$85:$K$104,9,FALSE)*365, VLOOKUP($B603,'VPN Bonds'!$A$85:$K$104,5,FALSE))</f>
        <v>45710</v>
      </c>
      <c r="M604" s="180">
        <f>IF(L604+VLOOKUP($B603,'VPN Bonds'!$A$85:$K$104,9,FALSE)*365 &lt; VLOOKUP($B603,'VPN Bonds'!$A$85:$K$104,5,FALSE), L604+VLOOKUP($B603,'VPN Bonds'!$A$85:$K$104,9,FALSE)*365, VLOOKUP($B603,'VPN Bonds'!$A$85:$K$104,5,FALSE))</f>
        <v>46075</v>
      </c>
      <c r="N604" s="180">
        <f>IF(M604+VLOOKUP($B603,'VPN Bonds'!$A$85:$K$104,9,FALSE)*365 &lt; VLOOKUP($B603,'VPN Bonds'!$A$85:$K$104,5,FALSE), M604+VLOOKUP($B603,'VPN Bonds'!$A$85:$K$104,9,FALSE)*365, VLOOKUP($B603,'VPN Bonds'!$A$85:$K$104,5,FALSE))</f>
        <v>46440</v>
      </c>
      <c r="O604" s="180">
        <f>IF(N604+VLOOKUP($B603,'VPN Bonds'!$A$85:$K$104,9,FALSE)*365 &lt; VLOOKUP($B603,'VPN Bonds'!$A$85:$K$104,5,FALSE), N604+VLOOKUP($B603,'VPN Bonds'!$A$85:$K$104,9,FALSE)*365, VLOOKUP($B603,'VPN Bonds'!$A$85:$K$104,5,FALSE))</f>
        <v>46442</v>
      </c>
      <c r="P604" s="27"/>
      <c r="Q604" s="27"/>
      <c r="R604" s="27"/>
      <c r="S604" s="27"/>
      <c r="T604" s="27"/>
      <c r="U604" s="27"/>
      <c r="V604" s="27"/>
      <c r="W604" s="27"/>
      <c r="X604" s="27"/>
      <c r="Y604" s="27"/>
    </row>
    <row r="605" spans="2:25">
      <c r="B605" t="s">
        <v>209</v>
      </c>
      <c r="E605" s="182">
        <f>IF(E604&lt;VLOOKUP($B603,'VPN Bonds'!$A$85:$K$104,5,FALSE),(VLOOKUP($B603,'VPN Bonds'!$A$85:$K$104,8,FALSE)/100)*(VLOOKUP($B603,'VPN Bonds'!$A$85:$K$104,9,FALSE))*(VLOOKUP($B603,'VPN Bonds'!$A$85:$K$104,6,FALSE)),(VLOOKUP($B603,'VPN Bonds'!$A$85:$K$104,6,FALSE)))</f>
        <v>9.677206</v>
      </c>
      <c r="F605" s="182">
        <f>IF(F604&lt;VLOOKUP($B603,'VPN Bonds'!$A$85:$K$104,5,FALSE),(VLOOKUP($B603,'VPN Bonds'!$A$85:$K$104,8,FALSE)/100)*(VLOOKUP($B603,'VPN Bonds'!$A$85:$K$104,9,FALSE))*(VLOOKUP($B603,'VPN Bonds'!$A$85:$K$104,6,FALSE)),(VLOOKUP($B603,'VPN Bonds'!$A$85:$K$104,6,FALSE)))</f>
        <v>9.677206</v>
      </c>
      <c r="G605" s="182">
        <f>IF(G604&lt;VLOOKUP($B603,'VPN Bonds'!$A$85:$K$104,5,FALSE),(VLOOKUP($B603,'VPN Bonds'!$A$85:$K$104,8,FALSE)/100)*(VLOOKUP($B603,'VPN Bonds'!$A$85:$K$104,9,FALSE))*(VLOOKUP($B603,'VPN Bonds'!$A$85:$K$104,6,FALSE)),(VLOOKUP($B603,'VPN Bonds'!$A$85:$K$104,6,FALSE)))</f>
        <v>9.677206</v>
      </c>
      <c r="H605" s="182">
        <f>IF(H604&lt;VLOOKUP($B603,'VPN Bonds'!$A$85:$K$104,5,FALSE),(VLOOKUP($B603,'VPN Bonds'!$A$85:$K$104,8,FALSE)/100)*(VLOOKUP($B603,'VPN Bonds'!$A$85:$K$104,9,FALSE))*(VLOOKUP($B603,'VPN Bonds'!$A$85:$K$104,6,FALSE)),(VLOOKUP($B603,'VPN Bonds'!$A$85:$K$104,6,FALSE)))</f>
        <v>9.677206</v>
      </c>
      <c r="I605" s="182">
        <f>IF(I604&lt;VLOOKUP($B603,'VPN Bonds'!$A$85:$K$104,5,FALSE),(VLOOKUP($B603,'VPN Bonds'!$A$85:$K$104,8,FALSE)/100)*(VLOOKUP($B603,'VPN Bonds'!$A$85:$K$104,9,FALSE))*(VLOOKUP($B603,'VPN Bonds'!$A$85:$K$104,6,FALSE)),(VLOOKUP($B603,'VPN Bonds'!$A$85:$K$104,6,FALSE)))</f>
        <v>9.677206</v>
      </c>
      <c r="J605" s="182">
        <f>IF(J604&lt;VLOOKUP($B603,'VPN Bonds'!$A$85:$K$104,5,FALSE),(VLOOKUP($B603,'VPN Bonds'!$A$85:$K$104,8,FALSE)/100)*(VLOOKUP($B603,'VPN Bonds'!$A$85:$K$104,9,FALSE))*(VLOOKUP($B603,'VPN Bonds'!$A$85:$K$104,6,FALSE)),(VLOOKUP($B603,'VPN Bonds'!$A$85:$K$104,6,FALSE)))</f>
        <v>9.677206</v>
      </c>
      <c r="K605" s="182">
        <f>IF(K604&lt;VLOOKUP($B603,'VPN Bonds'!$A$85:$K$104,5,FALSE),(VLOOKUP($B603,'VPN Bonds'!$A$85:$K$104,8,FALSE)/100)*(VLOOKUP($B603,'VPN Bonds'!$A$85:$K$104,9,FALSE))*(VLOOKUP($B603,'VPN Bonds'!$A$85:$K$104,6,FALSE)),(VLOOKUP($B603,'VPN Bonds'!$A$85:$K$104,6,FALSE)))</f>
        <v>9.677206</v>
      </c>
      <c r="L605" s="182">
        <f>IF(L604&lt;VLOOKUP($B603,'VPN Bonds'!$A$85:$K$104,5,FALSE),(VLOOKUP($B603,'VPN Bonds'!$A$85:$K$104,8,FALSE)/100)*(VLOOKUP($B603,'VPN Bonds'!$A$85:$K$104,9,FALSE))*(VLOOKUP($B603,'VPN Bonds'!$A$85:$K$104,6,FALSE)),(VLOOKUP($B603,'VPN Bonds'!$A$85:$K$104,6,FALSE)))</f>
        <v>9.677206</v>
      </c>
      <c r="M605" s="182">
        <f>IF(M604&lt;VLOOKUP($B603,'VPN Bonds'!$A$85:$K$104,5,FALSE),(VLOOKUP($B603,'VPN Bonds'!$A$85:$K$104,8,FALSE)/100)*(VLOOKUP($B603,'VPN Bonds'!$A$85:$K$104,9,FALSE))*(VLOOKUP($B603,'VPN Bonds'!$A$85:$K$104,6,FALSE)),(VLOOKUP($B603,'VPN Bonds'!$A$85:$K$104,6,FALSE)))</f>
        <v>9.677206</v>
      </c>
      <c r="N605" s="182">
        <f>IF(N604&lt;VLOOKUP($B603,'VPN Bonds'!$A$85:$K$104,5,FALSE),(VLOOKUP($B603,'VPN Bonds'!$A$85:$K$104,8,FALSE)/100)*(VLOOKUP($B603,'VPN Bonds'!$A$85:$K$104,9,FALSE))*(VLOOKUP($B603,'VPN Bonds'!$A$85:$K$104,6,FALSE)),(VLOOKUP($B603,'VPN Bonds'!$A$85:$K$104,6,FALSE)))</f>
        <v>9.677206</v>
      </c>
      <c r="O605" s="182">
        <f>IF(O604&lt;VLOOKUP($B603,'VPN Bonds'!$A$85:$K$104,5,FALSE),(VLOOKUP($B603,'VPN Bonds'!$A$85:$K$104,8,FALSE)/100)*(VLOOKUP($B603,'VPN Bonds'!$A$85:$K$104,9,FALSE))*(VLOOKUP($B603,'VPN Bonds'!$A$85:$K$104,6,FALSE)),(VLOOKUP($B603,'VPN Bonds'!$A$85:$K$104,6,FALSE)))</f>
        <v>294.14</v>
      </c>
    </row>
    <row r="606" spans="2:25">
      <c r="B606" s="135">
        <v>42916</v>
      </c>
    </row>
    <row r="607" spans="2:25">
      <c r="B607" t="s">
        <v>210</v>
      </c>
      <c r="E607" s="182">
        <f>(E$604-$B606)/365</f>
        <v>0.65479452054794518</v>
      </c>
      <c r="F607" s="182">
        <f t="shared" ref="F607:O607" si="2796">(F$604-$B606)/365</f>
        <v>1.6547945205479453</v>
      </c>
      <c r="G607" s="182">
        <f t="shared" si="2796"/>
        <v>2.6547945205479451</v>
      </c>
      <c r="H607" s="182">
        <f t="shared" si="2796"/>
        <v>3.6547945205479451</v>
      </c>
      <c r="I607" s="182">
        <f t="shared" si="2796"/>
        <v>4.6547945205479451</v>
      </c>
      <c r="J607" s="182">
        <f t="shared" si="2796"/>
        <v>5.6547945205479451</v>
      </c>
      <c r="K607" s="182">
        <f t="shared" si="2796"/>
        <v>6.6547945205479451</v>
      </c>
      <c r="L607" s="182">
        <f t="shared" si="2796"/>
        <v>7.6547945205479451</v>
      </c>
      <c r="M607" s="182">
        <f t="shared" si="2796"/>
        <v>8.6547945205479451</v>
      </c>
      <c r="N607" s="182">
        <f t="shared" si="2796"/>
        <v>9.6547945205479451</v>
      </c>
      <c r="O607" s="182">
        <f t="shared" si="2796"/>
        <v>9.6602739726027398</v>
      </c>
    </row>
    <row r="608" spans="2:25">
      <c r="B608" t="s">
        <v>211</v>
      </c>
      <c r="E608" s="183">
        <f>1+((INDEX('Yield Curve'!$B$48:$P$91,MATCH(ROUND(E607,0),'Yield Curve'!$B$48:$B$91,0),MATCH(YEAR($B606),'Yield Curve'!$B$48:$P$48,0)))/100)</f>
        <v>1.0326500000000001</v>
      </c>
      <c r="F608" s="183">
        <f>1+((INDEX('Yield Curve'!$B$48:$P$91,MATCH(ROUND(F607,0),'Yield Curve'!$B$48:$B$91,0),MATCH(YEAR($B606),'Yield Curve'!$B$48:$P$48,0)))/100)</f>
        <v>1.0326500000000001</v>
      </c>
      <c r="G608" s="183">
        <f>1+((INDEX('Yield Curve'!$B$48:$P$91,MATCH(ROUND(G607,0),'Yield Curve'!$B$48:$B$91,0),MATCH(YEAR($B606),'Yield Curve'!$B$48:$P$48,0)))/100)</f>
        <v>1.0326500000000001</v>
      </c>
      <c r="H608" s="183">
        <f>1+((INDEX('Yield Curve'!$B$48:$P$91,MATCH(ROUND(H607,0),'Yield Curve'!$B$48:$B$91,0),MATCH(YEAR($B606),'Yield Curve'!$B$48:$P$48,0)))/100)</f>
        <v>1.034025</v>
      </c>
      <c r="I608" s="183">
        <f>1+((INDEX('Yield Curve'!$B$48:$P$91,MATCH(ROUND(I607,0),'Yield Curve'!$B$48:$B$91,0),MATCH(YEAR($B606),'Yield Curve'!$B$48:$P$48,0)))/100)</f>
        <v>1.0354000000000001</v>
      </c>
      <c r="J608" s="183">
        <f>1+((INDEX('Yield Curve'!$B$48:$P$91,MATCH(ROUND(J607,0),'Yield Curve'!$B$48:$B$91,0),MATCH(YEAR($B606),'Yield Curve'!$B$48:$P$48,0)))/100)</f>
        <v>1.0375000000000001</v>
      </c>
      <c r="K608" s="183">
        <f>1+((INDEX('Yield Curve'!$B$48:$P$91,MATCH(ROUND(K607,0),'Yield Curve'!$B$48:$B$91,0),MATCH(YEAR($B606),'Yield Curve'!$B$48:$P$48,0)))/100)</f>
        <v>1.0396000000000001</v>
      </c>
      <c r="L608" s="183">
        <f>1+((INDEX('Yield Curve'!$B$48:$P$91,MATCH(ROUND(L607,0),'Yield Curve'!$B$48:$B$91,0),MATCH(YEAR($B606),'Yield Curve'!$B$48:$P$48,0)))/100)</f>
        <v>1.0405249999999999</v>
      </c>
      <c r="M608" s="183">
        <f>1+((INDEX('Yield Curve'!$B$48:$P$91,MATCH(ROUND(M607,0),'Yield Curve'!$B$48:$B$91,0),MATCH(YEAR($B606),'Yield Curve'!$B$48:$P$48,0)))/100)</f>
        <v>1.0423750000000001</v>
      </c>
      <c r="N608" s="183">
        <f>1+((INDEX('Yield Curve'!$B$48:$P$91,MATCH(ROUND(N607,0),'Yield Curve'!$B$48:$B$91,0),MATCH(YEAR($B606),'Yield Curve'!$B$48:$P$48,0)))/100)</f>
        <v>1.0432999999999999</v>
      </c>
      <c r="O608" s="183">
        <f>1+((INDEX('Yield Curve'!$B$48:$P$91,MATCH(ROUND(O607,0),'Yield Curve'!$B$48:$B$91,0),MATCH(YEAR($B606),'Yield Curve'!$B$48:$P$48,0)))/100)</f>
        <v>1.0432999999999999</v>
      </c>
    </row>
    <row r="609" spans="2:15">
      <c r="B609" t="s">
        <v>212</v>
      </c>
      <c r="E609" s="182">
        <f>E$605/(E608^E607)</f>
        <v>9.4757488245687878</v>
      </c>
      <c r="F609" s="182">
        <f t="shared" ref="F609:O609" si="2797">F$605/(F608^F607)</f>
        <v>9.1761476052571425</v>
      </c>
      <c r="G609" s="182">
        <f t="shared" si="2797"/>
        <v>8.8860190822225746</v>
      </c>
      <c r="H609" s="182">
        <f t="shared" si="2797"/>
        <v>8.5633170630330913</v>
      </c>
      <c r="I609" s="182">
        <f t="shared" si="2797"/>
        <v>8.2304693630405872</v>
      </c>
      <c r="J609" s="182">
        <f t="shared" si="2797"/>
        <v>7.8585158838769482</v>
      </c>
      <c r="K609" s="182">
        <f t="shared" si="2797"/>
        <v>7.473231218403166</v>
      </c>
      <c r="L609" s="182">
        <f t="shared" si="2797"/>
        <v>7.139790962607913</v>
      </c>
      <c r="M609" s="182">
        <f t="shared" si="2797"/>
        <v>6.7570336770222266</v>
      </c>
      <c r="N609" s="182">
        <f t="shared" si="2797"/>
        <v>6.4270676536221991</v>
      </c>
      <c r="O609" s="182">
        <f t="shared" si="2797"/>
        <v>195.30623191114952</v>
      </c>
    </row>
    <row r="610" spans="2:15">
      <c r="B610" s="135">
        <v>43281</v>
      </c>
    </row>
    <row r="611" spans="2:15">
      <c r="B611" t="s">
        <v>210</v>
      </c>
      <c r="F611" s="182">
        <f t="shared" ref="F611" si="2798">(F$604-$B610)/365</f>
        <v>0.65479452054794518</v>
      </c>
      <c r="G611" s="182">
        <f t="shared" ref="G611" si="2799">(G$604-$B610)/365</f>
        <v>1.6547945205479453</v>
      </c>
      <c r="H611" s="182">
        <f t="shared" ref="H611" si="2800">(H$604-$B610)/365</f>
        <v>2.6547945205479451</v>
      </c>
      <c r="I611" s="182">
        <f t="shared" ref="I611" si="2801">(I$604-$B610)/365</f>
        <v>3.6547945205479451</v>
      </c>
      <c r="J611" s="182">
        <f t="shared" ref="J611" si="2802">(J$604-$B610)/365</f>
        <v>4.6547945205479451</v>
      </c>
      <c r="K611" s="182">
        <f t="shared" ref="K611" si="2803">(K$604-$B610)/365</f>
        <v>5.6547945205479451</v>
      </c>
      <c r="L611" s="182">
        <f t="shared" ref="L611" si="2804">(L$604-$B610)/365</f>
        <v>6.6547945205479451</v>
      </c>
      <c r="M611" s="182">
        <f t="shared" ref="M611" si="2805">(M$604-$B610)/365</f>
        <v>7.6547945205479451</v>
      </c>
      <c r="N611" s="182">
        <f t="shared" ref="N611" si="2806">(N$604-$B610)/365</f>
        <v>8.6547945205479451</v>
      </c>
      <c r="O611" s="182">
        <f t="shared" ref="O611" si="2807">(O$604-$B610)/365</f>
        <v>8.6602739726027398</v>
      </c>
    </row>
    <row r="612" spans="2:15">
      <c r="B612" t="s">
        <v>211</v>
      </c>
      <c r="F612" s="183">
        <f>1+((INDEX('Yield Curve'!$B$48:$P$91,MATCH(ROUND(F611,0),'Yield Curve'!$B$48:$B$91,0),MATCH(YEAR($B610),'Yield Curve'!$B$48:$P$48,0)))/100)</f>
        <v>1.03315</v>
      </c>
      <c r="G612" s="183">
        <f>1+((INDEX('Yield Curve'!$B$48:$P$91,MATCH(ROUND(G611,0),'Yield Curve'!$B$48:$B$91,0),MATCH(YEAR($B610),'Yield Curve'!$B$48:$P$48,0)))/100)</f>
        <v>1.03315</v>
      </c>
      <c r="H612" s="183">
        <f>1+((INDEX('Yield Curve'!$B$48:$P$91,MATCH(ROUND(H611,0),'Yield Curve'!$B$48:$B$91,0),MATCH(YEAR($B610),'Yield Curve'!$B$48:$P$48,0)))/100)</f>
        <v>1.03315</v>
      </c>
      <c r="I612" s="183">
        <f>1+((INDEX('Yield Curve'!$B$48:$P$91,MATCH(ROUND(I611,0),'Yield Curve'!$B$48:$B$91,0),MATCH(YEAR($B610),'Yield Curve'!$B$48:$P$48,0)))/100)</f>
        <v>1.0349999999999999</v>
      </c>
      <c r="J612" s="183">
        <f>1+((INDEX('Yield Curve'!$B$48:$P$91,MATCH(ROUND(J611,0),'Yield Curve'!$B$48:$B$91,0),MATCH(YEAR($B610),'Yield Curve'!$B$48:$P$48,0)))/100)</f>
        <v>1.03685</v>
      </c>
      <c r="K612" s="183">
        <f>1+((INDEX('Yield Curve'!$B$48:$P$91,MATCH(ROUND(K611,0),'Yield Curve'!$B$48:$B$91,0),MATCH(YEAR($B610),'Yield Curve'!$B$48:$P$48,0)))/100)</f>
        <v>1.0386</v>
      </c>
      <c r="L612" s="183">
        <f>1+((INDEX('Yield Curve'!$B$48:$P$91,MATCH(ROUND(L611,0),'Yield Curve'!$B$48:$B$91,0),MATCH(YEAR($B610),'Yield Curve'!$B$48:$P$48,0)))/100)</f>
        <v>1.0403500000000001</v>
      </c>
      <c r="M612" s="183">
        <f>1+((INDEX('Yield Curve'!$B$48:$P$91,MATCH(ROUND(M611,0),'Yield Curve'!$B$48:$B$91,0),MATCH(YEAR($B610),'Yield Curve'!$B$48:$P$48,0)))/100)</f>
        <v>1.0414874999999999</v>
      </c>
      <c r="N612" s="183">
        <f>1+((INDEX('Yield Curve'!$B$48:$P$91,MATCH(ROUND(N611,0),'Yield Curve'!$B$48:$B$91,0),MATCH(YEAR($B610),'Yield Curve'!$B$48:$P$48,0)))/100)</f>
        <v>1.0437624999999999</v>
      </c>
      <c r="O612" s="183">
        <f>1+((INDEX('Yield Curve'!$B$48:$P$91,MATCH(ROUND(O611,0),'Yield Curve'!$B$48:$B$91,0),MATCH(YEAR($B610),'Yield Curve'!$B$48:$P$48,0)))/100)</f>
        <v>1.0437624999999999</v>
      </c>
    </row>
    <row r="613" spans="2:15">
      <c r="B613" t="s">
        <v>212</v>
      </c>
      <c r="F613" s="182">
        <f t="shared" ref="F613" si="2808">F$605/(F612^F611)</f>
        <v>9.4727457820236669</v>
      </c>
      <c r="G613" s="182">
        <f t="shared" ref="G613" si="2809">G$605/(G612^G611)</f>
        <v>9.1688000600335524</v>
      </c>
      <c r="H613" s="182">
        <f t="shared" ref="H613" si="2810">H$605/(H612^H611)</f>
        <v>8.8746068431820682</v>
      </c>
      <c r="I613" s="182">
        <f t="shared" ref="I613" si="2811">I$605/(I612^I611)</f>
        <v>8.533871074678375</v>
      </c>
      <c r="J613" s="182">
        <f t="shared" ref="J613" si="2812">J$605/(J612^J611)</f>
        <v>8.1770292608443143</v>
      </c>
      <c r="K613" s="182">
        <f t="shared" ref="K613" si="2813">K$605/(K612^K611)</f>
        <v>7.8115663524757881</v>
      </c>
      <c r="L613" s="182">
        <f t="shared" ref="L613" si="2814">L$605/(L612^L611)</f>
        <v>7.4374512686604302</v>
      </c>
      <c r="M613" s="182">
        <f t="shared" ref="M613" si="2815">M$605/(M612^M611)</f>
        <v>7.0894373645061579</v>
      </c>
      <c r="N613" s="182">
        <f t="shared" ref="N613" si="2816">N$605/(N612^N611)</f>
        <v>6.6796881121426566</v>
      </c>
      <c r="O613" s="182">
        <f t="shared" ref="O613" si="2817">O$605/(O612^O611)</f>
        <v>202.98238911024677</v>
      </c>
    </row>
    <row r="614" spans="2:15">
      <c r="B614" s="135">
        <v>43646</v>
      </c>
    </row>
    <row r="615" spans="2:15">
      <c r="B615" t="s">
        <v>210</v>
      </c>
      <c r="G615" s="182">
        <f t="shared" ref="G615" si="2818">(G$604-$B614)/365</f>
        <v>0.65479452054794518</v>
      </c>
      <c r="H615" s="182">
        <f t="shared" ref="H615" si="2819">(H$604-$B614)/365</f>
        <v>1.6547945205479453</v>
      </c>
      <c r="I615" s="182">
        <f t="shared" ref="I615" si="2820">(I$604-$B614)/365</f>
        <v>2.6547945205479451</v>
      </c>
      <c r="J615" s="182">
        <f t="shared" ref="J615" si="2821">(J$604-$B614)/365</f>
        <v>3.6547945205479451</v>
      </c>
      <c r="K615" s="182">
        <f t="shared" ref="K615" si="2822">(K$604-$B614)/365</f>
        <v>4.6547945205479451</v>
      </c>
      <c r="L615" s="182">
        <f t="shared" ref="L615" si="2823">(L$604-$B614)/365</f>
        <v>5.6547945205479451</v>
      </c>
      <c r="M615" s="182">
        <f t="shared" ref="M615" si="2824">(M$604-$B614)/365</f>
        <v>6.6547945205479451</v>
      </c>
      <c r="N615" s="182">
        <f t="shared" ref="N615" si="2825">(N$604-$B614)/365</f>
        <v>7.6547945205479451</v>
      </c>
      <c r="O615" s="182">
        <f t="shared" ref="O615" si="2826">(O$604-$B614)/365</f>
        <v>7.6602739726027398</v>
      </c>
    </row>
    <row r="616" spans="2:15">
      <c r="B616" t="s">
        <v>211</v>
      </c>
      <c r="G616" s="183">
        <f>1+((INDEX('Yield Curve'!$B$48:$P$91,MATCH(ROUND(G615,0),'Yield Curve'!$B$48:$B$91,0),MATCH(YEAR($B614),'Yield Curve'!$B$48:$P$48,0)))/100)</f>
        <v>1.02305</v>
      </c>
      <c r="H616" s="183">
        <f>1+((INDEX('Yield Curve'!$B$48:$P$91,MATCH(ROUND(H615,0),'Yield Curve'!$B$48:$B$91,0),MATCH(YEAR($B614),'Yield Curve'!$B$48:$P$48,0)))/100)</f>
        <v>1.02305</v>
      </c>
      <c r="I616" s="183">
        <f>1+((INDEX('Yield Curve'!$B$48:$P$91,MATCH(ROUND(I615,0),'Yield Curve'!$B$48:$B$91,0),MATCH(YEAR($B614),'Yield Curve'!$B$48:$P$48,0)))/100)</f>
        <v>1.02305</v>
      </c>
      <c r="J616" s="183">
        <f>1+((INDEX('Yield Curve'!$B$48:$P$91,MATCH(ROUND(J615,0),'Yield Curve'!$B$48:$B$91,0),MATCH(YEAR($B614),'Yield Curve'!$B$48:$P$48,0)))/100)</f>
        <v>1.024575</v>
      </c>
      <c r="K616" s="183">
        <f>1+((INDEX('Yield Curve'!$B$48:$P$91,MATCH(ROUND(K615,0),'Yield Curve'!$B$48:$B$91,0),MATCH(YEAR($B614),'Yield Curve'!$B$48:$P$48,0)))/100)</f>
        <v>1.0261</v>
      </c>
      <c r="L616" s="183">
        <f>1+((INDEX('Yield Curve'!$B$48:$P$91,MATCH(ROUND(L615,0),'Yield Curve'!$B$48:$B$91,0),MATCH(YEAR($B614),'Yield Curve'!$B$48:$P$48,0)))/100)</f>
        <v>1.028375</v>
      </c>
      <c r="M616" s="183">
        <f>1+((INDEX('Yield Curve'!$B$48:$P$91,MATCH(ROUND(M615,0),'Yield Curve'!$B$48:$B$91,0),MATCH(YEAR($B614),'Yield Curve'!$B$48:$P$48,0)))/100)</f>
        <v>1.0306500000000001</v>
      </c>
      <c r="N616" s="183">
        <f>1+((INDEX('Yield Curve'!$B$48:$P$91,MATCH(ROUND(N615,0),'Yield Curve'!$B$48:$B$91,0),MATCH(YEAR($B614),'Yield Curve'!$B$48:$P$48,0)))/100)</f>
        <v>1.0318624999999999</v>
      </c>
      <c r="O616" s="183">
        <f>1+((INDEX('Yield Curve'!$B$48:$P$91,MATCH(ROUND(O615,0),'Yield Curve'!$B$48:$B$91,0),MATCH(YEAR($B614),'Yield Curve'!$B$48:$P$48,0)))/100)</f>
        <v>1.0318624999999999</v>
      </c>
    </row>
    <row r="617" spans="2:15">
      <c r="B617" t="s">
        <v>212</v>
      </c>
      <c r="G617" s="182">
        <f t="shared" ref="G617" si="2827">G$605/(G616^G615)</f>
        <v>9.5338777000706418</v>
      </c>
      <c r="H617" s="182">
        <f t="shared" ref="H617" si="2828">H$605/(H616^H615)</f>
        <v>9.3190730659016108</v>
      </c>
      <c r="I617" s="182">
        <f t="shared" ref="I617" si="2829">I$605/(I616^I615)</f>
        <v>9.1091081236514437</v>
      </c>
      <c r="J617" s="182">
        <f t="shared" ref="J617" si="2830">J$605/(J616^J615)</f>
        <v>8.8555334739886522</v>
      </c>
      <c r="K617" s="182">
        <f t="shared" ref="K617" si="2831">K$605/(K616^K615)</f>
        <v>8.5834975884132731</v>
      </c>
      <c r="L617" s="182">
        <f t="shared" ref="L617" si="2832">L$605/(L616^L615)</f>
        <v>8.2610583953640422</v>
      </c>
      <c r="M617" s="182">
        <f t="shared" ref="M617" si="2833">M$605/(M616^M615)</f>
        <v>7.9158506841798815</v>
      </c>
      <c r="N617" s="182">
        <f t="shared" ref="N617" si="2834">N$605/(N616^N615)</f>
        <v>7.6116301821892556</v>
      </c>
      <c r="O617" s="182">
        <f t="shared" ref="O617" si="2835">O$605/(O616^O615)</f>
        <v>231.31678174180632</v>
      </c>
    </row>
    <row r="618" spans="2:15">
      <c r="B618" s="135">
        <v>44012</v>
      </c>
    </row>
    <row r="619" spans="2:15">
      <c r="B619" t="s">
        <v>210</v>
      </c>
      <c r="H619" s="182">
        <f t="shared" ref="H619" si="2836">(H$604-$B618)/365</f>
        <v>0.65205479452054793</v>
      </c>
      <c r="I619" s="182">
        <f t="shared" ref="I619" si="2837">(I$604-$B618)/365</f>
        <v>1.6520547945205479</v>
      </c>
      <c r="J619" s="182">
        <f t="shared" ref="J619" si="2838">(J$604-$B618)/365</f>
        <v>2.6520547945205482</v>
      </c>
      <c r="K619" s="182">
        <f t="shared" ref="K619" si="2839">(K$604-$B618)/365</f>
        <v>3.6520547945205482</v>
      </c>
      <c r="L619" s="182">
        <f t="shared" ref="L619" si="2840">(L$604-$B618)/365</f>
        <v>4.6520547945205477</v>
      </c>
      <c r="M619" s="182">
        <f t="shared" ref="M619" si="2841">(M$604-$B618)/365</f>
        <v>5.6520547945205477</v>
      </c>
      <c r="N619" s="182">
        <f t="shared" ref="N619" si="2842">(N$604-$B618)/365</f>
        <v>6.6520547945205477</v>
      </c>
      <c r="O619" s="182">
        <f t="shared" ref="O619" si="2843">(O$604-$B618)/365</f>
        <v>6.6575342465753424</v>
      </c>
    </row>
    <row r="620" spans="2:15">
      <c r="B620" t="s">
        <v>211</v>
      </c>
      <c r="H620" s="183">
        <f>1+((INDEX('Yield Curve'!$B$48:$P$91,MATCH(ROUND(H619,0),'Yield Curve'!$B$48:$B$91,0),MATCH(YEAR($B618),'Yield Curve'!$B$48:$P$48,0)))/100)</f>
        <v>1.02105</v>
      </c>
      <c r="I620" s="183">
        <f>1+((INDEX('Yield Curve'!$B$48:$P$91,MATCH(ROUND(I619,0),'Yield Curve'!$B$48:$B$91,0),MATCH(YEAR($B618),'Yield Curve'!$B$48:$P$48,0)))/100)</f>
        <v>1.02105</v>
      </c>
      <c r="J620" s="183">
        <f>1+((INDEX('Yield Curve'!$B$48:$P$91,MATCH(ROUND(J619,0),'Yield Curve'!$B$48:$B$91,0),MATCH(YEAR($B618),'Yield Curve'!$B$48:$P$48,0)))/100)</f>
        <v>1.02105</v>
      </c>
      <c r="K620" s="183">
        <f>1+((INDEX('Yield Curve'!$B$48:$P$91,MATCH(ROUND(K619,0),'Yield Curve'!$B$48:$B$91,0),MATCH(YEAR($B618),'Yield Curve'!$B$48:$P$48,0)))/100)</f>
        <v>1.0229999999999999</v>
      </c>
      <c r="L620" s="183">
        <f>1+((INDEX('Yield Curve'!$B$48:$P$91,MATCH(ROUND(L619,0),'Yield Curve'!$B$48:$B$91,0),MATCH(YEAR($B618),'Yield Curve'!$B$48:$P$48,0)))/100)</f>
        <v>1.02495</v>
      </c>
      <c r="M620" s="183">
        <f>1+((INDEX('Yield Curve'!$B$48:$P$91,MATCH(ROUND(M619,0),'Yield Curve'!$B$48:$B$91,0),MATCH(YEAR($B618),'Yield Curve'!$B$48:$P$48,0)))/100)</f>
        <v>1.0282249999999999</v>
      </c>
      <c r="N620" s="183">
        <f>1+((INDEX('Yield Curve'!$B$48:$P$91,MATCH(ROUND(N619,0),'Yield Curve'!$B$48:$B$91,0),MATCH(YEAR($B618),'Yield Curve'!$B$48:$P$48,0)))/100)</f>
        <v>1.0315000000000001</v>
      </c>
      <c r="O620" s="183">
        <f>1+((INDEX('Yield Curve'!$B$48:$P$91,MATCH(ROUND(O619,0),'Yield Curve'!$B$48:$B$91,0),MATCH(YEAR($B618),'Yield Curve'!$B$48:$P$48,0)))/100)</f>
        <v>1.0315000000000001</v>
      </c>
    </row>
    <row r="621" spans="2:15">
      <c r="B621" t="s">
        <v>212</v>
      </c>
      <c r="H621" s="182">
        <f t="shared" ref="H621" si="2844">H$605/(H620^H619)</f>
        <v>9.5466464672619171</v>
      </c>
      <c r="I621" s="182">
        <f t="shared" ref="I621" si="2845">I$605/(I620^I619)</f>
        <v>9.3498324932784076</v>
      </c>
      <c r="J621" s="182">
        <f t="shared" ref="J621" si="2846">J$605/(J620^J619)</f>
        <v>9.1570760425820552</v>
      </c>
      <c r="K621" s="182">
        <f t="shared" ref="K621" si="2847">K$605/(K620^K619)</f>
        <v>8.9060192721594191</v>
      </c>
      <c r="L621" s="182">
        <f t="shared" ref="L621" si="2848">L$605/(L620^L619)</f>
        <v>8.6290012769378741</v>
      </c>
      <c r="M621" s="182">
        <f t="shared" ref="M621" si="2849">M$605/(M620^M619)</f>
        <v>8.2685060610915642</v>
      </c>
      <c r="N621" s="182">
        <f t="shared" ref="N621" si="2850">N$605/(N620^N619)</f>
        <v>7.8732114368424826</v>
      </c>
      <c r="O621" s="182">
        <f t="shared" ref="O621" si="2851">O$605/(O620^O619)</f>
        <v>239.26667406747271</v>
      </c>
    </row>
    <row r="622" spans="2:15">
      <c r="B622" s="135">
        <v>44377</v>
      </c>
    </row>
    <row r="623" spans="2:15">
      <c r="B623" t="s">
        <v>210</v>
      </c>
      <c r="I623" s="182">
        <f t="shared" ref="I623" si="2852">(I$604-$B622)/365</f>
        <v>0.65205479452054793</v>
      </c>
      <c r="J623" s="182">
        <f t="shared" ref="J623" si="2853">(J$604-$B622)/365</f>
        <v>1.6520547945205479</v>
      </c>
      <c r="K623" s="182">
        <f t="shared" ref="K623" si="2854">(K$604-$B622)/365</f>
        <v>2.6520547945205482</v>
      </c>
      <c r="L623" s="182">
        <f t="shared" ref="L623" si="2855">(L$604-$B622)/365</f>
        <v>3.6520547945205482</v>
      </c>
      <c r="M623" s="182">
        <f t="shared" ref="M623" si="2856">(M$604-$B622)/365</f>
        <v>4.6520547945205477</v>
      </c>
      <c r="N623" s="182">
        <f t="shared" ref="N623" si="2857">(N$604-$B622)/365</f>
        <v>5.6520547945205477</v>
      </c>
      <c r="O623" s="182">
        <f t="shared" ref="O623" si="2858">(O$604-$B622)/365</f>
        <v>5.6575342465753424</v>
      </c>
    </row>
    <row r="624" spans="2:15">
      <c r="B624" t="s">
        <v>211</v>
      </c>
      <c r="I624" s="183">
        <f>1+((INDEX('Yield Curve'!$B$48:$P$91,MATCH(ROUND(I623,0),'Yield Curve'!$B$48:$B$91,0),MATCH(YEAR($B622),'Yield Curve'!$B$48:$P$48,0)))/100)</f>
        <v>1.0129999999999999</v>
      </c>
      <c r="J624" s="183">
        <f>1+((INDEX('Yield Curve'!$B$48:$P$91,MATCH(ROUND(J623,0),'Yield Curve'!$B$48:$B$91,0),MATCH(YEAR($B622),'Yield Curve'!$B$48:$P$48,0)))/100)</f>
        <v>1.0129999999999999</v>
      </c>
      <c r="K624" s="183">
        <f>1+((INDEX('Yield Curve'!$B$48:$P$91,MATCH(ROUND(K623,0),'Yield Curve'!$B$48:$B$91,0),MATCH(YEAR($B622),'Yield Curve'!$B$48:$P$48,0)))/100)</f>
        <v>1.0129999999999999</v>
      </c>
      <c r="L624" s="183">
        <f>1+((INDEX('Yield Curve'!$B$48:$P$91,MATCH(ROUND(L623,0),'Yield Curve'!$B$48:$B$91,0),MATCH(YEAR($B622),'Yield Curve'!$B$48:$P$48,0)))/100)</f>
        <v>1.0161249999999999</v>
      </c>
      <c r="M624" s="183">
        <f>1+((INDEX('Yield Curve'!$B$48:$P$91,MATCH(ROUND(M623,0),'Yield Curve'!$B$48:$B$91,0),MATCH(YEAR($B622),'Yield Curve'!$B$48:$P$48,0)))/100)</f>
        <v>1.01925</v>
      </c>
      <c r="N624" s="183">
        <f>1+((INDEX('Yield Curve'!$B$48:$P$91,MATCH(ROUND(N623,0),'Yield Curve'!$B$48:$B$91,0),MATCH(YEAR($B622),'Yield Curve'!$B$48:$P$48,0)))/100)</f>
        <v>1.022775</v>
      </c>
      <c r="O624" s="183">
        <f>1+((INDEX('Yield Curve'!$B$48:$P$91,MATCH(ROUND(O623,0),'Yield Curve'!$B$48:$B$91,0),MATCH(YEAR($B622),'Yield Curve'!$B$48:$P$48,0)))/100)</f>
        <v>1.022775</v>
      </c>
    </row>
    <row r="625" spans="2:26">
      <c r="B625" t="s">
        <v>212</v>
      </c>
      <c r="I625" s="182">
        <f t="shared" ref="I625" si="2859">I$605/(I624^I623)</f>
        <v>9.5960459809922725</v>
      </c>
      <c r="J625" s="182">
        <f t="shared" ref="J625" si="2860">J$605/(J624^J623)</f>
        <v>9.4728983030525917</v>
      </c>
      <c r="K625" s="182">
        <f t="shared" ref="K625" si="2861">K$605/(K624^K623)</f>
        <v>9.3513310000519159</v>
      </c>
      <c r="L625" s="182">
        <f t="shared" ref="L625" si="2862">L$605/(L624^L623)</f>
        <v>9.128063710769057</v>
      </c>
      <c r="M625" s="182">
        <f t="shared" ref="M625" si="2863">M$605/(M624^M623)</f>
        <v>8.8557963792016015</v>
      </c>
      <c r="N625" s="182">
        <f t="shared" ref="N625" si="2864">N$605/(N624^N623)</f>
        <v>8.5206416939238725</v>
      </c>
      <c r="O625" s="182">
        <f t="shared" ref="O625" si="2865">O$605/(O624^O623)</f>
        <v>258.95411420342691</v>
      </c>
    </row>
    <row r="626" spans="2:26">
      <c r="B626" s="135">
        <v>44552</v>
      </c>
    </row>
    <row r="627" spans="2:26">
      <c r="B627" t="s">
        <v>210</v>
      </c>
      <c r="I627" s="182">
        <f t="shared" ref="I627" si="2866">(I$604-$B626)/365</f>
        <v>0.17260273972602741</v>
      </c>
      <c r="J627" s="182">
        <f t="shared" ref="J627" si="2867">(J$604-$B626)/365</f>
        <v>1.1726027397260275</v>
      </c>
      <c r="K627" s="182">
        <f t="shared" ref="K627" si="2868">(K$604-$B626)/365</f>
        <v>2.1726027397260275</v>
      </c>
      <c r="L627" s="182">
        <f t="shared" ref="L627" si="2869">(L$604-$B626)/365</f>
        <v>3.1726027397260275</v>
      </c>
      <c r="M627" s="182">
        <f t="shared" ref="M627" si="2870">(M$604-$B626)/365</f>
        <v>4.1726027397260275</v>
      </c>
      <c r="N627" s="182">
        <f t="shared" ref="N627" si="2871">(N$604-$B626)/365</f>
        <v>5.1726027397260275</v>
      </c>
      <c r="O627" s="182">
        <f t="shared" ref="O627" si="2872">(O$604-$B626)/365</f>
        <v>5.1780821917808222</v>
      </c>
    </row>
    <row r="628" spans="2:26">
      <c r="B628" t="s">
        <v>211</v>
      </c>
      <c r="I628" s="183">
        <f>1+((INDEX('Yield Curve'!$B$48:$P$91,MATCH(ROUND(I627,0),'Yield Curve'!$B$48:$B$91,0),MATCH(YEAR($B626)+1,'Yield Curve'!$B$48:$P$48,0)))/100)</f>
        <v>1.0212000000000001</v>
      </c>
      <c r="J628" s="183">
        <f>1+((INDEX('Yield Curve'!$B$48:$P$91,MATCH(ROUND(J627,0),'Yield Curve'!$B$48:$B$91,0),MATCH(YEAR($B626)+1,'Yield Curve'!$B$48:$P$48,0)))/100)</f>
        <v>1.0212000000000001</v>
      </c>
      <c r="K628" s="183">
        <f>1+((INDEX('Yield Curve'!$B$48:$P$91,MATCH(ROUND(K627,0),'Yield Curve'!$B$48:$B$91,0),MATCH(YEAR($B626)+1,'Yield Curve'!$B$48:$P$48,0)))/100)</f>
        <v>1.0212000000000001</v>
      </c>
      <c r="L628" s="183">
        <f>1+((INDEX('Yield Curve'!$B$48:$P$91,MATCH(ROUND(L627,0),'Yield Curve'!$B$48:$B$91,0),MATCH(YEAR($B626)+1,'Yield Curve'!$B$48:$P$48,0)))/100)</f>
        <v>1.0212000000000001</v>
      </c>
      <c r="M628" s="183">
        <f>1+((INDEX('Yield Curve'!$B$48:$P$91,MATCH(ROUND(M627,0),'Yield Curve'!$B$48:$B$91,0),MATCH(YEAR($B626)+1,'Yield Curve'!$B$48:$P$48,0)))/100)</f>
        <v>1.0245</v>
      </c>
      <c r="N628" s="183">
        <f>1+((INDEX('Yield Curve'!$B$48:$P$91,MATCH(ROUND(N627,0),'Yield Curve'!$B$48:$B$91,0),MATCH(YEAR($B626)+1,'Yield Curve'!$B$48:$P$48,0)))/100)</f>
        <v>1.0278</v>
      </c>
      <c r="O628" s="183">
        <f>1+((INDEX('Yield Curve'!$B$48:$P$91,MATCH(ROUND(O627,0),'Yield Curve'!$B$48:$B$91,0),MATCH(YEAR($B626)+1,'Yield Curve'!$B$48:$P$48,0)))/100)</f>
        <v>1.0278</v>
      </c>
    </row>
    <row r="629" spans="2:26">
      <c r="B629" t="s">
        <v>212</v>
      </c>
      <c r="I629" s="182">
        <f t="shared" ref="I629" si="2873">I$605/(I628^I627)</f>
        <v>9.6422288735277704</v>
      </c>
      <c r="J629" s="182">
        <f t="shared" ref="J629" si="2874">J$605/(J628^J627)</f>
        <v>9.4420572596237466</v>
      </c>
      <c r="K629" s="182">
        <f t="shared" ref="K629" si="2875">K$605/(K628^K627)</f>
        <v>9.2460411864705687</v>
      </c>
      <c r="L629" s="182">
        <f t="shared" ref="L629" si="2876">L$605/(L628^L627)</f>
        <v>9.0540943854980096</v>
      </c>
      <c r="M629" s="182">
        <f t="shared" ref="M629" si="2877">M$605/(M628^M627)</f>
        <v>8.7475763452861592</v>
      </c>
      <c r="N629" s="182">
        <f t="shared" ref="N629" si="2878">N$605/(N628^N627)</f>
        <v>8.3975279885425476</v>
      </c>
      <c r="O629" s="182">
        <f t="shared" ref="O629" si="2879">O$605/(O628^O627)</f>
        <v>255.20566431910606</v>
      </c>
    </row>
    <row r="631" spans="2:26">
      <c r="B631" s="5" t="str">
        <f>'VPN Bonds'!A101</f>
        <v>30702960111</v>
      </c>
    </row>
    <row r="632" spans="2:26">
      <c r="B632" t="s">
        <v>66</v>
      </c>
      <c r="D632" s="180">
        <f>VLOOKUP(B631,'VPN Bonds'!$A$85:$K$104,4,FALSE)</f>
        <v>42626</v>
      </c>
      <c r="E632" s="180">
        <f>VLOOKUP(B631,'VPN Bonds'!$A$85:$K$104,10,FALSE)</f>
        <v>42837</v>
      </c>
      <c r="F632" s="180">
        <f>IF(E632+VLOOKUP($B631,'VPN Bonds'!$A$85:$K$104,9,FALSE)*365 &lt; VLOOKUP($B631,'VPN Bonds'!$A$85:$K$104,5,FALSE), E632+VLOOKUP($B631,'VPN Bonds'!$A$85:$K$104,9,FALSE)*365, VLOOKUP($B631,'VPN Bonds'!$A$85:$K$104,5,FALSE))</f>
        <v>43019.5</v>
      </c>
      <c r="G632" s="180">
        <f>IF(F632+VLOOKUP($B631,'VPN Bonds'!$A$85:$K$104,9,FALSE)*365 &lt; VLOOKUP($B631,'VPN Bonds'!$A$85:$K$104,5,FALSE), F632+VLOOKUP($B631,'VPN Bonds'!$A$85:$K$104,9,FALSE)*365, VLOOKUP($B631,'VPN Bonds'!$A$85:$K$104,5,FALSE))</f>
        <v>43202</v>
      </c>
      <c r="H632" s="180">
        <f>IF(G632+VLOOKUP($B631,'VPN Bonds'!$A$85:$K$104,9,FALSE)*365 &lt; VLOOKUP($B631,'VPN Bonds'!$A$85:$K$104,5,FALSE), G632+VLOOKUP($B631,'VPN Bonds'!$A$85:$K$104,9,FALSE)*365, VLOOKUP($B631,'VPN Bonds'!$A$85:$K$104,5,FALSE))</f>
        <v>43384.5</v>
      </c>
      <c r="I632" s="180">
        <f>IF(H632+VLOOKUP($B631,'VPN Bonds'!$A$85:$K$104,9,FALSE)*365 &lt; VLOOKUP($B631,'VPN Bonds'!$A$85:$K$104,5,FALSE), H632+VLOOKUP($B631,'VPN Bonds'!$A$85:$K$104,9,FALSE)*365, VLOOKUP($B631,'VPN Bonds'!$A$85:$K$104,5,FALSE))</f>
        <v>43567</v>
      </c>
      <c r="J632" s="180">
        <f>IF(I632+VLOOKUP($B631,'VPN Bonds'!$A$85:$K$104,9,FALSE)*365 &lt; VLOOKUP($B631,'VPN Bonds'!$A$85:$K$104,5,FALSE), I632+VLOOKUP($B631,'VPN Bonds'!$A$85:$K$104,9,FALSE)*365, VLOOKUP($B631,'VPN Bonds'!$A$85:$K$104,5,FALSE))</f>
        <v>43749.5</v>
      </c>
      <c r="K632" s="180">
        <f>IF(J632+VLOOKUP($B631,'VPN Bonds'!$A$85:$K$104,9,FALSE)*365 &lt; VLOOKUP($B631,'VPN Bonds'!$A$85:$K$104,5,FALSE), J632+VLOOKUP($B631,'VPN Bonds'!$A$85:$K$104,9,FALSE)*365, VLOOKUP($B631,'VPN Bonds'!$A$85:$K$104,5,FALSE))</f>
        <v>43932</v>
      </c>
      <c r="L632" s="180">
        <f>IF(K632+VLOOKUP($B631,'VPN Bonds'!$A$85:$K$104,9,FALSE)*365 &lt; VLOOKUP($B631,'VPN Bonds'!$A$85:$K$104,5,FALSE), K632+VLOOKUP($B631,'VPN Bonds'!$A$85:$K$104,9,FALSE)*365, VLOOKUP($B631,'VPN Bonds'!$A$85:$K$104,5,FALSE))</f>
        <v>44114.5</v>
      </c>
      <c r="M632" s="180">
        <f>IF(L632+VLOOKUP($B631,'VPN Bonds'!$A$85:$K$104,9,FALSE)*365 &lt; VLOOKUP($B631,'VPN Bonds'!$A$85:$K$104,5,FALSE), L632+VLOOKUP($B631,'VPN Bonds'!$A$85:$K$104,9,FALSE)*365, VLOOKUP($B631,'VPN Bonds'!$A$85:$K$104,5,FALSE))</f>
        <v>44297</v>
      </c>
      <c r="N632" s="180">
        <f>IF(M632+VLOOKUP($B631,'VPN Bonds'!$A$85:$K$104,9,FALSE)*365 &lt; VLOOKUP($B631,'VPN Bonds'!$A$85:$K$104,5,FALSE), M632+VLOOKUP($B631,'VPN Bonds'!$A$85:$K$104,9,FALSE)*365, VLOOKUP($B631,'VPN Bonds'!$A$85:$K$104,5,FALSE))</f>
        <v>44479.5</v>
      </c>
      <c r="O632" s="180">
        <f>IF(N632+VLOOKUP($B631,'VPN Bonds'!$A$85:$K$104,9,FALSE)*365 &lt; VLOOKUP($B631,'VPN Bonds'!$A$85:$K$104,5,FALSE), N632+VLOOKUP($B631,'VPN Bonds'!$A$85:$K$104,9,FALSE)*365, VLOOKUP($B631,'VPN Bonds'!$A$85:$K$104,5,FALSE))</f>
        <v>44662</v>
      </c>
      <c r="P632" s="180">
        <f>IF(O632+VLOOKUP($B631,'VPN Bonds'!$A$85:$K$104,9,FALSE)*365 &lt; VLOOKUP($B631,'VPN Bonds'!$A$85:$K$104,5,FALSE), O632+VLOOKUP($B631,'VPN Bonds'!$A$85:$K$104,9,FALSE)*365, VLOOKUP($B631,'VPN Bonds'!$A$85:$K$104,5,FALSE))</f>
        <v>44844.5</v>
      </c>
      <c r="Q632" s="180">
        <f>IF(P632+VLOOKUP($B631,'VPN Bonds'!$A$85:$K$104,9,FALSE)*365 &lt; VLOOKUP($B631,'VPN Bonds'!$A$85:$K$104,5,FALSE), P632+VLOOKUP($B631,'VPN Bonds'!$A$85:$K$104,9,FALSE)*365, VLOOKUP($B631,'VPN Bonds'!$A$85:$K$104,5,FALSE))</f>
        <v>45027</v>
      </c>
      <c r="R632" s="180">
        <f>IF(Q632+VLOOKUP($B631,'VPN Bonds'!$A$85:$K$104,9,FALSE)*365 &lt; VLOOKUP($B631,'VPN Bonds'!$A$85:$K$104,5,FALSE), Q632+VLOOKUP($B631,'VPN Bonds'!$A$85:$K$104,9,FALSE)*365, VLOOKUP($B631,'VPN Bonds'!$A$85:$K$104,5,FALSE))</f>
        <v>45209.5</v>
      </c>
      <c r="S632" s="180">
        <f>IF(R632+VLOOKUP($B631,'VPN Bonds'!$A$85:$K$104,9,FALSE)*365 &lt; VLOOKUP($B631,'VPN Bonds'!$A$85:$K$104,5,FALSE), R632+VLOOKUP($B631,'VPN Bonds'!$A$85:$K$104,9,FALSE)*365, VLOOKUP($B631,'VPN Bonds'!$A$85:$K$104,5,FALSE))</f>
        <v>45392</v>
      </c>
      <c r="T632" s="180">
        <f>IF(S632+VLOOKUP($B631,'VPN Bonds'!$A$85:$K$104,9,FALSE)*365 &lt; VLOOKUP($B631,'VPN Bonds'!$A$85:$K$104,5,FALSE), S632+VLOOKUP($B631,'VPN Bonds'!$A$85:$K$104,9,FALSE)*365, VLOOKUP($B631,'VPN Bonds'!$A$85:$K$104,5,FALSE))</f>
        <v>45574.5</v>
      </c>
      <c r="U632" s="180">
        <f>IF(T632+VLOOKUP($B631,'VPN Bonds'!$A$85:$K$104,9,FALSE)*365 &lt; VLOOKUP($B631,'VPN Bonds'!$A$85:$K$104,5,FALSE), T632+VLOOKUP($B631,'VPN Bonds'!$A$85:$K$104,9,FALSE)*365, VLOOKUP($B631,'VPN Bonds'!$A$85:$K$104,5,FALSE))</f>
        <v>45757</v>
      </c>
      <c r="V632" s="180">
        <f>IF(U632+VLOOKUP($B631,'VPN Bonds'!$A$85:$K$104,9,FALSE)*365 &lt; VLOOKUP($B631,'VPN Bonds'!$A$85:$K$104,5,FALSE), U632+VLOOKUP($B631,'VPN Bonds'!$A$85:$K$104,9,FALSE)*365, VLOOKUP($B631,'VPN Bonds'!$A$85:$K$104,5,FALSE))</f>
        <v>45939.5</v>
      </c>
      <c r="W632" s="180">
        <f>IF(V632+VLOOKUP($B631,'VPN Bonds'!$A$85:$K$104,9,FALSE)*365 &lt; VLOOKUP($B631,'VPN Bonds'!$A$85:$K$104,5,FALSE), V632+VLOOKUP($B631,'VPN Bonds'!$A$85:$K$104,9,FALSE)*365, VLOOKUP($B631,'VPN Bonds'!$A$85:$K$104,5,FALSE))</f>
        <v>46122</v>
      </c>
      <c r="X632" s="180">
        <f>IF(W632+VLOOKUP($B631,'VPN Bonds'!$A$85:$K$104,9,FALSE)*365 &lt; VLOOKUP($B631,'VPN Bonds'!$A$85:$K$104,5,FALSE), W632+VLOOKUP($B631,'VPN Bonds'!$A$85:$K$104,9,FALSE)*365, VLOOKUP($B631,'VPN Bonds'!$A$85:$K$104,5,FALSE))</f>
        <v>46304.5</v>
      </c>
      <c r="Y632" s="180">
        <f>IF(X632+VLOOKUP($B631,'VPN Bonds'!$A$85:$K$104,9,FALSE)*365 &lt; VLOOKUP($B631,'VPN Bonds'!$A$85:$K$104,5,FALSE), X632+VLOOKUP($B631,'VPN Bonds'!$A$85:$K$104,9,FALSE)*365, VLOOKUP($B631,'VPN Bonds'!$A$85:$K$104,5,FALSE))</f>
        <v>46307</v>
      </c>
      <c r="Z632" s="27"/>
    </row>
    <row r="633" spans="2:26">
      <c r="B633" t="s">
        <v>209</v>
      </c>
      <c r="E633" s="182">
        <f>IF(E632&lt;VLOOKUP($B631,'VPN Bonds'!$A$85:$K$104,5,FALSE),(VLOOKUP($B631,'VPN Bonds'!$A$85:$K$104,8,FALSE)/100)*(VLOOKUP($B631,'VPN Bonds'!$A$85:$K$104,9,FALSE))*(VLOOKUP($B631,'VPN Bonds'!$A$85:$K$104,6,FALSE)),(VLOOKUP($B631,'VPN Bonds'!$A$85:$K$104,6,FALSE)))</f>
        <v>5.0857139999999994</v>
      </c>
      <c r="F633" s="182">
        <f>IF(F632&lt;VLOOKUP($B631,'VPN Bonds'!$A$85:$K$104,5,FALSE),(VLOOKUP($B631,'VPN Bonds'!$A$85:$K$104,8,FALSE)/100)*(VLOOKUP($B631,'VPN Bonds'!$A$85:$K$104,9,FALSE))*(VLOOKUP($B631,'VPN Bonds'!$A$85:$K$104,6,FALSE)),(VLOOKUP($B631,'VPN Bonds'!$A$85:$K$104,6,FALSE)))</f>
        <v>5.0857139999999994</v>
      </c>
      <c r="G633" s="182">
        <f>IF(G632&lt;VLOOKUP($B631,'VPN Bonds'!$A$85:$K$104,5,FALSE),(VLOOKUP($B631,'VPN Bonds'!$A$85:$K$104,8,FALSE)/100)*(VLOOKUP($B631,'VPN Bonds'!$A$85:$K$104,9,FALSE))*(VLOOKUP($B631,'VPN Bonds'!$A$85:$K$104,6,FALSE)),(VLOOKUP($B631,'VPN Bonds'!$A$85:$K$104,6,FALSE)))</f>
        <v>5.0857139999999994</v>
      </c>
      <c r="H633" s="182">
        <f>IF(H632&lt;VLOOKUP($B631,'VPN Bonds'!$A$85:$K$104,5,FALSE),(VLOOKUP($B631,'VPN Bonds'!$A$85:$K$104,8,FALSE)/100)*(VLOOKUP($B631,'VPN Bonds'!$A$85:$K$104,9,FALSE))*(VLOOKUP($B631,'VPN Bonds'!$A$85:$K$104,6,FALSE)),(VLOOKUP($B631,'VPN Bonds'!$A$85:$K$104,6,FALSE)))</f>
        <v>5.0857139999999994</v>
      </c>
      <c r="I633" s="182">
        <f>IF(I632&lt;VLOOKUP($B631,'VPN Bonds'!$A$85:$K$104,5,FALSE),(VLOOKUP($B631,'VPN Bonds'!$A$85:$K$104,8,FALSE)/100)*(VLOOKUP($B631,'VPN Bonds'!$A$85:$K$104,9,FALSE))*(VLOOKUP($B631,'VPN Bonds'!$A$85:$K$104,6,FALSE)),(VLOOKUP($B631,'VPN Bonds'!$A$85:$K$104,6,FALSE)))</f>
        <v>5.0857139999999994</v>
      </c>
      <c r="J633" s="182">
        <f>IF(J632&lt;VLOOKUP($B631,'VPN Bonds'!$A$85:$K$104,5,FALSE),(VLOOKUP($B631,'VPN Bonds'!$A$85:$K$104,8,FALSE)/100)*(VLOOKUP($B631,'VPN Bonds'!$A$85:$K$104,9,FALSE))*(VLOOKUP($B631,'VPN Bonds'!$A$85:$K$104,6,FALSE)),(VLOOKUP($B631,'VPN Bonds'!$A$85:$K$104,6,FALSE)))</f>
        <v>5.0857139999999994</v>
      </c>
      <c r="K633" s="182">
        <f>IF(K632&lt;VLOOKUP($B631,'VPN Bonds'!$A$85:$K$104,5,FALSE),(VLOOKUP($B631,'VPN Bonds'!$A$85:$K$104,8,FALSE)/100)*(VLOOKUP($B631,'VPN Bonds'!$A$85:$K$104,9,FALSE))*(VLOOKUP($B631,'VPN Bonds'!$A$85:$K$104,6,FALSE)),(VLOOKUP($B631,'VPN Bonds'!$A$85:$K$104,6,FALSE)))</f>
        <v>5.0857139999999994</v>
      </c>
      <c r="L633" s="182">
        <f>IF(L632&lt;VLOOKUP($B631,'VPN Bonds'!$A$85:$K$104,5,FALSE),(VLOOKUP($B631,'VPN Bonds'!$A$85:$K$104,8,FALSE)/100)*(VLOOKUP($B631,'VPN Bonds'!$A$85:$K$104,9,FALSE))*(VLOOKUP($B631,'VPN Bonds'!$A$85:$K$104,6,FALSE)),(VLOOKUP($B631,'VPN Bonds'!$A$85:$K$104,6,FALSE)))</f>
        <v>5.0857139999999994</v>
      </c>
      <c r="M633" s="182">
        <f>IF(M632&lt;VLOOKUP($B631,'VPN Bonds'!$A$85:$K$104,5,FALSE),(VLOOKUP($B631,'VPN Bonds'!$A$85:$K$104,8,FALSE)/100)*(VLOOKUP($B631,'VPN Bonds'!$A$85:$K$104,9,FALSE))*(VLOOKUP($B631,'VPN Bonds'!$A$85:$K$104,6,FALSE)),(VLOOKUP($B631,'VPN Bonds'!$A$85:$K$104,6,FALSE)))</f>
        <v>5.0857139999999994</v>
      </c>
      <c r="N633" s="182">
        <f>IF(N632&lt;VLOOKUP($B631,'VPN Bonds'!$A$85:$K$104,5,FALSE),(VLOOKUP($B631,'VPN Bonds'!$A$85:$K$104,8,FALSE)/100)*(VLOOKUP($B631,'VPN Bonds'!$A$85:$K$104,9,FALSE))*(VLOOKUP($B631,'VPN Bonds'!$A$85:$K$104,6,FALSE)),(VLOOKUP($B631,'VPN Bonds'!$A$85:$K$104,6,FALSE)))</f>
        <v>5.0857139999999994</v>
      </c>
      <c r="O633" s="182">
        <f>IF(O632&lt;VLOOKUP($B631,'VPN Bonds'!$A$85:$K$104,5,FALSE),(VLOOKUP($B631,'VPN Bonds'!$A$85:$K$104,8,FALSE)/100)*(VLOOKUP($B631,'VPN Bonds'!$A$85:$K$104,9,FALSE))*(VLOOKUP($B631,'VPN Bonds'!$A$85:$K$104,6,FALSE)),(VLOOKUP($B631,'VPN Bonds'!$A$85:$K$104,6,FALSE)))</f>
        <v>5.0857139999999994</v>
      </c>
      <c r="P633" s="182">
        <f>IF(P632&lt;VLOOKUP($B631,'VPN Bonds'!$A$85:$K$104,5,FALSE),(VLOOKUP($B631,'VPN Bonds'!$A$85:$K$104,8,FALSE)/100)*(VLOOKUP($B631,'VPN Bonds'!$A$85:$K$104,9,FALSE))*(VLOOKUP($B631,'VPN Bonds'!$A$85:$K$104,6,FALSE)),(VLOOKUP($B631,'VPN Bonds'!$A$85:$K$104,6,FALSE)))</f>
        <v>5.0857139999999994</v>
      </c>
      <c r="Q633" s="182">
        <f>IF(Q632&lt;VLOOKUP($B631,'VPN Bonds'!$A$85:$K$104,5,FALSE),(VLOOKUP($B631,'VPN Bonds'!$A$85:$K$104,8,FALSE)/100)*(VLOOKUP($B631,'VPN Bonds'!$A$85:$K$104,9,FALSE))*(VLOOKUP($B631,'VPN Bonds'!$A$85:$K$104,6,FALSE)),(VLOOKUP($B631,'VPN Bonds'!$A$85:$K$104,6,FALSE)))</f>
        <v>5.0857139999999994</v>
      </c>
      <c r="R633" s="182">
        <f>IF(R632&lt;VLOOKUP($B631,'VPN Bonds'!$A$85:$K$104,5,FALSE),(VLOOKUP($B631,'VPN Bonds'!$A$85:$K$104,8,FALSE)/100)*(VLOOKUP($B631,'VPN Bonds'!$A$85:$K$104,9,FALSE))*(VLOOKUP($B631,'VPN Bonds'!$A$85:$K$104,6,FALSE)),(VLOOKUP($B631,'VPN Bonds'!$A$85:$K$104,6,FALSE)))</f>
        <v>5.0857139999999994</v>
      </c>
      <c r="S633" s="182">
        <f>IF(S632&lt;VLOOKUP($B631,'VPN Bonds'!$A$85:$K$104,5,FALSE),(VLOOKUP($B631,'VPN Bonds'!$A$85:$K$104,8,FALSE)/100)*(VLOOKUP($B631,'VPN Bonds'!$A$85:$K$104,9,FALSE))*(VLOOKUP($B631,'VPN Bonds'!$A$85:$K$104,6,FALSE)),(VLOOKUP($B631,'VPN Bonds'!$A$85:$K$104,6,FALSE)))</f>
        <v>5.0857139999999994</v>
      </c>
      <c r="T633" s="182">
        <f>IF(T632&lt;VLOOKUP($B631,'VPN Bonds'!$A$85:$K$104,5,FALSE),(VLOOKUP($B631,'VPN Bonds'!$A$85:$K$104,8,FALSE)/100)*(VLOOKUP($B631,'VPN Bonds'!$A$85:$K$104,9,FALSE))*(VLOOKUP($B631,'VPN Bonds'!$A$85:$K$104,6,FALSE)),(VLOOKUP($B631,'VPN Bonds'!$A$85:$K$104,6,FALSE)))</f>
        <v>5.0857139999999994</v>
      </c>
      <c r="U633" s="182">
        <f>IF(U632&lt;VLOOKUP($B631,'VPN Bonds'!$A$85:$K$104,5,FALSE),(VLOOKUP($B631,'VPN Bonds'!$A$85:$K$104,8,FALSE)/100)*(VLOOKUP($B631,'VPN Bonds'!$A$85:$K$104,9,FALSE))*(VLOOKUP($B631,'VPN Bonds'!$A$85:$K$104,6,FALSE)),(VLOOKUP($B631,'VPN Bonds'!$A$85:$K$104,6,FALSE)))</f>
        <v>5.0857139999999994</v>
      </c>
      <c r="V633" s="182">
        <f>IF(V632&lt;VLOOKUP($B631,'VPN Bonds'!$A$85:$K$104,5,FALSE),(VLOOKUP($B631,'VPN Bonds'!$A$85:$K$104,8,FALSE)/100)*(VLOOKUP($B631,'VPN Bonds'!$A$85:$K$104,9,FALSE))*(VLOOKUP($B631,'VPN Bonds'!$A$85:$K$104,6,FALSE)),(VLOOKUP($B631,'VPN Bonds'!$A$85:$K$104,6,FALSE)))</f>
        <v>5.0857139999999994</v>
      </c>
      <c r="W633" s="182">
        <f>IF(W632&lt;VLOOKUP($B631,'VPN Bonds'!$A$85:$K$104,5,FALSE),(VLOOKUP($B631,'VPN Bonds'!$A$85:$K$104,8,FALSE)/100)*(VLOOKUP($B631,'VPN Bonds'!$A$85:$K$104,9,FALSE))*(VLOOKUP($B631,'VPN Bonds'!$A$85:$K$104,6,FALSE)),(VLOOKUP($B631,'VPN Bonds'!$A$85:$K$104,6,FALSE)))</f>
        <v>5.0857139999999994</v>
      </c>
      <c r="X633" s="182">
        <f>IF(X632&lt;VLOOKUP($B631,'VPN Bonds'!$A$85:$K$104,5,FALSE),(VLOOKUP($B631,'VPN Bonds'!$A$85:$K$104,8,FALSE)/100)*(VLOOKUP($B631,'VPN Bonds'!$A$85:$K$104,9,FALSE))*(VLOOKUP($B631,'VPN Bonds'!$A$85:$K$104,6,FALSE)),(VLOOKUP($B631,'VPN Bonds'!$A$85:$K$104,6,FALSE)))</f>
        <v>5.0857139999999994</v>
      </c>
      <c r="Y633" s="182">
        <f>IF(Y632&lt;VLOOKUP($B631,'VPN Bonds'!$A$85:$K$104,5,FALSE),(VLOOKUP($B631,'VPN Bonds'!$A$85:$K$104,8,FALSE)/100)*(VLOOKUP($B631,'VPN Bonds'!$A$85:$K$104,9,FALSE))*(VLOOKUP($B631,'VPN Bonds'!$A$85:$K$104,6,FALSE)),(VLOOKUP($B631,'VPN Bonds'!$A$85:$K$104,6,FALSE)))</f>
        <v>368.53</v>
      </c>
    </row>
    <row r="634" spans="2:26">
      <c r="B634" s="135">
        <v>42916</v>
      </c>
    </row>
    <row r="635" spans="2:26">
      <c r="B635" t="s">
        <v>210</v>
      </c>
      <c r="F635" s="182">
        <f t="shared" ref="F635:O635" si="2880">(F$632-$B634)/365</f>
        <v>0.28356164383561644</v>
      </c>
      <c r="G635" s="182">
        <f t="shared" si="2880"/>
        <v>0.78356164383561644</v>
      </c>
      <c r="H635" s="182">
        <f t="shared" si="2880"/>
        <v>1.2835616438356163</v>
      </c>
      <c r="I635" s="182">
        <f t="shared" si="2880"/>
        <v>1.7835616438356163</v>
      </c>
      <c r="J635" s="182">
        <f t="shared" si="2880"/>
        <v>2.2835616438356166</v>
      </c>
      <c r="K635" s="182">
        <f t="shared" si="2880"/>
        <v>2.7835616438356166</v>
      </c>
      <c r="L635" s="182">
        <f t="shared" si="2880"/>
        <v>3.2835616438356166</v>
      </c>
      <c r="M635" s="182">
        <f t="shared" si="2880"/>
        <v>3.7835616438356166</v>
      </c>
      <c r="N635" s="182">
        <f t="shared" si="2880"/>
        <v>4.2835616438356166</v>
      </c>
      <c r="O635" s="182">
        <f t="shared" si="2880"/>
        <v>4.7835616438356166</v>
      </c>
      <c r="P635" s="182">
        <f t="shared" ref="P635" si="2881">(P$632-$B634)/365</f>
        <v>5.2835616438356166</v>
      </c>
      <c r="Q635" s="182">
        <f t="shared" ref="Q635" si="2882">(Q$632-$B634)/365</f>
        <v>5.7835616438356166</v>
      </c>
      <c r="R635" s="182">
        <f t="shared" ref="R635" si="2883">(R$632-$B634)/365</f>
        <v>6.2835616438356166</v>
      </c>
      <c r="S635" s="182">
        <f t="shared" ref="S635" si="2884">(S$632-$B634)/365</f>
        <v>6.7835616438356166</v>
      </c>
      <c r="T635" s="182">
        <f t="shared" ref="T635" si="2885">(T$632-$B634)/365</f>
        <v>7.2835616438356166</v>
      </c>
      <c r="U635" s="182">
        <f t="shared" ref="U635" si="2886">(U$632-$B634)/365</f>
        <v>7.7835616438356166</v>
      </c>
      <c r="V635" s="182">
        <f t="shared" ref="V635" si="2887">(V$632-$B634)/365</f>
        <v>8.2835616438356166</v>
      </c>
      <c r="W635" s="182">
        <f t="shared" ref="W635" si="2888">(W$632-$B634)/365</f>
        <v>8.7835616438356166</v>
      </c>
      <c r="X635" s="182">
        <f t="shared" ref="X635" si="2889">(X$632-$B634)/365</f>
        <v>9.2835616438356166</v>
      </c>
      <c r="Y635" s="182">
        <f t="shared" ref="Y635" si="2890">(Y$632-$B634)/365</f>
        <v>9.2904109589041095</v>
      </c>
    </row>
    <row r="636" spans="2:26">
      <c r="B636" t="s">
        <v>211</v>
      </c>
      <c r="F636" s="183">
        <f>1+((INDEX('Yield Curve'!$B$48:$P$91,MATCH(ROUND(F635,0),'Yield Curve'!$B$48:$B$91,0),MATCH(YEAR($B634),'Yield Curve'!$B$48:$P$48,0)))/100)</f>
        <v>1.0326500000000001</v>
      </c>
      <c r="G636" s="183">
        <f>1+((INDEX('Yield Curve'!$B$48:$P$91,MATCH(ROUND(G635,0),'Yield Curve'!$B$48:$B$91,0),MATCH(YEAR($B634),'Yield Curve'!$B$48:$P$48,0)))/100)</f>
        <v>1.0326500000000001</v>
      </c>
      <c r="H636" s="183">
        <f>1+((INDEX('Yield Curve'!$B$48:$P$91,MATCH(ROUND(H635,0),'Yield Curve'!$B$48:$B$91,0),MATCH(YEAR($B634),'Yield Curve'!$B$48:$P$48,0)))/100)</f>
        <v>1.0326500000000001</v>
      </c>
      <c r="I636" s="183">
        <f>1+((INDEX('Yield Curve'!$B$48:$P$91,MATCH(ROUND(I635,0),'Yield Curve'!$B$48:$B$91,0),MATCH(YEAR($B634),'Yield Curve'!$B$48:$P$48,0)))/100)</f>
        <v>1.0326500000000001</v>
      </c>
      <c r="J636" s="183">
        <f>1+((INDEX('Yield Curve'!$B$48:$P$91,MATCH(ROUND(J635,0),'Yield Curve'!$B$48:$B$91,0),MATCH(YEAR($B634),'Yield Curve'!$B$48:$P$48,0)))/100)</f>
        <v>1.0326500000000001</v>
      </c>
      <c r="K636" s="183">
        <f>1+((INDEX('Yield Curve'!$B$48:$P$91,MATCH(ROUND(K635,0),'Yield Curve'!$B$48:$B$91,0),MATCH(YEAR($B634),'Yield Curve'!$B$48:$P$48,0)))/100)</f>
        <v>1.0326500000000001</v>
      </c>
      <c r="L636" s="183">
        <f>1+((INDEX('Yield Curve'!$B$48:$P$91,MATCH(ROUND(L635,0),'Yield Curve'!$B$48:$B$91,0),MATCH(YEAR($B634),'Yield Curve'!$B$48:$P$48,0)))/100)</f>
        <v>1.0326500000000001</v>
      </c>
      <c r="M636" s="183">
        <f>1+((INDEX('Yield Curve'!$B$48:$P$91,MATCH(ROUND(M635,0),'Yield Curve'!$B$48:$B$91,0),MATCH(YEAR($B634),'Yield Curve'!$B$48:$P$48,0)))/100)</f>
        <v>1.034025</v>
      </c>
      <c r="N636" s="183">
        <f>1+((INDEX('Yield Curve'!$B$48:$P$91,MATCH(ROUND(N635,0),'Yield Curve'!$B$48:$B$91,0),MATCH(YEAR($B634),'Yield Curve'!$B$48:$P$48,0)))/100)</f>
        <v>1.034025</v>
      </c>
      <c r="O636" s="183">
        <f>1+((INDEX('Yield Curve'!$B$48:$P$91,MATCH(ROUND(O635,0),'Yield Curve'!$B$48:$B$91,0),MATCH(YEAR($B634),'Yield Curve'!$B$48:$P$48,0)))/100)</f>
        <v>1.0354000000000001</v>
      </c>
      <c r="P636" s="183">
        <f>1+((INDEX('Yield Curve'!$B$48:$P$91,MATCH(ROUND(P635,0),'Yield Curve'!$B$48:$B$91,0),MATCH(YEAR($B634),'Yield Curve'!$B$48:$P$48,0)))/100)</f>
        <v>1.0354000000000001</v>
      </c>
      <c r="Q636" s="183">
        <f>1+((INDEX('Yield Curve'!$B$48:$P$91,MATCH(ROUND(Q635,0),'Yield Curve'!$B$48:$B$91,0),MATCH(YEAR($B634),'Yield Curve'!$B$48:$P$48,0)))/100)</f>
        <v>1.0375000000000001</v>
      </c>
      <c r="R636" s="183">
        <f>1+((INDEX('Yield Curve'!$B$48:$P$91,MATCH(ROUND(R635,0),'Yield Curve'!$B$48:$B$91,0),MATCH(YEAR($B634),'Yield Curve'!$B$48:$P$48,0)))/100)</f>
        <v>1.0375000000000001</v>
      </c>
      <c r="S636" s="183">
        <f>1+((INDEX('Yield Curve'!$B$48:$P$91,MATCH(ROUND(S635,0),'Yield Curve'!$B$48:$B$91,0),MATCH(YEAR($B634),'Yield Curve'!$B$48:$P$48,0)))/100)</f>
        <v>1.0396000000000001</v>
      </c>
      <c r="T636" s="183">
        <f>1+((INDEX('Yield Curve'!$B$48:$P$91,MATCH(ROUND(T635,0),'Yield Curve'!$B$48:$B$91,0),MATCH(YEAR($B634),'Yield Curve'!$B$48:$P$48,0)))/100)</f>
        <v>1.0396000000000001</v>
      </c>
      <c r="U636" s="183">
        <f>1+((INDEX('Yield Curve'!$B$48:$P$91,MATCH(ROUND(U635,0),'Yield Curve'!$B$48:$B$91,0),MATCH(YEAR($B634),'Yield Curve'!$B$48:$P$48,0)))/100)</f>
        <v>1.0405249999999999</v>
      </c>
      <c r="V636" s="183">
        <f>1+((INDEX('Yield Curve'!$B$48:$P$91,MATCH(ROUND(V635,0),'Yield Curve'!$B$48:$B$91,0),MATCH(YEAR($B634),'Yield Curve'!$B$48:$P$48,0)))/100)</f>
        <v>1.0405249999999999</v>
      </c>
      <c r="W636" s="183">
        <f>1+((INDEX('Yield Curve'!$B$48:$P$91,MATCH(ROUND(W635,0),'Yield Curve'!$B$48:$B$91,0),MATCH(YEAR($B634),'Yield Curve'!$B$48:$P$48,0)))/100)</f>
        <v>1.0423750000000001</v>
      </c>
      <c r="X636" s="183">
        <f>1+((INDEX('Yield Curve'!$B$48:$P$91,MATCH(ROUND(X635,0),'Yield Curve'!$B$48:$B$91,0),MATCH(YEAR($B634),'Yield Curve'!$B$48:$P$48,0)))/100)</f>
        <v>1.0423750000000001</v>
      </c>
      <c r="Y636" s="183">
        <f>1+((INDEX('Yield Curve'!$B$48:$P$91,MATCH(ROUND(Y635,0),'Yield Curve'!$B$48:$B$91,0),MATCH(YEAR($B634),'Yield Curve'!$B$48:$P$48,0)))/100)</f>
        <v>1.0423750000000001</v>
      </c>
    </row>
    <row r="637" spans="2:26">
      <c r="B637" t="s">
        <v>212</v>
      </c>
      <c r="C637" s="182">
        <f>SUM(D637:AM637)</f>
        <v>331.95502416978763</v>
      </c>
      <c r="F637" s="182">
        <f t="shared" ref="F637:O637" si="2891">F$633/(F636^F635)</f>
        <v>5.0395917416520879</v>
      </c>
      <c r="G637" s="182">
        <f t="shared" si="2891"/>
        <v>4.9592817326561507</v>
      </c>
      <c r="H637" s="182">
        <f t="shared" si="2891"/>
        <v>4.8802515292229582</v>
      </c>
      <c r="I637" s="182">
        <f t="shared" si="2891"/>
        <v>4.8024807366059665</v>
      </c>
      <c r="J637" s="182">
        <f t="shared" si="2891"/>
        <v>4.7259492850655667</v>
      </c>
      <c r="K637" s="182">
        <f t="shared" si="2891"/>
        <v>4.6506374246898421</v>
      </c>
      <c r="L637" s="182">
        <f t="shared" si="2891"/>
        <v>4.576525720297842</v>
      </c>
      <c r="M637" s="182">
        <f t="shared" si="2891"/>
        <v>4.4809784141406421</v>
      </c>
      <c r="N637" s="182">
        <f t="shared" si="2891"/>
        <v>4.4066375649960907</v>
      </c>
      <c r="O637" s="182">
        <f t="shared" si="2891"/>
        <v>4.3060703003946825</v>
      </c>
      <c r="P637" s="182">
        <f t="shared" ref="P637" si="2892">P$633/(P636^P635)</f>
        <v>4.2318185258213727</v>
      </c>
      <c r="Q637" s="182">
        <f t="shared" ref="Q637" si="2893">Q$633/(Q636^Q635)</f>
        <v>4.1103967212983061</v>
      </c>
      <c r="R637" s="182">
        <f t="shared" ref="R637" si="2894">R$633/(R636^R635)</f>
        <v>4.0354287876509822</v>
      </c>
      <c r="S637" s="182">
        <f t="shared" ref="S637" si="2895">S$633/(S636^S635)</f>
        <v>3.9078559424185579</v>
      </c>
      <c r="T637" s="182">
        <f t="shared" ref="T637" si="2896">T$633/(T636^T635)</f>
        <v>3.832705150086936</v>
      </c>
      <c r="U637" s="182">
        <f t="shared" ref="U637" si="2897">U$633/(U636^U635)</f>
        <v>3.7330678806206401</v>
      </c>
      <c r="V637" s="182">
        <f t="shared" ref="V637" si="2898">V$633/(V636^V635)</f>
        <v>3.6596506314286574</v>
      </c>
      <c r="W637" s="182">
        <f t="shared" ref="W637" si="2899">W$633/(W636^W635)</f>
        <v>3.532133697594646</v>
      </c>
      <c r="X637" s="182">
        <f t="shared" ref="X637" si="2900">X$633/(X636^X635)</f>
        <v>3.459594042880759</v>
      </c>
      <c r="Y637" s="182">
        <f t="shared" ref="Y637" si="2901">Y$633/(Y636^Y635)</f>
        <v>250.62396834026498</v>
      </c>
    </row>
    <row r="638" spans="2:26">
      <c r="B638" s="135">
        <v>43281</v>
      </c>
    </row>
    <row r="639" spans="2:26">
      <c r="B639" t="s">
        <v>210</v>
      </c>
      <c r="H639" s="182">
        <f t="shared" ref="H639" si="2902">(H$632-$B638)/365</f>
        <v>0.28356164383561644</v>
      </c>
      <c r="I639" s="182">
        <f t="shared" ref="I639" si="2903">(I$632-$B638)/365</f>
        <v>0.78356164383561644</v>
      </c>
      <c r="J639" s="182">
        <f t="shared" ref="J639" si="2904">(J$632-$B638)/365</f>
        <v>1.2835616438356163</v>
      </c>
      <c r="K639" s="182">
        <f t="shared" ref="K639" si="2905">(K$632-$B638)/365</f>
        <v>1.7835616438356163</v>
      </c>
      <c r="L639" s="182">
        <f t="shared" ref="L639" si="2906">(L$632-$B638)/365</f>
        <v>2.2835616438356166</v>
      </c>
      <c r="M639" s="182">
        <f t="shared" ref="M639" si="2907">(M$632-$B638)/365</f>
        <v>2.7835616438356166</v>
      </c>
      <c r="N639" s="182">
        <f t="shared" ref="N639" si="2908">(N$632-$B638)/365</f>
        <v>3.2835616438356166</v>
      </c>
      <c r="O639" s="182">
        <f t="shared" ref="O639" si="2909">(O$632-$B638)/365</f>
        <v>3.7835616438356166</v>
      </c>
      <c r="P639" s="182">
        <f t="shared" ref="P639" si="2910">(P$632-$B638)/365</f>
        <v>4.2835616438356166</v>
      </c>
      <c r="Q639" s="182">
        <f t="shared" ref="Q639" si="2911">(Q$632-$B638)/365</f>
        <v>4.7835616438356166</v>
      </c>
      <c r="R639" s="182">
        <f t="shared" ref="R639" si="2912">(R$632-$B638)/365</f>
        <v>5.2835616438356166</v>
      </c>
      <c r="S639" s="182">
        <f t="shared" ref="S639" si="2913">(S$632-$B638)/365</f>
        <v>5.7835616438356166</v>
      </c>
      <c r="T639" s="182">
        <f t="shared" ref="T639" si="2914">(T$632-$B638)/365</f>
        <v>6.2835616438356166</v>
      </c>
      <c r="U639" s="182">
        <f t="shared" ref="U639" si="2915">(U$632-$B638)/365</f>
        <v>6.7835616438356166</v>
      </c>
      <c r="V639" s="182">
        <f t="shared" ref="V639" si="2916">(V$632-$B638)/365</f>
        <v>7.2835616438356166</v>
      </c>
      <c r="W639" s="182">
        <f t="shared" ref="W639" si="2917">(W$632-$B638)/365</f>
        <v>7.7835616438356166</v>
      </c>
      <c r="X639" s="182">
        <f t="shared" ref="X639" si="2918">(X$632-$B638)/365</f>
        <v>8.2835616438356166</v>
      </c>
      <c r="Y639" s="182">
        <f t="shared" ref="Y639" si="2919">(Y$632-$B638)/365</f>
        <v>8.2904109589041095</v>
      </c>
    </row>
    <row r="640" spans="2:26">
      <c r="B640" t="s">
        <v>211</v>
      </c>
      <c r="H640" s="183">
        <f>1+((INDEX('Yield Curve'!$B$48:$P$91,MATCH(ROUND(H639,0),'Yield Curve'!$B$48:$B$91,0),MATCH(YEAR($B638),'Yield Curve'!$B$48:$P$48,0)))/100)</f>
        <v>1.03315</v>
      </c>
      <c r="I640" s="183">
        <f>1+((INDEX('Yield Curve'!$B$48:$P$91,MATCH(ROUND(I639,0),'Yield Curve'!$B$48:$B$91,0),MATCH(YEAR($B638),'Yield Curve'!$B$48:$P$48,0)))/100)</f>
        <v>1.03315</v>
      </c>
      <c r="J640" s="183">
        <f>1+((INDEX('Yield Curve'!$B$48:$P$91,MATCH(ROUND(J639,0),'Yield Curve'!$B$48:$B$91,0),MATCH(YEAR($B638),'Yield Curve'!$B$48:$P$48,0)))/100)</f>
        <v>1.03315</v>
      </c>
      <c r="K640" s="183">
        <f>1+((INDEX('Yield Curve'!$B$48:$P$91,MATCH(ROUND(K639,0),'Yield Curve'!$B$48:$B$91,0),MATCH(YEAR($B638),'Yield Curve'!$B$48:$P$48,0)))/100)</f>
        <v>1.03315</v>
      </c>
      <c r="L640" s="183">
        <f>1+((INDEX('Yield Curve'!$B$48:$P$91,MATCH(ROUND(L639,0),'Yield Curve'!$B$48:$B$91,0),MATCH(YEAR($B638),'Yield Curve'!$B$48:$P$48,0)))/100)</f>
        <v>1.03315</v>
      </c>
      <c r="M640" s="183">
        <f>1+((INDEX('Yield Curve'!$B$48:$P$91,MATCH(ROUND(M639,0),'Yield Curve'!$B$48:$B$91,0),MATCH(YEAR($B638),'Yield Curve'!$B$48:$P$48,0)))/100)</f>
        <v>1.03315</v>
      </c>
      <c r="N640" s="183">
        <f>1+((INDEX('Yield Curve'!$B$48:$P$91,MATCH(ROUND(N639,0),'Yield Curve'!$B$48:$B$91,0),MATCH(YEAR($B638),'Yield Curve'!$B$48:$P$48,0)))/100)</f>
        <v>1.03315</v>
      </c>
      <c r="O640" s="183">
        <f>1+((INDEX('Yield Curve'!$B$48:$P$91,MATCH(ROUND(O639,0),'Yield Curve'!$B$48:$B$91,0),MATCH(YEAR($B638),'Yield Curve'!$B$48:$P$48,0)))/100)</f>
        <v>1.0349999999999999</v>
      </c>
      <c r="P640" s="183">
        <f>1+((INDEX('Yield Curve'!$B$48:$P$91,MATCH(ROUND(P639,0),'Yield Curve'!$B$48:$B$91,0),MATCH(YEAR($B638),'Yield Curve'!$B$48:$P$48,0)))/100)</f>
        <v>1.0349999999999999</v>
      </c>
      <c r="Q640" s="183">
        <f>1+((INDEX('Yield Curve'!$B$48:$P$91,MATCH(ROUND(Q639,0),'Yield Curve'!$B$48:$B$91,0),MATCH(YEAR($B638),'Yield Curve'!$B$48:$P$48,0)))/100)</f>
        <v>1.03685</v>
      </c>
      <c r="R640" s="183">
        <f>1+((INDEX('Yield Curve'!$B$48:$P$91,MATCH(ROUND(R639,0),'Yield Curve'!$B$48:$B$91,0),MATCH(YEAR($B638),'Yield Curve'!$B$48:$P$48,0)))/100)</f>
        <v>1.03685</v>
      </c>
      <c r="S640" s="183">
        <f>1+((INDEX('Yield Curve'!$B$48:$P$91,MATCH(ROUND(S639,0),'Yield Curve'!$B$48:$B$91,0),MATCH(YEAR($B638),'Yield Curve'!$B$48:$P$48,0)))/100)</f>
        <v>1.0386</v>
      </c>
      <c r="T640" s="183">
        <f>1+((INDEX('Yield Curve'!$B$48:$P$91,MATCH(ROUND(T639,0),'Yield Curve'!$B$48:$B$91,0),MATCH(YEAR($B638),'Yield Curve'!$B$48:$P$48,0)))/100)</f>
        <v>1.0386</v>
      </c>
      <c r="U640" s="183">
        <f>1+((INDEX('Yield Curve'!$B$48:$P$91,MATCH(ROUND(U639,0),'Yield Curve'!$B$48:$B$91,0),MATCH(YEAR($B638),'Yield Curve'!$B$48:$P$48,0)))/100)</f>
        <v>1.0403500000000001</v>
      </c>
      <c r="V640" s="183">
        <f>1+((INDEX('Yield Curve'!$B$48:$P$91,MATCH(ROUND(V639,0),'Yield Curve'!$B$48:$B$91,0),MATCH(YEAR($B638),'Yield Curve'!$B$48:$P$48,0)))/100)</f>
        <v>1.0403500000000001</v>
      </c>
      <c r="W640" s="183">
        <f>1+((INDEX('Yield Curve'!$B$48:$P$91,MATCH(ROUND(W639,0),'Yield Curve'!$B$48:$B$91,0),MATCH(YEAR($B638),'Yield Curve'!$B$48:$P$48,0)))/100)</f>
        <v>1.0414874999999999</v>
      </c>
      <c r="X640" s="183">
        <f>1+((INDEX('Yield Curve'!$B$48:$P$91,MATCH(ROUND(X639,0),'Yield Curve'!$B$48:$B$91,0),MATCH(YEAR($B638),'Yield Curve'!$B$48:$P$48,0)))/100)</f>
        <v>1.0414874999999999</v>
      </c>
      <c r="Y640" s="183">
        <f>1+((INDEX('Yield Curve'!$B$48:$P$91,MATCH(ROUND(Y639,0),'Yield Curve'!$B$48:$B$91,0),MATCH(YEAR($B638),'Yield Curve'!$B$48:$P$48,0)))/100)</f>
        <v>1.0414874999999999</v>
      </c>
    </row>
    <row r="641" spans="2:25">
      <c r="B641" t="s">
        <v>212</v>
      </c>
      <c r="C641" s="182">
        <f>SUM(D641:AM641)</f>
        <v>337.16698148368437</v>
      </c>
      <c r="H641" s="182">
        <f t="shared" ref="H641" si="2920">H$633/(H640^H639)</f>
        <v>5.0389000305121865</v>
      </c>
      <c r="I641" s="182">
        <f t="shared" ref="I641" si="2921">I$633/(I640^I639)</f>
        <v>4.9574010248670488</v>
      </c>
      <c r="J641" s="182">
        <f t="shared" ref="J641" si="2922">J$633/(J640^J639)</f>
        <v>4.8772201814956073</v>
      </c>
      <c r="K641" s="182">
        <f t="shared" ref="K641" si="2923">K$633/(K640^K639)</f>
        <v>4.7983361804840037</v>
      </c>
      <c r="L641" s="182">
        <f t="shared" ref="L641" si="2924">L$633/(L640^L639)</f>
        <v>4.720728046745978</v>
      </c>
      <c r="M641" s="182">
        <f t="shared" ref="M641" si="2925">M$633/(M640^M639)</f>
        <v>4.6443751444456307</v>
      </c>
      <c r="N641" s="182">
        <f t="shared" ref="N641" si="2926">N$633/(N640^N639)</f>
        <v>4.569257171510408</v>
      </c>
      <c r="O641" s="182">
        <f t="shared" ref="O641" si="2927">O$633/(O640^O639)</f>
        <v>4.4650281281308297</v>
      </c>
      <c r="P641" s="182">
        <f t="shared" ref="P641" si="2928">P$633/(P640^P639)</f>
        <v>4.3888832099883208</v>
      </c>
      <c r="Q641" s="182">
        <f t="shared" ref="Q641" si="2929">Q$633/(Q640^Q639)</f>
        <v>4.2773403043487805</v>
      </c>
      <c r="R641" s="182">
        <f t="shared" ref="R641" si="2930">R$633/(R640^R639)</f>
        <v>4.2006436217862753</v>
      </c>
      <c r="S641" s="182">
        <f t="shared" ref="S641" si="2931">S$633/(S640^S639)</f>
        <v>4.0852822865860148</v>
      </c>
      <c r="T641" s="182">
        <f t="shared" ref="T641" si="2932">T$633/(T640^T639)</f>
        <v>4.0086479019999031</v>
      </c>
      <c r="U641" s="182">
        <f t="shared" ref="U641" si="2933">U$633/(U640^U639)</f>
        <v>3.888784970379163</v>
      </c>
      <c r="V641" s="182">
        <f t="shared" ref="V641" si="2934">V$633/(V640^V639)</f>
        <v>3.8126259002109366</v>
      </c>
      <c r="W641" s="182">
        <f t="shared" ref="W641" si="2935">W$633/(W640^W639)</f>
        <v>3.7062990185812712</v>
      </c>
      <c r="X641" s="182">
        <f t="shared" ref="X641" si="2936">X$633/(X640^X639)</f>
        <v>3.6317289139987654</v>
      </c>
      <c r="Y641" s="182">
        <f t="shared" ref="Y641" si="2937">Y$633/(Y640^Y639)</f>
        <v>263.09549944761324</v>
      </c>
    </row>
    <row r="642" spans="2:25">
      <c r="B642" s="135">
        <v>43646</v>
      </c>
    </row>
    <row r="643" spans="2:25">
      <c r="B643" t="s">
        <v>210</v>
      </c>
      <c r="J643" s="182">
        <f t="shared" ref="J643" si="2938">(J$632-$B642)/365</f>
        <v>0.28356164383561644</v>
      </c>
      <c r="K643" s="182">
        <f t="shared" ref="K643" si="2939">(K$632-$B642)/365</f>
        <v>0.78356164383561644</v>
      </c>
      <c r="L643" s="182">
        <f t="shared" ref="L643" si="2940">(L$632-$B642)/365</f>
        <v>1.2835616438356163</v>
      </c>
      <c r="M643" s="182">
        <f t="shared" ref="M643" si="2941">(M$632-$B642)/365</f>
        <v>1.7835616438356163</v>
      </c>
      <c r="N643" s="182">
        <f t="shared" ref="N643" si="2942">(N$632-$B642)/365</f>
        <v>2.2835616438356166</v>
      </c>
      <c r="O643" s="182">
        <f t="shared" ref="O643" si="2943">(O$632-$B642)/365</f>
        <v>2.7835616438356166</v>
      </c>
      <c r="P643" s="182">
        <f t="shared" ref="P643" si="2944">(P$632-$B642)/365</f>
        <v>3.2835616438356166</v>
      </c>
      <c r="Q643" s="182">
        <f t="shared" ref="Q643" si="2945">(Q$632-$B642)/365</f>
        <v>3.7835616438356166</v>
      </c>
      <c r="R643" s="182">
        <f t="shared" ref="R643" si="2946">(R$632-$B642)/365</f>
        <v>4.2835616438356166</v>
      </c>
      <c r="S643" s="182">
        <f t="shared" ref="S643" si="2947">(S$632-$B642)/365</f>
        <v>4.7835616438356166</v>
      </c>
      <c r="T643" s="182">
        <f t="shared" ref="T643" si="2948">(T$632-$B642)/365</f>
        <v>5.2835616438356166</v>
      </c>
      <c r="U643" s="182">
        <f t="shared" ref="U643" si="2949">(U$632-$B642)/365</f>
        <v>5.7835616438356166</v>
      </c>
      <c r="V643" s="182">
        <f t="shared" ref="V643" si="2950">(V$632-$B642)/365</f>
        <v>6.2835616438356166</v>
      </c>
      <c r="W643" s="182">
        <f t="shared" ref="W643" si="2951">(W$632-$B642)/365</f>
        <v>6.7835616438356166</v>
      </c>
      <c r="X643" s="182">
        <f t="shared" ref="X643" si="2952">(X$632-$B642)/365</f>
        <v>7.2835616438356166</v>
      </c>
      <c r="Y643" s="182">
        <f t="shared" ref="Y643" si="2953">(Y$632-$B642)/365</f>
        <v>7.2904109589041095</v>
      </c>
    </row>
    <row r="644" spans="2:25">
      <c r="B644" t="s">
        <v>211</v>
      </c>
      <c r="J644" s="183">
        <f>1+((INDEX('Yield Curve'!$B$48:$P$91,MATCH(ROUND(J643,0),'Yield Curve'!$B$48:$B$91,0),MATCH(YEAR($B642),'Yield Curve'!$B$48:$P$48,0)))/100)</f>
        <v>1.02305</v>
      </c>
      <c r="K644" s="183">
        <f>1+((INDEX('Yield Curve'!$B$48:$P$91,MATCH(ROUND(K643,0),'Yield Curve'!$B$48:$B$91,0),MATCH(YEAR($B642),'Yield Curve'!$B$48:$P$48,0)))/100)</f>
        <v>1.02305</v>
      </c>
      <c r="L644" s="183">
        <f>1+((INDEX('Yield Curve'!$B$48:$P$91,MATCH(ROUND(L643,0),'Yield Curve'!$B$48:$B$91,0),MATCH(YEAR($B642),'Yield Curve'!$B$48:$P$48,0)))/100)</f>
        <v>1.02305</v>
      </c>
      <c r="M644" s="183">
        <f>1+((INDEX('Yield Curve'!$B$48:$P$91,MATCH(ROUND(M643,0),'Yield Curve'!$B$48:$B$91,0),MATCH(YEAR($B642),'Yield Curve'!$B$48:$P$48,0)))/100)</f>
        <v>1.02305</v>
      </c>
      <c r="N644" s="183">
        <f>1+((INDEX('Yield Curve'!$B$48:$P$91,MATCH(ROUND(N643,0),'Yield Curve'!$B$48:$B$91,0),MATCH(YEAR($B642),'Yield Curve'!$B$48:$P$48,0)))/100)</f>
        <v>1.02305</v>
      </c>
      <c r="O644" s="183">
        <f>1+((INDEX('Yield Curve'!$B$48:$P$91,MATCH(ROUND(O643,0),'Yield Curve'!$B$48:$B$91,0),MATCH(YEAR($B642),'Yield Curve'!$B$48:$P$48,0)))/100)</f>
        <v>1.02305</v>
      </c>
      <c r="P644" s="183">
        <f>1+((INDEX('Yield Curve'!$B$48:$P$91,MATCH(ROUND(P643,0),'Yield Curve'!$B$48:$B$91,0),MATCH(YEAR($B642),'Yield Curve'!$B$48:$P$48,0)))/100)</f>
        <v>1.02305</v>
      </c>
      <c r="Q644" s="183">
        <f>1+((INDEX('Yield Curve'!$B$48:$P$91,MATCH(ROUND(Q643,0),'Yield Curve'!$B$48:$B$91,0),MATCH(YEAR($B642),'Yield Curve'!$B$48:$P$48,0)))/100)</f>
        <v>1.024575</v>
      </c>
      <c r="R644" s="183">
        <f>1+((INDEX('Yield Curve'!$B$48:$P$91,MATCH(ROUND(R643,0),'Yield Curve'!$B$48:$B$91,0),MATCH(YEAR($B642),'Yield Curve'!$B$48:$P$48,0)))/100)</f>
        <v>1.024575</v>
      </c>
      <c r="S644" s="183">
        <f>1+((INDEX('Yield Curve'!$B$48:$P$91,MATCH(ROUND(S643,0),'Yield Curve'!$B$48:$B$91,0),MATCH(YEAR($B642),'Yield Curve'!$B$48:$P$48,0)))/100)</f>
        <v>1.0261</v>
      </c>
      <c r="T644" s="183">
        <f>1+((INDEX('Yield Curve'!$B$48:$P$91,MATCH(ROUND(T643,0),'Yield Curve'!$B$48:$B$91,0),MATCH(YEAR($B642),'Yield Curve'!$B$48:$P$48,0)))/100)</f>
        <v>1.0261</v>
      </c>
      <c r="U644" s="183">
        <f>1+((INDEX('Yield Curve'!$B$48:$P$91,MATCH(ROUND(U643,0),'Yield Curve'!$B$48:$B$91,0),MATCH(YEAR($B642),'Yield Curve'!$B$48:$P$48,0)))/100)</f>
        <v>1.028375</v>
      </c>
      <c r="V644" s="183">
        <f>1+((INDEX('Yield Curve'!$B$48:$P$91,MATCH(ROUND(V643,0),'Yield Curve'!$B$48:$B$91,0),MATCH(YEAR($B642),'Yield Curve'!$B$48:$P$48,0)))/100)</f>
        <v>1.028375</v>
      </c>
      <c r="W644" s="183">
        <f>1+((INDEX('Yield Curve'!$B$48:$P$91,MATCH(ROUND(W643,0),'Yield Curve'!$B$48:$B$91,0),MATCH(YEAR($B642),'Yield Curve'!$B$48:$P$48,0)))/100)</f>
        <v>1.0306500000000001</v>
      </c>
      <c r="X644" s="183">
        <f>1+((INDEX('Yield Curve'!$B$48:$P$91,MATCH(ROUND(X643,0),'Yield Curve'!$B$48:$B$91,0),MATCH(YEAR($B642),'Yield Curve'!$B$48:$P$48,0)))/100)</f>
        <v>1.0306500000000001</v>
      </c>
      <c r="Y644" s="183">
        <f>1+((INDEX('Yield Curve'!$B$48:$P$91,MATCH(ROUND(Y643,0),'Yield Curve'!$B$48:$B$91,0),MATCH(YEAR($B642),'Yield Curve'!$B$48:$P$48,0)))/100)</f>
        <v>1.0306500000000001</v>
      </c>
    </row>
    <row r="645" spans="2:25">
      <c r="B645" t="s">
        <v>212</v>
      </c>
      <c r="C645" s="182">
        <f>SUM(D645:AM645)</f>
        <v>364.88965064524382</v>
      </c>
      <c r="J645" s="182">
        <f t="shared" ref="J645" si="2954">J$633/(J644^J643)</f>
        <v>5.0529565495857316</v>
      </c>
      <c r="K645" s="182">
        <f t="shared" ref="K645" si="2955">K$633/(K644^K643)</f>
        <v>4.9957090127579358</v>
      </c>
      <c r="L645" s="182">
        <f t="shared" ref="L645" si="2956">L$633/(L644^L643)</f>
        <v>4.9391100626418378</v>
      </c>
      <c r="M645" s="182">
        <f t="shared" ref="M645" si="2957">M$633/(M644^M643)</f>
        <v>4.8831523510658679</v>
      </c>
      <c r="N645" s="182">
        <f t="shared" ref="N645" si="2958">N$633/(N644^N643)</f>
        <v>4.8278286131096602</v>
      </c>
      <c r="O645" s="182">
        <f t="shared" ref="O645" si="2959">O$633/(O644^O643)</f>
        <v>4.77313166616086</v>
      </c>
      <c r="P645" s="182">
        <f t="shared" ref="P645" si="2960">P$633/(P644^P643)</f>
        <v>4.7190544089826103</v>
      </c>
      <c r="Q645" s="182">
        <f t="shared" ref="Q645" si="2961">Q$633/(Q644^Q643)</f>
        <v>4.6393697622886965</v>
      </c>
      <c r="R645" s="182">
        <f t="shared" ref="R645" si="2962">R$633/(R644^R643)</f>
        <v>4.5833931381827044</v>
      </c>
      <c r="S645" s="182">
        <f t="shared" ref="S645" si="2963">S$633/(S644^S643)</f>
        <v>4.4959903778619852</v>
      </c>
      <c r="T645" s="182">
        <f t="shared" ref="T645" si="2964">T$633/(T644^T643)</f>
        <v>4.4384417981739679</v>
      </c>
      <c r="U645" s="182">
        <f t="shared" ref="U645" si="2965">U$633/(U644^U643)</f>
        <v>4.325864627265636</v>
      </c>
      <c r="V645" s="182">
        <f t="shared" ref="V645" si="2966">V$633/(V644^V643)</f>
        <v>4.2657673852858213</v>
      </c>
      <c r="W645" s="182">
        <f t="shared" ref="W645" si="2967">W$633/(W644^W643)</f>
        <v>4.1439189123439419</v>
      </c>
      <c r="X645" s="182">
        <f t="shared" ref="X645" si="2968">X$633/(X644^X643)</f>
        <v>4.0818368755669878</v>
      </c>
      <c r="Y645" s="182">
        <f t="shared" ref="Y645" si="2969">Y$633/(Y644^Y643)</f>
        <v>295.72412510396958</v>
      </c>
    </row>
    <row r="646" spans="2:25">
      <c r="B646" s="135">
        <v>44012</v>
      </c>
    </row>
    <row r="647" spans="2:25">
      <c r="B647" t="s">
        <v>210</v>
      </c>
      <c r="L647" s="182">
        <f t="shared" ref="L647" si="2970">(L$632-$B646)/365</f>
        <v>0.28082191780821919</v>
      </c>
      <c r="M647" s="182">
        <f t="shared" ref="M647" si="2971">(M$632-$B646)/365</f>
        <v>0.78082191780821919</v>
      </c>
      <c r="N647" s="182">
        <f t="shared" ref="N647" si="2972">(N$632-$B646)/365</f>
        <v>1.2808219178082192</v>
      </c>
      <c r="O647" s="182">
        <f t="shared" ref="O647" si="2973">(O$632-$B646)/365</f>
        <v>1.7808219178082192</v>
      </c>
      <c r="P647" s="182">
        <f t="shared" ref="P647" si="2974">(P$632-$B646)/365</f>
        <v>2.2808219178082192</v>
      </c>
      <c r="Q647" s="182">
        <f t="shared" ref="Q647" si="2975">(Q$632-$B646)/365</f>
        <v>2.7808219178082192</v>
      </c>
      <c r="R647" s="182">
        <f t="shared" ref="R647" si="2976">(R$632-$B646)/365</f>
        <v>3.2808219178082192</v>
      </c>
      <c r="S647" s="182">
        <f t="shared" ref="S647" si="2977">(S$632-$B646)/365</f>
        <v>3.7808219178082192</v>
      </c>
      <c r="T647" s="182">
        <f t="shared" ref="T647" si="2978">(T$632-$B646)/365</f>
        <v>4.2808219178082192</v>
      </c>
      <c r="U647" s="182">
        <f t="shared" ref="U647" si="2979">(U$632-$B646)/365</f>
        <v>4.7808219178082192</v>
      </c>
      <c r="V647" s="182">
        <f t="shared" ref="V647" si="2980">(V$632-$B646)/365</f>
        <v>5.2808219178082192</v>
      </c>
      <c r="W647" s="182">
        <f t="shared" ref="W647" si="2981">(W$632-$B646)/365</f>
        <v>5.7808219178082192</v>
      </c>
      <c r="X647" s="182">
        <f t="shared" ref="X647" si="2982">(X$632-$B646)/365</f>
        <v>6.2808219178082192</v>
      </c>
      <c r="Y647" s="182">
        <f t="shared" ref="Y647" si="2983">(Y$632-$B646)/365</f>
        <v>6.2876712328767121</v>
      </c>
    </row>
    <row r="648" spans="2:25">
      <c r="B648" t="s">
        <v>211</v>
      </c>
      <c r="L648" s="183">
        <f>1+((INDEX('Yield Curve'!$B$48:$P$91,MATCH(ROUND(L647,0),'Yield Curve'!$B$48:$B$91,0),MATCH(YEAR($B646),'Yield Curve'!$B$48:$P$48,0)))/100)</f>
        <v>1.02105</v>
      </c>
      <c r="M648" s="183">
        <f>1+((INDEX('Yield Curve'!$B$48:$P$91,MATCH(ROUND(M647,0),'Yield Curve'!$B$48:$B$91,0),MATCH(YEAR($B646),'Yield Curve'!$B$48:$P$48,0)))/100)</f>
        <v>1.02105</v>
      </c>
      <c r="N648" s="183">
        <f>1+((INDEX('Yield Curve'!$B$48:$P$91,MATCH(ROUND(N647,0),'Yield Curve'!$B$48:$B$91,0),MATCH(YEAR($B646),'Yield Curve'!$B$48:$P$48,0)))/100)</f>
        <v>1.02105</v>
      </c>
      <c r="O648" s="183">
        <f>1+((INDEX('Yield Curve'!$B$48:$P$91,MATCH(ROUND(O647,0),'Yield Curve'!$B$48:$B$91,0),MATCH(YEAR($B646),'Yield Curve'!$B$48:$P$48,0)))/100)</f>
        <v>1.02105</v>
      </c>
      <c r="P648" s="183">
        <f>1+((INDEX('Yield Curve'!$B$48:$P$91,MATCH(ROUND(P647,0),'Yield Curve'!$B$48:$B$91,0),MATCH(YEAR($B646),'Yield Curve'!$B$48:$P$48,0)))/100)</f>
        <v>1.02105</v>
      </c>
      <c r="Q648" s="183">
        <f>1+((INDEX('Yield Curve'!$B$48:$P$91,MATCH(ROUND(Q647,0),'Yield Curve'!$B$48:$B$91,0),MATCH(YEAR($B646),'Yield Curve'!$B$48:$P$48,0)))/100)</f>
        <v>1.02105</v>
      </c>
      <c r="R648" s="183">
        <f>1+((INDEX('Yield Curve'!$B$48:$P$91,MATCH(ROUND(R647,0),'Yield Curve'!$B$48:$B$91,0),MATCH(YEAR($B646),'Yield Curve'!$B$48:$P$48,0)))/100)</f>
        <v>1.02105</v>
      </c>
      <c r="S648" s="183">
        <f>1+((INDEX('Yield Curve'!$B$48:$P$91,MATCH(ROUND(S647,0),'Yield Curve'!$B$48:$B$91,0),MATCH(YEAR($B646),'Yield Curve'!$B$48:$P$48,0)))/100)</f>
        <v>1.0229999999999999</v>
      </c>
      <c r="T648" s="183">
        <f>1+((INDEX('Yield Curve'!$B$48:$P$91,MATCH(ROUND(T647,0),'Yield Curve'!$B$48:$B$91,0),MATCH(YEAR($B646),'Yield Curve'!$B$48:$P$48,0)))/100)</f>
        <v>1.0229999999999999</v>
      </c>
      <c r="U648" s="183">
        <f>1+((INDEX('Yield Curve'!$B$48:$P$91,MATCH(ROUND(U647,0),'Yield Curve'!$B$48:$B$91,0),MATCH(YEAR($B646),'Yield Curve'!$B$48:$P$48,0)))/100)</f>
        <v>1.02495</v>
      </c>
      <c r="V648" s="183">
        <f>1+((INDEX('Yield Curve'!$B$48:$P$91,MATCH(ROUND(V647,0),'Yield Curve'!$B$48:$B$91,0),MATCH(YEAR($B646),'Yield Curve'!$B$48:$P$48,0)))/100)</f>
        <v>1.02495</v>
      </c>
      <c r="W648" s="183">
        <f>1+((INDEX('Yield Curve'!$B$48:$P$91,MATCH(ROUND(W647,0),'Yield Curve'!$B$48:$B$91,0),MATCH(YEAR($B646),'Yield Curve'!$B$48:$P$48,0)))/100)</f>
        <v>1.0282249999999999</v>
      </c>
      <c r="X648" s="183">
        <f>1+((INDEX('Yield Curve'!$B$48:$P$91,MATCH(ROUND(X647,0),'Yield Curve'!$B$48:$B$91,0),MATCH(YEAR($B646),'Yield Curve'!$B$48:$P$48,0)))/100)</f>
        <v>1.0282249999999999</v>
      </c>
      <c r="Y648" s="183">
        <f>1+((INDEX('Yield Curve'!$B$48:$P$91,MATCH(ROUND(Y647,0),'Yield Curve'!$B$48:$B$91,0),MATCH(YEAR($B646),'Yield Curve'!$B$48:$P$48,0)))/100)</f>
        <v>1.0282249999999999</v>
      </c>
    </row>
    <row r="649" spans="2:25">
      <c r="B649" t="s">
        <v>212</v>
      </c>
      <c r="C649" s="182">
        <f>SUM(D649:AM649)</f>
        <v>370.53880324079785</v>
      </c>
      <c r="L649" s="182">
        <f t="shared" ref="L649" si="2984">L$633/(L648^L647)</f>
        <v>5.0560497073338562</v>
      </c>
      <c r="M649" s="182">
        <f t="shared" ref="M649" si="2985">M$633/(M648^M647)</f>
        <v>5.0036604438701007</v>
      </c>
      <c r="N649" s="182">
        <f t="shared" ref="N649" si="2986">N$633/(N648^N647)</f>
        <v>4.9518140221672358</v>
      </c>
      <c r="O649" s="182">
        <f t="shared" ref="O649" si="2987">O$633/(O648^O647)</f>
        <v>4.9005048174625143</v>
      </c>
      <c r="P649" s="182">
        <f t="shared" ref="P649" si="2988">P$633/(P648^P647)</f>
        <v>4.8497272632752901</v>
      </c>
      <c r="Q649" s="182">
        <f t="shared" ref="Q649" si="2989">Q$633/(Q648^Q647)</f>
        <v>4.799475850803109</v>
      </c>
      <c r="R649" s="182">
        <f t="shared" ref="R649" si="2990">R$633/(R648^R647)</f>
        <v>4.7497451283240695</v>
      </c>
      <c r="S649" s="182">
        <f t="shared" ref="S649" si="2991">S$633/(S648^S647)</f>
        <v>4.6667433916923819</v>
      </c>
      <c r="T649" s="182">
        <f t="shared" ref="T649" si="2992">T$633/(T648^T647)</f>
        <v>4.6139842139302312</v>
      </c>
      <c r="U649" s="182">
        <f t="shared" ref="U649" si="2993">U$633/(U648^U647)</f>
        <v>4.5204776618287212</v>
      </c>
      <c r="V649" s="182">
        <f t="shared" ref="V649" si="2994">V$633/(V648^V647)</f>
        <v>4.4651184842385927</v>
      </c>
      <c r="W649" s="182">
        <f t="shared" ref="W649" si="2995">W$633/(W648^W647)</f>
        <v>4.3298458915005646</v>
      </c>
      <c r="X649" s="182">
        <f t="shared" ref="X649" si="2996">X$633/(X648^X647)</f>
        <v>4.2700047649952433</v>
      </c>
      <c r="Y649" s="182">
        <f t="shared" ref="Y649" si="2997">Y$633/(Y648^Y647)</f>
        <v>309.36165159937593</v>
      </c>
    </row>
    <row r="650" spans="2:25">
      <c r="B650" s="135">
        <v>44377</v>
      </c>
    </row>
    <row r="651" spans="2:25">
      <c r="B651" t="s">
        <v>210</v>
      </c>
      <c r="N651" s="182">
        <f t="shared" ref="N651" si="2998">(N$632-$B650)/365</f>
        <v>0.28082191780821919</v>
      </c>
      <c r="O651" s="182">
        <f t="shared" ref="O651" si="2999">(O$632-$B650)/365</f>
        <v>0.78082191780821919</v>
      </c>
      <c r="P651" s="182">
        <f t="shared" ref="P651" si="3000">(P$632-$B650)/365</f>
        <v>1.2808219178082192</v>
      </c>
      <c r="Q651" s="182">
        <f t="shared" ref="Q651" si="3001">(Q$632-$B650)/365</f>
        <v>1.7808219178082192</v>
      </c>
      <c r="R651" s="182">
        <f t="shared" ref="R651" si="3002">(R$632-$B650)/365</f>
        <v>2.2808219178082192</v>
      </c>
      <c r="S651" s="182">
        <f t="shared" ref="S651" si="3003">(S$632-$B650)/365</f>
        <v>2.7808219178082192</v>
      </c>
      <c r="T651" s="182">
        <f t="shared" ref="T651" si="3004">(T$632-$B650)/365</f>
        <v>3.2808219178082192</v>
      </c>
      <c r="U651" s="182">
        <f t="shared" ref="U651" si="3005">(U$632-$B650)/365</f>
        <v>3.7808219178082192</v>
      </c>
      <c r="V651" s="182">
        <f t="shared" ref="V651" si="3006">(V$632-$B650)/365</f>
        <v>4.2808219178082192</v>
      </c>
      <c r="W651" s="182">
        <f t="shared" ref="W651" si="3007">(W$632-$B650)/365</f>
        <v>4.7808219178082192</v>
      </c>
      <c r="X651" s="182">
        <f t="shared" ref="X651" si="3008">(X$632-$B650)/365</f>
        <v>5.2808219178082192</v>
      </c>
      <c r="Y651" s="182">
        <f t="shared" ref="Y651" si="3009">(Y$632-$B650)/365</f>
        <v>5.2876712328767121</v>
      </c>
    </row>
    <row r="652" spans="2:25">
      <c r="B652" t="s">
        <v>211</v>
      </c>
      <c r="N652" s="183">
        <f>1+((INDEX('Yield Curve'!$B$48:$P$91,MATCH(ROUND(N651,0),'Yield Curve'!$B$48:$B$91,0),MATCH(YEAR($B650),'Yield Curve'!$B$48:$P$48,0)))/100)</f>
        <v>1.0129999999999999</v>
      </c>
      <c r="O652" s="183">
        <f>1+((INDEX('Yield Curve'!$B$48:$P$91,MATCH(ROUND(O651,0),'Yield Curve'!$B$48:$B$91,0),MATCH(YEAR($B650),'Yield Curve'!$B$48:$P$48,0)))/100)</f>
        <v>1.0129999999999999</v>
      </c>
      <c r="P652" s="183">
        <f>1+((INDEX('Yield Curve'!$B$48:$P$91,MATCH(ROUND(P651,0),'Yield Curve'!$B$48:$B$91,0),MATCH(YEAR($B650),'Yield Curve'!$B$48:$P$48,0)))/100)</f>
        <v>1.0129999999999999</v>
      </c>
      <c r="Q652" s="183">
        <f>1+((INDEX('Yield Curve'!$B$48:$P$91,MATCH(ROUND(Q651,0),'Yield Curve'!$B$48:$B$91,0),MATCH(YEAR($B650),'Yield Curve'!$B$48:$P$48,0)))/100)</f>
        <v>1.0129999999999999</v>
      </c>
      <c r="R652" s="183">
        <f>1+((INDEX('Yield Curve'!$B$48:$P$91,MATCH(ROUND(R651,0),'Yield Curve'!$B$48:$B$91,0),MATCH(YEAR($B650),'Yield Curve'!$B$48:$P$48,0)))/100)</f>
        <v>1.0129999999999999</v>
      </c>
      <c r="S652" s="183">
        <f>1+((INDEX('Yield Curve'!$B$48:$P$91,MATCH(ROUND(S651,0),'Yield Curve'!$B$48:$B$91,0),MATCH(YEAR($B650),'Yield Curve'!$B$48:$P$48,0)))/100)</f>
        <v>1.0129999999999999</v>
      </c>
      <c r="T652" s="183">
        <f>1+((INDEX('Yield Curve'!$B$48:$P$91,MATCH(ROUND(T651,0),'Yield Curve'!$B$48:$B$91,0),MATCH(YEAR($B650),'Yield Curve'!$B$48:$P$48,0)))/100)</f>
        <v>1.0129999999999999</v>
      </c>
      <c r="U652" s="183">
        <f>1+((INDEX('Yield Curve'!$B$48:$P$91,MATCH(ROUND(U651,0),'Yield Curve'!$B$48:$B$91,0),MATCH(YEAR($B650),'Yield Curve'!$B$48:$P$48,0)))/100)</f>
        <v>1.0161249999999999</v>
      </c>
      <c r="V652" s="183">
        <f>1+((INDEX('Yield Curve'!$B$48:$P$91,MATCH(ROUND(V651,0),'Yield Curve'!$B$48:$B$91,0),MATCH(YEAR($B650),'Yield Curve'!$B$48:$P$48,0)))/100)</f>
        <v>1.0161249999999999</v>
      </c>
      <c r="W652" s="183">
        <f>1+((INDEX('Yield Curve'!$B$48:$P$91,MATCH(ROUND(W651,0),'Yield Curve'!$B$48:$B$91,0),MATCH(YEAR($B650),'Yield Curve'!$B$48:$P$48,0)))/100)</f>
        <v>1.01925</v>
      </c>
      <c r="X652" s="183">
        <f>1+((INDEX('Yield Curve'!$B$48:$P$91,MATCH(ROUND(X651,0),'Yield Curve'!$B$48:$B$91,0),MATCH(YEAR($B650),'Yield Curve'!$B$48:$P$48,0)))/100)</f>
        <v>1.01925</v>
      </c>
      <c r="Y652" s="183">
        <f>1+((INDEX('Yield Curve'!$B$48:$P$91,MATCH(ROUND(Y651,0),'Yield Curve'!$B$48:$B$91,0),MATCH(YEAR($B650),'Yield Curve'!$B$48:$P$48,0)))/100)</f>
        <v>1.01925</v>
      </c>
    </row>
    <row r="653" spans="2:25">
      <c r="B653" t="s">
        <v>212</v>
      </c>
      <c r="C653" s="182">
        <f>SUM(D653:AM653)</f>
        <v>386.75723657966802</v>
      </c>
      <c r="N653" s="182">
        <f t="shared" ref="N653" si="3010">N$633/(N652^N651)</f>
        <v>5.0673007200655507</v>
      </c>
      <c r="O653" s="182">
        <f t="shared" ref="O653" si="3011">O$633/(O652^O651)</f>
        <v>5.0346809656658831</v>
      </c>
      <c r="P653" s="182">
        <f t="shared" ref="P653" si="3012">P$633/(P652^P651)</f>
        <v>5.0022711945365748</v>
      </c>
      <c r="Q653" s="182">
        <f t="shared" ref="Q653" si="3013">Q$633/(Q652^Q651)</f>
        <v>4.9700700549515142</v>
      </c>
      <c r="R653" s="182">
        <f t="shared" ref="R653" si="3014">R$633/(R652^R651)</f>
        <v>4.9380762038860562</v>
      </c>
      <c r="S653" s="182">
        <f t="shared" ref="S653" si="3015">S$633/(S652^S651)</f>
        <v>4.906288306961021</v>
      </c>
      <c r="T653" s="182">
        <f t="shared" ref="T653" si="3016">T$633/(T652^T651)</f>
        <v>4.8747050383870256</v>
      </c>
      <c r="U653" s="182">
        <f t="shared" ref="U653" si="3017">U$633/(U652^U651)</f>
        <v>4.7872493337922846</v>
      </c>
      <c r="V653" s="182">
        <f t="shared" ref="V653" si="3018">V$633/(V652^V651)</f>
        <v>4.7491127357116536</v>
      </c>
      <c r="W653" s="182">
        <f t="shared" ref="W653" si="3019">W$633/(W652^W651)</f>
        <v>4.6426215748852684</v>
      </c>
      <c r="X653" s="182">
        <f t="shared" ref="X653" si="3020">X$633/(X652^X651)</f>
        <v>4.5985713074549066</v>
      </c>
      <c r="Y653" s="182">
        <f t="shared" ref="Y653" si="3021">Y$633/(Y652^Y651)</f>
        <v>333.18628914337029</v>
      </c>
    </row>
    <row r="654" spans="2:25">
      <c r="B654" s="135">
        <v>44552</v>
      </c>
    </row>
    <row r="655" spans="2:25">
      <c r="B655" t="s">
        <v>210</v>
      </c>
      <c r="O655" s="182">
        <f t="shared" ref="O655" si="3022">(O$632-$B654)/365</f>
        <v>0.30136986301369861</v>
      </c>
      <c r="P655" s="182">
        <f t="shared" ref="P655" si="3023">(P$632-$B654)/365</f>
        <v>0.80136986301369861</v>
      </c>
      <c r="Q655" s="182">
        <f t="shared" ref="Q655" si="3024">(Q$632-$B654)/365</f>
        <v>1.3013698630136987</v>
      </c>
      <c r="R655" s="182">
        <f t="shared" ref="R655" si="3025">(R$632-$B654)/365</f>
        <v>1.8013698630136987</v>
      </c>
      <c r="S655" s="182">
        <f t="shared" ref="S655" si="3026">(S$632-$B654)/365</f>
        <v>2.3013698630136985</v>
      </c>
      <c r="T655" s="182">
        <f t="shared" ref="T655" si="3027">(T$632-$B654)/365</f>
        <v>2.8013698630136985</v>
      </c>
      <c r="U655" s="182">
        <f t="shared" ref="U655" si="3028">(U$632-$B654)/365</f>
        <v>3.3013698630136985</v>
      </c>
      <c r="V655" s="182">
        <f t="shared" ref="V655" si="3029">(V$632-$B654)/365</f>
        <v>3.8013698630136985</v>
      </c>
      <c r="W655" s="182">
        <f t="shared" ref="W655" si="3030">(W$632-$B654)/365</f>
        <v>4.3013698630136989</v>
      </c>
      <c r="X655" s="182">
        <f t="shared" ref="X655" si="3031">(X$632-$B654)/365</f>
        <v>4.8013698630136989</v>
      </c>
      <c r="Y655" s="182">
        <f t="shared" ref="Y655" si="3032">(Y$632-$B654)/365</f>
        <v>4.8082191780821919</v>
      </c>
    </row>
    <row r="656" spans="2:25">
      <c r="B656" t="s">
        <v>211</v>
      </c>
      <c r="O656" s="183">
        <f>1+((INDEX('Yield Curve'!$B$48:$P$91,MATCH(ROUND(O655,0),'Yield Curve'!$B$48:$B$91,0),MATCH(YEAR($B654)+1,'Yield Curve'!$B$48:$P$48,0)))/100)</f>
        <v>1.0212000000000001</v>
      </c>
      <c r="P656" s="183">
        <f>1+((INDEX('Yield Curve'!$B$48:$P$91,MATCH(ROUND(P655,0),'Yield Curve'!$B$48:$B$91,0),MATCH(YEAR($B654)+1,'Yield Curve'!$B$48:$P$48,0)))/100)</f>
        <v>1.0212000000000001</v>
      </c>
      <c r="Q656" s="183">
        <f>1+((INDEX('Yield Curve'!$B$48:$P$91,MATCH(ROUND(Q655,0),'Yield Curve'!$B$48:$B$91,0),MATCH(YEAR($B654)+1,'Yield Curve'!$B$48:$P$48,0)))/100)</f>
        <v>1.0212000000000001</v>
      </c>
      <c r="R656" s="183">
        <f>1+((INDEX('Yield Curve'!$B$48:$P$91,MATCH(ROUND(R655,0),'Yield Curve'!$B$48:$B$91,0),MATCH(YEAR($B654)+1,'Yield Curve'!$B$48:$P$48,0)))/100)</f>
        <v>1.0212000000000001</v>
      </c>
      <c r="S656" s="183">
        <f>1+((INDEX('Yield Curve'!$B$48:$P$91,MATCH(ROUND(S655,0),'Yield Curve'!$B$48:$B$91,0),MATCH(YEAR($B654)+1,'Yield Curve'!$B$48:$P$48,0)))/100)</f>
        <v>1.0212000000000001</v>
      </c>
      <c r="T656" s="183">
        <f>1+((INDEX('Yield Curve'!$B$48:$P$91,MATCH(ROUND(T655,0),'Yield Curve'!$B$48:$B$91,0),MATCH(YEAR($B654)+1,'Yield Curve'!$B$48:$P$48,0)))/100)</f>
        <v>1.0212000000000001</v>
      </c>
      <c r="U656" s="183">
        <f>1+((INDEX('Yield Curve'!$B$48:$P$91,MATCH(ROUND(U655,0),'Yield Curve'!$B$48:$B$91,0),MATCH(YEAR($B654)+1,'Yield Curve'!$B$48:$P$48,0)))/100)</f>
        <v>1.0212000000000001</v>
      </c>
      <c r="V656" s="183">
        <f>1+((INDEX('Yield Curve'!$B$48:$P$91,MATCH(ROUND(V655,0),'Yield Curve'!$B$48:$B$91,0),MATCH(YEAR($B654)+1,'Yield Curve'!$B$48:$P$48,0)))/100)</f>
        <v>1.0245</v>
      </c>
      <c r="W656" s="183">
        <f>1+((INDEX('Yield Curve'!$B$48:$P$91,MATCH(ROUND(W655,0),'Yield Curve'!$B$48:$B$91,0),MATCH(YEAR($B654)+1,'Yield Curve'!$B$48:$P$48,0)))/100)</f>
        <v>1.0245</v>
      </c>
      <c r="X656" s="183">
        <f>1+((INDEX('Yield Curve'!$B$48:$P$91,MATCH(ROUND(X655,0),'Yield Curve'!$B$48:$B$91,0),MATCH(YEAR($B654)+1,'Yield Curve'!$B$48:$P$48,0)))/100)</f>
        <v>1.0278</v>
      </c>
      <c r="Y656" s="183">
        <f>1+((INDEX('Yield Curve'!$B$48:$P$91,MATCH(ROUND(Y655,0),'Yield Curve'!$B$48:$B$91,0),MATCH(YEAR($B654)+1,'Yield Curve'!$B$48:$P$48,0)))/100)</f>
        <v>1.0278</v>
      </c>
    </row>
    <row r="657" spans="2:32">
      <c r="B657" t="s">
        <v>212</v>
      </c>
      <c r="C657" s="182">
        <f>SUM(D657:AM657)</f>
        <v>370.97544273529951</v>
      </c>
      <c r="O657" s="182">
        <f t="shared" ref="O657" si="3033">O$633/(O656^O655)</f>
        <v>5.0536622231463344</v>
      </c>
      <c r="P657" s="182">
        <f t="shared" ref="P657" si="3034">P$633/(P656^P655)</f>
        <v>5.0009303742371216</v>
      </c>
      <c r="Q657" s="182">
        <f t="shared" ref="Q657" si="3035">Q$633/(Q656^Q655)</f>
        <v>4.9487487496536762</v>
      </c>
      <c r="R657" s="182">
        <f t="shared" ref="R657" si="3036">R$633/(R656^R655)</f>
        <v>4.897111608144459</v>
      </c>
      <c r="S657" s="182">
        <f t="shared" ref="S657" si="3037">S$633/(S656^S655)</f>
        <v>4.8460132683643513</v>
      </c>
      <c r="T657" s="182">
        <f t="shared" ref="T657" si="3038">T$633/(T656^T655)</f>
        <v>4.7954481082495679</v>
      </c>
      <c r="U657" s="182">
        <f t="shared" ref="U657" si="3039">U$633/(U656^U655)</f>
        <v>4.7454105643990907</v>
      </c>
      <c r="V657" s="182">
        <f t="shared" ref="V657" si="3040">V$633/(V656^V655)</f>
        <v>4.6386550229117312</v>
      </c>
      <c r="W657" s="182">
        <f t="shared" ref="W657" si="3041">W$633/(W656^W655)</f>
        <v>4.582854760577602</v>
      </c>
      <c r="X657" s="182">
        <f t="shared" ref="X657" si="3042">X$633/(X656^X655)</f>
        <v>4.4583511991790958</v>
      </c>
      <c r="Y657" s="182">
        <f t="shared" ref="Y657" si="3043">Y$633/(Y656^Y655)</f>
        <v>323.00825685643645</v>
      </c>
    </row>
    <row r="659" spans="2:32">
      <c r="B659" s="5" t="str">
        <f>'VPN Bonds'!A102</f>
        <v>30702960112</v>
      </c>
    </row>
    <row r="660" spans="2:32">
      <c r="B660" t="s">
        <v>66</v>
      </c>
      <c r="D660" s="180">
        <f>VLOOKUP(B659,'VPN Bonds'!$A$85:$K$104,4,FALSE)</f>
        <v>42626</v>
      </c>
      <c r="E660" s="180">
        <f>VLOOKUP(B659,'VPN Bonds'!$A$85:$K$104,10,FALSE)</f>
        <v>42837</v>
      </c>
      <c r="F660" s="180">
        <f>IF(E660+VLOOKUP($B659,'VPN Bonds'!$A$85:$K$104,9,FALSE)*365 &lt; VLOOKUP($B659,'VPN Bonds'!$A$85:$K$104,5,FALSE), E660+VLOOKUP($B659,'VPN Bonds'!$A$85:$K$104,9,FALSE)*365, VLOOKUP($B659,'VPN Bonds'!$A$85:$K$104,5,FALSE))</f>
        <v>43019.5</v>
      </c>
      <c r="G660" s="180">
        <f>IF(F660+VLOOKUP($B659,'VPN Bonds'!$A$85:$K$104,9,FALSE)*365 &lt; VLOOKUP($B659,'VPN Bonds'!$A$85:$K$104,5,FALSE), F660+VLOOKUP($B659,'VPN Bonds'!$A$85:$K$104,9,FALSE)*365, VLOOKUP($B659,'VPN Bonds'!$A$85:$K$104,5,FALSE))</f>
        <v>43202</v>
      </c>
      <c r="H660" s="180">
        <f>IF(G660+VLOOKUP($B659,'VPN Bonds'!$A$85:$K$104,9,FALSE)*365 &lt; VLOOKUP($B659,'VPN Bonds'!$A$85:$K$104,5,FALSE), G660+VLOOKUP($B659,'VPN Bonds'!$A$85:$K$104,9,FALSE)*365, VLOOKUP($B659,'VPN Bonds'!$A$85:$K$104,5,FALSE))</f>
        <v>43384.5</v>
      </c>
      <c r="I660" s="180">
        <f>IF(H660+VLOOKUP($B659,'VPN Bonds'!$A$85:$K$104,9,FALSE)*365 &lt; VLOOKUP($B659,'VPN Bonds'!$A$85:$K$104,5,FALSE), H660+VLOOKUP($B659,'VPN Bonds'!$A$85:$K$104,9,FALSE)*365, VLOOKUP($B659,'VPN Bonds'!$A$85:$K$104,5,FALSE))</f>
        <v>43567</v>
      </c>
      <c r="J660" s="180">
        <f>IF(I660+VLOOKUP($B659,'VPN Bonds'!$A$85:$K$104,9,FALSE)*365 &lt; VLOOKUP($B659,'VPN Bonds'!$A$85:$K$104,5,FALSE), I660+VLOOKUP($B659,'VPN Bonds'!$A$85:$K$104,9,FALSE)*365, VLOOKUP($B659,'VPN Bonds'!$A$85:$K$104,5,FALSE))</f>
        <v>43749.5</v>
      </c>
      <c r="K660" s="180">
        <f>IF(J660+VLOOKUP($B659,'VPN Bonds'!$A$85:$K$104,9,FALSE)*365 &lt; VLOOKUP($B659,'VPN Bonds'!$A$85:$K$104,5,FALSE), J660+VLOOKUP($B659,'VPN Bonds'!$A$85:$K$104,9,FALSE)*365, VLOOKUP($B659,'VPN Bonds'!$A$85:$K$104,5,FALSE))</f>
        <v>43932</v>
      </c>
      <c r="L660" s="180">
        <f>IF(K660+VLOOKUP($B659,'VPN Bonds'!$A$85:$K$104,9,FALSE)*365 &lt; VLOOKUP($B659,'VPN Bonds'!$A$85:$K$104,5,FALSE), K660+VLOOKUP($B659,'VPN Bonds'!$A$85:$K$104,9,FALSE)*365, VLOOKUP($B659,'VPN Bonds'!$A$85:$K$104,5,FALSE))</f>
        <v>44114.5</v>
      </c>
      <c r="M660" s="180">
        <f>IF(L660+VLOOKUP($B659,'VPN Bonds'!$A$85:$K$104,9,FALSE)*365 &lt; VLOOKUP($B659,'VPN Bonds'!$A$85:$K$104,5,FALSE), L660+VLOOKUP($B659,'VPN Bonds'!$A$85:$K$104,9,FALSE)*365, VLOOKUP($B659,'VPN Bonds'!$A$85:$K$104,5,FALSE))</f>
        <v>44297</v>
      </c>
      <c r="N660" s="180">
        <f>IF(M660+VLOOKUP($B659,'VPN Bonds'!$A$85:$K$104,9,FALSE)*365 &lt; VLOOKUP($B659,'VPN Bonds'!$A$85:$K$104,5,FALSE), M660+VLOOKUP($B659,'VPN Bonds'!$A$85:$K$104,9,FALSE)*365, VLOOKUP($B659,'VPN Bonds'!$A$85:$K$104,5,FALSE))</f>
        <v>44479.5</v>
      </c>
      <c r="O660" s="180">
        <f>IF(N660+VLOOKUP($B659,'VPN Bonds'!$A$85:$K$104,9,FALSE)*365 &lt; VLOOKUP($B659,'VPN Bonds'!$A$85:$K$104,5,FALSE), N660+VLOOKUP($B659,'VPN Bonds'!$A$85:$K$104,9,FALSE)*365, VLOOKUP($B659,'VPN Bonds'!$A$85:$K$104,5,FALSE))</f>
        <v>44662</v>
      </c>
      <c r="P660" s="180">
        <f>IF(O660+VLOOKUP($B659,'VPN Bonds'!$A$85:$K$104,9,FALSE)*365 &lt; VLOOKUP($B659,'VPN Bonds'!$A$85:$K$104,5,FALSE), O660+VLOOKUP($B659,'VPN Bonds'!$A$85:$K$104,9,FALSE)*365, VLOOKUP($B659,'VPN Bonds'!$A$85:$K$104,5,FALSE))</f>
        <v>44844.5</v>
      </c>
      <c r="Q660" s="180">
        <f>IF(P660+VLOOKUP($B659,'VPN Bonds'!$A$85:$K$104,9,FALSE)*365 &lt; VLOOKUP($B659,'VPN Bonds'!$A$85:$K$104,5,FALSE), P660+VLOOKUP($B659,'VPN Bonds'!$A$85:$K$104,9,FALSE)*365, VLOOKUP($B659,'VPN Bonds'!$A$85:$K$104,5,FALSE))</f>
        <v>45027</v>
      </c>
      <c r="R660" s="180">
        <f>IF(Q660+VLOOKUP($B659,'VPN Bonds'!$A$85:$K$104,9,FALSE)*365 &lt; VLOOKUP($B659,'VPN Bonds'!$A$85:$K$104,5,FALSE), Q660+VLOOKUP($B659,'VPN Bonds'!$A$85:$K$104,9,FALSE)*365, VLOOKUP($B659,'VPN Bonds'!$A$85:$K$104,5,FALSE))</f>
        <v>45209.5</v>
      </c>
      <c r="S660" s="180">
        <f>IF(R660+VLOOKUP($B659,'VPN Bonds'!$A$85:$K$104,9,FALSE)*365 &lt; VLOOKUP($B659,'VPN Bonds'!$A$85:$K$104,5,FALSE), R660+VLOOKUP($B659,'VPN Bonds'!$A$85:$K$104,9,FALSE)*365, VLOOKUP($B659,'VPN Bonds'!$A$85:$K$104,5,FALSE))</f>
        <v>45392</v>
      </c>
      <c r="T660" s="180">
        <f>IF(S660+VLOOKUP($B659,'VPN Bonds'!$A$85:$K$104,9,FALSE)*365 &lt; VLOOKUP($B659,'VPN Bonds'!$A$85:$K$104,5,FALSE), S660+VLOOKUP($B659,'VPN Bonds'!$A$85:$K$104,9,FALSE)*365, VLOOKUP($B659,'VPN Bonds'!$A$85:$K$104,5,FALSE))</f>
        <v>45574.5</v>
      </c>
      <c r="U660" s="180">
        <f>IF(T660+VLOOKUP($B659,'VPN Bonds'!$A$85:$K$104,9,FALSE)*365 &lt; VLOOKUP($B659,'VPN Bonds'!$A$85:$K$104,5,FALSE), T660+VLOOKUP($B659,'VPN Bonds'!$A$85:$K$104,9,FALSE)*365, VLOOKUP($B659,'VPN Bonds'!$A$85:$K$104,5,FALSE))</f>
        <v>45757</v>
      </c>
      <c r="V660" s="180">
        <f>IF(U660+VLOOKUP($B659,'VPN Bonds'!$A$85:$K$104,9,FALSE)*365 &lt; VLOOKUP($B659,'VPN Bonds'!$A$85:$K$104,5,FALSE), U660+VLOOKUP($B659,'VPN Bonds'!$A$85:$K$104,9,FALSE)*365, VLOOKUP($B659,'VPN Bonds'!$A$85:$K$104,5,FALSE))</f>
        <v>45939.5</v>
      </c>
      <c r="W660" s="180">
        <f>IF(V660+VLOOKUP($B659,'VPN Bonds'!$A$85:$K$104,9,FALSE)*365 &lt; VLOOKUP($B659,'VPN Bonds'!$A$85:$K$104,5,FALSE), V660+VLOOKUP($B659,'VPN Bonds'!$A$85:$K$104,9,FALSE)*365, VLOOKUP($B659,'VPN Bonds'!$A$85:$K$104,5,FALSE))</f>
        <v>46122</v>
      </c>
      <c r="X660" s="180">
        <f>IF(W660+VLOOKUP($B659,'VPN Bonds'!$A$85:$K$104,9,FALSE)*365 &lt; VLOOKUP($B659,'VPN Bonds'!$A$85:$K$104,5,FALSE), W660+VLOOKUP($B659,'VPN Bonds'!$A$85:$K$104,9,FALSE)*365, VLOOKUP($B659,'VPN Bonds'!$A$85:$K$104,5,FALSE))</f>
        <v>46304.5</v>
      </c>
      <c r="Y660" s="180">
        <f>IF(X660+VLOOKUP($B659,'VPN Bonds'!$A$85:$K$104,9,FALSE)*365 &lt; VLOOKUP($B659,'VPN Bonds'!$A$85:$K$104,5,FALSE), X660+VLOOKUP($B659,'VPN Bonds'!$A$85:$K$104,9,FALSE)*365, VLOOKUP($B659,'VPN Bonds'!$A$85:$K$104,5,FALSE))</f>
        <v>46487</v>
      </c>
      <c r="Z660" s="180">
        <f>IF(Y660+VLOOKUP($B659,'VPN Bonds'!$A$85:$K$104,9,FALSE)*365 &lt; VLOOKUP($B659,'VPN Bonds'!$A$85:$K$104,5,FALSE), Y660+VLOOKUP($B659,'VPN Bonds'!$A$85:$K$104,9,FALSE)*365, VLOOKUP($B659,'VPN Bonds'!$A$85:$K$104,5,FALSE))</f>
        <v>46669.5</v>
      </c>
      <c r="AA660" s="180">
        <f>IF(Z660+VLOOKUP($B659,'VPN Bonds'!$A$85:$K$104,9,FALSE)*365 &lt; VLOOKUP($B659,'VPN Bonds'!$A$85:$K$104,5,FALSE), Z660+VLOOKUP($B659,'VPN Bonds'!$A$85:$K$104,9,FALSE)*365, VLOOKUP($B659,'VPN Bonds'!$A$85:$K$104,5,FALSE))</f>
        <v>46852</v>
      </c>
      <c r="AB660" s="180">
        <f>IF(AA660+VLOOKUP($B659,'VPN Bonds'!$A$85:$K$104,9,FALSE)*365 &lt; VLOOKUP($B659,'VPN Bonds'!$A$85:$K$104,5,FALSE), AA660+VLOOKUP($B659,'VPN Bonds'!$A$85:$K$104,9,FALSE)*365, VLOOKUP($B659,'VPN Bonds'!$A$85:$K$104,5,FALSE))</f>
        <v>47034.5</v>
      </c>
      <c r="AC660" s="180">
        <f>IF(AB660+VLOOKUP($B659,'VPN Bonds'!$A$85:$K$104,9,FALSE)*365 &lt; VLOOKUP($B659,'VPN Bonds'!$A$85:$K$104,5,FALSE), AB660+VLOOKUP($B659,'VPN Bonds'!$A$85:$K$104,9,FALSE)*365, VLOOKUP($B659,'VPN Bonds'!$A$85:$K$104,5,FALSE))</f>
        <v>47038</v>
      </c>
      <c r="AD660" s="27"/>
      <c r="AE660" s="27"/>
      <c r="AF660" s="27"/>
    </row>
    <row r="661" spans="2:32">
      <c r="B661" t="s">
        <v>209</v>
      </c>
      <c r="E661" s="182">
        <f>IF(E660&lt;VLOOKUP($B659,'VPN Bonds'!$A$85:$K$104,5,FALSE),(VLOOKUP($B659,'VPN Bonds'!$A$85:$K$104,8,FALSE)/100)*(VLOOKUP($B659,'VPN Bonds'!$A$85:$K$104,9,FALSE))*(VLOOKUP($B659,'VPN Bonds'!$A$85:$K$104,6,FALSE)),(VLOOKUP($B659,'VPN Bonds'!$A$85:$K$104,6,FALSE)))</f>
        <v>2.3955360000000003</v>
      </c>
      <c r="F661" s="182">
        <f>IF(F660&lt;VLOOKUP($B659,'VPN Bonds'!$A$85:$K$104,5,FALSE),(VLOOKUP($B659,'VPN Bonds'!$A$85:$K$104,8,FALSE)/100)*(VLOOKUP($B659,'VPN Bonds'!$A$85:$K$104,9,FALSE))*(VLOOKUP($B659,'VPN Bonds'!$A$85:$K$104,6,FALSE)),(VLOOKUP($B659,'VPN Bonds'!$A$85:$K$104,6,FALSE)))</f>
        <v>2.3955360000000003</v>
      </c>
      <c r="G661" s="182">
        <f>IF(G660&lt;VLOOKUP($B659,'VPN Bonds'!$A$85:$K$104,5,FALSE),(VLOOKUP($B659,'VPN Bonds'!$A$85:$K$104,8,FALSE)/100)*(VLOOKUP($B659,'VPN Bonds'!$A$85:$K$104,9,FALSE))*(VLOOKUP($B659,'VPN Bonds'!$A$85:$K$104,6,FALSE)),(VLOOKUP($B659,'VPN Bonds'!$A$85:$K$104,6,FALSE)))</f>
        <v>2.3955360000000003</v>
      </c>
      <c r="H661" s="182">
        <f>IF(H660&lt;VLOOKUP($B659,'VPN Bonds'!$A$85:$K$104,5,FALSE),(VLOOKUP($B659,'VPN Bonds'!$A$85:$K$104,8,FALSE)/100)*(VLOOKUP($B659,'VPN Bonds'!$A$85:$K$104,9,FALSE))*(VLOOKUP($B659,'VPN Bonds'!$A$85:$K$104,6,FALSE)),(VLOOKUP($B659,'VPN Bonds'!$A$85:$K$104,6,FALSE)))</f>
        <v>2.3955360000000003</v>
      </c>
      <c r="I661" s="182">
        <f>IF(I660&lt;VLOOKUP($B659,'VPN Bonds'!$A$85:$K$104,5,FALSE),(VLOOKUP($B659,'VPN Bonds'!$A$85:$K$104,8,FALSE)/100)*(VLOOKUP($B659,'VPN Bonds'!$A$85:$K$104,9,FALSE))*(VLOOKUP($B659,'VPN Bonds'!$A$85:$K$104,6,FALSE)),(VLOOKUP($B659,'VPN Bonds'!$A$85:$K$104,6,FALSE)))</f>
        <v>2.3955360000000003</v>
      </c>
      <c r="J661" s="182">
        <f>IF(J660&lt;VLOOKUP($B659,'VPN Bonds'!$A$85:$K$104,5,FALSE),(VLOOKUP($B659,'VPN Bonds'!$A$85:$K$104,8,FALSE)/100)*(VLOOKUP($B659,'VPN Bonds'!$A$85:$K$104,9,FALSE))*(VLOOKUP($B659,'VPN Bonds'!$A$85:$K$104,6,FALSE)),(VLOOKUP($B659,'VPN Bonds'!$A$85:$K$104,6,FALSE)))</f>
        <v>2.3955360000000003</v>
      </c>
      <c r="K661" s="182">
        <f>IF(K660&lt;VLOOKUP($B659,'VPN Bonds'!$A$85:$K$104,5,FALSE),(VLOOKUP($B659,'VPN Bonds'!$A$85:$K$104,8,FALSE)/100)*(VLOOKUP($B659,'VPN Bonds'!$A$85:$K$104,9,FALSE))*(VLOOKUP($B659,'VPN Bonds'!$A$85:$K$104,6,FALSE)),(VLOOKUP($B659,'VPN Bonds'!$A$85:$K$104,6,FALSE)))</f>
        <v>2.3955360000000003</v>
      </c>
      <c r="L661" s="182">
        <f>IF(L660&lt;VLOOKUP($B659,'VPN Bonds'!$A$85:$K$104,5,FALSE),(VLOOKUP($B659,'VPN Bonds'!$A$85:$K$104,8,FALSE)/100)*(VLOOKUP($B659,'VPN Bonds'!$A$85:$K$104,9,FALSE))*(VLOOKUP($B659,'VPN Bonds'!$A$85:$K$104,6,FALSE)),(VLOOKUP($B659,'VPN Bonds'!$A$85:$K$104,6,FALSE)))</f>
        <v>2.3955360000000003</v>
      </c>
      <c r="M661" s="182">
        <f>IF(M660&lt;VLOOKUP($B659,'VPN Bonds'!$A$85:$K$104,5,FALSE),(VLOOKUP($B659,'VPN Bonds'!$A$85:$K$104,8,FALSE)/100)*(VLOOKUP($B659,'VPN Bonds'!$A$85:$K$104,9,FALSE))*(VLOOKUP($B659,'VPN Bonds'!$A$85:$K$104,6,FALSE)),(VLOOKUP($B659,'VPN Bonds'!$A$85:$K$104,6,FALSE)))</f>
        <v>2.3955360000000003</v>
      </c>
      <c r="N661" s="182">
        <f>IF(N660&lt;VLOOKUP($B659,'VPN Bonds'!$A$85:$K$104,5,FALSE),(VLOOKUP($B659,'VPN Bonds'!$A$85:$K$104,8,FALSE)/100)*(VLOOKUP($B659,'VPN Bonds'!$A$85:$K$104,9,FALSE))*(VLOOKUP($B659,'VPN Bonds'!$A$85:$K$104,6,FALSE)),(VLOOKUP($B659,'VPN Bonds'!$A$85:$K$104,6,FALSE)))</f>
        <v>2.3955360000000003</v>
      </c>
      <c r="O661" s="182">
        <f>IF(O660&lt;VLOOKUP($B659,'VPN Bonds'!$A$85:$K$104,5,FALSE),(VLOOKUP($B659,'VPN Bonds'!$A$85:$K$104,8,FALSE)/100)*(VLOOKUP($B659,'VPN Bonds'!$A$85:$K$104,9,FALSE))*(VLOOKUP($B659,'VPN Bonds'!$A$85:$K$104,6,FALSE)),(VLOOKUP($B659,'VPN Bonds'!$A$85:$K$104,6,FALSE)))</f>
        <v>2.3955360000000003</v>
      </c>
      <c r="P661" s="182">
        <f>IF(P660&lt;VLOOKUP($B659,'VPN Bonds'!$A$85:$K$104,5,FALSE),(VLOOKUP($B659,'VPN Bonds'!$A$85:$K$104,8,FALSE)/100)*(VLOOKUP($B659,'VPN Bonds'!$A$85:$K$104,9,FALSE))*(VLOOKUP($B659,'VPN Bonds'!$A$85:$K$104,6,FALSE)),(VLOOKUP($B659,'VPN Bonds'!$A$85:$K$104,6,FALSE)))</f>
        <v>2.3955360000000003</v>
      </c>
      <c r="Q661" s="182">
        <f>IF(Q660&lt;VLOOKUP($B659,'VPN Bonds'!$A$85:$K$104,5,FALSE),(VLOOKUP($B659,'VPN Bonds'!$A$85:$K$104,8,FALSE)/100)*(VLOOKUP($B659,'VPN Bonds'!$A$85:$K$104,9,FALSE))*(VLOOKUP($B659,'VPN Bonds'!$A$85:$K$104,6,FALSE)),(VLOOKUP($B659,'VPN Bonds'!$A$85:$K$104,6,FALSE)))</f>
        <v>2.3955360000000003</v>
      </c>
      <c r="R661" s="182">
        <f>IF(R660&lt;VLOOKUP($B659,'VPN Bonds'!$A$85:$K$104,5,FALSE),(VLOOKUP($B659,'VPN Bonds'!$A$85:$K$104,8,FALSE)/100)*(VLOOKUP($B659,'VPN Bonds'!$A$85:$K$104,9,FALSE))*(VLOOKUP($B659,'VPN Bonds'!$A$85:$K$104,6,FALSE)),(VLOOKUP($B659,'VPN Bonds'!$A$85:$K$104,6,FALSE)))</f>
        <v>2.3955360000000003</v>
      </c>
      <c r="S661" s="182">
        <f>IF(S660&lt;VLOOKUP($B659,'VPN Bonds'!$A$85:$K$104,5,FALSE),(VLOOKUP($B659,'VPN Bonds'!$A$85:$K$104,8,FALSE)/100)*(VLOOKUP($B659,'VPN Bonds'!$A$85:$K$104,9,FALSE))*(VLOOKUP($B659,'VPN Bonds'!$A$85:$K$104,6,FALSE)),(VLOOKUP($B659,'VPN Bonds'!$A$85:$K$104,6,FALSE)))</f>
        <v>2.3955360000000003</v>
      </c>
      <c r="T661" s="182">
        <f>IF(T660&lt;VLOOKUP($B659,'VPN Bonds'!$A$85:$K$104,5,FALSE),(VLOOKUP($B659,'VPN Bonds'!$A$85:$K$104,8,FALSE)/100)*(VLOOKUP($B659,'VPN Bonds'!$A$85:$K$104,9,FALSE))*(VLOOKUP($B659,'VPN Bonds'!$A$85:$K$104,6,FALSE)),(VLOOKUP($B659,'VPN Bonds'!$A$85:$K$104,6,FALSE)))</f>
        <v>2.3955360000000003</v>
      </c>
      <c r="U661" s="182">
        <f>IF(U660&lt;VLOOKUP($B659,'VPN Bonds'!$A$85:$K$104,5,FALSE),(VLOOKUP($B659,'VPN Bonds'!$A$85:$K$104,8,FALSE)/100)*(VLOOKUP($B659,'VPN Bonds'!$A$85:$K$104,9,FALSE))*(VLOOKUP($B659,'VPN Bonds'!$A$85:$K$104,6,FALSE)),(VLOOKUP($B659,'VPN Bonds'!$A$85:$K$104,6,FALSE)))</f>
        <v>2.3955360000000003</v>
      </c>
      <c r="V661" s="182">
        <f>IF(V660&lt;VLOOKUP($B659,'VPN Bonds'!$A$85:$K$104,5,FALSE),(VLOOKUP($B659,'VPN Bonds'!$A$85:$K$104,8,FALSE)/100)*(VLOOKUP($B659,'VPN Bonds'!$A$85:$K$104,9,FALSE))*(VLOOKUP($B659,'VPN Bonds'!$A$85:$K$104,6,FALSE)),(VLOOKUP($B659,'VPN Bonds'!$A$85:$K$104,6,FALSE)))</f>
        <v>2.3955360000000003</v>
      </c>
      <c r="W661" s="182">
        <f>IF(W660&lt;VLOOKUP($B659,'VPN Bonds'!$A$85:$K$104,5,FALSE),(VLOOKUP($B659,'VPN Bonds'!$A$85:$K$104,8,FALSE)/100)*(VLOOKUP($B659,'VPN Bonds'!$A$85:$K$104,9,FALSE))*(VLOOKUP($B659,'VPN Bonds'!$A$85:$K$104,6,FALSE)),(VLOOKUP($B659,'VPN Bonds'!$A$85:$K$104,6,FALSE)))</f>
        <v>2.3955360000000003</v>
      </c>
      <c r="X661" s="182">
        <f>IF(X660&lt;VLOOKUP($B659,'VPN Bonds'!$A$85:$K$104,5,FALSE),(VLOOKUP($B659,'VPN Bonds'!$A$85:$K$104,8,FALSE)/100)*(VLOOKUP($B659,'VPN Bonds'!$A$85:$K$104,9,FALSE))*(VLOOKUP($B659,'VPN Bonds'!$A$85:$K$104,6,FALSE)),(VLOOKUP($B659,'VPN Bonds'!$A$85:$K$104,6,FALSE)))</f>
        <v>2.3955360000000003</v>
      </c>
      <c r="Y661" s="182">
        <f>IF(Y660&lt;VLOOKUP($B659,'VPN Bonds'!$A$85:$K$104,5,FALSE),(VLOOKUP($B659,'VPN Bonds'!$A$85:$K$104,8,FALSE)/100)*(VLOOKUP($B659,'VPN Bonds'!$A$85:$K$104,9,FALSE))*(VLOOKUP($B659,'VPN Bonds'!$A$85:$K$104,6,FALSE)),(VLOOKUP($B659,'VPN Bonds'!$A$85:$K$104,6,FALSE)))</f>
        <v>2.3955360000000003</v>
      </c>
      <c r="Z661" s="182">
        <f>IF(Z660&lt;VLOOKUP($B659,'VPN Bonds'!$A$85:$K$104,5,FALSE),(VLOOKUP($B659,'VPN Bonds'!$A$85:$K$104,8,FALSE)/100)*(VLOOKUP($B659,'VPN Bonds'!$A$85:$K$104,9,FALSE))*(VLOOKUP($B659,'VPN Bonds'!$A$85:$K$104,6,FALSE)),(VLOOKUP($B659,'VPN Bonds'!$A$85:$K$104,6,FALSE)))</f>
        <v>2.3955360000000003</v>
      </c>
      <c r="AA661" s="182">
        <f>IF(AA660&lt;VLOOKUP($B659,'VPN Bonds'!$A$85:$K$104,5,FALSE),(VLOOKUP($B659,'VPN Bonds'!$A$85:$K$104,8,FALSE)/100)*(VLOOKUP($B659,'VPN Bonds'!$A$85:$K$104,9,FALSE))*(VLOOKUP($B659,'VPN Bonds'!$A$85:$K$104,6,FALSE)),(VLOOKUP($B659,'VPN Bonds'!$A$85:$K$104,6,FALSE)))</f>
        <v>2.3955360000000003</v>
      </c>
      <c r="AB661" s="182">
        <f>IF(AB660&lt;VLOOKUP($B659,'VPN Bonds'!$A$85:$K$104,5,FALSE),(VLOOKUP($B659,'VPN Bonds'!$A$85:$K$104,8,FALSE)/100)*(VLOOKUP($B659,'VPN Bonds'!$A$85:$K$104,9,FALSE))*(VLOOKUP($B659,'VPN Bonds'!$A$85:$K$104,6,FALSE)),(VLOOKUP($B659,'VPN Bonds'!$A$85:$K$104,6,FALSE)))</f>
        <v>2.3955360000000003</v>
      </c>
      <c r="AC661" s="182">
        <f>IF(AC660&lt;VLOOKUP($B659,'VPN Bonds'!$A$85:$K$104,5,FALSE),(VLOOKUP($B659,'VPN Bonds'!$A$85:$K$104,8,FALSE)/100)*(VLOOKUP($B659,'VPN Bonds'!$A$85:$K$104,9,FALSE))*(VLOOKUP($B659,'VPN Bonds'!$A$85:$K$104,6,FALSE)),(VLOOKUP($B659,'VPN Bonds'!$A$85:$K$104,6,FALSE)))</f>
        <v>167.52</v>
      </c>
    </row>
    <row r="662" spans="2:32">
      <c r="B662" s="135">
        <v>42916</v>
      </c>
    </row>
    <row r="663" spans="2:32">
      <c r="B663" t="s">
        <v>210</v>
      </c>
      <c r="F663" s="182">
        <f>(F$660-$B662)/365</f>
        <v>0.28356164383561644</v>
      </c>
      <c r="G663" s="182">
        <f t="shared" ref="G663:Y663" si="3044">(G$660-$B662)/365</f>
        <v>0.78356164383561644</v>
      </c>
      <c r="H663" s="182">
        <f t="shared" si="3044"/>
        <v>1.2835616438356163</v>
      </c>
      <c r="I663" s="182">
        <f t="shared" si="3044"/>
        <v>1.7835616438356163</v>
      </c>
      <c r="J663" s="182">
        <f t="shared" si="3044"/>
        <v>2.2835616438356166</v>
      </c>
      <c r="K663" s="182">
        <f t="shared" si="3044"/>
        <v>2.7835616438356166</v>
      </c>
      <c r="L663" s="182">
        <f t="shared" si="3044"/>
        <v>3.2835616438356166</v>
      </c>
      <c r="M663" s="182">
        <f t="shared" si="3044"/>
        <v>3.7835616438356166</v>
      </c>
      <c r="N663" s="182">
        <f t="shared" si="3044"/>
        <v>4.2835616438356166</v>
      </c>
      <c r="O663" s="182">
        <f t="shared" si="3044"/>
        <v>4.7835616438356166</v>
      </c>
      <c r="P663" s="182">
        <f t="shared" si="3044"/>
        <v>5.2835616438356166</v>
      </c>
      <c r="Q663" s="182">
        <f t="shared" si="3044"/>
        <v>5.7835616438356166</v>
      </c>
      <c r="R663" s="182">
        <f t="shared" si="3044"/>
        <v>6.2835616438356166</v>
      </c>
      <c r="S663" s="182">
        <f t="shared" si="3044"/>
        <v>6.7835616438356166</v>
      </c>
      <c r="T663" s="182">
        <f t="shared" si="3044"/>
        <v>7.2835616438356166</v>
      </c>
      <c r="U663" s="182">
        <f t="shared" si="3044"/>
        <v>7.7835616438356166</v>
      </c>
      <c r="V663" s="182">
        <f t="shared" si="3044"/>
        <v>8.2835616438356166</v>
      </c>
      <c r="W663" s="182">
        <f t="shared" si="3044"/>
        <v>8.7835616438356166</v>
      </c>
      <c r="X663" s="182">
        <f t="shared" si="3044"/>
        <v>9.2835616438356166</v>
      </c>
      <c r="Y663" s="182">
        <f t="shared" si="3044"/>
        <v>9.7835616438356166</v>
      </c>
      <c r="Z663" s="182">
        <f t="shared" ref="Z663" si="3045">(Z$660-$B662)/365</f>
        <v>10.283561643835617</v>
      </c>
      <c r="AA663" s="182">
        <f t="shared" ref="AA663" si="3046">(AA$660-$B662)/365</f>
        <v>10.783561643835617</v>
      </c>
      <c r="AB663" s="182">
        <f t="shared" ref="AB663" si="3047">(AB$660-$B662)/365</f>
        <v>11.283561643835617</v>
      </c>
      <c r="AC663" s="182">
        <f t="shared" ref="AC663" si="3048">(AC$660-$B662)/365</f>
        <v>11.293150684931506</v>
      </c>
    </row>
    <row r="664" spans="2:32">
      <c r="B664" t="s">
        <v>211</v>
      </c>
      <c r="F664" s="183">
        <f>1+((INDEX('Yield Curve'!$B$48:$P$91,MATCH(ROUND(F663,0),'Yield Curve'!$B$48:$B$91,0),MATCH(YEAR($B662),'Yield Curve'!$B$48:$P$48,0)))/100)</f>
        <v>1.0326500000000001</v>
      </c>
      <c r="G664" s="183">
        <f>1+((INDEX('Yield Curve'!$B$48:$P$91,MATCH(ROUND(G663,0),'Yield Curve'!$B$48:$B$91,0),MATCH(YEAR($B662),'Yield Curve'!$B$48:$P$48,0)))/100)</f>
        <v>1.0326500000000001</v>
      </c>
      <c r="H664" s="183">
        <f>1+((INDEX('Yield Curve'!$B$48:$P$91,MATCH(ROUND(H663,0),'Yield Curve'!$B$48:$B$91,0),MATCH(YEAR($B662),'Yield Curve'!$B$48:$P$48,0)))/100)</f>
        <v>1.0326500000000001</v>
      </c>
      <c r="I664" s="183">
        <f>1+((INDEX('Yield Curve'!$B$48:$P$91,MATCH(ROUND(I663,0),'Yield Curve'!$B$48:$B$91,0),MATCH(YEAR($B662),'Yield Curve'!$B$48:$P$48,0)))/100)</f>
        <v>1.0326500000000001</v>
      </c>
      <c r="J664" s="183">
        <f>1+((INDEX('Yield Curve'!$B$48:$P$91,MATCH(ROUND(J663,0),'Yield Curve'!$B$48:$B$91,0),MATCH(YEAR($B662),'Yield Curve'!$B$48:$P$48,0)))/100)</f>
        <v>1.0326500000000001</v>
      </c>
      <c r="K664" s="183">
        <f>1+((INDEX('Yield Curve'!$B$48:$P$91,MATCH(ROUND(K663,0),'Yield Curve'!$B$48:$B$91,0),MATCH(YEAR($B662),'Yield Curve'!$B$48:$P$48,0)))/100)</f>
        <v>1.0326500000000001</v>
      </c>
      <c r="L664" s="183">
        <f>1+((INDEX('Yield Curve'!$B$48:$P$91,MATCH(ROUND(L663,0),'Yield Curve'!$B$48:$B$91,0),MATCH(YEAR($B662),'Yield Curve'!$B$48:$P$48,0)))/100)</f>
        <v>1.0326500000000001</v>
      </c>
      <c r="M664" s="183">
        <f>1+((INDEX('Yield Curve'!$B$48:$P$91,MATCH(ROUND(M663,0),'Yield Curve'!$B$48:$B$91,0),MATCH(YEAR($B662),'Yield Curve'!$B$48:$P$48,0)))/100)</f>
        <v>1.034025</v>
      </c>
      <c r="N664" s="183">
        <f>1+((INDEX('Yield Curve'!$B$48:$P$91,MATCH(ROUND(N663,0),'Yield Curve'!$B$48:$B$91,0),MATCH(YEAR($B662),'Yield Curve'!$B$48:$P$48,0)))/100)</f>
        <v>1.034025</v>
      </c>
      <c r="O664" s="183">
        <f>1+((INDEX('Yield Curve'!$B$48:$P$91,MATCH(ROUND(O663,0),'Yield Curve'!$B$48:$B$91,0),MATCH(YEAR($B662),'Yield Curve'!$B$48:$P$48,0)))/100)</f>
        <v>1.0354000000000001</v>
      </c>
      <c r="P664" s="183">
        <f>1+((INDEX('Yield Curve'!$B$48:$P$91,MATCH(ROUND(P663,0),'Yield Curve'!$B$48:$B$91,0),MATCH(YEAR($B662),'Yield Curve'!$B$48:$P$48,0)))/100)</f>
        <v>1.0354000000000001</v>
      </c>
      <c r="Q664" s="183">
        <f>1+((INDEX('Yield Curve'!$B$48:$P$91,MATCH(ROUND(Q663,0),'Yield Curve'!$B$48:$B$91,0),MATCH(YEAR($B662),'Yield Curve'!$B$48:$P$48,0)))/100)</f>
        <v>1.0375000000000001</v>
      </c>
      <c r="R664" s="183">
        <f>1+((INDEX('Yield Curve'!$B$48:$P$91,MATCH(ROUND(R663,0),'Yield Curve'!$B$48:$B$91,0),MATCH(YEAR($B662),'Yield Curve'!$B$48:$P$48,0)))/100)</f>
        <v>1.0375000000000001</v>
      </c>
      <c r="S664" s="183">
        <f>1+((INDEX('Yield Curve'!$B$48:$P$91,MATCH(ROUND(S663,0),'Yield Curve'!$B$48:$B$91,0),MATCH(YEAR($B662),'Yield Curve'!$B$48:$P$48,0)))/100)</f>
        <v>1.0396000000000001</v>
      </c>
      <c r="T664" s="183">
        <f>1+((INDEX('Yield Curve'!$B$48:$P$91,MATCH(ROUND(T663,0),'Yield Curve'!$B$48:$B$91,0),MATCH(YEAR($B662),'Yield Curve'!$B$48:$P$48,0)))/100)</f>
        <v>1.0396000000000001</v>
      </c>
      <c r="U664" s="183">
        <f>1+((INDEX('Yield Curve'!$B$48:$P$91,MATCH(ROUND(U663,0),'Yield Curve'!$B$48:$B$91,0),MATCH(YEAR($B662),'Yield Curve'!$B$48:$P$48,0)))/100)</f>
        <v>1.0405249999999999</v>
      </c>
      <c r="V664" s="183">
        <f>1+((INDEX('Yield Curve'!$B$48:$P$91,MATCH(ROUND(V663,0),'Yield Curve'!$B$48:$B$91,0),MATCH(YEAR($B662),'Yield Curve'!$B$48:$P$48,0)))/100)</f>
        <v>1.0405249999999999</v>
      </c>
      <c r="W664" s="183">
        <f>1+((INDEX('Yield Curve'!$B$48:$P$91,MATCH(ROUND(W663,0),'Yield Curve'!$B$48:$B$91,0),MATCH(YEAR($B662),'Yield Curve'!$B$48:$P$48,0)))/100)</f>
        <v>1.0423750000000001</v>
      </c>
      <c r="X664" s="183">
        <f>1+((INDEX('Yield Curve'!$B$48:$P$91,MATCH(ROUND(X663,0),'Yield Curve'!$B$48:$B$91,0),MATCH(YEAR($B662),'Yield Curve'!$B$48:$P$48,0)))/100)</f>
        <v>1.0423750000000001</v>
      </c>
      <c r="Y664" s="183">
        <f>1+((INDEX('Yield Curve'!$B$48:$P$91,MATCH(ROUND(Y663,0),'Yield Curve'!$B$48:$B$91,0),MATCH(YEAR($B662),'Yield Curve'!$B$48:$P$48,0)))/100)</f>
        <v>1.0432999999999999</v>
      </c>
      <c r="Z664" s="183">
        <f>1+((INDEX('Yield Curve'!$B$48:$P$91,MATCH(ROUND(Z663,0),'Yield Curve'!$B$48:$B$91,0),MATCH(YEAR($B662),'Yield Curve'!$B$48:$P$48,0)))/100)</f>
        <v>1.0432999999999999</v>
      </c>
      <c r="AA664" s="183">
        <f>1+((INDEX('Yield Curve'!$B$48:$P$91,MATCH(ROUND(AA663,0),'Yield Curve'!$B$48:$B$91,0),MATCH(YEAR($B662),'Yield Curve'!$B$48:$P$48,0)))/100)</f>
        <v>1.0432999999999999</v>
      </c>
      <c r="AB664" s="183">
        <f>1+((INDEX('Yield Curve'!$B$48:$P$91,MATCH(ROUND(AB663,0),'Yield Curve'!$B$48:$B$91,0),MATCH(YEAR($B662),'Yield Curve'!$B$48:$P$48,0)))/100)</f>
        <v>1.0432999999999999</v>
      </c>
      <c r="AC664" s="183">
        <f>1+((INDEX('Yield Curve'!$B$48:$P$91,MATCH(ROUND(AC663,0),'Yield Curve'!$B$48:$B$91,0),MATCH(YEAR($B662),'Yield Curve'!$B$48:$P$48,0)))/100)</f>
        <v>1.0432999999999999</v>
      </c>
    </row>
    <row r="665" spans="2:32">
      <c r="B665" t="s">
        <v>212</v>
      </c>
      <c r="C665" s="182">
        <f>SUM(D665:AM665)</f>
        <v>148.23567525236118</v>
      </c>
      <c r="F665" s="182">
        <f>F$661/(F664^F663)</f>
        <v>2.3738109226020732</v>
      </c>
      <c r="G665" s="182">
        <f t="shared" ref="G665:Y665" si="3049">G$661/(G664^G663)</f>
        <v>2.3359823074439867</v>
      </c>
      <c r="H665" s="182">
        <f t="shared" si="3049"/>
        <v>2.2987565221537531</v>
      </c>
      <c r="I665" s="182">
        <f t="shared" si="3049"/>
        <v>2.2621239601452445</v>
      </c>
      <c r="J665" s="182">
        <f t="shared" si="3049"/>
        <v>2.2260751679211279</v>
      </c>
      <c r="K665" s="182">
        <f t="shared" si="3049"/>
        <v>2.1906008426332679</v>
      </c>
      <c r="L665" s="182">
        <f t="shared" si="3049"/>
        <v>2.1556918296820102</v>
      </c>
      <c r="M665" s="182">
        <f t="shared" si="3049"/>
        <v>2.1106859540856644</v>
      </c>
      <c r="N665" s="182">
        <f t="shared" si="3049"/>
        <v>2.0756690065348695</v>
      </c>
      <c r="O665" s="182">
        <f t="shared" si="3049"/>
        <v>2.0282985679348617</v>
      </c>
      <c r="P665" s="182">
        <f t="shared" si="3049"/>
        <v>1.9933235773918925</v>
      </c>
      <c r="Q665" s="182">
        <f t="shared" si="3049"/>
        <v>1.9361299750933814</v>
      </c>
      <c r="R665" s="182">
        <f t="shared" si="3049"/>
        <v>1.9008176504330141</v>
      </c>
      <c r="S665" s="182">
        <f t="shared" si="3049"/>
        <v>1.840726708752711</v>
      </c>
      <c r="T665" s="182">
        <f t="shared" si="3049"/>
        <v>1.8053282517299756</v>
      </c>
      <c r="U665" s="182">
        <f t="shared" si="3049"/>
        <v>1.7583958709574405</v>
      </c>
      <c r="V665" s="182">
        <f t="shared" si="3049"/>
        <v>1.7238139688960259</v>
      </c>
      <c r="W665" s="182">
        <f t="shared" si="3049"/>
        <v>1.6637493632951226</v>
      </c>
      <c r="X665" s="182">
        <f t="shared" si="3049"/>
        <v>1.6295808366546771</v>
      </c>
      <c r="Y665" s="182">
        <f t="shared" si="3049"/>
        <v>1.582322802190546</v>
      </c>
      <c r="Z665" s="182">
        <f t="shared" ref="Z665" si="3050">Z$661/(Z664^Z663)</f>
        <v>1.5491393399735347</v>
      </c>
      <c r="AA665" s="182">
        <f t="shared" ref="AA665" si="3051">AA$661/(AA664^AA663)</f>
        <v>1.5166517801117092</v>
      </c>
      <c r="AB665" s="182">
        <f t="shared" ref="AB665" si="3052">AB$661/(AB664^AB663)</f>
        <v>1.4848455285857711</v>
      </c>
      <c r="AC665" s="182">
        <f t="shared" ref="AC665" si="3053">AC$661/(AC664^AC663)</f>
        <v>103.79315451715851</v>
      </c>
    </row>
    <row r="666" spans="2:32">
      <c r="B666" s="135">
        <v>43281</v>
      </c>
    </row>
    <row r="667" spans="2:32">
      <c r="B667" t="s">
        <v>210</v>
      </c>
      <c r="H667" s="182">
        <f t="shared" ref="H667" si="3054">(H$660-$B666)/365</f>
        <v>0.28356164383561644</v>
      </c>
      <c r="I667" s="182">
        <f t="shared" ref="I667" si="3055">(I$660-$B666)/365</f>
        <v>0.78356164383561644</v>
      </c>
      <c r="J667" s="182">
        <f t="shared" ref="J667" si="3056">(J$660-$B666)/365</f>
        <v>1.2835616438356163</v>
      </c>
      <c r="K667" s="182">
        <f t="shared" ref="K667" si="3057">(K$660-$B666)/365</f>
        <v>1.7835616438356163</v>
      </c>
      <c r="L667" s="182">
        <f t="shared" ref="L667" si="3058">(L$660-$B666)/365</f>
        <v>2.2835616438356166</v>
      </c>
      <c r="M667" s="182">
        <f t="shared" ref="M667" si="3059">(M$660-$B666)/365</f>
        <v>2.7835616438356166</v>
      </c>
      <c r="N667" s="182">
        <f t="shared" ref="N667" si="3060">(N$660-$B666)/365</f>
        <v>3.2835616438356166</v>
      </c>
      <c r="O667" s="182">
        <f t="shared" ref="O667" si="3061">(O$660-$B666)/365</f>
        <v>3.7835616438356166</v>
      </c>
      <c r="P667" s="182">
        <f t="shared" ref="P667" si="3062">(P$660-$B666)/365</f>
        <v>4.2835616438356166</v>
      </c>
      <c r="Q667" s="182">
        <f t="shared" ref="Q667" si="3063">(Q$660-$B666)/365</f>
        <v>4.7835616438356166</v>
      </c>
      <c r="R667" s="182">
        <f t="shared" ref="R667" si="3064">(R$660-$B666)/365</f>
        <v>5.2835616438356166</v>
      </c>
      <c r="S667" s="182">
        <f t="shared" ref="S667" si="3065">(S$660-$B666)/365</f>
        <v>5.7835616438356166</v>
      </c>
      <c r="T667" s="182">
        <f t="shared" ref="T667" si="3066">(T$660-$B666)/365</f>
        <v>6.2835616438356166</v>
      </c>
      <c r="U667" s="182">
        <f t="shared" ref="U667" si="3067">(U$660-$B666)/365</f>
        <v>6.7835616438356166</v>
      </c>
      <c r="V667" s="182">
        <f t="shared" ref="V667" si="3068">(V$660-$B666)/365</f>
        <v>7.2835616438356166</v>
      </c>
      <c r="W667" s="182">
        <f t="shared" ref="W667" si="3069">(W$660-$B666)/365</f>
        <v>7.7835616438356166</v>
      </c>
      <c r="X667" s="182">
        <f t="shared" ref="X667" si="3070">(X$660-$B666)/365</f>
        <v>8.2835616438356166</v>
      </c>
      <c r="Y667" s="182">
        <f t="shared" ref="Y667" si="3071">(Y$660-$B666)/365</f>
        <v>8.7835616438356166</v>
      </c>
      <c r="Z667" s="182">
        <f t="shared" ref="Z667" si="3072">(Z$660-$B666)/365</f>
        <v>9.2835616438356166</v>
      </c>
      <c r="AA667" s="182">
        <f t="shared" ref="AA667" si="3073">(AA$660-$B666)/365</f>
        <v>9.7835616438356166</v>
      </c>
      <c r="AB667" s="182">
        <f t="shared" ref="AB667" si="3074">(AB$660-$B666)/365</f>
        <v>10.283561643835617</v>
      </c>
      <c r="AC667" s="182">
        <f t="shared" ref="AC667" si="3075">(AC$660-$B666)/365</f>
        <v>10.293150684931506</v>
      </c>
    </row>
    <row r="668" spans="2:32">
      <c r="B668" t="s">
        <v>211</v>
      </c>
      <c r="H668" s="183">
        <f>1+((INDEX('Yield Curve'!$B$48:$P$91,MATCH(ROUND(H667,0),'Yield Curve'!$B$48:$B$91,0),MATCH(YEAR($B666),'Yield Curve'!$B$48:$P$48,0)))/100)</f>
        <v>1.03315</v>
      </c>
      <c r="I668" s="183">
        <f>1+((INDEX('Yield Curve'!$B$48:$P$91,MATCH(ROUND(I667,0),'Yield Curve'!$B$48:$B$91,0),MATCH(YEAR($B666),'Yield Curve'!$B$48:$P$48,0)))/100)</f>
        <v>1.03315</v>
      </c>
      <c r="J668" s="183">
        <f>1+((INDEX('Yield Curve'!$B$48:$P$91,MATCH(ROUND(J667,0),'Yield Curve'!$B$48:$B$91,0),MATCH(YEAR($B666),'Yield Curve'!$B$48:$P$48,0)))/100)</f>
        <v>1.03315</v>
      </c>
      <c r="K668" s="183">
        <f>1+((INDEX('Yield Curve'!$B$48:$P$91,MATCH(ROUND(K667,0),'Yield Curve'!$B$48:$B$91,0),MATCH(YEAR($B666),'Yield Curve'!$B$48:$P$48,0)))/100)</f>
        <v>1.03315</v>
      </c>
      <c r="L668" s="183">
        <f>1+((INDEX('Yield Curve'!$B$48:$P$91,MATCH(ROUND(L667,0),'Yield Curve'!$B$48:$B$91,0),MATCH(YEAR($B666),'Yield Curve'!$B$48:$P$48,0)))/100)</f>
        <v>1.03315</v>
      </c>
      <c r="M668" s="183">
        <f>1+((INDEX('Yield Curve'!$B$48:$P$91,MATCH(ROUND(M667,0),'Yield Curve'!$B$48:$B$91,0),MATCH(YEAR($B666),'Yield Curve'!$B$48:$P$48,0)))/100)</f>
        <v>1.03315</v>
      </c>
      <c r="N668" s="183">
        <f>1+((INDEX('Yield Curve'!$B$48:$P$91,MATCH(ROUND(N667,0),'Yield Curve'!$B$48:$B$91,0),MATCH(YEAR($B666),'Yield Curve'!$B$48:$P$48,0)))/100)</f>
        <v>1.03315</v>
      </c>
      <c r="O668" s="183">
        <f>1+((INDEX('Yield Curve'!$B$48:$P$91,MATCH(ROUND(O667,0),'Yield Curve'!$B$48:$B$91,0),MATCH(YEAR($B666),'Yield Curve'!$B$48:$P$48,0)))/100)</f>
        <v>1.0349999999999999</v>
      </c>
      <c r="P668" s="183">
        <f>1+((INDEX('Yield Curve'!$B$48:$P$91,MATCH(ROUND(P667,0),'Yield Curve'!$B$48:$B$91,0),MATCH(YEAR($B666),'Yield Curve'!$B$48:$P$48,0)))/100)</f>
        <v>1.0349999999999999</v>
      </c>
      <c r="Q668" s="183">
        <f>1+((INDEX('Yield Curve'!$B$48:$P$91,MATCH(ROUND(Q667,0),'Yield Curve'!$B$48:$B$91,0),MATCH(YEAR($B666),'Yield Curve'!$B$48:$P$48,0)))/100)</f>
        <v>1.03685</v>
      </c>
      <c r="R668" s="183">
        <f>1+((INDEX('Yield Curve'!$B$48:$P$91,MATCH(ROUND(R667,0),'Yield Curve'!$B$48:$B$91,0),MATCH(YEAR($B666),'Yield Curve'!$B$48:$P$48,0)))/100)</f>
        <v>1.03685</v>
      </c>
      <c r="S668" s="183">
        <f>1+((INDEX('Yield Curve'!$B$48:$P$91,MATCH(ROUND(S667,0),'Yield Curve'!$B$48:$B$91,0),MATCH(YEAR($B666),'Yield Curve'!$B$48:$P$48,0)))/100)</f>
        <v>1.0386</v>
      </c>
      <c r="T668" s="183">
        <f>1+((INDEX('Yield Curve'!$B$48:$P$91,MATCH(ROUND(T667,0),'Yield Curve'!$B$48:$B$91,0),MATCH(YEAR($B666),'Yield Curve'!$B$48:$P$48,0)))/100)</f>
        <v>1.0386</v>
      </c>
      <c r="U668" s="183">
        <f>1+((INDEX('Yield Curve'!$B$48:$P$91,MATCH(ROUND(U667,0),'Yield Curve'!$B$48:$B$91,0),MATCH(YEAR($B666),'Yield Curve'!$B$48:$P$48,0)))/100)</f>
        <v>1.0403500000000001</v>
      </c>
      <c r="V668" s="183">
        <f>1+((INDEX('Yield Curve'!$B$48:$P$91,MATCH(ROUND(V667,0),'Yield Curve'!$B$48:$B$91,0),MATCH(YEAR($B666),'Yield Curve'!$B$48:$P$48,0)))/100)</f>
        <v>1.0403500000000001</v>
      </c>
      <c r="W668" s="183">
        <f>1+((INDEX('Yield Curve'!$B$48:$P$91,MATCH(ROUND(W667,0),'Yield Curve'!$B$48:$B$91,0),MATCH(YEAR($B666),'Yield Curve'!$B$48:$P$48,0)))/100)</f>
        <v>1.0414874999999999</v>
      </c>
      <c r="X668" s="183">
        <f>1+((INDEX('Yield Curve'!$B$48:$P$91,MATCH(ROUND(X667,0),'Yield Curve'!$B$48:$B$91,0),MATCH(YEAR($B666),'Yield Curve'!$B$48:$P$48,0)))/100)</f>
        <v>1.0414874999999999</v>
      </c>
      <c r="Y668" s="183">
        <f>1+((INDEX('Yield Curve'!$B$48:$P$91,MATCH(ROUND(Y667,0),'Yield Curve'!$B$48:$B$91,0),MATCH(YEAR($B666),'Yield Curve'!$B$48:$P$48,0)))/100)</f>
        <v>1.0437624999999999</v>
      </c>
      <c r="Z668" s="183">
        <f>1+((INDEX('Yield Curve'!$B$48:$P$91,MATCH(ROUND(Z667,0),'Yield Curve'!$B$48:$B$91,0),MATCH(YEAR($B666),'Yield Curve'!$B$48:$P$48,0)))/100)</f>
        <v>1.0437624999999999</v>
      </c>
      <c r="AA668" s="183">
        <f>1+((INDEX('Yield Curve'!$B$48:$P$91,MATCH(ROUND(AA667,0),'Yield Curve'!$B$48:$B$91,0),MATCH(YEAR($B666),'Yield Curve'!$B$48:$P$48,0)))/100)</f>
        <v>1.0448999999999999</v>
      </c>
      <c r="AB668" s="183">
        <f>1+((INDEX('Yield Curve'!$B$48:$P$91,MATCH(ROUND(AB667,0),'Yield Curve'!$B$48:$B$91,0),MATCH(YEAR($B666),'Yield Curve'!$B$48:$P$48,0)))/100)</f>
        <v>1.0448999999999999</v>
      </c>
      <c r="AC668" s="183">
        <f>1+((INDEX('Yield Curve'!$B$48:$P$91,MATCH(ROUND(AC667,0),'Yield Curve'!$B$48:$B$91,0),MATCH(YEAR($B666),'Yield Curve'!$B$48:$P$48,0)))/100)</f>
        <v>1.0448999999999999</v>
      </c>
    </row>
    <row r="669" spans="2:32">
      <c r="B669" t="s">
        <v>212</v>
      </c>
      <c r="C669" s="182">
        <f>SUM(D669:AM669)</f>
        <v>147.82050013042812</v>
      </c>
      <c r="H669" s="182">
        <f t="shared" ref="H669" si="3076">H$661/(H668^H667)</f>
        <v>2.3734851042534135</v>
      </c>
      <c r="I669" s="182">
        <f t="shared" ref="I669" si="3077">I$661/(I668^I667)</f>
        <v>2.3350964331666928</v>
      </c>
      <c r="J669" s="182">
        <f t="shared" ref="J669" si="3078">J$661/(J668^J667)</f>
        <v>2.2973286592009035</v>
      </c>
      <c r="K669" s="182">
        <f t="shared" ref="K669" si="3079">K$661/(K668^K667)</f>
        <v>2.2601717399861516</v>
      </c>
      <c r="L669" s="182">
        <f t="shared" ref="L669" si="3080">L$661/(L668^L667)</f>
        <v>2.2236157955775093</v>
      </c>
      <c r="M669" s="182">
        <f t="shared" ref="M669" si="3081">M$661/(M668^M667)</f>
        <v>2.1876511058279551</v>
      </c>
      <c r="N669" s="182">
        <f t="shared" ref="N669" si="3082">N$661/(N668^N667)</f>
        <v>2.1522681078038128</v>
      </c>
      <c r="O669" s="182">
        <f t="shared" ref="O669" si="3083">O$661/(O668^O667)</f>
        <v>2.1031728528088713</v>
      </c>
      <c r="P669" s="182">
        <f t="shared" ref="P669" si="3084">P$661/(P668^P667)</f>
        <v>2.0673061303334372</v>
      </c>
      <c r="Q669" s="182">
        <f t="shared" ref="Q669" si="3085">Q$661/(Q668^Q667)</f>
        <v>2.0147658093472152</v>
      </c>
      <c r="R669" s="182">
        <f t="shared" ref="R669" si="3086">R$661/(R668^R667)</f>
        <v>1.9786391879605123</v>
      </c>
      <c r="S669" s="182">
        <f t="shared" ref="S669" si="3087">S$661/(S668^S667)</f>
        <v>1.9243002629874819</v>
      </c>
      <c r="T669" s="182">
        <f t="shared" ref="T669" si="3088">T$661/(T668^T667)</f>
        <v>1.8882029859652434</v>
      </c>
      <c r="U669" s="182">
        <f t="shared" ref="U669" si="3089">U$661/(U668^U667)</f>
        <v>1.8317436632894066</v>
      </c>
      <c r="V669" s="182">
        <f t="shared" ref="V669" si="3090">V$661/(V668^V667)</f>
        <v>1.7958702747515312</v>
      </c>
      <c r="W669" s="182">
        <f t="shared" ref="W669" si="3091">W$661/(W668^W667)</f>
        <v>1.745786870000182</v>
      </c>
      <c r="X669" s="182">
        <f t="shared" ref="X669" si="3092">X$661/(X668^X667)</f>
        <v>1.7106619357134414</v>
      </c>
      <c r="Y669" s="182">
        <f t="shared" ref="Y669" si="3093">Y$661/(Y668^Y667)</f>
        <v>1.6444232730193427</v>
      </c>
      <c r="Z669" s="182">
        <f t="shared" ref="Z669" si="3094">Z$661/(Z668^Z667)</f>
        <v>1.6095807514444735</v>
      </c>
      <c r="AA669" s="182">
        <f t="shared" ref="AA669" si="3095">AA$661/(AA668^AA667)</f>
        <v>1.5587767270899893</v>
      </c>
      <c r="AB669" s="182">
        <f t="shared" ref="AB669" si="3096">AB$661/(AB668^AB667)</f>
        <v>1.5249182023618562</v>
      </c>
      <c r="AC669" s="182">
        <f t="shared" ref="AC669" si="3097">AC$661/(AC668^AC667)</f>
        <v>106.59273425753871</v>
      </c>
    </row>
    <row r="670" spans="2:32">
      <c r="B670" s="135">
        <v>43646</v>
      </c>
    </row>
    <row r="671" spans="2:32">
      <c r="B671" t="s">
        <v>210</v>
      </c>
      <c r="J671" s="182">
        <f t="shared" ref="J671" si="3098">(J$660-$B670)/365</f>
        <v>0.28356164383561644</v>
      </c>
      <c r="K671" s="182">
        <f t="shared" ref="K671" si="3099">(K$660-$B670)/365</f>
        <v>0.78356164383561644</v>
      </c>
      <c r="L671" s="182">
        <f t="shared" ref="L671" si="3100">(L$660-$B670)/365</f>
        <v>1.2835616438356163</v>
      </c>
      <c r="M671" s="182">
        <f t="shared" ref="M671" si="3101">(M$660-$B670)/365</f>
        <v>1.7835616438356163</v>
      </c>
      <c r="N671" s="182">
        <f t="shared" ref="N671" si="3102">(N$660-$B670)/365</f>
        <v>2.2835616438356166</v>
      </c>
      <c r="O671" s="182">
        <f t="shared" ref="O671" si="3103">(O$660-$B670)/365</f>
        <v>2.7835616438356166</v>
      </c>
      <c r="P671" s="182">
        <f t="shared" ref="P671" si="3104">(P$660-$B670)/365</f>
        <v>3.2835616438356166</v>
      </c>
      <c r="Q671" s="182">
        <f t="shared" ref="Q671" si="3105">(Q$660-$B670)/365</f>
        <v>3.7835616438356166</v>
      </c>
      <c r="R671" s="182">
        <f t="shared" ref="R671" si="3106">(R$660-$B670)/365</f>
        <v>4.2835616438356166</v>
      </c>
      <c r="S671" s="182">
        <f t="shared" ref="S671" si="3107">(S$660-$B670)/365</f>
        <v>4.7835616438356166</v>
      </c>
      <c r="T671" s="182">
        <f t="shared" ref="T671" si="3108">(T$660-$B670)/365</f>
        <v>5.2835616438356166</v>
      </c>
      <c r="U671" s="182">
        <f t="shared" ref="U671" si="3109">(U$660-$B670)/365</f>
        <v>5.7835616438356166</v>
      </c>
      <c r="V671" s="182">
        <f t="shared" ref="V671" si="3110">(V$660-$B670)/365</f>
        <v>6.2835616438356166</v>
      </c>
      <c r="W671" s="182">
        <f t="shared" ref="W671" si="3111">(W$660-$B670)/365</f>
        <v>6.7835616438356166</v>
      </c>
      <c r="X671" s="182">
        <f t="shared" ref="X671" si="3112">(X$660-$B670)/365</f>
        <v>7.2835616438356166</v>
      </c>
      <c r="Y671" s="182">
        <f t="shared" ref="Y671" si="3113">(Y$660-$B670)/365</f>
        <v>7.7835616438356166</v>
      </c>
      <c r="Z671" s="182">
        <f t="shared" ref="Z671" si="3114">(Z$660-$B670)/365</f>
        <v>8.2835616438356166</v>
      </c>
      <c r="AA671" s="182">
        <f t="shared" ref="AA671" si="3115">(AA$660-$B670)/365</f>
        <v>8.7835616438356166</v>
      </c>
      <c r="AB671" s="182">
        <f t="shared" ref="AB671" si="3116">(AB$660-$B670)/365</f>
        <v>9.2835616438356166</v>
      </c>
      <c r="AC671" s="182">
        <f t="shared" ref="AC671" si="3117">(AC$660-$B670)/365</f>
        <v>9.293150684931506</v>
      </c>
    </row>
    <row r="672" spans="2:32">
      <c r="B672" t="s">
        <v>211</v>
      </c>
      <c r="J672" s="183">
        <f>1+((INDEX('Yield Curve'!$B$48:$P$91,MATCH(ROUND(J671,0),'Yield Curve'!$B$48:$B$91,0),MATCH(YEAR($B670),'Yield Curve'!$B$48:$P$48,0)))/100)</f>
        <v>1.02305</v>
      </c>
      <c r="K672" s="183">
        <f>1+((INDEX('Yield Curve'!$B$48:$P$91,MATCH(ROUND(K671,0),'Yield Curve'!$B$48:$B$91,0),MATCH(YEAR($B670),'Yield Curve'!$B$48:$P$48,0)))/100)</f>
        <v>1.02305</v>
      </c>
      <c r="L672" s="183">
        <f>1+((INDEX('Yield Curve'!$B$48:$P$91,MATCH(ROUND(L671,0),'Yield Curve'!$B$48:$B$91,0),MATCH(YEAR($B670),'Yield Curve'!$B$48:$P$48,0)))/100)</f>
        <v>1.02305</v>
      </c>
      <c r="M672" s="183">
        <f>1+((INDEX('Yield Curve'!$B$48:$P$91,MATCH(ROUND(M671,0),'Yield Curve'!$B$48:$B$91,0),MATCH(YEAR($B670),'Yield Curve'!$B$48:$P$48,0)))/100)</f>
        <v>1.02305</v>
      </c>
      <c r="N672" s="183">
        <f>1+((INDEX('Yield Curve'!$B$48:$P$91,MATCH(ROUND(N671,0),'Yield Curve'!$B$48:$B$91,0),MATCH(YEAR($B670),'Yield Curve'!$B$48:$P$48,0)))/100)</f>
        <v>1.02305</v>
      </c>
      <c r="O672" s="183">
        <f>1+((INDEX('Yield Curve'!$B$48:$P$91,MATCH(ROUND(O671,0),'Yield Curve'!$B$48:$B$91,0),MATCH(YEAR($B670),'Yield Curve'!$B$48:$P$48,0)))/100)</f>
        <v>1.02305</v>
      </c>
      <c r="P672" s="183">
        <f>1+((INDEX('Yield Curve'!$B$48:$P$91,MATCH(ROUND(P671,0),'Yield Curve'!$B$48:$B$91,0),MATCH(YEAR($B670),'Yield Curve'!$B$48:$P$48,0)))/100)</f>
        <v>1.02305</v>
      </c>
      <c r="Q672" s="183">
        <f>1+((INDEX('Yield Curve'!$B$48:$P$91,MATCH(ROUND(Q671,0),'Yield Curve'!$B$48:$B$91,0),MATCH(YEAR($B670),'Yield Curve'!$B$48:$P$48,0)))/100)</f>
        <v>1.024575</v>
      </c>
      <c r="R672" s="183">
        <f>1+((INDEX('Yield Curve'!$B$48:$P$91,MATCH(ROUND(R671,0),'Yield Curve'!$B$48:$B$91,0),MATCH(YEAR($B670),'Yield Curve'!$B$48:$P$48,0)))/100)</f>
        <v>1.024575</v>
      </c>
      <c r="S672" s="183">
        <f>1+((INDEX('Yield Curve'!$B$48:$P$91,MATCH(ROUND(S671,0),'Yield Curve'!$B$48:$B$91,0),MATCH(YEAR($B670),'Yield Curve'!$B$48:$P$48,0)))/100)</f>
        <v>1.0261</v>
      </c>
      <c r="T672" s="183">
        <f>1+((INDEX('Yield Curve'!$B$48:$P$91,MATCH(ROUND(T671,0),'Yield Curve'!$B$48:$B$91,0),MATCH(YEAR($B670),'Yield Curve'!$B$48:$P$48,0)))/100)</f>
        <v>1.0261</v>
      </c>
      <c r="U672" s="183">
        <f>1+((INDEX('Yield Curve'!$B$48:$P$91,MATCH(ROUND(U671,0),'Yield Curve'!$B$48:$B$91,0),MATCH(YEAR($B670),'Yield Curve'!$B$48:$P$48,0)))/100)</f>
        <v>1.028375</v>
      </c>
      <c r="V672" s="183">
        <f>1+((INDEX('Yield Curve'!$B$48:$P$91,MATCH(ROUND(V671,0),'Yield Curve'!$B$48:$B$91,0),MATCH(YEAR($B670),'Yield Curve'!$B$48:$P$48,0)))/100)</f>
        <v>1.028375</v>
      </c>
      <c r="W672" s="183">
        <f>1+((INDEX('Yield Curve'!$B$48:$P$91,MATCH(ROUND(W671,0),'Yield Curve'!$B$48:$B$91,0),MATCH(YEAR($B670),'Yield Curve'!$B$48:$P$48,0)))/100)</f>
        <v>1.0306500000000001</v>
      </c>
      <c r="X672" s="183">
        <f>1+((INDEX('Yield Curve'!$B$48:$P$91,MATCH(ROUND(X671,0),'Yield Curve'!$B$48:$B$91,0),MATCH(YEAR($B670),'Yield Curve'!$B$48:$P$48,0)))/100)</f>
        <v>1.0306500000000001</v>
      </c>
      <c r="Y672" s="183">
        <f>1+((INDEX('Yield Curve'!$B$48:$P$91,MATCH(ROUND(Y671,0),'Yield Curve'!$B$48:$B$91,0),MATCH(YEAR($B670),'Yield Curve'!$B$48:$P$48,0)))/100)</f>
        <v>1.0318624999999999</v>
      </c>
      <c r="Z672" s="183">
        <f>1+((INDEX('Yield Curve'!$B$48:$P$91,MATCH(ROUND(Z671,0),'Yield Curve'!$B$48:$B$91,0),MATCH(YEAR($B670),'Yield Curve'!$B$48:$P$48,0)))/100)</f>
        <v>1.0318624999999999</v>
      </c>
      <c r="AA672" s="183">
        <f>1+((INDEX('Yield Curve'!$B$48:$P$91,MATCH(ROUND(AA671,0),'Yield Curve'!$B$48:$B$91,0),MATCH(YEAR($B670),'Yield Curve'!$B$48:$P$48,0)))/100)</f>
        <v>1.0342875</v>
      </c>
      <c r="AB672" s="183">
        <f>1+((INDEX('Yield Curve'!$B$48:$P$91,MATCH(ROUND(AB671,0),'Yield Curve'!$B$48:$B$91,0),MATCH(YEAR($B670),'Yield Curve'!$B$48:$P$48,0)))/100)</f>
        <v>1.0342875</v>
      </c>
      <c r="AC672" s="183">
        <f>1+((INDEX('Yield Curve'!$B$48:$P$91,MATCH(ROUND(AC671,0),'Yield Curve'!$B$48:$B$91,0),MATCH(YEAR($B670),'Yield Curve'!$B$48:$P$48,0)))/100)</f>
        <v>1.0342875</v>
      </c>
    </row>
    <row r="673" spans="2:29">
      <c r="B673" t="s">
        <v>212</v>
      </c>
      <c r="C673" s="182">
        <f>SUM(D673:AM673)</f>
        <v>162.29906875626989</v>
      </c>
      <c r="J673" s="182">
        <f t="shared" ref="J673" si="3118">J$661/(J672^J671)</f>
        <v>2.3801061799716634</v>
      </c>
      <c r="K673" s="182">
        <f t="shared" ref="K673" si="3119">K$661/(K672^K671)</f>
        <v>2.3531407361062966</v>
      </c>
      <c r="L673" s="182">
        <f t="shared" ref="L673" si="3120">L$661/(L672^L671)</f>
        <v>2.3264807975872772</v>
      </c>
      <c r="M673" s="182">
        <f t="shared" ref="M673" si="3121">M$661/(M672^M671)</f>
        <v>2.3001229031878174</v>
      </c>
      <c r="N673" s="182">
        <f t="shared" ref="N673" si="3122">N$661/(N672^N671)</f>
        <v>2.2740636308951441</v>
      </c>
      <c r="O673" s="182">
        <f t="shared" ref="O673" si="3123">O$661/(O672^O671)</f>
        <v>2.2482995974662212</v>
      </c>
      <c r="P673" s="182">
        <f t="shared" ref="P673" si="3124">P$661/(P672^P671)</f>
        <v>2.2228274579885086</v>
      </c>
      <c r="Q673" s="182">
        <f t="shared" ref="Q673" si="3125">Q$661/(Q672^Q671)</f>
        <v>2.1852934087276665</v>
      </c>
      <c r="R673" s="182">
        <f t="shared" ref="R673" si="3126">R$661/(R672^R671)</f>
        <v>2.1589266059140657</v>
      </c>
      <c r="S673" s="182">
        <f t="shared" ref="S673" si="3127">S$661/(S672^S671)</f>
        <v>2.1177570751760699</v>
      </c>
      <c r="T673" s="182">
        <f t="shared" ref="T673" si="3128">T$661/(T672^T671)</f>
        <v>2.0906498303739607</v>
      </c>
      <c r="U673" s="182">
        <f t="shared" ref="U673" si="3129">U$661/(U672^U671)</f>
        <v>2.0376223369504096</v>
      </c>
      <c r="V673" s="182">
        <f t="shared" ref="V673" si="3130">V$661/(V672^V671)</f>
        <v>2.0093145896678535</v>
      </c>
      <c r="W673" s="182">
        <f t="shared" ref="W673" si="3131">W$661/(W672^W671)</f>
        <v>1.9519200127259928</v>
      </c>
      <c r="X673" s="182">
        <f t="shared" ref="X673" si="3132">X$661/(X672^X671)</f>
        <v>1.9226773628143938</v>
      </c>
      <c r="Y673" s="182">
        <f t="shared" ref="Y673" si="3133">Y$661/(Y672^Y671)</f>
        <v>1.8766200475767689</v>
      </c>
      <c r="Z673" s="182">
        <f t="shared" ref="Z673" si="3134">Z$661/(Z672^Z671)</f>
        <v>1.8474191312025656</v>
      </c>
      <c r="AA673" s="182">
        <f t="shared" ref="AA673" si="3135">AA$661/(AA672^AA671)</f>
        <v>1.7815587621810056</v>
      </c>
      <c r="AB673" s="182">
        <f t="shared" ref="AB673" si="3136">AB$661/(AB672^AB671)</f>
        <v>1.7517797974970315</v>
      </c>
      <c r="AC673" s="182">
        <f t="shared" ref="AC673" si="3137">AC$661/(AC672^AC671)</f>
        <v>122.4624884922592</v>
      </c>
    </row>
    <row r="674" spans="2:29">
      <c r="B674" s="135">
        <v>44012</v>
      </c>
    </row>
    <row r="675" spans="2:29">
      <c r="B675" t="s">
        <v>210</v>
      </c>
      <c r="L675" s="182">
        <f t="shared" ref="L675" si="3138">(L$660-$B674)/365</f>
        <v>0.28082191780821919</v>
      </c>
      <c r="M675" s="182">
        <f t="shared" ref="M675" si="3139">(M$660-$B674)/365</f>
        <v>0.78082191780821919</v>
      </c>
      <c r="N675" s="182">
        <f t="shared" ref="N675" si="3140">(N$660-$B674)/365</f>
        <v>1.2808219178082192</v>
      </c>
      <c r="O675" s="182">
        <f t="shared" ref="O675" si="3141">(O$660-$B674)/365</f>
        <v>1.7808219178082192</v>
      </c>
      <c r="P675" s="182">
        <f t="shared" ref="P675" si="3142">(P$660-$B674)/365</f>
        <v>2.2808219178082192</v>
      </c>
      <c r="Q675" s="182">
        <f t="shared" ref="Q675" si="3143">(Q$660-$B674)/365</f>
        <v>2.7808219178082192</v>
      </c>
      <c r="R675" s="182">
        <f t="shared" ref="R675" si="3144">(R$660-$B674)/365</f>
        <v>3.2808219178082192</v>
      </c>
      <c r="S675" s="182">
        <f t="shared" ref="S675" si="3145">(S$660-$B674)/365</f>
        <v>3.7808219178082192</v>
      </c>
      <c r="T675" s="182">
        <f t="shared" ref="T675" si="3146">(T$660-$B674)/365</f>
        <v>4.2808219178082192</v>
      </c>
      <c r="U675" s="182">
        <f t="shared" ref="U675" si="3147">(U$660-$B674)/365</f>
        <v>4.7808219178082192</v>
      </c>
      <c r="V675" s="182">
        <f t="shared" ref="V675" si="3148">(V$660-$B674)/365</f>
        <v>5.2808219178082192</v>
      </c>
      <c r="W675" s="182">
        <f t="shared" ref="W675" si="3149">(W$660-$B674)/365</f>
        <v>5.7808219178082192</v>
      </c>
      <c r="X675" s="182">
        <f t="shared" ref="X675" si="3150">(X$660-$B674)/365</f>
        <v>6.2808219178082192</v>
      </c>
      <c r="Y675" s="182">
        <f t="shared" ref="Y675" si="3151">(Y$660-$B674)/365</f>
        <v>6.7808219178082192</v>
      </c>
      <c r="Z675" s="182">
        <f t="shared" ref="Z675" si="3152">(Z$660-$B674)/365</f>
        <v>7.2808219178082192</v>
      </c>
      <c r="AA675" s="182">
        <f t="shared" ref="AA675" si="3153">(AA$660-$B674)/365</f>
        <v>7.7808219178082192</v>
      </c>
      <c r="AB675" s="182">
        <f t="shared" ref="AB675" si="3154">(AB$660-$B674)/365</f>
        <v>8.2808219178082183</v>
      </c>
      <c r="AC675" s="182">
        <f t="shared" ref="AC675" si="3155">(AC$660-$B674)/365</f>
        <v>8.2904109589041095</v>
      </c>
    </row>
    <row r="676" spans="2:29">
      <c r="B676" t="s">
        <v>211</v>
      </c>
      <c r="L676" s="183">
        <f>1+((INDEX('Yield Curve'!$B$48:$P$91,MATCH(ROUND(L675,0),'Yield Curve'!$B$48:$B$91,0),MATCH(YEAR($B674),'Yield Curve'!$B$48:$P$48,0)))/100)</f>
        <v>1.02105</v>
      </c>
      <c r="M676" s="183">
        <f>1+((INDEX('Yield Curve'!$B$48:$P$91,MATCH(ROUND(M675,0),'Yield Curve'!$B$48:$B$91,0),MATCH(YEAR($B674),'Yield Curve'!$B$48:$P$48,0)))/100)</f>
        <v>1.02105</v>
      </c>
      <c r="N676" s="183">
        <f>1+((INDEX('Yield Curve'!$B$48:$P$91,MATCH(ROUND(N675,0),'Yield Curve'!$B$48:$B$91,0),MATCH(YEAR($B674),'Yield Curve'!$B$48:$P$48,0)))/100)</f>
        <v>1.02105</v>
      </c>
      <c r="O676" s="183">
        <f>1+((INDEX('Yield Curve'!$B$48:$P$91,MATCH(ROUND(O675,0),'Yield Curve'!$B$48:$B$91,0),MATCH(YEAR($B674),'Yield Curve'!$B$48:$P$48,0)))/100)</f>
        <v>1.02105</v>
      </c>
      <c r="P676" s="183">
        <f>1+((INDEX('Yield Curve'!$B$48:$P$91,MATCH(ROUND(P675,0),'Yield Curve'!$B$48:$B$91,0),MATCH(YEAR($B674),'Yield Curve'!$B$48:$P$48,0)))/100)</f>
        <v>1.02105</v>
      </c>
      <c r="Q676" s="183">
        <f>1+((INDEX('Yield Curve'!$B$48:$P$91,MATCH(ROUND(Q675,0),'Yield Curve'!$B$48:$B$91,0),MATCH(YEAR($B674),'Yield Curve'!$B$48:$P$48,0)))/100)</f>
        <v>1.02105</v>
      </c>
      <c r="R676" s="183">
        <f>1+((INDEX('Yield Curve'!$B$48:$P$91,MATCH(ROUND(R675,0),'Yield Curve'!$B$48:$B$91,0),MATCH(YEAR($B674),'Yield Curve'!$B$48:$P$48,0)))/100)</f>
        <v>1.02105</v>
      </c>
      <c r="S676" s="183">
        <f>1+((INDEX('Yield Curve'!$B$48:$P$91,MATCH(ROUND(S675,0),'Yield Curve'!$B$48:$B$91,0),MATCH(YEAR($B674),'Yield Curve'!$B$48:$P$48,0)))/100)</f>
        <v>1.0229999999999999</v>
      </c>
      <c r="T676" s="183">
        <f>1+((INDEX('Yield Curve'!$B$48:$P$91,MATCH(ROUND(T675,0),'Yield Curve'!$B$48:$B$91,0),MATCH(YEAR($B674),'Yield Curve'!$B$48:$P$48,0)))/100)</f>
        <v>1.0229999999999999</v>
      </c>
      <c r="U676" s="183">
        <f>1+((INDEX('Yield Curve'!$B$48:$P$91,MATCH(ROUND(U675,0),'Yield Curve'!$B$48:$B$91,0),MATCH(YEAR($B674),'Yield Curve'!$B$48:$P$48,0)))/100)</f>
        <v>1.02495</v>
      </c>
      <c r="V676" s="183">
        <f>1+((INDEX('Yield Curve'!$B$48:$P$91,MATCH(ROUND(V675,0),'Yield Curve'!$B$48:$B$91,0),MATCH(YEAR($B674),'Yield Curve'!$B$48:$P$48,0)))/100)</f>
        <v>1.02495</v>
      </c>
      <c r="W676" s="183">
        <f>1+((INDEX('Yield Curve'!$B$48:$P$91,MATCH(ROUND(W675,0),'Yield Curve'!$B$48:$B$91,0),MATCH(YEAR($B674),'Yield Curve'!$B$48:$P$48,0)))/100)</f>
        <v>1.0282249999999999</v>
      </c>
      <c r="X676" s="183">
        <f>1+((INDEX('Yield Curve'!$B$48:$P$91,MATCH(ROUND(X675,0),'Yield Curve'!$B$48:$B$91,0),MATCH(YEAR($B674),'Yield Curve'!$B$48:$P$48,0)))/100)</f>
        <v>1.0282249999999999</v>
      </c>
      <c r="Y676" s="183">
        <f>1+((INDEX('Yield Curve'!$B$48:$P$91,MATCH(ROUND(Y675,0),'Yield Curve'!$B$48:$B$91,0),MATCH(YEAR($B674),'Yield Curve'!$B$48:$P$48,0)))/100)</f>
        <v>1.0315000000000001</v>
      </c>
      <c r="Z676" s="183">
        <f>1+((INDEX('Yield Curve'!$B$48:$P$91,MATCH(ROUND(Z675,0),'Yield Curve'!$B$48:$B$91,0),MATCH(YEAR($B674),'Yield Curve'!$B$48:$P$48,0)))/100)</f>
        <v>1.0315000000000001</v>
      </c>
      <c r="AA676" s="183">
        <f>1+((INDEX('Yield Curve'!$B$48:$P$91,MATCH(ROUND(AA675,0),'Yield Curve'!$B$48:$B$91,0),MATCH(YEAR($B674),'Yield Curve'!$B$48:$P$48,0)))/100)</f>
        <v>1.0322499999999999</v>
      </c>
      <c r="AB676" s="183">
        <f>1+((INDEX('Yield Curve'!$B$48:$P$91,MATCH(ROUND(AB675,0),'Yield Curve'!$B$48:$B$91,0),MATCH(YEAR($B674),'Yield Curve'!$B$48:$P$48,0)))/100)</f>
        <v>1.0322499999999999</v>
      </c>
      <c r="AC676" s="183">
        <f>1+((INDEX('Yield Curve'!$B$48:$P$91,MATCH(ROUND(AC675,0),'Yield Curve'!$B$48:$B$91,0),MATCH(YEAR($B674),'Yield Curve'!$B$48:$P$48,0)))/100)</f>
        <v>1.0322499999999999</v>
      </c>
    </row>
    <row r="677" spans="2:29">
      <c r="B677" t="s">
        <v>212</v>
      </c>
      <c r="C677" s="182">
        <f>SUM(D677:AM677)</f>
        <v>165.14307069116759</v>
      </c>
      <c r="L677" s="182">
        <f t="shared" ref="L677" si="3156">L$661/(L676^L675)</f>
        <v>2.3815631574460774</v>
      </c>
      <c r="M677" s="182">
        <f t="shared" ref="M677" si="3157">M$661/(M676^M675)</f>
        <v>2.3568861176752782</v>
      </c>
      <c r="N677" s="182">
        <f t="shared" ref="N677" si="3158">N$661/(N676^N675)</f>
        <v>2.3324647739543383</v>
      </c>
      <c r="O677" s="182">
        <f t="shared" ref="O677" si="3159">O$661/(O676^O675)</f>
        <v>2.3082964768378411</v>
      </c>
      <c r="P677" s="182">
        <f t="shared" ref="P677" si="3160">P$661/(P676^P675)</f>
        <v>2.284378604333126</v>
      </c>
      <c r="Q677" s="182">
        <f t="shared" ref="Q677" si="3161">Q$661/(Q676^Q675)</f>
        <v>2.2607085616158282</v>
      </c>
      <c r="R677" s="182">
        <f t="shared" ref="R677" si="3162">R$661/(R676^R675)</f>
        <v>2.2372837807483728</v>
      </c>
      <c r="S677" s="182">
        <f t="shared" ref="S677" si="3163">S$661/(S676^S675)</f>
        <v>2.1981872746995217</v>
      </c>
      <c r="T677" s="182">
        <f t="shared" ref="T677" si="3164">T$661/(T676^T675)</f>
        <v>2.173335993314129</v>
      </c>
      <c r="U677" s="182">
        <f t="shared" ref="U677" si="3165">U$661/(U676^U675)</f>
        <v>2.1292913789699011</v>
      </c>
      <c r="V677" s="182">
        <f t="shared" ref="V677" si="3166">V$661/(V676^V675)</f>
        <v>2.1032154134619021</v>
      </c>
      <c r="W677" s="182">
        <f t="shared" ref="W677" si="3167">W$661/(W676^W675)</f>
        <v>2.0394976413423365</v>
      </c>
      <c r="X677" s="182">
        <f t="shared" ref="X677" si="3168">X$661/(X676^X675)</f>
        <v>2.0113105327428258</v>
      </c>
      <c r="Y677" s="182">
        <f t="shared" ref="Y677" si="3169">Y$661/(Y676^Y675)</f>
        <v>1.9411997921486555</v>
      </c>
      <c r="Z677" s="182">
        <f t="shared" ref="Z677" si="3170">Z$661/(Z676^Z675)</f>
        <v>1.9113297513405827</v>
      </c>
      <c r="AA677" s="182">
        <f t="shared" ref="AA677" si="3171">AA$661/(AA676^AA675)</f>
        <v>1.8713064543214391</v>
      </c>
      <c r="AB677" s="182">
        <f t="shared" ref="AB677" si="3172">AB$661/(AB676^AB675)</f>
        <v>1.8418424142129999</v>
      </c>
      <c r="AC677" s="182">
        <f t="shared" ref="AC677" si="3173">AC$661/(AC676^AC675)</f>
        <v>128.76097257200243</v>
      </c>
    </row>
    <row r="678" spans="2:29">
      <c r="B678" s="135">
        <v>44377</v>
      </c>
    </row>
    <row r="679" spans="2:29">
      <c r="B679" t="s">
        <v>210</v>
      </c>
      <c r="N679" s="182">
        <f t="shared" ref="N679" si="3174">(N$660-$B678)/365</f>
        <v>0.28082191780821919</v>
      </c>
      <c r="O679" s="182">
        <f t="shared" ref="O679" si="3175">(O$660-$B678)/365</f>
        <v>0.78082191780821919</v>
      </c>
      <c r="P679" s="182">
        <f t="shared" ref="P679" si="3176">(P$660-$B678)/365</f>
        <v>1.2808219178082192</v>
      </c>
      <c r="Q679" s="182">
        <f t="shared" ref="Q679" si="3177">(Q$660-$B678)/365</f>
        <v>1.7808219178082192</v>
      </c>
      <c r="R679" s="182">
        <f t="shared" ref="R679" si="3178">(R$660-$B678)/365</f>
        <v>2.2808219178082192</v>
      </c>
      <c r="S679" s="182">
        <f t="shared" ref="S679" si="3179">(S$660-$B678)/365</f>
        <v>2.7808219178082192</v>
      </c>
      <c r="T679" s="182">
        <f t="shared" ref="T679" si="3180">(T$660-$B678)/365</f>
        <v>3.2808219178082192</v>
      </c>
      <c r="U679" s="182">
        <f t="shared" ref="U679" si="3181">(U$660-$B678)/365</f>
        <v>3.7808219178082192</v>
      </c>
      <c r="V679" s="182">
        <f t="shared" ref="V679" si="3182">(V$660-$B678)/365</f>
        <v>4.2808219178082192</v>
      </c>
      <c r="W679" s="182">
        <f t="shared" ref="W679" si="3183">(W$660-$B678)/365</f>
        <v>4.7808219178082192</v>
      </c>
      <c r="X679" s="182">
        <f t="shared" ref="X679" si="3184">(X$660-$B678)/365</f>
        <v>5.2808219178082192</v>
      </c>
      <c r="Y679" s="182">
        <f t="shared" ref="Y679" si="3185">(Y$660-$B678)/365</f>
        <v>5.7808219178082192</v>
      </c>
      <c r="Z679" s="182">
        <f t="shared" ref="Z679" si="3186">(Z$660-$B678)/365</f>
        <v>6.2808219178082192</v>
      </c>
      <c r="AA679" s="182">
        <f t="shared" ref="AA679" si="3187">(AA$660-$B678)/365</f>
        <v>6.7808219178082192</v>
      </c>
      <c r="AB679" s="182">
        <f t="shared" ref="AB679" si="3188">(AB$660-$B678)/365</f>
        <v>7.2808219178082192</v>
      </c>
      <c r="AC679" s="182">
        <f t="shared" ref="AC679" si="3189">(AC$660-$B678)/365</f>
        <v>7.2904109589041095</v>
      </c>
    </row>
    <row r="680" spans="2:29">
      <c r="B680" t="s">
        <v>211</v>
      </c>
      <c r="N680" s="183">
        <f>1+((INDEX('Yield Curve'!$B$48:$P$91,MATCH(ROUND(N679,0),'Yield Curve'!$B$48:$B$91,0),MATCH(YEAR($B678),'Yield Curve'!$B$48:$P$48,0)))/100)</f>
        <v>1.0129999999999999</v>
      </c>
      <c r="O680" s="183">
        <f>1+((INDEX('Yield Curve'!$B$48:$P$91,MATCH(ROUND(O679,0),'Yield Curve'!$B$48:$B$91,0),MATCH(YEAR($B678),'Yield Curve'!$B$48:$P$48,0)))/100)</f>
        <v>1.0129999999999999</v>
      </c>
      <c r="P680" s="183">
        <f>1+((INDEX('Yield Curve'!$B$48:$P$91,MATCH(ROUND(P679,0),'Yield Curve'!$B$48:$B$91,0),MATCH(YEAR($B678),'Yield Curve'!$B$48:$P$48,0)))/100)</f>
        <v>1.0129999999999999</v>
      </c>
      <c r="Q680" s="183">
        <f>1+((INDEX('Yield Curve'!$B$48:$P$91,MATCH(ROUND(Q679,0),'Yield Curve'!$B$48:$B$91,0),MATCH(YEAR($B678),'Yield Curve'!$B$48:$P$48,0)))/100)</f>
        <v>1.0129999999999999</v>
      </c>
      <c r="R680" s="183">
        <f>1+((INDEX('Yield Curve'!$B$48:$P$91,MATCH(ROUND(R679,0),'Yield Curve'!$B$48:$B$91,0),MATCH(YEAR($B678),'Yield Curve'!$B$48:$P$48,0)))/100)</f>
        <v>1.0129999999999999</v>
      </c>
      <c r="S680" s="183">
        <f>1+((INDEX('Yield Curve'!$B$48:$P$91,MATCH(ROUND(S679,0),'Yield Curve'!$B$48:$B$91,0),MATCH(YEAR($B678),'Yield Curve'!$B$48:$P$48,0)))/100)</f>
        <v>1.0129999999999999</v>
      </c>
      <c r="T680" s="183">
        <f>1+((INDEX('Yield Curve'!$B$48:$P$91,MATCH(ROUND(T679,0),'Yield Curve'!$B$48:$B$91,0),MATCH(YEAR($B678),'Yield Curve'!$B$48:$P$48,0)))/100)</f>
        <v>1.0129999999999999</v>
      </c>
      <c r="U680" s="183">
        <f>1+((INDEX('Yield Curve'!$B$48:$P$91,MATCH(ROUND(U679,0),'Yield Curve'!$B$48:$B$91,0),MATCH(YEAR($B678),'Yield Curve'!$B$48:$P$48,0)))/100)</f>
        <v>1.0161249999999999</v>
      </c>
      <c r="V680" s="183">
        <f>1+((INDEX('Yield Curve'!$B$48:$P$91,MATCH(ROUND(V679,0),'Yield Curve'!$B$48:$B$91,0),MATCH(YEAR($B678),'Yield Curve'!$B$48:$P$48,0)))/100)</f>
        <v>1.0161249999999999</v>
      </c>
      <c r="W680" s="183">
        <f>1+((INDEX('Yield Curve'!$B$48:$P$91,MATCH(ROUND(W679,0),'Yield Curve'!$B$48:$B$91,0),MATCH(YEAR($B678),'Yield Curve'!$B$48:$P$48,0)))/100)</f>
        <v>1.01925</v>
      </c>
      <c r="X680" s="183">
        <f>1+((INDEX('Yield Curve'!$B$48:$P$91,MATCH(ROUND(X679,0),'Yield Curve'!$B$48:$B$91,0),MATCH(YEAR($B678),'Yield Curve'!$B$48:$P$48,0)))/100)</f>
        <v>1.01925</v>
      </c>
      <c r="Y680" s="183">
        <f>1+((INDEX('Yield Curve'!$B$48:$P$91,MATCH(ROUND(Y679,0),'Yield Curve'!$B$48:$B$91,0),MATCH(YEAR($B678),'Yield Curve'!$B$48:$P$48,0)))/100)</f>
        <v>1.022775</v>
      </c>
      <c r="Z680" s="183">
        <f>1+((INDEX('Yield Curve'!$B$48:$P$91,MATCH(ROUND(Z679,0),'Yield Curve'!$B$48:$B$91,0),MATCH(YEAR($B678),'Yield Curve'!$B$48:$P$48,0)))/100)</f>
        <v>1.022775</v>
      </c>
      <c r="AA680" s="183">
        <f>1+((INDEX('Yield Curve'!$B$48:$P$91,MATCH(ROUND(AA679,0),'Yield Curve'!$B$48:$B$91,0),MATCH(YEAR($B678),'Yield Curve'!$B$48:$P$48,0)))/100)</f>
        <v>1.0263</v>
      </c>
      <c r="AB680" s="183">
        <f>1+((INDEX('Yield Curve'!$B$48:$P$91,MATCH(ROUND(AB679,0),'Yield Curve'!$B$48:$B$91,0),MATCH(YEAR($B678),'Yield Curve'!$B$48:$P$48,0)))/100)</f>
        <v>1.0263</v>
      </c>
      <c r="AC680" s="183">
        <f>1+((INDEX('Yield Curve'!$B$48:$P$91,MATCH(ROUND(AC679,0),'Yield Curve'!$B$48:$B$91,0),MATCH(YEAR($B678),'Yield Curve'!$B$48:$P$48,0)))/100)</f>
        <v>1.0263</v>
      </c>
    </row>
    <row r="681" spans="2:29">
      <c r="B681" t="s">
        <v>212</v>
      </c>
      <c r="C681" s="182">
        <f>SUM(D681:AM681)</f>
        <v>172.04297959718889</v>
      </c>
      <c r="N681" s="182">
        <f t="shared" ref="N681" si="3190">N$661/(N680^N679)</f>
        <v>2.3868627488181504</v>
      </c>
      <c r="O681" s="182">
        <f t="shared" ref="O681" si="3191">O$661/(O680^O679)</f>
        <v>2.3714977880721153</v>
      </c>
      <c r="P681" s="182">
        <f t="shared" ref="P681" si="3192">P$661/(P680^P679)</f>
        <v>2.3562317362469405</v>
      </c>
      <c r="Q681" s="182">
        <f t="shared" ref="Q681" si="3193">Q$661/(Q680^Q679)</f>
        <v>2.3410639566358498</v>
      </c>
      <c r="R681" s="182">
        <f t="shared" ref="R681" si="3194">R$661/(R680^R679)</f>
        <v>2.3259938166307408</v>
      </c>
      <c r="S681" s="182">
        <f t="shared" ref="S681" si="3195">S$661/(S680^S679)</f>
        <v>2.3110206876958044</v>
      </c>
      <c r="T681" s="182">
        <f t="shared" ref="T681" si="3196">T$661/(T680^T679)</f>
        <v>2.2961439453413042</v>
      </c>
      <c r="U681" s="182">
        <f t="shared" ref="U681" si="3197">U$661/(U680^U679)</f>
        <v>2.2549494761355899</v>
      </c>
      <c r="V681" s="182">
        <f t="shared" ref="V681" si="3198">V$661/(V680^V679)</f>
        <v>2.2369859033472497</v>
      </c>
      <c r="W681" s="182">
        <f t="shared" ref="W681" si="3199">W$661/(W680^W679)</f>
        <v>2.1868251177738975</v>
      </c>
      <c r="X681" s="182">
        <f t="shared" ref="X681" si="3200">X$661/(X680^X679)</f>
        <v>2.1660760152016607</v>
      </c>
      <c r="Y681" s="182">
        <f t="shared" ref="Y681" si="3201">Y$661/(Y680^Y679)</f>
        <v>2.1031277939921669</v>
      </c>
      <c r="Z681" s="182">
        <f t="shared" ref="Z681" si="3202">Z$661/(Z680^Z679)</f>
        <v>2.0795798988982601</v>
      </c>
      <c r="AA681" s="182">
        <f t="shared" ref="AA681" si="3203">AA$661/(AA680^AA679)</f>
        <v>2.0088776419326413</v>
      </c>
      <c r="AB681" s="182">
        <f t="shared" ref="AB681" si="3204">AB$661/(AB680^AB679)</f>
        <v>1.9829708077663968</v>
      </c>
      <c r="AC681" s="182">
        <f t="shared" ref="AC681" si="3205">AC$661/(AC680^AC679)</f>
        <v>138.63477226270012</v>
      </c>
    </row>
    <row r="682" spans="2:29">
      <c r="B682" s="135">
        <v>44551</v>
      </c>
    </row>
    <row r="683" spans="2:29">
      <c r="B683" t="s">
        <v>210</v>
      </c>
      <c r="O683" s="182">
        <f t="shared" ref="O683" si="3206">(O$660-$B682)/365</f>
        <v>0.30410958904109592</v>
      </c>
      <c r="P683" s="182">
        <f t="shared" ref="P683" si="3207">(P$660-$B682)/365</f>
        <v>0.80410958904109586</v>
      </c>
      <c r="Q683" s="182">
        <f t="shared" ref="Q683" si="3208">(Q$660-$B682)/365</f>
        <v>1.3041095890410959</v>
      </c>
      <c r="R683" s="182">
        <f t="shared" ref="R683" si="3209">(R$660-$B682)/365</f>
        <v>1.8041095890410959</v>
      </c>
      <c r="S683" s="182">
        <f t="shared" ref="S683" si="3210">(S$660-$B682)/365</f>
        <v>2.3041095890410959</v>
      </c>
      <c r="T683" s="182">
        <f t="shared" ref="T683" si="3211">(T$660-$B682)/365</f>
        <v>2.8041095890410959</v>
      </c>
      <c r="U683" s="182">
        <f t="shared" ref="U683" si="3212">(U$660-$B682)/365</f>
        <v>3.3041095890410959</v>
      </c>
      <c r="V683" s="182">
        <f t="shared" ref="V683" si="3213">(V$660-$B682)/365</f>
        <v>3.8041095890410959</v>
      </c>
      <c r="W683" s="182">
        <f t="shared" ref="W683" si="3214">(W$660-$B682)/365</f>
        <v>4.3041095890410963</v>
      </c>
      <c r="X683" s="182">
        <f t="shared" ref="X683" si="3215">(X$660-$B682)/365</f>
        <v>4.8041095890410963</v>
      </c>
      <c r="Y683" s="182">
        <f t="shared" ref="Y683" si="3216">(Y$660-$B682)/365</f>
        <v>5.3041095890410963</v>
      </c>
      <c r="Z683" s="182">
        <f t="shared" ref="Z683" si="3217">(Z$660-$B682)/365</f>
        <v>5.8041095890410963</v>
      </c>
      <c r="AA683" s="182">
        <f t="shared" ref="AA683" si="3218">(AA$660-$B682)/365</f>
        <v>6.3041095890410963</v>
      </c>
      <c r="AB683" s="182">
        <f t="shared" ref="AB683" si="3219">(AB$660-$B682)/365</f>
        <v>6.8041095890410963</v>
      </c>
      <c r="AC683" s="182">
        <f t="shared" ref="AC683" si="3220">(AC$660-$B682)/365</f>
        <v>6.8136986301369866</v>
      </c>
    </row>
    <row r="684" spans="2:29">
      <c r="B684" t="s">
        <v>211</v>
      </c>
      <c r="O684" s="183">
        <f>1+((INDEX('Yield Curve'!$B$48:$P$91,MATCH(ROUND(O683,0),'Yield Curve'!$B$48:$B$91,0),MATCH(YEAR($B682)+1,'Yield Curve'!$B$48:$P$48,0)))/100)</f>
        <v>1.0212000000000001</v>
      </c>
      <c r="P684" s="183">
        <f>1+((INDEX('Yield Curve'!$B$48:$P$91,MATCH(ROUND(P683,0),'Yield Curve'!$B$48:$B$91,0),MATCH(YEAR($B682)+1,'Yield Curve'!$B$48:$P$48,0)))/100)</f>
        <v>1.0212000000000001</v>
      </c>
      <c r="Q684" s="183">
        <f>1+((INDEX('Yield Curve'!$B$48:$P$91,MATCH(ROUND(Q683,0),'Yield Curve'!$B$48:$B$91,0),MATCH(YEAR($B682)+1,'Yield Curve'!$B$48:$P$48,0)))/100)</f>
        <v>1.0212000000000001</v>
      </c>
      <c r="R684" s="183">
        <f>1+((INDEX('Yield Curve'!$B$48:$P$91,MATCH(ROUND(R683,0),'Yield Curve'!$B$48:$B$91,0),MATCH(YEAR($B682)+1,'Yield Curve'!$B$48:$P$48,0)))/100)</f>
        <v>1.0212000000000001</v>
      </c>
      <c r="S684" s="183">
        <f>1+((INDEX('Yield Curve'!$B$48:$P$91,MATCH(ROUND(S683,0),'Yield Curve'!$B$48:$B$91,0),MATCH(YEAR($B682)+1,'Yield Curve'!$B$48:$P$48,0)))/100)</f>
        <v>1.0212000000000001</v>
      </c>
      <c r="T684" s="183">
        <f>1+((INDEX('Yield Curve'!$B$48:$P$91,MATCH(ROUND(T683,0),'Yield Curve'!$B$48:$B$91,0),MATCH(YEAR($B682)+1,'Yield Curve'!$B$48:$P$48,0)))/100)</f>
        <v>1.0212000000000001</v>
      </c>
      <c r="U684" s="183">
        <f>1+((INDEX('Yield Curve'!$B$48:$P$91,MATCH(ROUND(U683,0),'Yield Curve'!$B$48:$B$91,0),MATCH(YEAR($B682)+1,'Yield Curve'!$B$48:$P$48,0)))/100)</f>
        <v>1.0212000000000001</v>
      </c>
      <c r="V684" s="183">
        <f>1+((INDEX('Yield Curve'!$B$48:$P$91,MATCH(ROUND(V683,0),'Yield Curve'!$B$48:$B$91,0),MATCH(YEAR($B682)+1,'Yield Curve'!$B$48:$P$48,0)))/100)</f>
        <v>1.0245</v>
      </c>
      <c r="W684" s="183">
        <f>1+((INDEX('Yield Curve'!$B$48:$P$91,MATCH(ROUND(W683,0),'Yield Curve'!$B$48:$B$91,0),MATCH(YEAR($B682)+1,'Yield Curve'!$B$48:$P$48,0)))/100)</f>
        <v>1.0245</v>
      </c>
      <c r="X684" s="183">
        <f>1+((INDEX('Yield Curve'!$B$48:$P$91,MATCH(ROUND(X683,0),'Yield Curve'!$B$48:$B$91,0),MATCH(YEAR($B682)+1,'Yield Curve'!$B$48:$P$48,0)))/100)</f>
        <v>1.0278</v>
      </c>
      <c r="Y684" s="183">
        <f>1+((INDEX('Yield Curve'!$B$48:$P$91,MATCH(ROUND(Y683,0),'Yield Curve'!$B$48:$B$91,0),MATCH(YEAR($B682)+1,'Yield Curve'!$B$48:$P$48,0)))/100)</f>
        <v>1.0278</v>
      </c>
      <c r="Z684" s="183">
        <f>1+((INDEX('Yield Curve'!$B$48:$P$91,MATCH(ROUND(Z683,0),'Yield Curve'!$B$48:$B$91,0),MATCH(YEAR($B682)+1,'Yield Curve'!$B$48:$P$48,0)))/100)</f>
        <v>1.030375</v>
      </c>
      <c r="AA684" s="183">
        <f>1+((INDEX('Yield Curve'!$B$48:$P$91,MATCH(ROUND(AA683,0),'Yield Curve'!$B$48:$B$91,0),MATCH(YEAR($B682)+1,'Yield Curve'!$B$48:$P$48,0)))/100)</f>
        <v>1.030375</v>
      </c>
      <c r="AB684" s="183">
        <f>1+((INDEX('Yield Curve'!$B$48:$P$91,MATCH(ROUND(AB683,0),'Yield Curve'!$B$48:$B$91,0),MATCH(YEAR($B682)+1,'Yield Curve'!$B$48:$P$48,0)))/100)</f>
        <v>1.03295</v>
      </c>
      <c r="AC684" s="183">
        <f>1+((INDEX('Yield Curve'!$B$48:$P$91,MATCH(ROUND(AC683,0),'Yield Curve'!$B$48:$B$91,0),MATCH(YEAR($B682)+1,'Yield Curve'!$B$48:$P$48,0)))/100)</f>
        <v>1.03295</v>
      </c>
    </row>
    <row r="685" spans="2:29">
      <c r="B685" t="s">
        <v>212</v>
      </c>
      <c r="C685" s="182">
        <f>SUM(D685:AM685)</f>
        <v>164.90078030561907</v>
      </c>
      <c r="O685" s="182">
        <f t="shared" ref="O685" si="3221">O$661/(O684^O683)</f>
        <v>2.3803017630925498</v>
      </c>
      <c r="P685" s="182">
        <f t="shared" ref="P685" si="3222">P$661/(P684^P683)</f>
        <v>2.3554647820306092</v>
      </c>
      <c r="Q685" s="182">
        <f t="shared" ref="Q685" si="3223">Q$661/(Q684^Q683)</f>
        <v>2.3308869595500878</v>
      </c>
      <c r="R685" s="182">
        <f t="shared" ref="R685" si="3224">R$661/(R684^R683)</f>
        <v>2.3065655914910002</v>
      </c>
      <c r="S685" s="182">
        <f t="shared" ref="S685" si="3225">S$661/(S684^S683)</f>
        <v>2.2824980019096039</v>
      </c>
      <c r="T685" s="182">
        <f t="shared" ref="T685" si="3226">T$661/(T684^T683)</f>
        <v>2.2586815427839793</v>
      </c>
      <c r="U685" s="182">
        <f t="shared" ref="U685" si="3227">U$661/(U684^U683)</f>
        <v>2.2351135937226827</v>
      </c>
      <c r="V685" s="182">
        <f t="shared" ref="V685" si="3228">V$661/(V684^V683)</f>
        <v>2.1848118544451363</v>
      </c>
      <c r="W685" s="182">
        <f t="shared" ref="W685" si="3229">W$661/(W684^W683)</f>
        <v>2.1585298666649306</v>
      </c>
      <c r="X685" s="182">
        <f t="shared" ref="X685" si="3230">X$661/(X684^X683)</f>
        <v>2.0998700445399558</v>
      </c>
      <c r="Y685" s="182">
        <f t="shared" ref="Y685" si="3231">Y$661/(Y684^Y683)</f>
        <v>2.0712766607122672</v>
      </c>
      <c r="Z685" s="182">
        <f t="shared" ref="Z685" si="3232">Z$661/(Z684^Z683)</f>
        <v>2.013615204595244</v>
      </c>
      <c r="AA685" s="182">
        <f t="shared" ref="AA685" si="3233">AA$661/(AA684^AA683)</f>
        <v>1.9837129361150025</v>
      </c>
      <c r="AB685" s="182">
        <f t="shared" ref="AB685" si="3234">AB$661/(AB684^AB683)</f>
        <v>1.9213460939315212</v>
      </c>
      <c r="AC685" s="182">
        <f t="shared" ref="AC685" si="3235">AC$661/(AC684^AC683)</f>
        <v>134.31810541003449</v>
      </c>
    </row>
    <row r="687" spans="2:29">
      <c r="B687" s="5" t="str">
        <f>'VPN Bonds'!A103</f>
        <v>30702960113</v>
      </c>
    </row>
    <row r="688" spans="2:29">
      <c r="B688" t="s">
        <v>66</v>
      </c>
      <c r="D688" s="180">
        <f>VLOOKUP(B687,'VPN Bonds'!$A$85:$K$104,4,FALSE)</f>
        <v>42626</v>
      </c>
      <c r="E688" s="180">
        <f>VLOOKUP(B687,'VPN Bonds'!$A$85:$K$104,10,FALSE)</f>
        <v>42837</v>
      </c>
      <c r="F688" s="180">
        <f>IF(E688+VLOOKUP($B687,'VPN Bonds'!$A$85:$K$104,9,FALSE)*365 &lt; VLOOKUP($B687,'VPN Bonds'!$A$85:$K$104,5,FALSE), E688+VLOOKUP($B687,'VPN Bonds'!$A$85:$K$104,9,FALSE)*365, VLOOKUP($B687,'VPN Bonds'!$A$85:$K$104,5,FALSE))</f>
        <v>43019.5</v>
      </c>
      <c r="G688" s="180">
        <f>IF(F688+VLOOKUP($B687,'VPN Bonds'!$A$85:$K$104,9,FALSE)*365 &lt; VLOOKUP($B687,'VPN Bonds'!$A$85:$K$104,5,FALSE), F688+VLOOKUP($B687,'VPN Bonds'!$A$85:$K$104,9,FALSE)*365, VLOOKUP($B687,'VPN Bonds'!$A$85:$K$104,5,FALSE))</f>
        <v>43202</v>
      </c>
      <c r="H688" s="180">
        <f>IF(G688+VLOOKUP($B687,'VPN Bonds'!$A$85:$K$104,9,FALSE)*365 &lt; VLOOKUP($B687,'VPN Bonds'!$A$85:$K$104,5,FALSE), G688+VLOOKUP($B687,'VPN Bonds'!$A$85:$K$104,9,FALSE)*365, VLOOKUP($B687,'VPN Bonds'!$A$85:$K$104,5,FALSE))</f>
        <v>43384.5</v>
      </c>
      <c r="I688" s="180">
        <f>IF(H688+VLOOKUP($B687,'VPN Bonds'!$A$85:$K$104,9,FALSE)*365 &lt; VLOOKUP($B687,'VPN Bonds'!$A$85:$K$104,5,FALSE), H688+VLOOKUP($B687,'VPN Bonds'!$A$85:$K$104,9,FALSE)*365, VLOOKUP($B687,'VPN Bonds'!$A$85:$K$104,5,FALSE))</f>
        <v>43567</v>
      </c>
      <c r="J688" s="180">
        <f>IF(I688+VLOOKUP($B687,'VPN Bonds'!$A$85:$K$104,9,FALSE)*365 &lt; VLOOKUP($B687,'VPN Bonds'!$A$85:$K$104,5,FALSE), I688+VLOOKUP($B687,'VPN Bonds'!$A$85:$K$104,9,FALSE)*365, VLOOKUP($B687,'VPN Bonds'!$A$85:$K$104,5,FALSE))</f>
        <v>43749.5</v>
      </c>
      <c r="K688" s="180">
        <f>IF(J688+VLOOKUP($B687,'VPN Bonds'!$A$85:$K$104,9,FALSE)*365 &lt; VLOOKUP($B687,'VPN Bonds'!$A$85:$K$104,5,FALSE), J688+VLOOKUP($B687,'VPN Bonds'!$A$85:$K$104,9,FALSE)*365, VLOOKUP($B687,'VPN Bonds'!$A$85:$K$104,5,FALSE))</f>
        <v>43932</v>
      </c>
      <c r="L688" s="180">
        <f>IF(K688+VLOOKUP($B687,'VPN Bonds'!$A$85:$K$104,9,FALSE)*365 &lt; VLOOKUP($B687,'VPN Bonds'!$A$85:$K$104,5,FALSE), K688+VLOOKUP($B687,'VPN Bonds'!$A$85:$K$104,9,FALSE)*365, VLOOKUP($B687,'VPN Bonds'!$A$85:$K$104,5,FALSE))</f>
        <v>44114.5</v>
      </c>
      <c r="M688" s="180">
        <f>IF(L688+VLOOKUP($B687,'VPN Bonds'!$A$85:$K$104,9,FALSE)*365 &lt; VLOOKUP($B687,'VPN Bonds'!$A$85:$K$104,5,FALSE), L688+VLOOKUP($B687,'VPN Bonds'!$A$85:$K$104,9,FALSE)*365, VLOOKUP($B687,'VPN Bonds'!$A$85:$K$104,5,FALSE))</f>
        <v>44297</v>
      </c>
      <c r="N688" s="180">
        <f>IF(M688+VLOOKUP($B687,'VPN Bonds'!$A$85:$K$104,9,FALSE)*365 &lt; VLOOKUP($B687,'VPN Bonds'!$A$85:$K$104,5,FALSE), M688+VLOOKUP($B687,'VPN Bonds'!$A$85:$K$104,9,FALSE)*365, VLOOKUP($B687,'VPN Bonds'!$A$85:$K$104,5,FALSE))</f>
        <v>44479.5</v>
      </c>
      <c r="O688" s="180">
        <f>IF(N688+VLOOKUP($B687,'VPN Bonds'!$A$85:$K$104,9,FALSE)*365 &lt; VLOOKUP($B687,'VPN Bonds'!$A$85:$K$104,5,FALSE), N688+VLOOKUP($B687,'VPN Bonds'!$A$85:$K$104,9,FALSE)*365, VLOOKUP($B687,'VPN Bonds'!$A$85:$K$104,5,FALSE))</f>
        <v>44662</v>
      </c>
      <c r="P688" s="180">
        <f>IF(O688+VLOOKUP($B687,'VPN Bonds'!$A$85:$K$104,9,FALSE)*365 &lt; VLOOKUP($B687,'VPN Bonds'!$A$85:$K$104,5,FALSE), O688+VLOOKUP($B687,'VPN Bonds'!$A$85:$K$104,9,FALSE)*365, VLOOKUP($B687,'VPN Bonds'!$A$85:$K$104,5,FALSE))</f>
        <v>44844.5</v>
      </c>
      <c r="Q688" s="180">
        <f>IF(P688+VLOOKUP($B687,'VPN Bonds'!$A$85:$K$104,9,FALSE)*365 &lt; VLOOKUP($B687,'VPN Bonds'!$A$85:$K$104,5,FALSE), P688+VLOOKUP($B687,'VPN Bonds'!$A$85:$K$104,9,FALSE)*365, VLOOKUP($B687,'VPN Bonds'!$A$85:$K$104,5,FALSE))</f>
        <v>45027</v>
      </c>
      <c r="R688" s="180">
        <f>IF(Q688+VLOOKUP($B687,'VPN Bonds'!$A$85:$K$104,9,FALSE)*365 &lt; VLOOKUP($B687,'VPN Bonds'!$A$85:$K$104,5,FALSE), Q688+VLOOKUP($B687,'VPN Bonds'!$A$85:$K$104,9,FALSE)*365, VLOOKUP($B687,'VPN Bonds'!$A$85:$K$104,5,FALSE))</f>
        <v>45209.5</v>
      </c>
      <c r="S688" s="180">
        <f>IF(R688+VLOOKUP($B687,'VPN Bonds'!$A$85:$K$104,9,FALSE)*365 &lt; VLOOKUP($B687,'VPN Bonds'!$A$85:$K$104,5,FALSE), R688+VLOOKUP($B687,'VPN Bonds'!$A$85:$K$104,9,FALSE)*365, VLOOKUP($B687,'VPN Bonds'!$A$85:$K$104,5,FALSE))</f>
        <v>45392</v>
      </c>
      <c r="T688" s="180">
        <f>IF(S688+VLOOKUP($B687,'VPN Bonds'!$A$85:$K$104,9,FALSE)*365 &lt; VLOOKUP($B687,'VPN Bonds'!$A$85:$K$104,5,FALSE), S688+VLOOKUP($B687,'VPN Bonds'!$A$85:$K$104,9,FALSE)*365, VLOOKUP($B687,'VPN Bonds'!$A$85:$K$104,5,FALSE))</f>
        <v>45574.5</v>
      </c>
      <c r="U688" s="180">
        <f>IF(T688+VLOOKUP($B687,'VPN Bonds'!$A$85:$K$104,9,FALSE)*365 &lt; VLOOKUP($B687,'VPN Bonds'!$A$85:$K$104,5,FALSE), T688+VLOOKUP($B687,'VPN Bonds'!$A$85:$K$104,9,FALSE)*365, VLOOKUP($B687,'VPN Bonds'!$A$85:$K$104,5,FALSE))</f>
        <v>45757</v>
      </c>
      <c r="V688" s="180">
        <f>IF(U688+VLOOKUP($B687,'VPN Bonds'!$A$85:$K$104,9,FALSE)*365 &lt; VLOOKUP($B687,'VPN Bonds'!$A$85:$K$104,5,FALSE), U688+VLOOKUP($B687,'VPN Bonds'!$A$85:$K$104,9,FALSE)*365, VLOOKUP($B687,'VPN Bonds'!$A$85:$K$104,5,FALSE))</f>
        <v>45939.5</v>
      </c>
      <c r="W688" s="180">
        <f>IF(V688+VLOOKUP($B687,'VPN Bonds'!$A$85:$K$104,9,FALSE)*365 &lt; VLOOKUP($B687,'VPN Bonds'!$A$85:$K$104,5,FALSE), V688+VLOOKUP($B687,'VPN Bonds'!$A$85:$K$104,9,FALSE)*365, VLOOKUP($B687,'VPN Bonds'!$A$85:$K$104,5,FALSE))</f>
        <v>46122</v>
      </c>
      <c r="X688" s="180">
        <f>IF(W688+VLOOKUP($B687,'VPN Bonds'!$A$85:$K$104,9,FALSE)*365 &lt; VLOOKUP($B687,'VPN Bonds'!$A$85:$K$104,5,FALSE), W688+VLOOKUP($B687,'VPN Bonds'!$A$85:$K$104,9,FALSE)*365, VLOOKUP($B687,'VPN Bonds'!$A$85:$K$104,5,FALSE))</f>
        <v>46304.5</v>
      </c>
      <c r="Y688" s="180">
        <f>IF(X688+VLOOKUP($B687,'VPN Bonds'!$A$85:$K$104,9,FALSE)*365 &lt; VLOOKUP($B687,'VPN Bonds'!$A$85:$K$104,5,FALSE), X688+VLOOKUP($B687,'VPN Bonds'!$A$85:$K$104,9,FALSE)*365, VLOOKUP($B687,'VPN Bonds'!$A$85:$K$104,5,FALSE))</f>
        <v>46307</v>
      </c>
      <c r="Z688" s="27"/>
      <c r="AA688" s="27"/>
      <c r="AB688" s="27"/>
      <c r="AC688" s="27"/>
    </row>
    <row r="689" spans="2:25">
      <c r="B689" t="s">
        <v>209</v>
      </c>
      <c r="E689" s="182">
        <f>IF(E688&lt;VLOOKUP($B687,'VPN Bonds'!$A$85:$K$104,5,FALSE),(VLOOKUP($B687,'VPN Bonds'!$A$85:$K$104,8,FALSE)/100)*(VLOOKUP($B687,'VPN Bonds'!$A$85:$K$104,9,FALSE))*(VLOOKUP($B687,'VPN Bonds'!$A$85:$K$104,6,FALSE)),(VLOOKUP($B687,'VPN Bonds'!$A$85:$K$104,6,FALSE)))</f>
        <v>0.58799999999999997</v>
      </c>
      <c r="F689" s="182">
        <f>IF(F688&lt;VLOOKUP($B687,'VPN Bonds'!$A$85:$K$104,5,FALSE),(VLOOKUP($B687,'VPN Bonds'!$A$85:$K$104,8,FALSE)/100)*(VLOOKUP($B687,'VPN Bonds'!$A$85:$K$104,9,FALSE))*(VLOOKUP($B687,'VPN Bonds'!$A$85:$K$104,6,FALSE)),(VLOOKUP($B687,'VPN Bonds'!$A$85:$K$104,6,FALSE)))</f>
        <v>0.58799999999999997</v>
      </c>
      <c r="G689" s="182">
        <f>IF(G688&lt;VLOOKUP($B687,'VPN Bonds'!$A$85:$K$104,5,FALSE),(VLOOKUP($B687,'VPN Bonds'!$A$85:$K$104,8,FALSE)/100)*(VLOOKUP($B687,'VPN Bonds'!$A$85:$K$104,9,FALSE))*(VLOOKUP($B687,'VPN Bonds'!$A$85:$K$104,6,FALSE)),(VLOOKUP($B687,'VPN Bonds'!$A$85:$K$104,6,FALSE)))</f>
        <v>0.58799999999999997</v>
      </c>
      <c r="H689" s="182">
        <f>IF(H688&lt;VLOOKUP($B687,'VPN Bonds'!$A$85:$K$104,5,FALSE),(VLOOKUP($B687,'VPN Bonds'!$A$85:$K$104,8,FALSE)/100)*(VLOOKUP($B687,'VPN Bonds'!$A$85:$K$104,9,FALSE))*(VLOOKUP($B687,'VPN Bonds'!$A$85:$K$104,6,FALSE)),(VLOOKUP($B687,'VPN Bonds'!$A$85:$K$104,6,FALSE)))</f>
        <v>0.58799999999999997</v>
      </c>
      <c r="I689" s="182">
        <f>IF(I688&lt;VLOOKUP($B687,'VPN Bonds'!$A$85:$K$104,5,FALSE),(VLOOKUP($B687,'VPN Bonds'!$A$85:$K$104,8,FALSE)/100)*(VLOOKUP($B687,'VPN Bonds'!$A$85:$K$104,9,FALSE))*(VLOOKUP($B687,'VPN Bonds'!$A$85:$K$104,6,FALSE)),(VLOOKUP($B687,'VPN Bonds'!$A$85:$K$104,6,FALSE)))</f>
        <v>0.58799999999999997</v>
      </c>
      <c r="J689" s="182">
        <f>IF(J688&lt;VLOOKUP($B687,'VPN Bonds'!$A$85:$K$104,5,FALSE),(VLOOKUP($B687,'VPN Bonds'!$A$85:$K$104,8,FALSE)/100)*(VLOOKUP($B687,'VPN Bonds'!$A$85:$K$104,9,FALSE))*(VLOOKUP($B687,'VPN Bonds'!$A$85:$K$104,6,FALSE)),(VLOOKUP($B687,'VPN Bonds'!$A$85:$K$104,6,FALSE)))</f>
        <v>0.58799999999999997</v>
      </c>
      <c r="K689" s="182">
        <f>IF(K688&lt;VLOOKUP($B687,'VPN Bonds'!$A$85:$K$104,5,FALSE),(VLOOKUP($B687,'VPN Bonds'!$A$85:$K$104,8,FALSE)/100)*(VLOOKUP($B687,'VPN Bonds'!$A$85:$K$104,9,FALSE))*(VLOOKUP($B687,'VPN Bonds'!$A$85:$K$104,6,FALSE)),(VLOOKUP($B687,'VPN Bonds'!$A$85:$K$104,6,FALSE)))</f>
        <v>0.58799999999999997</v>
      </c>
      <c r="L689" s="182">
        <f>IF(L688&lt;VLOOKUP($B687,'VPN Bonds'!$A$85:$K$104,5,FALSE),(VLOOKUP($B687,'VPN Bonds'!$A$85:$K$104,8,FALSE)/100)*(VLOOKUP($B687,'VPN Bonds'!$A$85:$K$104,9,FALSE))*(VLOOKUP($B687,'VPN Bonds'!$A$85:$K$104,6,FALSE)),(VLOOKUP($B687,'VPN Bonds'!$A$85:$K$104,6,FALSE)))</f>
        <v>0.58799999999999997</v>
      </c>
      <c r="M689" s="182">
        <f>IF(M688&lt;VLOOKUP($B687,'VPN Bonds'!$A$85:$K$104,5,FALSE),(VLOOKUP($B687,'VPN Bonds'!$A$85:$K$104,8,FALSE)/100)*(VLOOKUP($B687,'VPN Bonds'!$A$85:$K$104,9,FALSE))*(VLOOKUP($B687,'VPN Bonds'!$A$85:$K$104,6,FALSE)),(VLOOKUP($B687,'VPN Bonds'!$A$85:$K$104,6,FALSE)))</f>
        <v>0.58799999999999997</v>
      </c>
      <c r="N689" s="182">
        <f>IF(N688&lt;VLOOKUP($B687,'VPN Bonds'!$A$85:$K$104,5,FALSE),(VLOOKUP($B687,'VPN Bonds'!$A$85:$K$104,8,FALSE)/100)*(VLOOKUP($B687,'VPN Bonds'!$A$85:$K$104,9,FALSE))*(VLOOKUP($B687,'VPN Bonds'!$A$85:$K$104,6,FALSE)),(VLOOKUP($B687,'VPN Bonds'!$A$85:$K$104,6,FALSE)))</f>
        <v>0.58799999999999997</v>
      </c>
      <c r="O689" s="182">
        <f>IF(O688&lt;VLOOKUP($B687,'VPN Bonds'!$A$85:$K$104,5,FALSE),(VLOOKUP($B687,'VPN Bonds'!$A$85:$K$104,8,FALSE)/100)*(VLOOKUP($B687,'VPN Bonds'!$A$85:$K$104,9,FALSE))*(VLOOKUP($B687,'VPN Bonds'!$A$85:$K$104,6,FALSE)),(VLOOKUP($B687,'VPN Bonds'!$A$85:$K$104,6,FALSE)))</f>
        <v>0.58799999999999997</v>
      </c>
      <c r="P689" s="182">
        <f>IF(P688&lt;VLOOKUP($B687,'VPN Bonds'!$A$85:$K$104,5,FALSE),(VLOOKUP($B687,'VPN Bonds'!$A$85:$K$104,8,FALSE)/100)*(VLOOKUP($B687,'VPN Bonds'!$A$85:$K$104,9,FALSE))*(VLOOKUP($B687,'VPN Bonds'!$A$85:$K$104,6,FALSE)),(VLOOKUP($B687,'VPN Bonds'!$A$85:$K$104,6,FALSE)))</f>
        <v>0.58799999999999997</v>
      </c>
      <c r="Q689" s="182">
        <f>IF(Q688&lt;VLOOKUP($B687,'VPN Bonds'!$A$85:$K$104,5,FALSE),(VLOOKUP($B687,'VPN Bonds'!$A$85:$K$104,8,FALSE)/100)*(VLOOKUP($B687,'VPN Bonds'!$A$85:$K$104,9,FALSE))*(VLOOKUP($B687,'VPN Bonds'!$A$85:$K$104,6,FALSE)),(VLOOKUP($B687,'VPN Bonds'!$A$85:$K$104,6,FALSE)))</f>
        <v>0.58799999999999997</v>
      </c>
      <c r="R689" s="182">
        <f>IF(R688&lt;VLOOKUP($B687,'VPN Bonds'!$A$85:$K$104,5,FALSE),(VLOOKUP($B687,'VPN Bonds'!$A$85:$K$104,8,FALSE)/100)*(VLOOKUP($B687,'VPN Bonds'!$A$85:$K$104,9,FALSE))*(VLOOKUP($B687,'VPN Bonds'!$A$85:$K$104,6,FALSE)),(VLOOKUP($B687,'VPN Bonds'!$A$85:$K$104,6,FALSE)))</f>
        <v>0.58799999999999997</v>
      </c>
      <c r="S689" s="182">
        <f>IF(S688&lt;VLOOKUP($B687,'VPN Bonds'!$A$85:$K$104,5,FALSE),(VLOOKUP($B687,'VPN Bonds'!$A$85:$K$104,8,FALSE)/100)*(VLOOKUP($B687,'VPN Bonds'!$A$85:$K$104,9,FALSE))*(VLOOKUP($B687,'VPN Bonds'!$A$85:$K$104,6,FALSE)),(VLOOKUP($B687,'VPN Bonds'!$A$85:$K$104,6,FALSE)))</f>
        <v>0.58799999999999997</v>
      </c>
      <c r="T689" s="182">
        <f>IF(T688&lt;VLOOKUP($B687,'VPN Bonds'!$A$85:$K$104,5,FALSE),(VLOOKUP($B687,'VPN Bonds'!$A$85:$K$104,8,FALSE)/100)*(VLOOKUP($B687,'VPN Bonds'!$A$85:$K$104,9,FALSE))*(VLOOKUP($B687,'VPN Bonds'!$A$85:$K$104,6,FALSE)),(VLOOKUP($B687,'VPN Bonds'!$A$85:$K$104,6,FALSE)))</f>
        <v>0.58799999999999997</v>
      </c>
      <c r="U689" s="182">
        <f>IF(U688&lt;VLOOKUP($B687,'VPN Bonds'!$A$85:$K$104,5,FALSE),(VLOOKUP($B687,'VPN Bonds'!$A$85:$K$104,8,FALSE)/100)*(VLOOKUP($B687,'VPN Bonds'!$A$85:$K$104,9,FALSE))*(VLOOKUP($B687,'VPN Bonds'!$A$85:$K$104,6,FALSE)),(VLOOKUP($B687,'VPN Bonds'!$A$85:$K$104,6,FALSE)))</f>
        <v>0.58799999999999997</v>
      </c>
      <c r="V689" s="182">
        <f>IF(V688&lt;VLOOKUP($B687,'VPN Bonds'!$A$85:$K$104,5,FALSE),(VLOOKUP($B687,'VPN Bonds'!$A$85:$K$104,8,FALSE)/100)*(VLOOKUP($B687,'VPN Bonds'!$A$85:$K$104,9,FALSE))*(VLOOKUP($B687,'VPN Bonds'!$A$85:$K$104,6,FALSE)),(VLOOKUP($B687,'VPN Bonds'!$A$85:$K$104,6,FALSE)))</f>
        <v>0.58799999999999997</v>
      </c>
      <c r="W689" s="182">
        <f>IF(W688&lt;VLOOKUP($B687,'VPN Bonds'!$A$85:$K$104,5,FALSE),(VLOOKUP($B687,'VPN Bonds'!$A$85:$K$104,8,FALSE)/100)*(VLOOKUP($B687,'VPN Bonds'!$A$85:$K$104,9,FALSE))*(VLOOKUP($B687,'VPN Bonds'!$A$85:$K$104,6,FALSE)),(VLOOKUP($B687,'VPN Bonds'!$A$85:$K$104,6,FALSE)))</f>
        <v>0.58799999999999997</v>
      </c>
      <c r="X689" s="182">
        <f>IF(X688&lt;VLOOKUP($B687,'VPN Bonds'!$A$85:$K$104,5,FALSE),(VLOOKUP($B687,'VPN Bonds'!$A$85:$K$104,8,FALSE)/100)*(VLOOKUP($B687,'VPN Bonds'!$A$85:$K$104,9,FALSE))*(VLOOKUP($B687,'VPN Bonds'!$A$85:$K$104,6,FALSE)),(VLOOKUP($B687,'VPN Bonds'!$A$85:$K$104,6,FALSE)))</f>
        <v>0.58799999999999997</v>
      </c>
      <c r="Y689" s="182">
        <f>IF(Y688&lt;VLOOKUP($B687,'VPN Bonds'!$A$85:$K$104,5,FALSE),(VLOOKUP($B687,'VPN Bonds'!$A$85:$K$104,8,FALSE)/100)*(VLOOKUP($B687,'VPN Bonds'!$A$85:$K$104,9,FALSE))*(VLOOKUP($B687,'VPN Bonds'!$A$85:$K$104,6,FALSE)),(VLOOKUP($B687,'VPN Bonds'!$A$85:$K$104,6,FALSE)))</f>
        <v>30</v>
      </c>
    </row>
    <row r="690" spans="2:25">
      <c r="B690" s="135">
        <v>42916</v>
      </c>
    </row>
    <row r="691" spans="2:25">
      <c r="B691" t="s">
        <v>210</v>
      </c>
      <c r="F691" s="182">
        <f>(F$688-$B690)/365</f>
        <v>0.28356164383561644</v>
      </c>
      <c r="G691" s="182">
        <f t="shared" ref="G691:Y691" si="3236">(G$688-$B690)/365</f>
        <v>0.78356164383561644</v>
      </c>
      <c r="H691" s="182">
        <f t="shared" si="3236"/>
        <v>1.2835616438356163</v>
      </c>
      <c r="I691" s="182">
        <f t="shared" si="3236"/>
        <v>1.7835616438356163</v>
      </c>
      <c r="J691" s="182">
        <f t="shared" si="3236"/>
        <v>2.2835616438356166</v>
      </c>
      <c r="K691" s="182">
        <f t="shared" si="3236"/>
        <v>2.7835616438356166</v>
      </c>
      <c r="L691" s="182">
        <f t="shared" si="3236"/>
        <v>3.2835616438356166</v>
      </c>
      <c r="M691" s="182">
        <f t="shared" si="3236"/>
        <v>3.7835616438356166</v>
      </c>
      <c r="N691" s="182">
        <f t="shared" si="3236"/>
        <v>4.2835616438356166</v>
      </c>
      <c r="O691" s="182">
        <f t="shared" si="3236"/>
        <v>4.7835616438356166</v>
      </c>
      <c r="P691" s="182">
        <f t="shared" si="3236"/>
        <v>5.2835616438356166</v>
      </c>
      <c r="Q691" s="182">
        <f t="shared" si="3236"/>
        <v>5.7835616438356166</v>
      </c>
      <c r="R691" s="182">
        <f t="shared" si="3236"/>
        <v>6.2835616438356166</v>
      </c>
      <c r="S691" s="182">
        <f t="shared" si="3236"/>
        <v>6.7835616438356166</v>
      </c>
      <c r="T691" s="182">
        <f t="shared" si="3236"/>
        <v>7.2835616438356166</v>
      </c>
      <c r="U691" s="182">
        <f t="shared" si="3236"/>
        <v>7.7835616438356166</v>
      </c>
      <c r="V691" s="182">
        <f t="shared" si="3236"/>
        <v>8.2835616438356166</v>
      </c>
      <c r="W691" s="182">
        <f t="shared" si="3236"/>
        <v>8.7835616438356166</v>
      </c>
      <c r="X691" s="182">
        <f t="shared" si="3236"/>
        <v>9.2835616438356166</v>
      </c>
      <c r="Y691" s="182">
        <f t="shared" si="3236"/>
        <v>9.2904109589041095</v>
      </c>
    </row>
    <row r="692" spans="2:25">
      <c r="B692" t="s">
        <v>211</v>
      </c>
      <c r="F692" s="183">
        <f>1+((INDEX('Yield Curve'!$B$48:$P$91,MATCH(ROUND(F691,0),'Yield Curve'!$B$48:$B$91,0),MATCH(YEAR($B690),'Yield Curve'!$B$48:$P$48,0)))/100)</f>
        <v>1.0326500000000001</v>
      </c>
      <c r="G692" s="183">
        <f>1+((INDEX('Yield Curve'!$B$48:$P$91,MATCH(ROUND(G691,0),'Yield Curve'!$B$48:$B$91,0),MATCH(YEAR($B690),'Yield Curve'!$B$48:$P$48,0)))/100)</f>
        <v>1.0326500000000001</v>
      </c>
      <c r="H692" s="183">
        <f>1+((INDEX('Yield Curve'!$B$48:$P$91,MATCH(ROUND(H691,0),'Yield Curve'!$B$48:$B$91,0),MATCH(YEAR($B690),'Yield Curve'!$B$48:$P$48,0)))/100)</f>
        <v>1.0326500000000001</v>
      </c>
      <c r="I692" s="183">
        <f>1+((INDEX('Yield Curve'!$B$48:$P$91,MATCH(ROUND(I691,0),'Yield Curve'!$B$48:$B$91,0),MATCH(YEAR($B690),'Yield Curve'!$B$48:$P$48,0)))/100)</f>
        <v>1.0326500000000001</v>
      </c>
      <c r="J692" s="183">
        <f>1+((INDEX('Yield Curve'!$B$48:$P$91,MATCH(ROUND(J691,0),'Yield Curve'!$B$48:$B$91,0),MATCH(YEAR($B690),'Yield Curve'!$B$48:$P$48,0)))/100)</f>
        <v>1.0326500000000001</v>
      </c>
      <c r="K692" s="183">
        <f>1+((INDEX('Yield Curve'!$B$48:$P$91,MATCH(ROUND(K691,0),'Yield Curve'!$B$48:$B$91,0),MATCH(YEAR($B690),'Yield Curve'!$B$48:$P$48,0)))/100)</f>
        <v>1.0326500000000001</v>
      </c>
      <c r="L692" s="183">
        <f>1+((INDEX('Yield Curve'!$B$48:$P$91,MATCH(ROUND(L691,0),'Yield Curve'!$B$48:$B$91,0),MATCH(YEAR($B690),'Yield Curve'!$B$48:$P$48,0)))/100)</f>
        <v>1.0326500000000001</v>
      </c>
      <c r="M692" s="183">
        <f>1+((INDEX('Yield Curve'!$B$48:$P$91,MATCH(ROUND(M691,0),'Yield Curve'!$B$48:$B$91,0),MATCH(YEAR($B690),'Yield Curve'!$B$48:$P$48,0)))/100)</f>
        <v>1.034025</v>
      </c>
      <c r="N692" s="183">
        <f>1+((INDEX('Yield Curve'!$B$48:$P$91,MATCH(ROUND(N691,0),'Yield Curve'!$B$48:$B$91,0),MATCH(YEAR($B690),'Yield Curve'!$B$48:$P$48,0)))/100)</f>
        <v>1.034025</v>
      </c>
      <c r="O692" s="183">
        <f>1+((INDEX('Yield Curve'!$B$48:$P$91,MATCH(ROUND(O691,0),'Yield Curve'!$B$48:$B$91,0),MATCH(YEAR($B690),'Yield Curve'!$B$48:$P$48,0)))/100)</f>
        <v>1.0354000000000001</v>
      </c>
      <c r="P692" s="183">
        <f>1+((INDEX('Yield Curve'!$B$48:$P$91,MATCH(ROUND(P691,0),'Yield Curve'!$B$48:$B$91,0),MATCH(YEAR($B690),'Yield Curve'!$B$48:$P$48,0)))/100)</f>
        <v>1.0354000000000001</v>
      </c>
      <c r="Q692" s="183">
        <f>1+((INDEX('Yield Curve'!$B$48:$P$91,MATCH(ROUND(Q691,0),'Yield Curve'!$B$48:$B$91,0),MATCH(YEAR($B690),'Yield Curve'!$B$48:$P$48,0)))/100)</f>
        <v>1.0375000000000001</v>
      </c>
      <c r="R692" s="183">
        <f>1+((INDEX('Yield Curve'!$B$48:$P$91,MATCH(ROUND(R691,0),'Yield Curve'!$B$48:$B$91,0),MATCH(YEAR($B690),'Yield Curve'!$B$48:$P$48,0)))/100)</f>
        <v>1.0375000000000001</v>
      </c>
      <c r="S692" s="183">
        <f>1+((INDEX('Yield Curve'!$B$48:$P$91,MATCH(ROUND(S691,0),'Yield Curve'!$B$48:$B$91,0),MATCH(YEAR($B690),'Yield Curve'!$B$48:$P$48,0)))/100)</f>
        <v>1.0396000000000001</v>
      </c>
      <c r="T692" s="183">
        <f>1+((INDEX('Yield Curve'!$B$48:$P$91,MATCH(ROUND(T691,0),'Yield Curve'!$B$48:$B$91,0),MATCH(YEAR($B690),'Yield Curve'!$B$48:$P$48,0)))/100)</f>
        <v>1.0396000000000001</v>
      </c>
      <c r="U692" s="183">
        <f>1+((INDEX('Yield Curve'!$B$48:$P$91,MATCH(ROUND(U691,0),'Yield Curve'!$B$48:$B$91,0),MATCH(YEAR($B690),'Yield Curve'!$B$48:$P$48,0)))/100)</f>
        <v>1.0405249999999999</v>
      </c>
      <c r="V692" s="183">
        <f>1+((INDEX('Yield Curve'!$B$48:$P$91,MATCH(ROUND(V691,0),'Yield Curve'!$B$48:$B$91,0),MATCH(YEAR($B690),'Yield Curve'!$B$48:$P$48,0)))/100)</f>
        <v>1.0405249999999999</v>
      </c>
      <c r="W692" s="183">
        <f>1+((INDEX('Yield Curve'!$B$48:$P$91,MATCH(ROUND(W691,0),'Yield Curve'!$B$48:$B$91,0),MATCH(YEAR($B690),'Yield Curve'!$B$48:$P$48,0)))/100)</f>
        <v>1.0423750000000001</v>
      </c>
      <c r="X692" s="183">
        <f>1+((INDEX('Yield Curve'!$B$48:$P$91,MATCH(ROUND(X691,0),'Yield Curve'!$B$48:$B$91,0),MATCH(YEAR($B690),'Yield Curve'!$B$48:$P$48,0)))/100)</f>
        <v>1.0423750000000001</v>
      </c>
      <c r="Y692" s="183">
        <f>1+((INDEX('Yield Curve'!$B$48:$P$91,MATCH(ROUND(Y691,0),'Yield Curve'!$B$48:$B$91,0),MATCH(YEAR($B690),'Yield Curve'!$B$48:$P$48,0)))/100)</f>
        <v>1.0423750000000001</v>
      </c>
    </row>
    <row r="693" spans="2:25">
      <c r="B693" t="s">
        <v>212</v>
      </c>
      <c r="C693" s="182">
        <f>SUM(D693:AM693)</f>
        <v>29.805251282441176</v>
      </c>
      <c r="F693" s="182">
        <f>F$689/(F692^F691)</f>
        <v>0.5826674374712042</v>
      </c>
      <c r="G693" s="182">
        <f t="shared" ref="G693:Y693" si="3237">G$689/(G692^G691)</f>
        <v>0.5733821561341863</v>
      </c>
      <c r="H693" s="182">
        <f t="shared" si="3237"/>
        <v>0.56424484333627489</v>
      </c>
      <c r="I693" s="182">
        <f t="shared" si="3237"/>
        <v>0.55525314107798984</v>
      </c>
      <c r="J693" s="182">
        <f t="shared" si="3237"/>
        <v>0.54640472893649816</v>
      </c>
      <c r="K693" s="182">
        <f t="shared" si="3237"/>
        <v>0.53769732346679877</v>
      </c>
      <c r="L693" s="182">
        <f t="shared" si="3237"/>
        <v>0.52912867761245153</v>
      </c>
      <c r="M693" s="182">
        <f t="shared" si="3237"/>
        <v>0.51808169069568166</v>
      </c>
      <c r="N693" s="182">
        <f t="shared" si="3237"/>
        <v>0.50948655158699474</v>
      </c>
      <c r="O693" s="182">
        <f t="shared" si="3237"/>
        <v>0.49785916719502382</v>
      </c>
      <c r="P693" s="182">
        <f t="shared" si="3237"/>
        <v>0.4892743267086917</v>
      </c>
      <c r="Q693" s="182">
        <f t="shared" si="3237"/>
        <v>0.47523578245324138</v>
      </c>
      <c r="R693" s="182">
        <f t="shared" si="3237"/>
        <v>0.46656814109853162</v>
      </c>
      <c r="S693" s="182">
        <f t="shared" si="3237"/>
        <v>0.45181842591661903</v>
      </c>
      <c r="T693" s="182">
        <f t="shared" si="3237"/>
        <v>0.44312964280946954</v>
      </c>
      <c r="U693" s="182">
        <f t="shared" si="3237"/>
        <v>0.43160978258017196</v>
      </c>
      <c r="V693" s="182">
        <f t="shared" si="3237"/>
        <v>0.42312142823604526</v>
      </c>
      <c r="W693" s="182">
        <f t="shared" si="3237"/>
        <v>0.40837817741730109</v>
      </c>
      <c r="X693" s="182">
        <f t="shared" si="3237"/>
        <v>0.39999128877752199</v>
      </c>
      <c r="Y693" s="182">
        <f t="shared" si="3237"/>
        <v>20.40191856893048</v>
      </c>
    </row>
    <row r="694" spans="2:25">
      <c r="B694" s="135">
        <v>43281</v>
      </c>
    </row>
    <row r="695" spans="2:25">
      <c r="B695" t="s">
        <v>210</v>
      </c>
      <c r="H695" s="182">
        <f t="shared" ref="H695" si="3238">(H$688-$B694)/365</f>
        <v>0.28356164383561644</v>
      </c>
      <c r="I695" s="182">
        <f t="shared" ref="I695" si="3239">(I$688-$B694)/365</f>
        <v>0.78356164383561644</v>
      </c>
      <c r="J695" s="182">
        <f t="shared" ref="J695" si="3240">(J$688-$B694)/365</f>
        <v>1.2835616438356163</v>
      </c>
      <c r="K695" s="182">
        <f t="shared" ref="K695" si="3241">(K$688-$B694)/365</f>
        <v>1.7835616438356163</v>
      </c>
      <c r="L695" s="182">
        <f t="shared" ref="L695" si="3242">(L$688-$B694)/365</f>
        <v>2.2835616438356166</v>
      </c>
      <c r="M695" s="182">
        <f t="shared" ref="M695" si="3243">(M$688-$B694)/365</f>
        <v>2.7835616438356166</v>
      </c>
      <c r="N695" s="182">
        <f t="shared" ref="N695" si="3244">(N$688-$B694)/365</f>
        <v>3.2835616438356166</v>
      </c>
      <c r="O695" s="182">
        <f t="shared" ref="O695" si="3245">(O$688-$B694)/365</f>
        <v>3.7835616438356166</v>
      </c>
      <c r="P695" s="182">
        <f t="shared" ref="P695" si="3246">(P$688-$B694)/365</f>
        <v>4.2835616438356166</v>
      </c>
      <c r="Q695" s="182">
        <f t="shared" ref="Q695" si="3247">(Q$688-$B694)/365</f>
        <v>4.7835616438356166</v>
      </c>
      <c r="R695" s="182">
        <f t="shared" ref="R695" si="3248">(R$688-$B694)/365</f>
        <v>5.2835616438356166</v>
      </c>
      <c r="S695" s="182">
        <f t="shared" ref="S695" si="3249">(S$688-$B694)/365</f>
        <v>5.7835616438356166</v>
      </c>
      <c r="T695" s="182">
        <f t="shared" ref="T695" si="3250">(T$688-$B694)/365</f>
        <v>6.2835616438356166</v>
      </c>
      <c r="U695" s="182">
        <f t="shared" ref="U695" si="3251">(U$688-$B694)/365</f>
        <v>6.7835616438356166</v>
      </c>
      <c r="V695" s="182">
        <f t="shared" ref="V695" si="3252">(V$688-$B694)/365</f>
        <v>7.2835616438356166</v>
      </c>
      <c r="W695" s="182">
        <f t="shared" ref="W695" si="3253">(W$688-$B694)/365</f>
        <v>7.7835616438356166</v>
      </c>
      <c r="X695" s="182">
        <f t="shared" ref="X695" si="3254">(X$688-$B694)/365</f>
        <v>8.2835616438356166</v>
      </c>
      <c r="Y695" s="182">
        <f t="shared" ref="Y695" si="3255">(Y$688-$B694)/365</f>
        <v>8.2904109589041095</v>
      </c>
    </row>
    <row r="696" spans="2:25">
      <c r="B696" t="s">
        <v>211</v>
      </c>
      <c r="H696" s="183">
        <f>1+((INDEX('Yield Curve'!$B$48:$P$91,MATCH(ROUND(H695,0),'Yield Curve'!$B$48:$B$91,0),MATCH(YEAR($B694),'Yield Curve'!$B$48:$P$48,0)))/100)</f>
        <v>1.03315</v>
      </c>
      <c r="I696" s="183">
        <f>1+((INDEX('Yield Curve'!$B$48:$P$91,MATCH(ROUND(I695,0),'Yield Curve'!$B$48:$B$91,0),MATCH(YEAR($B694),'Yield Curve'!$B$48:$P$48,0)))/100)</f>
        <v>1.03315</v>
      </c>
      <c r="J696" s="183">
        <f>1+((INDEX('Yield Curve'!$B$48:$P$91,MATCH(ROUND(J695,0),'Yield Curve'!$B$48:$B$91,0),MATCH(YEAR($B694),'Yield Curve'!$B$48:$P$48,0)))/100)</f>
        <v>1.03315</v>
      </c>
      <c r="K696" s="183">
        <f>1+((INDEX('Yield Curve'!$B$48:$P$91,MATCH(ROUND(K695,0),'Yield Curve'!$B$48:$B$91,0),MATCH(YEAR($B694),'Yield Curve'!$B$48:$P$48,0)))/100)</f>
        <v>1.03315</v>
      </c>
      <c r="L696" s="183">
        <f>1+((INDEX('Yield Curve'!$B$48:$P$91,MATCH(ROUND(L695,0),'Yield Curve'!$B$48:$B$91,0),MATCH(YEAR($B694),'Yield Curve'!$B$48:$P$48,0)))/100)</f>
        <v>1.03315</v>
      </c>
      <c r="M696" s="183">
        <f>1+((INDEX('Yield Curve'!$B$48:$P$91,MATCH(ROUND(M695,0),'Yield Curve'!$B$48:$B$91,0),MATCH(YEAR($B694),'Yield Curve'!$B$48:$P$48,0)))/100)</f>
        <v>1.03315</v>
      </c>
      <c r="N696" s="183">
        <f>1+((INDEX('Yield Curve'!$B$48:$P$91,MATCH(ROUND(N695,0),'Yield Curve'!$B$48:$B$91,0),MATCH(YEAR($B694),'Yield Curve'!$B$48:$P$48,0)))/100)</f>
        <v>1.03315</v>
      </c>
      <c r="O696" s="183">
        <f>1+((INDEX('Yield Curve'!$B$48:$P$91,MATCH(ROUND(O695,0),'Yield Curve'!$B$48:$B$91,0),MATCH(YEAR($B694),'Yield Curve'!$B$48:$P$48,0)))/100)</f>
        <v>1.0349999999999999</v>
      </c>
      <c r="P696" s="183">
        <f>1+((INDEX('Yield Curve'!$B$48:$P$91,MATCH(ROUND(P695,0),'Yield Curve'!$B$48:$B$91,0),MATCH(YEAR($B694),'Yield Curve'!$B$48:$P$48,0)))/100)</f>
        <v>1.0349999999999999</v>
      </c>
      <c r="Q696" s="183">
        <f>1+((INDEX('Yield Curve'!$B$48:$P$91,MATCH(ROUND(Q695,0),'Yield Curve'!$B$48:$B$91,0),MATCH(YEAR($B694),'Yield Curve'!$B$48:$P$48,0)))/100)</f>
        <v>1.03685</v>
      </c>
      <c r="R696" s="183">
        <f>1+((INDEX('Yield Curve'!$B$48:$P$91,MATCH(ROUND(R695,0),'Yield Curve'!$B$48:$B$91,0),MATCH(YEAR($B694),'Yield Curve'!$B$48:$P$48,0)))/100)</f>
        <v>1.03685</v>
      </c>
      <c r="S696" s="183">
        <f>1+((INDEX('Yield Curve'!$B$48:$P$91,MATCH(ROUND(S695,0),'Yield Curve'!$B$48:$B$91,0),MATCH(YEAR($B694),'Yield Curve'!$B$48:$P$48,0)))/100)</f>
        <v>1.0386</v>
      </c>
      <c r="T696" s="183">
        <f>1+((INDEX('Yield Curve'!$B$48:$P$91,MATCH(ROUND(T695,0),'Yield Curve'!$B$48:$B$91,0),MATCH(YEAR($B694),'Yield Curve'!$B$48:$P$48,0)))/100)</f>
        <v>1.0386</v>
      </c>
      <c r="U696" s="183">
        <f>1+((INDEX('Yield Curve'!$B$48:$P$91,MATCH(ROUND(U695,0),'Yield Curve'!$B$48:$B$91,0),MATCH(YEAR($B694),'Yield Curve'!$B$48:$P$48,0)))/100)</f>
        <v>1.0403500000000001</v>
      </c>
      <c r="V696" s="183">
        <f>1+((INDEX('Yield Curve'!$B$48:$P$91,MATCH(ROUND(V695,0),'Yield Curve'!$B$48:$B$91,0),MATCH(YEAR($B694),'Yield Curve'!$B$48:$P$48,0)))/100)</f>
        <v>1.0403500000000001</v>
      </c>
      <c r="W696" s="183">
        <f>1+((INDEX('Yield Curve'!$B$48:$P$91,MATCH(ROUND(W695,0),'Yield Curve'!$B$48:$B$91,0),MATCH(YEAR($B694),'Yield Curve'!$B$48:$P$48,0)))/100)</f>
        <v>1.0414874999999999</v>
      </c>
      <c r="X696" s="183">
        <f>1+((INDEX('Yield Curve'!$B$48:$P$91,MATCH(ROUND(X695,0),'Yield Curve'!$B$48:$B$91,0),MATCH(YEAR($B694),'Yield Curve'!$B$48:$P$48,0)))/100)</f>
        <v>1.0414874999999999</v>
      </c>
      <c r="Y696" s="183">
        <f>1+((INDEX('Yield Curve'!$B$48:$P$91,MATCH(ROUND(Y695,0),'Yield Curve'!$B$48:$B$91,0),MATCH(YEAR($B694),'Yield Curve'!$B$48:$P$48,0)))/100)</f>
        <v>1.0414874999999999</v>
      </c>
    </row>
    <row r="697" spans="2:25">
      <c r="B697" t="s">
        <v>212</v>
      </c>
      <c r="C697" s="182">
        <f>SUM(D697:AM697)</f>
        <v>29.981152736571843</v>
      </c>
      <c r="H697" s="182">
        <f t="shared" ref="H697" si="3256">H$689/(H696^H695)</f>
        <v>0.58258746322368227</v>
      </c>
      <c r="I697" s="182">
        <f t="shared" ref="I697" si="3257">I$689/(I696^I695)</f>
        <v>0.57316471249107293</v>
      </c>
      <c r="J697" s="182">
        <f t="shared" ref="J697" si="3258">J$689/(J696^J695)</f>
        <v>0.56389436502316426</v>
      </c>
      <c r="K697" s="182">
        <f t="shared" ref="K697" si="3259">K$689/(K696^K695)</f>
        <v>0.5547739558544964</v>
      </c>
      <c r="L697" s="182">
        <f t="shared" ref="L697" si="3260">L$689/(L696^L695)</f>
        <v>0.54580105988788108</v>
      </c>
      <c r="M697" s="182">
        <f t="shared" ref="M697" si="3261">M$689/(M696^M695)</f>
        <v>0.53697329124957305</v>
      </c>
      <c r="N697" s="182">
        <f t="shared" ref="N697" si="3262">N$689/(N696^N695)</f>
        <v>0.52828830265487203</v>
      </c>
      <c r="O697" s="182">
        <f t="shared" ref="O697" si="3263">O$689/(O696^O695)</f>
        <v>0.51623755078262912</v>
      </c>
      <c r="P697" s="182">
        <f t="shared" ref="P697" si="3264">P$689/(P696^P695)</f>
        <v>0.50743382885335919</v>
      </c>
      <c r="Q697" s="182">
        <f t="shared" ref="Q697" si="3265">Q$689/(Q696^Q695)</f>
        <v>0.49453746297119405</v>
      </c>
      <c r="R697" s="182">
        <f t="shared" ref="R697" si="3266">R$689/(R696^R695)</f>
        <v>0.48566994715202821</v>
      </c>
      <c r="S697" s="182">
        <f t="shared" ref="S697" si="3267">S$689/(S696^S695)</f>
        <v>0.47233210214191695</v>
      </c>
      <c r="T697" s="182">
        <f t="shared" ref="T697" si="3268">T$689/(T696^T695)</f>
        <v>0.4634717890891904</v>
      </c>
      <c r="U697" s="182">
        <f t="shared" ref="U697" si="3269">U$689/(U696^U695)</f>
        <v>0.44961347857605599</v>
      </c>
      <c r="V697" s="182">
        <f t="shared" ref="V697" si="3270">V$689/(V696^V695)</f>
        <v>0.44080812041810274</v>
      </c>
      <c r="W697" s="182">
        <f t="shared" ref="W697" si="3271">W$689/(W696^W695)</f>
        <v>0.42851482071657737</v>
      </c>
      <c r="X697" s="182">
        <f t="shared" ref="X697" si="3272">X$689/(X696^X695)</f>
        <v>0.41989317555632782</v>
      </c>
      <c r="Y697" s="182">
        <f t="shared" ref="Y697" si="3273">Y$689/(Y696^Y695)</f>
        <v>21.417157309929717</v>
      </c>
    </row>
    <row r="698" spans="2:25">
      <c r="B698" s="135">
        <v>43646</v>
      </c>
    </row>
    <row r="699" spans="2:25">
      <c r="B699" t="s">
        <v>210</v>
      </c>
      <c r="J699" s="182">
        <f t="shared" ref="J699" si="3274">(J$688-$B698)/365</f>
        <v>0.28356164383561644</v>
      </c>
      <c r="K699" s="182">
        <f t="shared" ref="K699" si="3275">(K$688-$B698)/365</f>
        <v>0.78356164383561644</v>
      </c>
      <c r="L699" s="182">
        <f t="shared" ref="L699" si="3276">(L$688-$B698)/365</f>
        <v>1.2835616438356163</v>
      </c>
      <c r="M699" s="182">
        <f t="shared" ref="M699" si="3277">(M$688-$B698)/365</f>
        <v>1.7835616438356163</v>
      </c>
      <c r="N699" s="182">
        <f t="shared" ref="N699" si="3278">(N$688-$B698)/365</f>
        <v>2.2835616438356166</v>
      </c>
      <c r="O699" s="182">
        <f t="shared" ref="O699" si="3279">(O$688-$B698)/365</f>
        <v>2.7835616438356166</v>
      </c>
      <c r="P699" s="182">
        <f t="shared" ref="P699" si="3280">(P$688-$B698)/365</f>
        <v>3.2835616438356166</v>
      </c>
      <c r="Q699" s="182">
        <f t="shared" ref="Q699" si="3281">(Q$688-$B698)/365</f>
        <v>3.7835616438356166</v>
      </c>
      <c r="R699" s="182">
        <f t="shared" ref="R699" si="3282">(R$688-$B698)/365</f>
        <v>4.2835616438356166</v>
      </c>
      <c r="S699" s="182">
        <f t="shared" ref="S699" si="3283">(S$688-$B698)/365</f>
        <v>4.7835616438356166</v>
      </c>
      <c r="T699" s="182">
        <f t="shared" ref="T699" si="3284">(T$688-$B698)/365</f>
        <v>5.2835616438356166</v>
      </c>
      <c r="U699" s="182">
        <f t="shared" ref="U699" si="3285">(U$688-$B698)/365</f>
        <v>5.7835616438356166</v>
      </c>
      <c r="V699" s="182">
        <f t="shared" ref="V699" si="3286">(V$688-$B698)/365</f>
        <v>6.2835616438356166</v>
      </c>
      <c r="W699" s="182">
        <f t="shared" ref="W699" si="3287">(W$688-$B698)/365</f>
        <v>6.7835616438356166</v>
      </c>
      <c r="X699" s="182">
        <f t="shared" ref="X699" si="3288">(X$688-$B698)/365</f>
        <v>7.2835616438356166</v>
      </c>
      <c r="Y699" s="182">
        <f t="shared" ref="Y699" si="3289">(Y$688-$B698)/365</f>
        <v>7.2904109589041095</v>
      </c>
    </row>
    <row r="700" spans="2:25">
      <c r="B700" t="s">
        <v>211</v>
      </c>
      <c r="J700" s="183">
        <f>1+((INDEX('Yield Curve'!$B$48:$P$91,MATCH(ROUND(J699,0),'Yield Curve'!$B$48:$B$91,0),MATCH(YEAR($B698),'Yield Curve'!$B$48:$P$48,0)))/100)</f>
        <v>1.02305</v>
      </c>
      <c r="K700" s="183">
        <f>1+((INDEX('Yield Curve'!$B$48:$P$91,MATCH(ROUND(K699,0),'Yield Curve'!$B$48:$B$91,0),MATCH(YEAR($B698),'Yield Curve'!$B$48:$P$48,0)))/100)</f>
        <v>1.02305</v>
      </c>
      <c r="L700" s="183">
        <f>1+((INDEX('Yield Curve'!$B$48:$P$91,MATCH(ROUND(L699,0),'Yield Curve'!$B$48:$B$91,0),MATCH(YEAR($B698),'Yield Curve'!$B$48:$P$48,0)))/100)</f>
        <v>1.02305</v>
      </c>
      <c r="M700" s="183">
        <f>1+((INDEX('Yield Curve'!$B$48:$P$91,MATCH(ROUND(M699,0),'Yield Curve'!$B$48:$B$91,0),MATCH(YEAR($B698),'Yield Curve'!$B$48:$P$48,0)))/100)</f>
        <v>1.02305</v>
      </c>
      <c r="N700" s="183">
        <f>1+((INDEX('Yield Curve'!$B$48:$P$91,MATCH(ROUND(N699,0),'Yield Curve'!$B$48:$B$91,0),MATCH(YEAR($B698),'Yield Curve'!$B$48:$P$48,0)))/100)</f>
        <v>1.02305</v>
      </c>
      <c r="O700" s="183">
        <f>1+((INDEX('Yield Curve'!$B$48:$P$91,MATCH(ROUND(O699,0),'Yield Curve'!$B$48:$B$91,0),MATCH(YEAR($B698),'Yield Curve'!$B$48:$P$48,0)))/100)</f>
        <v>1.02305</v>
      </c>
      <c r="P700" s="183">
        <f>1+((INDEX('Yield Curve'!$B$48:$P$91,MATCH(ROUND(P699,0),'Yield Curve'!$B$48:$B$91,0),MATCH(YEAR($B698),'Yield Curve'!$B$48:$P$48,0)))/100)</f>
        <v>1.02305</v>
      </c>
      <c r="Q700" s="183">
        <f>1+((INDEX('Yield Curve'!$B$48:$P$91,MATCH(ROUND(Q699,0),'Yield Curve'!$B$48:$B$91,0),MATCH(YEAR($B698),'Yield Curve'!$B$48:$P$48,0)))/100)</f>
        <v>1.024575</v>
      </c>
      <c r="R700" s="183">
        <f>1+((INDEX('Yield Curve'!$B$48:$P$91,MATCH(ROUND(R699,0),'Yield Curve'!$B$48:$B$91,0),MATCH(YEAR($B698),'Yield Curve'!$B$48:$P$48,0)))/100)</f>
        <v>1.024575</v>
      </c>
      <c r="S700" s="183">
        <f>1+((INDEX('Yield Curve'!$B$48:$P$91,MATCH(ROUND(S699,0),'Yield Curve'!$B$48:$B$91,0),MATCH(YEAR($B698),'Yield Curve'!$B$48:$P$48,0)))/100)</f>
        <v>1.0261</v>
      </c>
      <c r="T700" s="183">
        <f>1+((INDEX('Yield Curve'!$B$48:$P$91,MATCH(ROUND(T699,0),'Yield Curve'!$B$48:$B$91,0),MATCH(YEAR($B698),'Yield Curve'!$B$48:$P$48,0)))/100)</f>
        <v>1.0261</v>
      </c>
      <c r="U700" s="183">
        <f>1+((INDEX('Yield Curve'!$B$48:$P$91,MATCH(ROUND(U699,0),'Yield Curve'!$B$48:$B$91,0),MATCH(YEAR($B698),'Yield Curve'!$B$48:$P$48,0)))/100)</f>
        <v>1.028375</v>
      </c>
      <c r="V700" s="183">
        <f>1+((INDEX('Yield Curve'!$B$48:$P$91,MATCH(ROUND(V699,0),'Yield Curve'!$B$48:$B$91,0),MATCH(YEAR($B698),'Yield Curve'!$B$48:$P$48,0)))/100)</f>
        <v>1.028375</v>
      </c>
      <c r="W700" s="183">
        <f>1+((INDEX('Yield Curve'!$B$48:$P$91,MATCH(ROUND(W699,0),'Yield Curve'!$B$48:$B$91,0),MATCH(YEAR($B698),'Yield Curve'!$B$48:$P$48,0)))/100)</f>
        <v>1.0306500000000001</v>
      </c>
      <c r="X700" s="183">
        <f>1+((INDEX('Yield Curve'!$B$48:$P$91,MATCH(ROUND(X699,0),'Yield Curve'!$B$48:$B$91,0),MATCH(YEAR($B698),'Yield Curve'!$B$48:$P$48,0)))/100)</f>
        <v>1.0306500000000001</v>
      </c>
      <c r="Y700" s="183">
        <f>1+((INDEX('Yield Curve'!$B$48:$P$91,MATCH(ROUND(Y699,0),'Yield Curve'!$B$48:$B$91,0),MATCH(YEAR($B698),'Yield Curve'!$B$48:$P$48,0)))/100)</f>
        <v>1.0306500000000001</v>
      </c>
    </row>
    <row r="701" spans="2:25">
      <c r="B701" t="s">
        <v>212</v>
      </c>
      <c r="C701" s="182">
        <f>SUM(D701:AM701)</f>
        <v>32.070052860092545</v>
      </c>
      <c r="J701" s="182">
        <f t="shared" ref="J701" si="3290">J$689/(J700^J699)</f>
        <v>0.58421264962135311</v>
      </c>
      <c r="K701" s="182">
        <f t="shared" ref="K701" si="3291">K$689/(K700^K699)</f>
        <v>0.57759380482301337</v>
      </c>
      <c r="L701" s="182">
        <f t="shared" ref="L701" si="3292">L$689/(L700^L699)</f>
        <v>0.57104994831274447</v>
      </c>
      <c r="M701" s="182">
        <f t="shared" ref="M701" si="3293">M$689/(M700^M699)</f>
        <v>0.56458023050976336</v>
      </c>
      <c r="N701" s="182">
        <f t="shared" ref="N701" si="3294">N$689/(N700^N699)</f>
        <v>0.55818381145862317</v>
      </c>
      <c r="O701" s="182">
        <f t="shared" ref="O701" si="3295">O$689/(O700^O699)</f>
        <v>0.55185986072016358</v>
      </c>
      <c r="P701" s="182">
        <f t="shared" ref="P701" si="3296">P$689/(P700^P699)</f>
        <v>0.54560755726369503</v>
      </c>
      <c r="Q701" s="182">
        <f t="shared" ref="Q701" si="3297">Q$689/(Q700^Q699)</f>
        <v>0.53639457905532117</v>
      </c>
      <c r="R701" s="182">
        <f t="shared" ref="R701" si="3298">R$689/(R700^R699)</f>
        <v>0.52992267462374609</v>
      </c>
      <c r="S701" s="182">
        <f t="shared" ref="S701" si="3299">S$689/(S700^S699)</f>
        <v>0.51981734367737698</v>
      </c>
      <c r="T701" s="182">
        <f t="shared" ref="T701" si="3300">T$689/(T700^T699)</f>
        <v>0.51316369291043362</v>
      </c>
      <c r="U701" s="182">
        <f t="shared" ref="U701" si="3301">U$689/(U700^U699)</f>
        <v>0.50014774736294532</v>
      </c>
      <c r="V701" s="182">
        <f t="shared" ref="V701" si="3302">V$689/(V700^V699)</f>
        <v>0.49319942539986777</v>
      </c>
      <c r="W701" s="182">
        <f t="shared" ref="W701" si="3303">W$689/(W700^W699)</f>
        <v>0.47911155060198785</v>
      </c>
      <c r="X701" s="182">
        <f t="shared" ref="X701" si="3304">X$689/(X700^X699)</f>
        <v>0.47193375066576471</v>
      </c>
      <c r="Y701" s="182">
        <f t="shared" ref="Y701" si="3305">Y$689/(Y700^Y699)</f>
        <v>24.073274233085744</v>
      </c>
    </row>
    <row r="702" spans="2:25">
      <c r="B702" s="135">
        <v>44012</v>
      </c>
    </row>
    <row r="703" spans="2:25">
      <c r="B703" t="s">
        <v>210</v>
      </c>
      <c r="L703" s="182">
        <f t="shared" ref="L703" si="3306">(L$688-$B702)/365</f>
        <v>0.28082191780821919</v>
      </c>
      <c r="M703" s="182">
        <f t="shared" ref="M703" si="3307">(M$688-$B702)/365</f>
        <v>0.78082191780821919</v>
      </c>
      <c r="N703" s="182">
        <f t="shared" ref="N703" si="3308">(N$688-$B702)/365</f>
        <v>1.2808219178082192</v>
      </c>
      <c r="O703" s="182">
        <f t="shared" ref="O703" si="3309">(O$688-$B702)/365</f>
        <v>1.7808219178082192</v>
      </c>
      <c r="P703" s="182">
        <f t="shared" ref="P703" si="3310">(P$688-$B702)/365</f>
        <v>2.2808219178082192</v>
      </c>
      <c r="Q703" s="182">
        <f t="shared" ref="Q703" si="3311">(Q$688-$B702)/365</f>
        <v>2.7808219178082192</v>
      </c>
      <c r="R703" s="182">
        <f t="shared" ref="R703" si="3312">(R$688-$B702)/365</f>
        <v>3.2808219178082192</v>
      </c>
      <c r="S703" s="182">
        <f t="shared" ref="S703" si="3313">(S$688-$B702)/365</f>
        <v>3.7808219178082192</v>
      </c>
      <c r="T703" s="182">
        <f t="shared" ref="T703" si="3314">(T$688-$B702)/365</f>
        <v>4.2808219178082192</v>
      </c>
      <c r="U703" s="182">
        <f t="shared" ref="U703" si="3315">(U$688-$B702)/365</f>
        <v>4.7808219178082192</v>
      </c>
      <c r="V703" s="182">
        <f t="shared" ref="V703" si="3316">(V$688-$B702)/365</f>
        <v>5.2808219178082192</v>
      </c>
      <c r="W703" s="182">
        <f t="shared" ref="W703" si="3317">(W$688-$B702)/365</f>
        <v>5.7808219178082192</v>
      </c>
      <c r="X703" s="182">
        <f t="shared" ref="X703" si="3318">(X$688-$B702)/365</f>
        <v>6.2808219178082192</v>
      </c>
      <c r="Y703" s="182">
        <f t="shared" ref="Y703" si="3319">(Y$688-$B702)/365</f>
        <v>6.2876712328767121</v>
      </c>
    </row>
    <row r="704" spans="2:25">
      <c r="B704" t="s">
        <v>211</v>
      </c>
      <c r="L704" s="183">
        <f>1+((INDEX('Yield Curve'!$B$48:$P$91,MATCH(ROUND(L703,0),'Yield Curve'!$B$48:$B$91,0),MATCH(YEAR($B702),'Yield Curve'!$B$48:$P$48,0)))/100)</f>
        <v>1.02105</v>
      </c>
      <c r="M704" s="183">
        <f>1+((INDEX('Yield Curve'!$B$48:$P$91,MATCH(ROUND(M703,0),'Yield Curve'!$B$48:$B$91,0),MATCH(YEAR($B702),'Yield Curve'!$B$48:$P$48,0)))/100)</f>
        <v>1.02105</v>
      </c>
      <c r="N704" s="183">
        <f>1+((INDEX('Yield Curve'!$B$48:$P$91,MATCH(ROUND(N703,0),'Yield Curve'!$B$48:$B$91,0),MATCH(YEAR($B702),'Yield Curve'!$B$48:$P$48,0)))/100)</f>
        <v>1.02105</v>
      </c>
      <c r="O704" s="183">
        <f>1+((INDEX('Yield Curve'!$B$48:$P$91,MATCH(ROUND(O703,0),'Yield Curve'!$B$48:$B$91,0),MATCH(YEAR($B702),'Yield Curve'!$B$48:$P$48,0)))/100)</f>
        <v>1.02105</v>
      </c>
      <c r="P704" s="183">
        <f>1+((INDEX('Yield Curve'!$B$48:$P$91,MATCH(ROUND(P703,0),'Yield Curve'!$B$48:$B$91,0),MATCH(YEAR($B702),'Yield Curve'!$B$48:$P$48,0)))/100)</f>
        <v>1.02105</v>
      </c>
      <c r="Q704" s="183">
        <f>1+((INDEX('Yield Curve'!$B$48:$P$91,MATCH(ROUND(Q703,0),'Yield Curve'!$B$48:$B$91,0),MATCH(YEAR($B702),'Yield Curve'!$B$48:$P$48,0)))/100)</f>
        <v>1.02105</v>
      </c>
      <c r="R704" s="183">
        <f>1+((INDEX('Yield Curve'!$B$48:$P$91,MATCH(ROUND(R703,0),'Yield Curve'!$B$48:$B$91,0),MATCH(YEAR($B702),'Yield Curve'!$B$48:$P$48,0)))/100)</f>
        <v>1.02105</v>
      </c>
      <c r="S704" s="183">
        <f>1+((INDEX('Yield Curve'!$B$48:$P$91,MATCH(ROUND(S703,0),'Yield Curve'!$B$48:$B$91,0),MATCH(YEAR($B702),'Yield Curve'!$B$48:$P$48,0)))/100)</f>
        <v>1.0229999999999999</v>
      </c>
      <c r="T704" s="183">
        <f>1+((INDEX('Yield Curve'!$B$48:$P$91,MATCH(ROUND(T703,0),'Yield Curve'!$B$48:$B$91,0),MATCH(YEAR($B702),'Yield Curve'!$B$48:$P$48,0)))/100)</f>
        <v>1.0229999999999999</v>
      </c>
      <c r="U704" s="183">
        <f>1+((INDEX('Yield Curve'!$B$48:$P$91,MATCH(ROUND(U703,0),'Yield Curve'!$B$48:$B$91,0),MATCH(YEAR($B702),'Yield Curve'!$B$48:$P$48,0)))/100)</f>
        <v>1.02495</v>
      </c>
      <c r="V704" s="183">
        <f>1+((INDEX('Yield Curve'!$B$48:$P$91,MATCH(ROUND(V703,0),'Yield Curve'!$B$48:$B$91,0),MATCH(YEAR($B702),'Yield Curve'!$B$48:$P$48,0)))/100)</f>
        <v>1.02495</v>
      </c>
      <c r="W704" s="183">
        <f>1+((INDEX('Yield Curve'!$B$48:$P$91,MATCH(ROUND(W703,0),'Yield Curve'!$B$48:$B$91,0),MATCH(YEAR($B702),'Yield Curve'!$B$48:$P$48,0)))/100)</f>
        <v>1.0282249999999999</v>
      </c>
      <c r="X704" s="183">
        <f>1+((INDEX('Yield Curve'!$B$48:$P$91,MATCH(ROUND(X703,0),'Yield Curve'!$B$48:$B$91,0),MATCH(YEAR($B702),'Yield Curve'!$B$48:$P$48,0)))/100)</f>
        <v>1.0282249999999999</v>
      </c>
      <c r="Y704" s="183">
        <f>1+((INDEX('Yield Curve'!$B$48:$P$91,MATCH(ROUND(Y703,0),'Yield Curve'!$B$48:$B$91,0),MATCH(YEAR($B702),'Yield Curve'!$B$48:$P$48,0)))/100)</f>
        <v>1.0282249999999999</v>
      </c>
    </row>
    <row r="705" spans="2:35">
      <c r="B705" t="s">
        <v>212</v>
      </c>
      <c r="C705" s="182">
        <f>SUM(D705:AM705)</f>
        <v>32.256609185514115</v>
      </c>
      <c r="L705" s="182">
        <f t="shared" ref="L705" si="3320">L$689/(L704^L703)</f>
        <v>0.58457027428445796</v>
      </c>
      <c r="M705" s="182">
        <f t="shared" ref="M705" si="3321">M$689/(M704^M703)</f>
        <v>0.57851313325830345</v>
      </c>
      <c r="N705" s="182">
        <f t="shared" ref="N705" si="3322">N$689/(N704^N703)</f>
        <v>0.57251875450218681</v>
      </c>
      <c r="O705" s="182">
        <f t="shared" ref="O705" si="3323">O$689/(O704^O703)</f>
        <v>0.56658648769237885</v>
      </c>
      <c r="P705" s="182">
        <f t="shared" ref="P705" si="3324">P$689/(P704^P703)</f>
        <v>0.56071568924360882</v>
      </c>
      <c r="Q705" s="182">
        <f t="shared" ref="Q705" si="3325">Q$689/(Q704^Q703)</f>
        <v>0.55490572223924273</v>
      </c>
      <c r="R705" s="182">
        <f t="shared" ref="R705" si="3326">R$689/(R704^R703)</f>
        <v>0.54915595636218495</v>
      </c>
      <c r="S705" s="182">
        <f t="shared" ref="S705" si="3327">S$689/(S704^S703)</f>
        <v>0.53955946290238121</v>
      </c>
      <c r="T705" s="182">
        <f t="shared" ref="T705" si="3328">T$689/(T704^T703)</f>
        <v>0.53345955313078475</v>
      </c>
      <c r="U705" s="182">
        <f t="shared" ref="U705" si="3329">U$689/(U704^U703)</f>
        <v>0.52264851408382151</v>
      </c>
      <c r="V705" s="182">
        <f t="shared" ref="V705" si="3330">V$689/(V704^V703)</f>
        <v>0.51624799757365292</v>
      </c>
      <c r="W705" s="182">
        <f t="shared" ref="W705" si="3331">W$689/(W704^W703)</f>
        <v>0.50060805310765255</v>
      </c>
      <c r="X705" s="182">
        <f t="shared" ref="X705" si="3332">X$689/(X704^X703)</f>
        <v>0.49368934269941317</v>
      </c>
      <c r="Y705" s="182">
        <f t="shared" ref="Y705" si="3333">Y$689/(Y704^Y703)</f>
        <v>25.183430244434046</v>
      </c>
    </row>
    <row r="706" spans="2:35">
      <c r="B706" s="135">
        <v>44377</v>
      </c>
    </row>
    <row r="707" spans="2:35">
      <c r="B707" t="s">
        <v>210</v>
      </c>
      <c r="N707" s="182">
        <f t="shared" ref="N707" si="3334">(N$688-$B706)/365</f>
        <v>0.28082191780821919</v>
      </c>
      <c r="O707" s="182">
        <f t="shared" ref="O707" si="3335">(O$688-$B706)/365</f>
        <v>0.78082191780821919</v>
      </c>
      <c r="P707" s="182">
        <f t="shared" ref="P707" si="3336">(P$688-$B706)/365</f>
        <v>1.2808219178082192</v>
      </c>
      <c r="Q707" s="182">
        <f t="shared" ref="Q707" si="3337">(Q$688-$B706)/365</f>
        <v>1.7808219178082192</v>
      </c>
      <c r="R707" s="182">
        <f t="shared" ref="R707" si="3338">(R$688-$B706)/365</f>
        <v>2.2808219178082192</v>
      </c>
      <c r="S707" s="182">
        <f t="shared" ref="S707" si="3339">(S$688-$B706)/365</f>
        <v>2.7808219178082192</v>
      </c>
      <c r="T707" s="182">
        <f t="shared" ref="T707" si="3340">(T$688-$B706)/365</f>
        <v>3.2808219178082192</v>
      </c>
      <c r="U707" s="182">
        <f t="shared" ref="U707" si="3341">(U$688-$B706)/365</f>
        <v>3.7808219178082192</v>
      </c>
      <c r="V707" s="182">
        <f t="shared" ref="V707" si="3342">(V$688-$B706)/365</f>
        <v>4.2808219178082192</v>
      </c>
      <c r="W707" s="182">
        <f t="shared" ref="W707" si="3343">(W$688-$B706)/365</f>
        <v>4.7808219178082192</v>
      </c>
      <c r="X707" s="182">
        <f t="shared" ref="X707" si="3344">(X$688-$B706)/365</f>
        <v>5.2808219178082192</v>
      </c>
      <c r="Y707" s="182">
        <f t="shared" ref="Y707" si="3345">(Y$688-$B706)/365</f>
        <v>5.2876712328767121</v>
      </c>
    </row>
    <row r="708" spans="2:35">
      <c r="B708" t="s">
        <v>211</v>
      </c>
      <c r="N708" s="183">
        <f>1+((INDEX('Yield Curve'!$B$48:$P$91,MATCH(ROUND(N707,0),'Yield Curve'!$B$48:$B$91,0),MATCH(YEAR($B706),'Yield Curve'!$B$48:$P$48,0)))/100)</f>
        <v>1.0129999999999999</v>
      </c>
      <c r="O708" s="183">
        <f>1+((INDEX('Yield Curve'!$B$48:$P$91,MATCH(ROUND(O707,0),'Yield Curve'!$B$48:$B$91,0),MATCH(YEAR($B706),'Yield Curve'!$B$48:$P$48,0)))/100)</f>
        <v>1.0129999999999999</v>
      </c>
      <c r="P708" s="183">
        <f>1+((INDEX('Yield Curve'!$B$48:$P$91,MATCH(ROUND(P707,0),'Yield Curve'!$B$48:$B$91,0),MATCH(YEAR($B706),'Yield Curve'!$B$48:$P$48,0)))/100)</f>
        <v>1.0129999999999999</v>
      </c>
      <c r="Q708" s="183">
        <f>1+((INDEX('Yield Curve'!$B$48:$P$91,MATCH(ROUND(Q707,0),'Yield Curve'!$B$48:$B$91,0),MATCH(YEAR($B706),'Yield Curve'!$B$48:$P$48,0)))/100)</f>
        <v>1.0129999999999999</v>
      </c>
      <c r="R708" s="183">
        <f>1+((INDEX('Yield Curve'!$B$48:$P$91,MATCH(ROUND(R707,0),'Yield Curve'!$B$48:$B$91,0),MATCH(YEAR($B706),'Yield Curve'!$B$48:$P$48,0)))/100)</f>
        <v>1.0129999999999999</v>
      </c>
      <c r="S708" s="183">
        <f>1+((INDEX('Yield Curve'!$B$48:$P$91,MATCH(ROUND(S707,0),'Yield Curve'!$B$48:$B$91,0),MATCH(YEAR($B706),'Yield Curve'!$B$48:$P$48,0)))/100)</f>
        <v>1.0129999999999999</v>
      </c>
      <c r="T708" s="183">
        <f>1+((INDEX('Yield Curve'!$B$48:$P$91,MATCH(ROUND(T707,0),'Yield Curve'!$B$48:$B$91,0),MATCH(YEAR($B706),'Yield Curve'!$B$48:$P$48,0)))/100)</f>
        <v>1.0129999999999999</v>
      </c>
      <c r="U708" s="183">
        <f>1+((INDEX('Yield Curve'!$B$48:$P$91,MATCH(ROUND(U707,0),'Yield Curve'!$B$48:$B$91,0),MATCH(YEAR($B706),'Yield Curve'!$B$48:$P$48,0)))/100)</f>
        <v>1.0161249999999999</v>
      </c>
      <c r="V708" s="183">
        <f>1+((INDEX('Yield Curve'!$B$48:$P$91,MATCH(ROUND(V707,0),'Yield Curve'!$B$48:$B$91,0),MATCH(YEAR($B706),'Yield Curve'!$B$48:$P$48,0)))/100)</f>
        <v>1.0161249999999999</v>
      </c>
      <c r="W708" s="183">
        <f>1+((INDEX('Yield Curve'!$B$48:$P$91,MATCH(ROUND(W707,0),'Yield Curve'!$B$48:$B$91,0),MATCH(YEAR($B706),'Yield Curve'!$B$48:$P$48,0)))/100)</f>
        <v>1.01925</v>
      </c>
      <c r="X708" s="183">
        <f>1+((INDEX('Yield Curve'!$B$48:$P$91,MATCH(ROUND(X707,0),'Yield Curve'!$B$48:$B$91,0),MATCH(YEAR($B706),'Yield Curve'!$B$48:$P$48,0)))/100)</f>
        <v>1.01925</v>
      </c>
      <c r="Y708" s="183">
        <f>1+((INDEX('Yield Curve'!$B$48:$P$91,MATCH(ROUND(Y707,0),'Yield Curve'!$B$48:$B$91,0),MATCH(YEAR($B706),'Yield Curve'!$B$48:$P$48,0)))/100)</f>
        <v>1.01925</v>
      </c>
    </row>
    <row r="709" spans="2:35">
      <c r="B709" t="s">
        <v>212</v>
      </c>
      <c r="C709" s="182">
        <f>SUM(D709:AM709)</f>
        <v>33.316627871307425</v>
      </c>
      <c r="N709" s="182">
        <f t="shared" ref="N709" si="3346">N$689/(N708^N707)</f>
        <v>0.5858710936947189</v>
      </c>
      <c r="O709" s="182">
        <f t="shared" ref="O709" si="3347">O$689/(O708^O707)</f>
        <v>0.58209966345168829</v>
      </c>
      <c r="P709" s="182">
        <f t="shared" ref="P709" si="3348">P$689/(P708^P707)</f>
        <v>0.57835251105105523</v>
      </c>
      <c r="Q709" s="182">
        <f t="shared" ref="Q709" si="3349">Q$689/(Q708^Q707)</f>
        <v>0.57462948020897175</v>
      </c>
      <c r="R709" s="182">
        <f t="shared" ref="R709" si="3350">R$689/(R708^R707)</f>
        <v>0.57093041564763591</v>
      </c>
      <c r="S709" s="182">
        <f t="shared" ref="S709" si="3351">S$689/(S708^S707)</f>
        <v>0.56725516308881718</v>
      </c>
      <c r="T709" s="182">
        <f t="shared" ref="T709" si="3352">T$689/(T708^T707)</f>
        <v>0.56360356924741961</v>
      </c>
      <c r="U709" s="182">
        <f t="shared" ref="U709" si="3353">U$689/(U708^U707)</f>
        <v>0.55349211699082235</v>
      </c>
      <c r="V709" s="182">
        <f t="shared" ref="V709" si="3354">V$689/(V708^V707)</f>
        <v>0.54908284040322608</v>
      </c>
      <c r="W709" s="182">
        <f t="shared" ref="W709" si="3355">W$689/(W708^W707)</f>
        <v>0.53677054707215899</v>
      </c>
      <c r="X709" s="182">
        <f t="shared" ref="X709" si="3356">X$689/(X708^X707)</f>
        <v>0.53167754395616529</v>
      </c>
      <c r="Y709" s="182">
        <f t="shared" ref="Y709" si="3357">Y$689/(Y708^Y707)</f>
        <v>27.122862926494747</v>
      </c>
    </row>
    <row r="710" spans="2:35">
      <c r="B710" s="135">
        <v>44552</v>
      </c>
    </row>
    <row r="711" spans="2:35">
      <c r="B711" t="s">
        <v>210</v>
      </c>
      <c r="O711" s="182">
        <f t="shared" ref="O711" si="3358">(O$688-$B710)/365</f>
        <v>0.30136986301369861</v>
      </c>
      <c r="P711" s="182">
        <f t="shared" ref="P711" si="3359">(P$688-$B710)/365</f>
        <v>0.80136986301369861</v>
      </c>
      <c r="Q711" s="182">
        <f t="shared" ref="Q711" si="3360">(Q$688-$B710)/365</f>
        <v>1.3013698630136987</v>
      </c>
      <c r="R711" s="182">
        <f t="shared" ref="R711" si="3361">(R$688-$B710)/365</f>
        <v>1.8013698630136987</v>
      </c>
      <c r="S711" s="182">
        <f t="shared" ref="S711" si="3362">(S$688-$B710)/365</f>
        <v>2.3013698630136985</v>
      </c>
      <c r="T711" s="182">
        <f t="shared" ref="T711" si="3363">(T$688-$B710)/365</f>
        <v>2.8013698630136985</v>
      </c>
      <c r="U711" s="182">
        <f t="shared" ref="U711" si="3364">(U$688-$B710)/365</f>
        <v>3.3013698630136985</v>
      </c>
      <c r="V711" s="182">
        <f t="shared" ref="V711" si="3365">(V$688-$B710)/365</f>
        <v>3.8013698630136985</v>
      </c>
      <c r="W711" s="182">
        <f t="shared" ref="W711" si="3366">(W$688-$B710)/365</f>
        <v>4.3013698630136989</v>
      </c>
      <c r="X711" s="182">
        <f t="shared" ref="X711" si="3367">(X$688-$B710)/365</f>
        <v>4.8013698630136989</v>
      </c>
      <c r="Y711" s="182">
        <f t="shared" ref="Y711" si="3368">(Y$688-$B710)/365</f>
        <v>4.8082191780821919</v>
      </c>
    </row>
    <row r="712" spans="2:35">
      <c r="B712" t="s">
        <v>211</v>
      </c>
      <c r="O712" s="183">
        <f>1+((INDEX('Yield Curve'!$B$48:$P$91,MATCH(ROUND(O711,0),'Yield Curve'!$B$48:$B$91,0),MATCH(YEAR($B710)+1,'Yield Curve'!$B$48:$P$48,0)))/100)</f>
        <v>1.0212000000000001</v>
      </c>
      <c r="P712" s="183">
        <f>1+((INDEX('Yield Curve'!$B$48:$P$91,MATCH(ROUND(P711,0),'Yield Curve'!$B$48:$B$91,0),MATCH(YEAR($B710)+1,'Yield Curve'!$B$48:$P$48,0)))/100)</f>
        <v>1.0212000000000001</v>
      </c>
      <c r="Q712" s="183">
        <f>1+((INDEX('Yield Curve'!$B$48:$P$91,MATCH(ROUND(Q711,0),'Yield Curve'!$B$48:$B$91,0),MATCH(YEAR($B710)+1,'Yield Curve'!$B$48:$P$48,0)))/100)</f>
        <v>1.0212000000000001</v>
      </c>
      <c r="R712" s="183">
        <f>1+((INDEX('Yield Curve'!$B$48:$P$91,MATCH(ROUND(R711,0),'Yield Curve'!$B$48:$B$91,0),MATCH(YEAR($B710)+1,'Yield Curve'!$B$48:$P$48,0)))/100)</f>
        <v>1.0212000000000001</v>
      </c>
      <c r="S712" s="183">
        <f>1+((INDEX('Yield Curve'!$B$48:$P$91,MATCH(ROUND(S711,0),'Yield Curve'!$B$48:$B$91,0),MATCH(YEAR($B710)+1,'Yield Curve'!$B$48:$P$48,0)))/100)</f>
        <v>1.0212000000000001</v>
      </c>
      <c r="T712" s="183">
        <f>1+((INDEX('Yield Curve'!$B$48:$P$91,MATCH(ROUND(T711,0),'Yield Curve'!$B$48:$B$91,0),MATCH(YEAR($B710)+1,'Yield Curve'!$B$48:$P$48,0)))/100)</f>
        <v>1.0212000000000001</v>
      </c>
      <c r="U712" s="183">
        <f>1+((INDEX('Yield Curve'!$B$48:$P$91,MATCH(ROUND(U711,0),'Yield Curve'!$B$48:$B$91,0),MATCH(YEAR($B710)+1,'Yield Curve'!$B$48:$P$48,0)))/100)</f>
        <v>1.0212000000000001</v>
      </c>
      <c r="V712" s="183">
        <f>1+((INDEX('Yield Curve'!$B$48:$P$91,MATCH(ROUND(V711,0),'Yield Curve'!$B$48:$B$91,0),MATCH(YEAR($B710)+1,'Yield Curve'!$B$48:$P$48,0)))/100)</f>
        <v>1.0245</v>
      </c>
      <c r="W712" s="183">
        <f>1+((INDEX('Yield Curve'!$B$48:$P$91,MATCH(ROUND(W711,0),'Yield Curve'!$B$48:$B$91,0),MATCH(YEAR($B710)+1,'Yield Curve'!$B$48:$P$48,0)))/100)</f>
        <v>1.0245</v>
      </c>
      <c r="X712" s="183">
        <f>1+((INDEX('Yield Curve'!$B$48:$P$91,MATCH(ROUND(X711,0),'Yield Curve'!$B$48:$B$91,0),MATCH(YEAR($B710)+1,'Yield Curve'!$B$48:$P$48,0)))/100)</f>
        <v>1.0278</v>
      </c>
      <c r="Y712" s="183">
        <f>1+((INDEX('Yield Curve'!$B$48:$P$91,MATCH(ROUND(Y711,0),'Yield Curve'!$B$48:$B$91,0),MATCH(YEAR($B710)+1,'Yield Curve'!$B$48:$P$48,0)))/100)</f>
        <v>1.0278</v>
      </c>
    </row>
    <row r="713" spans="2:35">
      <c r="B713" t="s">
        <v>212</v>
      </c>
      <c r="C713" s="182">
        <f>SUM(D713:AM713)</f>
        <v>31.840194638419728</v>
      </c>
      <c r="O713" s="182">
        <f t="shared" ref="O713" si="3369">O$689/(O712^O711)</f>
        <v>0.58429423817580872</v>
      </c>
      <c r="P713" s="182">
        <f t="shared" ref="P713" si="3370">P$689/(P712^P711)</f>
        <v>0.57819748811109462</v>
      </c>
      <c r="Q713" s="182">
        <f t="shared" ref="Q713" si="3371">Q$689/(Q712^Q711)</f>
        <v>0.57216435387368658</v>
      </c>
      <c r="R713" s="182">
        <f t="shared" ref="R713" si="3372">R$689/(R712^R711)</f>
        <v>0.56619417167165553</v>
      </c>
      <c r="S713" s="182">
        <f t="shared" ref="S713" si="3373">S$689/(S712^S711)</f>
        <v>0.56028628463933261</v>
      </c>
      <c r="T713" s="182">
        <f t="shared" ref="T713" si="3374">T$689/(T712^T711)</f>
        <v>0.55444004276503678</v>
      </c>
      <c r="U713" s="182">
        <f t="shared" ref="U713" si="3375">U$689/(U712^U711)</f>
        <v>0.54865480281955792</v>
      </c>
      <c r="V713" s="182">
        <f t="shared" ref="V713" si="3376">V$689/(V712^V711)</f>
        <v>0.53631194232945434</v>
      </c>
      <c r="W713" s="182">
        <f t="shared" ref="W713" si="3377">W$689/(W712^W711)</f>
        <v>0.52986042849040071</v>
      </c>
      <c r="X713" s="182">
        <f t="shared" ref="X713" si="3378">X$689/(X712^X711)</f>
        <v>0.51546557771776158</v>
      </c>
      <c r="Y713" s="182">
        <f t="shared" ref="Y713" si="3379">Y$689/(Y712^Y711)</f>
        <v>26.29432530782594</v>
      </c>
    </row>
    <row r="715" spans="2:35">
      <c r="B715" s="5" t="str">
        <f>'VPN Bonds'!A104</f>
        <v>30702960114</v>
      </c>
    </row>
    <row r="716" spans="2:35">
      <c r="B716" t="s">
        <v>66</v>
      </c>
      <c r="D716" s="180">
        <f>VLOOKUP(B715,'VPN Bonds'!$A$85:$K$104,4,FALSE)</f>
        <v>42626</v>
      </c>
      <c r="E716" s="180">
        <f>VLOOKUP(B715,'VPN Bonds'!$A$85:$K$104,10,FALSE)</f>
        <v>42837</v>
      </c>
      <c r="F716" s="180">
        <f>IF(E716+VLOOKUP($B715,'VPN Bonds'!$A$85:$K$104,9,FALSE)*365 &lt; VLOOKUP($B715,'VPN Bonds'!$A$85:$K$104,5,FALSE), E716+VLOOKUP($B715,'VPN Bonds'!$A$85:$K$104,9,FALSE)*365, VLOOKUP($B715,'VPN Bonds'!$A$85:$K$104,5,FALSE))</f>
        <v>43019.5</v>
      </c>
      <c r="G716" s="180">
        <f>IF(F716+VLOOKUP($B715,'VPN Bonds'!$A$85:$K$104,9,FALSE)*365 &lt; VLOOKUP($B715,'VPN Bonds'!$A$85:$K$104,5,FALSE), F716+VLOOKUP($B715,'VPN Bonds'!$A$85:$K$104,9,FALSE)*365, VLOOKUP($B715,'VPN Bonds'!$A$85:$K$104,5,FALSE))</f>
        <v>43202</v>
      </c>
      <c r="H716" s="180">
        <f>IF(G716+VLOOKUP($B715,'VPN Bonds'!$A$85:$K$104,9,FALSE)*365 &lt; VLOOKUP($B715,'VPN Bonds'!$A$85:$K$104,5,FALSE), G716+VLOOKUP($B715,'VPN Bonds'!$A$85:$K$104,9,FALSE)*365, VLOOKUP($B715,'VPN Bonds'!$A$85:$K$104,5,FALSE))</f>
        <v>43384.5</v>
      </c>
      <c r="I716" s="180">
        <f>IF(H716+VLOOKUP($B715,'VPN Bonds'!$A$85:$K$104,9,FALSE)*365 &lt; VLOOKUP($B715,'VPN Bonds'!$A$85:$K$104,5,FALSE), H716+VLOOKUP($B715,'VPN Bonds'!$A$85:$K$104,9,FALSE)*365, VLOOKUP($B715,'VPN Bonds'!$A$85:$K$104,5,FALSE))</f>
        <v>43567</v>
      </c>
      <c r="J716" s="180">
        <f>IF(I716+VLOOKUP($B715,'VPN Bonds'!$A$85:$K$104,9,FALSE)*365 &lt; VLOOKUP($B715,'VPN Bonds'!$A$85:$K$104,5,FALSE), I716+VLOOKUP($B715,'VPN Bonds'!$A$85:$K$104,9,FALSE)*365, VLOOKUP($B715,'VPN Bonds'!$A$85:$K$104,5,FALSE))</f>
        <v>43749.5</v>
      </c>
      <c r="K716" s="180">
        <f>IF(J716+VLOOKUP($B715,'VPN Bonds'!$A$85:$K$104,9,FALSE)*365 &lt; VLOOKUP($B715,'VPN Bonds'!$A$85:$K$104,5,FALSE), J716+VLOOKUP($B715,'VPN Bonds'!$A$85:$K$104,9,FALSE)*365, VLOOKUP($B715,'VPN Bonds'!$A$85:$K$104,5,FALSE))</f>
        <v>43932</v>
      </c>
      <c r="L716" s="180">
        <f>IF(K716+VLOOKUP($B715,'VPN Bonds'!$A$85:$K$104,9,FALSE)*365 &lt; VLOOKUP($B715,'VPN Bonds'!$A$85:$K$104,5,FALSE), K716+VLOOKUP($B715,'VPN Bonds'!$A$85:$K$104,9,FALSE)*365, VLOOKUP($B715,'VPN Bonds'!$A$85:$K$104,5,FALSE))</f>
        <v>44114.5</v>
      </c>
      <c r="M716" s="180">
        <f>IF(L716+VLOOKUP($B715,'VPN Bonds'!$A$85:$K$104,9,FALSE)*365 &lt; VLOOKUP($B715,'VPN Bonds'!$A$85:$K$104,5,FALSE), L716+VLOOKUP($B715,'VPN Bonds'!$A$85:$K$104,9,FALSE)*365, VLOOKUP($B715,'VPN Bonds'!$A$85:$K$104,5,FALSE))</f>
        <v>44297</v>
      </c>
      <c r="N716" s="180">
        <f>IF(M716+VLOOKUP($B715,'VPN Bonds'!$A$85:$K$104,9,FALSE)*365 &lt; VLOOKUP($B715,'VPN Bonds'!$A$85:$K$104,5,FALSE), M716+VLOOKUP($B715,'VPN Bonds'!$A$85:$K$104,9,FALSE)*365, VLOOKUP($B715,'VPN Bonds'!$A$85:$K$104,5,FALSE))</f>
        <v>44479.5</v>
      </c>
      <c r="O716" s="180">
        <f>IF(N716+VLOOKUP($B715,'VPN Bonds'!$A$85:$K$104,9,FALSE)*365 &lt; VLOOKUP($B715,'VPN Bonds'!$A$85:$K$104,5,FALSE), N716+VLOOKUP($B715,'VPN Bonds'!$A$85:$K$104,9,FALSE)*365, VLOOKUP($B715,'VPN Bonds'!$A$85:$K$104,5,FALSE))</f>
        <v>44662</v>
      </c>
      <c r="P716" s="180">
        <f>IF(O716+VLOOKUP($B715,'VPN Bonds'!$A$85:$K$104,9,FALSE)*365 &lt; VLOOKUP($B715,'VPN Bonds'!$A$85:$K$104,5,FALSE), O716+VLOOKUP($B715,'VPN Bonds'!$A$85:$K$104,9,FALSE)*365, VLOOKUP($B715,'VPN Bonds'!$A$85:$K$104,5,FALSE))</f>
        <v>44844.5</v>
      </c>
      <c r="Q716" s="180">
        <f>IF(P716+VLOOKUP($B715,'VPN Bonds'!$A$85:$K$104,9,FALSE)*365 &lt; VLOOKUP($B715,'VPN Bonds'!$A$85:$K$104,5,FALSE), P716+VLOOKUP($B715,'VPN Bonds'!$A$85:$K$104,9,FALSE)*365, VLOOKUP($B715,'VPN Bonds'!$A$85:$K$104,5,FALSE))</f>
        <v>45027</v>
      </c>
      <c r="R716" s="180">
        <f>IF(Q716+VLOOKUP($B715,'VPN Bonds'!$A$85:$K$104,9,FALSE)*365 &lt; VLOOKUP($B715,'VPN Bonds'!$A$85:$K$104,5,FALSE), Q716+VLOOKUP($B715,'VPN Bonds'!$A$85:$K$104,9,FALSE)*365, VLOOKUP($B715,'VPN Bonds'!$A$85:$K$104,5,FALSE))</f>
        <v>45209.5</v>
      </c>
      <c r="S716" s="180">
        <f>IF(R716+VLOOKUP($B715,'VPN Bonds'!$A$85:$K$104,9,FALSE)*365 &lt; VLOOKUP($B715,'VPN Bonds'!$A$85:$K$104,5,FALSE), R716+VLOOKUP($B715,'VPN Bonds'!$A$85:$K$104,9,FALSE)*365, VLOOKUP($B715,'VPN Bonds'!$A$85:$K$104,5,FALSE))</f>
        <v>45392</v>
      </c>
      <c r="T716" s="180">
        <f>IF(S716+VLOOKUP($B715,'VPN Bonds'!$A$85:$K$104,9,FALSE)*365 &lt; VLOOKUP($B715,'VPN Bonds'!$A$85:$K$104,5,FALSE), S716+VLOOKUP($B715,'VPN Bonds'!$A$85:$K$104,9,FALSE)*365, VLOOKUP($B715,'VPN Bonds'!$A$85:$K$104,5,FALSE))</f>
        <v>45574.5</v>
      </c>
      <c r="U716" s="180">
        <f>IF(T716+VLOOKUP($B715,'VPN Bonds'!$A$85:$K$104,9,FALSE)*365 &lt; VLOOKUP($B715,'VPN Bonds'!$A$85:$K$104,5,FALSE), T716+VLOOKUP($B715,'VPN Bonds'!$A$85:$K$104,9,FALSE)*365, VLOOKUP($B715,'VPN Bonds'!$A$85:$K$104,5,FALSE))</f>
        <v>45757</v>
      </c>
      <c r="V716" s="180">
        <f>IF(U716+VLOOKUP($B715,'VPN Bonds'!$A$85:$K$104,9,FALSE)*365 &lt; VLOOKUP($B715,'VPN Bonds'!$A$85:$K$104,5,FALSE), U716+VLOOKUP($B715,'VPN Bonds'!$A$85:$K$104,9,FALSE)*365, VLOOKUP($B715,'VPN Bonds'!$A$85:$K$104,5,FALSE))</f>
        <v>45939.5</v>
      </c>
      <c r="W716" s="180">
        <f>IF(V716+VLOOKUP($B715,'VPN Bonds'!$A$85:$K$104,9,FALSE)*365 &lt; VLOOKUP($B715,'VPN Bonds'!$A$85:$K$104,5,FALSE), V716+VLOOKUP($B715,'VPN Bonds'!$A$85:$K$104,9,FALSE)*365, VLOOKUP($B715,'VPN Bonds'!$A$85:$K$104,5,FALSE))</f>
        <v>46122</v>
      </c>
      <c r="X716" s="180">
        <f>IF(W716+VLOOKUP($B715,'VPN Bonds'!$A$85:$K$104,9,FALSE)*365 &lt; VLOOKUP($B715,'VPN Bonds'!$A$85:$K$104,5,FALSE), W716+VLOOKUP($B715,'VPN Bonds'!$A$85:$K$104,9,FALSE)*365, VLOOKUP($B715,'VPN Bonds'!$A$85:$K$104,5,FALSE))</f>
        <v>46304.5</v>
      </c>
      <c r="Y716" s="180">
        <f>IF(X716+VLOOKUP($B715,'VPN Bonds'!$A$85:$K$104,9,FALSE)*365 &lt; VLOOKUP($B715,'VPN Bonds'!$A$85:$K$104,5,FALSE), X716+VLOOKUP($B715,'VPN Bonds'!$A$85:$K$104,9,FALSE)*365, VLOOKUP($B715,'VPN Bonds'!$A$85:$K$104,5,FALSE))</f>
        <v>46487</v>
      </c>
      <c r="Z716" s="180">
        <f>IF(Y716+VLOOKUP($B715,'VPN Bonds'!$A$85:$K$104,9,FALSE)*365 &lt; VLOOKUP($B715,'VPN Bonds'!$A$85:$K$104,5,FALSE), Y716+VLOOKUP($B715,'VPN Bonds'!$A$85:$K$104,9,FALSE)*365, VLOOKUP($B715,'VPN Bonds'!$A$85:$K$104,5,FALSE))</f>
        <v>46669.5</v>
      </c>
      <c r="AA716" s="180">
        <f>IF(Z716+VLOOKUP($B715,'VPN Bonds'!$A$85:$K$104,9,FALSE)*365 &lt; VLOOKUP($B715,'VPN Bonds'!$A$85:$K$104,5,FALSE), Z716+VLOOKUP($B715,'VPN Bonds'!$A$85:$K$104,9,FALSE)*365, VLOOKUP($B715,'VPN Bonds'!$A$85:$K$104,5,FALSE))</f>
        <v>46852</v>
      </c>
      <c r="AB716" s="180">
        <f>IF(AA716+VLOOKUP($B715,'VPN Bonds'!$A$85:$K$104,9,FALSE)*365 &lt; VLOOKUP($B715,'VPN Bonds'!$A$85:$K$104,5,FALSE), AA716+VLOOKUP($B715,'VPN Bonds'!$A$85:$K$104,9,FALSE)*365, VLOOKUP($B715,'VPN Bonds'!$A$85:$K$104,5,FALSE))</f>
        <v>47034.5</v>
      </c>
      <c r="AC716" s="180">
        <f>IF(AB716+VLOOKUP($B715,'VPN Bonds'!$A$85:$K$104,9,FALSE)*365 &lt; VLOOKUP($B715,'VPN Bonds'!$A$85:$K$104,5,FALSE), AB716+VLOOKUP($B715,'VPN Bonds'!$A$85:$K$104,9,FALSE)*365, VLOOKUP($B715,'VPN Bonds'!$A$85:$K$104,5,FALSE))</f>
        <v>47217</v>
      </c>
      <c r="AD716" s="180">
        <f>IF(AC716+VLOOKUP($B715,'VPN Bonds'!$A$85:$K$104,9,FALSE)*365 &lt; VLOOKUP($B715,'VPN Bonds'!$A$85:$K$104,5,FALSE), AC716+VLOOKUP($B715,'VPN Bonds'!$A$85:$K$104,9,FALSE)*365, VLOOKUP($B715,'VPN Bonds'!$A$85:$K$104,5,FALSE))</f>
        <v>47399.5</v>
      </c>
      <c r="AE716" s="180">
        <f>IF(AD716+VLOOKUP($B715,'VPN Bonds'!$A$85:$K$104,9,FALSE)*365 &lt; VLOOKUP($B715,'VPN Bonds'!$A$85:$K$104,5,FALSE), AD716+VLOOKUP($B715,'VPN Bonds'!$A$85:$K$104,9,FALSE)*365, VLOOKUP($B715,'VPN Bonds'!$A$85:$K$104,5,FALSE))</f>
        <v>47582</v>
      </c>
      <c r="AF716" s="180">
        <f>IF(AE716+VLOOKUP($B715,'VPN Bonds'!$A$85:$K$104,9,FALSE)*365 &lt; VLOOKUP($B715,'VPN Bonds'!$A$85:$K$104,5,FALSE), AE716+VLOOKUP($B715,'VPN Bonds'!$A$85:$K$104,9,FALSE)*365, VLOOKUP($B715,'VPN Bonds'!$A$85:$K$104,5,FALSE))</f>
        <v>47764.5</v>
      </c>
      <c r="AG716" s="180">
        <f>IF(AF716+VLOOKUP($B715,'VPN Bonds'!$A$85:$K$104,9,FALSE)*365 &lt; VLOOKUP($B715,'VPN Bonds'!$A$85:$K$104,5,FALSE), AF716+VLOOKUP($B715,'VPN Bonds'!$A$85:$K$104,9,FALSE)*365, VLOOKUP($B715,'VPN Bonds'!$A$85:$K$104,5,FALSE))</f>
        <v>47947</v>
      </c>
      <c r="AH716" s="180">
        <f>IF(AG716+VLOOKUP($B715,'VPN Bonds'!$A$85:$K$104,9,FALSE)*365 &lt; VLOOKUP($B715,'VPN Bonds'!$A$85:$K$104,5,FALSE), AG716+VLOOKUP($B715,'VPN Bonds'!$A$85:$K$104,9,FALSE)*365, VLOOKUP($B715,'VPN Bonds'!$A$85:$K$104,5,FALSE))</f>
        <v>48129.5</v>
      </c>
      <c r="AI716" s="180">
        <f>IF(AH716+VLOOKUP($B715,'VPN Bonds'!$A$85:$K$104,9,FALSE)*365 &lt; VLOOKUP($B715,'VPN Bonds'!$A$85:$K$104,5,FALSE), AH716+VLOOKUP($B715,'VPN Bonds'!$A$85:$K$104,9,FALSE)*365, VLOOKUP($B715,'VPN Bonds'!$A$85:$K$104,5,FALSE))</f>
        <v>48133</v>
      </c>
    </row>
    <row r="717" spans="2:35">
      <c r="B717" t="s">
        <v>209</v>
      </c>
      <c r="E717" s="182">
        <f>IF(E716&lt;VLOOKUP($B715,'VPN Bonds'!$A$85:$K$104,5,FALSE),(VLOOKUP($B715,'VPN Bonds'!$A$85:$K$104,8,FALSE)/100)*(VLOOKUP($B715,'VPN Bonds'!$A$85:$K$104,9,FALSE))*(VLOOKUP($B715,'VPN Bonds'!$A$85:$K$104,6,FALSE)),(VLOOKUP($B715,'VPN Bonds'!$A$85:$K$104,6,FALSE)))</f>
        <v>2.0649999999999999</v>
      </c>
      <c r="F717" s="182">
        <f>IF(F716&lt;VLOOKUP($B715,'VPN Bonds'!$A$85:$K$104,5,FALSE),(VLOOKUP($B715,'VPN Bonds'!$A$85:$K$104,8,FALSE)/100)*(VLOOKUP($B715,'VPN Bonds'!$A$85:$K$104,9,FALSE))*(VLOOKUP($B715,'VPN Bonds'!$A$85:$K$104,6,FALSE)),(VLOOKUP($B715,'VPN Bonds'!$A$85:$K$104,6,FALSE)))</f>
        <v>2.0649999999999999</v>
      </c>
      <c r="G717" s="182">
        <f>IF(G716&lt;VLOOKUP($B715,'VPN Bonds'!$A$85:$K$104,5,FALSE),(VLOOKUP($B715,'VPN Bonds'!$A$85:$K$104,8,FALSE)/100)*(VLOOKUP($B715,'VPN Bonds'!$A$85:$K$104,9,FALSE))*(VLOOKUP($B715,'VPN Bonds'!$A$85:$K$104,6,FALSE)),(VLOOKUP($B715,'VPN Bonds'!$A$85:$K$104,6,FALSE)))</f>
        <v>2.0649999999999999</v>
      </c>
      <c r="H717" s="182">
        <f>IF(H716&lt;VLOOKUP($B715,'VPN Bonds'!$A$85:$K$104,5,FALSE),(VLOOKUP($B715,'VPN Bonds'!$A$85:$K$104,8,FALSE)/100)*(VLOOKUP($B715,'VPN Bonds'!$A$85:$K$104,9,FALSE))*(VLOOKUP($B715,'VPN Bonds'!$A$85:$K$104,6,FALSE)),(VLOOKUP($B715,'VPN Bonds'!$A$85:$K$104,6,FALSE)))</f>
        <v>2.0649999999999999</v>
      </c>
      <c r="I717" s="182">
        <f>IF(I716&lt;VLOOKUP($B715,'VPN Bonds'!$A$85:$K$104,5,FALSE),(VLOOKUP($B715,'VPN Bonds'!$A$85:$K$104,8,FALSE)/100)*(VLOOKUP($B715,'VPN Bonds'!$A$85:$K$104,9,FALSE))*(VLOOKUP($B715,'VPN Bonds'!$A$85:$K$104,6,FALSE)),(VLOOKUP($B715,'VPN Bonds'!$A$85:$K$104,6,FALSE)))</f>
        <v>2.0649999999999999</v>
      </c>
      <c r="J717" s="182">
        <f>IF(J716&lt;VLOOKUP($B715,'VPN Bonds'!$A$85:$K$104,5,FALSE),(VLOOKUP($B715,'VPN Bonds'!$A$85:$K$104,8,FALSE)/100)*(VLOOKUP($B715,'VPN Bonds'!$A$85:$K$104,9,FALSE))*(VLOOKUP($B715,'VPN Bonds'!$A$85:$K$104,6,FALSE)),(VLOOKUP($B715,'VPN Bonds'!$A$85:$K$104,6,FALSE)))</f>
        <v>2.0649999999999999</v>
      </c>
      <c r="K717" s="182">
        <f>IF(K716&lt;VLOOKUP($B715,'VPN Bonds'!$A$85:$K$104,5,FALSE),(VLOOKUP($B715,'VPN Bonds'!$A$85:$K$104,8,FALSE)/100)*(VLOOKUP($B715,'VPN Bonds'!$A$85:$K$104,9,FALSE))*(VLOOKUP($B715,'VPN Bonds'!$A$85:$K$104,6,FALSE)),(VLOOKUP($B715,'VPN Bonds'!$A$85:$K$104,6,FALSE)))</f>
        <v>2.0649999999999999</v>
      </c>
      <c r="L717" s="182">
        <f>IF(L716&lt;VLOOKUP($B715,'VPN Bonds'!$A$85:$K$104,5,FALSE),(VLOOKUP($B715,'VPN Bonds'!$A$85:$K$104,8,FALSE)/100)*(VLOOKUP($B715,'VPN Bonds'!$A$85:$K$104,9,FALSE))*(VLOOKUP($B715,'VPN Bonds'!$A$85:$K$104,6,FALSE)),(VLOOKUP($B715,'VPN Bonds'!$A$85:$K$104,6,FALSE)))</f>
        <v>2.0649999999999999</v>
      </c>
      <c r="M717" s="182">
        <f>IF(M716&lt;VLOOKUP($B715,'VPN Bonds'!$A$85:$K$104,5,FALSE),(VLOOKUP($B715,'VPN Bonds'!$A$85:$K$104,8,FALSE)/100)*(VLOOKUP($B715,'VPN Bonds'!$A$85:$K$104,9,FALSE))*(VLOOKUP($B715,'VPN Bonds'!$A$85:$K$104,6,FALSE)),(VLOOKUP($B715,'VPN Bonds'!$A$85:$K$104,6,FALSE)))</f>
        <v>2.0649999999999999</v>
      </c>
      <c r="N717" s="182">
        <f>IF(N716&lt;VLOOKUP($B715,'VPN Bonds'!$A$85:$K$104,5,FALSE),(VLOOKUP($B715,'VPN Bonds'!$A$85:$K$104,8,FALSE)/100)*(VLOOKUP($B715,'VPN Bonds'!$A$85:$K$104,9,FALSE))*(VLOOKUP($B715,'VPN Bonds'!$A$85:$K$104,6,FALSE)),(VLOOKUP($B715,'VPN Bonds'!$A$85:$K$104,6,FALSE)))</f>
        <v>2.0649999999999999</v>
      </c>
      <c r="O717" s="182">
        <f>IF(O716&lt;VLOOKUP($B715,'VPN Bonds'!$A$85:$K$104,5,FALSE),(VLOOKUP($B715,'VPN Bonds'!$A$85:$K$104,8,FALSE)/100)*(VLOOKUP($B715,'VPN Bonds'!$A$85:$K$104,9,FALSE))*(VLOOKUP($B715,'VPN Bonds'!$A$85:$K$104,6,FALSE)),(VLOOKUP($B715,'VPN Bonds'!$A$85:$K$104,6,FALSE)))</f>
        <v>2.0649999999999999</v>
      </c>
      <c r="P717" s="182">
        <f>IF(P716&lt;VLOOKUP($B715,'VPN Bonds'!$A$85:$K$104,5,FALSE),(VLOOKUP($B715,'VPN Bonds'!$A$85:$K$104,8,FALSE)/100)*(VLOOKUP($B715,'VPN Bonds'!$A$85:$K$104,9,FALSE))*(VLOOKUP($B715,'VPN Bonds'!$A$85:$K$104,6,FALSE)),(VLOOKUP($B715,'VPN Bonds'!$A$85:$K$104,6,FALSE)))</f>
        <v>2.0649999999999999</v>
      </c>
      <c r="Q717" s="182">
        <f>IF(Q716&lt;VLOOKUP($B715,'VPN Bonds'!$A$85:$K$104,5,FALSE),(VLOOKUP($B715,'VPN Bonds'!$A$85:$K$104,8,FALSE)/100)*(VLOOKUP($B715,'VPN Bonds'!$A$85:$K$104,9,FALSE))*(VLOOKUP($B715,'VPN Bonds'!$A$85:$K$104,6,FALSE)),(VLOOKUP($B715,'VPN Bonds'!$A$85:$K$104,6,FALSE)))</f>
        <v>2.0649999999999999</v>
      </c>
      <c r="R717" s="182">
        <f>IF(R716&lt;VLOOKUP($B715,'VPN Bonds'!$A$85:$K$104,5,FALSE),(VLOOKUP($B715,'VPN Bonds'!$A$85:$K$104,8,FALSE)/100)*(VLOOKUP($B715,'VPN Bonds'!$A$85:$K$104,9,FALSE))*(VLOOKUP($B715,'VPN Bonds'!$A$85:$K$104,6,FALSE)),(VLOOKUP($B715,'VPN Bonds'!$A$85:$K$104,6,FALSE)))</f>
        <v>2.0649999999999999</v>
      </c>
      <c r="S717" s="182">
        <f>IF(S716&lt;VLOOKUP($B715,'VPN Bonds'!$A$85:$K$104,5,FALSE),(VLOOKUP($B715,'VPN Bonds'!$A$85:$K$104,8,FALSE)/100)*(VLOOKUP($B715,'VPN Bonds'!$A$85:$K$104,9,FALSE))*(VLOOKUP($B715,'VPN Bonds'!$A$85:$K$104,6,FALSE)),(VLOOKUP($B715,'VPN Bonds'!$A$85:$K$104,6,FALSE)))</f>
        <v>2.0649999999999999</v>
      </c>
      <c r="T717" s="182">
        <f>IF(T716&lt;VLOOKUP($B715,'VPN Bonds'!$A$85:$K$104,5,FALSE),(VLOOKUP($B715,'VPN Bonds'!$A$85:$K$104,8,FALSE)/100)*(VLOOKUP($B715,'VPN Bonds'!$A$85:$K$104,9,FALSE))*(VLOOKUP($B715,'VPN Bonds'!$A$85:$K$104,6,FALSE)),(VLOOKUP($B715,'VPN Bonds'!$A$85:$K$104,6,FALSE)))</f>
        <v>2.0649999999999999</v>
      </c>
      <c r="U717" s="182">
        <f>IF(U716&lt;VLOOKUP($B715,'VPN Bonds'!$A$85:$K$104,5,FALSE),(VLOOKUP($B715,'VPN Bonds'!$A$85:$K$104,8,FALSE)/100)*(VLOOKUP($B715,'VPN Bonds'!$A$85:$K$104,9,FALSE))*(VLOOKUP($B715,'VPN Bonds'!$A$85:$K$104,6,FALSE)),(VLOOKUP($B715,'VPN Bonds'!$A$85:$K$104,6,FALSE)))</f>
        <v>2.0649999999999999</v>
      </c>
      <c r="V717" s="182">
        <f>IF(V716&lt;VLOOKUP($B715,'VPN Bonds'!$A$85:$K$104,5,FALSE),(VLOOKUP($B715,'VPN Bonds'!$A$85:$K$104,8,FALSE)/100)*(VLOOKUP($B715,'VPN Bonds'!$A$85:$K$104,9,FALSE))*(VLOOKUP($B715,'VPN Bonds'!$A$85:$K$104,6,FALSE)),(VLOOKUP($B715,'VPN Bonds'!$A$85:$K$104,6,FALSE)))</f>
        <v>2.0649999999999999</v>
      </c>
      <c r="W717" s="182">
        <f>IF(W716&lt;VLOOKUP($B715,'VPN Bonds'!$A$85:$K$104,5,FALSE),(VLOOKUP($B715,'VPN Bonds'!$A$85:$K$104,8,FALSE)/100)*(VLOOKUP($B715,'VPN Bonds'!$A$85:$K$104,9,FALSE))*(VLOOKUP($B715,'VPN Bonds'!$A$85:$K$104,6,FALSE)),(VLOOKUP($B715,'VPN Bonds'!$A$85:$K$104,6,FALSE)))</f>
        <v>2.0649999999999999</v>
      </c>
      <c r="X717" s="182">
        <f>IF(X716&lt;VLOOKUP($B715,'VPN Bonds'!$A$85:$K$104,5,FALSE),(VLOOKUP($B715,'VPN Bonds'!$A$85:$K$104,8,FALSE)/100)*(VLOOKUP($B715,'VPN Bonds'!$A$85:$K$104,9,FALSE))*(VLOOKUP($B715,'VPN Bonds'!$A$85:$K$104,6,FALSE)),(VLOOKUP($B715,'VPN Bonds'!$A$85:$K$104,6,FALSE)))</f>
        <v>2.0649999999999999</v>
      </c>
      <c r="Y717" s="182">
        <f>IF(Y716&lt;VLOOKUP($B715,'VPN Bonds'!$A$85:$K$104,5,FALSE),(VLOOKUP($B715,'VPN Bonds'!$A$85:$K$104,8,FALSE)/100)*(VLOOKUP($B715,'VPN Bonds'!$A$85:$K$104,9,FALSE))*(VLOOKUP($B715,'VPN Bonds'!$A$85:$K$104,6,FALSE)),(VLOOKUP($B715,'VPN Bonds'!$A$85:$K$104,6,FALSE)))</f>
        <v>2.0649999999999999</v>
      </c>
      <c r="Z717" s="182">
        <f>IF(Z716&lt;VLOOKUP($B715,'VPN Bonds'!$A$85:$K$104,5,FALSE),(VLOOKUP($B715,'VPN Bonds'!$A$85:$K$104,8,FALSE)/100)*(VLOOKUP($B715,'VPN Bonds'!$A$85:$K$104,9,FALSE))*(VLOOKUP($B715,'VPN Bonds'!$A$85:$K$104,6,FALSE)),(VLOOKUP($B715,'VPN Bonds'!$A$85:$K$104,6,FALSE)))</f>
        <v>2.0649999999999999</v>
      </c>
      <c r="AA717" s="182">
        <f>IF(AA716&lt;VLOOKUP($B715,'VPN Bonds'!$A$85:$K$104,5,FALSE),(VLOOKUP($B715,'VPN Bonds'!$A$85:$K$104,8,FALSE)/100)*(VLOOKUP($B715,'VPN Bonds'!$A$85:$K$104,9,FALSE))*(VLOOKUP($B715,'VPN Bonds'!$A$85:$K$104,6,FALSE)),(VLOOKUP($B715,'VPN Bonds'!$A$85:$K$104,6,FALSE)))</f>
        <v>2.0649999999999999</v>
      </c>
      <c r="AB717" s="182">
        <f>IF(AB716&lt;VLOOKUP($B715,'VPN Bonds'!$A$85:$K$104,5,FALSE),(VLOOKUP($B715,'VPN Bonds'!$A$85:$K$104,8,FALSE)/100)*(VLOOKUP($B715,'VPN Bonds'!$A$85:$K$104,9,FALSE))*(VLOOKUP($B715,'VPN Bonds'!$A$85:$K$104,6,FALSE)),(VLOOKUP($B715,'VPN Bonds'!$A$85:$K$104,6,FALSE)))</f>
        <v>2.0649999999999999</v>
      </c>
      <c r="AC717" s="182">
        <f>IF(AC716&lt;VLOOKUP($B715,'VPN Bonds'!$A$85:$K$104,5,FALSE),(VLOOKUP($B715,'VPN Bonds'!$A$85:$K$104,8,FALSE)/100)*(VLOOKUP($B715,'VPN Bonds'!$A$85:$K$104,9,FALSE))*(VLOOKUP($B715,'VPN Bonds'!$A$85:$K$104,6,FALSE)),(VLOOKUP($B715,'VPN Bonds'!$A$85:$K$104,6,FALSE)))</f>
        <v>2.0649999999999999</v>
      </c>
      <c r="AD717" s="182">
        <f>IF(AD716&lt;VLOOKUP($B715,'VPN Bonds'!$A$85:$K$104,5,FALSE),(VLOOKUP($B715,'VPN Bonds'!$A$85:$K$104,8,FALSE)/100)*(VLOOKUP($B715,'VPN Bonds'!$A$85:$K$104,9,FALSE))*(VLOOKUP($B715,'VPN Bonds'!$A$85:$K$104,6,FALSE)),(VLOOKUP($B715,'VPN Bonds'!$A$85:$K$104,6,FALSE)))</f>
        <v>2.0649999999999999</v>
      </c>
      <c r="AE717" s="182">
        <f>IF(AE716&lt;VLOOKUP($B715,'VPN Bonds'!$A$85:$K$104,5,FALSE),(VLOOKUP($B715,'VPN Bonds'!$A$85:$K$104,8,FALSE)/100)*(VLOOKUP($B715,'VPN Bonds'!$A$85:$K$104,9,FALSE))*(VLOOKUP($B715,'VPN Bonds'!$A$85:$K$104,6,FALSE)),(VLOOKUP($B715,'VPN Bonds'!$A$85:$K$104,6,FALSE)))</f>
        <v>2.0649999999999999</v>
      </c>
      <c r="AF717" s="182">
        <f>IF(AF716&lt;VLOOKUP($B715,'VPN Bonds'!$A$85:$K$104,5,FALSE),(VLOOKUP($B715,'VPN Bonds'!$A$85:$K$104,8,FALSE)/100)*(VLOOKUP($B715,'VPN Bonds'!$A$85:$K$104,9,FALSE))*(VLOOKUP($B715,'VPN Bonds'!$A$85:$K$104,6,FALSE)),(VLOOKUP($B715,'VPN Bonds'!$A$85:$K$104,6,FALSE)))</f>
        <v>2.0649999999999999</v>
      </c>
      <c r="AG717" s="182">
        <f>IF(AG716&lt;VLOOKUP($B715,'VPN Bonds'!$A$85:$K$104,5,FALSE),(VLOOKUP($B715,'VPN Bonds'!$A$85:$K$104,8,FALSE)/100)*(VLOOKUP($B715,'VPN Bonds'!$A$85:$K$104,9,FALSE))*(VLOOKUP($B715,'VPN Bonds'!$A$85:$K$104,6,FALSE)),(VLOOKUP($B715,'VPN Bonds'!$A$85:$K$104,6,FALSE)))</f>
        <v>2.0649999999999999</v>
      </c>
      <c r="AH717" s="182">
        <f>IF(AH716&lt;VLOOKUP($B715,'VPN Bonds'!$A$85:$K$104,5,FALSE),(VLOOKUP($B715,'VPN Bonds'!$A$85:$K$104,8,FALSE)/100)*(VLOOKUP($B715,'VPN Bonds'!$A$85:$K$104,9,FALSE))*(VLOOKUP($B715,'VPN Bonds'!$A$85:$K$104,6,FALSE)),(VLOOKUP($B715,'VPN Bonds'!$A$85:$K$104,6,FALSE)))</f>
        <v>2.0649999999999999</v>
      </c>
      <c r="AI717" s="182">
        <f>IF(AI716&lt;VLOOKUP($B715,'VPN Bonds'!$A$85:$K$104,5,FALSE),(VLOOKUP($B715,'VPN Bonds'!$A$85:$K$104,8,FALSE)/100)*(VLOOKUP($B715,'VPN Bonds'!$A$85:$K$104,9,FALSE))*(VLOOKUP($B715,'VPN Bonds'!$A$85:$K$104,6,FALSE)),(VLOOKUP($B715,'VPN Bonds'!$A$85:$K$104,6,FALSE)))</f>
        <v>100</v>
      </c>
    </row>
    <row r="718" spans="2:35">
      <c r="B718" s="135">
        <v>42916</v>
      </c>
    </row>
    <row r="719" spans="2:35">
      <c r="B719" t="s">
        <v>210</v>
      </c>
      <c r="F719" s="182">
        <f>(F$716-$B718)/365</f>
        <v>0.28356164383561644</v>
      </c>
      <c r="G719" s="182">
        <f t="shared" ref="G719:Y719" si="3380">(G$716-$B718)/365</f>
        <v>0.78356164383561644</v>
      </c>
      <c r="H719" s="182">
        <f t="shared" si="3380"/>
        <v>1.2835616438356163</v>
      </c>
      <c r="I719" s="182">
        <f t="shared" si="3380"/>
        <v>1.7835616438356163</v>
      </c>
      <c r="J719" s="182">
        <f t="shared" si="3380"/>
        <v>2.2835616438356166</v>
      </c>
      <c r="K719" s="182">
        <f t="shared" si="3380"/>
        <v>2.7835616438356166</v>
      </c>
      <c r="L719" s="182">
        <f t="shared" si="3380"/>
        <v>3.2835616438356166</v>
      </c>
      <c r="M719" s="182">
        <f t="shared" si="3380"/>
        <v>3.7835616438356166</v>
      </c>
      <c r="N719" s="182">
        <f t="shared" si="3380"/>
        <v>4.2835616438356166</v>
      </c>
      <c r="O719" s="182">
        <f t="shared" si="3380"/>
        <v>4.7835616438356166</v>
      </c>
      <c r="P719" s="182">
        <f t="shared" si="3380"/>
        <v>5.2835616438356166</v>
      </c>
      <c r="Q719" s="182">
        <f t="shared" si="3380"/>
        <v>5.7835616438356166</v>
      </c>
      <c r="R719" s="182">
        <f t="shared" si="3380"/>
        <v>6.2835616438356166</v>
      </c>
      <c r="S719" s="182">
        <f t="shared" si="3380"/>
        <v>6.7835616438356166</v>
      </c>
      <c r="T719" s="182">
        <f t="shared" si="3380"/>
        <v>7.2835616438356166</v>
      </c>
      <c r="U719" s="182">
        <f t="shared" si="3380"/>
        <v>7.7835616438356166</v>
      </c>
      <c r="V719" s="182">
        <f t="shared" si="3380"/>
        <v>8.2835616438356166</v>
      </c>
      <c r="W719" s="182">
        <f t="shared" si="3380"/>
        <v>8.7835616438356166</v>
      </c>
      <c r="X719" s="182">
        <f t="shared" si="3380"/>
        <v>9.2835616438356166</v>
      </c>
      <c r="Y719" s="182">
        <f t="shared" si="3380"/>
        <v>9.7835616438356166</v>
      </c>
      <c r="Z719" s="182">
        <f t="shared" ref="Z719" si="3381">(Z$716-$B718)/365</f>
        <v>10.283561643835617</v>
      </c>
      <c r="AA719" s="182">
        <f t="shared" ref="AA719" si="3382">(AA$716-$B718)/365</f>
        <v>10.783561643835617</v>
      </c>
      <c r="AB719" s="182">
        <f t="shared" ref="AB719" si="3383">(AB$716-$B718)/365</f>
        <v>11.283561643835617</v>
      </c>
      <c r="AC719" s="182">
        <f t="shared" ref="AC719" si="3384">(AC$716-$B718)/365</f>
        <v>11.783561643835617</v>
      </c>
      <c r="AD719" s="182">
        <f t="shared" ref="AD719" si="3385">(AD$716-$B718)/365</f>
        <v>12.283561643835617</v>
      </c>
      <c r="AE719" s="182">
        <f t="shared" ref="AE719" si="3386">(AE$716-$B718)/365</f>
        <v>12.783561643835617</v>
      </c>
      <c r="AF719" s="182">
        <f t="shared" ref="AF719" si="3387">(AF$716-$B718)/365</f>
        <v>13.283561643835617</v>
      </c>
      <c r="AG719" s="182">
        <f t="shared" ref="AG719" si="3388">(AG$716-$B718)/365</f>
        <v>13.783561643835617</v>
      </c>
      <c r="AH719" s="182">
        <f t="shared" ref="AH719" si="3389">(AH$716-$B718)/365</f>
        <v>14.283561643835617</v>
      </c>
      <c r="AI719" s="182">
        <f t="shared" ref="AI719" si="3390">(AI$716-$B718)/365</f>
        <v>14.293150684931506</v>
      </c>
    </row>
    <row r="720" spans="2:35">
      <c r="B720" t="s">
        <v>211</v>
      </c>
      <c r="F720" s="183">
        <f>1+((INDEX('Yield Curve'!$B$48:$P$91,MATCH(ROUND(F719,0),'Yield Curve'!$B$48:$B$91,0),MATCH(YEAR($B718),'Yield Curve'!$B$48:$P$48,0)))/100)</f>
        <v>1.0326500000000001</v>
      </c>
      <c r="G720" s="183">
        <f>1+((INDEX('Yield Curve'!$B$48:$P$91,MATCH(ROUND(G719,0),'Yield Curve'!$B$48:$B$91,0),MATCH(YEAR($B718),'Yield Curve'!$B$48:$P$48,0)))/100)</f>
        <v>1.0326500000000001</v>
      </c>
      <c r="H720" s="183">
        <f>1+((INDEX('Yield Curve'!$B$48:$P$91,MATCH(ROUND(H719,0),'Yield Curve'!$B$48:$B$91,0),MATCH(YEAR($B718),'Yield Curve'!$B$48:$P$48,0)))/100)</f>
        <v>1.0326500000000001</v>
      </c>
      <c r="I720" s="183">
        <f>1+((INDEX('Yield Curve'!$B$48:$P$91,MATCH(ROUND(I719,0),'Yield Curve'!$B$48:$B$91,0),MATCH(YEAR($B718),'Yield Curve'!$B$48:$P$48,0)))/100)</f>
        <v>1.0326500000000001</v>
      </c>
      <c r="J720" s="183">
        <f>1+((INDEX('Yield Curve'!$B$48:$P$91,MATCH(ROUND(J719,0),'Yield Curve'!$B$48:$B$91,0),MATCH(YEAR($B718),'Yield Curve'!$B$48:$P$48,0)))/100)</f>
        <v>1.0326500000000001</v>
      </c>
      <c r="K720" s="183">
        <f>1+((INDEX('Yield Curve'!$B$48:$P$91,MATCH(ROUND(K719,0),'Yield Curve'!$B$48:$B$91,0),MATCH(YEAR($B718),'Yield Curve'!$B$48:$P$48,0)))/100)</f>
        <v>1.0326500000000001</v>
      </c>
      <c r="L720" s="183">
        <f>1+((INDEX('Yield Curve'!$B$48:$P$91,MATCH(ROUND(L719,0),'Yield Curve'!$B$48:$B$91,0),MATCH(YEAR($B718),'Yield Curve'!$B$48:$P$48,0)))/100)</f>
        <v>1.0326500000000001</v>
      </c>
      <c r="M720" s="183">
        <f>1+((INDEX('Yield Curve'!$B$48:$P$91,MATCH(ROUND(M719,0),'Yield Curve'!$B$48:$B$91,0),MATCH(YEAR($B718),'Yield Curve'!$B$48:$P$48,0)))/100)</f>
        <v>1.034025</v>
      </c>
      <c r="N720" s="183">
        <f>1+((INDEX('Yield Curve'!$B$48:$P$91,MATCH(ROUND(N719,0),'Yield Curve'!$B$48:$B$91,0),MATCH(YEAR($B718),'Yield Curve'!$B$48:$P$48,0)))/100)</f>
        <v>1.034025</v>
      </c>
      <c r="O720" s="183">
        <f>1+((INDEX('Yield Curve'!$B$48:$P$91,MATCH(ROUND(O719,0),'Yield Curve'!$B$48:$B$91,0),MATCH(YEAR($B718),'Yield Curve'!$B$48:$P$48,0)))/100)</f>
        <v>1.0354000000000001</v>
      </c>
      <c r="P720" s="183">
        <f>1+((INDEX('Yield Curve'!$B$48:$P$91,MATCH(ROUND(P719,0),'Yield Curve'!$B$48:$B$91,0),MATCH(YEAR($B718),'Yield Curve'!$B$48:$P$48,0)))/100)</f>
        <v>1.0354000000000001</v>
      </c>
      <c r="Q720" s="183">
        <f>1+((INDEX('Yield Curve'!$B$48:$P$91,MATCH(ROUND(Q719,0),'Yield Curve'!$B$48:$B$91,0),MATCH(YEAR($B718),'Yield Curve'!$B$48:$P$48,0)))/100)</f>
        <v>1.0375000000000001</v>
      </c>
      <c r="R720" s="183">
        <f>1+((INDEX('Yield Curve'!$B$48:$P$91,MATCH(ROUND(R719,0),'Yield Curve'!$B$48:$B$91,0),MATCH(YEAR($B718),'Yield Curve'!$B$48:$P$48,0)))/100)</f>
        <v>1.0375000000000001</v>
      </c>
      <c r="S720" s="183">
        <f>1+((INDEX('Yield Curve'!$B$48:$P$91,MATCH(ROUND(S719,0),'Yield Curve'!$B$48:$B$91,0),MATCH(YEAR($B718),'Yield Curve'!$B$48:$P$48,0)))/100)</f>
        <v>1.0396000000000001</v>
      </c>
      <c r="T720" s="183">
        <f>1+((INDEX('Yield Curve'!$B$48:$P$91,MATCH(ROUND(T719,0),'Yield Curve'!$B$48:$B$91,0),MATCH(YEAR($B718),'Yield Curve'!$B$48:$P$48,0)))/100)</f>
        <v>1.0396000000000001</v>
      </c>
      <c r="U720" s="183">
        <f>1+((INDEX('Yield Curve'!$B$48:$P$91,MATCH(ROUND(U719,0),'Yield Curve'!$B$48:$B$91,0),MATCH(YEAR($B718),'Yield Curve'!$B$48:$P$48,0)))/100)</f>
        <v>1.0405249999999999</v>
      </c>
      <c r="V720" s="183">
        <f>1+((INDEX('Yield Curve'!$B$48:$P$91,MATCH(ROUND(V719,0),'Yield Curve'!$B$48:$B$91,0),MATCH(YEAR($B718),'Yield Curve'!$B$48:$P$48,0)))/100)</f>
        <v>1.0405249999999999</v>
      </c>
      <c r="W720" s="183">
        <f>1+((INDEX('Yield Curve'!$B$48:$P$91,MATCH(ROUND(W719,0),'Yield Curve'!$B$48:$B$91,0),MATCH(YEAR($B718),'Yield Curve'!$B$48:$P$48,0)))/100)</f>
        <v>1.0423750000000001</v>
      </c>
      <c r="X720" s="183">
        <f>1+((INDEX('Yield Curve'!$B$48:$P$91,MATCH(ROUND(X719,0),'Yield Curve'!$B$48:$B$91,0),MATCH(YEAR($B718),'Yield Curve'!$B$48:$P$48,0)))/100)</f>
        <v>1.0423750000000001</v>
      </c>
      <c r="Y720" s="183">
        <f>1+((INDEX('Yield Curve'!$B$48:$P$91,MATCH(ROUND(Y719,0),'Yield Curve'!$B$48:$B$91,0),MATCH(YEAR($B718),'Yield Curve'!$B$48:$P$48,0)))/100)</f>
        <v>1.0432999999999999</v>
      </c>
      <c r="Z720" s="183">
        <f>1+((INDEX('Yield Curve'!$B$48:$P$91,MATCH(ROUND(Z719,0),'Yield Curve'!$B$48:$B$91,0),MATCH(YEAR($B718),'Yield Curve'!$B$48:$P$48,0)))/100)</f>
        <v>1.0432999999999999</v>
      </c>
      <c r="AA720" s="183">
        <f>1+((INDEX('Yield Curve'!$B$48:$P$91,MATCH(ROUND(AA719,0),'Yield Curve'!$B$48:$B$91,0),MATCH(YEAR($B718),'Yield Curve'!$B$48:$P$48,0)))/100)</f>
        <v>1.0432999999999999</v>
      </c>
      <c r="AB720" s="183">
        <f>1+((INDEX('Yield Curve'!$B$48:$P$91,MATCH(ROUND(AB719,0),'Yield Curve'!$B$48:$B$91,0),MATCH(YEAR($B718),'Yield Curve'!$B$48:$P$48,0)))/100)</f>
        <v>1.0432999999999999</v>
      </c>
      <c r="AC720" s="183">
        <f>1+((INDEX('Yield Curve'!$B$48:$P$91,MATCH(ROUND(AC719,0),'Yield Curve'!$B$48:$B$91,0),MATCH(YEAR($B718),'Yield Curve'!$B$48:$P$48,0)))/100)</f>
        <v>1.0432999999999999</v>
      </c>
      <c r="AD720" s="183">
        <f>1+((INDEX('Yield Curve'!$B$48:$P$91,MATCH(ROUND(AD719,0),'Yield Curve'!$B$48:$B$91,0),MATCH(YEAR($B718),'Yield Curve'!$B$48:$P$48,0)))/100)</f>
        <v>1.0432999999999999</v>
      </c>
      <c r="AE720" s="183">
        <f>1+((INDEX('Yield Curve'!$B$48:$P$91,MATCH(ROUND(AE719,0),'Yield Curve'!$B$48:$B$91,0),MATCH(YEAR($B718),'Yield Curve'!$B$48:$P$48,0)))/100)</f>
        <v>1.0432999999999999</v>
      </c>
      <c r="AF720" s="183">
        <f>1+((INDEX('Yield Curve'!$B$48:$P$91,MATCH(ROUND(AF719,0),'Yield Curve'!$B$48:$B$91,0),MATCH(YEAR($B718),'Yield Curve'!$B$48:$P$48,0)))/100)</f>
        <v>1.0432999999999999</v>
      </c>
      <c r="AG720" s="183">
        <f>1+((INDEX('Yield Curve'!$B$48:$P$91,MATCH(ROUND(AG719,0),'Yield Curve'!$B$48:$B$91,0),MATCH(YEAR($B718),'Yield Curve'!$B$48:$P$48,0)))/100)</f>
        <v>1.0432999999999999</v>
      </c>
      <c r="AH720" s="183">
        <f>1+((INDEX('Yield Curve'!$B$48:$P$91,MATCH(ROUND(AH719,0),'Yield Curve'!$B$48:$B$91,0),MATCH(YEAR($B718),'Yield Curve'!$B$48:$P$48,0)))/100)</f>
        <v>1.0432999999999999</v>
      </c>
      <c r="AI720" s="183">
        <f>1+((INDEX('Yield Curve'!$B$48:$P$91,MATCH(ROUND(AI719,0),'Yield Curve'!$B$48:$B$91,0),MATCH(YEAR($B718),'Yield Curve'!$B$48:$P$48,0)))/100)</f>
        <v>1.0432999999999999</v>
      </c>
    </row>
    <row r="721" spans="2:35">
      <c r="B721" t="s">
        <v>212</v>
      </c>
      <c r="C721" s="182">
        <f>SUM(D721:AM721)</f>
        <v>100.00574915522124</v>
      </c>
      <c r="F721" s="182">
        <f>F$717/(F720^F719)</f>
        <v>2.046272548261967</v>
      </c>
      <c r="G721" s="182">
        <f t="shared" ref="G721:Y721" si="3391">G$717/(G720^G719)</f>
        <v>2.0136635245188685</v>
      </c>
      <c r="H721" s="182">
        <f t="shared" si="3391"/>
        <v>1.98157415219287</v>
      </c>
      <c r="I721" s="182">
        <f t="shared" si="3391"/>
        <v>1.9499961502143692</v>
      </c>
      <c r="J721" s="182">
        <f t="shared" si="3391"/>
        <v>1.9189213694793685</v>
      </c>
      <c r="K721" s="182">
        <f t="shared" si="3391"/>
        <v>1.8883417907464959</v>
      </c>
      <c r="L721" s="182">
        <f t="shared" si="3391"/>
        <v>1.8582495225675382</v>
      </c>
      <c r="M721" s="182">
        <f t="shared" si="3391"/>
        <v>1.8194535566098342</v>
      </c>
      <c r="N721" s="182">
        <f t="shared" si="3391"/>
        <v>1.7892682466448031</v>
      </c>
      <c r="O721" s="182">
        <f t="shared" si="3391"/>
        <v>1.7484339800301432</v>
      </c>
      <c r="P721" s="182">
        <f t="shared" si="3391"/>
        <v>1.7182848378460007</v>
      </c>
      <c r="Q721" s="182">
        <f t="shared" si="3391"/>
        <v>1.6689828074250739</v>
      </c>
      <c r="R721" s="182">
        <f t="shared" si="3391"/>
        <v>1.6385428764769863</v>
      </c>
      <c r="S721" s="182">
        <f t="shared" si="3391"/>
        <v>1.5867432814928883</v>
      </c>
      <c r="T721" s="182">
        <f t="shared" si="3391"/>
        <v>1.5562291027237323</v>
      </c>
      <c r="U721" s="182">
        <f t="shared" si="3391"/>
        <v>1.5157724507279848</v>
      </c>
      <c r="V721" s="182">
        <f t="shared" si="3391"/>
        <v>1.4859621586861114</v>
      </c>
      <c r="W721" s="182">
        <f t="shared" si="3391"/>
        <v>1.4341852659298076</v>
      </c>
      <c r="X721" s="182">
        <f t="shared" si="3391"/>
        <v>1.4047313117782023</v>
      </c>
      <c r="Y721" s="182">
        <f t="shared" si="3391"/>
        <v>1.3639939397794385</v>
      </c>
      <c r="Z721" s="182">
        <f t="shared" ref="Z721" si="3392">Z$717/(Z720^Z719)</f>
        <v>1.335389130885676</v>
      </c>
      <c r="AA721" s="182">
        <f t="shared" ref="AA721" si="3393">AA$717/(AA720^AA719)</f>
        <v>1.3073842037567704</v>
      </c>
      <c r="AB721" s="182">
        <f t="shared" ref="AB721" si="3394">AB$717/(AB720^AB719)</f>
        <v>1.2799665780558576</v>
      </c>
      <c r="AC721" s="182">
        <f t="shared" ref="AC721" si="3395">AC$717/(AC720^AC719)</f>
        <v>1.253123937272856</v>
      </c>
      <c r="AD721" s="182">
        <f t="shared" ref="AD721" si="3396">AD$717/(AD720^AD719)</f>
        <v>1.226844223191659</v>
      </c>
      <c r="AE721" s="182">
        <f t="shared" ref="AE721" si="3397">AE$717/(AE720^AE719)</f>
        <v>1.2011156304733595</v>
      </c>
      <c r="AF721" s="182">
        <f t="shared" ref="AF721" si="3398">AF$717/(AF720^AF719)</f>
        <v>1.1759266013530711</v>
      </c>
      <c r="AG721" s="182">
        <f t="shared" ref="AG721" si="3399">AG$717/(AG720^AG719)</f>
        <v>1.1512658204479629</v>
      </c>
      <c r="AH721" s="182">
        <f t="shared" ref="AH721" si="3400">AH$717/(AH720^AH719)</f>
        <v>1.1271222096741791</v>
      </c>
      <c r="AI721" s="182">
        <f t="shared" ref="AI721" si="3401">AI$717/(AI720^AI719)</f>
        <v>54.560007945977368</v>
      </c>
    </row>
    <row r="722" spans="2:35">
      <c r="B722" s="135">
        <v>43281</v>
      </c>
    </row>
    <row r="723" spans="2:35">
      <c r="B723" t="s">
        <v>210</v>
      </c>
      <c r="H723" s="182">
        <f t="shared" ref="H723" si="3402">(H$716-$B722)/365</f>
        <v>0.28356164383561644</v>
      </c>
      <c r="I723" s="182">
        <f t="shared" ref="I723" si="3403">(I$716-$B722)/365</f>
        <v>0.78356164383561644</v>
      </c>
      <c r="J723" s="182">
        <f t="shared" ref="J723" si="3404">(J$716-$B722)/365</f>
        <v>1.2835616438356163</v>
      </c>
      <c r="K723" s="182">
        <f t="shared" ref="K723" si="3405">(K$716-$B722)/365</f>
        <v>1.7835616438356163</v>
      </c>
      <c r="L723" s="182">
        <f t="shared" ref="L723" si="3406">(L$716-$B722)/365</f>
        <v>2.2835616438356166</v>
      </c>
      <c r="M723" s="182">
        <f t="shared" ref="M723" si="3407">(M$716-$B722)/365</f>
        <v>2.7835616438356166</v>
      </c>
      <c r="N723" s="182">
        <f t="shared" ref="N723" si="3408">(N$716-$B722)/365</f>
        <v>3.2835616438356166</v>
      </c>
      <c r="O723" s="182">
        <f t="shared" ref="O723" si="3409">(O$716-$B722)/365</f>
        <v>3.7835616438356166</v>
      </c>
      <c r="P723" s="182">
        <f t="shared" ref="P723" si="3410">(P$716-$B722)/365</f>
        <v>4.2835616438356166</v>
      </c>
      <c r="Q723" s="182">
        <f t="shared" ref="Q723" si="3411">(Q$716-$B722)/365</f>
        <v>4.7835616438356166</v>
      </c>
      <c r="R723" s="182">
        <f t="shared" ref="R723" si="3412">(R$716-$B722)/365</f>
        <v>5.2835616438356166</v>
      </c>
      <c r="S723" s="182">
        <f t="shared" ref="S723" si="3413">(S$716-$B722)/365</f>
        <v>5.7835616438356166</v>
      </c>
      <c r="T723" s="182">
        <f t="shared" ref="T723" si="3414">(T$716-$B722)/365</f>
        <v>6.2835616438356166</v>
      </c>
      <c r="U723" s="182">
        <f t="shared" ref="U723" si="3415">(U$716-$B722)/365</f>
        <v>6.7835616438356166</v>
      </c>
      <c r="V723" s="182">
        <f t="shared" ref="V723" si="3416">(V$716-$B722)/365</f>
        <v>7.2835616438356166</v>
      </c>
      <c r="W723" s="182">
        <f t="shared" ref="W723" si="3417">(W$716-$B722)/365</f>
        <v>7.7835616438356166</v>
      </c>
      <c r="X723" s="182">
        <f t="shared" ref="X723" si="3418">(X$716-$B722)/365</f>
        <v>8.2835616438356166</v>
      </c>
      <c r="Y723" s="182">
        <f t="shared" ref="Y723" si="3419">(Y$716-$B722)/365</f>
        <v>8.7835616438356166</v>
      </c>
      <c r="Z723" s="182">
        <f t="shared" ref="Z723" si="3420">(Z$716-$B722)/365</f>
        <v>9.2835616438356166</v>
      </c>
      <c r="AA723" s="182">
        <f t="shared" ref="AA723" si="3421">(AA$716-$B722)/365</f>
        <v>9.7835616438356166</v>
      </c>
      <c r="AB723" s="182">
        <f t="shared" ref="AB723" si="3422">(AB$716-$B722)/365</f>
        <v>10.283561643835617</v>
      </c>
      <c r="AC723" s="182">
        <f t="shared" ref="AC723" si="3423">(AC$716-$B722)/365</f>
        <v>10.783561643835617</v>
      </c>
      <c r="AD723" s="182">
        <f t="shared" ref="AD723" si="3424">(AD$716-$B722)/365</f>
        <v>11.283561643835617</v>
      </c>
      <c r="AE723" s="182">
        <f t="shared" ref="AE723" si="3425">(AE$716-$B722)/365</f>
        <v>11.783561643835617</v>
      </c>
      <c r="AF723" s="182">
        <f t="shared" ref="AF723" si="3426">(AF$716-$B722)/365</f>
        <v>12.283561643835617</v>
      </c>
      <c r="AG723" s="182">
        <f t="shared" ref="AG723" si="3427">(AG$716-$B722)/365</f>
        <v>12.783561643835617</v>
      </c>
      <c r="AH723" s="182">
        <f t="shared" ref="AH723" si="3428">(AH$716-$B722)/365</f>
        <v>13.283561643835617</v>
      </c>
      <c r="AI723" s="182">
        <f t="shared" ref="AI723" si="3429">(AI$716-$B722)/365</f>
        <v>13.293150684931506</v>
      </c>
    </row>
    <row r="724" spans="2:35">
      <c r="B724" t="s">
        <v>211</v>
      </c>
      <c r="H724" s="183">
        <f>1+((INDEX('Yield Curve'!$B$48:$P$91,MATCH(ROUND(H723,0),'Yield Curve'!$B$48:$B$91,0),MATCH(YEAR($B722),'Yield Curve'!$B$48:$P$48,0)))/100)</f>
        <v>1.03315</v>
      </c>
      <c r="I724" s="183">
        <f>1+((INDEX('Yield Curve'!$B$48:$P$91,MATCH(ROUND(I723,0),'Yield Curve'!$B$48:$B$91,0),MATCH(YEAR($B722),'Yield Curve'!$B$48:$P$48,0)))/100)</f>
        <v>1.03315</v>
      </c>
      <c r="J724" s="183">
        <f>1+((INDEX('Yield Curve'!$B$48:$P$91,MATCH(ROUND(J723,0),'Yield Curve'!$B$48:$B$91,0),MATCH(YEAR($B722),'Yield Curve'!$B$48:$P$48,0)))/100)</f>
        <v>1.03315</v>
      </c>
      <c r="K724" s="183">
        <f>1+((INDEX('Yield Curve'!$B$48:$P$91,MATCH(ROUND(K723,0),'Yield Curve'!$B$48:$B$91,0),MATCH(YEAR($B722),'Yield Curve'!$B$48:$P$48,0)))/100)</f>
        <v>1.03315</v>
      </c>
      <c r="L724" s="183">
        <f>1+((INDEX('Yield Curve'!$B$48:$P$91,MATCH(ROUND(L723,0),'Yield Curve'!$B$48:$B$91,0),MATCH(YEAR($B722),'Yield Curve'!$B$48:$P$48,0)))/100)</f>
        <v>1.03315</v>
      </c>
      <c r="M724" s="183">
        <f>1+((INDEX('Yield Curve'!$B$48:$P$91,MATCH(ROUND(M723,0),'Yield Curve'!$B$48:$B$91,0),MATCH(YEAR($B722),'Yield Curve'!$B$48:$P$48,0)))/100)</f>
        <v>1.03315</v>
      </c>
      <c r="N724" s="183">
        <f>1+((INDEX('Yield Curve'!$B$48:$P$91,MATCH(ROUND(N723,0),'Yield Curve'!$B$48:$B$91,0),MATCH(YEAR($B722),'Yield Curve'!$B$48:$P$48,0)))/100)</f>
        <v>1.03315</v>
      </c>
      <c r="O724" s="183">
        <f>1+((INDEX('Yield Curve'!$B$48:$P$91,MATCH(ROUND(O723,0),'Yield Curve'!$B$48:$B$91,0),MATCH(YEAR($B722),'Yield Curve'!$B$48:$P$48,0)))/100)</f>
        <v>1.0349999999999999</v>
      </c>
      <c r="P724" s="183">
        <f>1+((INDEX('Yield Curve'!$B$48:$P$91,MATCH(ROUND(P723,0),'Yield Curve'!$B$48:$B$91,0),MATCH(YEAR($B722),'Yield Curve'!$B$48:$P$48,0)))/100)</f>
        <v>1.0349999999999999</v>
      </c>
      <c r="Q724" s="183">
        <f>1+((INDEX('Yield Curve'!$B$48:$P$91,MATCH(ROUND(Q723,0),'Yield Curve'!$B$48:$B$91,0),MATCH(YEAR($B722),'Yield Curve'!$B$48:$P$48,0)))/100)</f>
        <v>1.03685</v>
      </c>
      <c r="R724" s="183">
        <f>1+((INDEX('Yield Curve'!$B$48:$P$91,MATCH(ROUND(R723,0),'Yield Curve'!$B$48:$B$91,0),MATCH(YEAR($B722),'Yield Curve'!$B$48:$P$48,0)))/100)</f>
        <v>1.03685</v>
      </c>
      <c r="S724" s="183">
        <f>1+((INDEX('Yield Curve'!$B$48:$P$91,MATCH(ROUND(S723,0),'Yield Curve'!$B$48:$B$91,0),MATCH(YEAR($B722),'Yield Curve'!$B$48:$P$48,0)))/100)</f>
        <v>1.0386</v>
      </c>
      <c r="T724" s="183">
        <f>1+((INDEX('Yield Curve'!$B$48:$P$91,MATCH(ROUND(T723,0),'Yield Curve'!$B$48:$B$91,0),MATCH(YEAR($B722),'Yield Curve'!$B$48:$P$48,0)))/100)</f>
        <v>1.0386</v>
      </c>
      <c r="U724" s="183">
        <f>1+((INDEX('Yield Curve'!$B$48:$P$91,MATCH(ROUND(U723,0),'Yield Curve'!$B$48:$B$91,0),MATCH(YEAR($B722),'Yield Curve'!$B$48:$P$48,0)))/100)</f>
        <v>1.0403500000000001</v>
      </c>
      <c r="V724" s="183">
        <f>1+((INDEX('Yield Curve'!$B$48:$P$91,MATCH(ROUND(V723,0),'Yield Curve'!$B$48:$B$91,0),MATCH(YEAR($B722),'Yield Curve'!$B$48:$P$48,0)))/100)</f>
        <v>1.0403500000000001</v>
      </c>
      <c r="W724" s="183">
        <f>1+((INDEX('Yield Curve'!$B$48:$P$91,MATCH(ROUND(W723,0),'Yield Curve'!$B$48:$B$91,0),MATCH(YEAR($B722),'Yield Curve'!$B$48:$P$48,0)))/100)</f>
        <v>1.0414874999999999</v>
      </c>
      <c r="X724" s="183">
        <f>1+((INDEX('Yield Curve'!$B$48:$P$91,MATCH(ROUND(X723,0),'Yield Curve'!$B$48:$B$91,0),MATCH(YEAR($B722),'Yield Curve'!$B$48:$P$48,0)))/100)</f>
        <v>1.0414874999999999</v>
      </c>
      <c r="Y724" s="183">
        <f>1+((INDEX('Yield Curve'!$B$48:$P$91,MATCH(ROUND(Y723,0),'Yield Curve'!$B$48:$B$91,0),MATCH(YEAR($B722),'Yield Curve'!$B$48:$P$48,0)))/100)</f>
        <v>1.0437624999999999</v>
      </c>
      <c r="Z724" s="183">
        <f>1+((INDEX('Yield Curve'!$B$48:$P$91,MATCH(ROUND(Z723,0),'Yield Curve'!$B$48:$B$91,0),MATCH(YEAR($B722),'Yield Curve'!$B$48:$P$48,0)))/100)</f>
        <v>1.0437624999999999</v>
      </c>
      <c r="AA724" s="183">
        <f>1+((INDEX('Yield Curve'!$B$48:$P$91,MATCH(ROUND(AA723,0),'Yield Curve'!$B$48:$B$91,0),MATCH(YEAR($B722),'Yield Curve'!$B$48:$P$48,0)))/100)</f>
        <v>1.0448999999999999</v>
      </c>
      <c r="AB724" s="183">
        <f>1+((INDEX('Yield Curve'!$B$48:$P$91,MATCH(ROUND(AB723,0),'Yield Curve'!$B$48:$B$91,0),MATCH(YEAR($B722),'Yield Curve'!$B$48:$P$48,0)))/100)</f>
        <v>1.0448999999999999</v>
      </c>
      <c r="AC724" s="183">
        <f>1+((INDEX('Yield Curve'!$B$48:$P$91,MATCH(ROUND(AC723,0),'Yield Curve'!$B$48:$B$91,0),MATCH(YEAR($B722),'Yield Curve'!$B$48:$P$48,0)))/100)</f>
        <v>1.0448999999999999</v>
      </c>
      <c r="AD724" s="183">
        <f>1+((INDEX('Yield Curve'!$B$48:$P$91,MATCH(ROUND(AD723,0),'Yield Curve'!$B$48:$B$91,0),MATCH(YEAR($B722),'Yield Curve'!$B$48:$P$48,0)))/100)</f>
        <v>1.0448999999999999</v>
      </c>
      <c r="AE724" s="183">
        <f>1+((INDEX('Yield Curve'!$B$48:$P$91,MATCH(ROUND(AE723,0),'Yield Curve'!$B$48:$B$91,0),MATCH(YEAR($B722),'Yield Curve'!$B$48:$P$48,0)))/100)</f>
        <v>1.0448999999999999</v>
      </c>
      <c r="AF724" s="183">
        <f>1+((INDEX('Yield Curve'!$B$48:$P$91,MATCH(ROUND(AF723,0),'Yield Curve'!$B$48:$B$91,0),MATCH(YEAR($B722),'Yield Curve'!$B$48:$P$48,0)))/100)</f>
        <v>1.0448999999999999</v>
      </c>
      <c r="AG724" s="183">
        <f>1+((INDEX('Yield Curve'!$B$48:$P$91,MATCH(ROUND(AG723,0),'Yield Curve'!$B$48:$B$91,0),MATCH(YEAR($B722),'Yield Curve'!$B$48:$P$48,0)))/100)</f>
        <v>1.0448999999999999</v>
      </c>
      <c r="AH724" s="183">
        <f>1+((INDEX('Yield Curve'!$B$48:$P$91,MATCH(ROUND(AH723,0),'Yield Curve'!$B$48:$B$91,0),MATCH(YEAR($B722),'Yield Curve'!$B$48:$P$48,0)))/100)</f>
        <v>1.0448999999999999</v>
      </c>
      <c r="AI724" s="183">
        <f>1+((INDEX('Yield Curve'!$B$48:$P$91,MATCH(ROUND(AI723,0),'Yield Curve'!$B$48:$B$91,0),MATCH(YEAR($B722),'Yield Curve'!$B$48:$P$48,0)))/100)</f>
        <v>1.0448999999999999</v>
      </c>
    </row>
    <row r="725" spans="2:35">
      <c r="B725" t="s">
        <v>212</v>
      </c>
      <c r="C725" s="182">
        <f>SUM(D725:AM725)</f>
        <v>98.622490419841284</v>
      </c>
      <c r="H725" s="182">
        <f t="shared" ref="H725" si="3430">H$717/(H724^H723)</f>
        <v>2.045991686321265</v>
      </c>
      <c r="I725" s="182">
        <f t="shared" ref="I725" si="3431">I$717/(I724^I723)</f>
        <v>2.0128998831531728</v>
      </c>
      <c r="J725" s="182">
        <f t="shared" ref="J725" si="3432">J$717/(J724^J723)</f>
        <v>1.9803433057361128</v>
      </c>
      <c r="K725" s="182">
        <f t="shared" ref="K725" si="3433">K$717/(K724^K723)</f>
        <v>1.9483132973461483</v>
      </c>
      <c r="L725" s="182">
        <f t="shared" ref="L725" si="3434">L$717/(L724^L723)</f>
        <v>1.9168013412729159</v>
      </c>
      <c r="M725" s="182">
        <f t="shared" ref="M725" si="3435">M$717/(M724^M723)</f>
        <v>1.8857990585550484</v>
      </c>
      <c r="N725" s="182">
        <f t="shared" ref="N725" si="3436">N$717/(N724^N723)</f>
        <v>1.8552982057522294</v>
      </c>
      <c r="O725" s="182">
        <f t="shared" ref="O725" si="3437">O$717/(O724^O723)</f>
        <v>1.8129771128675665</v>
      </c>
      <c r="P725" s="182">
        <f t="shared" ref="P725" si="3438">P$717/(P724^P723)</f>
        <v>1.7820592799016783</v>
      </c>
      <c r="Q725" s="182">
        <f t="shared" ref="Q725" si="3439">Q$717/(Q724^Q723)</f>
        <v>1.7367684711488363</v>
      </c>
      <c r="R725" s="182">
        <f t="shared" ref="R725" si="3440">R$717/(R724^R723)</f>
        <v>1.705626600117242</v>
      </c>
      <c r="S725" s="182">
        <f t="shared" ref="S725" si="3441">S$717/(S724^S723)</f>
        <v>1.6587853587126846</v>
      </c>
      <c r="T725" s="182">
        <f t="shared" ref="T725" si="3442">T$717/(T724^T723)</f>
        <v>1.6276687831108474</v>
      </c>
      <c r="U725" s="182">
        <f t="shared" ref="U725" si="3443">U$717/(U724^U723)</f>
        <v>1.5789997164278158</v>
      </c>
      <c r="V725" s="182">
        <f t="shared" ref="V725" si="3444">V$717/(V724^V723)</f>
        <v>1.5480761371826228</v>
      </c>
      <c r="W725" s="182">
        <f t="shared" ref="W725" si="3445">W$717/(W724^W723)</f>
        <v>1.5049032394213133</v>
      </c>
      <c r="X725" s="182">
        <f t="shared" ref="X725" si="3446">X$717/(X724^X723)</f>
        <v>1.4746248427275799</v>
      </c>
      <c r="Y725" s="182">
        <f t="shared" ref="Y725" si="3447">Y$717/(Y724^Y723)</f>
        <v>1.417525789128171</v>
      </c>
      <c r="Z725" s="182">
        <f t="shared" ref="Z725" si="3448">Z$717/(Z724^Z723)</f>
        <v>1.3874908378470778</v>
      </c>
      <c r="AA725" s="182">
        <f t="shared" ref="AA725" si="3449">AA$717/(AA724^AA723)</f>
        <v>1.343696751558243</v>
      </c>
      <c r="AB725" s="182">
        <f t="shared" ref="AB725" si="3450">AB$717/(AB724^AB723)</f>
        <v>1.3145100252625017</v>
      </c>
      <c r="AC725" s="182">
        <f t="shared" ref="AC725" si="3451">AC$717/(AC724^AC723)</f>
        <v>1.2859572701294317</v>
      </c>
      <c r="AD725" s="182">
        <f t="shared" ref="AD725" si="3452">AD$717/(AD724^AD723)</f>
        <v>1.2580247155349813</v>
      </c>
      <c r="AE725" s="182">
        <f t="shared" ref="AE725" si="3453">AE$717/(AE724^AE723)</f>
        <v>1.2306988899697882</v>
      </c>
      <c r="AF725" s="182">
        <f t="shared" ref="AF725" si="3454">AF$717/(AF724^AF723)</f>
        <v>1.2039666145420436</v>
      </c>
      <c r="AG725" s="182">
        <f t="shared" ref="AG725" si="3455">AG$717/(AG724^AG723)</f>
        <v>1.1778149966214837</v>
      </c>
      <c r="AH725" s="182">
        <f t="shared" ref="AH725" si="3456">AH$717/(AH724^AH723)</f>
        <v>1.152231423621441</v>
      </c>
      <c r="AI725" s="182">
        <f t="shared" ref="AI725" si="3457">AI$717/(AI724^AI723)</f>
        <v>55.774636785871039</v>
      </c>
    </row>
    <row r="726" spans="2:35">
      <c r="B726" s="135">
        <v>43646</v>
      </c>
    </row>
    <row r="727" spans="2:35">
      <c r="B727" t="s">
        <v>210</v>
      </c>
      <c r="J727" s="182">
        <f t="shared" ref="J727" si="3458">(J$716-$B726)/365</f>
        <v>0.28356164383561644</v>
      </c>
      <c r="K727" s="182">
        <f t="shared" ref="K727" si="3459">(K$716-$B726)/365</f>
        <v>0.78356164383561644</v>
      </c>
      <c r="L727" s="182">
        <f t="shared" ref="L727" si="3460">(L$716-$B726)/365</f>
        <v>1.2835616438356163</v>
      </c>
      <c r="M727" s="182">
        <f t="shared" ref="M727" si="3461">(M$716-$B726)/365</f>
        <v>1.7835616438356163</v>
      </c>
      <c r="N727" s="182">
        <f t="shared" ref="N727" si="3462">(N$716-$B726)/365</f>
        <v>2.2835616438356166</v>
      </c>
      <c r="O727" s="182">
        <f t="shared" ref="O727" si="3463">(O$716-$B726)/365</f>
        <v>2.7835616438356166</v>
      </c>
      <c r="P727" s="182">
        <f t="shared" ref="P727" si="3464">(P$716-$B726)/365</f>
        <v>3.2835616438356166</v>
      </c>
      <c r="Q727" s="182">
        <f t="shared" ref="Q727" si="3465">(Q$716-$B726)/365</f>
        <v>3.7835616438356166</v>
      </c>
      <c r="R727" s="182">
        <f t="shared" ref="R727" si="3466">(R$716-$B726)/365</f>
        <v>4.2835616438356166</v>
      </c>
      <c r="S727" s="182">
        <f t="shared" ref="S727" si="3467">(S$716-$B726)/365</f>
        <v>4.7835616438356166</v>
      </c>
      <c r="T727" s="182">
        <f t="shared" ref="T727" si="3468">(T$716-$B726)/365</f>
        <v>5.2835616438356166</v>
      </c>
      <c r="U727" s="182">
        <f t="shared" ref="U727" si="3469">(U$716-$B726)/365</f>
        <v>5.7835616438356166</v>
      </c>
      <c r="V727" s="182">
        <f t="shared" ref="V727" si="3470">(V$716-$B726)/365</f>
        <v>6.2835616438356166</v>
      </c>
      <c r="W727" s="182">
        <f t="shared" ref="W727" si="3471">(W$716-$B726)/365</f>
        <v>6.7835616438356166</v>
      </c>
      <c r="X727" s="182">
        <f t="shared" ref="X727" si="3472">(X$716-$B726)/365</f>
        <v>7.2835616438356166</v>
      </c>
      <c r="Y727" s="182">
        <f t="shared" ref="Y727" si="3473">(Y$716-$B726)/365</f>
        <v>7.7835616438356166</v>
      </c>
      <c r="Z727" s="182">
        <f t="shared" ref="Z727" si="3474">(Z$716-$B726)/365</f>
        <v>8.2835616438356166</v>
      </c>
      <c r="AA727" s="182">
        <f t="shared" ref="AA727" si="3475">(AA$716-$B726)/365</f>
        <v>8.7835616438356166</v>
      </c>
      <c r="AB727" s="182">
        <f t="shared" ref="AB727" si="3476">(AB$716-$B726)/365</f>
        <v>9.2835616438356166</v>
      </c>
      <c r="AC727" s="182">
        <f t="shared" ref="AC727" si="3477">(AC$716-$B726)/365</f>
        <v>9.7835616438356166</v>
      </c>
      <c r="AD727" s="182">
        <f t="shared" ref="AD727" si="3478">(AD$716-$B726)/365</f>
        <v>10.283561643835617</v>
      </c>
      <c r="AE727" s="182">
        <f t="shared" ref="AE727" si="3479">(AE$716-$B726)/365</f>
        <v>10.783561643835617</v>
      </c>
      <c r="AF727" s="182">
        <f t="shared" ref="AF727" si="3480">(AF$716-$B726)/365</f>
        <v>11.283561643835617</v>
      </c>
      <c r="AG727" s="182">
        <f t="shared" ref="AG727" si="3481">(AG$716-$B726)/365</f>
        <v>11.783561643835617</v>
      </c>
      <c r="AH727" s="182">
        <f t="shared" ref="AH727" si="3482">(AH$716-$B726)/365</f>
        <v>12.283561643835617</v>
      </c>
      <c r="AI727" s="182">
        <f t="shared" ref="AI727" si="3483">(AI$716-$B726)/365</f>
        <v>12.293150684931506</v>
      </c>
    </row>
    <row r="728" spans="2:35">
      <c r="B728" t="s">
        <v>211</v>
      </c>
      <c r="J728" s="183">
        <f>1+((INDEX('Yield Curve'!$B$48:$P$91,MATCH(ROUND(J727,0),'Yield Curve'!$B$48:$B$91,0),MATCH(YEAR($B726),'Yield Curve'!$B$48:$P$48,0)))/100)</f>
        <v>1.02305</v>
      </c>
      <c r="K728" s="183">
        <f>1+((INDEX('Yield Curve'!$B$48:$P$91,MATCH(ROUND(K727,0),'Yield Curve'!$B$48:$B$91,0),MATCH(YEAR($B726),'Yield Curve'!$B$48:$P$48,0)))/100)</f>
        <v>1.02305</v>
      </c>
      <c r="L728" s="183">
        <f>1+((INDEX('Yield Curve'!$B$48:$P$91,MATCH(ROUND(L727,0),'Yield Curve'!$B$48:$B$91,0),MATCH(YEAR($B726),'Yield Curve'!$B$48:$P$48,0)))/100)</f>
        <v>1.02305</v>
      </c>
      <c r="M728" s="183">
        <f>1+((INDEX('Yield Curve'!$B$48:$P$91,MATCH(ROUND(M727,0),'Yield Curve'!$B$48:$B$91,0),MATCH(YEAR($B726),'Yield Curve'!$B$48:$P$48,0)))/100)</f>
        <v>1.02305</v>
      </c>
      <c r="N728" s="183">
        <f>1+((INDEX('Yield Curve'!$B$48:$P$91,MATCH(ROUND(N727,0),'Yield Curve'!$B$48:$B$91,0),MATCH(YEAR($B726),'Yield Curve'!$B$48:$P$48,0)))/100)</f>
        <v>1.02305</v>
      </c>
      <c r="O728" s="183">
        <f>1+((INDEX('Yield Curve'!$B$48:$P$91,MATCH(ROUND(O727,0),'Yield Curve'!$B$48:$B$91,0),MATCH(YEAR($B726),'Yield Curve'!$B$48:$P$48,0)))/100)</f>
        <v>1.02305</v>
      </c>
      <c r="P728" s="183">
        <f>1+((INDEX('Yield Curve'!$B$48:$P$91,MATCH(ROUND(P727,0),'Yield Curve'!$B$48:$B$91,0),MATCH(YEAR($B726),'Yield Curve'!$B$48:$P$48,0)))/100)</f>
        <v>1.02305</v>
      </c>
      <c r="Q728" s="183">
        <f>1+((INDEX('Yield Curve'!$B$48:$P$91,MATCH(ROUND(Q727,0),'Yield Curve'!$B$48:$B$91,0),MATCH(YEAR($B726),'Yield Curve'!$B$48:$P$48,0)))/100)</f>
        <v>1.024575</v>
      </c>
      <c r="R728" s="183">
        <f>1+((INDEX('Yield Curve'!$B$48:$P$91,MATCH(ROUND(R727,0),'Yield Curve'!$B$48:$B$91,0),MATCH(YEAR($B726),'Yield Curve'!$B$48:$P$48,0)))/100)</f>
        <v>1.024575</v>
      </c>
      <c r="S728" s="183">
        <f>1+((INDEX('Yield Curve'!$B$48:$P$91,MATCH(ROUND(S727,0),'Yield Curve'!$B$48:$B$91,0),MATCH(YEAR($B726),'Yield Curve'!$B$48:$P$48,0)))/100)</f>
        <v>1.0261</v>
      </c>
      <c r="T728" s="183">
        <f>1+((INDEX('Yield Curve'!$B$48:$P$91,MATCH(ROUND(T727,0),'Yield Curve'!$B$48:$B$91,0),MATCH(YEAR($B726),'Yield Curve'!$B$48:$P$48,0)))/100)</f>
        <v>1.0261</v>
      </c>
      <c r="U728" s="183">
        <f>1+((INDEX('Yield Curve'!$B$48:$P$91,MATCH(ROUND(U727,0),'Yield Curve'!$B$48:$B$91,0),MATCH(YEAR($B726),'Yield Curve'!$B$48:$P$48,0)))/100)</f>
        <v>1.028375</v>
      </c>
      <c r="V728" s="183">
        <f>1+((INDEX('Yield Curve'!$B$48:$P$91,MATCH(ROUND(V727,0),'Yield Curve'!$B$48:$B$91,0),MATCH(YEAR($B726),'Yield Curve'!$B$48:$P$48,0)))/100)</f>
        <v>1.028375</v>
      </c>
      <c r="W728" s="183">
        <f>1+((INDEX('Yield Curve'!$B$48:$P$91,MATCH(ROUND(W727,0),'Yield Curve'!$B$48:$B$91,0),MATCH(YEAR($B726),'Yield Curve'!$B$48:$P$48,0)))/100)</f>
        <v>1.0306500000000001</v>
      </c>
      <c r="X728" s="183">
        <f>1+((INDEX('Yield Curve'!$B$48:$P$91,MATCH(ROUND(X727,0),'Yield Curve'!$B$48:$B$91,0),MATCH(YEAR($B726),'Yield Curve'!$B$48:$P$48,0)))/100)</f>
        <v>1.0306500000000001</v>
      </c>
      <c r="Y728" s="183">
        <f>1+((INDEX('Yield Curve'!$B$48:$P$91,MATCH(ROUND(Y727,0),'Yield Curve'!$B$48:$B$91,0),MATCH(YEAR($B726),'Yield Curve'!$B$48:$P$48,0)))/100)</f>
        <v>1.0318624999999999</v>
      </c>
      <c r="Z728" s="183">
        <f>1+((INDEX('Yield Curve'!$B$48:$P$91,MATCH(ROUND(Z727,0),'Yield Curve'!$B$48:$B$91,0),MATCH(YEAR($B726),'Yield Curve'!$B$48:$P$48,0)))/100)</f>
        <v>1.0318624999999999</v>
      </c>
      <c r="AA728" s="183">
        <f>1+((INDEX('Yield Curve'!$B$48:$P$91,MATCH(ROUND(AA727,0),'Yield Curve'!$B$48:$B$91,0),MATCH(YEAR($B726),'Yield Curve'!$B$48:$P$48,0)))/100)</f>
        <v>1.0342875</v>
      </c>
      <c r="AB728" s="183">
        <f>1+((INDEX('Yield Curve'!$B$48:$P$91,MATCH(ROUND(AB727,0),'Yield Curve'!$B$48:$B$91,0),MATCH(YEAR($B726),'Yield Curve'!$B$48:$P$48,0)))/100)</f>
        <v>1.0342875</v>
      </c>
      <c r="AC728" s="183">
        <f>1+((INDEX('Yield Curve'!$B$48:$P$91,MATCH(ROUND(AC727,0),'Yield Curve'!$B$48:$B$91,0),MATCH(YEAR($B726),'Yield Curve'!$B$48:$P$48,0)))/100)</f>
        <v>1.0355000000000001</v>
      </c>
      <c r="AD728" s="183">
        <f>1+((INDEX('Yield Curve'!$B$48:$P$91,MATCH(ROUND(AD727,0),'Yield Curve'!$B$48:$B$91,0),MATCH(YEAR($B726),'Yield Curve'!$B$48:$P$48,0)))/100)</f>
        <v>1.0355000000000001</v>
      </c>
      <c r="AE728" s="183">
        <f>1+((INDEX('Yield Curve'!$B$48:$P$91,MATCH(ROUND(AE727,0),'Yield Curve'!$B$48:$B$91,0),MATCH(YEAR($B726),'Yield Curve'!$B$48:$P$48,0)))/100)</f>
        <v>1.0355000000000001</v>
      </c>
      <c r="AF728" s="183">
        <f>1+((INDEX('Yield Curve'!$B$48:$P$91,MATCH(ROUND(AF727,0),'Yield Curve'!$B$48:$B$91,0),MATCH(YEAR($B726),'Yield Curve'!$B$48:$P$48,0)))/100)</f>
        <v>1.0355000000000001</v>
      </c>
      <c r="AG728" s="183">
        <f>1+((INDEX('Yield Curve'!$B$48:$P$91,MATCH(ROUND(AG727,0),'Yield Curve'!$B$48:$B$91,0),MATCH(YEAR($B726),'Yield Curve'!$B$48:$P$48,0)))/100)</f>
        <v>1.0355000000000001</v>
      </c>
      <c r="AH728" s="183">
        <f>1+((INDEX('Yield Curve'!$B$48:$P$91,MATCH(ROUND(AH727,0),'Yield Curve'!$B$48:$B$91,0),MATCH(YEAR($B726),'Yield Curve'!$B$48:$P$48,0)))/100)</f>
        <v>1.0355000000000001</v>
      </c>
      <c r="AI728" s="183">
        <f>1+((INDEX('Yield Curve'!$B$48:$P$91,MATCH(ROUND(AI727,0),'Yield Curve'!$B$48:$B$91,0),MATCH(YEAR($B726),'Yield Curve'!$B$48:$P$48,0)))/100)</f>
        <v>1.0355000000000001</v>
      </c>
    </row>
    <row r="729" spans="2:35">
      <c r="B729" t="s">
        <v>212</v>
      </c>
      <c r="C729" s="182">
        <f>SUM(D729:AM729)</f>
        <v>107.90176832607069</v>
      </c>
      <c r="J729" s="182">
        <f t="shared" ref="J729" si="3484">J$717/(J728^J727)</f>
        <v>2.0516991861702283</v>
      </c>
      <c r="K729" s="182">
        <f t="shared" ref="K729" si="3485">K$717/(K728^K727)</f>
        <v>2.0284544336046304</v>
      </c>
      <c r="L729" s="182">
        <f t="shared" ref="L729" si="3486">L$717/(L728^L727)</f>
        <v>2.0054730327649954</v>
      </c>
      <c r="M729" s="182">
        <f t="shared" ref="M729" si="3487">M$717/(M728^M727)</f>
        <v>1.982752000004526</v>
      </c>
      <c r="N729" s="182">
        <f t="shared" ref="N729" si="3488">N$717/(N728^N727)</f>
        <v>1.9602883854796886</v>
      </c>
      <c r="O729" s="182">
        <f t="shared" ref="O729" si="3489">O$717/(O728^O727)</f>
        <v>1.9380792727672411</v>
      </c>
      <c r="P729" s="182">
        <f t="shared" ref="P729" si="3490">P$717/(P728^P727)</f>
        <v>1.9161217784855955</v>
      </c>
      <c r="Q729" s="182">
        <f t="shared" ref="Q729" si="3491">Q$717/(Q728^Q727)</f>
        <v>1.8837666764442826</v>
      </c>
      <c r="R729" s="182">
        <f t="shared" ref="R729" si="3492">R$717/(R728^R727)</f>
        <v>1.8610379644524417</v>
      </c>
      <c r="S729" s="182">
        <f t="shared" ref="S729" si="3493">S$717/(S728^S727)</f>
        <v>1.8255490045812646</v>
      </c>
      <c r="T729" s="182">
        <f t="shared" ref="T729" si="3494">T$717/(T728^T727)</f>
        <v>1.802182016768785</v>
      </c>
      <c r="U729" s="182">
        <f t="shared" ref="U729" si="3495">U$717/(U728^U727)</f>
        <v>1.7564712556198676</v>
      </c>
      <c r="V729" s="182">
        <f t="shared" ref="V729" si="3496">V$717/(V728^V727)</f>
        <v>1.7320694106304881</v>
      </c>
      <c r="W729" s="182">
        <f t="shared" ref="W729" si="3497">W$717/(W728^W727)</f>
        <v>1.6825941360426955</v>
      </c>
      <c r="X729" s="182">
        <f t="shared" ref="X729" si="3498">X$717/(X728^X727)</f>
        <v>1.6573863862666738</v>
      </c>
      <c r="Y729" s="182">
        <f t="shared" ref="Y729" si="3499">Y$717/(Y728^Y727)</f>
        <v>1.6176840582842533</v>
      </c>
      <c r="Z729" s="182">
        <f t="shared" ref="Z729" si="3500">Z$717/(Z728^Z727)</f>
        <v>1.5925122836531354</v>
      </c>
      <c r="AA729" s="182">
        <f t="shared" ref="AA729" si="3501">AA$717/(AA728^AA727)</f>
        <v>1.5357393267743735</v>
      </c>
      <c r="AB729" s="182">
        <f t="shared" ref="AB729" si="3502">AB$717/(AB728^AB727)</f>
        <v>1.5100692629254453</v>
      </c>
      <c r="AC729" s="182">
        <f t="shared" ref="AC729" si="3503">AC$717/(AC728^AC727)</f>
        <v>1.46790546425306</v>
      </c>
      <c r="AD729" s="182">
        <f t="shared" ref="AD729" si="3504">AD$717/(AD728^AD727)</f>
        <v>1.4425239603317961</v>
      </c>
      <c r="AE729" s="182">
        <f t="shared" ref="AE729" si="3505">AE$717/(AE728^AE727)</f>
        <v>1.4175813271396038</v>
      </c>
      <c r="AF729" s="182">
        <f t="shared" ref="AF729" si="3506">AF$717/(AF728^AF727)</f>
        <v>1.393069976177495</v>
      </c>
      <c r="AG729" s="182">
        <f t="shared" ref="AG729" si="3507">AG$717/(AG728^AG727)</f>
        <v>1.3689824501589607</v>
      </c>
      <c r="AH729" s="182">
        <f t="shared" ref="AH729" si="3508">AH$717/(AH728^AH727)</f>
        <v>1.3453114207411827</v>
      </c>
      <c r="AI729" s="182">
        <f t="shared" ref="AI729" si="3509">AI$717/(AI728^AI727)</f>
        <v>65.126463855547982</v>
      </c>
    </row>
    <row r="730" spans="2:35">
      <c r="B730" s="135">
        <v>44012</v>
      </c>
    </row>
    <row r="731" spans="2:35">
      <c r="B731" t="s">
        <v>210</v>
      </c>
      <c r="L731" s="182">
        <f t="shared" ref="L731" si="3510">(L$716-$B730)/365</f>
        <v>0.28082191780821919</v>
      </c>
      <c r="M731" s="182">
        <f t="shared" ref="M731" si="3511">(M$716-$B730)/365</f>
        <v>0.78082191780821919</v>
      </c>
      <c r="N731" s="182">
        <f t="shared" ref="N731" si="3512">(N$716-$B730)/365</f>
        <v>1.2808219178082192</v>
      </c>
      <c r="O731" s="182">
        <f t="shared" ref="O731" si="3513">(O$716-$B730)/365</f>
        <v>1.7808219178082192</v>
      </c>
      <c r="P731" s="182">
        <f t="shared" ref="P731" si="3514">(P$716-$B730)/365</f>
        <v>2.2808219178082192</v>
      </c>
      <c r="Q731" s="182">
        <f t="shared" ref="Q731" si="3515">(Q$716-$B730)/365</f>
        <v>2.7808219178082192</v>
      </c>
      <c r="R731" s="182">
        <f t="shared" ref="R731" si="3516">(R$716-$B730)/365</f>
        <v>3.2808219178082192</v>
      </c>
      <c r="S731" s="182">
        <f t="shared" ref="S731" si="3517">(S$716-$B730)/365</f>
        <v>3.7808219178082192</v>
      </c>
      <c r="T731" s="182">
        <f t="shared" ref="T731" si="3518">(T$716-$B730)/365</f>
        <v>4.2808219178082192</v>
      </c>
      <c r="U731" s="182">
        <f t="shared" ref="U731" si="3519">(U$716-$B730)/365</f>
        <v>4.7808219178082192</v>
      </c>
      <c r="V731" s="182">
        <f t="shared" ref="V731" si="3520">(V$716-$B730)/365</f>
        <v>5.2808219178082192</v>
      </c>
      <c r="W731" s="182">
        <f t="shared" ref="W731" si="3521">(W$716-$B730)/365</f>
        <v>5.7808219178082192</v>
      </c>
      <c r="X731" s="182">
        <f t="shared" ref="X731" si="3522">(X$716-$B730)/365</f>
        <v>6.2808219178082192</v>
      </c>
      <c r="Y731" s="182">
        <f t="shared" ref="Y731" si="3523">(Y$716-$B730)/365</f>
        <v>6.7808219178082192</v>
      </c>
      <c r="Z731" s="182">
        <f t="shared" ref="Z731" si="3524">(Z$716-$B730)/365</f>
        <v>7.2808219178082192</v>
      </c>
      <c r="AA731" s="182">
        <f t="shared" ref="AA731" si="3525">(AA$716-$B730)/365</f>
        <v>7.7808219178082192</v>
      </c>
      <c r="AB731" s="182">
        <f t="shared" ref="AB731" si="3526">(AB$716-$B730)/365</f>
        <v>8.2808219178082183</v>
      </c>
      <c r="AC731" s="182">
        <f t="shared" ref="AC731" si="3527">(AC$716-$B730)/365</f>
        <v>8.7808219178082183</v>
      </c>
      <c r="AD731" s="182">
        <f t="shared" ref="AD731" si="3528">(AD$716-$B730)/365</f>
        <v>9.2808219178082183</v>
      </c>
      <c r="AE731" s="182">
        <f t="shared" ref="AE731" si="3529">(AE$716-$B730)/365</f>
        <v>9.7808219178082183</v>
      </c>
      <c r="AF731" s="182">
        <f t="shared" ref="AF731" si="3530">(AF$716-$B730)/365</f>
        <v>10.280821917808218</v>
      </c>
      <c r="AG731" s="182">
        <f t="shared" ref="AG731" si="3531">(AG$716-$B730)/365</f>
        <v>10.780821917808218</v>
      </c>
      <c r="AH731" s="182">
        <f t="shared" ref="AH731" si="3532">(AH$716-$B730)/365</f>
        <v>11.280821917808218</v>
      </c>
      <c r="AI731" s="182">
        <f t="shared" ref="AI731" si="3533">(AI$716-$B730)/365</f>
        <v>11.29041095890411</v>
      </c>
    </row>
    <row r="732" spans="2:35">
      <c r="B732" t="s">
        <v>211</v>
      </c>
      <c r="L732" s="183">
        <f>1+((INDEX('Yield Curve'!$B$48:$P$91,MATCH(ROUND(L731,0),'Yield Curve'!$B$48:$B$91,0),MATCH(YEAR($B730),'Yield Curve'!$B$48:$P$48,0)))/100)</f>
        <v>1.02105</v>
      </c>
      <c r="M732" s="183">
        <f>1+((INDEX('Yield Curve'!$B$48:$P$91,MATCH(ROUND(M731,0),'Yield Curve'!$B$48:$B$91,0),MATCH(YEAR($B730),'Yield Curve'!$B$48:$P$48,0)))/100)</f>
        <v>1.02105</v>
      </c>
      <c r="N732" s="183">
        <f>1+((INDEX('Yield Curve'!$B$48:$P$91,MATCH(ROUND(N731,0),'Yield Curve'!$B$48:$B$91,0),MATCH(YEAR($B730),'Yield Curve'!$B$48:$P$48,0)))/100)</f>
        <v>1.02105</v>
      </c>
      <c r="O732" s="183">
        <f>1+((INDEX('Yield Curve'!$B$48:$P$91,MATCH(ROUND(O731,0),'Yield Curve'!$B$48:$B$91,0),MATCH(YEAR($B730),'Yield Curve'!$B$48:$P$48,0)))/100)</f>
        <v>1.02105</v>
      </c>
      <c r="P732" s="183">
        <f>1+((INDEX('Yield Curve'!$B$48:$P$91,MATCH(ROUND(P731,0),'Yield Curve'!$B$48:$B$91,0),MATCH(YEAR($B730),'Yield Curve'!$B$48:$P$48,0)))/100)</f>
        <v>1.02105</v>
      </c>
      <c r="Q732" s="183">
        <f>1+((INDEX('Yield Curve'!$B$48:$P$91,MATCH(ROUND(Q731,0),'Yield Curve'!$B$48:$B$91,0),MATCH(YEAR($B730),'Yield Curve'!$B$48:$P$48,0)))/100)</f>
        <v>1.02105</v>
      </c>
      <c r="R732" s="183">
        <f>1+((INDEX('Yield Curve'!$B$48:$P$91,MATCH(ROUND(R731,0),'Yield Curve'!$B$48:$B$91,0),MATCH(YEAR($B730),'Yield Curve'!$B$48:$P$48,0)))/100)</f>
        <v>1.02105</v>
      </c>
      <c r="S732" s="183">
        <f>1+((INDEX('Yield Curve'!$B$48:$P$91,MATCH(ROUND(S731,0),'Yield Curve'!$B$48:$B$91,0),MATCH(YEAR($B730),'Yield Curve'!$B$48:$P$48,0)))/100)</f>
        <v>1.0229999999999999</v>
      </c>
      <c r="T732" s="183">
        <f>1+((INDEX('Yield Curve'!$B$48:$P$91,MATCH(ROUND(T731,0),'Yield Curve'!$B$48:$B$91,0),MATCH(YEAR($B730),'Yield Curve'!$B$48:$P$48,0)))/100)</f>
        <v>1.0229999999999999</v>
      </c>
      <c r="U732" s="183">
        <f>1+((INDEX('Yield Curve'!$B$48:$P$91,MATCH(ROUND(U731,0),'Yield Curve'!$B$48:$B$91,0),MATCH(YEAR($B730),'Yield Curve'!$B$48:$P$48,0)))/100)</f>
        <v>1.02495</v>
      </c>
      <c r="V732" s="183">
        <f>1+((INDEX('Yield Curve'!$B$48:$P$91,MATCH(ROUND(V731,0),'Yield Curve'!$B$48:$B$91,0),MATCH(YEAR($B730),'Yield Curve'!$B$48:$P$48,0)))/100)</f>
        <v>1.02495</v>
      </c>
      <c r="W732" s="183">
        <f>1+((INDEX('Yield Curve'!$B$48:$P$91,MATCH(ROUND(W731,0),'Yield Curve'!$B$48:$B$91,0),MATCH(YEAR($B730),'Yield Curve'!$B$48:$P$48,0)))/100)</f>
        <v>1.0282249999999999</v>
      </c>
      <c r="X732" s="183">
        <f>1+((INDEX('Yield Curve'!$B$48:$P$91,MATCH(ROUND(X731,0),'Yield Curve'!$B$48:$B$91,0),MATCH(YEAR($B730),'Yield Curve'!$B$48:$P$48,0)))/100)</f>
        <v>1.0282249999999999</v>
      </c>
      <c r="Y732" s="183">
        <f>1+((INDEX('Yield Curve'!$B$48:$P$91,MATCH(ROUND(Y731,0),'Yield Curve'!$B$48:$B$91,0),MATCH(YEAR($B730),'Yield Curve'!$B$48:$P$48,0)))/100)</f>
        <v>1.0315000000000001</v>
      </c>
      <c r="Z732" s="183">
        <f>1+((INDEX('Yield Curve'!$B$48:$P$91,MATCH(ROUND(Z731,0),'Yield Curve'!$B$48:$B$91,0),MATCH(YEAR($B730),'Yield Curve'!$B$48:$P$48,0)))/100)</f>
        <v>1.0315000000000001</v>
      </c>
      <c r="AA732" s="183">
        <f>1+((INDEX('Yield Curve'!$B$48:$P$91,MATCH(ROUND(AA731,0),'Yield Curve'!$B$48:$B$91,0),MATCH(YEAR($B730),'Yield Curve'!$B$48:$P$48,0)))/100)</f>
        <v>1.0322499999999999</v>
      </c>
      <c r="AB732" s="183">
        <f>1+((INDEX('Yield Curve'!$B$48:$P$91,MATCH(ROUND(AB731,0),'Yield Curve'!$B$48:$B$91,0),MATCH(YEAR($B730),'Yield Curve'!$B$48:$P$48,0)))/100)</f>
        <v>1.0322499999999999</v>
      </c>
      <c r="AC732" s="183">
        <f>1+((INDEX('Yield Curve'!$B$48:$P$91,MATCH(ROUND(AC731,0),'Yield Curve'!$B$48:$B$91,0),MATCH(YEAR($B730),'Yield Curve'!$B$48:$P$48,0)))/100)</f>
        <v>1.0337499999999999</v>
      </c>
      <c r="AD732" s="183">
        <f>1+((INDEX('Yield Curve'!$B$48:$P$91,MATCH(ROUND(AD731,0),'Yield Curve'!$B$48:$B$91,0),MATCH(YEAR($B730),'Yield Curve'!$B$48:$P$48,0)))/100)</f>
        <v>1.0337499999999999</v>
      </c>
      <c r="AE732" s="183">
        <f>1+((INDEX('Yield Curve'!$B$48:$P$91,MATCH(ROUND(AE731,0),'Yield Curve'!$B$48:$B$91,0),MATCH(YEAR($B730),'Yield Curve'!$B$48:$P$48,0)))/100)</f>
        <v>1.0345</v>
      </c>
      <c r="AF732" s="183">
        <f>1+((INDEX('Yield Curve'!$B$48:$P$91,MATCH(ROUND(AF731,0),'Yield Curve'!$B$48:$B$91,0),MATCH(YEAR($B730),'Yield Curve'!$B$48:$P$48,0)))/100)</f>
        <v>1.0345</v>
      </c>
      <c r="AG732" s="183">
        <f>1+((INDEX('Yield Curve'!$B$48:$P$91,MATCH(ROUND(AG731,0),'Yield Curve'!$B$48:$B$91,0),MATCH(YEAR($B730),'Yield Curve'!$B$48:$P$48,0)))/100)</f>
        <v>1.0345</v>
      </c>
      <c r="AH732" s="183">
        <f>1+((INDEX('Yield Curve'!$B$48:$P$91,MATCH(ROUND(AH731,0),'Yield Curve'!$B$48:$B$91,0),MATCH(YEAR($B730),'Yield Curve'!$B$48:$P$48,0)))/100)</f>
        <v>1.0345</v>
      </c>
      <c r="AI732" s="183">
        <f>1+((INDEX('Yield Curve'!$B$48:$P$91,MATCH(ROUND(AI731,0),'Yield Curve'!$B$48:$B$91,0),MATCH(YEAR($B730),'Yield Curve'!$B$48:$P$48,0)))/100)</f>
        <v>1.0345</v>
      </c>
    </row>
    <row r="733" spans="2:35">
      <c r="B733" t="s">
        <v>212</v>
      </c>
      <c r="C733" s="182">
        <f>SUM(D733:AM733)</f>
        <v>108.38725398017976</v>
      </c>
      <c r="L733" s="182">
        <f t="shared" ref="L733" si="3534">L$717/(L732^L731)</f>
        <v>2.0529551299275606</v>
      </c>
      <c r="M733" s="182">
        <f t="shared" ref="M733" si="3535">M$717/(M732^M731)</f>
        <v>2.0316830275142799</v>
      </c>
      <c r="N733" s="182">
        <f t="shared" ref="N733" si="3536">N$717/(N732^N731)</f>
        <v>2.0106313402160132</v>
      </c>
      <c r="O733" s="182">
        <f t="shared" ref="O733" si="3537">O$717/(O732^O731)</f>
        <v>1.989797784157759</v>
      </c>
      <c r="P733" s="182">
        <f t="shared" ref="P733" si="3538">P$717/(P732^P731)</f>
        <v>1.9691800991293407</v>
      </c>
      <c r="Q733" s="182">
        <f t="shared" ref="Q733" si="3539">Q$717/(Q732^Q731)</f>
        <v>1.9487760483401979</v>
      </c>
      <c r="R733" s="182">
        <f t="shared" ref="R733" si="3540">R$717/(R732^R731)</f>
        <v>1.9285834181767207</v>
      </c>
      <c r="S733" s="182">
        <f t="shared" ref="S733" si="3541">S$717/(S732^S731)</f>
        <v>1.8948814470976483</v>
      </c>
      <c r="T733" s="182">
        <f t="shared" ref="T733" si="3542">T$717/(T732^T731)</f>
        <v>1.8734591449235893</v>
      </c>
      <c r="U733" s="182">
        <f t="shared" ref="U733" si="3543">U$717/(U732^U731)</f>
        <v>1.8354918054134208</v>
      </c>
      <c r="V733" s="182">
        <f t="shared" ref="V733" si="3544">V$717/(V732^V731)</f>
        <v>1.8130138010027097</v>
      </c>
      <c r="W733" s="182">
        <f t="shared" ref="W733" si="3545">W$717/(W732^W731)</f>
        <v>1.7580878055566371</v>
      </c>
      <c r="X733" s="182">
        <f t="shared" ref="X733" si="3546">X$717/(X732^X731)</f>
        <v>1.733789953527701</v>
      </c>
      <c r="Y733" s="182">
        <f t="shared" ref="Y733" si="3547">Y$717/(Y732^Y731)</f>
        <v>1.6733530912442864</v>
      </c>
      <c r="Z733" s="182">
        <f t="shared" ref="Z733" si="3548">Z$717/(Z732^Z731)</f>
        <v>1.6476045179526848</v>
      </c>
      <c r="AA733" s="182">
        <f t="shared" ref="AA733" si="3549">AA$717/(AA732^AA731)</f>
        <v>1.6131036344992398</v>
      </c>
      <c r="AB733" s="182">
        <f t="shared" ref="AB733" si="3550">AB$717/(AB732^AB731)</f>
        <v>1.5877050419404444</v>
      </c>
      <c r="AC733" s="182">
        <f t="shared" ref="AC733" si="3551">AC$717/(AC732^AC731)</f>
        <v>1.5429076044661021</v>
      </c>
      <c r="AD733" s="182">
        <f t="shared" ref="AD733" si="3552">AD$717/(AD732^AD731)</f>
        <v>1.5175120846730452</v>
      </c>
      <c r="AE733" s="182">
        <f t="shared" ref="AE733" si="3553">AE$717/(AE732^AE731)</f>
        <v>1.4819846577065621</v>
      </c>
      <c r="AF733" s="182">
        <f t="shared" ref="AF733" si="3554">AF$717/(AF732^AF731)</f>
        <v>1.4570634363646473</v>
      </c>
      <c r="AG733" s="182">
        <f t="shared" ref="AG733" si="3555">AG$717/(AG732^AG731)</f>
        <v>1.4325612930947917</v>
      </c>
      <c r="AH733" s="182">
        <f t="shared" ref="AH733" si="3556">AH$717/(AH732^AH731)</f>
        <v>1.4084711806328154</v>
      </c>
      <c r="AI733" s="182">
        <f t="shared" ref="AI733" si="3557">AI$717/(AI732^AI731)</f>
        <v>68.184656632621554</v>
      </c>
    </row>
    <row r="734" spans="2:35">
      <c r="B734" s="135">
        <v>44377</v>
      </c>
    </row>
    <row r="735" spans="2:35">
      <c r="B735" t="s">
        <v>210</v>
      </c>
      <c r="N735" s="182">
        <f t="shared" ref="N735" si="3558">(N$716-$B734)/365</f>
        <v>0.28082191780821919</v>
      </c>
      <c r="O735" s="182">
        <f t="shared" ref="O735" si="3559">(O$716-$B734)/365</f>
        <v>0.78082191780821919</v>
      </c>
      <c r="P735" s="182">
        <f t="shared" ref="P735" si="3560">(P$716-$B734)/365</f>
        <v>1.2808219178082192</v>
      </c>
      <c r="Q735" s="182">
        <f t="shared" ref="Q735" si="3561">(Q$716-$B734)/365</f>
        <v>1.7808219178082192</v>
      </c>
      <c r="R735" s="182">
        <f t="shared" ref="R735" si="3562">(R$716-$B734)/365</f>
        <v>2.2808219178082192</v>
      </c>
      <c r="S735" s="182">
        <f t="shared" ref="S735" si="3563">(S$716-$B734)/365</f>
        <v>2.7808219178082192</v>
      </c>
      <c r="T735" s="182">
        <f t="shared" ref="T735" si="3564">(T$716-$B734)/365</f>
        <v>3.2808219178082192</v>
      </c>
      <c r="U735" s="182">
        <f t="shared" ref="U735" si="3565">(U$716-$B734)/365</f>
        <v>3.7808219178082192</v>
      </c>
      <c r="V735" s="182">
        <f t="shared" ref="V735" si="3566">(V$716-$B734)/365</f>
        <v>4.2808219178082192</v>
      </c>
      <c r="W735" s="182">
        <f t="shared" ref="W735" si="3567">(W$716-$B734)/365</f>
        <v>4.7808219178082192</v>
      </c>
      <c r="X735" s="182">
        <f t="shared" ref="X735" si="3568">(X$716-$B734)/365</f>
        <v>5.2808219178082192</v>
      </c>
      <c r="Y735" s="182">
        <f t="shared" ref="Y735" si="3569">(Y$716-$B734)/365</f>
        <v>5.7808219178082192</v>
      </c>
      <c r="Z735" s="182">
        <f t="shared" ref="Z735" si="3570">(Z$716-$B734)/365</f>
        <v>6.2808219178082192</v>
      </c>
      <c r="AA735" s="182">
        <f t="shared" ref="AA735" si="3571">(AA$716-$B734)/365</f>
        <v>6.7808219178082192</v>
      </c>
      <c r="AB735" s="182">
        <f t="shared" ref="AB735" si="3572">(AB$716-$B734)/365</f>
        <v>7.2808219178082192</v>
      </c>
      <c r="AC735" s="182">
        <f t="shared" ref="AC735" si="3573">(AC$716-$B734)/365</f>
        <v>7.7808219178082192</v>
      </c>
      <c r="AD735" s="182">
        <f t="shared" ref="AD735" si="3574">(AD$716-$B734)/365</f>
        <v>8.2808219178082183</v>
      </c>
      <c r="AE735" s="182">
        <f t="shared" ref="AE735" si="3575">(AE$716-$B734)/365</f>
        <v>8.7808219178082183</v>
      </c>
      <c r="AF735" s="182">
        <f t="shared" ref="AF735" si="3576">(AF$716-$B734)/365</f>
        <v>9.2808219178082183</v>
      </c>
      <c r="AG735" s="182">
        <f t="shared" ref="AG735" si="3577">(AG$716-$B734)/365</f>
        <v>9.7808219178082183</v>
      </c>
      <c r="AH735" s="182">
        <f t="shared" ref="AH735" si="3578">(AH$716-$B734)/365</f>
        <v>10.280821917808218</v>
      </c>
      <c r="AI735" s="182">
        <f t="shared" ref="AI735" si="3579">(AI$716-$B734)/365</f>
        <v>10.29041095890411</v>
      </c>
    </row>
    <row r="736" spans="2:35">
      <c r="B736" t="s">
        <v>211</v>
      </c>
      <c r="N736" s="183">
        <f>1+((INDEX('Yield Curve'!$B$48:$P$91,MATCH(ROUND(N735,0),'Yield Curve'!$B$48:$B$91,0),MATCH(YEAR($B734),'Yield Curve'!$B$48:$P$48,0)))/100)</f>
        <v>1.0129999999999999</v>
      </c>
      <c r="O736" s="183">
        <f>1+((INDEX('Yield Curve'!$B$48:$P$91,MATCH(ROUND(O735,0),'Yield Curve'!$B$48:$B$91,0),MATCH(YEAR($B734),'Yield Curve'!$B$48:$P$48,0)))/100)</f>
        <v>1.0129999999999999</v>
      </c>
      <c r="P736" s="183">
        <f>1+((INDEX('Yield Curve'!$B$48:$P$91,MATCH(ROUND(P735,0),'Yield Curve'!$B$48:$B$91,0),MATCH(YEAR($B734),'Yield Curve'!$B$48:$P$48,0)))/100)</f>
        <v>1.0129999999999999</v>
      </c>
      <c r="Q736" s="183">
        <f>1+((INDEX('Yield Curve'!$B$48:$P$91,MATCH(ROUND(Q735,0),'Yield Curve'!$B$48:$B$91,0),MATCH(YEAR($B734),'Yield Curve'!$B$48:$P$48,0)))/100)</f>
        <v>1.0129999999999999</v>
      </c>
      <c r="R736" s="183">
        <f>1+((INDEX('Yield Curve'!$B$48:$P$91,MATCH(ROUND(R735,0),'Yield Curve'!$B$48:$B$91,0),MATCH(YEAR($B734),'Yield Curve'!$B$48:$P$48,0)))/100)</f>
        <v>1.0129999999999999</v>
      </c>
      <c r="S736" s="183">
        <f>1+((INDEX('Yield Curve'!$B$48:$P$91,MATCH(ROUND(S735,0),'Yield Curve'!$B$48:$B$91,0),MATCH(YEAR($B734),'Yield Curve'!$B$48:$P$48,0)))/100)</f>
        <v>1.0129999999999999</v>
      </c>
      <c r="T736" s="183">
        <f>1+((INDEX('Yield Curve'!$B$48:$P$91,MATCH(ROUND(T735,0),'Yield Curve'!$B$48:$B$91,0),MATCH(YEAR($B734),'Yield Curve'!$B$48:$P$48,0)))/100)</f>
        <v>1.0129999999999999</v>
      </c>
      <c r="U736" s="183">
        <f>1+((INDEX('Yield Curve'!$B$48:$P$91,MATCH(ROUND(U735,0),'Yield Curve'!$B$48:$B$91,0),MATCH(YEAR($B734),'Yield Curve'!$B$48:$P$48,0)))/100)</f>
        <v>1.0161249999999999</v>
      </c>
      <c r="V736" s="183">
        <f>1+((INDEX('Yield Curve'!$B$48:$P$91,MATCH(ROUND(V735,0),'Yield Curve'!$B$48:$B$91,0),MATCH(YEAR($B734),'Yield Curve'!$B$48:$P$48,0)))/100)</f>
        <v>1.0161249999999999</v>
      </c>
      <c r="W736" s="183">
        <f>1+((INDEX('Yield Curve'!$B$48:$P$91,MATCH(ROUND(W735,0),'Yield Curve'!$B$48:$B$91,0),MATCH(YEAR($B734),'Yield Curve'!$B$48:$P$48,0)))/100)</f>
        <v>1.01925</v>
      </c>
      <c r="X736" s="183">
        <f>1+((INDEX('Yield Curve'!$B$48:$P$91,MATCH(ROUND(X735,0),'Yield Curve'!$B$48:$B$91,0),MATCH(YEAR($B734),'Yield Curve'!$B$48:$P$48,0)))/100)</f>
        <v>1.01925</v>
      </c>
      <c r="Y736" s="183">
        <f>1+((INDEX('Yield Curve'!$B$48:$P$91,MATCH(ROUND(Y735,0),'Yield Curve'!$B$48:$B$91,0),MATCH(YEAR($B734),'Yield Curve'!$B$48:$P$48,0)))/100)</f>
        <v>1.022775</v>
      </c>
      <c r="Z736" s="183">
        <f>1+((INDEX('Yield Curve'!$B$48:$P$91,MATCH(ROUND(Z735,0),'Yield Curve'!$B$48:$B$91,0),MATCH(YEAR($B734),'Yield Curve'!$B$48:$P$48,0)))/100)</f>
        <v>1.022775</v>
      </c>
      <c r="AA736" s="183">
        <f>1+((INDEX('Yield Curve'!$B$48:$P$91,MATCH(ROUND(AA735,0),'Yield Curve'!$B$48:$B$91,0),MATCH(YEAR($B734),'Yield Curve'!$B$48:$P$48,0)))/100)</f>
        <v>1.0263</v>
      </c>
      <c r="AB736" s="183">
        <f>1+((INDEX('Yield Curve'!$B$48:$P$91,MATCH(ROUND(AB735,0),'Yield Curve'!$B$48:$B$91,0),MATCH(YEAR($B734),'Yield Curve'!$B$48:$P$48,0)))/100)</f>
        <v>1.0263</v>
      </c>
      <c r="AC736" s="183">
        <f>1+((INDEX('Yield Curve'!$B$48:$P$91,MATCH(ROUND(AC735,0),'Yield Curve'!$B$48:$B$91,0),MATCH(YEAR($B734),'Yield Curve'!$B$48:$P$48,0)))/100)</f>
        <v>1.027525</v>
      </c>
      <c r="AD736" s="183">
        <f>1+((INDEX('Yield Curve'!$B$48:$P$91,MATCH(ROUND(AD735,0),'Yield Curve'!$B$48:$B$91,0),MATCH(YEAR($B734),'Yield Curve'!$B$48:$P$48,0)))/100)</f>
        <v>1.027525</v>
      </c>
      <c r="AE736" s="183">
        <f>1+((INDEX('Yield Curve'!$B$48:$P$91,MATCH(ROUND(AE735,0),'Yield Curve'!$B$48:$B$91,0),MATCH(YEAR($B734),'Yield Curve'!$B$48:$P$48,0)))/100)</f>
        <v>1.0299750000000001</v>
      </c>
      <c r="AF736" s="183">
        <f>1+((INDEX('Yield Curve'!$B$48:$P$91,MATCH(ROUND(AF735,0),'Yield Curve'!$B$48:$B$91,0),MATCH(YEAR($B734),'Yield Curve'!$B$48:$P$48,0)))/100)</f>
        <v>1.0299750000000001</v>
      </c>
      <c r="AG736" s="183">
        <f>1+((INDEX('Yield Curve'!$B$48:$P$91,MATCH(ROUND(AG735,0),'Yield Curve'!$B$48:$B$91,0),MATCH(YEAR($B734),'Yield Curve'!$B$48:$P$48,0)))/100)</f>
        <v>1.0311999999999999</v>
      </c>
      <c r="AH736" s="183">
        <f>1+((INDEX('Yield Curve'!$B$48:$P$91,MATCH(ROUND(AH735,0),'Yield Curve'!$B$48:$B$91,0),MATCH(YEAR($B734),'Yield Curve'!$B$48:$P$48,0)))/100)</f>
        <v>1.0311999999999999</v>
      </c>
      <c r="AI736" s="183">
        <f>1+((INDEX('Yield Curve'!$B$48:$P$91,MATCH(ROUND(AI735,0),'Yield Curve'!$B$48:$B$91,0),MATCH(YEAR($B734),'Yield Curve'!$B$48:$P$48,0)))/100)</f>
        <v>1.0311999999999999</v>
      </c>
    </row>
    <row r="737" spans="2:39">
      <c r="B737" t="s">
        <v>212</v>
      </c>
      <c r="C737" s="182">
        <f>SUM(D737:AM737)</f>
        <v>111.21211479166145</v>
      </c>
      <c r="N737" s="182">
        <f t="shared" ref="N737" si="3580">N$717/(N736^N735)</f>
        <v>2.0575234838088345</v>
      </c>
      <c r="O737" s="182">
        <f t="shared" ref="O737" si="3581">O$717/(O736^O735)</f>
        <v>2.0442785799791436</v>
      </c>
      <c r="P737" s="182">
        <f t="shared" ref="P737" si="3582">P$717/(P736^P735)</f>
        <v>2.0311189376197776</v>
      </c>
      <c r="Q737" s="182">
        <f t="shared" ref="Q737" si="3583">Q$717/(Q736^Q735)</f>
        <v>2.0180440078767461</v>
      </c>
      <c r="R737" s="182">
        <f t="shared" ref="R737" si="3584">R$717/(R736^R735)</f>
        <v>2.0050532454291976</v>
      </c>
      <c r="S737" s="182">
        <f t="shared" ref="S737" si="3585">S$717/(S736^S735)</f>
        <v>1.9921461084666792</v>
      </c>
      <c r="T737" s="182">
        <f t="shared" ref="T737" si="3586">T$717/(T736^T735)</f>
        <v>1.9793220586665332</v>
      </c>
      <c r="U737" s="182">
        <f t="shared" ref="U737" si="3587">U$717/(U736^U735)</f>
        <v>1.9438116013368167</v>
      </c>
      <c r="V737" s="182">
        <f t="shared" ref="V737" si="3588">V$717/(V736^V735)</f>
        <v>1.9283266418922822</v>
      </c>
      <c r="W737" s="182">
        <f t="shared" ref="W737" si="3589">W$717/(W736^W735)</f>
        <v>1.8850870403129392</v>
      </c>
      <c r="X737" s="182">
        <f t="shared" ref="X737" si="3590">X$717/(X736^X735)</f>
        <v>1.8672008984174853</v>
      </c>
      <c r="Y737" s="182">
        <f t="shared" ref="Y737" si="3591">Y$717/(Y736^Y735)</f>
        <v>1.8129382712653135</v>
      </c>
      <c r="Z737" s="182">
        <f t="shared" ref="Z737" si="3592">Z$717/(Z736^Z735)</f>
        <v>1.7926395141734068</v>
      </c>
      <c r="AA737" s="182">
        <f t="shared" ref="AA737" si="3593">AA$717/(AA736^AA735)</f>
        <v>1.7316927529333324</v>
      </c>
      <c r="AB737" s="182">
        <f t="shared" ref="AB737" si="3594">AB$717/(AB736^AB735)</f>
        <v>1.7093605431258845</v>
      </c>
      <c r="AC737" s="182">
        <f t="shared" ref="AC737" si="3595">AC$717/(AC736^AC735)</f>
        <v>1.6717276029575854</v>
      </c>
      <c r="AD737" s="182">
        <f t="shared" ref="AD737" si="3596">AD$717/(AD736^AD735)</f>
        <v>1.6491847674849862</v>
      </c>
      <c r="AE737" s="182">
        <f t="shared" ref="AE737" si="3597">AE$717/(AE736^AE735)</f>
        <v>1.5932768017910943</v>
      </c>
      <c r="AF737" s="182">
        <f t="shared" ref="AF737" si="3598">AF$717/(AF736^AF735)</f>
        <v>1.5699213335837121</v>
      </c>
      <c r="AG737" s="182">
        <f t="shared" ref="AG737" si="3599">AG$717/(AG736^AG735)</f>
        <v>1.5290281630577194</v>
      </c>
      <c r="AH737" s="182">
        <f t="shared" ref="AH737" si="3600">AH$717/(AH736^AH735)</f>
        <v>1.5057193534511386</v>
      </c>
      <c r="AI737" s="182">
        <f t="shared" ref="AI737" si="3601">AI$717/(AI736^AI735)</f>
        <v>72.89471308403084</v>
      </c>
    </row>
    <row r="738" spans="2:39">
      <c r="B738" s="135">
        <v>44552</v>
      </c>
    </row>
    <row r="739" spans="2:39">
      <c r="B739" t="s">
        <v>210</v>
      </c>
      <c r="O739" s="182">
        <f t="shared" ref="O739" si="3602">(O$716-$B738)/365</f>
        <v>0.30136986301369861</v>
      </c>
      <c r="P739" s="182">
        <f t="shared" ref="P739" si="3603">(P$716-$B738)/365</f>
        <v>0.80136986301369861</v>
      </c>
      <c r="Q739" s="182">
        <f t="shared" ref="Q739" si="3604">(Q$716-$B738)/365</f>
        <v>1.3013698630136987</v>
      </c>
      <c r="R739" s="182">
        <f t="shared" ref="R739" si="3605">(R$716-$B738)/365</f>
        <v>1.8013698630136987</v>
      </c>
      <c r="S739" s="182">
        <f t="shared" ref="S739" si="3606">(S$716-$B738)/365</f>
        <v>2.3013698630136985</v>
      </c>
      <c r="T739" s="182">
        <f t="shared" ref="T739" si="3607">(T$716-$B738)/365</f>
        <v>2.8013698630136985</v>
      </c>
      <c r="U739" s="182">
        <f t="shared" ref="U739" si="3608">(U$716-$B738)/365</f>
        <v>3.3013698630136985</v>
      </c>
      <c r="V739" s="182">
        <f t="shared" ref="V739" si="3609">(V$716-$B738)/365</f>
        <v>3.8013698630136985</v>
      </c>
      <c r="W739" s="182">
        <f t="shared" ref="W739" si="3610">(W$716-$B738)/365</f>
        <v>4.3013698630136989</v>
      </c>
      <c r="X739" s="182">
        <f t="shared" ref="X739" si="3611">(X$716-$B738)/365</f>
        <v>4.8013698630136989</v>
      </c>
      <c r="Y739" s="182">
        <f t="shared" ref="Y739" si="3612">(Y$716-$B738)/365</f>
        <v>5.3013698630136989</v>
      </c>
      <c r="Z739" s="182">
        <f t="shared" ref="Z739" si="3613">(Z$716-$B738)/365</f>
        <v>5.8013698630136989</v>
      </c>
      <c r="AA739" s="182">
        <f t="shared" ref="AA739" si="3614">(AA$716-$B738)/365</f>
        <v>6.3013698630136989</v>
      </c>
      <c r="AB739" s="182">
        <f t="shared" ref="AB739" si="3615">(AB$716-$B738)/365</f>
        <v>6.8013698630136989</v>
      </c>
      <c r="AC739" s="182">
        <f t="shared" ref="AC739" si="3616">(AC$716-$B738)/365</f>
        <v>7.3013698630136989</v>
      </c>
      <c r="AD739" s="182">
        <f t="shared" ref="AD739" si="3617">(AD$716-$B738)/365</f>
        <v>7.8013698630136989</v>
      </c>
      <c r="AE739" s="182">
        <f t="shared" ref="AE739" si="3618">(AE$716-$B738)/365</f>
        <v>8.3013698630136989</v>
      </c>
      <c r="AF739" s="182">
        <f t="shared" ref="AF739" si="3619">(AF$716-$B738)/365</f>
        <v>8.8013698630136989</v>
      </c>
      <c r="AG739" s="182">
        <f t="shared" ref="AG739" si="3620">(AG$716-$B738)/365</f>
        <v>9.3013698630136989</v>
      </c>
      <c r="AH739" s="182">
        <f t="shared" ref="AH739" si="3621">(AH$716-$B738)/365</f>
        <v>9.8013698630136989</v>
      </c>
      <c r="AI739" s="182">
        <f t="shared" ref="AI739" si="3622">(AI$716-$B738)/365</f>
        <v>9.8109589041095884</v>
      </c>
    </row>
    <row r="740" spans="2:39">
      <c r="B740" t="s">
        <v>211</v>
      </c>
      <c r="O740" s="183">
        <f>1+((INDEX('Yield Curve'!$B$48:$P$91,MATCH(ROUND(O739,0),'Yield Curve'!$B$48:$B$91,0),MATCH(YEAR($B738)+1,'Yield Curve'!$B$48:$P$48,0)))/100)</f>
        <v>1.0212000000000001</v>
      </c>
      <c r="P740" s="183">
        <f>1+((INDEX('Yield Curve'!$B$48:$P$91,MATCH(ROUND(P739,0),'Yield Curve'!$B$48:$B$91,0),MATCH(YEAR($B738)+1,'Yield Curve'!$B$48:$P$48,0)))/100)</f>
        <v>1.0212000000000001</v>
      </c>
      <c r="Q740" s="183">
        <f>1+((INDEX('Yield Curve'!$B$48:$P$91,MATCH(ROUND(Q739,0),'Yield Curve'!$B$48:$B$91,0),MATCH(YEAR($B738)+1,'Yield Curve'!$B$48:$P$48,0)))/100)</f>
        <v>1.0212000000000001</v>
      </c>
      <c r="R740" s="183">
        <f>1+((INDEX('Yield Curve'!$B$48:$P$91,MATCH(ROUND(R739,0),'Yield Curve'!$B$48:$B$91,0),MATCH(YEAR($B738)+1,'Yield Curve'!$B$48:$P$48,0)))/100)</f>
        <v>1.0212000000000001</v>
      </c>
      <c r="S740" s="183">
        <f>1+((INDEX('Yield Curve'!$B$48:$P$91,MATCH(ROUND(S739,0),'Yield Curve'!$B$48:$B$91,0),MATCH(YEAR($B738)+1,'Yield Curve'!$B$48:$P$48,0)))/100)</f>
        <v>1.0212000000000001</v>
      </c>
      <c r="T740" s="183">
        <f>1+((INDEX('Yield Curve'!$B$48:$P$91,MATCH(ROUND(T739,0),'Yield Curve'!$B$48:$B$91,0),MATCH(YEAR($B738)+1,'Yield Curve'!$B$48:$P$48,0)))/100)</f>
        <v>1.0212000000000001</v>
      </c>
      <c r="U740" s="183">
        <f>1+((INDEX('Yield Curve'!$B$48:$P$91,MATCH(ROUND(U739,0),'Yield Curve'!$B$48:$B$91,0),MATCH(YEAR($B738)+1,'Yield Curve'!$B$48:$P$48,0)))/100)</f>
        <v>1.0212000000000001</v>
      </c>
      <c r="V740" s="183">
        <f>1+((INDEX('Yield Curve'!$B$48:$P$91,MATCH(ROUND(V739,0),'Yield Curve'!$B$48:$B$91,0),MATCH(YEAR($B738)+1,'Yield Curve'!$B$48:$P$48,0)))/100)</f>
        <v>1.0245</v>
      </c>
      <c r="W740" s="183">
        <f>1+((INDEX('Yield Curve'!$B$48:$P$91,MATCH(ROUND(W739,0),'Yield Curve'!$B$48:$B$91,0),MATCH(YEAR($B738)+1,'Yield Curve'!$B$48:$P$48,0)))/100)</f>
        <v>1.0245</v>
      </c>
      <c r="X740" s="183">
        <f>1+((INDEX('Yield Curve'!$B$48:$P$91,MATCH(ROUND(X739,0),'Yield Curve'!$B$48:$B$91,0),MATCH(YEAR($B738)+1,'Yield Curve'!$B$48:$P$48,0)))/100)</f>
        <v>1.0278</v>
      </c>
      <c r="Y740" s="183">
        <f>1+((INDEX('Yield Curve'!$B$48:$P$91,MATCH(ROUND(Y739,0),'Yield Curve'!$B$48:$B$91,0),MATCH(YEAR($B738)+1,'Yield Curve'!$B$48:$P$48,0)))/100)</f>
        <v>1.0278</v>
      </c>
      <c r="Z740" s="183">
        <f>1+((INDEX('Yield Curve'!$B$48:$P$91,MATCH(ROUND(Z739,0),'Yield Curve'!$B$48:$B$91,0),MATCH(YEAR($B738)+1,'Yield Curve'!$B$48:$P$48,0)))/100)</f>
        <v>1.030375</v>
      </c>
      <c r="AA740" s="183">
        <f>1+((INDEX('Yield Curve'!$B$48:$P$91,MATCH(ROUND(AA739,0),'Yield Curve'!$B$48:$B$91,0),MATCH(YEAR($B738)+1,'Yield Curve'!$B$48:$P$48,0)))/100)</f>
        <v>1.030375</v>
      </c>
      <c r="AB740" s="183">
        <f>1+((INDEX('Yield Curve'!$B$48:$P$91,MATCH(ROUND(AB739,0),'Yield Curve'!$B$48:$B$91,0),MATCH(YEAR($B738)+1,'Yield Curve'!$B$48:$P$48,0)))/100)</f>
        <v>1.03295</v>
      </c>
      <c r="AC740" s="183">
        <f>1+((INDEX('Yield Curve'!$B$48:$P$91,MATCH(ROUND(AC739,0),'Yield Curve'!$B$48:$B$91,0),MATCH(YEAR($B738)+1,'Yield Curve'!$B$48:$P$48,0)))/100)</f>
        <v>1.03295</v>
      </c>
      <c r="AD740" s="183">
        <f>1+((INDEX('Yield Curve'!$B$48:$P$91,MATCH(ROUND(AD739,0),'Yield Curve'!$B$48:$B$91,0),MATCH(YEAR($B738)+1,'Yield Curve'!$B$48:$P$48,0)))/100)</f>
        <v>1.0341499999999999</v>
      </c>
      <c r="AE740" s="183">
        <f>1+((INDEX('Yield Curve'!$B$48:$P$91,MATCH(ROUND(AE739,0),'Yield Curve'!$B$48:$B$91,0),MATCH(YEAR($B738)+1,'Yield Curve'!$B$48:$P$48,0)))/100)</f>
        <v>1.0341499999999999</v>
      </c>
      <c r="AF740" s="183">
        <f>1+((INDEX('Yield Curve'!$B$48:$P$91,MATCH(ROUND(AF739,0),'Yield Curve'!$B$48:$B$91,0),MATCH(YEAR($B738)+1,'Yield Curve'!$B$48:$P$48,0)))/100)</f>
        <v>1.0365500000000001</v>
      </c>
      <c r="AG740" s="183">
        <f>1+((INDEX('Yield Curve'!$B$48:$P$91,MATCH(ROUND(AG739,0),'Yield Curve'!$B$48:$B$91,0),MATCH(YEAR($B738)+1,'Yield Curve'!$B$48:$P$48,0)))/100)</f>
        <v>1.0365500000000001</v>
      </c>
      <c r="AH740" s="183">
        <f>1+((INDEX('Yield Curve'!$B$48:$P$91,MATCH(ROUND(AH739,0),'Yield Curve'!$B$48:$B$91,0),MATCH(YEAR($B738)+1,'Yield Curve'!$B$48:$P$48,0)))/100)</f>
        <v>1.03775</v>
      </c>
      <c r="AI740" s="183">
        <f>1+((INDEX('Yield Curve'!$B$48:$P$91,MATCH(ROUND(AI739,0),'Yield Curve'!$B$48:$B$91,0),MATCH(YEAR($B738)+1,'Yield Curve'!$B$48:$P$48,0)))/100)</f>
        <v>1.03775</v>
      </c>
    </row>
    <row r="741" spans="2:39">
      <c r="B741" t="s">
        <v>212</v>
      </c>
      <c r="C741" s="182">
        <f>SUM(D741:AM741)</f>
        <v>105.08739943240278</v>
      </c>
      <c r="O741" s="182">
        <f t="shared" ref="O741" si="3623">O$717/(O740^O739)</f>
        <v>2.051985717403138</v>
      </c>
      <c r="P741" s="182">
        <f t="shared" ref="P741" si="3624">P$717/(P740^P739)</f>
        <v>2.0305745118187253</v>
      </c>
      <c r="Q741" s="182">
        <f t="shared" ref="Q741" si="3625">Q$717/(Q740^Q739)</f>
        <v>2.0093867189611609</v>
      </c>
      <c r="R741" s="182">
        <f t="shared" ref="R741" si="3626">R$717/(R740^R739)</f>
        <v>1.9884200076564094</v>
      </c>
      <c r="S741" s="182">
        <f t="shared" ref="S741" si="3627">S$717/(S740^S739)</f>
        <v>1.967672071054799</v>
      </c>
      <c r="T741" s="182">
        <f t="shared" ref="T741" si="3628">T$717/(T740^T739)</f>
        <v>1.9471406263772124</v>
      </c>
      <c r="U741" s="182">
        <f t="shared" ref="U741" si="3629">U$717/(U740^U739)</f>
        <v>1.9268234146639238</v>
      </c>
      <c r="V741" s="182">
        <f t="shared" ref="V741" si="3630">V$717/(V740^V739)</f>
        <v>1.8834764641332027</v>
      </c>
      <c r="W741" s="182">
        <f t="shared" ref="W741" si="3631">W$717/(W740^W739)</f>
        <v>1.8608193619603359</v>
      </c>
      <c r="X741" s="182">
        <f t="shared" ref="X741" si="3632">X$717/(X740^X739)</f>
        <v>1.8102660169849962</v>
      </c>
      <c r="Y741" s="182">
        <f t="shared" ref="Y741" si="3633">Y$717/(Y740^Y739)</f>
        <v>1.7856160958203684</v>
      </c>
      <c r="Z741" s="182">
        <f t="shared" ref="Z741" si="3634">Z$717/(Z740^Z739)</f>
        <v>1.7359189321544088</v>
      </c>
      <c r="AA741" s="182">
        <f t="shared" ref="AA741" si="3635">AA$717/(AA740^AA739)</f>
        <v>1.7101404647239105</v>
      </c>
      <c r="AB741" s="182">
        <f t="shared" ref="AB741" si="3636">AB$717/(AB740^AB739)</f>
        <v>1.656385917164988</v>
      </c>
      <c r="AC741" s="182">
        <f t="shared" ref="AC741" si="3637">AC$717/(AC740^AC739)</f>
        <v>1.6297533387566769</v>
      </c>
      <c r="AD741" s="182">
        <f t="shared" ref="AD741" si="3638">AD$717/(AD740^AD739)</f>
        <v>1.589090002927108</v>
      </c>
      <c r="AE741" s="182">
        <f t="shared" ref="AE741" si="3639">AE$717/(AE740^AE739)</f>
        <v>1.5626320492177441</v>
      </c>
      <c r="AF741" s="182">
        <f t="shared" ref="AF741" si="3640">AF$717/(AF740^AF739)</f>
        <v>1.5055821144776926</v>
      </c>
      <c r="AG741" s="182">
        <f t="shared" ref="AG741" si="3641">AG$717/(AG740^AG739)</f>
        <v>1.4787995813037986</v>
      </c>
      <c r="AH741" s="182">
        <f t="shared" ref="AH741" si="3642">AH$717/(AH740^AH739)</f>
        <v>1.4361147377083183</v>
      </c>
      <c r="AI741" s="182">
        <f t="shared" ref="AI741" si="3643">AI$717/(AI740^AI739)</f>
        <v>69.520801287133864</v>
      </c>
    </row>
    <row r="743" spans="2:39" ht="17.5" thickBot="1">
      <c r="B743" s="136" t="s">
        <v>214</v>
      </c>
      <c r="C743" s="136"/>
    </row>
    <row r="744" spans="2:39" ht="16.25" thickTop="1">
      <c r="B744" s="28"/>
      <c r="C744" s="28"/>
    </row>
    <row r="745" spans="2:39" ht="16.25" thickBot="1">
      <c r="B745" s="137" t="s">
        <v>43</v>
      </c>
      <c r="C745" s="28"/>
    </row>
    <row r="747" spans="2:39">
      <c r="B747" s="5" t="str">
        <f>'Transgrid Bonds'!A49</f>
        <v>32010020011</v>
      </c>
    </row>
    <row r="748" spans="2:39">
      <c r="B748" t="s">
        <v>66</v>
      </c>
      <c r="D748" s="180">
        <f>VLOOKUP(B747,'Transgrid Bonds'!$A$49:$K$54,4,FALSE)</f>
        <v>42964</v>
      </c>
      <c r="E748" s="180">
        <f>'Transgrid Bonds'!E49</f>
        <v>46616</v>
      </c>
      <c r="F748" s="27"/>
      <c r="G748" s="27"/>
      <c r="H748" s="27"/>
      <c r="I748" s="27"/>
      <c r="J748" s="27"/>
      <c r="K748" s="27"/>
      <c r="L748" s="27"/>
      <c r="M748" s="27"/>
      <c r="N748" s="27"/>
      <c r="O748" s="27"/>
      <c r="P748" s="27"/>
      <c r="Q748" s="27"/>
      <c r="R748" s="27"/>
      <c r="S748" s="27"/>
      <c r="T748" s="27"/>
      <c r="U748" s="27"/>
      <c r="V748" s="27"/>
      <c r="W748" s="27"/>
      <c r="X748" s="27"/>
      <c r="Y748" s="27"/>
      <c r="Z748" s="27"/>
      <c r="AA748" s="27"/>
      <c r="AB748" s="27"/>
      <c r="AC748" s="27"/>
      <c r="AD748" s="27"/>
      <c r="AE748" s="27"/>
      <c r="AF748" s="27"/>
      <c r="AG748" s="27"/>
      <c r="AH748" s="27"/>
      <c r="AI748" s="27"/>
      <c r="AJ748" s="27"/>
      <c r="AK748" s="27"/>
      <c r="AL748" s="27"/>
      <c r="AM748" s="27"/>
    </row>
    <row r="749" spans="2:39">
      <c r="B749" t="s">
        <v>209</v>
      </c>
      <c r="E749" s="182">
        <f>IF(E748&lt;VLOOKUP($B747,'Transgrid Bonds'!$A$49:$K$54,5,FALSE),(VLOOKUP($B747,'Transgrid Bonds'!$A$49:$K$54,8,FALSE)/100)*(VLOOKUP($B747,'Transgrid Bonds'!$A$49:$K$54,9,FALSE))*(VLOOKUP($B747,'Transgrid Bonds'!$A$49:$K$54,6,FALSE)),(VLOOKUP($B747,'Transgrid Bonds'!$A$49:$K$54,6,FALSE)))</f>
        <v>923.9</v>
      </c>
    </row>
    <row r="750" spans="2:39">
      <c r="B750" s="135">
        <v>43281</v>
      </c>
    </row>
    <row r="751" spans="2:39">
      <c r="B751" t="s">
        <v>210</v>
      </c>
      <c r="E751" s="182">
        <f>(E$748-$B750)/365</f>
        <v>9.1369863013698627</v>
      </c>
    </row>
    <row r="752" spans="2:39">
      <c r="B752" t="s">
        <v>211</v>
      </c>
      <c r="E752" s="183">
        <f>1+((INDEX('Yield Curve'!$B$48:$P$91,MATCH(ROUND(E751,0),'Yield Curve'!$B$48:$B$91,0),MATCH(YEAR($B750),'Yield Curve'!$B$48:$P$48,0)))/100)</f>
        <v>1.0437624999999999</v>
      </c>
    </row>
    <row r="753" spans="2:5">
      <c r="B753" t="s">
        <v>212</v>
      </c>
      <c r="C753" s="182">
        <f>SUM(D753:V753)</f>
        <v>624.68572836780959</v>
      </c>
      <c r="E753" s="182">
        <f>E$749/(E752^E751)</f>
        <v>624.68572836780959</v>
      </c>
    </row>
    <row r="754" spans="2:5">
      <c r="B754" s="135">
        <v>43646</v>
      </c>
    </row>
    <row r="755" spans="2:5">
      <c r="B755" t="s">
        <v>210</v>
      </c>
      <c r="E755" s="182">
        <f>(E$748-$B754)/365</f>
        <v>8.1369863013698627</v>
      </c>
    </row>
    <row r="756" spans="2:5">
      <c r="B756" t="s">
        <v>211</v>
      </c>
      <c r="E756" s="183">
        <f>1+((INDEX('Yield Curve'!$B$48:$P$91,MATCH(ROUND(E755,0),'Yield Curve'!$B$48:$B$91,0),MATCH(YEAR($B754),'Yield Curve'!$B$48:$P$48,0)))/100)</f>
        <v>1.0318624999999999</v>
      </c>
    </row>
    <row r="757" spans="2:5">
      <c r="B757" t="s">
        <v>212</v>
      </c>
      <c r="C757" s="182">
        <f>SUM(D757:V757)</f>
        <v>715.78785672818231</v>
      </c>
      <c r="E757" s="182">
        <f>E$749/(E756^E755)</f>
        <v>715.78785672818231</v>
      </c>
    </row>
    <row r="758" spans="2:5">
      <c r="B758" s="135">
        <v>44012</v>
      </c>
    </row>
    <row r="759" spans="2:5">
      <c r="B759" t="s">
        <v>210</v>
      </c>
      <c r="E759" s="182">
        <f>(E$748-$B758)/365</f>
        <v>7.1342465753424653</v>
      </c>
    </row>
    <row r="760" spans="2:5">
      <c r="B760" t="s">
        <v>211</v>
      </c>
      <c r="E760" s="183">
        <f>1+((INDEX('Yield Curve'!$B$48:$P$91,MATCH(ROUND(E759,0),'Yield Curve'!$B$48:$B$91,0),MATCH(YEAR($B758),'Yield Curve'!$B$48:$P$48,0)))/100)</f>
        <v>1.0315000000000001</v>
      </c>
    </row>
    <row r="761" spans="2:5">
      <c r="B761" t="s">
        <v>212</v>
      </c>
      <c r="C761" s="182">
        <f>SUM(D761:V761)</f>
        <v>740.51207157454064</v>
      </c>
      <c r="E761" s="182">
        <f>E$749/(E760^E759)</f>
        <v>740.51207157454064</v>
      </c>
    </row>
    <row r="762" spans="2:5">
      <c r="B762" s="135">
        <v>44377</v>
      </c>
    </row>
    <row r="763" spans="2:5">
      <c r="B763" t="s">
        <v>210</v>
      </c>
      <c r="E763" s="182">
        <f>(E$748-$B762)/365</f>
        <v>6.1342465753424653</v>
      </c>
    </row>
    <row r="764" spans="2:5">
      <c r="B764" t="s">
        <v>211</v>
      </c>
      <c r="E764" s="183">
        <f>1+((INDEX('Yield Curve'!$B$48:$P$91,MATCH(ROUND(E763,0),'Yield Curve'!$B$48:$B$91,0),MATCH(YEAR($B762),'Yield Curve'!$B$48:$P$48,0)))/100)</f>
        <v>1.022775</v>
      </c>
    </row>
    <row r="765" spans="2:5">
      <c r="B765" t="s">
        <v>212</v>
      </c>
      <c r="C765" s="182">
        <f>SUM(D765:V765)</f>
        <v>804.69517689619863</v>
      </c>
      <c r="E765" s="182">
        <f>E$749/(E764^E763)</f>
        <v>804.69517689619863</v>
      </c>
    </row>
    <row r="766" spans="2:5">
      <c r="B766" s="135">
        <v>44560</v>
      </c>
    </row>
    <row r="767" spans="2:5">
      <c r="B767" t="s">
        <v>210</v>
      </c>
      <c r="E767" s="182">
        <f>(E$748-$B766)/365</f>
        <v>5.6328767123287671</v>
      </c>
    </row>
    <row r="768" spans="2:5">
      <c r="B768" t="s">
        <v>211</v>
      </c>
      <c r="E768" s="183">
        <f>1+((INDEX('Yield Curve'!$B$48:$P$91,MATCH(ROUND(E767,0),'Yield Curve'!$B$48:$B$91,0),MATCH(YEAR($B766)+1,'Yield Curve'!$B$48:$P$48,0)))/100)</f>
        <v>1.030375</v>
      </c>
    </row>
    <row r="769" spans="2:11">
      <c r="B769" t="s">
        <v>212</v>
      </c>
      <c r="C769" s="182">
        <f>SUM(D769:V769)</f>
        <v>780.59177700516966</v>
      </c>
      <c r="E769" s="182">
        <f>E$749/(E768^E767)</f>
        <v>780.59177700516966</v>
      </c>
    </row>
    <row r="771" spans="2:11" ht="17.5" thickBot="1">
      <c r="B771" s="136" t="s">
        <v>215</v>
      </c>
    </row>
    <row r="772" spans="2:11" ht="15" thickTop="1"/>
    <row r="773" spans="2:11" ht="15" thickBot="1">
      <c r="B773" s="137" t="s">
        <v>160</v>
      </c>
    </row>
    <row r="775" spans="2:11">
      <c r="B775" s="5" t="s">
        <v>216</v>
      </c>
      <c r="E775" s="27"/>
      <c r="F775" s="27"/>
      <c r="K775" s="127"/>
    </row>
    <row r="776" spans="2:11">
      <c r="B776" t="s">
        <v>217</v>
      </c>
      <c r="C776" s="180">
        <v>43100</v>
      </c>
      <c r="E776" s="27"/>
      <c r="F776" s="27"/>
      <c r="K776" s="127"/>
    </row>
    <row r="777" spans="2:11">
      <c r="B777" t="s">
        <v>218</v>
      </c>
      <c r="C777" s="180">
        <v>45273</v>
      </c>
      <c r="E777" s="27"/>
      <c r="F777" s="27"/>
      <c r="K777" s="127"/>
    </row>
    <row r="778" spans="2:11">
      <c r="B778" t="s">
        <v>219</v>
      </c>
      <c r="C778" s="183">
        <v>100</v>
      </c>
    </row>
    <row r="780" spans="2:11">
      <c r="B780" s="5" t="s">
        <v>220</v>
      </c>
    </row>
    <row r="781" spans="2:11">
      <c r="B781" t="s">
        <v>217</v>
      </c>
      <c r="C781" s="180">
        <v>42976</v>
      </c>
    </row>
    <row r="782" spans="2:11">
      <c r="B782" t="s">
        <v>218</v>
      </c>
      <c r="C782" s="180">
        <v>44802</v>
      </c>
    </row>
    <row r="783" spans="2:11">
      <c r="B783" t="s">
        <v>219</v>
      </c>
      <c r="C783" s="183">
        <v>175</v>
      </c>
    </row>
    <row r="785" spans="2:3">
      <c r="B785" s="5" t="s">
        <v>221</v>
      </c>
    </row>
    <row r="786" spans="2:3">
      <c r="B786" t="s">
        <v>217</v>
      </c>
      <c r="C786" s="180">
        <v>41240</v>
      </c>
    </row>
    <row r="787" spans="2:3">
      <c r="B787" t="s">
        <v>218</v>
      </c>
      <c r="C787" s="180">
        <v>43017</v>
      </c>
    </row>
    <row r="788" spans="2:3">
      <c r="B788" t="s">
        <v>219</v>
      </c>
      <c r="C788" s="183">
        <v>150</v>
      </c>
    </row>
    <row r="790" spans="2:3" ht="15" thickBot="1">
      <c r="B790" s="137" t="s">
        <v>41</v>
      </c>
    </row>
    <row r="792" spans="2:3">
      <c r="B792" s="5" t="s">
        <v>222</v>
      </c>
    </row>
    <row r="793" spans="2:3">
      <c r="B793" t="s">
        <v>217</v>
      </c>
      <c r="C793" s="180">
        <v>44431</v>
      </c>
    </row>
    <row r="794" spans="2:3">
      <c r="B794" t="s">
        <v>218</v>
      </c>
      <c r="C794" s="180">
        <v>45527</v>
      </c>
    </row>
    <row r="795" spans="2:3">
      <c r="B795" t="s">
        <v>219</v>
      </c>
      <c r="C795" s="183">
        <v>300</v>
      </c>
    </row>
    <row r="797" spans="2:3">
      <c r="B797" s="5" t="s">
        <v>223</v>
      </c>
    </row>
    <row r="798" spans="2:3">
      <c r="B798" t="s">
        <v>217</v>
      </c>
      <c r="C798" s="180">
        <v>44307</v>
      </c>
    </row>
    <row r="799" spans="2:3">
      <c r="B799" t="s">
        <v>218</v>
      </c>
      <c r="C799" s="180">
        <v>46133</v>
      </c>
    </row>
    <row r="800" spans="2:3">
      <c r="B800" t="s">
        <v>219</v>
      </c>
      <c r="C800" s="183">
        <v>175</v>
      </c>
    </row>
    <row r="802" spans="2:15" ht="17.5" thickBot="1">
      <c r="B802" s="136" t="s">
        <v>224</v>
      </c>
      <c r="C802" s="136"/>
      <c r="D802" s="136"/>
    </row>
    <row r="803" spans="2:15" ht="15" thickTop="1"/>
    <row r="804" spans="2:15">
      <c r="C804" t="s">
        <v>217</v>
      </c>
      <c r="D804" t="s">
        <v>218</v>
      </c>
      <c r="E804" t="s">
        <v>225</v>
      </c>
      <c r="F804" t="s">
        <v>226</v>
      </c>
    </row>
    <row r="805" spans="2:15">
      <c r="B805" t="s">
        <v>227</v>
      </c>
      <c r="C805" s="27">
        <f>'SA Power Bonds'!K37</f>
        <v>40631</v>
      </c>
      <c r="D805" s="27">
        <f>'SA Power Bonds'!C37</f>
        <v>42642</v>
      </c>
      <c r="E805">
        <f>'SA Power Bonds'!D37</f>
        <v>250000000</v>
      </c>
      <c r="F805" t="s">
        <v>160</v>
      </c>
    </row>
    <row r="806" spans="2:15">
      <c r="B806" t="s">
        <v>228</v>
      </c>
      <c r="C806" s="27">
        <f>'SA Power Bonds'!K40</f>
        <v>39202</v>
      </c>
      <c r="D806" s="27">
        <f>'SA Power Bonds'!C40</f>
        <v>43202</v>
      </c>
      <c r="E806">
        <f>'SA Power Bonds'!D40</f>
        <v>350000000</v>
      </c>
      <c r="F806" t="s">
        <v>160</v>
      </c>
    </row>
    <row r="807" spans="2:15" ht="14.75">
      <c r="B807" s="92" t="s">
        <v>229</v>
      </c>
      <c r="C807" s="27">
        <f>'VPN Bonds'!K45</f>
        <v>39094</v>
      </c>
      <c r="D807" s="27">
        <f>'VPN Bonds'!C45</f>
        <v>42931</v>
      </c>
      <c r="E807">
        <f>'VPN Bonds'!D45</f>
        <v>300000000</v>
      </c>
      <c r="F807" t="s">
        <v>41</v>
      </c>
    </row>
    <row r="808" spans="2:15" ht="14.75">
      <c r="B808" s="92" t="s">
        <v>230</v>
      </c>
      <c r="C808" s="27">
        <f>'VPN Bonds'!K46</f>
        <v>39094</v>
      </c>
      <c r="D808" s="27">
        <f>'VPN Bonds'!C46</f>
        <v>42931</v>
      </c>
      <c r="E808">
        <f>'VPN Bonds'!D46</f>
        <v>275000000</v>
      </c>
      <c r="F808" t="s">
        <v>41</v>
      </c>
    </row>
    <row r="809" spans="2:15" ht="14.75">
      <c r="B809" s="92" t="s">
        <v>231</v>
      </c>
      <c r="C809" s="27">
        <f>'AST Bonds'!K98</f>
        <v>35402</v>
      </c>
      <c r="D809" s="27">
        <f>'AST Bonds'!C98</f>
        <v>42705</v>
      </c>
      <c r="E809">
        <f>'AST Bonds'!D98</f>
        <v>54274084</v>
      </c>
      <c r="F809" t="s">
        <v>38</v>
      </c>
    </row>
    <row r="810" spans="2:15" ht="14.75">
      <c r="B810" s="92" t="s">
        <v>232</v>
      </c>
      <c r="C810" s="27">
        <f>'AST Bonds'!K101</f>
        <v>40262</v>
      </c>
      <c r="D810" s="27">
        <f>'AST Bonds'!C101</f>
        <v>43003</v>
      </c>
      <c r="E810">
        <f>'AST Bonds'!D101</f>
        <v>300000000</v>
      </c>
      <c r="F810" t="s">
        <v>38</v>
      </c>
    </row>
    <row r="811" spans="2:15" ht="14.75">
      <c r="B811" s="92" t="s">
        <v>233</v>
      </c>
      <c r="C811" s="27">
        <f>'AST Bonds'!K105</f>
        <v>41338</v>
      </c>
      <c r="D811" s="27">
        <f>'AST Bonds'!C105</f>
        <v>43896</v>
      </c>
      <c r="E811">
        <f>'AST Bonds'!D105</f>
        <v>100000000</v>
      </c>
      <c r="F811" t="s">
        <v>38</v>
      </c>
    </row>
    <row r="814" spans="2:15" ht="17.5" thickBot="1">
      <c r="B814" s="136" t="s">
        <v>234</v>
      </c>
      <c r="C814" s="136"/>
      <c r="D814" s="136"/>
    </row>
    <row r="815" spans="2:15" ht="15" thickTop="1">
      <c r="D815" s="1">
        <v>2011</v>
      </c>
      <c r="E815" s="1">
        <v>2012</v>
      </c>
      <c r="F815" s="1">
        <v>2013</v>
      </c>
      <c r="G815" s="1">
        <v>2014</v>
      </c>
      <c r="H815" s="1">
        <v>2015</v>
      </c>
      <c r="I815" s="1">
        <v>2016</v>
      </c>
      <c r="J815" s="1">
        <v>2017</v>
      </c>
      <c r="K815" s="1">
        <v>2018</v>
      </c>
      <c r="L815" s="1">
        <v>2019</v>
      </c>
      <c r="M815" s="1">
        <v>2020</v>
      </c>
      <c r="N815" s="1">
        <v>2021</v>
      </c>
      <c r="O815" s="143">
        <v>44531</v>
      </c>
    </row>
    <row r="817" spans="2:15">
      <c r="B817" t="s">
        <v>235</v>
      </c>
      <c r="D817" s="184"/>
      <c r="E817" s="184"/>
      <c r="F817" s="184"/>
      <c r="G817" s="184"/>
      <c r="H817" s="184"/>
      <c r="I817" s="184"/>
      <c r="J817" s="184">
        <f>C37+C65+C93+C121</f>
        <v>934.90073317940323</v>
      </c>
      <c r="K817" s="184">
        <f>C13+C41+C69+C97+C125+C753</f>
        <v>1585.2286528019818</v>
      </c>
      <c r="L817" s="184">
        <f>C17+C45+C73+C101+C129+C757</f>
        <v>1762.7782681288315</v>
      </c>
      <c r="M817" s="184">
        <f>C21+C49+C77+C105+C133+C761</f>
        <v>1798.9316649223681</v>
      </c>
      <c r="N817" s="184">
        <f>C25+C53+C81+C109+C137+C765</f>
        <v>1907.2477962419621</v>
      </c>
      <c r="O817" s="184">
        <f>C29+C57+C85+C113+C141+C769</f>
        <v>1829.3466005364867</v>
      </c>
    </row>
    <row r="818" spans="2:15">
      <c r="B818" t="s">
        <v>160</v>
      </c>
      <c r="D818" s="184">
        <f>(E806+E805)/1000000</f>
        <v>600</v>
      </c>
      <c r="E818" s="184">
        <f>(E806+E805)/1000000</f>
        <v>600</v>
      </c>
      <c r="F818" s="184">
        <f>(E806+E805)/1000000</f>
        <v>600</v>
      </c>
      <c r="G818" s="184">
        <f>C343+C788+(E806+E805)/1000000</f>
        <v>907.37804400523282</v>
      </c>
      <c r="H818" s="184">
        <f>C303+C347+C788+(E806+E805)/1000000</f>
        <v>1325.7141075782565</v>
      </c>
      <c r="I818" s="184">
        <f>C175+C207+C239+C271+C307+C351+C788+(E806+E805)/1000000</f>
        <v>1940.642702671385</v>
      </c>
      <c r="J818" s="184">
        <f>C179+C211+C243+C275+C311+C355+E806/1000000</f>
        <v>1596.4530486811943</v>
      </c>
      <c r="K818" s="184">
        <f>C151+C183+C215+C247+C279+C315+C778+C783+E806/1000000</f>
        <v>2102.7551597041866</v>
      </c>
      <c r="L818" s="184">
        <f>C155+C187+C219+C251+C283+C319+C778+C783</f>
        <v>1889.777486574832</v>
      </c>
      <c r="M818" s="184">
        <f>C159+C191+C223+C255+C287+C323+C778+C783</f>
        <v>1908.9313625115628</v>
      </c>
      <c r="N818" s="184">
        <f>C163+C195+C227+C259+C291+C327+C778+C783</f>
        <v>1976.2529173795206</v>
      </c>
      <c r="O818" s="184">
        <f>C167+C199+C231+C263+C295+C331+C778+C783</f>
        <v>1917.0445287845569</v>
      </c>
    </row>
    <row r="819" spans="2:15">
      <c r="B819" t="s">
        <v>41</v>
      </c>
      <c r="D819" s="184">
        <f>(E807+E808)/1000000</f>
        <v>575</v>
      </c>
      <c r="E819" s="184">
        <f>(E807+E808)/1000000</f>
        <v>575</v>
      </c>
      <c r="F819" s="184">
        <f>(E807+E808)/1000000</f>
        <v>575</v>
      </c>
      <c r="G819" s="184">
        <f>(E807+E808)/1000000</f>
        <v>575</v>
      </c>
      <c r="H819" s="184">
        <f>C365+C401+(E807+E808)/1000000</f>
        <v>680.82371140633586</v>
      </c>
      <c r="I819" s="184">
        <f>C369+C405+(E807+E808)/1000000</f>
        <v>673.37621132592221</v>
      </c>
      <c r="J819" s="184">
        <f>C373+C409+C609+C638+C665+C693+C721+(E807+E808)/1000000</f>
        <v>945.68967514884162</v>
      </c>
      <c r="K819" s="184">
        <f>C377+C413+C513+C537+C561+C585+C613+C641+C669+C697+C725</f>
        <v>777.1752235976619</v>
      </c>
      <c r="L819" s="184">
        <f>C381+C417+C517+C541+C565+C589+C617+C645+C673+C701+C729</f>
        <v>831.55884009327133</v>
      </c>
      <c r="M819" s="184">
        <f>C385+C421+C497+C521+C545+C569+C593+C621+C649+C677+C705+C733</f>
        <v>1608.7447690733738</v>
      </c>
      <c r="N819" s="184">
        <f>C389+C425+C461+C473+C485+C501+C525+C549+C573+C597+C625+C653+C681+C709+C737+C800</f>
        <v>1852.0867457828238</v>
      </c>
      <c r="O819" s="184">
        <f>C393+C429+C437+C445+C453+C465+C477+C489+C505+C529+C553+C577+C601+C629+C657+C685+C713+C741+C795+C800</f>
        <v>2129.7618931111456</v>
      </c>
    </row>
    <row r="820" spans="2:15">
      <c r="B820" t="s">
        <v>38</v>
      </c>
      <c r="D820">
        <f>E809+E810</f>
        <v>354274084</v>
      </c>
      <c r="E820">
        <f>E810+E809</f>
        <v>354274084</v>
      </c>
      <c r="F820">
        <f>E809+E810+E811</f>
        <v>454274084</v>
      </c>
      <c r="G820">
        <f>E809+E810+E811</f>
        <v>454274084</v>
      </c>
      <c r="H820">
        <f>E809+E810+E811</f>
        <v>454274084</v>
      </c>
      <c r="I820">
        <f>E809+E810+E811</f>
        <v>454274084</v>
      </c>
      <c r="J820">
        <f>E810+E811</f>
        <v>400000000</v>
      </c>
      <c r="K820">
        <f>E811</f>
        <v>100000000</v>
      </c>
      <c r="L820">
        <f>E811</f>
        <v>100000000</v>
      </c>
    </row>
    <row r="822" spans="2:15" ht="17.5" thickBot="1">
      <c r="B822" s="136" t="s">
        <v>38</v>
      </c>
    </row>
    <row r="823" spans="2:15" ht="15" thickTop="1"/>
    <row r="824" spans="2:15">
      <c r="C824" s="127">
        <v>44650</v>
      </c>
      <c r="D824">
        <v>2011</v>
      </c>
      <c r="E824">
        <v>2012</v>
      </c>
      <c r="F824">
        <v>2013</v>
      </c>
      <c r="G824">
        <v>2014</v>
      </c>
      <c r="H824">
        <v>2015</v>
      </c>
      <c r="I824">
        <v>2016</v>
      </c>
      <c r="J824">
        <v>2017</v>
      </c>
      <c r="K824">
        <v>2018</v>
      </c>
      <c r="L824">
        <v>2019</v>
      </c>
      <c r="M824">
        <v>2020</v>
      </c>
      <c r="N824">
        <v>2021</v>
      </c>
      <c r="O824" t="s">
        <v>20</v>
      </c>
    </row>
    <row r="825" spans="2:15">
      <c r="C825" t="s">
        <v>236</v>
      </c>
      <c r="D825" s="185">
        <v>4759700000.000001</v>
      </c>
      <c r="E825" s="185">
        <v>4874299999.999999</v>
      </c>
      <c r="F825" s="185">
        <v>5692400000.000001</v>
      </c>
      <c r="G825" s="185">
        <v>6028800000</v>
      </c>
      <c r="H825" s="185">
        <v>6705600000</v>
      </c>
      <c r="I825" s="185">
        <v>6439800000</v>
      </c>
      <c r="J825" s="185">
        <v>6682700000</v>
      </c>
      <c r="K825" s="185">
        <v>7202700000</v>
      </c>
      <c r="L825" s="185">
        <v>7247400000</v>
      </c>
      <c r="M825" s="185">
        <v>7711000000</v>
      </c>
      <c r="N825" s="185">
        <v>8985200000</v>
      </c>
      <c r="O825" s="8"/>
    </row>
    <row r="826" spans="2:15">
      <c r="C826" t="s">
        <v>237</v>
      </c>
      <c r="D826" s="186">
        <f>'AST Bonds'!C185</f>
        <v>2879224472</v>
      </c>
      <c r="E826" s="186">
        <f>'AST Bonds'!D185</f>
        <v>3368803388</v>
      </c>
      <c r="F826" s="186">
        <f>'AST Bonds'!E185</f>
        <v>4701950924</v>
      </c>
      <c r="G826" s="186">
        <f>'AST Bonds'!F185</f>
        <v>5962073041</v>
      </c>
      <c r="H826" s="186">
        <f>'AST Bonds'!G185</f>
        <v>6646628255</v>
      </c>
      <c r="I826" s="186">
        <f>'AST Bonds'!H185</f>
        <v>6803677622</v>
      </c>
      <c r="J826" s="186">
        <f>'AST Bonds'!I185</f>
        <v>6519733782</v>
      </c>
      <c r="K826" s="186">
        <f>'AST Bonds'!J185</f>
        <v>7114343834</v>
      </c>
      <c r="L826" s="186">
        <f>'AST Bonds'!K185</f>
        <v>7199017280</v>
      </c>
      <c r="M826" s="186">
        <f>'AST Bonds'!L185</f>
        <v>7361579096</v>
      </c>
      <c r="N826" s="186">
        <f>'AST Bonds'!M185</f>
        <v>8658078418</v>
      </c>
      <c r="O826" s="186"/>
    </row>
    <row r="828" spans="2:15">
      <c r="C828" t="s">
        <v>44</v>
      </c>
      <c r="D828" s="184">
        <f>D825-D826</f>
        <v>1880475528.000001</v>
      </c>
      <c r="E828" s="184">
        <f t="shared" ref="E828:N828" si="3644">E825-E826</f>
        <v>1505496611.999999</v>
      </c>
      <c r="F828" s="184">
        <f t="shared" si="3644"/>
        <v>990449076.00000095</v>
      </c>
      <c r="G828" s="184">
        <f t="shared" si="3644"/>
        <v>66726959</v>
      </c>
      <c r="H828" s="184">
        <f t="shared" si="3644"/>
        <v>58971745</v>
      </c>
      <c r="I828" s="184">
        <f t="shared" si="3644"/>
        <v>-363877622</v>
      </c>
      <c r="J828" s="184">
        <f t="shared" si="3644"/>
        <v>162966218</v>
      </c>
      <c r="K828" s="184">
        <f t="shared" si="3644"/>
        <v>88356166</v>
      </c>
      <c r="L828" s="184">
        <f t="shared" si="3644"/>
        <v>48382720</v>
      </c>
      <c r="M828" s="184">
        <f t="shared" si="3644"/>
        <v>349420904</v>
      </c>
      <c r="N828" s="184">
        <f t="shared" si="3644"/>
        <v>327121582</v>
      </c>
      <c r="O828" s="184">
        <f>N828</f>
        <v>327121582</v>
      </c>
    </row>
    <row r="830" spans="2:15" ht="17.5" thickBot="1">
      <c r="B830" s="136" t="s">
        <v>238</v>
      </c>
    </row>
    <row r="831" spans="2:15" ht="15" thickTop="1">
      <c r="C831" s="127">
        <v>44742</v>
      </c>
    </row>
    <row r="832" spans="2:15">
      <c r="C832" t="s">
        <v>236</v>
      </c>
      <c r="D832" s="185"/>
      <c r="E832" s="185"/>
      <c r="F832" s="185">
        <f>'Annual Report'!H124*1000</f>
        <v>5671897000</v>
      </c>
      <c r="G832" s="185">
        <f>'Annual Report'!I124*1000</f>
        <v>5667662000</v>
      </c>
      <c r="H832" s="185">
        <f>'Annual Report'!J124*1000</f>
        <v>5730784000</v>
      </c>
      <c r="I832" s="185">
        <f>'Annual Report'!K124*1000</f>
        <v>6263350000</v>
      </c>
      <c r="J832" s="185"/>
      <c r="K832" s="185"/>
      <c r="L832" s="185"/>
      <c r="M832" s="185"/>
      <c r="N832" s="185"/>
    </row>
    <row r="833" spans="3:14">
      <c r="C833" t="s">
        <v>237</v>
      </c>
      <c r="D833" s="186"/>
      <c r="E833" s="186"/>
      <c r="F833" s="186">
        <f>'DUET Bonds'!D66</f>
        <v>3048546752</v>
      </c>
      <c r="G833" s="186">
        <f>'DUET Bonds'!E66</f>
        <v>3048546752</v>
      </c>
      <c r="H833" s="186">
        <f>'DUET Bonds'!F66</f>
        <v>2878546752</v>
      </c>
      <c r="I833" s="186"/>
      <c r="J833" s="186"/>
      <c r="K833" s="186"/>
      <c r="L833" s="186"/>
      <c r="M833" s="186"/>
      <c r="N833" s="186"/>
    </row>
    <row r="835" spans="3:14">
      <c r="C835" t="s">
        <v>44</v>
      </c>
      <c r="D835" s="184"/>
      <c r="E835" s="184"/>
      <c r="F835" s="184">
        <f>F832-F833</f>
        <v>2623350248</v>
      </c>
      <c r="G835" s="184">
        <f>G832-G833</f>
        <v>2619115248</v>
      </c>
      <c r="H835" s="184">
        <f>H832-H833</f>
        <v>2852237248</v>
      </c>
      <c r="I835" s="184"/>
      <c r="J835" s="184"/>
      <c r="K835" s="184"/>
      <c r="L835" s="184"/>
      <c r="M835" s="184"/>
      <c r="N835" s="184"/>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C70D7027335D544A4151FB63491A782" ma:contentTypeVersion="6" ma:contentTypeDescription="Create a new document." ma:contentTypeScope="" ma:versionID="776327c17af98079b3550d1387b7f6da">
  <xsd:schema xmlns:xsd="http://www.w3.org/2001/XMLSchema" xmlns:xs="http://www.w3.org/2001/XMLSchema" xmlns:p="http://schemas.microsoft.com/office/2006/metadata/properties" xmlns:ns2="8906a4f0-cffd-4326-b68c-07c782b65a21" xmlns:ns3="dcbf8a88-e063-4a69-82e9-42d02808f636" targetNamespace="http://schemas.microsoft.com/office/2006/metadata/properties" ma:root="true" ma:fieldsID="b5093a9e254d68f978f987239e905571" ns2:_="" ns3:_="">
    <xsd:import namespace="8906a4f0-cffd-4326-b68c-07c782b65a21"/>
    <xsd:import namespace="dcbf8a88-e063-4a69-82e9-42d02808f63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906a4f0-cffd-4326-b68c-07c782b65a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cbf8a88-e063-4a69-82e9-42d02808f63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B6EB1BF-9C94-47A7-95DD-A407F9C757E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906a4f0-cffd-4326-b68c-07c782b65a21"/>
    <ds:schemaRef ds:uri="dcbf8a88-e063-4a69-82e9-42d02808f6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C30EE5F-22DC-4813-B372-5F7FF4ED13D8}">
  <ds:schemaRefs>
    <ds:schemaRef ds:uri="http://schemas.microsoft.com/sharepoint/v3/contenttype/forms"/>
  </ds:schemaRefs>
</ds:datastoreItem>
</file>

<file path=customXml/itemProps3.xml><?xml version="1.0" encoding="utf-8"?>
<ds:datastoreItem xmlns:ds="http://schemas.openxmlformats.org/officeDocument/2006/customXml" ds:itemID="{24EA1C87-3A8E-42FD-95B9-030B8D67EF0B}">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35</vt:i4>
      </vt:variant>
    </vt:vector>
  </HeadingPairs>
  <TitlesOfParts>
    <vt:vector size="78" baseType="lpstr">
      <vt:lpstr>Cover</vt:lpstr>
      <vt:lpstr>Summary</vt:lpstr>
      <vt:lpstr>Calculations &gt;&gt;&gt;</vt:lpstr>
      <vt:lpstr>Regulatory Asset Base</vt:lpstr>
      <vt:lpstr>Enterprise Value</vt:lpstr>
      <vt:lpstr>Market Value of Non-Regulated</vt:lpstr>
      <vt:lpstr>Trailing average adjustment</vt:lpstr>
      <vt:lpstr>Trailing average adjustment bnd</vt:lpstr>
      <vt:lpstr>Value of Debt (unlisted bonds)</vt:lpstr>
      <vt:lpstr>Value of Debt (listed bonds)</vt:lpstr>
      <vt:lpstr>Yield Curve</vt:lpstr>
      <vt:lpstr>Input data &gt;&gt;&gt;</vt:lpstr>
      <vt:lpstr>Bond data &gt;&gt;&gt;</vt:lpstr>
      <vt:lpstr>DUET Bonds</vt:lpstr>
      <vt:lpstr>DUET bond prices</vt:lpstr>
      <vt:lpstr>SKI Bonds</vt:lpstr>
      <vt:lpstr>AST Bonds</vt:lpstr>
      <vt:lpstr>AST Bond Prices</vt:lpstr>
      <vt:lpstr>Transgrid Bonds</vt:lpstr>
      <vt:lpstr>Transgrid Bonds Prices</vt:lpstr>
      <vt:lpstr>SA Power Bonds</vt:lpstr>
      <vt:lpstr>SA Power Bond Prices</vt:lpstr>
      <vt:lpstr>VPN Bonds</vt:lpstr>
      <vt:lpstr>VPN Bond Prices</vt:lpstr>
      <vt:lpstr>Bloomberg Bond Prices</vt:lpstr>
      <vt:lpstr>Accounting data &gt;&gt;&gt;</vt:lpstr>
      <vt:lpstr>Annual Report</vt:lpstr>
      <vt:lpstr>SKI - BalanceSheet</vt:lpstr>
      <vt:lpstr>AST - IncomeStatement</vt:lpstr>
      <vt:lpstr>AST - BalanceSheet</vt:lpstr>
      <vt:lpstr>AST - Segments</vt:lpstr>
      <vt:lpstr>Regulatory data &gt;&gt;&gt;</vt:lpstr>
      <vt:lpstr>AER Regulatory determination</vt:lpstr>
      <vt:lpstr>Tax Asset Base</vt:lpstr>
      <vt:lpstr>SKI - RIN</vt:lpstr>
      <vt:lpstr>AST - RIN</vt:lpstr>
      <vt:lpstr>Financial Markets Data &gt;&gt;&gt;</vt:lpstr>
      <vt:lpstr>SKI - Historical Equity</vt:lpstr>
      <vt:lpstr>AST - Historical Equity</vt:lpstr>
      <vt:lpstr>Money Market</vt:lpstr>
      <vt:lpstr>Corporate Bond yields</vt:lpstr>
      <vt:lpstr>Inflation</vt:lpstr>
      <vt:lpstr>Valuation multiples</vt:lpstr>
      <vt:lpstr>FIRMMBAB180</vt:lpstr>
      <vt:lpstr>FIRMMBAB30</vt:lpstr>
      <vt:lpstr>FIRMMBAB90</vt:lpstr>
      <vt:lpstr>FIRMMCRI</vt:lpstr>
      <vt:lpstr>FIRMMCRT</vt:lpstr>
      <vt:lpstr>FIRMMOIS1</vt:lpstr>
      <vt:lpstr>FIRMMOIS3</vt:lpstr>
      <vt:lpstr>FIRMMOIS6</vt:lpstr>
      <vt:lpstr>FIRMMTN1</vt:lpstr>
      <vt:lpstr>FIRMMTN3</vt:lpstr>
      <vt:lpstr>FIRMMTN6</vt:lpstr>
      <vt:lpstr>GCPIAG</vt:lpstr>
      <vt:lpstr>GCPIAGQP</vt:lpstr>
      <vt:lpstr>GCPIAGSAQP</vt:lpstr>
      <vt:lpstr>GCPIAGYP</vt:lpstr>
      <vt:lpstr>GCPIEITCQP</vt:lpstr>
      <vt:lpstr>GCPIEITCYP</vt:lpstr>
      <vt:lpstr>GCPINTIQP</vt:lpstr>
      <vt:lpstr>GCPINTIYP</vt:lpstr>
      <vt:lpstr>GCPINTXDLQP</vt:lpstr>
      <vt:lpstr>GCPINTXDLYP</vt:lpstr>
      <vt:lpstr>GCPIOCPMTMQP</vt:lpstr>
      <vt:lpstr>GCPIOCPMTMYP</vt:lpstr>
      <vt:lpstr>GCPIOCPMWMQP</vt:lpstr>
      <vt:lpstr>GCPIOCPMWMYP</vt:lpstr>
      <vt:lpstr>GCPITIQP</vt:lpstr>
      <vt:lpstr>GCPITIYP</vt:lpstr>
      <vt:lpstr>GCPITXVIQP</vt:lpstr>
      <vt:lpstr>GCPITXVIYP</vt:lpstr>
      <vt:lpstr>GCPIXVIQP</vt:lpstr>
      <vt:lpstr>GCPIXVIYP</vt:lpstr>
      <vt:lpstr>Inflation!Print_Area</vt:lpstr>
      <vt:lpstr>'Money Market'!Print_Area</vt:lpstr>
      <vt:lpstr>Inflation!Print_Titles</vt:lpstr>
      <vt:lpstr>'Money Market'!Print_Titles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Jacob Peyton</dc:creator>
  <cp:keywords/>
  <dc:description/>
  <cp:lastModifiedBy>Benjamin Osenius-Eite</cp:lastModifiedBy>
  <cp:revision/>
  <dcterms:created xsi:type="dcterms:W3CDTF">2019-08-13T06:43:34Z</dcterms:created>
  <dcterms:modified xsi:type="dcterms:W3CDTF">2022-05-03T07:01:41Z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 id">
    <vt:lpwstr>da7fe984-74c4-41ca-a3a0-07b0cd9b0000</vt:lpwstr>
  </property>
  <property fmtid="{D5CDD505-2E9C-101B-9397-08002B2CF9AE}" pid="3" name="Workbook type">
    <vt:lpwstr>Custom</vt:lpwstr>
  </property>
  <property fmtid="{D5CDD505-2E9C-101B-9397-08002B2CF9AE}" pid="4" name="Workbook version">
    <vt:lpwstr>Custom</vt:lpwstr>
  </property>
  <property fmtid="{D5CDD505-2E9C-101B-9397-08002B2CF9AE}" pid="5" name="ContentTypeId">
    <vt:lpwstr>0x0101000C70D7027335D544A4151FB63491A782</vt:lpwstr>
  </property>
</Properties>
</file>